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06EDA1CF-E76E-4A54-8860-E092CFC7AADB}" xr6:coauthVersionLast="36" xr6:coauthVersionMax="36" xr10:uidLastSave="{00000000-0000-0000-0000-000000000000}"/>
  <bookViews>
    <workbookView xWindow="0" yWindow="0" windowWidth="28800" windowHeight="10125" tabRatio="905" activeTab="13"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Tablas!$AC$631:$AC$680</definedName>
    <definedName name="Lista_ArmaDistinta">Tablas!$AI$630:INDEX(Tablas!$AI$630:$AI$766,SUMPRODUCT(--(Tablas!$AI$630:$AI$766&lt;&gt;"")))</definedName>
    <definedName name="Lista_ArmaMixta">Tablas!$AH$630:INDEX(Tablas!$AH$630:$AH$766,SUMPRODUCT(--(Tablas!$AH$630:$AH$766&lt;&gt;"")))</definedName>
    <definedName name="Lista_Armas">Tablas!$D$630:$D$766</definedName>
    <definedName name="Lista_ArmasArquetipo">Tablas!$X$582:$X$597</definedName>
    <definedName name="Lista_ArmaSimilar">Tablas!$AG$630:INDEX(Tablas!$AG$630:$AG$766,SUMPRODUCT(--(Tablas!$AG$630:$AG$766&lt;&gt;"")))</definedName>
    <definedName name="Lista_ArtesMarciales">Tablas!$AC$804:$AC$840</definedName>
    <definedName name="Lista_ClaseSocial">Tablas!$F$136:INDEX(Tablas!$F$136:$F$139,SUMPRODUCT(--(Tablas!$F$136:$F$139&lt;&gt;"")))</definedName>
    <definedName name="Lista_HabEsenciales">Tablas!$V$1281:$V$1368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PoderesCriatura">Tablas!$V$1190:$V$1279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Tablas!$S$1038:$S$1047</definedName>
    <definedName name="NivelesLA_ViaMenorNosubvía">Tablas!$T$1038:$T$1057</definedName>
    <definedName name="NivelesLA_ViaMenorSubvía">Tablas!$U$1038:$U$1047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Combate!$K$20</definedName>
    <definedName name="Patrones">Tablas!$D$1092:$D$1107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Principal!$J$57</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Tablas!$E$1782:$E$1794</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_Aman">Tablas!$F$107:$F$108</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Tablas!$F$1052:$G$1062</definedName>
    <definedName name="Tabla_CreaciónSeres">Tablas!$W$47:$AF$54</definedName>
    <definedName name="Tabla_DesElemental">Tablas!$H$1052:$I$1063</definedName>
    <definedName name="Tabla_Dificultades">Tablas!$T$26:$U$38</definedName>
    <definedName name="Tabla_DisciplinasPsi">Tablas!$D$1111:$N$1123</definedName>
    <definedName name="Tabla_Elan">Tablas!$E$1701:$R$1894</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Tablas!$E$1192:$J$1394</definedName>
    <definedName name="Tabla_Idiomas">Tablas!$AI$27:$AJ$46</definedName>
    <definedName name="Tabla_LegadosSangre">Tablas!$N$235:$S$261</definedName>
    <definedName name="Tabla_Límites">Tablas!$C$1013:$M$1019</definedName>
    <definedName name="Tabla_LímiteSecundarias">Tablas!$T$42:$U$45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Tablas!$Q$38:$R$45</definedName>
    <definedName name="Tabla_NumeroConjurosLA">Tablas!$S$1013:$U$1032</definedName>
    <definedName name="Tabla_PatronesM">Tablas!$D$1092:$W$1107</definedName>
    <definedName name="Tabla_PodCriatura">Tablas!$O$1192:$S$1692</definedName>
    <definedName name="Tabla_PoderesPsi">'Tablas psiquica'!$D$7:$S$145</definedName>
    <definedName name="Tabla_PotPsi">Tablas!$P$1036:$Q$1055</definedName>
    <definedName name="Tabla_PotPsitporCV">Tablas!$K$1052:$L$1061</definedName>
    <definedName name="Tabla_RaicesCulturales">Tablas!$G$141:$DE$196</definedName>
    <definedName name="Tabla_Razas">Tablas!$J$109:$CV$129</definedName>
    <definedName name="Tabla_Regen">Tablas!$C$38:$H$65</definedName>
    <definedName name="Tabla_SiNo">Tablas!$C$8:$C$9</definedName>
    <definedName name="Tabla_Tabla_Estilos">Tablas!$R$903:$W$924</definedName>
    <definedName name="Tabla_TablasArmas">Tablas!$X$575:$AA$580</definedName>
    <definedName name="Tabla_TablasSobrenat">Tablas!$E$999:$L$1001</definedName>
    <definedName name="Tabla_ValoresBase">Tablas!$M$37:$O$56</definedName>
    <definedName name="Tabla_Ventajas">Tablas!$E$256:$J$562</definedName>
    <definedName name="Tabla_VíasDesarolladas">Místicos!$C$15:$H$25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SelecciónConjuros">Tablas!$M$1023:$N$1033</definedName>
    <definedName name="TablaSubvías_VíasPermitidas">Tablas!$M$1068:$W$1081</definedName>
    <definedName name="TablaSubvías_VíasProhibidas">Tablas!$C$1067:$K$1080</definedName>
    <definedName name="TablaTipoMovimiento">Tablas!$J$38:$K$57</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T128" i="11" l="1"/>
  <c r="AI42" i="2" l="1"/>
  <c r="H48" i="11" l="1"/>
  <c r="H47" i="11"/>
  <c r="H46" i="11"/>
  <c r="H45" i="11"/>
  <c r="H44" i="11"/>
  <c r="H43" i="11"/>
  <c r="H42" i="11"/>
  <c r="H41" i="11"/>
  <c r="H40" i="11"/>
  <c r="H39" i="11"/>
  <c r="H38" i="11"/>
  <c r="S38" i="4" l="1"/>
  <c r="H44" i="4"/>
  <c r="S44" i="4"/>
  <c r="AH12" i="8" l="1"/>
  <c r="U128" i="11" l="1"/>
  <c r="P128" i="11"/>
  <c r="V30" i="2" l="1"/>
  <c r="V37" i="2"/>
  <c r="AA22" i="2"/>
  <c r="N1929" i="11" l="1"/>
  <c r="P63" i="5"/>
  <c r="P50" i="5"/>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R363" i="17"/>
  <c r="S363" i="17" s="1"/>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W357" i="17" s="1"/>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N349" i="17"/>
  <c r="AO349" i="17" s="1"/>
  <c r="AL349" i="17"/>
  <c r="AM349" i="17" s="1"/>
  <c r="AJ349" i="17"/>
  <c r="AK349" i="17" s="1"/>
  <c r="AH349" i="17"/>
  <c r="AI349" i="17" s="1"/>
  <c r="AF349" i="17"/>
  <c r="W351" i="17" s="1"/>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F347" i="17"/>
  <c r="BR346" i="17"/>
  <c r="BQ346" i="17"/>
  <c r="BP346" i="17"/>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Q340" i="17" s="1"/>
  <c r="BP342" i="17"/>
  <c r="BO342" i="17"/>
  <c r="BO340" i="17" s="1"/>
  <c r="BP340" i="17"/>
  <c r="BQ339"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J331" i="17"/>
  <c r="H331" i="17"/>
  <c r="G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W320" i="17" s="1"/>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W308" i="17" s="1"/>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R303" i="17" s="1"/>
  <c r="BQ305" i="17"/>
  <c r="BP305" i="17"/>
  <c r="BP303" i="17" s="1"/>
  <c r="BO305" i="17"/>
  <c r="BO303" i="17" s="1"/>
  <c r="BQ302"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N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W283" i="17" s="1"/>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U275" i="17"/>
  <c r="AT275" i="17"/>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O265" i="17" s="1"/>
  <c r="BR273" i="17"/>
  <c r="BQ273" i="17"/>
  <c r="BP273" i="17"/>
  <c r="R273" i="17"/>
  <c r="S273" i="17" s="1"/>
  <c r="Q273" i="17"/>
  <c r="P273" i="17"/>
  <c r="N273" i="17"/>
  <c r="M273" i="17"/>
  <c r="K273" i="17"/>
  <c r="J273" i="17"/>
  <c r="H273" i="17"/>
  <c r="F273" i="17"/>
  <c r="BR272" i="17"/>
  <c r="BQ272" i="17"/>
  <c r="BP272" i="17"/>
  <c r="R272" i="17"/>
  <c r="S272" i="17" s="1"/>
  <c r="Q272" i="17"/>
  <c r="P272" i="17"/>
  <c r="N272" i="17"/>
  <c r="M272" i="17"/>
  <c r="K272" i="17"/>
  <c r="J272" i="17"/>
  <c r="H272" i="17"/>
  <c r="F272" i="17"/>
  <c r="BR271" i="17"/>
  <c r="BQ271" i="17"/>
  <c r="BP271" i="17"/>
  <c r="R271" i="17"/>
  <c r="S271" i="17" s="1"/>
  <c r="Q271" i="17"/>
  <c r="P271" i="17"/>
  <c r="N271" i="17"/>
  <c r="M271" i="17"/>
  <c r="K271" i="17"/>
  <c r="J271" i="17"/>
  <c r="H271" i="17"/>
  <c r="F271" i="17"/>
  <c r="BR270" i="17"/>
  <c r="BQ270" i="17"/>
  <c r="BP270" i="17"/>
  <c r="S270" i="17"/>
  <c r="R270" i="17"/>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P266" i="17"/>
  <c r="BQ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N244" i="17"/>
  <c r="AO244" i="17" s="1"/>
  <c r="AL244" i="17"/>
  <c r="AM244" i="17" s="1"/>
  <c r="AJ244" i="17"/>
  <c r="AK244" i="17" s="1"/>
  <c r="AH244" i="17"/>
  <c r="AI244" i="17" s="1"/>
  <c r="AF244" i="17"/>
  <c r="W246" i="17" s="1"/>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R234" i="17"/>
  <c r="S234" i="17" s="1"/>
  <c r="Q234" i="17"/>
  <c r="P234" i="17"/>
  <c r="N234" i="17"/>
  <c r="M234" i="17"/>
  <c r="K234" i="17"/>
  <c r="J234" i="17"/>
  <c r="H234" i="17"/>
  <c r="F234" i="17"/>
  <c r="BR233" i="17"/>
  <c r="BR228" i="17" s="1"/>
  <c r="BQ233" i="17"/>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W234" i="17" s="1"/>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R229" i="17" s="1"/>
  <c r="BQ231" i="17"/>
  <c r="BP231" i="17"/>
  <c r="BO231" i="17"/>
  <c r="BO229" i="17" s="1"/>
  <c r="BP229" i="17"/>
  <c r="BQ228"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G223" i="17"/>
  <c r="BR222" i="17"/>
  <c r="BQ222" i="17"/>
  <c r="BP222" i="17"/>
  <c r="R222" i="17"/>
  <c r="S222" i="17" s="1"/>
  <c r="Q222" i="17"/>
  <c r="P222" i="17"/>
  <c r="N222" i="17"/>
  <c r="M222" i="17"/>
  <c r="K222" i="17"/>
  <c r="J222" i="17"/>
  <c r="H222" i="17"/>
  <c r="G222" i="17"/>
  <c r="BR221" i="17"/>
  <c r="BQ221" i="17"/>
  <c r="BP221" i="17"/>
  <c r="R221" i="17"/>
  <c r="S221" i="17" s="1"/>
  <c r="Q221" i="17"/>
  <c r="P221" i="17"/>
  <c r="N221" i="17"/>
  <c r="M221" i="17"/>
  <c r="K221" i="17"/>
  <c r="J221" i="17"/>
  <c r="H221" i="17"/>
  <c r="G221" i="17"/>
  <c r="BR220" i="17"/>
  <c r="BQ220" i="17"/>
  <c r="BP220" i="17"/>
  <c r="R220" i="17"/>
  <c r="S220" i="17" s="1"/>
  <c r="Q220" i="17"/>
  <c r="P220" i="17"/>
  <c r="N220" i="17"/>
  <c r="M220" i="17"/>
  <c r="K220" i="17"/>
  <c r="J220" i="17"/>
  <c r="H220" i="17"/>
  <c r="G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N218" i="17"/>
  <c r="BR217" i="17"/>
  <c r="BQ217" i="17"/>
  <c r="BP217" i="17"/>
  <c r="R217" i="17"/>
  <c r="S217" i="17" s="1"/>
  <c r="Q217" i="17"/>
  <c r="P217" i="17"/>
  <c r="N217" i="17"/>
  <c r="M217" i="17"/>
  <c r="K217" i="17"/>
  <c r="J217" i="17"/>
  <c r="H217" i="17"/>
  <c r="G217" i="17"/>
  <c r="BR216" i="17"/>
  <c r="BQ216" i="17"/>
  <c r="BP216" i="17"/>
  <c r="R216" i="17"/>
  <c r="S216" i="17" s="1"/>
  <c r="Q216" i="17"/>
  <c r="P216" i="17"/>
  <c r="N216" i="17"/>
  <c r="M216" i="17"/>
  <c r="K216" i="17"/>
  <c r="J216" i="17"/>
  <c r="H216" i="17"/>
  <c r="G216" i="17"/>
  <c r="BR215" i="17"/>
  <c r="BQ215" i="17"/>
  <c r="BP215" i="17"/>
  <c r="R215" i="17"/>
  <c r="S215" i="17" s="1"/>
  <c r="Q215" i="17"/>
  <c r="P215" i="17"/>
  <c r="N215" i="17"/>
  <c r="M215" i="17"/>
  <c r="K215" i="17"/>
  <c r="J215" i="17"/>
  <c r="H215" i="17"/>
  <c r="G215" i="17"/>
  <c r="BR214" i="17"/>
  <c r="BQ214" i="17"/>
  <c r="BP214" i="17"/>
  <c r="R214" i="17"/>
  <c r="S214" i="17" s="1"/>
  <c r="Q214" i="17"/>
  <c r="P214" i="17"/>
  <c r="N214" i="17"/>
  <c r="M214" i="17"/>
  <c r="K214" i="17"/>
  <c r="J214" i="17"/>
  <c r="H214" i="17"/>
  <c r="G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G211" i="17"/>
  <c r="BR210" i="17"/>
  <c r="BQ210" i="17"/>
  <c r="BP210" i="17"/>
  <c r="R210" i="17"/>
  <c r="S210" i="17" s="1"/>
  <c r="Q210" i="17"/>
  <c r="P210" i="17"/>
  <c r="N210" i="17"/>
  <c r="M210" i="17"/>
  <c r="K210" i="17"/>
  <c r="J210" i="17"/>
  <c r="H210" i="17"/>
  <c r="G210" i="17"/>
  <c r="BR209" i="17"/>
  <c r="BQ209" i="17"/>
  <c r="BP209" i="17"/>
  <c r="R209" i="17"/>
  <c r="S209" i="17" s="1"/>
  <c r="Q209" i="17"/>
  <c r="P209" i="17"/>
  <c r="N209" i="17"/>
  <c r="M209" i="17"/>
  <c r="K209" i="17"/>
  <c r="J209" i="17"/>
  <c r="H209" i="17"/>
  <c r="G209" i="17"/>
  <c r="BR208" i="17"/>
  <c r="BQ208" i="17"/>
  <c r="BP208" i="17"/>
  <c r="R208" i="17"/>
  <c r="S208" i="17" s="1"/>
  <c r="Q208" i="17"/>
  <c r="P208" i="17"/>
  <c r="N208" i="17"/>
  <c r="M208" i="17"/>
  <c r="K208" i="17"/>
  <c r="J208" i="17"/>
  <c r="H208" i="17"/>
  <c r="G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S205" i="17"/>
  <c r="R205" i="17"/>
  <c r="Q205" i="17"/>
  <c r="P205" i="17"/>
  <c r="N205" i="17"/>
  <c r="M205" i="17"/>
  <c r="K205" i="17"/>
  <c r="J205" i="17"/>
  <c r="H205" i="17"/>
  <c r="G205" i="17"/>
  <c r="BR204" i="17"/>
  <c r="BQ204" i="17"/>
  <c r="BP204" i="17"/>
  <c r="R204" i="17"/>
  <c r="S204" i="17" s="1"/>
  <c r="Q204" i="17"/>
  <c r="P204" i="17"/>
  <c r="N204" i="17"/>
  <c r="M204" i="17"/>
  <c r="K204" i="17"/>
  <c r="J204" i="17"/>
  <c r="H204" i="17"/>
  <c r="G204" i="17"/>
  <c r="BR203" i="17"/>
  <c r="BQ203" i="17"/>
  <c r="BP203" i="17"/>
  <c r="R203" i="17"/>
  <c r="S203" i="17" s="1"/>
  <c r="Q203" i="17"/>
  <c r="P203" i="17"/>
  <c r="N203" i="17"/>
  <c r="M203" i="17"/>
  <c r="K203" i="17"/>
  <c r="J203" i="17"/>
  <c r="H203" i="17"/>
  <c r="G203" i="17"/>
  <c r="BR202" i="17"/>
  <c r="BQ202" i="17"/>
  <c r="BP202" i="17"/>
  <c r="R202" i="17"/>
  <c r="S202" i="17" s="1"/>
  <c r="Q202" i="17"/>
  <c r="P202" i="17"/>
  <c r="N202" i="17"/>
  <c r="M202" i="17"/>
  <c r="K202" i="17"/>
  <c r="J202" i="17"/>
  <c r="H202" i="17"/>
  <c r="G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G203" i="17" s="1"/>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F199" i="17"/>
  <c r="BR198" i="17"/>
  <c r="BQ198" i="17"/>
  <c r="BP198" i="17"/>
  <c r="R198" i="17"/>
  <c r="S198" i="17" s="1"/>
  <c r="Q198" i="17"/>
  <c r="P198" i="17"/>
  <c r="N198" i="17"/>
  <c r="M198" i="17"/>
  <c r="K198" i="17"/>
  <c r="J198" i="17"/>
  <c r="H198" i="17"/>
  <c r="F198" i="17"/>
  <c r="BR197" i="17"/>
  <c r="BQ197" i="17"/>
  <c r="BP197" i="17"/>
  <c r="R197" i="17"/>
  <c r="S197" i="17" s="1"/>
  <c r="Q197" i="17"/>
  <c r="P197" i="17"/>
  <c r="N197" i="17"/>
  <c r="M197" i="17"/>
  <c r="K197" i="17"/>
  <c r="J197" i="17"/>
  <c r="H197" i="17"/>
  <c r="F197" i="17"/>
  <c r="BR196" i="17"/>
  <c r="BQ196" i="17"/>
  <c r="BP196" i="17"/>
  <c r="R196" i="17"/>
  <c r="S196" i="17" s="1"/>
  <c r="Q196" i="17"/>
  <c r="P196" i="17"/>
  <c r="N196" i="17"/>
  <c r="M196" i="17"/>
  <c r="K196" i="17"/>
  <c r="J196" i="17"/>
  <c r="H196" i="17"/>
  <c r="F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W197" i="17" s="1"/>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2" i="17" s="1"/>
  <c r="BP192" i="17"/>
  <c r="BQ191"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D170" i="17"/>
  <c r="BE170" i="17" s="1"/>
  <c r="BB170" i="17"/>
  <c r="BC170" i="17" s="1"/>
  <c r="AZ170" i="17"/>
  <c r="AX170" i="17"/>
  <c r="AY170" i="17" s="1"/>
  <c r="AV170" i="17"/>
  <c r="AW170" i="17" s="1"/>
  <c r="AT170" i="17"/>
  <c r="AU170" i="17" s="1"/>
  <c r="AR170" i="17"/>
  <c r="AS170" i="17" s="1"/>
  <c r="AP170" i="17"/>
  <c r="AG172" i="17" s="1"/>
  <c r="AN170" i="17"/>
  <c r="AO170" i="17" s="1"/>
  <c r="AL170" i="17"/>
  <c r="AM170" i="17" s="1"/>
  <c r="AJ170" i="17"/>
  <c r="AK170" i="17" s="1"/>
  <c r="AH170" i="17"/>
  <c r="AI170" i="17" s="1"/>
  <c r="AF170" i="17"/>
  <c r="W172" i="17" s="1"/>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R160" i="17"/>
  <c r="S160" i="17" s="1"/>
  <c r="Q160" i="17"/>
  <c r="P160" i="17"/>
  <c r="N160" i="17"/>
  <c r="M160" i="17"/>
  <c r="K160" i="17"/>
  <c r="J160" i="17"/>
  <c r="H160" i="17"/>
  <c r="F160" i="17"/>
  <c r="BR159" i="17"/>
  <c r="BQ159" i="17"/>
  <c r="BP159" i="17"/>
  <c r="BP154" i="17" s="1"/>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W160" i="17" s="1"/>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5" i="17" s="1"/>
  <c r="BQ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BN144" i="17" s="1"/>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R135" i="17"/>
  <c r="S135" i="17" s="1"/>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I133" i="17"/>
  <c r="AH133" i="17"/>
  <c r="AF133" i="17"/>
  <c r="W135" i="17" s="1"/>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O117" i="17" s="1"/>
  <c r="BU131" i="17"/>
  <c r="BT131" i="17"/>
  <c r="BR131" i="17"/>
  <c r="BQ131" i="17"/>
  <c r="BP131" i="17"/>
  <c r="R131" i="17"/>
  <c r="S131" i="17" s="1"/>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Q117" i="17" s="1"/>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P118" i="17" s="1"/>
  <c r="BO120" i="17"/>
  <c r="BO118" i="17" s="1"/>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H108" i="17"/>
  <c r="BI108" i="17" s="1"/>
  <c r="BF108" i="17"/>
  <c r="BG108" i="17" s="1"/>
  <c r="BD108" i="17"/>
  <c r="BE108" i="17" s="1"/>
  <c r="BC108" i="17"/>
  <c r="BB108" i="17"/>
  <c r="AZ108" i="17"/>
  <c r="AQ110" i="17" s="1"/>
  <c r="AX108" i="17"/>
  <c r="AY108" i="17" s="1"/>
  <c r="AV108" i="17"/>
  <c r="AW108" i="17" s="1"/>
  <c r="AT108" i="17"/>
  <c r="AU108" i="17" s="1"/>
  <c r="AR108" i="17"/>
  <c r="AS108" i="17" s="1"/>
  <c r="AP108" i="17"/>
  <c r="AG110" i="17" s="1"/>
  <c r="AO108" i="17"/>
  <c r="AN108" i="17"/>
  <c r="AL108" i="17"/>
  <c r="AM108" i="17" s="1"/>
  <c r="AJ108" i="17"/>
  <c r="AK108" i="17" s="1"/>
  <c r="AH108" i="17"/>
  <c r="AI108" i="17" s="1"/>
  <c r="AF108" i="17"/>
  <c r="AD108" i="17"/>
  <c r="AE108" i="17" s="1"/>
  <c r="AB108" i="17"/>
  <c r="AC108" i="17" s="1"/>
  <c r="AA108" i="17"/>
  <c r="Z108" i="17"/>
  <c r="X108" i="17"/>
  <c r="Y108" i="17" s="1"/>
  <c r="V108" i="17"/>
  <c r="V110" i="17" s="1"/>
  <c r="U108" i="17"/>
  <c r="T108" i="17"/>
  <c r="R108" i="17"/>
  <c r="S108" i="17" s="1"/>
  <c r="Q108" i="17"/>
  <c r="P108" i="17"/>
  <c r="N108" i="17"/>
  <c r="M108" i="17"/>
  <c r="K108" i="17"/>
  <c r="BK112" i="17" s="1"/>
  <c r="J108" i="17"/>
  <c r="H108" i="17"/>
  <c r="G108" i="17"/>
  <c r="BR107" i="17"/>
  <c r="BQ107" i="17"/>
  <c r="BP107" i="17"/>
  <c r="BO107" i="17"/>
  <c r="BN107" i="17"/>
  <c r="BR106" i="17"/>
  <c r="BQ106" i="17"/>
  <c r="BP106" i="17"/>
  <c r="S106" i="17"/>
  <c r="R106" i="17"/>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W98" i="17" s="1"/>
  <c r="AD96" i="17"/>
  <c r="AE96" i="17" s="1"/>
  <c r="AC96" i="17"/>
  <c r="AB96" i="17"/>
  <c r="Z96" i="17"/>
  <c r="AA96" i="17" s="1"/>
  <c r="X96" i="17"/>
  <c r="Y96" i="17" s="1"/>
  <c r="V96" i="17"/>
  <c r="V98" i="17" s="1"/>
  <c r="U96" i="17"/>
  <c r="T96" i="17"/>
  <c r="R96" i="17"/>
  <c r="S96" i="17" s="1"/>
  <c r="Q96" i="17"/>
  <c r="P96" i="17"/>
  <c r="N96" i="17"/>
  <c r="M96" i="17"/>
  <c r="K96" i="17"/>
  <c r="J96" i="17"/>
  <c r="H96" i="17"/>
  <c r="G96" i="17"/>
  <c r="BR95" i="17"/>
  <c r="BQ95" i="17"/>
  <c r="BP95" i="17"/>
  <c r="BO95" i="17"/>
  <c r="BN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R92" i="17"/>
  <c r="BQ92" i="17"/>
  <c r="BP92" i="17"/>
  <c r="R92" i="17"/>
  <c r="S92" i="17" s="1"/>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Q80" i="17" s="1"/>
  <c r="BP86" i="17"/>
  <c r="R86" i="17"/>
  <c r="S86" i="17" s="1"/>
  <c r="Q86" i="17"/>
  <c r="P86" i="17"/>
  <c r="N86" i="17"/>
  <c r="M86" i="17"/>
  <c r="K86" i="17"/>
  <c r="J86" i="17"/>
  <c r="H86" i="17"/>
  <c r="F86" i="17"/>
  <c r="BR85" i="17"/>
  <c r="BQ85" i="17"/>
  <c r="BP85" i="17"/>
  <c r="R85" i="17"/>
  <c r="S85" i="17" s="1"/>
  <c r="Q85" i="17"/>
  <c r="P85" i="17"/>
  <c r="N85" i="17"/>
  <c r="M85" i="17"/>
  <c r="K85" i="17"/>
  <c r="J85" i="17"/>
  <c r="H85" i="17"/>
  <c r="F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P81" i="17" s="1"/>
  <c r="BO83" i="17"/>
  <c r="BO81" i="17" s="1"/>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R74" i="17"/>
  <c r="S74" i="17" s="1"/>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R61" i="17"/>
  <c r="S61" i="17" s="1"/>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N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R55" i="17"/>
  <c r="BQ55" i="17"/>
  <c r="BP55" i="17"/>
  <c r="R55" i="17"/>
  <c r="S55" i="17" s="1"/>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W55" i="17" s="1"/>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Q44" i="17" s="1"/>
  <c r="BP48" i="17"/>
  <c r="R48" i="17"/>
  <c r="S48" i="17" s="1"/>
  <c r="Q48" i="17"/>
  <c r="P48" i="17"/>
  <c r="N48" i="17"/>
  <c r="M48" i="17"/>
  <c r="K48" i="17"/>
  <c r="J48" i="17"/>
  <c r="H48" i="17"/>
  <c r="F48" i="17"/>
  <c r="BR47" i="17"/>
  <c r="BR44" i="17" s="1"/>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P44" i="17" s="1"/>
  <c r="BO46" i="17"/>
  <c r="V617" i="11"/>
  <c r="AN35" i="2"/>
  <c r="AN34" i="2"/>
  <c r="AN32" i="2"/>
  <c r="BR81" i="17" l="1"/>
  <c r="BQ118" i="17"/>
  <c r="BQ155" i="17"/>
  <c r="BP191" i="17"/>
  <c r="BQ266" i="17"/>
  <c r="BO44" i="17"/>
  <c r="BP80" i="17"/>
  <c r="BP117" i="17"/>
  <c r="BN132" i="17"/>
  <c r="BR155" i="17"/>
  <c r="BR191" i="17"/>
  <c r="BQ192" i="17"/>
  <c r="BN206" i="17"/>
  <c r="BP228" i="17"/>
  <c r="BR266" i="17"/>
  <c r="BP302" i="17"/>
  <c r="BR339" i="17"/>
  <c r="BR340" i="17"/>
  <c r="BO154" i="17"/>
  <c r="BP155" i="17"/>
  <c r="BQ229" i="17"/>
  <c r="BQ303" i="17"/>
  <c r="BN64" i="17"/>
  <c r="BQ81" i="17"/>
  <c r="BR80" i="17"/>
  <c r="BR118" i="17"/>
  <c r="BR192" i="17"/>
  <c r="BO266" i="17"/>
  <c r="BP265" i="17"/>
  <c r="BR302" i="17"/>
  <c r="BN329" i="17"/>
  <c r="BP339" i="17"/>
  <c r="BK57" i="17"/>
  <c r="BK63" i="17"/>
  <c r="BK223" i="17"/>
  <c r="BN169" i="17"/>
  <c r="BN280" i="17"/>
  <c r="BN83" i="17"/>
  <c r="BN120" i="17"/>
  <c r="BN305" i="17"/>
  <c r="BN46" i="17"/>
  <c r="BK111" i="17"/>
  <c r="BK174" i="17"/>
  <c r="BN181" i="17"/>
  <c r="BN194" i="17"/>
  <c r="BK211" i="17"/>
  <c r="BN249" i="17"/>
  <c r="BN255" i="17"/>
  <c r="BN70" i="17"/>
  <c r="BK365" i="17"/>
  <c r="BK100" i="17"/>
  <c r="BK87" i="17"/>
  <c r="BK142" i="17"/>
  <c r="BK51" i="17"/>
  <c r="BK50" i="17"/>
  <c r="W86" i="17"/>
  <c r="BK99" i="17"/>
  <c r="BK105" i="17"/>
  <c r="BN52" i="17"/>
  <c r="BN44" i="17" s="1"/>
  <c r="BK62" i="17"/>
  <c r="BK210" i="17"/>
  <c r="W209" i="17"/>
  <c r="BK75" i="17"/>
  <c r="BK68" i="17"/>
  <c r="BK56" i="17"/>
  <c r="BK69" i="17"/>
  <c r="BK74" i="17"/>
  <c r="BK88" i="17"/>
  <c r="BK93" i="17"/>
  <c r="BK124" i="17"/>
  <c r="W123" i="17"/>
  <c r="BK130" i="17"/>
  <c r="BK167" i="17"/>
  <c r="W166" i="17"/>
  <c r="BN89" i="17"/>
  <c r="BN80" i="17" s="1"/>
  <c r="BN101" i="17"/>
  <c r="BN126" i="17"/>
  <c r="BN117" i="17" s="1"/>
  <c r="BK143" i="17"/>
  <c r="BN175" i="17"/>
  <c r="BK236" i="17"/>
  <c r="BK241" i="17"/>
  <c r="BK278" i="17"/>
  <c r="W277" i="17"/>
  <c r="BK137" i="17"/>
  <c r="BK136" i="17"/>
  <c r="BK149" i="17"/>
  <c r="BK148" i="17"/>
  <c r="BK161" i="17"/>
  <c r="BN157" i="17"/>
  <c r="BK173" i="17"/>
  <c r="BK179" i="17"/>
  <c r="BK198" i="17"/>
  <c r="BK204" i="17"/>
  <c r="BK216" i="17"/>
  <c r="BK242" i="17"/>
  <c r="BK327" i="17"/>
  <c r="BK125" i="17"/>
  <c r="BK162" i="17"/>
  <c r="BN163" i="17"/>
  <c r="BK186" i="17"/>
  <c r="BK185" i="17"/>
  <c r="BK199" i="17"/>
  <c r="BK205" i="17"/>
  <c r="BN212" i="17"/>
  <c r="BK222" i="17"/>
  <c r="BK290" i="17"/>
  <c r="BK315" i="17"/>
  <c r="BK247" i="17"/>
  <c r="BK253" i="17"/>
  <c r="BK272" i="17"/>
  <c r="BN268" i="17"/>
  <c r="BK291" i="17"/>
  <c r="BK316" i="17"/>
  <c r="BN323" i="17"/>
  <c r="BK347" i="17"/>
  <c r="BK359" i="17"/>
  <c r="BK273" i="17"/>
  <c r="BK284" i="17"/>
  <c r="BK297" i="17"/>
  <c r="BK296" i="17"/>
  <c r="BK309" i="17"/>
  <c r="BK322" i="17"/>
  <c r="BK321" i="17"/>
  <c r="BK334" i="17"/>
  <c r="BK333" i="17"/>
  <c r="BK346" i="17"/>
  <c r="BK235" i="17"/>
  <c r="BN231" i="17"/>
  <c r="BK248" i="17"/>
  <c r="BK260" i="17"/>
  <c r="BK259" i="17"/>
  <c r="W271" i="17"/>
  <c r="BK279" i="17"/>
  <c r="BK285" i="17"/>
  <c r="BK310" i="17"/>
  <c r="BN342" i="17"/>
  <c r="W345" i="17"/>
  <c r="BK352" i="17"/>
  <c r="BK353" i="17"/>
  <c r="BK358" i="17"/>
  <c r="BK364" i="17"/>
  <c r="BK370" i="17"/>
  <c r="BN348" i="17"/>
  <c r="BN339" i="17" s="1"/>
  <c r="BN360" i="17"/>
  <c r="W363" i="17"/>
  <c r="BT364" i="17" s="1"/>
  <c r="BW364" i="17" s="1"/>
  <c r="AG351" i="17"/>
  <c r="W369" i="17"/>
  <c r="BK328" i="17"/>
  <c r="BN311" i="17"/>
  <c r="BN302" i="17" s="1"/>
  <c r="W314" i="17"/>
  <c r="W326" i="17"/>
  <c r="W332" i="17"/>
  <c r="BR265" i="17"/>
  <c r="BN274" i="17"/>
  <c r="BN265" i="17" s="1"/>
  <c r="BN286" i="17"/>
  <c r="W289" i="17"/>
  <c r="W295" i="17"/>
  <c r="BN243" i="17"/>
  <c r="BK254" i="17"/>
  <c r="BN237" i="17"/>
  <c r="W240" i="17"/>
  <c r="AG246" i="17"/>
  <c r="W252" i="17"/>
  <c r="W258" i="17"/>
  <c r="BK217" i="17"/>
  <c r="BN200" i="17"/>
  <c r="BN191" i="17" s="1"/>
  <c r="W203" i="17"/>
  <c r="W215" i="17"/>
  <c r="W221" i="17"/>
  <c r="BK168" i="17"/>
  <c r="BK180" i="17"/>
  <c r="BR154" i="17"/>
  <c r="AQ172" i="17"/>
  <c r="BT181" i="17" s="1"/>
  <c r="BW181" i="17" s="1"/>
  <c r="W184" i="17"/>
  <c r="BK131" i="17"/>
  <c r="BR117" i="17"/>
  <c r="W129" i="17"/>
  <c r="BN138" i="17"/>
  <c r="W141" i="17"/>
  <c r="W147" i="17"/>
  <c r="BK106" i="17"/>
  <c r="BK94" i="17"/>
  <c r="W92" i="17"/>
  <c r="W104" i="17"/>
  <c r="W110" i="17"/>
  <c r="W49" i="17"/>
  <c r="W61" i="17"/>
  <c r="W67" i="17"/>
  <c r="W73" i="17"/>
  <c r="Q14" i="4"/>
  <c r="Q13" i="4"/>
  <c r="Q12" i="4"/>
  <c r="P12" i="4"/>
  <c r="N12" i="4"/>
  <c r="O12" i="4"/>
  <c r="K12" i="4"/>
  <c r="BN154" i="17" l="1"/>
  <c r="BX323" i="17"/>
  <c r="BY323" i="17" s="1"/>
  <c r="BN155" i="17"/>
  <c r="BN228" i="17"/>
  <c r="BX284" i="17"/>
  <c r="BY284" i="17" s="1"/>
  <c r="BX101" i="17"/>
  <c r="BY101" i="17" s="1"/>
  <c r="BT218" i="17"/>
  <c r="BW218" i="17" s="1"/>
  <c r="BT292" i="17"/>
  <c r="BW292" i="17" s="1"/>
  <c r="BX99" i="17"/>
  <c r="BY99" i="17" s="1"/>
  <c r="BX286" i="17"/>
  <c r="BY286" i="17" s="1"/>
  <c r="BX97" i="17"/>
  <c r="BY97" i="17" s="1"/>
  <c r="BT101" i="17"/>
  <c r="BW101" i="17" s="1"/>
  <c r="BN118" i="17"/>
  <c r="BT286" i="17"/>
  <c r="BW286" i="17" s="1"/>
  <c r="BX62" i="17"/>
  <c r="BY62" i="17" s="1"/>
  <c r="BX142" i="17"/>
  <c r="BY142" i="17" s="1"/>
  <c r="BT253" i="17"/>
  <c r="BW253" i="17" s="1"/>
  <c r="BX288" i="17"/>
  <c r="BY288" i="17" s="1"/>
  <c r="BN81" i="17"/>
  <c r="BT60" i="17"/>
  <c r="BW60" i="17" s="1"/>
  <c r="BT107" i="17"/>
  <c r="BW107" i="17" s="1"/>
  <c r="BT140" i="17"/>
  <c r="BW140" i="17" s="1"/>
  <c r="BX210" i="17"/>
  <c r="BY210" i="17" s="1"/>
  <c r="BT282" i="17"/>
  <c r="BW282" i="17" s="1"/>
  <c r="BX290" i="17"/>
  <c r="BY290" i="17" s="1"/>
  <c r="BT366" i="17"/>
  <c r="BW366" i="17" s="1"/>
  <c r="BX362" i="17"/>
  <c r="BY362" i="17" s="1"/>
  <c r="BT356" i="17"/>
  <c r="BW356" i="17" s="1"/>
  <c r="BX364" i="17"/>
  <c r="BY364" i="17" s="1"/>
  <c r="BX356" i="17"/>
  <c r="BY356" i="17" s="1"/>
  <c r="BX360" i="17"/>
  <c r="BY360" i="17" s="1"/>
  <c r="BN340" i="17"/>
  <c r="BT358" i="17"/>
  <c r="BW358" i="17" s="1"/>
  <c r="BT360" i="17"/>
  <c r="BW360" i="17" s="1"/>
  <c r="BX358" i="17"/>
  <c r="BY358" i="17" s="1"/>
  <c r="BX366" i="17"/>
  <c r="BY366" i="17" s="1"/>
  <c r="BT362" i="17"/>
  <c r="BW362" i="17" s="1"/>
  <c r="BX327" i="17"/>
  <c r="BY327" i="17" s="1"/>
  <c r="BX319" i="17"/>
  <c r="BY319" i="17" s="1"/>
  <c r="BT319" i="17"/>
  <c r="BW319" i="17" s="1"/>
  <c r="BX321" i="17"/>
  <c r="BY321" i="17" s="1"/>
  <c r="BT321" i="17"/>
  <c r="BW321" i="17" s="1"/>
  <c r="BT327" i="17"/>
  <c r="BW327" i="17" s="1"/>
  <c r="BT329" i="17"/>
  <c r="BW329" i="17" s="1"/>
  <c r="BT323" i="17"/>
  <c r="BW323" i="17" s="1"/>
  <c r="BT325" i="17"/>
  <c r="BW325" i="17" s="1"/>
  <c r="BX325" i="17"/>
  <c r="BY325" i="17" s="1"/>
  <c r="BX329" i="17"/>
  <c r="BY329" i="17" s="1"/>
  <c r="BN303" i="17"/>
  <c r="BT284" i="17"/>
  <c r="BW284" i="17" s="1"/>
  <c r="BT288" i="17"/>
  <c r="BW288" i="17" s="1"/>
  <c r="BX282" i="17"/>
  <c r="BY282" i="17" s="1"/>
  <c r="BN266" i="17"/>
  <c r="BX292" i="17"/>
  <c r="BY292" i="17" s="1"/>
  <c r="BT290" i="17"/>
  <c r="BW290" i="17" s="1"/>
  <c r="BX253" i="17"/>
  <c r="BY253" i="17" s="1"/>
  <c r="BX249" i="17"/>
  <c r="BY249" i="17" s="1"/>
  <c r="BX245" i="17"/>
  <c r="BY245" i="17" s="1"/>
  <c r="BT245" i="17"/>
  <c r="BW245" i="17" s="1"/>
  <c r="BT249" i="17"/>
  <c r="BW249" i="17" s="1"/>
  <c r="BX247" i="17"/>
  <c r="BY247" i="17" s="1"/>
  <c r="BT247" i="17"/>
  <c r="BW247" i="17" s="1"/>
  <c r="BT251" i="17"/>
  <c r="BW251" i="17" s="1"/>
  <c r="BT255" i="17"/>
  <c r="BW255" i="17" s="1"/>
  <c r="BX251" i="17"/>
  <c r="BY251" i="17" s="1"/>
  <c r="BX255" i="17"/>
  <c r="BY255" i="17" s="1"/>
  <c r="BN229" i="17"/>
  <c r="BX214" i="17"/>
  <c r="BY214" i="17" s="1"/>
  <c r="BX218" i="17"/>
  <c r="BY218" i="17" s="1"/>
  <c r="BT216" i="17"/>
  <c r="BW216" i="17" s="1"/>
  <c r="BN192" i="17"/>
  <c r="BX216" i="17"/>
  <c r="BY216" i="17" s="1"/>
  <c r="BX212" i="17"/>
  <c r="BY212" i="17" s="1"/>
  <c r="BX208" i="17"/>
  <c r="BY208" i="17" s="1"/>
  <c r="BT208" i="17"/>
  <c r="BW208" i="17" s="1"/>
  <c r="BT212" i="17"/>
  <c r="BW212" i="17" s="1"/>
  <c r="BT210" i="17"/>
  <c r="BW210" i="17" s="1"/>
  <c r="BT214" i="17"/>
  <c r="BW214" i="17" s="1"/>
  <c r="BX181" i="17"/>
  <c r="BY181" i="17" s="1"/>
  <c r="BX175" i="17"/>
  <c r="BY175" i="17" s="1"/>
  <c r="BX177" i="17"/>
  <c r="BY177" i="17" s="1"/>
  <c r="BT175" i="17"/>
  <c r="BW175" i="17" s="1"/>
  <c r="BX171" i="17"/>
  <c r="BY171" i="17" s="1"/>
  <c r="BT173" i="17"/>
  <c r="BW173" i="17" s="1"/>
  <c r="BX179" i="17"/>
  <c r="BY179" i="17" s="1"/>
  <c r="BT177" i="17"/>
  <c r="BW177" i="17" s="1"/>
  <c r="BX173" i="17"/>
  <c r="BY173" i="17" s="1"/>
  <c r="BT171" i="17"/>
  <c r="BW171" i="17" s="1"/>
  <c r="BT179" i="17"/>
  <c r="BW179" i="17" s="1"/>
  <c r="BT134" i="17"/>
  <c r="BW134" i="17" s="1"/>
  <c r="BX134" i="17"/>
  <c r="BY134" i="17" s="1"/>
  <c r="BT136" i="17"/>
  <c r="BW136" i="17" s="1"/>
  <c r="BT142" i="17"/>
  <c r="BW142" i="17" s="1"/>
  <c r="BX136" i="17"/>
  <c r="BY136" i="17" s="1"/>
  <c r="BX144" i="17"/>
  <c r="BY144" i="17" s="1"/>
  <c r="BX140" i="17"/>
  <c r="BY140" i="17" s="1"/>
  <c r="BT144" i="17"/>
  <c r="BW144" i="17" s="1"/>
  <c r="BX138" i="17"/>
  <c r="BY138" i="17" s="1"/>
  <c r="BT138" i="17"/>
  <c r="BW138" i="17" s="1"/>
  <c r="BT103" i="17"/>
  <c r="BW103" i="17" s="1"/>
  <c r="BX103" i="17"/>
  <c r="BY103" i="17" s="1"/>
  <c r="BT99" i="17"/>
  <c r="BW99" i="17" s="1"/>
  <c r="BT105" i="17"/>
  <c r="BW105" i="17" s="1"/>
  <c r="BT97" i="17"/>
  <c r="BW97" i="17" s="1"/>
  <c r="BX105" i="17"/>
  <c r="BY105" i="17" s="1"/>
  <c r="BX107" i="17"/>
  <c r="BY107" i="17" s="1"/>
  <c r="BT66" i="17"/>
  <c r="BW66" i="17" s="1"/>
  <c r="BX64" i="17"/>
  <c r="BY64" i="17" s="1"/>
  <c r="BT62" i="17"/>
  <c r="BW62" i="17" s="1"/>
  <c r="BT68" i="17"/>
  <c r="BW68" i="17" s="1"/>
  <c r="BT70" i="17"/>
  <c r="BW70" i="17" s="1"/>
  <c r="BX66" i="17"/>
  <c r="BY66" i="17" s="1"/>
  <c r="BX70" i="17"/>
  <c r="BY70" i="17" s="1"/>
  <c r="BX60" i="17"/>
  <c r="BY60" i="17" s="1"/>
  <c r="BX68" i="17"/>
  <c r="BY68" i="17" s="1"/>
  <c r="BT64" i="17"/>
  <c r="BW64" i="17" s="1"/>
  <c r="V110" i="3"/>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AZ11" i="6"/>
  <c r="U1039" i="11"/>
  <c r="U1040" i="11" s="1"/>
  <c r="U1041" i="11" s="1"/>
  <c r="U1042" i="11" s="1"/>
  <c r="U1043" i="11" s="1"/>
  <c r="U1044" i="11" s="1"/>
  <c r="U1045" i="11" s="1"/>
  <c r="U1046" i="11" s="1"/>
  <c r="U1047" i="11" s="1"/>
  <c r="AL12" i="6"/>
  <c r="AL13" i="6"/>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S1039" i="11"/>
  <c r="S1040" i="11" s="1"/>
  <c r="S1041" i="11" s="1"/>
  <c r="S1042" i="11" s="1"/>
  <c r="S1043" i="11" s="1"/>
  <c r="S1044" i="11" s="1"/>
  <c r="S1045" i="11" s="1"/>
  <c r="S1046" i="11" s="1"/>
  <c r="S1047" i="11" s="1"/>
  <c r="T1041" i="11"/>
  <c r="T1043" i="11" s="1"/>
  <c r="T1045" i="11" s="1"/>
  <c r="T1047" i="11" s="1"/>
  <c r="T1049" i="11" s="1"/>
  <c r="T1051" i="11" s="1"/>
  <c r="T1053" i="11" s="1"/>
  <c r="T1055" i="11" s="1"/>
  <c r="T1057" i="11" s="1"/>
  <c r="T1040" i="11"/>
  <c r="T1042" i="11" s="1"/>
  <c r="T1044" i="11" s="1"/>
  <c r="T1046" i="11" s="1"/>
  <c r="T1048" i="11" s="1"/>
  <c r="T1050" i="11" s="1"/>
  <c r="T1052" i="11" s="1"/>
  <c r="T1054" i="11" s="1"/>
  <c r="T1056" i="11" s="1"/>
  <c r="I8"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AH61" i="8"/>
  <c r="AD61" i="8"/>
  <c r="AH59" i="8"/>
  <c r="AD59" i="8"/>
  <c r="AH57" i="8"/>
  <c r="AD57" i="8"/>
  <c r="AH55" i="8"/>
  <c r="AD55" i="8"/>
  <c r="AH53" i="8"/>
  <c r="AD53" i="8"/>
  <c r="AH51" i="8"/>
  <c r="AD51" i="8"/>
  <c r="AH49" i="8"/>
  <c r="AD49" i="8"/>
  <c r="AH47" i="8"/>
  <c r="AD47" i="8"/>
  <c r="AH45" i="8"/>
  <c r="AD45" i="8"/>
  <c r="AH43" i="8"/>
  <c r="AD43" i="8"/>
  <c r="AH41" i="8"/>
  <c r="AD41" i="8"/>
  <c r="AH39" i="8"/>
  <c r="AD39" i="8"/>
  <c r="AH37" i="8"/>
  <c r="AD37" i="8"/>
  <c r="AH35" i="8"/>
  <c r="AD35" i="8"/>
  <c r="AH33" i="8"/>
  <c r="AD33" i="8"/>
  <c r="AH31" i="8"/>
  <c r="AD31" i="8"/>
  <c r="AH29" i="8"/>
  <c r="AD29" i="8"/>
  <c r="AH27" i="8"/>
  <c r="AD27" i="8"/>
  <c r="AH25" i="8"/>
  <c r="AD25" i="8"/>
  <c r="AH23" i="8"/>
  <c r="AD23" i="8"/>
  <c r="AH21" i="8"/>
  <c r="AD21" i="8"/>
  <c r="AH19" i="8"/>
  <c r="AD19" i="8"/>
  <c r="AH17" i="8"/>
  <c r="AD17"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Z16" i="8"/>
  <c r="V16" i="8"/>
  <c r="Z14" i="8"/>
  <c r="V14" i="8"/>
  <c r="Z12" i="8"/>
  <c r="V12" i="8"/>
  <c r="O1683" i="11"/>
  <c r="O1684" i="11"/>
  <c r="O1685" i="11"/>
  <c r="O1686" i="11"/>
  <c r="O1687" i="11"/>
  <c r="O1688" i="11"/>
  <c r="O1689" i="11"/>
  <c r="O1690" i="11"/>
  <c r="O1691" i="11"/>
  <c r="O1692" i="11"/>
  <c r="K1274" i="11"/>
  <c r="K1275" i="11"/>
  <c r="K1276" i="11"/>
  <c r="K1277" i="11"/>
  <c r="K1278" i="11"/>
  <c r="K1279" i="11"/>
  <c r="K1280" i="11"/>
  <c r="K1281" i="11"/>
  <c r="K1282" i="11"/>
  <c r="K1283" i="11"/>
  <c r="K1273"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J17" i="4"/>
  <c r="J16" i="4"/>
  <c r="F57" i="4"/>
  <c r="F49" i="4"/>
  <c r="F34" i="4"/>
  <c r="Q57" i="4"/>
  <c r="Q49" i="4"/>
  <c r="Q34" i="4"/>
  <c r="P57" i="4"/>
  <c r="P54" i="4"/>
  <c r="P49" i="4"/>
  <c r="P46" i="4"/>
  <c r="P34" i="4"/>
  <c r="P29" i="4"/>
  <c r="E57" i="4"/>
  <c r="E54" i="4"/>
  <c r="E49" i="4"/>
  <c r="E46" i="4"/>
  <c r="E34" i="4"/>
  <c r="V52" i="4"/>
  <c r="K52" i="4"/>
  <c r="V44" i="4"/>
  <c r="K44" i="4"/>
  <c r="V32" i="4"/>
  <c r="K32" i="4"/>
  <c r="Q710" i="11"/>
  <c r="Q709" i="11"/>
  <c r="Q708" i="11"/>
  <c r="V13" i="3" l="1"/>
  <c r="V11" i="3"/>
  <c r="V9" i="3"/>
  <c r="V7" i="3"/>
  <c r="X1335" i="11" l="1"/>
  <c r="F24" i="5" l="1"/>
  <c r="Z585" i="11"/>
  <c r="Z584" i="11"/>
  <c r="Z583" i="11"/>
  <c r="Z582" i="11"/>
  <c r="B140" i="3"/>
  <c r="B141" i="3" s="1"/>
  <c r="B142" i="3" s="1"/>
  <c r="AD41" i="3" l="1"/>
  <c r="AD42" i="3"/>
  <c r="AD43" i="3"/>
  <c r="AD44" i="3"/>
  <c r="AD45" i="3"/>
  <c r="AD40" i="3"/>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T23" i="4"/>
  <c r="T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C54" i="4" l="1"/>
  <c r="C57" i="4"/>
  <c r="W32" i="4"/>
  <c r="N34" i="4"/>
  <c r="N29" i="4"/>
  <c r="O34" i="4"/>
  <c r="O29" i="4"/>
  <c r="H58" i="4"/>
  <c r="C58" i="4"/>
  <c r="J57" i="4"/>
  <c r="G57" i="4"/>
  <c r="D57" i="4"/>
  <c r="J55" i="4"/>
  <c r="L55" i="4" s="1"/>
  <c r="G54" i="4"/>
  <c r="D54" i="4"/>
  <c r="N70" i="11" l="1"/>
  <c r="M70" i="11"/>
  <c r="L70" i="11"/>
  <c r="K70" i="11"/>
  <c r="J70" i="11"/>
  <c r="I70" i="11"/>
  <c r="H70" i="11"/>
  <c r="G70" i="11"/>
  <c r="F70" i="11"/>
  <c r="E70" i="11"/>
  <c r="D71" i="11"/>
  <c r="D70" i="11"/>
  <c r="R70" i="11"/>
  <c r="R71" i="11" s="1"/>
  <c r="Q71" i="11"/>
  <c r="AX26" i="4"/>
  <c r="R128" i="11"/>
  <c r="Q128" i="11"/>
  <c r="Y128" i="11"/>
  <c r="J631" i="11"/>
  <c r="I631" i="11"/>
  <c r="S70" i="11" l="1"/>
  <c r="T70" i="11" s="1"/>
  <c r="U70" i="11" s="1"/>
  <c r="V70" i="11" s="1"/>
  <c r="W70" i="11" s="1"/>
  <c r="X70" i="11" s="1"/>
  <c r="Y70" i="11" s="1"/>
  <c r="Z70" i="11" s="1"/>
  <c r="AA70" i="11" s="1"/>
  <c r="D72" i="11"/>
  <c r="G71" i="11"/>
  <c r="K71" i="11"/>
  <c r="E72" i="11"/>
  <c r="H71" i="11"/>
  <c r="L71" i="11"/>
  <c r="E71" i="11"/>
  <c r="I71" i="11"/>
  <c r="M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F71" i="11"/>
  <c r="J71" i="11"/>
  <c r="N71" i="11"/>
  <c r="S71" i="11"/>
  <c r="R72" i="11"/>
  <c r="R73" i="11" s="1"/>
  <c r="D73" i="11" l="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F75" i="11"/>
  <c r="F86" i="11"/>
  <c r="G72" i="11"/>
  <c r="F82" i="11"/>
  <c r="F79" i="11"/>
  <c r="F84" i="11"/>
  <c r="F85" i="11"/>
  <c r="F98" i="11"/>
  <c r="F95" i="11"/>
  <c r="F87" i="11"/>
  <c r="E75" i="11"/>
  <c r="F92" i="11"/>
  <c r="F80" i="11"/>
  <c r="F93" i="11"/>
  <c r="F74" i="11"/>
  <c r="F76" i="11"/>
  <c r="U71" i="11"/>
  <c r="T72" i="11"/>
  <c r="R75" i="11"/>
  <c r="E76" i="11" s="1"/>
  <c r="G13" i="23"/>
  <c r="F88" i="11" l="1"/>
  <c r="F96" i="11"/>
  <c r="F77" i="1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Q1969" i="11"/>
  <c r="Q1968" i="11"/>
  <c r="Q1967" i="11"/>
  <c r="Q1966" i="11"/>
  <c r="Q1965" i="11"/>
  <c r="Q1964" i="11"/>
  <c r="Q1963" i="11"/>
  <c r="Q1962" i="11"/>
  <c r="Q1961" i="11"/>
  <c r="Q1960" i="11"/>
  <c r="Q1959" i="11"/>
  <c r="Q1958" i="11"/>
  <c r="Q1957" i="11"/>
  <c r="Q1956" i="11"/>
  <c r="Q1955" i="11"/>
  <c r="Q1954" i="11"/>
  <c r="Q1953" i="11"/>
  <c r="Q1952" i="11"/>
  <c r="Q1951" i="11"/>
  <c r="Q1950" i="11"/>
  <c r="Q1949" i="11"/>
  <c r="Q1948" i="11"/>
  <c r="Q1947" i="11"/>
  <c r="Q1946" i="11"/>
  <c r="Q1945" i="11"/>
  <c r="Q1944" i="11"/>
  <c r="Q1943" i="11"/>
  <c r="Q1942" i="11"/>
  <c r="Q1941" i="11"/>
  <c r="Q1940" i="11"/>
  <c r="Q1939" i="11"/>
  <c r="Q1938" i="11"/>
  <c r="Q1937" i="11"/>
  <c r="Q1936" i="11"/>
  <c r="Q1935" i="11"/>
  <c r="Q1934" i="11"/>
  <c r="Q1933" i="11"/>
  <c r="Q1932" i="11"/>
  <c r="Q1931" i="11"/>
  <c r="Q1930" i="11"/>
  <c r="Q1929" i="11"/>
  <c r="Q1928" i="11"/>
  <c r="Q1927" i="11"/>
  <c r="Q1926" i="11"/>
  <c r="Q1925" i="11"/>
  <c r="Q1924" i="11"/>
  <c r="Q1923" i="11"/>
  <c r="Q1922" i="11"/>
  <c r="Q1921" i="11"/>
  <c r="Q1920" i="11"/>
  <c r="Q1919" i="11"/>
  <c r="R50" i="5"/>
  <c r="G74" i="11" l="1"/>
  <c r="G78" i="11"/>
  <c r="Q1970" i="11"/>
  <c r="Q1971" i="11" s="1"/>
  <c r="Q1972" i="11" s="1"/>
  <c r="Q1973" i="11" s="1"/>
  <c r="Q1974" i="11" s="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Z81" i="1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V1921" i="11"/>
  <c r="V1925" i="11"/>
  <c r="V1926" i="11"/>
  <c r="V1927" i="11"/>
  <c r="V1928" i="11"/>
  <c r="V1929" i="11"/>
  <c r="V1930" i="11"/>
  <c r="V1931" i="11"/>
  <c r="V1932" i="11"/>
  <c r="V1935" i="11"/>
  <c r="V1936" i="11"/>
  <c r="V1937" i="11"/>
  <c r="V1938" i="11"/>
  <c r="V1939" i="11"/>
  <c r="V1940" i="11"/>
  <c r="V1941" i="11"/>
  <c r="V1942" i="11"/>
  <c r="V1943" i="11"/>
  <c r="V1944" i="11"/>
  <c r="V1945" i="11"/>
  <c r="V1946" i="11"/>
  <c r="V1947" i="11"/>
  <c r="V1948" i="11"/>
  <c r="V1950" i="11"/>
  <c r="V1951" i="11"/>
  <c r="V1952" i="11"/>
  <c r="V1954" i="11"/>
  <c r="V1956" i="11"/>
  <c r="V1957" i="11"/>
  <c r="V1958" i="11"/>
  <c r="V1960" i="11"/>
  <c r="V1961" i="11"/>
  <c r="V1962" i="11"/>
  <c r="V1963" i="11"/>
  <c r="V1964" i="11"/>
  <c r="V1965" i="11"/>
  <c r="V1966" i="11"/>
  <c r="V1967" i="11"/>
  <c r="V1968" i="11"/>
  <c r="V1969" i="11"/>
  <c r="V1970" i="11"/>
  <c r="V1971" i="11"/>
  <c r="V1972" i="11"/>
  <c r="V1973" i="11"/>
  <c r="V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AB14" i="2"/>
  <c r="M84" i="11" l="1"/>
  <c r="U80" i="11"/>
  <c r="H80" i="11"/>
  <c r="W78" i="11"/>
  <c r="J79" i="11" s="1"/>
  <c r="R84" i="11"/>
  <c r="E85" i="11" s="1"/>
  <c r="Z84" i="11"/>
  <c r="M85" i="11" s="1"/>
  <c r="V84" i="11"/>
  <c r="I85" i="11" s="1"/>
  <c r="V45" i="10"/>
  <c r="AK16" i="8"/>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4" i="11"/>
  <c r="E1393" i="11"/>
  <c r="E1392" i="11"/>
  <c r="E1391" i="11"/>
  <c r="E1390" i="11"/>
  <c r="V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R1862" i="11" s="1"/>
  <c r="J1861" i="11"/>
  <c r="K1861" i="11" s="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R1826" i="11" s="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R1738" i="11" s="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U85" i="11" l="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O41" i="9"/>
  <c r="N41" i="9"/>
  <c r="L4" i="23"/>
  <c r="I10" i="23"/>
  <c r="T1814" i="11"/>
  <c r="U86" i="11" l="1"/>
  <c r="H86" i="11"/>
  <c r="W84" i="11"/>
  <c r="J85" i="11" s="1"/>
  <c r="Z90" i="11"/>
  <c r="M91" i="11" s="1"/>
  <c r="R90" i="11"/>
  <c r="E91" i="11" s="1"/>
  <c r="V90" i="11"/>
  <c r="I91" i="11" s="1"/>
  <c r="AD165" i="3"/>
  <c r="AD155" i="3"/>
  <c r="AD153" i="3"/>
  <c r="AD145" i="3"/>
  <c r="AD143" i="3"/>
  <c r="AD152" i="3"/>
  <c r="AD144" i="3"/>
  <c r="AD148" i="3"/>
  <c r="AD151" i="3"/>
  <c r="AD146" i="3"/>
  <c r="AD149" i="3"/>
  <c r="AD147"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L136" i="11" s="1"/>
  <c r="F138" i="11"/>
  <c r="O136" i="11"/>
  <c r="N136" i="11"/>
  <c r="M136" i="11"/>
  <c r="U88" i="11" l="1"/>
  <c r="H88" i="11"/>
  <c r="Z92" i="11"/>
  <c r="M92" i="11"/>
  <c r="W86" i="11"/>
  <c r="J87" i="11" s="1"/>
  <c r="R92" i="11"/>
  <c r="E93" i="11" s="1"/>
  <c r="V92" i="11"/>
  <c r="I93" i="11" s="1"/>
  <c r="N137" i="11"/>
  <c r="AN24" i="9"/>
  <c r="Z93" i="11" l="1"/>
  <c r="M93" i="11"/>
  <c r="U89" i="11"/>
  <c r="H89" i="11"/>
  <c r="AN23" i="9"/>
  <c r="W87" i="11"/>
  <c r="J88" i="11" s="1"/>
  <c r="V93" i="11"/>
  <c r="I94" i="11" s="1"/>
  <c r="R93" i="11"/>
  <c r="E94" i="11" s="1"/>
  <c r="L137" i="11"/>
  <c r="AN21" i="9" s="1"/>
  <c r="U90" i="11" l="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K131" i="11" l="1"/>
  <c r="U99" i="11"/>
  <c r="H99" i="11"/>
  <c r="W97" i="11"/>
  <c r="J97" i="11"/>
  <c r="Z131" i="11"/>
  <c r="L131" i="11"/>
  <c r="M131" i="11"/>
  <c r="S131" i="11"/>
  <c r="AP13" i="2" s="1"/>
  <c r="W131" i="11"/>
  <c r="AP17" i="2" s="1"/>
  <c r="AA131" i="11"/>
  <c r="N131" i="11"/>
  <c r="V131" i="11"/>
  <c r="AP16" i="2" s="1"/>
  <c r="X131" i="11"/>
  <c r="AP18" i="2" s="1"/>
  <c r="O131" i="11"/>
  <c r="W98" i="11" l="1"/>
  <c r="J98" i="11"/>
  <c r="AO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8" i="11"/>
  <c r="Q1567" i="11"/>
  <c r="Q1566"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K7" i="2"/>
  <c r="V15" i="2"/>
  <c r="J47" i="4"/>
  <c r="J34" i="4"/>
  <c r="J29"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X21" i="11"/>
  <c r="J59" i="6" s="1"/>
  <c r="AC54" i="11"/>
  <c r="AD53" i="11"/>
  <c r="AC53" i="11"/>
  <c r="AD52" i="11"/>
  <c r="AC52" i="11"/>
  <c r="AD51" i="11"/>
  <c r="AC51" i="11"/>
  <c r="AD50" i="11"/>
  <c r="AC50" i="11"/>
  <c r="AD49" i="11"/>
  <c r="AC49" i="11"/>
  <c r="AD48" i="11"/>
  <c r="AC48" i="11"/>
  <c r="AC47" i="11"/>
  <c r="AD47" i="11"/>
  <c r="AD54" i="11"/>
  <c r="Y22" i="2"/>
  <c r="AJ40" i="2" l="1"/>
  <c r="V22" i="3"/>
  <c r="X90" i="3"/>
  <c r="Y90" i="3"/>
  <c r="Y25" i="3"/>
  <c r="Y39" i="3"/>
  <c r="J76"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31" i="11"/>
  <c r="AP14" i="2" s="1"/>
  <c r="R131" i="11"/>
  <c r="Q131" i="11"/>
  <c r="AP11" i="2" s="1"/>
  <c r="Y131" i="11"/>
  <c r="AP21" i="2" s="1"/>
  <c r="U131" i="11" l="1"/>
  <c r="AP15" i="2" s="1"/>
  <c r="AB122" i="11"/>
  <c r="AB131" i="11" s="1"/>
  <c r="B61" i="5" l="1"/>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F19" i="8" l="1"/>
  <c r="F18" i="8"/>
  <c r="F17" i="8"/>
  <c r="U11" i="8"/>
  <c r="F15" i="8"/>
  <c r="AC10"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T256" i="11" s="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8" i="11" l="1"/>
  <c r="T236" i="11"/>
  <c r="AB24" i="2"/>
  <c r="AA24" i="2"/>
  <c r="AH16" i="4"/>
  <c r="AH15" i="4"/>
  <c r="AH14" i="4"/>
  <c r="AH13" i="4"/>
  <c r="AH12" i="4"/>
  <c r="AH11" i="4"/>
  <c r="R262" i="11" l="1"/>
  <c r="AF30" i="2" s="1"/>
  <c r="L23" i="1"/>
  <c r="C2" i="1" s="1"/>
  <c r="G107" i="11"/>
  <c r="E19" i="4"/>
  <c r="H169" i="17" l="1" a="1"/>
  <c r="H169" i="17" s="1"/>
  <c r="H212" i="17" a="1"/>
  <c r="H212" i="17" s="1"/>
  <c r="H329" i="17" a="1"/>
  <c r="H329" i="17" s="1"/>
  <c r="H218" i="17" a="1"/>
  <c r="H218" i="17" s="1"/>
  <c r="H348" i="17" a="1"/>
  <c r="H348" i="17" s="1"/>
  <c r="H113" i="17" a="1"/>
  <c r="H113" i="17" s="1"/>
  <c r="H150" i="17" a="1"/>
  <c r="H150" i="17" s="1"/>
  <c r="H274" i="17" a="1"/>
  <c r="H274" i="17" s="1"/>
  <c r="H76" i="17" a="1"/>
  <c r="H76" i="17" s="1"/>
  <c r="H181" i="17" a="1"/>
  <c r="H181" i="17" s="1"/>
  <c r="H298" i="17" a="1"/>
  <c r="H298" i="17" s="1"/>
  <c r="H366" i="17" a="1"/>
  <c r="H366" i="17" s="1"/>
  <c r="H206" i="17" a="1"/>
  <c r="H206" i="17" s="1"/>
  <c r="H311" i="17" a="1"/>
  <c r="H311" i="17" s="1"/>
  <c r="H243" i="17" a="1"/>
  <c r="H243" i="17" s="1"/>
  <c r="H286" i="17" a="1"/>
  <c r="H286" i="17" s="1"/>
  <c r="H175" i="17" a="1"/>
  <c r="H175" i="17" s="1"/>
  <c r="H249" i="17" a="1"/>
  <c r="H249" i="17" s="1"/>
  <c r="H360" i="17" a="1"/>
  <c r="H360" i="17" s="1"/>
  <c r="H255" i="17" a="1"/>
  <c r="H255" i="17" s="1"/>
  <c r="H70" i="17" a="1"/>
  <c r="H70" i="17" s="1"/>
  <c r="H126" i="17" a="1"/>
  <c r="H126" i="17" s="1"/>
  <c r="H163" i="17" a="1"/>
  <c r="H163" i="17" s="1"/>
  <c r="H354" i="17" a="1"/>
  <c r="H354" i="17" s="1"/>
  <c r="H101" i="17" a="1"/>
  <c r="H101" i="17" s="1"/>
  <c r="H187" i="17" a="1"/>
  <c r="H187" i="17" s="1"/>
  <c r="H317" i="17" a="1"/>
  <c r="H317" i="17" s="1"/>
  <c r="H58" i="17" a="1"/>
  <c r="H58" i="17" s="1"/>
  <c r="H138" i="17" a="1"/>
  <c r="H138" i="17" s="1"/>
  <c r="H144" i="17" a="1"/>
  <c r="H144" i="17" s="1"/>
  <c r="H200" i="17" a="1"/>
  <c r="H200" i="17" s="1"/>
  <c r="H261" i="17" a="1"/>
  <c r="H261" i="17" s="1"/>
  <c r="H372" i="17" a="1"/>
  <c r="H372" i="17" s="1"/>
  <c r="H280" i="17" a="1"/>
  <c r="H280" i="17" s="1"/>
  <c r="H89" i="17" a="1"/>
  <c r="H89" i="17" s="1"/>
  <c r="H132" i="17" a="1"/>
  <c r="H132" i="17" s="1"/>
  <c r="H237" i="17" a="1"/>
  <c r="H237" i="17" s="1"/>
  <c r="H52" i="17" a="1"/>
  <c r="H52" i="17" s="1"/>
  <c r="H107" i="17" a="1"/>
  <c r="H107" i="17" s="1"/>
  <c r="H224" i="17" a="1"/>
  <c r="H224" i="17" s="1"/>
  <c r="H323" i="17" a="1"/>
  <c r="H323" i="17" s="1"/>
  <c r="H292" i="17" a="1"/>
  <c r="H292" i="17" s="1"/>
  <c r="H95" i="17" a="1"/>
  <c r="H95" i="17" s="1"/>
  <c r="H64" i="17" a="1"/>
  <c r="H64" i="17" s="1"/>
  <c r="H335" i="17" a="1"/>
  <c r="H335" i="17" s="1"/>
  <c r="AF35" i="2"/>
  <c r="E20" i="4"/>
  <c r="AD62" i="3"/>
  <c r="AD74" i="3"/>
  <c r="AD73" i="3"/>
  <c r="AD72" i="3"/>
  <c r="AD71" i="3"/>
  <c r="AD70" i="3"/>
  <c r="AD69" i="3"/>
  <c r="AD68" i="3"/>
  <c r="AD67" i="3"/>
  <c r="AD66" i="3"/>
  <c r="AD65" i="3"/>
  <c r="AD64" i="3"/>
  <c r="AD63" i="3"/>
  <c r="AD61" i="3"/>
  <c r="AD60" i="3"/>
  <c r="AD59" i="3"/>
  <c r="AD57" i="3"/>
  <c r="BT85" i="17" l="1"/>
  <c r="BT196" i="17"/>
  <c r="BT159" i="17"/>
  <c r="BT48" i="17"/>
  <c r="BT122" i="17"/>
  <c r="BT307" i="17"/>
  <c r="BT270" i="17"/>
  <c r="BT233" i="17"/>
  <c r="BT344"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T56" i="3" l="1"/>
  <c r="R56" i="3"/>
  <c r="P56" i="3"/>
  <c r="L56" i="3"/>
  <c r="N56" i="3"/>
  <c r="P40" i="4"/>
  <c r="E29" i="4"/>
  <c r="O40" i="4"/>
  <c r="N41" i="4"/>
  <c r="N40" i="4"/>
  <c r="C41" i="4"/>
  <c r="C40" i="4"/>
  <c r="D40" i="4"/>
  <c r="C30" i="4"/>
  <c r="D46" i="4"/>
  <c r="D34" i="4"/>
  <c r="C29" i="4"/>
  <c r="D29" i="4"/>
  <c r="C49" i="4"/>
  <c r="C46" i="4"/>
  <c r="C34" i="4"/>
  <c r="C35" i="4"/>
  <c r="G34" i="4"/>
  <c r="O49" i="4"/>
  <c r="S50" i="4"/>
  <c r="R49" i="4"/>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V631" i="11"/>
  <c r="R34" i="4"/>
  <c r="G40" i="4"/>
  <c r="R29" i="4"/>
  <c r="D49" i="4"/>
  <c r="BA23" i="4"/>
  <c r="BB23" i="4"/>
  <c r="AZ23" i="4"/>
  <c r="AY23" i="4"/>
  <c r="BC23" i="4"/>
  <c r="AX23" i="4"/>
  <c r="BD23" i="4"/>
  <c r="C50" i="4"/>
  <c r="J49" i="4"/>
  <c r="G49" i="4"/>
  <c r="G46" i="4"/>
  <c r="H50" i="4"/>
  <c r="AD634" i="11"/>
  <c r="AC634" i="11"/>
  <c r="AB634" i="11"/>
  <c r="AE633" i="11"/>
  <c r="AE631" i="11"/>
  <c r="AD632" i="11"/>
  <c r="U618" i="11" l="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H33" i="17" l="1" a="1"/>
  <c r="H33" i="17" s="1"/>
  <c r="H27" i="17" a="1"/>
  <c r="H27" i="17" s="1"/>
  <c r="H21" i="17" a="1"/>
  <c r="H21" i="17" s="1"/>
  <c r="H15" i="17" a="1"/>
  <c r="H15" i="17" s="1"/>
  <c r="H39" i="17" a="1"/>
  <c r="H39" i="17" s="1"/>
  <c r="S44" i="2"/>
  <c r="H1989" i="11" l="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AA181" i="3" s="1"/>
  <c r="T180" i="3"/>
  <c r="AA180" i="3" s="1"/>
  <c r="T179" i="3"/>
  <c r="AA179" i="3" s="1"/>
  <c r="T178" i="3"/>
  <c r="AA178" i="3" s="1"/>
  <c r="T177" i="3"/>
  <c r="AA177" i="3" s="1"/>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3" i="11"/>
  <c r="AC632" i="11"/>
  <c r="S53" i="2" l="1"/>
  <c r="H1998" i="11"/>
  <c r="X2018" i="11"/>
  <c r="AB2018" i="11"/>
  <c r="L1987" i="11"/>
  <c r="J1987" i="11"/>
  <c r="V1987" i="11"/>
  <c r="AD633" i="11"/>
  <c r="T1987" i="11"/>
  <c r="R1987" i="11"/>
  <c r="Z1987" i="11"/>
  <c r="N1987" i="11"/>
  <c r="AB633" i="11"/>
  <c r="P1987" i="11"/>
  <c r="AD631" i="11"/>
  <c r="AB632" i="11"/>
  <c r="AC631"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G284" i="11"/>
  <c r="G283" i="11"/>
  <c r="G282" i="11"/>
  <c r="G281" i="11"/>
  <c r="G280" i="11"/>
  <c r="G279" i="11"/>
  <c r="G278" i="11"/>
  <c r="I31" i="9" s="1"/>
  <c r="G277" i="11"/>
  <c r="I30" i="9" s="1"/>
  <c r="G276" i="11"/>
  <c r="I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72" i="3" l="1"/>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O1929" i="11"/>
  <c r="E22" i="5"/>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K15" i="4"/>
  <c r="D22" i="10" s="1"/>
  <c r="P15" i="4"/>
  <c r="L22" i="10" s="1"/>
  <c r="L15" i="4"/>
  <c r="F22" i="10" s="1"/>
  <c r="O15" i="4"/>
  <c r="N22" i="10" s="1"/>
  <c r="N15" i="4"/>
  <c r="J22" i="10" s="1"/>
  <c r="M15" i="4"/>
  <c r="H22" i="10" s="1"/>
  <c r="BB21" i="4"/>
  <c r="AY21" i="4"/>
  <c r="BC21" i="4"/>
  <c r="AX21" i="4"/>
  <c r="AZ21" i="4"/>
  <c r="BA21" i="4"/>
  <c r="BD21" i="4"/>
  <c r="AD141" i="3"/>
  <c r="N28" i="9"/>
  <c r="K26" i="1"/>
  <c r="AI57" i="1" l="1"/>
  <c r="AJ60" i="1"/>
  <c r="AB23" i="2"/>
  <c r="AB27" i="2" s="1"/>
  <c r="U42" i="2" l="1"/>
  <c r="AB2007" i="11" l="1"/>
  <c r="AB1991" i="11"/>
  <c r="AC1991" i="11" s="1"/>
  <c r="AB2002" i="11"/>
  <c r="AC2002" i="11" s="1"/>
  <c r="AB2012" i="11"/>
  <c r="AC2012" i="11" s="1"/>
  <c r="AB2005" i="11"/>
  <c r="AB1989" i="11"/>
  <c r="AB1992" i="11"/>
  <c r="AC1992" i="11" s="1"/>
  <c r="X2013" i="11"/>
  <c r="Y2013" i="11" s="1"/>
  <c r="X1997" i="11"/>
  <c r="X2012" i="11"/>
  <c r="Y2012" i="11" s="1"/>
  <c r="X1996" i="11"/>
  <c r="X2007" i="11"/>
  <c r="Y2007" i="11" s="1"/>
  <c r="X1991" i="11"/>
  <c r="X2010" i="11"/>
  <c r="Y2010" i="11" s="1"/>
  <c r="AB1995" i="11"/>
  <c r="AC1995" i="11" s="1"/>
  <c r="AB2009" i="11"/>
  <c r="AC2009" i="11" s="1"/>
  <c r="X2017" i="11"/>
  <c r="X2000" i="11"/>
  <c r="Y2000" i="11" s="1"/>
  <c r="X2002" i="11"/>
  <c r="Y2002" i="11" s="1"/>
  <c r="AB2003" i="11"/>
  <c r="AC2003" i="11" s="1"/>
  <c r="AB2014" i="11"/>
  <c r="AB1998" i="11"/>
  <c r="AB2017" i="11"/>
  <c r="AC2017" i="11" s="1"/>
  <c r="AB2001" i="11"/>
  <c r="AC2001" i="11" s="1"/>
  <c r="AB2016" i="11"/>
  <c r="AB2000" i="11"/>
  <c r="AC2000" i="11" s="1"/>
  <c r="X2009" i="11"/>
  <c r="Y2009" i="11" s="1"/>
  <c r="X1993" i="11"/>
  <c r="Y1993" i="11" s="1"/>
  <c r="X2008" i="11"/>
  <c r="X1992" i="11"/>
  <c r="Y1992" i="11" s="1"/>
  <c r="X2003" i="11"/>
  <c r="Y2003" i="11" s="1"/>
  <c r="X2014" i="11"/>
  <c r="Y2014" i="11" s="1"/>
  <c r="X1994" i="11"/>
  <c r="AB2006" i="11"/>
  <c r="AB1993" i="11"/>
  <c r="AC1993" i="11" s="1"/>
  <c r="X2001" i="11"/>
  <c r="Y2001" i="11" s="1"/>
  <c r="X2011" i="11"/>
  <c r="X1990" i="11"/>
  <c r="AB2015" i="11"/>
  <c r="AC2015" i="11" s="1"/>
  <c r="AB1999" i="11"/>
  <c r="AC1999" i="11" s="1"/>
  <c r="AB2010" i="11"/>
  <c r="AC2010" i="11" s="1"/>
  <c r="AB1994" i="11"/>
  <c r="AB2013" i="11"/>
  <c r="AC2013" i="11" s="1"/>
  <c r="AB1997" i="11"/>
  <c r="AC1997" i="11" s="1"/>
  <c r="AB2008" i="11"/>
  <c r="AB1996" i="11"/>
  <c r="AC1996" i="11" s="1"/>
  <c r="X2005" i="11"/>
  <c r="Y2005" i="11" s="1"/>
  <c r="X1989" i="11"/>
  <c r="Y1989" i="11" s="1"/>
  <c r="X2004" i="11"/>
  <c r="Y2004" i="11" s="1"/>
  <c r="X2015" i="11"/>
  <c r="Y2015" i="11" s="1"/>
  <c r="X1999" i="11"/>
  <c r="Y1999" i="11" s="1"/>
  <c r="X1998" i="11"/>
  <c r="Y1998" i="11" s="1"/>
  <c r="X2006" i="11"/>
  <c r="Y2006" i="11" s="1"/>
  <c r="AB2011" i="11"/>
  <c r="AB1990" i="11"/>
  <c r="AC1990" i="11" s="1"/>
  <c r="AB2004" i="11"/>
  <c r="AC2004" i="11" s="1"/>
  <c r="X2016" i="11"/>
  <c r="Y2016" i="11" s="1"/>
  <c r="X1995" i="11"/>
  <c r="Y1995" i="11" s="1"/>
  <c r="P2017" i="11"/>
  <c r="Q2017" i="11" s="1"/>
  <c r="P2001" i="11"/>
  <c r="Q2001" i="11" s="1"/>
  <c r="P2016" i="11"/>
  <c r="Q2016" i="11" s="1"/>
  <c r="P2000" i="11"/>
  <c r="Q2000" i="11" s="1"/>
  <c r="P2011" i="11"/>
  <c r="Q2011" i="11" s="1"/>
  <c r="P1995" i="11"/>
  <c r="Q1995" i="11" s="1"/>
  <c r="P2006" i="11"/>
  <c r="Q2006" i="11" s="1"/>
  <c r="P1990" i="11"/>
  <c r="Q1990" i="11" s="1"/>
  <c r="T2003" i="11"/>
  <c r="U2003" i="11" s="1"/>
  <c r="T2014" i="11"/>
  <c r="U2014" i="11" s="1"/>
  <c r="T1998" i="11"/>
  <c r="U1998" i="11" s="1"/>
  <c r="T2013" i="11"/>
  <c r="U2013" i="11" s="1"/>
  <c r="T1997" i="11"/>
  <c r="U1997" i="11" s="1"/>
  <c r="T1992" i="11"/>
  <c r="U1992" i="11" s="1"/>
  <c r="T2012" i="11"/>
  <c r="U2012" i="11" s="1"/>
  <c r="J2008" i="11"/>
  <c r="K2008" i="11" s="1"/>
  <c r="J1992" i="11"/>
  <c r="K1992" i="11" s="1"/>
  <c r="J2003" i="11"/>
  <c r="K2003" i="11" s="1"/>
  <c r="J2014" i="11"/>
  <c r="K2014" i="11" s="1"/>
  <c r="J1998" i="11"/>
  <c r="K1998" i="11" s="1"/>
  <c r="J2017" i="11"/>
  <c r="K2017" i="11" s="1"/>
  <c r="J2013" i="11"/>
  <c r="K2013" i="11" s="1"/>
  <c r="L2011" i="11"/>
  <c r="L1995" i="11"/>
  <c r="M1995" i="11" s="1"/>
  <c r="L2006" i="11"/>
  <c r="M2006" i="11" s="1"/>
  <c r="L1990" i="11"/>
  <c r="M1990" i="11" s="1"/>
  <c r="L2005" i="11"/>
  <c r="L1989" i="11"/>
  <c r="M1989" i="11" s="1"/>
  <c r="L2008" i="11"/>
  <c r="M2008" i="11" s="1"/>
  <c r="N2014" i="11"/>
  <c r="O2014" i="11" s="1"/>
  <c r="N1998" i="11"/>
  <c r="O1998" i="11" s="1"/>
  <c r="N2013" i="11"/>
  <c r="O2013" i="11" s="1"/>
  <c r="N1997" i="11"/>
  <c r="O1997" i="11" s="1"/>
  <c r="N2012" i="11"/>
  <c r="O2012" i="11" s="1"/>
  <c r="N1996" i="11"/>
  <c r="O1996" i="11" s="1"/>
  <c r="N1991" i="11"/>
  <c r="O1991" i="11" s="1"/>
  <c r="N2007" i="11"/>
  <c r="O2007" i="11" s="1"/>
  <c r="R2004" i="11"/>
  <c r="S2004" i="11" s="1"/>
  <c r="R2015" i="11"/>
  <c r="S2015" i="11" s="1"/>
  <c r="R1999" i="11"/>
  <c r="S1999" i="11" s="1"/>
  <c r="R2010" i="11"/>
  <c r="S2010" i="11" s="1"/>
  <c r="R1994" i="11"/>
  <c r="S1994" i="11" s="1"/>
  <c r="R1997" i="11"/>
  <c r="S1997" i="11" s="1"/>
  <c r="R2013" i="11"/>
  <c r="S2013" i="11" s="1"/>
  <c r="Z2008" i="11"/>
  <c r="AA2008" i="11" s="1"/>
  <c r="Z1992" i="11"/>
  <c r="AA1992" i="11" s="1"/>
  <c r="Z2003" i="11"/>
  <c r="AA2003" i="11" s="1"/>
  <c r="Z2014" i="11"/>
  <c r="AA2014" i="11" s="1"/>
  <c r="Z1998" i="11"/>
  <c r="AA1998" i="11" s="1"/>
  <c r="Z2001" i="11"/>
  <c r="AA2001" i="11" s="1"/>
  <c r="Z1993" i="11"/>
  <c r="AA1993" i="11" s="1"/>
  <c r="V2010" i="11"/>
  <c r="W2010" i="11" s="1"/>
  <c r="V1994" i="11"/>
  <c r="W1994" i="11" s="1"/>
  <c r="V2009" i="11"/>
  <c r="W2009" i="11" s="1"/>
  <c r="V1993" i="11"/>
  <c r="W1993" i="11" s="1"/>
  <c r="V2008" i="11"/>
  <c r="W2008" i="11" s="1"/>
  <c r="V1992" i="11"/>
  <c r="W1992" i="11" s="1"/>
  <c r="V1999" i="11"/>
  <c r="W1999" i="11" s="1"/>
  <c r="P1994" i="11"/>
  <c r="Q1994" i="11" s="1"/>
  <c r="T2008" i="11"/>
  <c r="U2008" i="11" s="1"/>
  <c r="J2007" i="11"/>
  <c r="K2007" i="11" s="1"/>
  <c r="J1993" i="11"/>
  <c r="K1993" i="11" s="1"/>
  <c r="L2010" i="11"/>
  <c r="M2010" i="11" s="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U2009" i="11" s="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M1991" i="11" s="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AC2014" i="11"/>
  <c r="AC2008" i="11"/>
  <c r="AC1989" i="11"/>
  <c r="Y2008" i="11"/>
  <c r="AC1994" i="11"/>
  <c r="Y2011" i="11"/>
  <c r="AC2005" i="11"/>
  <c r="AC2016" i="11"/>
  <c r="AC2011" i="11"/>
  <c r="M2005" i="11"/>
  <c r="M2011" i="11"/>
  <c r="Y1991" i="11"/>
  <c r="AC2007" i="11"/>
  <c r="Y1997" i="11"/>
  <c r="Y1994" i="11"/>
  <c r="Y1990" i="11"/>
  <c r="Y2017" i="11"/>
  <c r="AC1998" i="11"/>
  <c r="AC2006" i="11"/>
  <c r="I1988" i="11"/>
  <c r="J2018" i="11" l="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I30" i="22"/>
  <c r="U30" i="22"/>
  <c r="AB19" i="22"/>
  <c r="H13" i="22"/>
  <c r="E11" i="22"/>
  <c r="G12" i="22"/>
  <c r="Q9" i="22"/>
  <c r="F13" i="22"/>
  <c r="G11" i="22"/>
  <c r="F11" i="22"/>
  <c r="C14" i="22"/>
  <c r="E10" i="22"/>
  <c r="H11" i="22"/>
  <c r="G10" i="22"/>
  <c r="F10" i="22"/>
  <c r="E13" i="22"/>
  <c r="M8" i="22"/>
  <c r="H10" i="22"/>
  <c r="M9" i="22"/>
  <c r="I9" i="22"/>
  <c r="E12" i="22"/>
  <c r="H12" i="22"/>
  <c r="G13" i="22"/>
  <c r="C36"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F182" i="18" s="1"/>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F157" i="18" s="1"/>
  <c r="D227" i="18"/>
  <c r="F227" i="18" s="1"/>
  <c r="D211" i="18"/>
  <c r="F211" i="18" s="1"/>
  <c r="D199" i="18"/>
  <c r="F199" i="18" s="1"/>
  <c r="D187" i="18"/>
  <c r="F187" i="18" s="1"/>
  <c r="D175" i="18"/>
  <c r="F175" i="18" s="1"/>
  <c r="D163" i="18"/>
  <c r="F163" i="18" s="1"/>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F159" i="18" s="1"/>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F180" i="18" s="1"/>
  <c r="D176" i="18"/>
  <c r="F176" i="18" s="1"/>
  <c r="D172" i="18"/>
  <c r="F172" i="18" s="1"/>
  <c r="D168" i="18"/>
  <c r="F168" i="18" s="1"/>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65" i="18"/>
  <c r="F167" i="18" s="1"/>
  <c r="F169" i="18" s="1"/>
  <c r="C149" i="18"/>
  <c r="D293" i="18"/>
  <c r="K1069" i="11"/>
  <c r="K1070" i="11"/>
  <c r="K1071" i="11"/>
  <c r="K1077" i="11"/>
  <c r="K1078" i="11"/>
  <c r="K1080" i="11"/>
  <c r="F170" i="18" l="1"/>
  <c r="H196" i="18" s="1"/>
  <c r="L4" i="21"/>
  <c r="L4" i="20"/>
  <c r="AL4" i="4"/>
  <c r="AE4" i="5"/>
  <c r="L4" i="5"/>
  <c r="AE4" i="8"/>
  <c r="L4" i="8"/>
  <c r="AC4" i="7"/>
  <c r="AF4" i="6"/>
  <c r="L4" i="6"/>
  <c r="M4" i="4"/>
  <c r="K6" i="3"/>
  <c r="L4" i="2"/>
  <c r="H345" i="11"/>
  <c r="H346" i="11"/>
  <c r="H347" i="11"/>
  <c r="H197" i="18" l="1"/>
  <c r="H217" i="18"/>
  <c r="H235" i="18"/>
  <c r="H226" i="18"/>
  <c r="H277" i="18"/>
  <c r="H290" i="18"/>
  <c r="H284" i="18"/>
  <c r="H240" i="18"/>
  <c r="H234" i="18"/>
  <c r="H211" i="18"/>
  <c r="H193" i="18"/>
  <c r="H195" i="18"/>
  <c r="H160" i="18"/>
  <c r="H279" i="18"/>
  <c r="H239" i="18"/>
  <c r="H175" i="18"/>
  <c r="H273" i="18"/>
  <c r="H208" i="18"/>
  <c r="H267" i="18"/>
  <c r="H286" i="18"/>
  <c r="H285" i="18"/>
  <c r="H182" i="18"/>
  <c r="H213" i="18"/>
  <c r="H224" i="18"/>
  <c r="H161" i="18"/>
  <c r="H242" i="18"/>
  <c r="H216" i="18"/>
  <c r="H171" i="18"/>
  <c r="H163" i="18"/>
  <c r="H230" i="18"/>
  <c r="H162" i="18"/>
  <c r="H276" i="18"/>
  <c r="H291" i="18"/>
  <c r="H255" i="18"/>
  <c r="H178" i="18"/>
  <c r="H218" i="18"/>
  <c r="H268" i="18"/>
  <c r="H221" i="18"/>
  <c r="H288" i="18"/>
  <c r="H241" i="18"/>
  <c r="H154" i="18"/>
  <c r="H177" i="18"/>
  <c r="H191" i="18"/>
  <c r="H187" i="18"/>
  <c r="H212" i="18"/>
  <c r="H173" i="18"/>
  <c r="H189" i="18"/>
  <c r="H263" i="18"/>
  <c r="H200" i="18"/>
  <c r="H251" i="18"/>
  <c r="H289" i="18"/>
  <c r="H256" i="18"/>
  <c r="H247" i="18"/>
  <c r="H186" i="18"/>
  <c r="H269" i="18"/>
  <c r="H287" i="18"/>
  <c r="H184" i="18"/>
  <c r="H244" i="18"/>
  <c r="H245" i="18"/>
  <c r="H190" i="18"/>
  <c r="H215" i="18"/>
  <c r="H233" i="18"/>
  <c r="H283" i="18"/>
  <c r="H194" i="18"/>
  <c r="H172" i="18"/>
  <c r="H214" i="18"/>
  <c r="H168" i="18"/>
  <c r="H155" i="18"/>
  <c r="H260" i="18"/>
  <c r="H210" i="18"/>
  <c r="H219" i="18"/>
  <c r="H265" i="18"/>
  <c r="H227" i="18"/>
  <c r="H198" i="18"/>
  <c r="H207" i="18"/>
  <c r="H228" i="18"/>
  <c r="H166" i="18"/>
  <c r="H275" i="18"/>
  <c r="H258" i="18"/>
  <c r="H272" i="18"/>
  <c r="H202" i="18"/>
  <c r="H158" i="18"/>
  <c r="H259" i="18"/>
  <c r="H167" i="18"/>
  <c r="H201" i="18"/>
  <c r="H183" i="18"/>
  <c r="H174" i="18"/>
  <c r="H159" i="18"/>
  <c r="H271" i="18"/>
  <c r="H153" i="18"/>
  <c r="H254" i="18"/>
  <c r="H232" i="18"/>
  <c r="H203" i="18"/>
  <c r="H236" i="18"/>
  <c r="H266" i="18"/>
  <c r="H225" i="18"/>
  <c r="H209" i="18"/>
  <c r="H243" i="18"/>
  <c r="H188" i="18"/>
  <c r="H185" i="18"/>
  <c r="H192" i="18"/>
  <c r="H253" i="18"/>
  <c r="H165" i="18"/>
  <c r="H229" i="18"/>
  <c r="H252" i="18"/>
  <c r="H199" i="18"/>
  <c r="H270" i="18"/>
  <c r="H169" i="18"/>
  <c r="H280" i="18"/>
  <c r="H164" i="18"/>
  <c r="H231" i="18"/>
  <c r="H223" i="18"/>
  <c r="H220" i="18"/>
  <c r="H205" i="18"/>
  <c r="H249" i="18"/>
  <c r="H238" i="18"/>
  <c r="H157" i="18"/>
  <c r="H204" i="18"/>
  <c r="H250" i="18"/>
  <c r="H222" i="18"/>
  <c r="H180" i="18"/>
  <c r="H181" i="18"/>
  <c r="H281" i="18"/>
  <c r="H206" i="18"/>
  <c r="H274" i="18"/>
  <c r="H156" i="18"/>
  <c r="H264" i="18"/>
  <c r="H176" i="18"/>
  <c r="H278" i="18"/>
  <c r="H170" i="18"/>
  <c r="H237" i="18"/>
  <c r="H282" i="18"/>
  <c r="H262" i="18"/>
  <c r="H257" i="18"/>
  <c r="H248" i="18"/>
  <c r="H261" i="18"/>
  <c r="H246" i="18"/>
  <c r="H179" i="18"/>
  <c r="AL11" i="4"/>
  <c r="D1983" i="11" s="1"/>
  <c r="AL12" i="4"/>
  <c r="D1984" i="11" s="1"/>
  <c r="G149" i="18" l="1"/>
  <c r="G47" i="10"/>
  <c r="AO44" i="6" l="1"/>
  <c r="BA45" i="6" s="1"/>
  <c r="BB45" i="6" l="1"/>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O57" i="6" l="1"/>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42"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4" i="2"/>
  <c r="G54" i="2"/>
  <c r="Q58" i="6"/>
  <c r="P58" i="6"/>
  <c r="Q57" i="6"/>
  <c r="P57" i="6"/>
  <c r="S1339" i="11" l="1" a="1"/>
  <c r="S1339" i="11" s="1"/>
  <c r="S1452" i="11" a="1"/>
  <c r="S1452" i="11" s="1"/>
  <c r="BD22" i="4" s="1"/>
  <c r="AK631" i="11"/>
  <c r="AJ631" i="11"/>
  <c r="S1398" i="11" a="1"/>
  <c r="S1398" i="11" s="1"/>
  <c r="S1364" i="11" a="1"/>
  <c r="S1364" i="11" s="1"/>
  <c r="S1374" i="11" a="1"/>
  <c r="S1374" i="11" s="1"/>
  <c r="S1211" i="11"/>
  <c r="D29"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384" i="11"/>
  <c r="S1676" i="11"/>
  <c r="AC19" i="14"/>
  <c r="O1974" i="11" l="1"/>
  <c r="O1973" i="11"/>
  <c r="O1972" i="11"/>
  <c r="O1971" i="11"/>
  <c r="C39" i="8" l="1"/>
  <c r="AF23" i="18" l="1"/>
  <c r="AG23" i="18" s="1"/>
  <c r="AF64" i="18"/>
  <c r="AG64" i="18" s="1"/>
  <c r="AF122" i="18"/>
  <c r="AG122" i="18" s="1"/>
  <c r="AF101" i="18"/>
  <c r="AG101" i="18" s="1"/>
  <c r="AF78" i="18"/>
  <c r="AG78" i="18" s="1"/>
  <c r="AF137" i="18"/>
  <c r="AG137" i="18" s="1"/>
  <c r="AF7" i="18"/>
  <c r="AG7" i="18" s="1"/>
  <c r="AF130" i="18"/>
  <c r="AG130" i="18" s="1"/>
  <c r="AF112" i="18"/>
  <c r="AG112" i="18" s="1"/>
  <c r="AF38" i="18"/>
  <c r="AG38" i="18" s="1"/>
  <c r="AF106" i="18"/>
  <c r="AG106" i="18" s="1"/>
  <c r="AF141" i="18"/>
  <c r="AG141" i="18" s="1"/>
  <c r="AF90" i="18"/>
  <c r="AG90" i="18" s="1"/>
  <c r="AF50" i="18"/>
  <c r="AG50" i="18" s="1"/>
  <c r="AF11" i="18"/>
  <c r="AG11" i="18" s="1"/>
  <c r="AF31" i="18"/>
  <c r="AG31" i="18" s="1"/>
  <c r="AF47" i="18"/>
  <c r="AF63" i="18"/>
  <c r="AG63" i="18" s="1"/>
  <c r="AF79" i="18"/>
  <c r="AG79" i="18" s="1"/>
  <c r="AF95" i="18"/>
  <c r="AG95" i="18" s="1"/>
  <c r="AF111" i="18"/>
  <c r="AF12" i="18"/>
  <c r="AG12" i="18" s="1"/>
  <c r="AF28" i="18"/>
  <c r="AG28" i="18" s="1"/>
  <c r="AF96" i="18"/>
  <c r="AG96" i="18" s="1"/>
  <c r="AF70" i="18"/>
  <c r="AF49" i="18"/>
  <c r="AG49" i="18" s="1"/>
  <c r="AF117" i="18"/>
  <c r="AF34" i="18"/>
  <c r="AG34" i="18" s="1"/>
  <c r="AF15" i="18"/>
  <c r="AF35" i="18"/>
  <c r="AG35" i="18" s="1"/>
  <c r="AF51" i="18"/>
  <c r="AG51" i="18" s="1"/>
  <c r="AF67" i="18"/>
  <c r="AH67" i="18" s="1"/>
  <c r="AF83" i="18"/>
  <c r="AG83" i="18" s="1"/>
  <c r="AF99" i="18"/>
  <c r="AG99" i="18" s="1"/>
  <c r="AF123" i="18"/>
  <c r="AG123" i="18" s="1"/>
  <c r="AF16" i="18"/>
  <c r="AG16" i="18" s="1"/>
  <c r="AF32" i="18"/>
  <c r="AF48" i="18"/>
  <c r="AG48" i="18" s="1"/>
  <c r="AF68" i="18"/>
  <c r="AF84" i="18"/>
  <c r="AG84" i="18" s="1"/>
  <c r="AF100" i="18"/>
  <c r="AG100" i="18" s="1"/>
  <c r="AF120" i="18"/>
  <c r="AG120" i="18" s="1"/>
  <c r="AF136" i="18"/>
  <c r="AG136" i="18" s="1"/>
  <c r="AF86" i="18"/>
  <c r="AG86" i="18" s="1"/>
  <c r="AF134" i="18"/>
  <c r="AG134" i="18" s="1"/>
  <c r="AF135" i="18"/>
  <c r="AG135" i="18" s="1"/>
  <c r="AF21" i="18"/>
  <c r="AG21" i="18" s="1"/>
  <c r="AF37" i="18"/>
  <c r="AG37" i="18" s="1"/>
  <c r="AF53" i="18"/>
  <c r="AG53" i="18" s="1"/>
  <c r="AF69" i="18"/>
  <c r="AH69" i="18" s="1"/>
  <c r="AF85" i="18"/>
  <c r="AG85" i="18" s="1"/>
  <c r="AF105" i="18"/>
  <c r="AG105" i="18" s="1"/>
  <c r="AF121" i="18"/>
  <c r="AG121" i="18" s="1"/>
  <c r="AF145" i="18"/>
  <c r="AF22" i="18"/>
  <c r="AG22" i="18" s="1"/>
  <c r="AF42" i="18"/>
  <c r="AG42" i="18" s="1"/>
  <c r="AF62" i="18"/>
  <c r="AG62" i="18" s="1"/>
  <c r="AF94" i="18"/>
  <c r="AG94" i="18" s="1"/>
  <c r="AF138" i="18"/>
  <c r="AG138" i="18" s="1"/>
  <c r="AF114" i="18"/>
  <c r="AG114" i="18" s="1"/>
  <c r="AF60" i="18"/>
  <c r="AF132" i="18"/>
  <c r="AG132" i="18" s="1"/>
  <c r="AF127" i="18"/>
  <c r="AG127" i="18" s="1"/>
  <c r="AF33" i="18"/>
  <c r="AG33" i="18" s="1"/>
  <c r="AF81" i="18"/>
  <c r="AG81" i="18" s="1"/>
  <c r="AF133" i="18"/>
  <c r="AG133" i="18" s="1"/>
  <c r="AF82" i="18"/>
  <c r="AG82" i="18" s="1"/>
  <c r="AF19" i="18"/>
  <c r="AG19" i="18" s="1"/>
  <c r="AF39" i="18"/>
  <c r="AG39" i="18" s="1"/>
  <c r="AF55" i="18"/>
  <c r="AG55" i="18" s="1"/>
  <c r="AF71" i="18"/>
  <c r="AH71" i="18" s="1"/>
  <c r="AF87" i="18"/>
  <c r="AG87" i="18" s="1"/>
  <c r="AF103" i="18"/>
  <c r="AG103" i="18" s="1"/>
  <c r="AF139" i="18"/>
  <c r="AG139" i="18" s="1"/>
  <c r="AF20" i="18"/>
  <c r="AG20" i="18" s="1"/>
  <c r="AF36" i="18"/>
  <c r="AG36" i="18" s="1"/>
  <c r="AF52" i="18"/>
  <c r="AG52" i="18" s="1"/>
  <c r="AF72" i="18"/>
  <c r="AF88" i="18"/>
  <c r="AG88" i="18" s="1"/>
  <c r="AF104" i="18"/>
  <c r="AG104" i="18" s="1"/>
  <c r="AF124" i="18"/>
  <c r="AG124" i="18" s="1"/>
  <c r="AF140" i="18"/>
  <c r="AG140" i="18" s="1"/>
  <c r="AF98" i="18"/>
  <c r="AG98" i="18" s="1"/>
  <c r="AF142" i="18"/>
  <c r="AF9" i="18"/>
  <c r="AG9" i="18" s="1"/>
  <c r="AF25" i="18"/>
  <c r="AG25" i="18" s="1"/>
  <c r="AF41" i="18"/>
  <c r="AG41" i="18" s="1"/>
  <c r="AF57" i="18"/>
  <c r="AG57" i="18" s="1"/>
  <c r="AF73" i="18"/>
  <c r="AF89" i="18"/>
  <c r="AG89" i="18" s="1"/>
  <c r="AF109" i="18"/>
  <c r="AG109" i="18" s="1"/>
  <c r="AF125" i="18"/>
  <c r="AG125" i="18" s="1"/>
  <c r="AF10" i="18"/>
  <c r="AG10" i="18" s="1"/>
  <c r="AF26" i="18"/>
  <c r="AG26" i="18" s="1"/>
  <c r="AF46" i="18"/>
  <c r="AG46" i="18" s="1"/>
  <c r="AF66" i="18"/>
  <c r="AF102" i="18"/>
  <c r="AG102" i="18" s="1"/>
  <c r="AF115" i="18"/>
  <c r="AG115" i="18" s="1"/>
  <c r="AF44" i="18"/>
  <c r="AG44" i="18" s="1"/>
  <c r="AF116" i="18"/>
  <c r="AG116" i="18" s="1"/>
  <c r="AF17" i="18"/>
  <c r="AG17" i="18" s="1"/>
  <c r="AF97" i="18"/>
  <c r="AG97" i="18" s="1"/>
  <c r="AF58" i="18"/>
  <c r="AG58" i="18" s="1"/>
  <c r="AF143" i="18"/>
  <c r="AF27" i="18"/>
  <c r="AF43" i="18"/>
  <c r="AG43" i="18" s="1"/>
  <c r="AF59" i="18"/>
  <c r="AG59" i="18" s="1"/>
  <c r="AF75" i="18"/>
  <c r="AG75" i="18" s="1"/>
  <c r="AF91" i="18"/>
  <c r="AG91" i="18" s="1"/>
  <c r="AF107" i="18"/>
  <c r="AG107" i="18" s="1"/>
  <c r="AF8" i="18"/>
  <c r="AH8" i="18" s="1"/>
  <c r="AF24" i="18"/>
  <c r="AF40" i="18"/>
  <c r="AG40" i="18" s="1"/>
  <c r="AF56" i="18"/>
  <c r="AG56" i="18" s="1"/>
  <c r="AF76" i="18"/>
  <c r="AF92" i="18"/>
  <c r="AG92" i="18" s="1"/>
  <c r="AF108" i="18"/>
  <c r="AG108" i="18" s="1"/>
  <c r="AF128" i="18"/>
  <c r="AG128" i="18" s="1"/>
  <c r="AF144" i="18"/>
  <c r="AG144" i="18" s="1"/>
  <c r="AF110" i="18"/>
  <c r="AG110" i="18" s="1"/>
  <c r="AF119" i="18"/>
  <c r="AG119" i="18" s="1"/>
  <c r="AF13" i="18"/>
  <c r="AG13" i="18" s="1"/>
  <c r="AF29" i="18"/>
  <c r="AG29" i="18" s="1"/>
  <c r="AF45" i="18"/>
  <c r="AG45" i="18" s="1"/>
  <c r="AF61" i="18"/>
  <c r="AG61" i="18" s="1"/>
  <c r="AF77" i="18"/>
  <c r="AG77" i="18" s="1"/>
  <c r="AF93" i="18"/>
  <c r="AG93" i="18" s="1"/>
  <c r="AF113" i="18"/>
  <c r="AG113" i="18" s="1"/>
  <c r="AF129" i="18"/>
  <c r="AG129" i="18" s="1"/>
  <c r="AF14" i="18"/>
  <c r="AG14" i="18" s="1"/>
  <c r="AF30" i="18"/>
  <c r="AG30" i="18" s="1"/>
  <c r="AF54" i="18"/>
  <c r="AG54" i="18" s="1"/>
  <c r="AF74" i="18"/>
  <c r="AH74" i="18" s="1"/>
  <c r="AR19" i="2" s="1"/>
  <c r="AF131" i="18"/>
  <c r="AG131" i="18" s="1"/>
  <c r="AF80" i="18"/>
  <c r="AG80" i="18" s="1"/>
  <c r="AF118" i="18"/>
  <c r="AG118" i="18" s="1"/>
  <c r="AF65" i="18"/>
  <c r="AF18" i="18"/>
  <c r="AG18" i="18" s="1"/>
  <c r="AF126" i="18"/>
  <c r="AG126" i="18" s="1"/>
  <c r="AG24" i="18"/>
  <c r="AG111" i="18"/>
  <c r="AG60" i="18"/>
  <c r="AG47" i="18"/>
  <c r="AG32" i="18"/>
  <c r="AG15" i="18"/>
  <c r="AG117" i="18"/>
  <c r="AH73" i="18" l="1"/>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N1920" i="11"/>
  <c r="N1921" i="11"/>
  <c r="N1922" i="11"/>
  <c r="N1923" i="11"/>
  <c r="N1924" i="11"/>
  <c r="N1925" i="11"/>
  <c r="N1926" i="11"/>
  <c r="N1927" i="11"/>
  <c r="N1928"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AD131" i="3" l="1"/>
  <c r="AD126" i="3"/>
  <c r="AD132" i="3"/>
  <c r="AD127" i="3"/>
  <c r="AD130" i="3"/>
  <c r="AD128" i="3"/>
  <c r="AD129" i="3"/>
  <c r="L1974" i="11"/>
  <c r="L1973" i="11"/>
  <c r="L1972" i="11"/>
  <c r="L1971" i="11"/>
  <c r="L1970" i="11"/>
  <c r="C26" i="9" l="1"/>
  <c r="AL13" i="4"/>
  <c r="D1985" i="11" s="1"/>
  <c r="AL14" i="4"/>
  <c r="D1986" i="11" s="1"/>
  <c r="AL15" i="4"/>
  <c r="D1987" i="11" s="1"/>
  <c r="AL16" i="4"/>
  <c r="D1988" i="11" s="1"/>
  <c r="AE118" i="3" l="1"/>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157" i="17"/>
  <c r="BT120" i="17"/>
  <c r="BU83" i="17"/>
  <c r="BU342" i="17"/>
  <c r="BU231" i="17"/>
  <c r="BU194" i="17"/>
  <c r="BT83" i="17"/>
  <c r="BT342" i="17"/>
  <c r="BU268" i="17"/>
  <c r="BT231" i="17"/>
  <c r="BT194" i="17"/>
  <c r="BU46" i="17"/>
  <c r="BU305" i="17"/>
  <c r="BT268" i="17"/>
  <c r="BU157" i="17"/>
  <c r="BU120" i="17"/>
  <c r="BT46" i="17"/>
  <c r="BS268" i="17"/>
  <c r="BS305" i="17"/>
  <c r="BS157" i="17"/>
  <c r="BS120" i="17"/>
  <c r="BS83" i="17"/>
  <c r="BS46" i="17"/>
  <c r="BS342" i="17"/>
  <c r="BS231" i="17"/>
  <c r="BS194"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AJ15" i="15"/>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C1976" i="11"/>
  <c r="C1975" i="11"/>
  <c r="C1973" i="11"/>
  <c r="C1972" i="11"/>
  <c r="C1965" i="11"/>
  <c r="C1960" i="11"/>
  <c r="C1954" i="11"/>
  <c r="C1950" i="11"/>
  <c r="C1949" i="11"/>
  <c r="C1946" i="11"/>
  <c r="C1945" i="11"/>
  <c r="C1937" i="11"/>
  <c r="C1927" i="11"/>
  <c r="C1924" i="11"/>
  <c r="C1923" i="11"/>
  <c r="C1922" i="11"/>
  <c r="C1919" i="11"/>
  <c r="C1916" i="11"/>
  <c r="C1915"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18" i="11" l="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F35" i="5"/>
  <c r="C1910" i="11"/>
  <c r="R17" i="5"/>
  <c r="C1914" i="11"/>
  <c r="R21" i="5"/>
  <c r="C1917" i="11"/>
  <c r="R24" i="5"/>
  <c r="C1920" i="11"/>
  <c r="R27" i="5"/>
  <c r="C1925" i="11"/>
  <c r="R32" i="5"/>
  <c r="C1959" i="11"/>
  <c r="B45" i="5"/>
  <c r="C1962" i="11"/>
  <c r="B48" i="5"/>
  <c r="C1904" i="11"/>
  <c r="X856" i="11"/>
  <c r="I944" i="11"/>
  <c r="C1932" i="11"/>
  <c r="R39" i="5"/>
  <c r="C1955" i="11"/>
  <c r="R62" i="5"/>
  <c r="C1930" i="11"/>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BT11" i="17"/>
  <c r="C1931"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C1929" i="11" l="1"/>
  <c r="E40" i="4"/>
  <c r="W44" i="4"/>
  <c r="W52" i="4"/>
  <c r="X864" i="11"/>
  <c r="X894" i="11"/>
  <c r="CC11" i="17"/>
  <c r="R12" i="4"/>
  <c r="R13" i="4"/>
  <c r="H145" i="13"/>
  <c r="B145" i="13" s="1"/>
  <c r="AF12" i="16"/>
  <c r="AF56" i="16"/>
  <c r="L23" i="16"/>
  <c r="L56" i="16"/>
  <c r="AF23" i="16"/>
  <c r="AF34" i="16"/>
  <c r="L45" i="16"/>
  <c r="AF45" i="16"/>
  <c r="L34" i="16"/>
  <c r="L12" i="16"/>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S18" i="14" l="1"/>
  <c r="H156" i="13"/>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26" i="9"/>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L788" i="11" s="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N38" i="4"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S1123" i="11" s="1"/>
  <c r="X24" i="7"/>
  <c r="S1149" i="11" s="1"/>
  <c r="AA24" i="7"/>
  <c r="AD24" i="7"/>
  <c r="Q1122" i="11" s="1"/>
  <c r="AG24" i="7"/>
  <c r="S1150" i="11" s="1"/>
  <c r="I29" i="7"/>
  <c r="R29" i="7"/>
  <c r="S1148" i="11" s="1"/>
  <c r="AA29" i="7"/>
  <c r="F30" i="7"/>
  <c r="L30" i="7"/>
  <c r="X30" i="7"/>
  <c r="S1143" i="11" s="1"/>
  <c r="AD30" i="7"/>
  <c r="S1140" i="11" s="1"/>
  <c r="C32" i="7"/>
  <c r="AG32" i="7"/>
  <c r="I34" i="7"/>
  <c r="AA34" i="7"/>
  <c r="S1144" i="11" s="1"/>
  <c r="F37" i="7"/>
  <c r="T37" i="7"/>
  <c r="G12" i="6" s="1"/>
  <c r="X37" i="7"/>
  <c r="C39" i="7"/>
  <c r="AG39" i="7"/>
  <c r="S1151" i="11" s="1"/>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S1135" i="11" s="1"/>
  <c r="AG54" i="7"/>
  <c r="I59" i="7"/>
  <c r="R59" i="7"/>
  <c r="AA59" i="7"/>
  <c r="F63" i="7"/>
  <c r="L63" i="7"/>
  <c r="X63" i="7"/>
  <c r="AD63" i="7"/>
  <c r="I64" i="7"/>
  <c r="S1119" i="11" s="1"/>
  <c r="AA64" i="7"/>
  <c r="AY13" i="6"/>
  <c r="B15" i="6"/>
  <c r="B16" i="6"/>
  <c r="B17" i="6"/>
  <c r="B18" i="6"/>
  <c r="B19" i="6"/>
  <c r="B20" i="6"/>
  <c r="B21" i="6"/>
  <c r="B22" i="6"/>
  <c r="B23" i="6"/>
  <c r="B24" i="6"/>
  <c r="B25"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L29" i="4"/>
  <c r="D2001" i="11"/>
  <c r="L34" i="4"/>
  <c r="D2002" i="11"/>
  <c r="D2005" i="11"/>
  <c r="D2007" i="11"/>
  <c r="D2008" i="11"/>
  <c r="D2010" i="11"/>
  <c r="D2012" i="11"/>
  <c r="D2013" i="11"/>
  <c r="D2014" i="11"/>
  <c r="D2015" i="11"/>
  <c r="D2017" i="11"/>
  <c r="D2018" i="11"/>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10" i="3"/>
  <c r="D12" i="2"/>
  <c r="AP12" i="2" s="1"/>
  <c r="V16" i="2"/>
  <c r="O36" i="2"/>
  <c r="V1933" i="11" s="1"/>
  <c r="O37" i="2"/>
  <c r="V1934" i="11" s="1"/>
  <c r="F57" i="2"/>
  <c r="J57" i="2" s="1"/>
  <c r="O795" i="11" s="1"/>
  <c r="M73" i="2"/>
  <c r="M74" i="2"/>
  <c r="M75" i="2"/>
  <c r="M76" i="2"/>
  <c r="M77" i="2"/>
  <c r="AJ32" i="1"/>
  <c r="Q1149" i="11"/>
  <c r="Q1146" i="11"/>
  <c r="Q1139" i="11"/>
  <c r="Q1134" i="11"/>
  <c r="Q113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6" i="11"/>
  <c r="Q1136" i="11"/>
  <c r="AE66" i="9"/>
  <c r="S1147" i="11"/>
  <c r="S318" i="11"/>
  <c r="Y315" i="11"/>
  <c r="Y318" i="11"/>
  <c r="Q318" i="11"/>
  <c r="Q316" i="11"/>
  <c r="U315" i="11"/>
  <c r="W318" i="11"/>
  <c r="O324" i="11"/>
  <c r="U318" i="11"/>
  <c r="S316" i="11"/>
  <c r="Q317" i="11"/>
  <c r="S322" i="11"/>
  <c r="Y323" i="11"/>
  <c r="W324" i="11"/>
  <c r="U322" i="11"/>
  <c r="Q324" i="11"/>
  <c r="U316" i="11"/>
  <c r="Q1130" i="11" l="1"/>
  <c r="Q1144" i="11"/>
  <c r="S1121" i="11"/>
  <c r="S1122" i="11"/>
  <c r="Q1140" i="11"/>
  <c r="Q1135" i="11"/>
  <c r="R40" i="4"/>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O25" i="2"/>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7"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V1922" i="11"/>
  <c r="C1992" i="11"/>
  <c r="C1989" i="11"/>
  <c r="C1990" i="1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C1988" i="11"/>
  <c r="AK14" i="2"/>
  <c r="AK13" i="2"/>
  <c r="AK15" i="2"/>
  <c r="AK12" i="2"/>
  <c r="Z316" i="11"/>
  <c r="V173" i="3" s="1"/>
  <c r="C2022" i="11"/>
  <c r="C1987" i="11"/>
  <c r="C1984" i="11"/>
  <c r="C1985" i="11"/>
  <c r="C2019" i="11"/>
  <c r="P1113" i="11"/>
  <c r="P1114" i="11" s="1"/>
  <c r="P1115" i="11" s="1"/>
  <c r="P1116" i="11" s="1"/>
  <c r="P1117" i="11" s="1"/>
  <c r="P1118" i="11" s="1"/>
  <c r="P1119" i="11" s="1"/>
  <c r="P1120" i="11" s="1"/>
  <c r="P1121" i="11" s="1"/>
  <c r="P1122" i="11" s="1"/>
  <c r="P1123" i="11" s="1"/>
  <c r="P1124" i="11" s="1"/>
  <c r="C1999" i="11"/>
  <c r="AB181" i="3"/>
  <c r="W39" i="3"/>
  <c r="AA39" i="3" s="1"/>
  <c r="AX19" i="4"/>
  <c r="BD19" i="4"/>
  <c r="V787" i="11"/>
  <c r="P14" i="10"/>
  <c r="V791" i="11"/>
  <c r="K1971" i="11"/>
  <c r="M1971" i="11" s="1"/>
  <c r="R1971" i="11" s="1"/>
  <c r="K1972" i="11"/>
  <c r="M1972" i="11" s="1"/>
  <c r="R1972" i="11" s="1"/>
  <c r="K1973" i="11"/>
  <c r="M1973" i="11" s="1"/>
  <c r="R1973" i="11" s="1"/>
  <c r="H396" i="11"/>
  <c r="H561" i="11" s="1"/>
  <c r="G561" i="11"/>
  <c r="H394" i="11"/>
  <c r="H559" i="11" s="1"/>
  <c r="G559" i="11"/>
  <c r="H397" i="11"/>
  <c r="H562" i="11" s="1"/>
  <c r="G562" i="11"/>
  <c r="H395" i="11"/>
  <c r="H560" i="11" s="1"/>
  <c r="G560" i="11"/>
  <c r="F234" i="11"/>
  <c r="F54" i="2" s="1"/>
  <c r="C1983" i="11"/>
  <c r="C2012" i="11"/>
  <c r="C2017" i="11"/>
  <c r="C2006" i="11"/>
  <c r="C2016" i="11"/>
  <c r="C2013" i="11"/>
  <c r="C2014" i="11"/>
  <c r="C2015" i="11"/>
  <c r="C2007" i="11"/>
  <c r="C2010" i="11"/>
  <c r="C2008" i="11"/>
  <c r="C2000" i="11"/>
  <c r="C2003" i="11"/>
  <c r="C2005" i="11"/>
  <c r="C2002" i="11"/>
  <c r="C2004" i="11"/>
  <c r="C2001" i="11"/>
  <c r="C2018" i="11"/>
  <c r="C2021" i="11"/>
  <c r="V783" i="11"/>
  <c r="T135" i="3"/>
  <c r="T141" i="3"/>
  <c r="T128" i="3"/>
  <c r="T134" i="3"/>
  <c r="T159" i="3"/>
  <c r="T145" i="3"/>
  <c r="T165" i="3"/>
  <c r="T173" i="3"/>
  <c r="T167" i="3"/>
  <c r="T161" i="3"/>
  <c r="T127" i="3"/>
  <c r="T157" i="3"/>
  <c r="T139" i="3"/>
  <c r="T151" i="3"/>
  <c r="T166" i="3"/>
  <c r="T174" i="3"/>
  <c r="T168" i="3"/>
  <c r="T132" i="3"/>
  <c r="T136" i="3"/>
  <c r="T152" i="3"/>
  <c r="T129" i="3"/>
  <c r="T130" i="3"/>
  <c r="T156" i="3"/>
  <c r="T137" i="3"/>
  <c r="T133" i="3"/>
  <c r="T138" i="3"/>
  <c r="T158" i="3"/>
  <c r="T148" i="3"/>
  <c r="T140" i="3"/>
  <c r="T169" i="3"/>
  <c r="AA169" i="3" s="1"/>
  <c r="T176" i="3"/>
  <c r="AA176" i="3" s="1"/>
  <c r="T170" i="3"/>
  <c r="AA170" i="3" s="1"/>
  <c r="T175" i="3"/>
  <c r="T149" i="3"/>
  <c r="AA149" i="3" s="1"/>
  <c r="T143" i="3"/>
  <c r="T154" i="3"/>
  <c r="AA154" i="3" s="1"/>
  <c r="T160" i="3"/>
  <c r="T142" i="3"/>
  <c r="T153" i="3"/>
  <c r="AA153" i="3" s="1"/>
  <c r="T146" i="3"/>
  <c r="T162" i="3"/>
  <c r="T131" i="3"/>
  <c r="T155" i="3"/>
  <c r="T164" i="3"/>
  <c r="T144" i="3"/>
  <c r="AA144" i="3" s="1"/>
  <c r="T171" i="3"/>
  <c r="AA171" i="3" s="1"/>
  <c r="T147" i="3"/>
  <c r="AA147" i="3" s="1"/>
  <c r="T126" i="3"/>
  <c r="T163" i="3"/>
  <c r="T150" i="3"/>
  <c r="T172" i="3"/>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Q189" i="3" l="1"/>
  <c r="V101" i="3"/>
  <c r="O189" i="3"/>
  <c r="U83" i="3"/>
  <c r="S189" i="3" s="1"/>
  <c r="U117" i="3"/>
  <c r="S1974" i="11"/>
  <c r="S1973" i="11"/>
  <c r="S1972" i="11"/>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AA16" i="3" s="1"/>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30"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M1974" i="11" s="1"/>
  <c r="R1974" i="11" s="1"/>
  <c r="C29" i="5"/>
  <c r="C31" i="5" s="1"/>
  <c r="C12" i="8"/>
  <c r="F20" i="8" s="1"/>
  <c r="I16" i="8" s="1"/>
  <c r="D234" i="11"/>
  <c r="AG72" i="18"/>
  <c r="AH72" i="18" s="1"/>
  <c r="AR16" i="2" s="1"/>
  <c r="AG74" i="18"/>
  <c r="AG73" i="18"/>
  <c r="E2025" i="11"/>
  <c r="E2012" i="11"/>
  <c r="E2011" i="11"/>
  <c r="E1990" i="11"/>
  <c r="E2015" i="11"/>
  <c r="E1989" i="11"/>
  <c r="E2010" i="11"/>
  <c r="E2000" i="11"/>
  <c r="E1985" i="11"/>
  <c r="E2002" i="11"/>
  <c r="E2014" i="11"/>
  <c r="E2009" i="11"/>
  <c r="E1996" i="11"/>
  <c r="E1995" i="11"/>
  <c r="E2013" i="11"/>
  <c r="E2022" i="11"/>
  <c r="E2024" i="11"/>
  <c r="E2023" i="11"/>
  <c r="E1999" i="11"/>
  <c r="E2020" i="11"/>
  <c r="E2019" i="11"/>
  <c r="E1994" i="11"/>
  <c r="E1993" i="11"/>
  <c r="E2018" i="11"/>
  <c r="E1998" i="11"/>
  <c r="E2016" i="11"/>
  <c r="E2021" i="11"/>
  <c r="E2008" i="11"/>
  <c r="E1991" i="11"/>
  <c r="E2017" i="11"/>
  <c r="E2004" i="11"/>
  <c r="E2003" i="11"/>
  <c r="E2006" i="11"/>
  <c r="E1986" i="11"/>
  <c r="E2007" i="11"/>
  <c r="E1984" i="11"/>
  <c r="E2005" i="11"/>
  <c r="E1992" i="11"/>
  <c r="E1997" i="11"/>
  <c r="E2001" i="11"/>
  <c r="E1988" i="11"/>
  <c r="E1987" i="11"/>
  <c r="E1983" i="11"/>
  <c r="J18" i="14"/>
  <c r="N21" i="14"/>
  <c r="N12" i="14" s="1"/>
  <c r="O1970"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D65" i="2" l="1"/>
  <c r="J1274" i="11" a="1"/>
  <c r="J1274" i="11" s="1"/>
  <c r="I1038" i="11" s="1"/>
  <c r="J1277" i="11" a="1"/>
  <c r="J1277" i="11" s="1"/>
  <c r="I1041" i="11" s="1"/>
  <c r="J1283" i="11" a="1"/>
  <c r="J1283" i="11" s="1"/>
  <c r="I1047" i="11" s="1"/>
  <c r="J1280" i="11" a="1"/>
  <c r="J1280" i="11" s="1"/>
  <c r="I1044" i="11" s="1"/>
  <c r="J1273" i="11" a="1"/>
  <c r="J1273" i="11" s="1"/>
  <c r="I1037" i="11" s="1"/>
  <c r="J1275" i="11" a="1"/>
  <c r="J1275" i="11" s="1"/>
  <c r="I1039" i="11"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V117" i="3"/>
  <c r="J1208" i="11" a="1"/>
  <c r="J1208" i="11" s="1"/>
  <c r="AQ14" i="2" s="1"/>
  <c r="J1212" i="11" a="1"/>
  <c r="J1212" i="11" s="1"/>
  <c r="J1209" i="11" a="1"/>
  <c r="J1209" i="11"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AG142" i="18"/>
  <c r="AG143" i="18"/>
  <c r="AG8" i="18"/>
  <c r="AG68" i="18"/>
  <c r="AG65" i="18"/>
  <c r="AG66" i="18"/>
  <c r="F236" i="11"/>
  <c r="E236" i="11"/>
  <c r="U5" i="14"/>
  <c r="H59" i="6" s="1"/>
  <c r="F1983"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L754" i="11" l="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K1042" i="11"/>
  <c r="H20" i="6" s="1"/>
  <c r="G1909" i="11" s="1"/>
  <c r="K1041" i="11"/>
  <c r="H19" i="6" s="1"/>
  <c r="G1908" i="11" s="1"/>
  <c r="K1039" i="11"/>
  <c r="H17" i="6" s="1"/>
  <c r="K1045" i="11"/>
  <c r="H23" i="6" s="1"/>
  <c r="I23" i="6" s="1"/>
  <c r="K1043" i="11"/>
  <c r="H21" i="6" s="1"/>
  <c r="I21" i="6" s="1"/>
  <c r="K1044" i="11"/>
  <c r="H22" i="6" s="1"/>
  <c r="G1911" i="11" s="1"/>
  <c r="K1046" i="11"/>
  <c r="H24" i="6" s="1"/>
  <c r="I24" i="6" s="1"/>
  <c r="K1047" i="11"/>
  <c r="H25" i="6" s="1"/>
  <c r="I25" i="6" s="1"/>
  <c r="K1038" i="11"/>
  <c r="H16" i="6" s="1"/>
  <c r="G1905" i="11" s="1"/>
  <c r="K1040" i="11"/>
  <c r="H18" i="6" s="1"/>
  <c r="AY12" i="6"/>
  <c r="K1037" i="11"/>
  <c r="H15" i="6" s="1"/>
  <c r="I15" i="6" s="1"/>
  <c r="AA189" i="3"/>
  <c r="T189" i="3" s="1"/>
  <c r="AQ21" i="2"/>
  <c r="AS21" i="2" s="1"/>
  <c r="L6" i="2" s="1"/>
  <c r="AN38" i="2"/>
  <c r="AN33" i="2" s="1"/>
  <c r="I975" i="11"/>
  <c r="G16" i="2"/>
  <c r="R13" i="10" s="1"/>
  <c r="AQ17" i="2"/>
  <c r="AS17" i="2" s="1"/>
  <c r="G17" i="2" s="1"/>
  <c r="AQ18" i="2"/>
  <c r="AS18" i="2" s="1"/>
  <c r="G18" i="2" s="1"/>
  <c r="AQ15" i="2"/>
  <c r="AS15" i="2" s="1"/>
  <c r="G15" i="2" s="1"/>
  <c r="I20" i="6"/>
  <c r="AA27" i="2"/>
  <c r="E234" i="11"/>
  <c r="J54" i="2" s="1"/>
  <c r="AH49" i="4"/>
  <c r="J40" i="4" l="1"/>
  <c r="L40" i="4" s="1"/>
  <c r="G1912" i="11"/>
  <c r="I19" i="6"/>
  <c r="G1913" i="11"/>
  <c r="G1910" i="11"/>
  <c r="I22" i="6"/>
  <c r="G1914" i="11"/>
  <c r="L1041" i="11"/>
  <c r="L1043" i="11" s="1"/>
  <c r="L1045" i="11" s="1"/>
  <c r="G1904" i="11"/>
  <c r="AK765" i="11"/>
  <c r="AJ765" i="11"/>
  <c r="AJ766" i="11"/>
  <c r="AK766" i="11"/>
  <c r="AK764" i="11"/>
  <c r="AJ764" i="11"/>
  <c r="F631" i="11"/>
  <c r="M631" i="11"/>
  <c r="K9" i="3"/>
  <c r="D24" i="2"/>
  <c r="E631" i="11"/>
  <c r="M6" i="2"/>
  <c r="L9" i="3" s="1"/>
  <c r="N631" i="11"/>
  <c r="AA12" i="1"/>
  <c r="Y12" i="1"/>
  <c r="H16" i="2"/>
  <c r="U142" i="3" s="1"/>
  <c r="AH63" i="1"/>
  <c r="W94" i="3"/>
  <c r="AA94" i="3" s="1"/>
  <c r="C12" i="6" s="1"/>
  <c r="C29" i="6" s="1"/>
  <c r="N13" i="10"/>
  <c r="AG63" i="1"/>
  <c r="E67" i="2"/>
  <c r="H15" i="2"/>
  <c r="U150" i="3" s="1"/>
  <c r="P13" i="10"/>
  <c r="H18" i="2"/>
  <c r="U134" i="3" s="1"/>
  <c r="W38" i="3"/>
  <c r="W32" i="3"/>
  <c r="AA32" i="3" s="1"/>
  <c r="R23" i="10" s="1"/>
  <c r="W90" i="3"/>
  <c r="AA90" i="3" s="1"/>
  <c r="K18" i="6" s="1"/>
  <c r="L13" i="10"/>
  <c r="H17" i="2"/>
  <c r="W31" i="3"/>
  <c r="AA31" i="3" s="1"/>
  <c r="W37" i="3"/>
  <c r="N779" i="11"/>
  <c r="W91" i="3"/>
  <c r="V92" i="3" s="1"/>
  <c r="I16" i="6"/>
  <c r="I17" i="6"/>
  <c r="G1906" i="11"/>
  <c r="G1907" i="11"/>
  <c r="I18" i="6"/>
  <c r="D11" i="10"/>
  <c r="P5" i="2"/>
  <c r="P5" i="23" s="1"/>
  <c r="AG67" i="18"/>
  <c r="C234" i="11"/>
  <c r="J34" i="2" s="1"/>
  <c r="E57" i="10" l="1"/>
  <c r="P37" i="7"/>
  <c r="U155" i="3"/>
  <c r="E857" i="11"/>
  <c r="U857" i="11" s="1"/>
  <c r="U154" i="3"/>
  <c r="D32" i="10"/>
  <c r="U140" i="3"/>
  <c r="U141" i="3"/>
  <c r="P23" i="10"/>
  <c r="U160" i="3"/>
  <c r="U144" i="3"/>
  <c r="U169" i="3"/>
  <c r="V91" i="3"/>
  <c r="U151" i="3"/>
  <c r="U171" i="3"/>
  <c r="W97" i="3"/>
  <c r="U133" i="3"/>
  <c r="W95" i="3"/>
  <c r="F893" i="11"/>
  <c r="U143" i="3"/>
  <c r="U138" i="3"/>
  <c r="U149" i="3"/>
  <c r="U176" i="3"/>
  <c r="U152" i="3"/>
  <c r="U146" i="3"/>
  <c r="G61" i="2"/>
  <c r="J61" i="2" s="1"/>
  <c r="N25" i="14" s="1"/>
  <c r="E856" i="11"/>
  <c r="W98" i="3"/>
  <c r="U165" i="3"/>
  <c r="U135" i="3"/>
  <c r="U147" i="3"/>
  <c r="U148" i="3"/>
  <c r="U145" i="3"/>
  <c r="U139" i="3"/>
  <c r="E855" i="11"/>
  <c r="F857" i="11"/>
  <c r="U170" i="3"/>
  <c r="U136" i="3"/>
  <c r="U137" i="3"/>
  <c r="U164" i="3"/>
  <c r="U153" i="3"/>
  <c r="G62" i="2"/>
  <c r="J62" i="2" s="1"/>
  <c r="N26" i="14" s="1"/>
  <c r="W96" i="3"/>
  <c r="U157" i="3"/>
  <c r="AK10" i="6"/>
  <c r="F34" i="10"/>
  <c r="D27" i="6"/>
  <c r="AH27" i="18"/>
  <c r="AG76" i="18"/>
  <c r="AH76" i="18" s="1"/>
  <c r="AR11" i="2" s="1"/>
  <c r="AG70" i="18"/>
  <c r="AH70" i="18" s="1"/>
  <c r="AG145" i="18"/>
  <c r="AG69" i="18"/>
  <c r="C1906" i="11"/>
  <c r="P5" i="20"/>
  <c r="AJ5" i="6"/>
  <c r="Q5" i="4"/>
  <c r="P5" i="6"/>
  <c r="F7" i="16"/>
  <c r="P5" i="21"/>
  <c r="P5" i="8"/>
  <c r="P5" i="5"/>
  <c r="AI5" i="1"/>
  <c r="AP5" i="4"/>
  <c r="AI5" i="8"/>
  <c r="K8" i="3"/>
  <c r="AI5" i="2"/>
  <c r="AG5" i="7"/>
  <c r="AI5" i="5"/>
  <c r="F896" i="11" l="1"/>
  <c r="L23" i="4" s="1"/>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F14" i="10"/>
  <c r="H14" i="10"/>
  <c r="AX25" i="4"/>
  <c r="AX12" i="4" s="1"/>
  <c r="AY25" i="4"/>
  <c r="BC25" i="4"/>
  <c r="AZ25" i="4"/>
  <c r="BA25" i="4"/>
  <c r="BB25" i="4"/>
  <c r="AT11" i="2"/>
  <c r="AR20" i="2"/>
  <c r="AR14" i="2"/>
  <c r="AS14" i="2" s="1"/>
  <c r="G14" i="2" s="1"/>
  <c r="F22" i="4" s="1"/>
  <c r="AR13" i="2"/>
  <c r="AS13" i="2" s="1"/>
  <c r="AR12" i="2"/>
  <c r="AS12" i="2" s="1"/>
  <c r="G12" i="2" s="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Q40" i="4" l="1"/>
  <c r="F29" i="4"/>
  <c r="Q29" i="4"/>
  <c r="F40" i="4"/>
  <c r="AP19" i="2"/>
  <c r="AQ19" i="2" s="1"/>
  <c r="AS19" i="2" s="1"/>
  <c r="J11" i="2" s="1"/>
  <c r="E20" i="2" s="1"/>
  <c r="I57" i="4"/>
  <c r="G13" i="2"/>
  <c r="I972" i="11" s="1"/>
  <c r="I49" i="4"/>
  <c r="W185" i="3"/>
  <c r="BC12" i="4"/>
  <c r="BC14" i="4"/>
  <c r="BC13" i="4"/>
  <c r="BB14" i="4"/>
  <c r="BB13" i="4"/>
  <c r="BB12" i="4"/>
  <c r="AY12" i="4"/>
  <c r="AY13" i="4"/>
  <c r="AY14" i="4"/>
  <c r="BA13" i="4"/>
  <c r="BA12" i="4"/>
  <c r="BA14" i="4"/>
  <c r="AZ12" i="4"/>
  <c r="AZ14" i="4"/>
  <c r="AZ13" i="4"/>
  <c r="AX13" i="4"/>
  <c r="AX14" i="4"/>
  <c r="AS11" i="2"/>
  <c r="N16" i="2"/>
  <c r="AG156" i="3"/>
  <c r="AJ156" i="3" s="1"/>
  <c r="AG149" i="3"/>
  <c r="O1942" i="11" s="1"/>
  <c r="AG130" i="3"/>
  <c r="O1923" i="11" s="1"/>
  <c r="AG127" i="3"/>
  <c r="O1920" i="11" s="1"/>
  <c r="AG136" i="3"/>
  <c r="AG134" i="3"/>
  <c r="O1927" i="11" s="1"/>
  <c r="AG131" i="3"/>
  <c r="AI131" i="3" s="1"/>
  <c r="AG174" i="3"/>
  <c r="O1967" i="11" s="1"/>
  <c r="AG139" i="3"/>
  <c r="AI139" i="3" s="1"/>
  <c r="AG132" i="3"/>
  <c r="AI132" i="3" s="1"/>
  <c r="AG147" i="3"/>
  <c r="O1940" i="11" s="1"/>
  <c r="AG129" i="3"/>
  <c r="AJ129" i="3" s="1"/>
  <c r="AG166" i="3"/>
  <c r="AI166" i="3" s="1"/>
  <c r="AG137" i="3"/>
  <c r="AI137" i="3" s="1"/>
  <c r="AG141" i="3"/>
  <c r="AI141" i="3" s="1"/>
  <c r="AG133" i="3"/>
  <c r="AI133" i="3" s="1"/>
  <c r="O1943" i="11"/>
  <c r="AJ150" i="3"/>
  <c r="AI150" i="3"/>
  <c r="O1951" i="11"/>
  <c r="AJ158" i="3"/>
  <c r="AI158" i="3"/>
  <c r="O1938" i="11"/>
  <c r="AJ145" i="3"/>
  <c r="AI145" i="3"/>
  <c r="O1919" i="11"/>
  <c r="AJ126" i="3"/>
  <c r="AI126" i="3"/>
  <c r="O1935" i="11"/>
  <c r="AI142" i="3"/>
  <c r="AJ142" i="3"/>
  <c r="AJ138" i="3"/>
  <c r="AI138" i="3"/>
  <c r="O1928" i="11"/>
  <c r="AI135" i="3"/>
  <c r="AJ135" i="3"/>
  <c r="O1921" i="11"/>
  <c r="AJ128" i="3"/>
  <c r="AI128" i="3"/>
  <c r="O1952" i="11"/>
  <c r="AI159" i="3"/>
  <c r="AJ159" i="3"/>
  <c r="O1969" i="11"/>
  <c r="AI176" i="3"/>
  <c r="AJ176" i="3"/>
  <c r="O1948" i="11"/>
  <c r="AJ155" i="3"/>
  <c r="AI155" i="3"/>
  <c r="O1945" i="11"/>
  <c r="AJ152" i="3"/>
  <c r="AI152" i="3"/>
  <c r="O1937" i="11"/>
  <c r="AI144" i="3"/>
  <c r="AJ144" i="3"/>
  <c r="O1968" i="11"/>
  <c r="AI175" i="3"/>
  <c r="AJ175" i="3"/>
  <c r="O1965" i="11"/>
  <c r="AJ172" i="3"/>
  <c r="AI172" i="3"/>
  <c r="O1958" i="11"/>
  <c r="O1939" i="11"/>
  <c r="AI146" i="3"/>
  <c r="AJ146" i="3"/>
  <c r="O1936" i="11"/>
  <c r="AI143" i="3"/>
  <c r="AJ143" i="3"/>
  <c r="O1946" i="11"/>
  <c r="AI153" i="3"/>
  <c r="AJ153" i="3"/>
  <c r="O1944" i="11"/>
  <c r="AI151" i="3"/>
  <c r="AJ151" i="3"/>
  <c r="O1941" i="11"/>
  <c r="AI148" i="3"/>
  <c r="AJ148" i="3"/>
  <c r="O1933" i="11"/>
  <c r="AI140" i="3"/>
  <c r="AJ140" i="3"/>
  <c r="O1964" i="11"/>
  <c r="O1961" i="11"/>
  <c r="AI168" i="3"/>
  <c r="AJ168" i="3"/>
  <c r="O1954" i="11"/>
  <c r="AJ161" i="3"/>
  <c r="AI161" i="3"/>
  <c r="O1955" i="11"/>
  <c r="AJ162" i="3"/>
  <c r="AI162" i="3"/>
  <c r="O1963" i="11"/>
  <c r="AI170" i="3"/>
  <c r="AJ170" i="3"/>
  <c r="O1947" i="11"/>
  <c r="AI154" i="3"/>
  <c r="AJ154" i="3"/>
  <c r="O1956" i="11"/>
  <c r="AJ163" i="3"/>
  <c r="AI163" i="3"/>
  <c r="O1953" i="11"/>
  <c r="AJ160" i="3"/>
  <c r="AI160" i="3"/>
  <c r="O1962" i="11"/>
  <c r="AJ169" i="3"/>
  <c r="AI169" i="3"/>
  <c r="O1960" i="11"/>
  <c r="AJ167" i="3"/>
  <c r="AI167" i="3"/>
  <c r="O1957" i="11"/>
  <c r="AJ164" i="3"/>
  <c r="AI164" i="3"/>
  <c r="O1950" i="11"/>
  <c r="AJ157" i="3"/>
  <c r="AI157" i="3"/>
  <c r="E22" i="4" l="1"/>
  <c r="W29" i="3"/>
  <c r="AA29" i="3" s="1"/>
  <c r="J23" i="10" s="1"/>
  <c r="H13" i="2"/>
  <c r="U175" i="3" s="1"/>
  <c r="W35" i="3"/>
  <c r="F13" i="10"/>
  <c r="G11" i="2"/>
  <c r="W33" i="3" s="1"/>
  <c r="K12" i="2"/>
  <c r="AX10" i="4"/>
  <c r="K16" i="4" s="1"/>
  <c r="BB10" i="4"/>
  <c r="O16" i="4" s="1"/>
  <c r="BA10" i="4"/>
  <c r="N16" i="4" s="1"/>
  <c r="BC10" i="4"/>
  <c r="P16" i="4" s="1"/>
  <c r="AZ10" i="4"/>
  <c r="M16" i="4" s="1"/>
  <c r="AY10" i="4"/>
  <c r="L16" i="4" s="1"/>
  <c r="W36" i="3"/>
  <c r="AF32" i="1"/>
  <c r="H14" i="2"/>
  <c r="W30" i="3"/>
  <c r="AA30" i="3" s="1"/>
  <c r="D13" i="10"/>
  <c r="W28" i="3"/>
  <c r="AA28" i="3" s="1"/>
  <c r="M58" i="10"/>
  <c r="J13" i="10"/>
  <c r="W34" i="3"/>
  <c r="H12" i="2"/>
  <c r="O1932" i="11"/>
  <c r="O1925" i="11"/>
  <c r="AI149" i="3"/>
  <c r="P1942" i="11" s="1"/>
  <c r="AJ132" i="3"/>
  <c r="AI134" i="3"/>
  <c r="P1927" i="11" s="1"/>
  <c r="AJ149" i="3"/>
  <c r="AJ134" i="3"/>
  <c r="AJ137" i="3"/>
  <c r="O1930" i="11"/>
  <c r="AJ136" i="3"/>
  <c r="O1949" i="11"/>
  <c r="O1934" i="11"/>
  <c r="AI147" i="3"/>
  <c r="P1940" i="11" s="1"/>
  <c r="AI130" i="3"/>
  <c r="P1923" i="11" s="1"/>
  <c r="AI156" i="3"/>
  <c r="P1949" i="11" s="1"/>
  <c r="AJ131" i="3"/>
  <c r="AI136" i="3"/>
  <c r="P1929" i="11" s="1"/>
  <c r="AJ139" i="3"/>
  <c r="AJ141" i="3"/>
  <c r="O1924" i="11"/>
  <c r="AJ130" i="3"/>
  <c r="P1933" i="11"/>
  <c r="P1936" i="11"/>
  <c r="P1965" i="11"/>
  <c r="P1968" i="11"/>
  <c r="P1948" i="11"/>
  <c r="P1969" i="11"/>
  <c r="P1952" i="11"/>
  <c r="P1919" i="11"/>
  <c r="P1926" i="11"/>
  <c r="P1963" i="11"/>
  <c r="P1946" i="11"/>
  <c r="P1945" i="11"/>
  <c r="P1943" i="11"/>
  <c r="P1934" i="11"/>
  <c r="P1924" i="11"/>
  <c r="P1962" i="11"/>
  <c r="P1960" i="11"/>
  <c r="P1957" i="11"/>
  <c r="P1956" i="11"/>
  <c r="P1947" i="11"/>
  <c r="P1954" i="11"/>
  <c r="P1961" i="11"/>
  <c r="P1944" i="11"/>
  <c r="P1921" i="11"/>
  <c r="P1928" i="11"/>
  <c r="P1935" i="11"/>
  <c r="P1951" i="11"/>
  <c r="P1950" i="11"/>
  <c r="P1953" i="11"/>
  <c r="P1955" i="11"/>
  <c r="P1941" i="11"/>
  <c r="P1939" i="11"/>
  <c r="P1937" i="11"/>
  <c r="P1930" i="11"/>
  <c r="P1925" i="11"/>
  <c r="P1932" i="11"/>
  <c r="P1938" i="11"/>
  <c r="P1959" i="11"/>
  <c r="AJ147" i="3"/>
  <c r="AJ166" i="3"/>
  <c r="O1959" i="11"/>
  <c r="O1922" i="11"/>
  <c r="AI127" i="3"/>
  <c r="AI174" i="3"/>
  <c r="AJ127" i="3"/>
  <c r="O1926" i="11"/>
  <c r="AJ174" i="3"/>
  <c r="AJ133" i="3"/>
  <c r="AI129" i="3"/>
  <c r="W38" i="4" l="1"/>
  <c r="E795" i="11"/>
  <c r="K11" i="2"/>
  <c r="L44" i="4"/>
  <c r="L52" i="4"/>
  <c r="L38" i="4"/>
  <c r="W27" i="4"/>
  <c r="L32" i="4"/>
  <c r="L27" i="4"/>
  <c r="W22" i="3"/>
  <c r="U158" i="3"/>
  <c r="D26" i="2"/>
  <c r="U172" i="3"/>
  <c r="U174" i="3"/>
  <c r="W93" i="3"/>
  <c r="U159" i="3"/>
  <c r="U161" i="3"/>
  <c r="W109" i="3"/>
  <c r="W23" i="3"/>
  <c r="U132" i="3"/>
  <c r="U163" i="3"/>
  <c r="U173" i="3"/>
  <c r="AP32" i="6"/>
  <c r="U168" i="3"/>
  <c r="U167" i="3"/>
  <c r="H13" i="10"/>
  <c r="H23" i="10"/>
  <c r="N23" i="10"/>
  <c r="U131" i="3"/>
  <c r="U156" i="3"/>
  <c r="W25" i="3"/>
  <c r="AA25" i="3" s="1"/>
  <c r="J32" i="2"/>
  <c r="W27" i="3"/>
  <c r="G58" i="2"/>
  <c r="J58" i="2" s="1"/>
  <c r="G59" i="2"/>
  <c r="J59" i="2" s="1"/>
  <c r="G60" i="2"/>
  <c r="J60" i="2" s="1"/>
  <c r="E820" i="11"/>
  <c r="E814" i="11"/>
  <c r="E839" i="11"/>
  <c r="E779"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1967" i="11"/>
  <c r="P1920" i="11"/>
  <c r="P1922" i="11"/>
  <c r="U16" i="4" l="1"/>
  <c r="AF15" i="4" s="1"/>
  <c r="AA109" i="3" s="1"/>
  <c r="U17" i="4"/>
  <c r="G16" i="4"/>
  <c r="H28" i="2"/>
  <c r="O58" i="2" s="1"/>
  <c r="V1955" i="11" s="1"/>
  <c r="N57" i="10"/>
  <c r="J14" i="10"/>
  <c r="N24" i="14"/>
  <c r="N23" i="14"/>
  <c r="L14" i="10"/>
  <c r="N22" i="14"/>
  <c r="D14" i="10"/>
  <c r="AA91" i="3" l="1"/>
  <c r="AA93" i="3"/>
  <c r="Q13" i="6" s="1"/>
  <c r="L16" i="2"/>
  <c r="AP20" i="2" s="1"/>
  <c r="AQ20" i="2" s="1"/>
  <c r="AS20" i="2" s="1"/>
  <c r="J16" i="2" s="1"/>
  <c r="AA22" i="3"/>
  <c r="H19" i="2"/>
  <c r="I25" i="2"/>
  <c r="H11" i="8"/>
  <c r="AA37" i="3"/>
  <c r="D20" i="5" s="1"/>
  <c r="P24" i="10" s="1"/>
  <c r="AA38" i="3"/>
  <c r="D22" i="5" s="1"/>
  <c r="R24" i="10" s="1"/>
  <c r="AA97" i="3"/>
  <c r="M27" i="6" s="1"/>
  <c r="Q31" i="10" s="1"/>
  <c r="AA95" i="3"/>
  <c r="M25" i="6" s="1"/>
  <c r="N31" i="10" s="1"/>
  <c r="AA98" i="3"/>
  <c r="M28" i="6" s="1"/>
  <c r="Q32" i="10" s="1"/>
  <c r="AA96" i="3"/>
  <c r="AA35" i="3"/>
  <c r="D16" i="5" s="1"/>
  <c r="J24" i="10" s="1"/>
  <c r="AA34" i="3"/>
  <c r="D14" i="5" s="1"/>
  <c r="N24" i="10" s="1"/>
  <c r="AA33" i="3"/>
  <c r="AA36" i="3"/>
  <c r="D18" i="5" s="1"/>
  <c r="H24" i="10" s="1"/>
  <c r="AA23" i="3"/>
  <c r="O27" i="2"/>
  <c r="V1924" i="11" s="1"/>
  <c r="O26" i="2"/>
  <c r="V1923" i="11" s="1"/>
  <c r="D28" i="2"/>
  <c r="O23" i="2"/>
  <c r="V1920" i="11" s="1"/>
  <c r="O56" i="2"/>
  <c r="V1953" i="11" s="1"/>
  <c r="O52" i="2"/>
  <c r="V1949" i="11" s="1"/>
  <c r="O62" i="2"/>
  <c r="V1959" i="11" s="1"/>
  <c r="O22" i="2"/>
  <c r="V1919" i="11" s="1"/>
  <c r="P13" i="6" l="1"/>
  <c r="I52" i="4"/>
  <c r="T38" i="4"/>
  <c r="T52" i="4"/>
  <c r="I44" i="4"/>
  <c r="I32" i="4"/>
  <c r="T44" i="4"/>
  <c r="T32" i="4"/>
  <c r="G33" i="10"/>
  <c r="AL16" i="8"/>
  <c r="AL22" i="8"/>
  <c r="AK22" i="8" s="1"/>
  <c r="AG71" i="18" s="1"/>
  <c r="AL30" i="8"/>
  <c r="AL52" i="8"/>
  <c r="AL34" i="8"/>
  <c r="G40" i="10"/>
  <c r="AL32" i="8"/>
  <c r="AL36" i="8"/>
  <c r="AL54" i="8"/>
  <c r="AL40" i="8"/>
  <c r="AL24" i="8"/>
  <c r="AK24" i="8" s="1"/>
  <c r="AL20" i="8"/>
  <c r="AK20" i="8" s="1"/>
  <c r="AG27" i="18" s="1"/>
  <c r="AL56" i="8"/>
  <c r="AL38" i="8"/>
  <c r="AL46" i="8"/>
  <c r="AL48" i="8"/>
  <c r="AL42" i="8"/>
  <c r="AL44" i="8"/>
  <c r="AL60" i="8"/>
  <c r="AL18" i="8"/>
  <c r="AK18" i="8" s="1"/>
  <c r="AL50" i="8"/>
  <c r="AL26" i="8"/>
  <c r="AL28" i="8"/>
  <c r="AL58" i="8"/>
  <c r="I949" i="11"/>
  <c r="I978" i="11"/>
  <c r="I962" i="11"/>
  <c r="I980" i="11"/>
  <c r="I983" i="11"/>
  <c r="I974" i="11"/>
  <c r="I958" i="11"/>
  <c r="I950" i="11"/>
  <c r="I968" i="11"/>
  <c r="I955" i="11"/>
  <c r="I954" i="11"/>
  <c r="I952" i="11"/>
  <c r="I984" i="11"/>
  <c r="Q12" i="8"/>
  <c r="P12" i="8"/>
  <c r="M26" i="6"/>
  <c r="N32" i="10" s="1"/>
  <c r="R22" i="14"/>
  <c r="L13" i="6"/>
  <c r="W92" i="3"/>
  <c r="AA92" i="3" s="1"/>
  <c r="J13" i="6" s="1"/>
  <c r="K17" i="2"/>
  <c r="G41" i="10" l="1"/>
  <c r="Q17" i="6"/>
  <c r="N16" i="14"/>
  <c r="D31" i="10"/>
  <c r="F58" i="10"/>
  <c r="K157" i="13" l="1"/>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H39" i="4"/>
  <c r="AH48" i="4"/>
  <c r="AH47" i="4"/>
  <c r="H904" i="11" l="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76" i="11" a="1"/>
  <c r="AA87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Y866" i="11" a="1"/>
  <c r="Y866" i="11" s="1"/>
  <c r="X866" i="11" s="1"/>
  <c r="V63" i="3" s="1"/>
  <c r="Y865" i="11" a="1"/>
  <c r="Y865" i="11" s="1"/>
  <c r="X865" i="11" s="1"/>
  <c r="Y885" i="11" a="1"/>
  <c r="Y885" i="11" s="1"/>
  <c r="Y869" i="11" a="1"/>
  <c r="Y869" i="11" s="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19" i="11"/>
  <c r="Y835" i="11"/>
  <c r="Y851" i="11"/>
  <c r="Y832" i="11"/>
  <c r="Y814" i="11"/>
  <c r="Y830" i="11"/>
  <c r="Y808" i="11"/>
  <c r="Y817" i="1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Y854" i="11"/>
  <c r="X854" i="11" s="1"/>
  <c r="Y809" i="11"/>
  <c r="Y825" i="11"/>
  <c r="Y841" i="11"/>
  <c r="Y857" i="11"/>
  <c r="Y816" i="11"/>
  <c r="Y844" i="11"/>
  <c r="X844" i="11" s="1"/>
  <c r="N59" i="10"/>
  <c r="D12" i="5"/>
  <c r="AA27" i="3"/>
  <c r="E24" i="5" s="1"/>
  <c r="H11" i="2"/>
  <c r="D25" i="2" s="1"/>
  <c r="D31" i="2" s="1"/>
  <c r="H27" i="4" l="1"/>
  <c r="H38" i="4"/>
  <c r="S27" i="4"/>
  <c r="H20" i="4"/>
  <c r="O12" i="8"/>
  <c r="O13" i="6"/>
  <c r="U166" i="3"/>
  <c r="U162" i="3"/>
  <c r="U130" i="3"/>
  <c r="U126" i="3"/>
  <c r="U129" i="3"/>
  <c r="U127" i="3"/>
  <c r="U128" i="3"/>
  <c r="B177" i="3"/>
  <c r="W24" i="3"/>
  <c r="L23" i="10"/>
  <c r="F23" i="10"/>
  <c r="L24" i="10"/>
  <c r="D24" i="5"/>
  <c r="AV43" i="4" l="1"/>
  <c r="D16" i="10"/>
  <c r="AA24" i="3"/>
  <c r="AB177" i="3"/>
  <c r="Q73" i="2"/>
  <c r="Z76" i="14" s="1"/>
  <c r="K1970" i="11"/>
  <c r="M1970" i="11" s="1"/>
  <c r="R1970" i="11" s="1"/>
  <c r="V38" i="4" l="1"/>
  <c r="U38" i="4" s="1"/>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Z877" i="11" a="1"/>
  <c r="Z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Z874" i="11" a="1"/>
  <c r="Z874" i="11" s="1"/>
  <c r="Z868" i="11" a="1"/>
  <c r="Z868" i="11" s="1"/>
  <c r="X868" i="11" s="1"/>
  <c r="Z864" i="11" a="1"/>
  <c r="Z864" i="11" s="1"/>
  <c r="AT22" i="4"/>
  <c r="Z860" i="11"/>
  <c r="Z844" i="11"/>
  <c r="Z828" i="11"/>
  <c r="Z812" i="11"/>
  <c r="Z826" i="11"/>
  <c r="Z855" i="11"/>
  <c r="Z839" i="11"/>
  <c r="Z823" i="11"/>
  <c r="Z809" i="11"/>
  <c r="Z842" i="11"/>
  <c r="Z814" i="11"/>
  <c r="Z845" i="11"/>
  <c r="X845" i="11" s="1"/>
  <c r="Z829" i="11"/>
  <c r="Z813" i="11"/>
  <c r="Z878" i="11"/>
  <c r="Z856" i="11"/>
  <c r="Z840" i="11"/>
  <c r="Z824" i="11"/>
  <c r="Z807" i="11"/>
  <c r="Z818" i="11"/>
  <c r="Z851" i="11"/>
  <c r="Z835" i="11"/>
  <c r="Z819" i="11"/>
  <c r="Z858" i="11"/>
  <c r="Z834" i="11"/>
  <c r="Z857" i="11"/>
  <c r="X857" i="11" s="1"/>
  <c r="Z841" i="11"/>
  <c r="Z825" i="11"/>
  <c r="Z808" i="11"/>
  <c r="Z848" i="11"/>
  <c r="Z816" i="11"/>
  <c r="Z838" i="11"/>
  <c r="Z843" i="11"/>
  <c r="Z827" i="11"/>
  <c r="Z846" i="11"/>
  <c r="Z849" i="11"/>
  <c r="Z817" i="11"/>
  <c r="Z852" i="11"/>
  <c r="Z836" i="11"/>
  <c r="Z820" i="11"/>
  <c r="Z854" i="11"/>
  <c r="Z810" i="11"/>
  <c r="Z847" i="11"/>
  <c r="X847" i="11" s="1"/>
  <c r="Z831" i="11"/>
  <c r="Z815" i="11"/>
  <c r="Z850" i="11"/>
  <c r="Z830" i="11"/>
  <c r="Z853" i="11"/>
  <c r="X853" i="11" s="1"/>
  <c r="Z837" i="11"/>
  <c r="Z821" i="11"/>
  <c r="Z832" i="11"/>
  <c r="Z859" i="11"/>
  <c r="Z811" i="11"/>
  <c r="Z822" i="11"/>
  <c r="Z833" i="11"/>
  <c r="AD23" i="3"/>
  <c r="F26" i="2"/>
  <c r="R16" i="14"/>
  <c r="I953" i="11" l="1"/>
  <c r="I961" i="11"/>
  <c r="I966" i="11"/>
  <c r="I970" i="11"/>
  <c r="I951" i="11"/>
  <c r="I987" i="11"/>
  <c r="I967" i="11"/>
  <c r="I994" i="11"/>
  <c r="I960" i="11"/>
  <c r="I982" i="11"/>
  <c r="I965" i="11"/>
  <c r="I957" i="11"/>
  <c r="I977" i="11"/>
  <c r="I956" i="11"/>
  <c r="I959" i="11"/>
  <c r="I963" i="11"/>
  <c r="I993" i="11"/>
  <c r="I964" i="11"/>
  <c r="AG173" i="3"/>
  <c r="AI173" i="3" s="1"/>
  <c r="P1966" i="11" s="1"/>
  <c r="AJ173" i="3" l="1"/>
  <c r="O1966" i="11"/>
  <c r="AJ171" i="3" l="1"/>
  <c r="AI171" i="3" l="1"/>
  <c r="P1964" i="11" s="1"/>
  <c r="AI165" i="3"/>
  <c r="P1958" i="11" s="1"/>
  <c r="AF160" i="3"/>
  <c r="AA160" i="3" s="1"/>
  <c r="F36" i="5" s="1"/>
  <c r="AJ165" i="3" l="1"/>
  <c r="AF165" i="3" s="1"/>
  <c r="AA165" i="3" s="1"/>
  <c r="AF152" i="3"/>
  <c r="AA152" i="3" s="1"/>
  <c r="AF143" i="3"/>
  <c r="AA143" i="3" s="1"/>
  <c r="AF156" i="3"/>
  <c r="AF131" i="3"/>
  <c r="AF162" i="3"/>
  <c r="AF164" i="3"/>
  <c r="AF130" i="3"/>
  <c r="AF134" i="3"/>
  <c r="AA134" i="3" s="1"/>
  <c r="AF163" i="3"/>
  <c r="AF172" i="3"/>
  <c r="AF176" i="3"/>
  <c r="AF149" i="3"/>
  <c r="AF144" i="3"/>
  <c r="AF169" i="3"/>
  <c r="AF147" i="3"/>
  <c r="AF173" i="3"/>
  <c r="AA173" i="3" s="1"/>
  <c r="AF154" i="3"/>
  <c r="AF153" i="3"/>
  <c r="AF167" i="3"/>
  <c r="AA167" i="3" s="1"/>
  <c r="AF168" i="3"/>
  <c r="AA168" i="3" s="1"/>
  <c r="AF175" i="3"/>
  <c r="AA175" i="3" s="1"/>
  <c r="AF171" i="3"/>
  <c r="AF170" i="3"/>
  <c r="AF128" i="3"/>
  <c r="AF136" i="3"/>
  <c r="AA136" i="3" s="1"/>
  <c r="AF126" i="3"/>
  <c r="AA126" i="3" s="1"/>
  <c r="AF140" i="3"/>
  <c r="AA140" i="3" s="1"/>
  <c r="AF159" i="3"/>
  <c r="AF139" i="3"/>
  <c r="AA139" i="3" s="1"/>
  <c r="AF145" i="3"/>
  <c r="AA145" i="3" s="1"/>
  <c r="AF174" i="3"/>
  <c r="AF127" i="3"/>
  <c r="AF148" i="3"/>
  <c r="AA148" i="3" s="1"/>
  <c r="AF138" i="3"/>
  <c r="AA138" i="3" s="1"/>
  <c r="AF141" i="3"/>
  <c r="AA141" i="3" s="1"/>
  <c r="AF155" i="3"/>
  <c r="AA155" i="3" s="1"/>
  <c r="AF158" i="3"/>
  <c r="AF146" i="3"/>
  <c r="AA146" i="3" s="1"/>
  <c r="AF129" i="3"/>
  <c r="AF157" i="3"/>
  <c r="AA157" i="3" s="1"/>
  <c r="AF161" i="3"/>
  <c r="AF142" i="3"/>
  <c r="AA142" i="3" s="1"/>
  <c r="AF133" i="3"/>
  <c r="AA133" i="3" s="1"/>
  <c r="AF137" i="3"/>
  <c r="AA137" i="3" s="1"/>
  <c r="AF150" i="3"/>
  <c r="AA150" i="3" s="1"/>
  <c r="AF151" i="3"/>
  <c r="AA151" i="3" s="1"/>
  <c r="AF166" i="3"/>
  <c r="AF135" i="3"/>
  <c r="AA135" i="3" s="1"/>
  <c r="AF132" i="3"/>
  <c r="AB171" i="3" l="1"/>
  <c r="Q67" i="2"/>
  <c r="K1964" i="11"/>
  <c r="M1964" i="11" s="1"/>
  <c r="R1948" i="11" s="1"/>
  <c r="I976" i="11"/>
  <c r="AB153" i="3"/>
  <c r="Q49" i="2"/>
  <c r="K1946" i="11"/>
  <c r="M1946" i="11" s="1"/>
  <c r="R1965" i="11" s="1"/>
  <c r="AB169" i="3"/>
  <c r="Q65" i="2"/>
  <c r="K1962" i="11"/>
  <c r="M1962" i="11" s="1"/>
  <c r="R1921" i="11" s="1"/>
  <c r="S1922" i="11" s="1"/>
  <c r="Q71" i="2"/>
  <c r="K1968" i="11"/>
  <c r="M1968" i="11" s="1"/>
  <c r="R1934" i="11" s="1"/>
  <c r="S1935" i="11" s="1"/>
  <c r="AB175" i="3"/>
  <c r="AB154" i="3"/>
  <c r="Q50" i="2"/>
  <c r="Z53" i="14" s="1"/>
  <c r="K1947" i="11"/>
  <c r="M1947" i="11" s="1"/>
  <c r="R1968" i="11" s="1"/>
  <c r="AB144" i="3"/>
  <c r="K1937" i="11"/>
  <c r="M1937" i="11" s="1"/>
  <c r="R1931" i="11" s="1"/>
  <c r="Q40" i="2"/>
  <c r="K1961" i="11"/>
  <c r="M1961" i="11" s="1"/>
  <c r="R1960" i="11" s="1"/>
  <c r="AB168" i="3"/>
  <c r="Q64" i="2"/>
  <c r="AB173" i="3"/>
  <c r="Q69" i="2"/>
  <c r="K1966" i="11"/>
  <c r="M1966" i="11" s="1"/>
  <c r="R1928" i="11" s="1"/>
  <c r="AB170" i="3"/>
  <c r="Q66" i="2"/>
  <c r="Z69" i="14" s="1"/>
  <c r="K1963" i="11"/>
  <c r="M1963" i="11" s="1"/>
  <c r="R1923" i="11" s="1"/>
  <c r="K1960" i="11"/>
  <c r="M1960" i="11" s="1"/>
  <c r="R1938" i="11" s="1"/>
  <c r="Q63" i="2"/>
  <c r="AB167" i="3"/>
  <c r="AB176" i="3"/>
  <c r="K1969" i="11"/>
  <c r="M1969" i="11" s="1"/>
  <c r="R1933" i="11" s="1"/>
  <c r="Q72" i="2"/>
  <c r="AB147" i="3"/>
  <c r="Q43" i="2"/>
  <c r="K1940" i="11"/>
  <c r="M1940" i="11" s="1"/>
  <c r="R1941" i="11" s="1"/>
  <c r="AB160" i="3"/>
  <c r="C1943" i="11"/>
  <c r="F25" i="10" s="1"/>
  <c r="Q45" i="2"/>
  <c r="K1942" i="11"/>
  <c r="M1942" i="11" s="1"/>
  <c r="R1945" i="11" s="1"/>
  <c r="AB149" i="3"/>
  <c r="I981" i="11"/>
  <c r="X882" i="11"/>
  <c r="V65" i="3" s="1"/>
  <c r="AH40" i="4" s="1"/>
  <c r="X883" i="11"/>
  <c r="Q56" i="2"/>
  <c r="AB151" i="3"/>
  <c r="Q42" i="2"/>
  <c r="AB138" i="3"/>
  <c r="AA156" i="3"/>
  <c r="AB150" i="3"/>
  <c r="AA158" i="3"/>
  <c r="K1951" i="11" s="1"/>
  <c r="M1951" i="11" s="1"/>
  <c r="R1930" i="11" s="1"/>
  <c r="AB148" i="3"/>
  <c r="Q35" i="2"/>
  <c r="AB136" i="3"/>
  <c r="AA172" i="3"/>
  <c r="AA164" i="3"/>
  <c r="AB164" i="3" s="1"/>
  <c r="K1936" i="11"/>
  <c r="M1936" i="11" s="1"/>
  <c r="R1922" i="11" s="1"/>
  <c r="AB142" i="3"/>
  <c r="K1938" i="11"/>
  <c r="M1938" i="11" s="1"/>
  <c r="R1943" i="11" s="1"/>
  <c r="AB135" i="3"/>
  <c r="K1950" i="11"/>
  <c r="M1950" i="11" s="1"/>
  <c r="R1958" i="11" s="1"/>
  <c r="AB155" i="3"/>
  <c r="AA127" i="3"/>
  <c r="AA159" i="3"/>
  <c r="AB159" i="3" s="1"/>
  <c r="K1958" i="11"/>
  <c r="AA163" i="3"/>
  <c r="AB163" i="3" s="1"/>
  <c r="AA162" i="3"/>
  <c r="Q58" i="2" s="1"/>
  <c r="AB152" i="3"/>
  <c r="AA130" i="3"/>
  <c r="Q26" i="2" s="1"/>
  <c r="AA132" i="3"/>
  <c r="AB132" i="3" s="1"/>
  <c r="AA161" i="3"/>
  <c r="K1954" i="11" s="1"/>
  <c r="M1954" i="11" s="1"/>
  <c r="R1959" i="11" s="1"/>
  <c r="AB137" i="3"/>
  <c r="AA166" i="3"/>
  <c r="AA129" i="3"/>
  <c r="K1922" i="11" s="1"/>
  <c r="AB141" i="3"/>
  <c r="AA174" i="3"/>
  <c r="Q70" i="2" s="1"/>
  <c r="AA128" i="3"/>
  <c r="AB128" i="3" s="1"/>
  <c r="AB134" i="3"/>
  <c r="AA131" i="3"/>
  <c r="AB131" i="3" s="1"/>
  <c r="K1953" i="11"/>
  <c r="M1953" i="11" s="1"/>
  <c r="R1951" i="11" s="1"/>
  <c r="AB126" i="3"/>
  <c r="Q22" i="2"/>
  <c r="Z73" i="14" l="1"/>
  <c r="Z75" i="14"/>
  <c r="Z74" i="14"/>
  <c r="Z67" i="14"/>
  <c r="Z70" i="14"/>
  <c r="Z68" i="14"/>
  <c r="Z46" i="14"/>
  <c r="M1958" i="11"/>
  <c r="M1922" i="11"/>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1959" i="11"/>
  <c r="M1959" i="11" s="1"/>
  <c r="R1926" i="11" s="1"/>
  <c r="S1927" i="11" s="1"/>
  <c r="X840" i="11"/>
  <c r="V59" i="3"/>
  <c r="I973" i="11"/>
  <c r="I979" i="11"/>
  <c r="K1935" i="11"/>
  <c r="K1944" i="11"/>
  <c r="K1925" i="11"/>
  <c r="M1925" i="11" s="1"/>
  <c r="R1956" i="11" s="1"/>
  <c r="Q47" i="2"/>
  <c r="Q32" i="2"/>
  <c r="K1956" i="11"/>
  <c r="Q46" i="2"/>
  <c r="Q51" i="2"/>
  <c r="Q59" i="2"/>
  <c r="K1943" i="11"/>
  <c r="Q38" i="2"/>
  <c r="Q29" i="2"/>
  <c r="I945" i="11"/>
  <c r="K1948" i="11"/>
  <c r="K1929" i="11"/>
  <c r="M1929" i="11" s="1"/>
  <c r="K1933" i="11"/>
  <c r="K1926" i="11"/>
  <c r="Q28" i="2"/>
  <c r="Q36" i="2"/>
  <c r="Q62" i="2"/>
  <c r="Z66" i="14" s="1"/>
  <c r="Q39" i="2"/>
  <c r="Z43" i="14" s="1"/>
  <c r="Q53" i="2"/>
  <c r="Q52" i="2"/>
  <c r="Q68" i="2"/>
  <c r="Z72" i="14" s="1"/>
  <c r="Q57" i="2"/>
  <c r="Q34" i="2"/>
  <c r="Q24" i="2"/>
  <c r="Q33" i="2"/>
  <c r="K1924" i="11"/>
  <c r="K1952" i="11"/>
  <c r="K1928" i="11"/>
  <c r="M1928" i="11" s="1"/>
  <c r="K1941" i="11"/>
  <c r="K1945" i="11"/>
  <c r="Q48" i="2"/>
  <c r="Z52" i="14" s="1"/>
  <c r="Q55" i="2"/>
  <c r="Q31" i="2"/>
  <c r="K1957" i="11"/>
  <c r="Q44" i="2"/>
  <c r="Z48" i="14" s="1"/>
  <c r="K1927" i="11"/>
  <c r="K1934" i="11"/>
  <c r="K1930" i="11"/>
  <c r="Q60" i="2"/>
  <c r="K1931" i="11"/>
  <c r="M1931" i="11" s="1"/>
  <c r="Q37" i="2"/>
  <c r="K1923" i="11"/>
  <c r="Q27" i="2"/>
  <c r="K1921" i="11"/>
  <c r="AB174" i="3"/>
  <c r="AB129" i="3"/>
  <c r="AB166" i="3"/>
  <c r="AB161" i="3"/>
  <c r="AB130" i="3"/>
  <c r="AB162" i="3"/>
  <c r="AB165" i="3"/>
  <c r="AB127" i="3"/>
  <c r="AB157" i="3"/>
  <c r="AB145" i="3"/>
  <c r="AB143" i="3"/>
  <c r="AB172" i="3"/>
  <c r="AB139" i="3"/>
  <c r="AB158" i="3"/>
  <c r="AB156" i="3"/>
  <c r="AB146" i="3"/>
  <c r="K1932" i="11"/>
  <c r="Q61" i="2"/>
  <c r="Q23" i="2"/>
  <c r="X807" i="11"/>
  <c r="V60" i="3" s="1"/>
  <c r="Q54" i="2"/>
  <c r="K1949" i="11"/>
  <c r="Q41" i="2"/>
  <c r="K1939" i="11"/>
  <c r="K1967" i="11"/>
  <c r="Q25" i="2"/>
  <c r="K1955" i="11"/>
  <c r="K1920" i="11"/>
  <c r="M1920" i="11" s="1"/>
  <c r="R1925" i="11" s="1"/>
  <c r="K1965" i="11"/>
  <c r="Q30" i="2"/>
  <c r="K1919" i="11"/>
  <c r="M1919" i="11" s="1"/>
  <c r="R1919" i="11" s="1"/>
  <c r="S1959" i="11"/>
  <c r="S1944" i="11"/>
  <c r="S1934" i="11"/>
  <c r="S1971" i="11"/>
  <c r="S1939" i="11"/>
  <c r="S1931" i="11"/>
  <c r="S1932" i="11"/>
  <c r="S1969" i="11"/>
  <c r="S1929" i="11"/>
  <c r="S1946" i="11"/>
  <c r="S1923" i="11"/>
  <c r="S1924" i="11"/>
  <c r="S1966" i="11"/>
  <c r="S1960" i="11"/>
  <c r="S1961" i="11"/>
  <c r="S1949" i="11"/>
  <c r="S1942" i="11"/>
  <c r="S1952" i="11"/>
  <c r="R1929" i="11" l="1"/>
  <c r="S1930" i="11" s="1"/>
  <c r="R1955" i="11"/>
  <c r="S1956" i="11" s="1"/>
  <c r="R1949" i="11"/>
  <c r="S1950" i="11" s="1"/>
  <c r="R1924" i="11"/>
  <c r="S1925" i="11" s="1"/>
  <c r="M1939" i="11"/>
  <c r="M1921" i="11"/>
  <c r="M1927" i="11"/>
  <c r="M1955" i="11"/>
  <c r="M1952" i="11"/>
  <c r="M1948" i="11"/>
  <c r="M1943" i="11"/>
  <c r="M1956" i="11"/>
  <c r="M1944" i="11"/>
  <c r="M1949" i="11"/>
  <c r="M1923" i="11"/>
  <c r="M1930" i="11"/>
  <c r="M1957" i="11"/>
  <c r="M1945" i="11"/>
  <c r="M1924" i="11"/>
  <c r="M1926" i="11"/>
  <c r="M1935" i="11"/>
  <c r="M1965" i="11"/>
  <c r="M1967" i="11"/>
  <c r="M1932" i="11"/>
  <c r="M1934" i="11"/>
  <c r="M1941" i="11"/>
  <c r="M1933" i="11"/>
  <c r="S1926" i="11"/>
  <c r="V61" i="3"/>
  <c r="V57" i="3"/>
  <c r="AH35" i="4"/>
  <c r="Z65" i="14"/>
  <c r="AH34" i="4"/>
  <c r="S1957" i="11"/>
  <c r="R1920" i="11" l="1"/>
  <c r="S1921" i="11" s="1"/>
  <c r="R1961" i="11"/>
  <c r="S1962" i="11" s="1"/>
  <c r="R1967" i="11"/>
  <c r="S1968" i="11" s="1"/>
  <c r="R1946" i="11"/>
  <c r="S1947" i="11" s="1"/>
  <c r="R1944" i="11"/>
  <c r="S1945" i="11" s="1"/>
  <c r="R1964" i="11"/>
  <c r="S1965" i="11" s="1"/>
  <c r="R1963" i="11"/>
  <c r="S1964" i="11" s="1"/>
  <c r="R1952" i="11"/>
  <c r="S1953" i="11" s="1"/>
  <c r="R1954" i="11"/>
  <c r="S1955" i="11" s="1"/>
  <c r="R1939" i="11"/>
  <c r="S1940" i="11" s="1"/>
  <c r="R1942" i="11"/>
  <c r="S1943" i="11" s="1"/>
  <c r="R1927" i="11"/>
  <c r="S1928" i="11" s="1"/>
  <c r="R1957" i="11"/>
  <c r="S1958" i="11" s="1"/>
  <c r="R1969" i="11"/>
  <c r="S1970" i="11" s="1"/>
  <c r="R1950" i="11"/>
  <c r="S1951" i="11" s="1"/>
  <c r="R1935" i="11"/>
  <c r="S1936" i="11" s="1"/>
  <c r="R1947" i="11"/>
  <c r="S1948" i="11" s="1"/>
  <c r="R1937" i="11"/>
  <c r="S1938" i="11" s="1"/>
  <c r="R1936" i="11"/>
  <c r="S1937" i="11" s="1"/>
  <c r="R1932" i="11"/>
  <c r="S1933" i="11" s="1"/>
  <c r="R1966" i="11"/>
  <c r="S1967" i="11" s="1"/>
  <c r="R1962" i="11"/>
  <c r="S1963" i="11" s="1"/>
  <c r="R1940" i="11"/>
  <c r="S1941" i="11" s="1"/>
  <c r="R1953" i="11"/>
  <c r="S1954" i="11" s="1"/>
  <c r="S1920" i="11"/>
  <c r="G1919" i="11"/>
  <c r="C25" i="9"/>
  <c r="T1953" i="11" l="1"/>
  <c r="G1953" i="11" s="1"/>
  <c r="T1958" i="11"/>
  <c r="G1958" i="11" s="1"/>
  <c r="T1957" i="11"/>
  <c r="G1957" i="11" s="1"/>
  <c r="T1973" i="11"/>
  <c r="G1973" i="11" s="1"/>
  <c r="T1972" i="11"/>
  <c r="G1972" i="11" s="1"/>
  <c r="T1960" i="11"/>
  <c r="G1960" i="11" s="1"/>
  <c r="T1932" i="11"/>
  <c r="G1932" i="11" s="1"/>
  <c r="T1965" i="11"/>
  <c r="G1965" i="11" s="1"/>
  <c r="T1959" i="11"/>
  <c r="G1959" i="11" s="1"/>
  <c r="T1940" i="11"/>
  <c r="G1940" i="11" s="1"/>
  <c r="T1961" i="11"/>
  <c r="G1961" i="11" s="1"/>
  <c r="T1968" i="11"/>
  <c r="G1968" i="11" s="1"/>
  <c r="T1964" i="11"/>
  <c r="G1964" i="11" s="1"/>
  <c r="T1974" i="11"/>
  <c r="G1974" i="11" s="1"/>
  <c r="T1941" i="11"/>
  <c r="G1941" i="11" s="1"/>
  <c r="T1943" i="11"/>
  <c r="G1943" i="11" s="1"/>
  <c r="T1962" i="11"/>
  <c r="G1962" i="11" s="1"/>
  <c r="T1963" i="11"/>
  <c r="G1963" i="11" s="1"/>
  <c r="T1967" i="11"/>
  <c r="G1967" i="11" s="1"/>
  <c r="T1944" i="11"/>
  <c r="G1944" i="11" s="1"/>
  <c r="T1954" i="11"/>
  <c r="G1954" i="11" s="1"/>
  <c r="T1950" i="11"/>
  <c r="G1950" i="11" s="1"/>
  <c r="T1970" i="11"/>
  <c r="G1970" i="11" s="1"/>
  <c r="T1949" i="11"/>
  <c r="G1949" i="11" s="1"/>
  <c r="T1946" i="11"/>
  <c r="G1946" i="11" s="1"/>
  <c r="T1969" i="11"/>
  <c r="G1969" i="11" s="1"/>
  <c r="T1971" i="11"/>
  <c r="G1971" i="11" s="1"/>
  <c r="T1966" i="11"/>
  <c r="G1966" i="11" s="1"/>
  <c r="T1955" i="11"/>
  <c r="G1955" i="11" s="1"/>
  <c r="T1945" i="11"/>
  <c r="G1945" i="11" s="1"/>
  <c r="T1939" i="11"/>
  <c r="G1939" i="11" s="1"/>
  <c r="T1934" i="11"/>
  <c r="G1934" i="11" s="1"/>
  <c r="T1936" i="11"/>
  <c r="G1936" i="11" s="1"/>
  <c r="T1948" i="11"/>
  <c r="G1948" i="11" s="1"/>
  <c r="T1947" i="11"/>
  <c r="G1947" i="11" s="1"/>
  <c r="T1937" i="11"/>
  <c r="G1937" i="11" s="1"/>
  <c r="T1930" i="11"/>
  <c r="G1930" i="11" s="1"/>
  <c r="T1935" i="11"/>
  <c r="G1935" i="11" s="1"/>
  <c r="T1952" i="11"/>
  <c r="G1952" i="11" s="1"/>
  <c r="T1933" i="11"/>
  <c r="G1933" i="11" s="1"/>
  <c r="T1938" i="11"/>
  <c r="G1938" i="11" s="1"/>
  <c r="T1942" i="11"/>
  <c r="G1942" i="11" s="1"/>
  <c r="T1956" i="11"/>
  <c r="G1956" i="11" s="1"/>
  <c r="T1931" i="11"/>
  <c r="G1931" i="11" s="1"/>
  <c r="T1951" i="11"/>
  <c r="G1951" i="11" s="1"/>
  <c r="T1922" i="11"/>
  <c r="G1922" i="11" s="1"/>
  <c r="T1928" i="11"/>
  <c r="G1928" i="11" s="1"/>
  <c r="T1920" i="11"/>
  <c r="G1920" i="11" s="1"/>
  <c r="T1923" i="11"/>
  <c r="G1923" i="11" s="1"/>
  <c r="T1924" i="11"/>
  <c r="G1924" i="11" s="1"/>
  <c r="T1926" i="11"/>
  <c r="G1926" i="11" s="1"/>
  <c r="T1921" i="11"/>
  <c r="G1921" i="11" s="1"/>
  <c r="T1929" i="11"/>
  <c r="G1929" i="11" s="1"/>
  <c r="T1927" i="11"/>
  <c r="G1927" i="11" s="1"/>
  <c r="T1925" i="11"/>
  <c r="G1925" i="11" s="1"/>
  <c r="DI31" i="11"/>
  <c r="F69" i="1" s="1"/>
  <c r="DI32" i="11"/>
  <c r="F70" i="1" s="1"/>
  <c r="DI34" i="11"/>
  <c r="F72" i="1" s="1"/>
  <c r="DI33" i="11"/>
  <c r="F71" i="1" s="1"/>
  <c r="C61" i="10" l="1"/>
  <c r="E871" i="11"/>
  <c r="U871" i="11" s="1"/>
  <c r="E870" i="11"/>
  <c r="U870" i="11" s="1"/>
  <c r="W897" i="11" l="1"/>
  <c r="L20" i="4" s="1"/>
  <c r="AU46" i="4" l="1"/>
  <c r="D19" i="10"/>
  <c r="AV46" i="4"/>
  <c r="L630" i="11"/>
  <c r="L729" i="11"/>
  <c r="L782" i="11" l="1"/>
  <c r="FZ622" i="11" s="1"/>
  <c r="AK758" i="1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C20" i="4"/>
  <c r="I20" i="4" s="1"/>
  <c r="AU44" i="4" s="1"/>
  <c r="AF631" i="11"/>
  <c r="C27" i="4"/>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V27" i="4" l="1"/>
  <c r="U27" i="4" s="1"/>
  <c r="T27" i="4"/>
  <c r="K27" i="4"/>
  <c r="J27" i="4" s="1"/>
  <c r="I27" i="4"/>
  <c r="I38" i="4"/>
  <c r="K38" i="4"/>
  <c r="J38" i="4" s="1"/>
  <c r="AJ756" i="11"/>
  <c r="AK756" i="11"/>
  <c r="AL756" i="11"/>
  <c r="AL755" i="11"/>
  <c r="AJ755" i="11"/>
  <c r="AK755" i="11"/>
  <c r="AL766" i="11"/>
  <c r="AI633" i="11"/>
  <c r="AI632" i="11"/>
  <c r="AI631" i="11"/>
  <c r="AI630" i="11"/>
  <c r="AL635" i="11"/>
  <c r="AI662" i="11" s="1"/>
  <c r="AK635" i="11"/>
  <c r="AL762" i="11"/>
  <c r="AL764" i="11"/>
  <c r="AJ635" i="11"/>
  <c r="AL765" i="11"/>
  <c r="AL757" i="11"/>
  <c r="AL758" i="11"/>
  <c r="AL760" i="11"/>
  <c r="AL759" i="11"/>
  <c r="AL761" i="11"/>
  <c r="AT20" i="4"/>
  <c r="J20" i="4" s="1"/>
  <c r="I986" i="11"/>
  <c r="I988" i="11"/>
  <c r="K1079" i="11"/>
  <c r="K1068" i="11"/>
  <c r="K1075" i="11"/>
  <c r="K1076" i="11"/>
  <c r="V78" i="3"/>
  <c r="V79" i="3"/>
  <c r="AV44" i="4" l="1"/>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G630" i="11"/>
  <c r="AJ707" i="11"/>
  <c r="K20" i="4"/>
  <c r="G18" i="10" s="1"/>
  <c r="G17" i="10"/>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AU45" i="4"/>
  <c r="H26" i="2"/>
  <c r="X876" i="11"/>
  <c r="H24" i="2"/>
  <c r="X881" i="11"/>
  <c r="AH33" i="4"/>
  <c r="V56" i="3"/>
  <c r="AH32" i="4"/>
  <c r="V62" i="3"/>
  <c r="AH38" i="4"/>
  <c r="AH36" i="4"/>
  <c r="K1074" i="11"/>
  <c r="K1072" i="11"/>
  <c r="E26" i="3" l="1"/>
  <c r="V83" i="3"/>
  <c r="AI701" i="1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G642" i="11" s="1"/>
  <c r="AV45" i="4"/>
  <c r="AK711" i="11"/>
  <c r="AH37" i="4"/>
  <c r="AH31" i="4"/>
  <c r="AL763" i="11" l="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766"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I761" i="11" l="1"/>
  <c r="AI760" i="11"/>
  <c r="AI751" i="11"/>
  <c r="AI740" i="11"/>
  <c r="AI752" i="11"/>
  <c r="AI755" i="11"/>
  <c r="AI762" i="11"/>
  <c r="AI756" i="11"/>
  <c r="AI747" i="11"/>
  <c r="AI734" i="11"/>
  <c r="AI736" i="11"/>
  <c r="AI735" i="11"/>
  <c r="AI766" i="11"/>
  <c r="AI765" i="11"/>
  <c r="AI757" i="11"/>
  <c r="AI748" i="11"/>
  <c r="AI745" i="11"/>
  <c r="AI759" i="11"/>
  <c r="AI746" i="11"/>
  <c r="AI733" i="11"/>
  <c r="AI750" i="11"/>
  <c r="AI741" i="11"/>
  <c r="AI739" i="11"/>
  <c r="AI744" i="11"/>
  <c r="AI763" i="11"/>
  <c r="AI749" i="11"/>
  <c r="AI764" i="11"/>
  <c r="AI742" i="11"/>
  <c r="AI738" i="11"/>
  <c r="AI737" i="11"/>
  <c r="AI743" i="11"/>
  <c r="AK763" i="11"/>
  <c r="AH638" i="11" s="1"/>
  <c r="AG629" i="11"/>
  <c r="AI629" i="11" l="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66" i="11"/>
  <c r="AH707" i="11"/>
  <c r="AH636" i="11"/>
  <c r="AH629"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00000000-0006-0000-0400-00000100000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00000000-0006-0000-0400-00000200000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O1917" authorId="0" shapeId="0" xr:uid="{00000000-0006-0000-0D00-000001000000}">
      <text/>
    </comment>
  </commentList>
</comments>
</file>

<file path=xl/sharedStrings.xml><?xml version="1.0" encoding="utf-8"?>
<sst xmlns="http://schemas.openxmlformats.org/spreadsheetml/2006/main" count="29629" uniqueCount="10156">
  <si>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</si>
  <si>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</si>
  <si>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</si>
  <si>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</si>
  <si>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</si>
  <si>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</si>
  <si>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</si>
  <si>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</si>
  <si>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</si>
  <si>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</si>
  <si>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</si>
  <si>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</si>
  <si>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</si>
  <si>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</si>
  <si>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</si>
  <si>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</si>
  <si>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</si>
  <si>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</si>
  <si>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</si>
  <si>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</si>
  <si>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</si>
  <si>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</si>
  <si>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</si>
  <si>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</si>
  <si>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</si>
  <si>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</si>
  <si>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</si>
  <si>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</si>
  <si>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</si>
  <si>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</si>
  <si>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</si>
  <si>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</si>
  <si>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</si>
  <si>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</si>
  <si>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</si>
  <si>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</si>
  <si>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</si>
  <si>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</si>
  <si>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</si>
  <si>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</si>
  <si>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</si>
  <si>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</si>
  <si>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</si>
  <si>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</si>
  <si>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</si>
  <si>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</si>
  <si>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</si>
  <si>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</si>
  <si>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</si>
  <si>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</si>
  <si>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</si>
  <si>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</si>
  <si>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</si>
  <si>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</si>
  <si>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</si>
  <si>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</si>
  <si>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</si>
  <si>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</si>
  <si>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</si>
  <si>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</si>
  <si>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</si>
  <si>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</si>
  <si>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</si>
  <si>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</si>
  <si>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</si>
  <si>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</si>
  <si>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</si>
  <si>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</si>
  <si>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</si>
  <si>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</si>
  <si>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</si>
  <si>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</si>
  <si>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</si>
  <si>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</si>
  <si>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</si>
  <si>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</si>
  <si>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</si>
  <si>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</si>
  <si>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</si>
  <si>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</si>
  <si>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</si>
  <si>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</si>
  <si>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</si>
  <si>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</si>
  <si>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</si>
  <si>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</si>
  <si>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</si>
  <si>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</si>
  <si>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</si>
  <si>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</si>
  <si>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</si>
  <si>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</si>
  <si>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</si>
  <si>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</si>
  <si>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</si>
  <si>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</si>
  <si>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</si>
  <si>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</si>
  <si>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</si>
  <si>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</si>
  <si>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</si>
  <si>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</si>
  <si>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</si>
  <si>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</si>
  <si>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</si>
  <si>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</si>
  <si>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</si>
  <si>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</si>
  <si>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</si>
  <si>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</si>
  <si>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</si>
  <si>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</si>
  <si>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</si>
  <si>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</si>
  <si>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</si>
  <si>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</si>
  <si>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</si>
  <si>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</si>
  <si>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</si>
  <si>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</si>
  <si>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</si>
  <si>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</si>
  <si>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</si>
  <si>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</si>
  <si>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</si>
  <si>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</si>
  <si>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</si>
  <si>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</si>
  <si>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</si>
  <si>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</si>
  <si>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</si>
  <si>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</si>
  <si>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</si>
  <si>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</si>
  <si>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</si>
  <si>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</si>
  <si>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</si>
  <si>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</si>
  <si>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</si>
  <si>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</si>
  <si>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</si>
  <si>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</si>
  <si>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</si>
  <si>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</si>
  <si>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</si>
  <si>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</si>
  <si>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</si>
  <si>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</si>
  <si>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</si>
  <si>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</si>
  <si>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</si>
  <si>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</si>
  <si>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</si>
  <si>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</si>
  <si>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</si>
  <si>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</si>
  <si>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</si>
  <si>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</si>
  <si>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</si>
  <si>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</si>
  <si>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</si>
  <si>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</si>
  <si>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</si>
  <si>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</si>
  <si>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</si>
  <si>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</si>
  <si>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</si>
  <si>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</si>
  <si>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</si>
  <si>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</si>
  <si>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</si>
  <si>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</si>
  <si>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</si>
  <si>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</si>
  <si>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</si>
  <si>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</si>
  <si>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</si>
  <si>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</si>
  <si>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</si>
  <si>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</si>
  <si>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</si>
  <si>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</si>
  <si>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</si>
  <si>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</si>
  <si>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</si>
  <si>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</si>
  <si>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</si>
  <si>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</si>
  <si>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</si>
  <si>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</si>
  <si>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</si>
  <si>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</si>
  <si>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</si>
  <si>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</si>
  <si>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</si>
  <si>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</si>
  <si>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</si>
  <si>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</si>
  <si>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</si>
  <si>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</si>
  <si>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</si>
  <si>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</si>
  <si>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</si>
  <si>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</si>
  <si>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</si>
  <si>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</si>
  <si>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</si>
  <si>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</si>
  <si>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</si>
  <si>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</si>
  <si>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</si>
  <si>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</si>
  <si>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</si>
  <si>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</si>
  <si>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</si>
  <si>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</si>
  <si>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</si>
  <si>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</si>
  <si>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</si>
  <si>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</si>
  <si>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</si>
  <si>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</si>
  <si>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</si>
  <si>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</si>
  <si>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</si>
  <si>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</si>
  <si>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</si>
  <si>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</si>
  <si>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</si>
  <si>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</si>
  <si>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</si>
  <si>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</si>
  <si>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</si>
  <si>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</si>
  <si>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</si>
  <si>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</si>
  <si>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</si>
  <si>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</si>
  <si>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</si>
  <si>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</si>
  <si>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</si>
  <si>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</si>
  <si>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</si>
  <si>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</si>
  <si>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</si>
  <si>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</si>
  <si>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</si>
  <si>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</si>
  <si>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</si>
  <si>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</si>
  <si>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</si>
  <si>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</si>
  <si>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</si>
  <si>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</si>
  <si>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</si>
  <si>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</si>
  <si>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</si>
  <si>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</si>
  <si>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</si>
  <si>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</si>
  <si>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</si>
  <si>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</si>
  <si>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</si>
  <si>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</si>
  <si>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</si>
  <si>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</si>
  <si>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</si>
  <si>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</si>
  <si>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</si>
  <si>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</si>
  <si>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</si>
  <si>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</si>
  <si>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</si>
  <si>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</si>
  <si>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</si>
  <si>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</si>
  <si>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</si>
  <si>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</si>
  <si>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</si>
  <si>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</si>
  <si>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</si>
  <si>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</si>
  <si>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</si>
  <si>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</si>
  <si>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</si>
  <si>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</si>
  <si>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</si>
  <si>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</si>
  <si>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</si>
  <si>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</si>
  <si>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</si>
  <si>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</si>
  <si>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</si>
  <si>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</si>
  <si>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</si>
  <si>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</si>
  <si>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</si>
  <si>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</si>
  <si>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</si>
  <si>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</si>
  <si>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</si>
  <si>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</si>
  <si>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</si>
  <si>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</si>
  <si>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</si>
  <si>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</si>
  <si>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</si>
  <si>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</si>
  <si>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</si>
  <si>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</si>
  <si>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</si>
  <si>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</si>
  <si>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</si>
  <si>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</si>
  <si>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</si>
  <si>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</si>
  <si>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</si>
  <si>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</si>
  <si>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</si>
  <si>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</si>
  <si>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</si>
  <si>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</si>
  <si>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</si>
  <si>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</si>
  <si>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</si>
  <si>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</si>
  <si>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</si>
  <si>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</si>
  <si>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</si>
  <si>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</si>
  <si>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</si>
  <si>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</si>
  <si>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</si>
  <si>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</si>
  <si>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</si>
  <si>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</si>
  <si>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</si>
  <si>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</si>
  <si>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</si>
  <si>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</si>
  <si>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</si>
  <si>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</si>
  <si>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</si>
  <si>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</si>
  <si>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</si>
  <si>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</si>
  <si>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</si>
  <si>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</si>
  <si>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</si>
  <si>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</si>
  <si>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</si>
  <si>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</si>
  <si>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</si>
  <si>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</si>
  <si>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</si>
  <si>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</si>
  <si>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</si>
  <si>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</si>
  <si>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</si>
  <si>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</si>
  <si>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</si>
  <si>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</si>
  <si>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</si>
  <si>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</si>
  <si>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</si>
  <si>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</si>
  <si>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</si>
  <si>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</si>
  <si>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</si>
  <si>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</si>
  <si>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</si>
  <si>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</si>
  <si>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</si>
  <si>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</si>
  <si>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</si>
  <si>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</si>
  <si>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</si>
  <si>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</si>
  <si>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</si>
  <si>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</si>
  <si>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</si>
  <si>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</si>
  <si>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</si>
  <si>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</si>
  <si>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</si>
  <si>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</si>
  <si>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</si>
  <si>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</si>
  <si>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</si>
  <si>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</si>
  <si>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</si>
  <si>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</si>
  <si>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</si>
  <si>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</si>
  <si>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</si>
  <si>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</si>
  <si>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</si>
  <si>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</si>
  <si>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</si>
  <si>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</si>
  <si>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</si>
  <si>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</si>
  <si>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</si>
  <si>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</si>
  <si>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</si>
  <si>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</si>
  <si>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</si>
  <si>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</si>
  <si>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</si>
  <si>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</si>
  <si>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</si>
  <si>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</si>
  <si>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</si>
  <si>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</si>
  <si>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</si>
  <si>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</si>
  <si>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</si>
  <si>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</si>
  <si>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</si>
  <si>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</si>
  <si>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</si>
  <si>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</si>
  <si>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</si>
  <si>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</si>
  <si>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</si>
  <si>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</si>
  <si>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</si>
  <si>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</si>
  <si>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</si>
  <si>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</si>
  <si>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</si>
  <si>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</si>
  <si>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</si>
  <si>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</si>
  <si>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</si>
  <si>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</si>
  <si>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</si>
  <si>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</si>
  <si>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</si>
  <si>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</si>
  <si>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</si>
  <si>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</si>
  <si>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</si>
  <si>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</si>
  <si>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</si>
  <si>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</si>
  <si>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</si>
  <si>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</si>
  <si>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</si>
  <si>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</si>
  <si>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</si>
  <si>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</si>
  <si>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</si>
  <si>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</si>
  <si>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</si>
  <si>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</si>
  <si>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</si>
  <si>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</si>
  <si>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</si>
  <si>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</si>
  <si>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</si>
  <si>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</si>
  <si>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</si>
  <si>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</si>
  <si>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</si>
  <si>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</si>
  <si>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</si>
  <si>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</si>
  <si>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</si>
  <si>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</si>
  <si>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</si>
  <si>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</si>
  <si>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</si>
  <si>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</si>
  <si>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</si>
  <si>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</si>
  <si>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</si>
  <si>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</si>
  <si>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</si>
  <si>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</si>
  <si>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</si>
  <si>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</si>
  <si>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</si>
  <si>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</si>
  <si>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</si>
  <si>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</si>
  <si>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</si>
  <si>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</si>
  <si>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</si>
  <si>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</si>
  <si>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</si>
  <si>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</si>
  <si>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</si>
  <si>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</si>
  <si>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</si>
  <si>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</si>
  <si>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</si>
  <si>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</si>
  <si>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</si>
  <si>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</si>
  <si>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</si>
  <si>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</si>
  <si>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</si>
  <si>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</si>
  <si>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</si>
  <si>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</si>
  <si>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</si>
  <si>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</si>
  <si>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</si>
  <si>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</si>
  <si>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</si>
  <si>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</si>
  <si>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</si>
  <si>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</si>
  <si>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</si>
  <si>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</si>
  <si>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</si>
  <si>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</si>
  <si>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</si>
  <si>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</si>
  <si>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</si>
  <si>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</si>
  <si>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</si>
  <si>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</si>
  <si>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</si>
  <si>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</si>
  <si>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</si>
  <si>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</si>
  <si>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</si>
  <si>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</si>
  <si>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</si>
  <si>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</si>
  <si>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</si>
  <si>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</si>
  <si>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</si>
  <si>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</si>
  <si>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</si>
  <si>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</si>
  <si>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</si>
  <si>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</si>
  <si>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</si>
  <si>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</si>
  <si>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</si>
  <si>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</si>
  <si>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</si>
  <si>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</si>
  <si>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</si>
  <si>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</si>
  <si>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</si>
  <si>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</si>
  <si>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</si>
  <si>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</si>
  <si>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</si>
  <si>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</si>
  <si>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</si>
  <si>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</si>
  <si>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</si>
  <si>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</si>
  <si>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</si>
  <si>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</si>
  <si>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</si>
  <si>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</si>
  <si>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</si>
  <si>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</si>
  <si>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</si>
  <si>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</si>
  <si>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</si>
  <si>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</si>
  <si>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</si>
  <si>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</si>
  <si>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</si>
  <si>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</si>
  <si>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</si>
  <si>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</si>
  <si>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</si>
  <si>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</si>
  <si>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</si>
  <si>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</si>
  <si>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</si>
  <si>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</si>
  <si>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</si>
  <si>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</si>
  <si>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</si>
  <si>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</si>
  <si>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</si>
  <si>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</si>
  <si>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</si>
  <si>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</si>
  <si>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</si>
  <si>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</si>
  <si>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</si>
  <si>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</si>
  <si>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</si>
  <si>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</si>
  <si>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</si>
  <si>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</si>
  <si>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</si>
  <si>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</si>
  <si>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</si>
  <si>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</si>
  <si>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</si>
  <si>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</si>
  <si>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</si>
  <si>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</si>
  <si>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</si>
  <si>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</si>
  <si>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</si>
  <si>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</si>
  <si>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</si>
  <si>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</si>
  <si>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</si>
  <si>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</si>
  <si>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</si>
  <si>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</si>
  <si>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</si>
  <si>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</si>
  <si>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</si>
  <si>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</si>
  <si>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</si>
  <si>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</si>
  <si>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</si>
  <si>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</si>
  <si>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</si>
  <si>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</si>
  <si>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</si>
  <si>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</si>
  <si>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</si>
  <si>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</si>
  <si>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</si>
  <si>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</si>
  <si>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</si>
  <si>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</si>
  <si>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</si>
  <si>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</si>
  <si>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</si>
  <si>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</si>
  <si>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</si>
  <si>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</si>
  <si>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</si>
  <si>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</si>
  <si>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</si>
  <si>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</si>
  <si>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</si>
  <si>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</si>
  <si>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</si>
  <si>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</si>
  <si>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</si>
  <si>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</si>
  <si>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</si>
  <si>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</si>
  <si>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</si>
  <si>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</si>
  <si>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</si>
  <si>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</si>
  <si>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</si>
  <si>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</si>
  <si>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</si>
  <si>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</si>
  <si>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</si>
  <si>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</si>
  <si>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</si>
  <si>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</si>
  <si>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</si>
  <si>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</si>
  <si>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</si>
  <si>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</si>
  <si>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</si>
  <si>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</si>
  <si>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</si>
  <si>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</si>
  <si>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</si>
  <si>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</si>
  <si>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</si>
  <si>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</si>
  <si>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</si>
  <si>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</si>
  <si>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</si>
  <si>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</si>
  <si>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</si>
  <si>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</si>
  <si>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</si>
  <si>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</si>
  <si>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</si>
  <si>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</si>
  <si>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</si>
  <si>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</si>
  <si>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</si>
  <si>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</si>
  <si>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</si>
  <si>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</si>
  <si>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</si>
  <si>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</si>
  <si>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</si>
  <si>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</si>
  <si>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</si>
  <si>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</si>
  <si>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</si>
  <si>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</si>
  <si>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</si>
  <si>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</si>
  <si>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</si>
  <si>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</si>
  <si>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</si>
  <si>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</si>
  <si>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</si>
  <si>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</si>
  <si>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</si>
  <si>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</si>
  <si>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</si>
  <si>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</si>
  <si>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</si>
  <si>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</si>
  <si>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</si>
  <si>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</si>
  <si>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</si>
  <si>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</si>
  <si>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</si>
  <si>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</si>
  <si>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</si>
  <si>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</si>
  <si>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</si>
  <si>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</si>
  <si>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</si>
  <si>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</si>
  <si>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</si>
  <si>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</si>
  <si>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</si>
  <si>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</si>
  <si>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</si>
  <si>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</si>
  <si>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</si>
  <si>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</si>
  <si>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</si>
  <si>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</si>
  <si>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</si>
  <si>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</si>
  <si>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</si>
  <si>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</si>
  <si>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</si>
  <si>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</si>
  <si>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</si>
  <si>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</si>
  <si>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</si>
  <si>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</si>
  <si>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</si>
  <si>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</si>
  <si>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</si>
  <si>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</si>
  <si>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</si>
  <si>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</si>
  <si>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</si>
  <si>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</si>
  <si>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</si>
  <si>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</si>
  <si>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</si>
  <si>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</si>
  <si>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</si>
  <si>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</si>
  <si>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</si>
  <si>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</si>
  <si>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</si>
  <si>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</si>
  <si>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</si>
  <si>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</si>
  <si>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</si>
  <si>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</si>
  <si>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</si>
  <si>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</si>
  <si>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</si>
  <si>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</si>
  <si>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</si>
  <si>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</si>
  <si>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</si>
  <si>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</si>
  <si>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</si>
  <si>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</si>
  <si>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</si>
  <si>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</si>
  <si>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</si>
  <si>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</si>
  <si>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</si>
  <si>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</si>
  <si>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</si>
  <si>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</si>
  <si>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</si>
  <si>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</si>
  <si>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</si>
  <si>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</si>
  <si>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</si>
  <si>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</si>
  <si>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</si>
  <si>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</si>
  <si>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</si>
  <si>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</si>
  <si>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</si>
  <si>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</si>
  <si>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</si>
  <si>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</si>
  <si>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</si>
  <si>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</si>
  <si>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</si>
  <si>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</si>
  <si>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</si>
  <si>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</si>
  <si>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</si>
  <si>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</si>
  <si>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</si>
  <si>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</si>
  <si>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</si>
  <si>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</si>
  <si>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</si>
  <si>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</si>
  <si>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</si>
  <si>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</si>
  <si>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</si>
  <si>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</si>
  <si>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</si>
  <si>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</si>
  <si>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</si>
  <si>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</si>
  <si>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</si>
  <si>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</si>
  <si>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</si>
  <si>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</si>
  <si>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</si>
  <si>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</si>
  <si>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</si>
  <si>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</si>
  <si>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</si>
  <si>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</si>
  <si>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</si>
  <si>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</si>
  <si>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</si>
  <si>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</si>
  <si>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</si>
  <si>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</si>
  <si>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</si>
  <si>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</si>
  <si>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</si>
  <si>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</si>
  <si>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</si>
  <si>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</si>
  <si>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</si>
  <si>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</si>
  <si>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</si>
  <si>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</si>
  <si>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</si>
  <si>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</si>
  <si>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</si>
  <si>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</si>
  <si>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</si>
  <si>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</si>
  <si>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</si>
  <si>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</si>
  <si>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</si>
  <si>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</si>
  <si>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</si>
  <si>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</si>
  <si>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</si>
  <si>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</si>
  <si>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</si>
  <si>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</si>
  <si>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</si>
  <si>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</si>
  <si>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</si>
  <si>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</si>
  <si>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</si>
  <si>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</si>
  <si>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</si>
  <si>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</si>
  <si>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</si>
  <si>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</si>
  <si>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</si>
  <si>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</si>
  <si>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</si>
  <si>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</si>
  <si>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</si>
  <si>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</si>
  <si>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</si>
  <si>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</si>
  <si>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</si>
  <si>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</si>
  <si>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</si>
  <si>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</si>
  <si>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</si>
  <si>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</si>
  <si>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</si>
  <si>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</si>
  <si>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</si>
  <si>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</si>
  <si>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</si>
  <si>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</si>
  <si>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</si>
  <si>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</si>
  <si>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</si>
  <si>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</si>
  <si>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</si>
  <si>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</si>
  <si>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</si>
  <si>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</si>
  <si>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</si>
  <si>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</si>
  <si>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</si>
  <si>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</si>
  <si>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</si>
  <si>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</si>
  <si>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</si>
  <si>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</si>
  <si>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</si>
  <si>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</si>
  <si>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</si>
  <si>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</si>
  <si>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</si>
  <si>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</si>
  <si>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</si>
  <si>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</si>
  <si>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</si>
  <si>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</si>
  <si>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</si>
  <si>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</si>
  <si>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</si>
  <si>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</si>
  <si>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</si>
  <si>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</si>
  <si>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</si>
  <si>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</si>
  <si>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</si>
  <si>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</si>
  <si>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</si>
  <si>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</si>
  <si>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</si>
  <si>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</si>
  <si>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</si>
  <si>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</si>
  <si>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</si>
  <si>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</si>
  <si>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</si>
  <si>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</si>
  <si>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</si>
  <si>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</si>
  <si>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</si>
  <si>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</si>
  <si>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</si>
  <si>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</si>
  <si>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</si>
  <si>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</si>
  <si>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</si>
  <si>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</si>
  <si>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</si>
  <si>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</si>
  <si>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</si>
  <si>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</si>
  <si>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</si>
  <si>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</si>
  <si>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</si>
  <si>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</si>
  <si>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</si>
  <si>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</si>
  <si>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</si>
  <si>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</si>
  <si>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</si>
  <si>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</si>
  <si>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</si>
  <si>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</si>
  <si>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</si>
  <si>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</si>
  <si>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</si>
  <si>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</si>
  <si>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</si>
  <si>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</si>
  <si>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</si>
  <si>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</si>
  <si>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</si>
  <si>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</si>
  <si>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</si>
  <si>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</si>
  <si>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</si>
  <si>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</si>
  <si>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</si>
  <si>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</si>
  <si>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</si>
  <si>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</si>
  <si>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</si>
  <si>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</si>
  <si>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</si>
  <si>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</si>
  <si>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</si>
  <si>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</si>
  <si>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</si>
  <si>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</si>
  <si>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</si>
  <si>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</si>
  <si>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</si>
  <si>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</si>
  <si>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</si>
  <si>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</si>
  <si>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</si>
  <si>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</si>
  <si>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</si>
  <si>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</si>
  <si>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</si>
  <si>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</si>
  <si>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</si>
  <si>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</si>
  <si>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</si>
  <si>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</si>
  <si>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</si>
  <si>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</si>
  <si>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</si>
  <si>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</si>
  <si>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</si>
  <si>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</si>
  <si>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</si>
  <si>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</si>
  <si>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</si>
  <si>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</si>
  <si>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</si>
  <si>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</si>
  <si>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</si>
  <si>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</si>
  <si>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</si>
  <si>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</si>
  <si>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</si>
  <si>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</si>
  <si>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</si>
  <si>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</si>
  <si>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</si>
  <si>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</si>
  <si>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</si>
  <si>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</si>
  <si>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</si>
  <si>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</si>
  <si>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</si>
  <si>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</si>
  <si>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</si>
  <si>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</si>
  <si>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</si>
  <si>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</si>
  <si>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</si>
  <si>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</si>
  <si>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</si>
  <si>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</si>
  <si>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</si>
  <si>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</si>
  <si>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</si>
  <si>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</si>
  <si>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</si>
  <si>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</si>
  <si>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</si>
  <si>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</si>
  <si>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</si>
  <si>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</si>
  <si>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</si>
  <si>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</si>
  <si>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</si>
  <si>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</si>
  <si>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</si>
  <si>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</si>
  <si>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</si>
  <si>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</si>
  <si>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</si>
  <si>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</si>
  <si>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</si>
  <si>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</si>
  <si>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</si>
  <si>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</si>
  <si>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</si>
  <si>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</si>
  <si>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</si>
  <si>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</si>
  <si>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</si>
  <si>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</si>
  <si>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</si>
  <si>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</si>
  <si>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</si>
  <si>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</si>
  <si>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</si>
  <si>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</si>
  <si>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</si>
  <si>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</si>
  <si>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</si>
  <si>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</si>
  <si>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</si>
  <si>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</si>
  <si>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</si>
  <si>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</si>
  <si>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</si>
  <si>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</si>
  <si>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</si>
  <si>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</si>
  <si>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</si>
  <si>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</si>
  <si>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</si>
  <si>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</si>
  <si>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</si>
  <si>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</si>
  <si>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</si>
  <si>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</si>
  <si>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</si>
  <si>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</si>
  <si>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</si>
  <si>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</si>
  <si>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</si>
  <si>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</si>
  <si>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</si>
  <si>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</si>
  <si>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</si>
  <si>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</si>
  <si>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</si>
  <si>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</si>
  <si>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</si>
  <si>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</si>
  <si>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</si>
  <si>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</si>
  <si>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</si>
  <si>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</si>
  <si>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</si>
  <si>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</si>
  <si>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</si>
  <si>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</si>
  <si>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</si>
  <si>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</si>
  <si>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</si>
  <si>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</si>
  <si>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</si>
  <si>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</si>
  <si>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</si>
  <si>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</si>
  <si>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</si>
  <si>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</si>
  <si>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</si>
  <si>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</si>
  <si>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</si>
  <si>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</si>
  <si>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</si>
  <si>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</si>
  <si>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</si>
  <si>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</si>
  <si>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</si>
  <si>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</si>
  <si>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</si>
  <si>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</si>
  <si>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</si>
  <si>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</si>
  <si>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</si>
  <si>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</si>
  <si>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</si>
  <si>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</si>
  <si>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</si>
  <si>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</si>
  <si>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</si>
  <si>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</si>
  <si>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</si>
  <si>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</si>
  <si>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</si>
  <si>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</si>
  <si>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</si>
  <si>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</si>
  <si>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</si>
  <si>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</si>
  <si>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</si>
  <si>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</si>
  <si>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</si>
  <si>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</si>
  <si>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</si>
  <si>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</si>
  <si>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</si>
  <si>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</si>
  <si>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</si>
  <si>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</si>
  <si>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</si>
  <si>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</si>
  <si>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</si>
  <si>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</si>
  <si>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</si>
  <si>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</si>
  <si>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</si>
  <si>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</si>
  <si>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</si>
  <si>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</si>
  <si>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</si>
  <si>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</si>
  <si>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</si>
  <si>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</si>
  <si>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</si>
  <si>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</si>
  <si>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</si>
  <si>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</si>
  <si>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</si>
  <si>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</si>
  <si>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</si>
  <si>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</si>
  <si>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</si>
  <si>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</si>
  <si>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</si>
  <si>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</si>
  <si>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</si>
  <si>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</si>
  <si>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</si>
  <si>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</si>
  <si>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</si>
  <si>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</si>
  <si>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</si>
  <si>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</si>
  <si>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</si>
  <si>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</si>
  <si>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</si>
  <si>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</si>
  <si>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</si>
  <si>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</si>
  <si>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</si>
  <si>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</si>
  <si>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</si>
  <si>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</si>
  <si>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</si>
  <si>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</si>
  <si>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</si>
  <si>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</si>
  <si>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</si>
  <si>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</si>
  <si>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</si>
  <si>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</si>
  <si>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</si>
  <si>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</si>
  <si>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</si>
  <si>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</si>
  <si>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</si>
  <si>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</si>
  <si>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</si>
  <si>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</si>
  <si>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</si>
  <si>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</si>
  <si>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</si>
  <si>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</si>
  <si>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</si>
  <si>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</si>
  <si>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</si>
  <si>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</si>
  <si>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</si>
  <si>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</si>
  <si>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</si>
  <si>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</si>
  <si>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</si>
  <si>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</si>
  <si>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</si>
  <si>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</si>
  <si>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</si>
  <si>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</si>
  <si>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</si>
  <si>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</si>
  <si>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</si>
  <si>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</si>
  <si>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</si>
  <si>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</si>
  <si>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</si>
  <si>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</si>
  <si>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</si>
  <si>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</si>
  <si>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</si>
  <si>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</si>
  <si>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</si>
  <si>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</si>
  <si>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</si>
  <si>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</si>
  <si>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</si>
  <si>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</si>
  <si>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</si>
  <si>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</si>
  <si>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</si>
  <si>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</si>
  <si>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</si>
  <si>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</si>
  <si>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</si>
  <si>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</si>
  <si>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</si>
  <si>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</si>
  <si>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</si>
  <si>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</si>
  <si>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</si>
  <si>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</si>
  <si>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</si>
  <si>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</si>
  <si>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</si>
  <si>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</si>
  <si>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</si>
  <si>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</si>
  <si>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</si>
  <si>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</si>
  <si>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</si>
  <si>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</si>
  <si>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</si>
  <si>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</si>
  <si>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</si>
  <si>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</si>
  <si>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</si>
  <si>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</si>
  <si>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</si>
  <si>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</si>
  <si>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</si>
  <si>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</si>
  <si>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</si>
  <si>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</si>
  <si>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</si>
  <si>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</si>
  <si>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</si>
  <si>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</si>
  <si>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</si>
  <si>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</si>
  <si>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</si>
  <si>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</si>
  <si>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</si>
  <si>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</si>
  <si>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</si>
  <si>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</si>
  <si>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</si>
  <si>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</si>
  <si>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</si>
  <si>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</si>
  <si>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</si>
  <si>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</si>
  <si>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</si>
  <si>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</si>
  <si>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</si>
  <si>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</si>
  <si>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</si>
  <si>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</si>
  <si>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</si>
  <si>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</si>
  <si>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</si>
  <si>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</si>
  <si>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</si>
  <si>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</si>
  <si>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</si>
  <si>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</si>
  <si>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</si>
  <si>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</si>
  <si>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</si>
  <si>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</si>
  <si>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</si>
  <si>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</si>
  <si>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</si>
  <si>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</si>
  <si>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</si>
  <si>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</si>
  <si>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</si>
  <si>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</si>
  <si>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</si>
  <si>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</si>
  <si>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</si>
  <si>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</si>
  <si>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</si>
  <si>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</si>
  <si>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</si>
  <si>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</si>
  <si>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</si>
  <si>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</si>
  <si>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</si>
  <si>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</si>
  <si>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</si>
  <si>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</si>
  <si>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</si>
  <si>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</si>
  <si>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</si>
  <si>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</si>
  <si>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</si>
  <si>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</si>
  <si>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</si>
  <si>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</si>
  <si>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</si>
  <si>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</si>
  <si>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</si>
  <si>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</si>
  <si>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</si>
  <si>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</si>
  <si>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</si>
  <si>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</si>
  <si>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</si>
  <si>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</si>
  <si>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</si>
  <si>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</si>
  <si>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</si>
  <si>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</si>
  <si>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</si>
  <si>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</si>
  <si>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</si>
  <si>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</si>
  <si>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</si>
  <si>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</si>
  <si>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</si>
  <si>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</si>
  <si>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</si>
  <si>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</si>
  <si>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</si>
  <si>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</si>
  <si>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</si>
  <si>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</si>
  <si>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</si>
  <si>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</si>
  <si>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</si>
  <si>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</si>
  <si>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</si>
  <si>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</si>
  <si>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</si>
  <si>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</si>
  <si>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</si>
  <si>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</si>
  <si>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</si>
  <si>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</si>
  <si>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</si>
  <si>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</si>
  <si>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</si>
  <si>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</si>
  <si>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</si>
  <si>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</si>
  <si>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</si>
  <si>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</si>
  <si>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</si>
  <si>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</si>
  <si>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</si>
  <si>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</si>
  <si>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</si>
  <si>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</si>
  <si>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</si>
  <si>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</si>
  <si>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</si>
  <si>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</si>
  <si>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</si>
  <si>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</si>
  <si>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</si>
  <si>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</si>
  <si>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</si>
  <si>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</si>
  <si>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</si>
  <si>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</si>
  <si>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</si>
  <si>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</si>
  <si>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</si>
  <si>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</si>
  <si>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</si>
  <si>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</si>
  <si>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</si>
  <si>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</si>
  <si>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</si>
  <si>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</si>
  <si>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</si>
  <si>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</si>
  <si>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</si>
  <si>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</si>
  <si>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</si>
  <si>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</si>
  <si>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</si>
  <si>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</si>
  <si>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</si>
  <si>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</si>
  <si>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</si>
  <si>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</si>
  <si>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</si>
  <si>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</si>
  <si>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</si>
  <si>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</si>
  <si>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</si>
  <si>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</si>
  <si>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</si>
  <si>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</si>
  <si>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</si>
  <si>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</si>
  <si>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</si>
  <si>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</si>
  <si>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</si>
  <si>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</si>
  <si>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</si>
  <si>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</si>
  <si>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</si>
  <si>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</si>
  <si>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</si>
  <si>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</si>
  <si>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</si>
  <si>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</si>
  <si>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</si>
  <si>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</si>
  <si>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</si>
  <si>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</si>
  <si>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</si>
  <si>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</si>
  <si>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</si>
  <si>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</si>
  <si>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</si>
  <si>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</si>
  <si>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</si>
  <si>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</si>
  <si>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</si>
  <si>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</si>
  <si>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</si>
  <si>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</si>
  <si>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</si>
  <si>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</si>
  <si>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</si>
  <si>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</si>
  <si>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</si>
  <si>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</si>
  <si>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</si>
  <si>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</si>
  <si>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</si>
  <si>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</si>
  <si>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</si>
  <si>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</si>
  <si>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</si>
  <si>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</si>
  <si>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</si>
  <si>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</si>
  <si>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</si>
  <si>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</si>
  <si>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</si>
  <si>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</si>
  <si>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</si>
  <si>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</si>
  <si>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</si>
  <si>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</si>
  <si>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</si>
  <si>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</si>
  <si>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</si>
  <si>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</si>
  <si>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</si>
  <si>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</si>
  <si>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</si>
  <si>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</si>
  <si>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</si>
  <si>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</si>
  <si>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</si>
  <si>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</si>
  <si>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</si>
  <si>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</si>
  <si>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</si>
  <si>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</si>
  <si>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</si>
  <si>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</si>
  <si>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</si>
  <si>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</si>
  <si>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</si>
  <si>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</si>
  <si>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</si>
  <si>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</si>
  <si>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</si>
  <si>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</si>
  <si>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</si>
  <si>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</si>
  <si>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</si>
  <si>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</si>
  <si>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</si>
  <si>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</si>
  <si>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</si>
  <si>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</si>
  <si>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</si>
  <si>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</si>
  <si>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</si>
  <si>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</si>
  <si>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</si>
  <si>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</si>
  <si>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</si>
  <si>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</si>
  <si>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</si>
  <si>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</si>
  <si>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</si>
  <si>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</si>
  <si>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</si>
  <si>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</si>
  <si>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</si>
  <si>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</si>
  <si>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</si>
  <si>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</si>
  <si>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</si>
  <si>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</si>
  <si>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</si>
  <si>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</si>
  <si>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</si>
  <si>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</si>
  <si>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</si>
  <si>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</si>
  <si>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</si>
  <si>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</si>
  <si>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</si>
  <si>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</si>
  <si>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</si>
  <si>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</si>
  <si>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</si>
  <si>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</si>
  <si>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</si>
  <si>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</si>
  <si>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</si>
  <si>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</si>
  <si>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</si>
  <si>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</si>
  <si>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</si>
  <si>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</si>
  <si>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</si>
  <si>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</si>
  <si>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</si>
  <si>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</si>
  <si>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</si>
  <si>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</si>
  <si>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</si>
  <si>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</si>
  <si>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</si>
  <si>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</si>
  <si>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</si>
  <si>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</si>
  <si>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</si>
  <si>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</si>
  <si>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</si>
  <si>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</si>
  <si>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</si>
  <si>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</si>
  <si>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</si>
  <si>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</si>
  <si>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</si>
  <si>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</si>
  <si>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</si>
  <si>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</si>
  <si>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</si>
  <si>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</si>
  <si>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</si>
  <si>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</si>
  <si>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</si>
  <si>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</si>
  <si>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</si>
  <si>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</si>
  <si>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</si>
  <si>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</si>
  <si>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</si>
  <si>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</si>
  <si>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</si>
  <si>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</si>
  <si>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</si>
  <si>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</si>
  <si>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</si>
  <si>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</si>
  <si>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</si>
  <si>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</si>
  <si>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</si>
  <si>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</si>
  <si>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</si>
  <si>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</si>
  <si>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</si>
  <si>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</si>
  <si>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</si>
  <si>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</si>
  <si>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</si>
  <si>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</si>
  <si>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</si>
  <si>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</si>
  <si>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</si>
  <si>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</si>
  <si>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</si>
  <si>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</si>
  <si>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</si>
  <si>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</si>
  <si>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</si>
  <si>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</si>
  <si>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</si>
  <si>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</si>
  <si>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</si>
  <si>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</si>
  <si>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</si>
  <si>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</si>
  <si>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</si>
  <si>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</si>
  <si>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</si>
  <si>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</si>
  <si>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</si>
  <si>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</si>
  <si>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</si>
  <si>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</si>
  <si>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</si>
  <si>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</si>
  <si>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</si>
  <si>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</si>
  <si>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</si>
  <si>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</si>
  <si>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</si>
  <si>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</si>
  <si>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</si>
  <si>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</si>
  <si>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</si>
  <si>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</si>
  <si>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</si>
  <si>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</si>
  <si>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</si>
  <si>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</si>
  <si>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</si>
  <si>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</si>
  <si>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</si>
  <si>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</si>
  <si>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</si>
  <si>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</si>
  <si>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</si>
  <si>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</si>
  <si>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</si>
  <si>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</si>
  <si>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</si>
  <si>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</si>
  <si>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</si>
  <si>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</si>
  <si>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</si>
  <si>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</si>
  <si>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</si>
  <si>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</si>
  <si>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</si>
  <si>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</si>
  <si>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</si>
  <si>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</si>
  <si>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</si>
  <si>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</si>
  <si>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</si>
  <si>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</si>
  <si>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</si>
  <si>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</si>
  <si>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</si>
  <si>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</si>
  <si>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</si>
  <si>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</si>
  <si>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</si>
  <si>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</si>
  <si>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</si>
  <si>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</si>
  <si>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</si>
  <si>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</si>
  <si>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</si>
  <si>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</si>
  <si>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</si>
  <si>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</si>
  <si>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</si>
  <si>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</si>
  <si>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</si>
  <si>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</si>
  <si>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</si>
  <si>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</si>
  <si>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</si>
  <si>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</si>
  <si>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</si>
  <si>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</si>
  <si>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</si>
  <si>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</si>
  <si>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</si>
  <si>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</si>
  <si>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</si>
  <si>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</si>
  <si>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</si>
  <si>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</si>
  <si>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</si>
  <si>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</si>
  <si>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</si>
  <si>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</si>
  <si>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</si>
  <si>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</si>
  <si>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</si>
  <si>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</si>
  <si>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</si>
  <si>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</si>
  <si>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</si>
  <si>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</si>
  <si>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</si>
  <si>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</si>
  <si>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</si>
  <si>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</si>
  <si>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</si>
  <si>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</si>
  <si>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</si>
  <si>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</si>
  <si>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</si>
  <si>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</si>
  <si>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</si>
  <si>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</si>
  <si>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</si>
  <si>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</si>
  <si>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</si>
  <si>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</si>
  <si>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</si>
  <si>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</si>
  <si>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</si>
  <si>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</si>
  <si>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</si>
  <si>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</si>
  <si>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</si>
  <si>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</si>
  <si>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</si>
  <si>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</si>
  <si>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</si>
  <si>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</si>
  <si>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</si>
  <si>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</si>
  <si>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</si>
  <si>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</si>
  <si>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</si>
  <si>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</si>
  <si>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</si>
  <si>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</si>
  <si>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</si>
  <si>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</si>
  <si>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</si>
  <si>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</si>
  <si>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</si>
  <si>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</si>
  <si>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</si>
  <si>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</si>
  <si>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</si>
  <si>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</si>
  <si>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</si>
  <si>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</si>
  <si>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</si>
  <si>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</si>
  <si>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</si>
  <si>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</si>
  <si>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</si>
  <si>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</si>
  <si>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</si>
  <si>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</si>
  <si>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</si>
  <si>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</si>
  <si>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</si>
  <si>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</si>
  <si>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</si>
  <si>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</si>
  <si>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</si>
  <si>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</si>
  <si>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</si>
  <si>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</si>
  <si>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</si>
  <si>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</si>
  <si>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</si>
  <si>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</si>
  <si>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</si>
  <si>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</si>
  <si>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</si>
  <si>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</si>
  <si>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</si>
  <si>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</si>
  <si>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</si>
  <si>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</si>
  <si>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</si>
  <si>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</si>
  <si>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</si>
  <si>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</si>
  <si>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</si>
  <si>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</si>
  <si>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</si>
  <si>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</si>
  <si>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</si>
  <si>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</si>
  <si>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</si>
  <si>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</si>
  <si>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</si>
  <si>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</si>
  <si>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</si>
  <si>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</si>
  <si>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</si>
  <si>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</si>
  <si>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</si>
  <si>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</si>
  <si>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</si>
  <si>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</si>
  <si>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</si>
  <si>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</si>
  <si>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</si>
  <si>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</si>
  <si>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</si>
  <si>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</si>
  <si>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</si>
  <si>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</si>
  <si>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</si>
  <si>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</si>
  <si>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</si>
  <si>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</si>
  <si>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</si>
  <si>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</si>
  <si>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</si>
  <si>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</si>
  <si>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</si>
  <si>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</si>
  <si>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</si>
  <si>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</si>
  <si>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</si>
  <si>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</si>
  <si>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</si>
  <si>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</si>
  <si>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</si>
  <si>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</si>
  <si>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</si>
  <si>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</si>
  <si>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</si>
  <si>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</si>
  <si>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</si>
  <si>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</si>
  <si>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</si>
  <si>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</si>
  <si>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</si>
  <si>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</si>
  <si>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</si>
  <si>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</si>
  <si>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</si>
  <si>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</si>
  <si>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</si>
  <si>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</si>
  <si>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</si>
  <si>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</si>
  <si>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</si>
  <si>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</si>
  <si>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</si>
  <si>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</si>
  <si>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</si>
  <si>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</si>
  <si>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</si>
  <si>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</si>
  <si>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</si>
  <si>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</si>
  <si>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</si>
  <si>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</si>
  <si>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</si>
  <si>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</si>
  <si>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</si>
  <si>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</si>
  <si>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</si>
  <si>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</si>
  <si>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</si>
  <si>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</si>
  <si>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</si>
  <si>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</si>
  <si>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</si>
  <si>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</si>
  <si>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</si>
  <si>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</si>
  <si>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</si>
  <si>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</si>
  <si>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</si>
  <si>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</si>
  <si>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</si>
  <si>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</si>
  <si>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</si>
  <si>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</si>
  <si>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</si>
  <si>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</si>
  <si>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</si>
  <si>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</si>
  <si>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</si>
  <si>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</si>
  <si>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</si>
  <si>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</si>
  <si>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</si>
  <si>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</si>
  <si>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</si>
  <si>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</si>
  <si>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</si>
  <si>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</si>
  <si>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</si>
  <si>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</si>
  <si>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</si>
  <si>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</si>
  <si>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</si>
  <si>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</si>
  <si>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</si>
  <si>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</si>
  <si>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</si>
  <si>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</si>
  <si>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</si>
  <si>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</si>
  <si>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</si>
  <si>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</si>
  <si>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</si>
  <si>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</si>
  <si>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</si>
  <si>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</si>
  <si>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</si>
  <si>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</si>
  <si>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</si>
  <si>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</si>
  <si>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</si>
  <si>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</si>
  <si>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</si>
  <si>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</si>
  <si>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</si>
  <si>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</si>
  <si>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</si>
  <si>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</si>
  <si>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</si>
  <si>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</si>
  <si>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</si>
  <si>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</si>
  <si>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</si>
  <si>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</si>
  <si>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</si>
  <si>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</si>
  <si>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</si>
  <si>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</si>
  <si>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</si>
  <si>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</si>
  <si>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</si>
  <si>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</si>
  <si>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</si>
  <si>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</si>
  <si>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</si>
  <si>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</si>
  <si>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</si>
  <si>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</si>
  <si>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</si>
  <si>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</si>
  <si>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</si>
  <si>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</si>
  <si>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</si>
  <si>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</si>
  <si>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</si>
  <si>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</si>
  <si>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</si>
  <si>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</si>
  <si>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</si>
  <si>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</si>
  <si>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</si>
  <si>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</si>
  <si>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</si>
  <si>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</si>
  <si>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</si>
  <si>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</si>
  <si>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</si>
  <si>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</si>
  <si>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</si>
  <si>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</si>
  <si>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</si>
  <si>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</si>
  <si>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</si>
  <si>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</si>
  <si>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</si>
  <si>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</si>
  <si>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</si>
  <si>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</si>
  <si>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</si>
  <si>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</si>
  <si>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</si>
  <si>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</si>
  <si>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</si>
  <si>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</si>
  <si>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</si>
  <si>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</si>
  <si>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</si>
  <si>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</si>
  <si>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</si>
  <si>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</si>
  <si>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</si>
  <si>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</si>
  <si>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</si>
  <si>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</si>
  <si>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</si>
  <si>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</si>
  <si>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</si>
  <si>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</si>
  <si>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</si>
  <si>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</si>
  <si>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</si>
  <si>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</si>
  <si>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</si>
  <si>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</si>
  <si>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</si>
  <si>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</si>
  <si>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</si>
  <si>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</si>
  <si>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</si>
  <si>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</si>
  <si>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</si>
  <si>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</si>
  <si>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</si>
  <si>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</si>
  <si>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</si>
  <si>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</si>
  <si>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</si>
  <si>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</si>
  <si>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</si>
  <si>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</si>
  <si>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</si>
  <si>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</si>
  <si>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</si>
  <si>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</si>
  <si>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</si>
  <si>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</si>
  <si>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</si>
  <si>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</si>
  <si>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</si>
  <si>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</si>
  <si>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</si>
  <si>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</si>
  <si>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</si>
  <si>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</si>
  <si>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</si>
  <si>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</si>
  <si>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</si>
  <si>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</si>
  <si>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</si>
  <si>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</si>
  <si>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</si>
  <si>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</si>
  <si>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</si>
  <si>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</si>
  <si>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</si>
  <si>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</si>
  <si>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</si>
  <si>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</si>
  <si>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</si>
  <si>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</si>
  <si>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</si>
  <si>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</si>
  <si>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</si>
  <si>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</si>
  <si>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</si>
  <si>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</si>
  <si>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</si>
  <si>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</si>
  <si>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</si>
  <si>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</si>
  <si>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</si>
  <si>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</si>
  <si>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</si>
  <si>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</si>
  <si>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</si>
  <si>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</si>
  <si>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</si>
  <si>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</si>
  <si>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</si>
  <si>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</si>
  <si>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</si>
  <si>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</si>
  <si>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</si>
  <si>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</si>
  <si>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</si>
  <si>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</si>
  <si>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</si>
  <si>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</si>
  <si>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</si>
  <si>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</si>
  <si>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</si>
  <si>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</si>
  <si>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</si>
  <si>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</si>
  <si>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</si>
  <si>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</si>
  <si>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</si>
  <si>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</si>
  <si>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</si>
  <si>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</si>
  <si>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</si>
  <si>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</si>
  <si>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</si>
  <si>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</si>
  <si>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</si>
  <si>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</si>
  <si>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</si>
  <si>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</si>
  <si>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</si>
  <si>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</si>
  <si>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</si>
  <si>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</si>
  <si>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</si>
  <si>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</si>
  <si>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</si>
  <si>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</si>
  <si>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</si>
  <si>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</si>
  <si>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</si>
  <si>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</si>
  <si>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</si>
  <si>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</si>
  <si>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</si>
  <si>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</si>
  <si>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</si>
  <si>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</si>
  <si>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</si>
  <si>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</si>
  <si>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</si>
  <si>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</si>
  <si>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</si>
  <si>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</si>
  <si>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</si>
  <si>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</si>
  <si>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</si>
  <si>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</si>
  <si>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</si>
  <si>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</si>
  <si>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</si>
  <si>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</si>
  <si>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</si>
  <si>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</si>
  <si>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</si>
  <si>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</si>
  <si>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</si>
  <si>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</si>
  <si>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</si>
  <si>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</si>
  <si>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</si>
  <si>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</si>
  <si>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</si>
  <si>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</si>
  <si>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</si>
  <si>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</si>
  <si>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</si>
  <si>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</si>
  <si>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</si>
  <si>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</si>
  <si>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</si>
  <si>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</si>
  <si>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</si>
  <si>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</si>
  <si>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</si>
  <si>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</si>
  <si>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</si>
  <si>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</si>
  <si>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</si>
  <si>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</si>
  <si>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</si>
  <si>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</si>
  <si>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</si>
  <si>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</si>
  <si>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</si>
  <si>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</si>
  <si>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</si>
  <si>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</si>
  <si>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</si>
  <si>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</si>
  <si>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</si>
  <si>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</si>
  <si>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</si>
  <si>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</si>
  <si>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</si>
  <si>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</si>
  <si>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</si>
  <si>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</si>
  <si>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</si>
  <si>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</si>
  <si>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</si>
  <si>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</si>
  <si>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</si>
  <si>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</si>
  <si>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</si>
  <si>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</si>
  <si>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</si>
  <si>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</si>
  <si>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</si>
  <si>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</si>
  <si>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</si>
  <si>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</si>
  <si>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</si>
  <si>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</si>
  <si>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</si>
  <si>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</si>
  <si>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</si>
  <si>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</si>
  <si>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</si>
  <si>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</si>
  <si>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</si>
  <si>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</si>
  <si>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</si>
  <si>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</si>
  <si>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</si>
  <si>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</si>
  <si>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</si>
  <si>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</si>
  <si>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</si>
  <si>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</si>
  <si>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</si>
  <si>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</si>
  <si>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</si>
  <si>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</si>
  <si>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</si>
  <si>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</si>
  <si>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</si>
  <si>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</si>
  <si>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</si>
  <si>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</si>
  <si>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</si>
  <si>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</si>
  <si>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</si>
  <si>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</si>
  <si>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</si>
  <si>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</si>
  <si>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</si>
  <si>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</si>
  <si>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</si>
  <si>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</si>
  <si>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</si>
  <si>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</si>
  <si>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</si>
  <si>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</si>
  <si>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</si>
  <si>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</si>
  <si>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</si>
  <si>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</si>
  <si>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</si>
  <si>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</si>
  <si>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</si>
  <si>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</si>
  <si>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</si>
  <si>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</si>
  <si>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</si>
  <si>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</si>
  <si>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</si>
  <si>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</si>
  <si>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</si>
  <si>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</si>
  <si>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</si>
  <si>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</si>
  <si>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</si>
  <si>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</si>
  <si>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</si>
  <si>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</si>
  <si>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</si>
  <si>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</si>
  <si>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</si>
  <si>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</si>
  <si>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</si>
  <si>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</si>
  <si>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</si>
  <si>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</si>
  <si>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</si>
  <si>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</si>
  <si>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</si>
  <si>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</si>
  <si>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</si>
  <si>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</si>
  <si>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</si>
  <si>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</si>
  <si>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</si>
  <si>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</si>
  <si>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</si>
  <si>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</si>
  <si>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</si>
  <si>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</si>
  <si>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</si>
  <si>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</si>
  <si>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</si>
  <si>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</si>
  <si>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</si>
  <si>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</si>
  <si>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</si>
  <si>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</si>
  <si>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</si>
  <si>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</si>
  <si>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</si>
  <si>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</si>
  <si>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</si>
  <si>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</si>
  <si>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</si>
  <si>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</si>
  <si>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</si>
  <si>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</si>
  <si>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</si>
  <si>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</si>
  <si>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</si>
  <si>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</si>
  <si>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</si>
  <si>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</si>
  <si>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</si>
  <si>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</si>
  <si>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</si>
  <si>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</si>
  <si>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</si>
  <si>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</si>
  <si>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</si>
  <si>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</si>
  <si>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</si>
  <si>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</si>
  <si>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</si>
  <si>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</si>
  <si>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</si>
  <si>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</si>
  <si>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</si>
  <si>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</si>
  <si>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</si>
  <si>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</si>
  <si>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</si>
  <si>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</si>
  <si>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</si>
  <si>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</si>
  <si>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</si>
  <si>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</si>
  <si>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</si>
  <si>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</si>
  <si>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</si>
  <si>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</si>
  <si>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</si>
  <si>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</si>
  <si>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</si>
  <si>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</si>
  <si>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</si>
  <si>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</si>
  <si>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</si>
  <si>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</si>
  <si>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</si>
  <si>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</si>
  <si>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</si>
  <si>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</si>
  <si>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</si>
  <si>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</si>
  <si>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</si>
  <si>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</si>
  <si>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</si>
  <si>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</si>
  <si>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</si>
  <si>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</si>
  <si>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</si>
  <si>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</si>
  <si>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</si>
  <si>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</si>
  <si>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</si>
  <si>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</si>
  <si>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</si>
  <si>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</si>
  <si>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</si>
  <si>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</si>
  <si>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</si>
  <si>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</si>
  <si>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</si>
  <si>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</si>
  <si>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</si>
  <si>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</si>
  <si>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</si>
  <si>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</si>
  <si>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</si>
  <si>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</si>
  <si>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</si>
  <si>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</si>
  <si>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</si>
  <si>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</si>
  <si>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</si>
  <si>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</si>
  <si>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</si>
  <si>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</si>
  <si>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</si>
  <si>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</si>
  <si>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</si>
  <si>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</si>
  <si>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</si>
  <si>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</si>
  <si>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</si>
  <si>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</si>
  <si>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</si>
  <si>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</si>
  <si>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</si>
  <si>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</si>
  <si>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</si>
  <si>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</si>
  <si>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</si>
  <si>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</si>
  <si>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</si>
  <si>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</si>
  <si>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</si>
  <si>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</si>
  <si>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</si>
  <si>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</si>
  <si>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</si>
  <si>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</si>
  <si>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</si>
  <si>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</si>
  <si>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</si>
  <si>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</si>
  <si>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</si>
  <si>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</si>
  <si>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</si>
  <si>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</si>
  <si>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</si>
  <si>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</si>
  <si>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</si>
  <si>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</si>
  <si>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</si>
  <si>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</si>
  <si>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</si>
  <si>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</si>
  <si>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</si>
  <si>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</si>
  <si>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</si>
  <si>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</si>
  <si>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</si>
  <si>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</si>
  <si>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</si>
  <si>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</si>
  <si>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</si>
  <si>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</si>
  <si>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</si>
  <si>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</si>
  <si>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</si>
  <si>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</si>
  <si>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</si>
  <si>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</si>
  <si>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</si>
  <si>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</si>
  <si>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</si>
  <si>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</si>
  <si>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</si>
  <si>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</si>
  <si>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</si>
  <si>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</si>
  <si>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</si>
  <si>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</si>
  <si>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</si>
  <si>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</si>
  <si>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</si>
  <si>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</si>
  <si>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</si>
  <si>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</si>
  <si>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</si>
  <si>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</si>
  <si>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</si>
  <si>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</si>
  <si>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</si>
  <si>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</si>
  <si>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</si>
  <si>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</si>
  <si>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</si>
  <si>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</si>
  <si>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</si>
  <si>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</si>
  <si>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</si>
  <si>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</si>
  <si>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</si>
  <si>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</si>
  <si>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</si>
  <si>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</si>
  <si>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</si>
  <si>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</si>
  <si>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</si>
  <si>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</si>
  <si>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</si>
  <si>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</si>
  <si>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</si>
  <si>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</si>
  <si>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</si>
  <si>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</si>
  <si>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</si>
  <si>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</si>
  <si>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</si>
  <si>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</si>
  <si>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</si>
  <si>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</si>
  <si>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</si>
  <si>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</si>
  <si>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</si>
  <si>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</si>
  <si>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</si>
  <si>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</si>
  <si>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</si>
  <si>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</si>
  <si>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</si>
  <si>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</si>
  <si>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</si>
  <si>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</si>
  <si>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</si>
  <si>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</si>
  <si>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</si>
  <si>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</si>
  <si>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</si>
  <si>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</si>
  <si>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</si>
  <si>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</si>
  <si>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</si>
  <si>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</si>
  <si>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</si>
  <si>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</si>
  <si>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</si>
  <si>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</si>
  <si>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</si>
  <si>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</si>
  <si>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</si>
  <si>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</si>
  <si>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</si>
  <si>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</si>
  <si>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</si>
  <si>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</si>
  <si>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</si>
  <si>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</si>
  <si>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</si>
  <si>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</si>
  <si>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</si>
  <si>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</si>
  <si>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</si>
  <si>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</si>
  <si>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</si>
  <si>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</si>
  <si>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</si>
  <si>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</si>
  <si>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</si>
  <si>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</si>
  <si>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</si>
  <si>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</si>
  <si>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</si>
  <si>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</si>
  <si>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</si>
  <si>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</si>
  <si>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</si>
  <si>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</si>
  <si>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</si>
  <si>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</si>
  <si>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</si>
  <si>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</si>
  <si>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</si>
  <si>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</si>
  <si>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</si>
  <si>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</si>
  <si>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</si>
  <si>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</si>
  <si>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</si>
  <si>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</si>
  <si>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</si>
  <si>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</si>
  <si>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</si>
  <si>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</si>
  <si>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</si>
  <si>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</si>
  <si>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</si>
  <si>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</si>
  <si>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</si>
  <si>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</si>
  <si>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</si>
  <si>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</si>
  <si>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</si>
  <si>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</si>
  <si>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</si>
  <si>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</si>
  <si>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</si>
  <si>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</si>
  <si>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</si>
  <si>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</si>
  <si>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</si>
  <si>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</si>
  <si>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</si>
  <si>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</si>
  <si>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</si>
  <si>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</si>
  <si>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</si>
  <si>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</si>
  <si>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</si>
  <si>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</si>
  <si>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</si>
  <si>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</si>
  <si>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</si>
  <si>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</si>
  <si>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</si>
  <si>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</si>
  <si>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</si>
  <si>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</si>
  <si>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</si>
  <si>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</si>
  <si>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</si>
  <si>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</si>
  <si>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</si>
  <si>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</si>
  <si>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</si>
  <si>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</si>
  <si>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</si>
  <si>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</si>
  <si>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</si>
  <si>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</si>
  <si>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</si>
  <si>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</si>
  <si>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</si>
  <si>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</si>
  <si>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</si>
  <si>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</si>
  <si>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</si>
  <si>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</si>
  <si>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</si>
  <si>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</si>
  <si>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</si>
  <si>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</si>
  <si>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</si>
  <si>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</si>
  <si>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</si>
  <si>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</si>
  <si>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</si>
  <si>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</si>
  <si>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</si>
  <si>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</si>
  <si>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</si>
  <si>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</si>
  <si>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</si>
  <si>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</si>
  <si>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</si>
  <si>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</si>
  <si>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</si>
  <si>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</si>
  <si>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</si>
  <si>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</si>
  <si>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</si>
  <si>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</si>
  <si>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</si>
  <si>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</si>
  <si>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</si>
  <si>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</si>
  <si>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</si>
  <si>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</si>
  <si>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</si>
  <si>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</si>
  <si>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</si>
  <si>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</si>
  <si>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</si>
  <si>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</si>
  <si>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</si>
  <si>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</si>
  <si>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</si>
  <si>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</si>
  <si>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</si>
  <si>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</si>
  <si>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</si>
  <si>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</si>
  <si>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</si>
  <si>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</si>
  <si>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</si>
  <si>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</si>
  <si>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</si>
  <si>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</si>
  <si>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</si>
  <si>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</si>
  <si>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</si>
  <si>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</si>
  <si>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</si>
  <si>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</si>
  <si>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</si>
  <si>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</si>
  <si>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</si>
  <si>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</si>
  <si>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</si>
  <si>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</si>
  <si>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</si>
  <si>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</si>
  <si>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</si>
  <si>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</si>
  <si>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</si>
  <si>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</si>
  <si>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</si>
  <si>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</si>
  <si>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</si>
  <si>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</si>
  <si>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</si>
  <si>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</si>
  <si>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</si>
  <si>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</si>
  <si>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</si>
  <si>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</si>
  <si>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</si>
  <si>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</si>
  <si>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</si>
  <si>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</si>
  <si>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</si>
  <si>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</si>
  <si>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</si>
  <si>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</si>
  <si>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</si>
  <si>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</si>
  <si>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</si>
  <si>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</si>
  <si>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</si>
  <si>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</si>
  <si>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</si>
  <si>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</si>
  <si>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</si>
  <si>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</si>
  <si>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</si>
  <si>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</si>
  <si>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</si>
  <si>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</si>
  <si>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</si>
  <si>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</si>
  <si>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</si>
  <si>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</si>
  <si>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</si>
  <si>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</si>
  <si>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</si>
  <si>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</si>
  <si>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</si>
  <si>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</si>
  <si>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</si>
  <si>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</si>
  <si>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</si>
  <si>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</si>
  <si>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</si>
  <si>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</si>
  <si>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</si>
  <si>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</si>
  <si>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</si>
  <si>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</si>
  <si>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</si>
  <si>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</si>
  <si>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</si>
  <si>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</si>
  <si>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</si>
  <si>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</si>
  <si>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</si>
  <si>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</si>
  <si>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</si>
  <si>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</si>
  <si>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</si>
  <si>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</si>
  <si>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</si>
  <si>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</si>
  <si>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</si>
  <si>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</si>
  <si>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</si>
  <si>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</si>
  <si>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</si>
  <si>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</si>
  <si>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</si>
  <si>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</si>
  <si>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</si>
  <si>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</si>
  <si>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</si>
  <si>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</si>
  <si>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</si>
  <si>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</si>
  <si>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</si>
  <si>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</si>
  <si>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</si>
  <si>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</si>
  <si>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</si>
  <si>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</si>
  <si>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</si>
  <si>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</si>
  <si>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</si>
  <si>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</si>
  <si>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</si>
  <si>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</si>
  <si>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</si>
  <si>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</si>
  <si>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</si>
  <si>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</si>
  <si>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</si>
  <si>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</si>
  <si>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</si>
  <si>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</si>
  <si>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</si>
  <si>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</si>
  <si>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</si>
  <si>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</si>
  <si>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</si>
  <si>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</si>
  <si>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</si>
  <si>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</si>
  <si>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</si>
  <si>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</si>
  <si>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</si>
  <si>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</si>
  <si>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</si>
  <si>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</si>
  <si>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</si>
  <si>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</si>
  <si>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</si>
  <si>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</si>
  <si>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</si>
  <si>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</si>
  <si>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</si>
  <si>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</si>
  <si>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</si>
  <si>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</si>
  <si>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</si>
  <si>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</si>
  <si>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</si>
  <si>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</si>
  <si>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</si>
  <si>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</si>
  <si>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</si>
  <si>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</si>
  <si>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</si>
  <si>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</si>
  <si>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</si>
  <si>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</si>
  <si>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</si>
  <si>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</si>
  <si>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</si>
  <si>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</si>
  <si>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</si>
  <si>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</si>
  <si>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</si>
  <si>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</si>
  <si>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</si>
  <si>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</si>
  <si>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</si>
  <si>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</si>
  <si>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</si>
  <si>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</si>
  <si>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</si>
  <si>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</si>
  <si>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</si>
  <si>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</si>
  <si>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</si>
  <si>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</si>
  <si>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</si>
  <si>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</si>
  <si>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</si>
  <si>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</si>
  <si>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</si>
  <si>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</si>
  <si>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</si>
  <si>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</si>
  <si>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</si>
  <si>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</si>
  <si>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</si>
  <si>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</si>
  <si>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</si>
  <si>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</si>
  <si>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</si>
  <si>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</si>
  <si>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</si>
  <si>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</si>
  <si>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</si>
  <si>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</si>
  <si>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</si>
  <si>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</si>
  <si>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</si>
  <si>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</si>
  <si>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</si>
  <si>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</si>
  <si>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</si>
  <si>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</si>
  <si>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</si>
  <si>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</si>
  <si>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</si>
  <si>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</si>
  <si>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</si>
  <si>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</si>
  <si>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</si>
  <si>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</si>
  <si>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</si>
  <si>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</si>
  <si>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</si>
  <si>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</si>
  <si>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</si>
  <si>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</si>
  <si>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</si>
  <si>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</si>
  <si>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</si>
  <si>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</si>
  <si>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</si>
  <si>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</si>
  <si>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</si>
  <si>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</si>
  <si>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</si>
  <si>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</si>
  <si>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</si>
  <si>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</si>
  <si>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</si>
  <si>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</si>
  <si>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</si>
  <si>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</si>
  <si>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</si>
  <si>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</si>
  <si>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</si>
  <si>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</si>
  <si>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</si>
  <si>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</si>
  <si>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</si>
  <si>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</si>
  <si>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</si>
  <si>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</si>
  <si>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</si>
  <si>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</si>
  <si>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</si>
  <si>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</si>
  <si>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</si>
  <si>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</si>
  <si>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</si>
  <si>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</si>
  <si>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</si>
  <si>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</si>
  <si>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</si>
  <si>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</si>
  <si>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</si>
  <si>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</si>
  <si>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</si>
  <si>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</si>
  <si>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</si>
  <si>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</si>
  <si>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</si>
  <si>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</si>
  <si>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</si>
  <si>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</si>
  <si>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</si>
  <si>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</si>
  <si>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</si>
  <si>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</si>
  <si>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</si>
  <si>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</si>
  <si>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</si>
  <si>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</si>
  <si>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</si>
  <si>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</si>
  <si>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</si>
  <si>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</si>
  <si>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</si>
  <si>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</si>
  <si>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</si>
  <si>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</si>
  <si>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</si>
  <si>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</si>
  <si>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</si>
  <si>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</si>
  <si>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</si>
  <si>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</si>
  <si>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</si>
  <si>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</si>
  <si>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</si>
  <si>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</si>
  <si>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</si>
  <si>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</si>
  <si>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</si>
  <si>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</si>
  <si>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</si>
  <si>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</si>
  <si>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</si>
  <si>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</si>
  <si>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</si>
  <si>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</si>
  <si>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</si>
  <si>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</si>
  <si>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</si>
  <si>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</si>
  <si>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</si>
  <si>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</si>
  <si>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</si>
  <si>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</si>
  <si>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</si>
  <si>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</si>
  <si>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</si>
  <si>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</si>
  <si>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</si>
  <si>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</si>
  <si>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</si>
  <si>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</si>
  <si>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</si>
  <si>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</si>
  <si>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</si>
  <si>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</si>
  <si>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</si>
  <si>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</si>
  <si>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</si>
  <si>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</si>
  <si>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</si>
  <si>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</si>
  <si>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</si>
  <si>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</si>
  <si>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</si>
  <si>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</si>
  <si>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</si>
  <si>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</si>
  <si>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</si>
  <si>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</si>
  <si>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</si>
  <si>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</si>
  <si>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</si>
  <si>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</si>
  <si>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</si>
  <si>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</si>
  <si>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</si>
  <si>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</si>
  <si>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</si>
  <si>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</si>
  <si>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</si>
  <si>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</si>
  <si>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</si>
  <si>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</si>
  <si>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</si>
  <si>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</si>
  <si>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</si>
  <si>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</si>
  <si>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</si>
  <si>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</si>
  <si>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</si>
  <si>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</si>
  <si>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</si>
  <si>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</si>
  <si>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</si>
  <si>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</si>
  <si>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</si>
  <si>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</si>
  <si>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</si>
  <si>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</si>
  <si>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</si>
  <si>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</si>
  <si>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</si>
  <si>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</si>
  <si>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</si>
  <si>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</si>
  <si>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</si>
  <si>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</si>
  <si>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</si>
  <si>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</si>
  <si>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</si>
  <si>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</si>
  <si>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</si>
  <si>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</si>
  <si>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</si>
  <si>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</si>
  <si>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</si>
  <si>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</si>
  <si>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</si>
  <si>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</si>
  <si>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</si>
  <si>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</si>
  <si>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</si>
  <si>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</si>
  <si>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</si>
  <si>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</si>
  <si>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</si>
  <si>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</si>
  <si>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</si>
  <si>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</si>
  <si>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</si>
  <si>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</si>
  <si>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</si>
  <si>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</si>
  <si>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</si>
  <si>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</si>
  <si>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</si>
  <si>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</si>
  <si>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</si>
  <si>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</si>
  <si>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</si>
  <si>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</si>
  <si>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</si>
  <si>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</si>
  <si>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</si>
  <si>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</si>
  <si>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</si>
  <si>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</si>
  <si>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</si>
  <si>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</si>
  <si>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</si>
  <si>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</si>
  <si>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</si>
  <si>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</si>
  <si>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</si>
  <si>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</si>
  <si>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</si>
  <si>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</si>
  <si>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</si>
  <si>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</si>
  <si>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</si>
  <si>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</si>
  <si>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</si>
  <si>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</si>
  <si>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</si>
  <si>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</si>
  <si>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</si>
  <si>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</si>
  <si>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</si>
  <si>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</si>
  <si>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</si>
  <si>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</si>
  <si>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</si>
  <si>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</si>
  <si>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</si>
  <si>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</si>
  <si>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</si>
  <si>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</si>
  <si>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</si>
  <si>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</si>
  <si>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</si>
  <si>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</si>
  <si>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</si>
  <si>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</si>
  <si>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</si>
  <si>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</si>
  <si>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</si>
  <si>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</si>
  <si>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</si>
  <si>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</si>
  <si>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</si>
  <si>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</si>
  <si>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</si>
  <si>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</si>
  <si>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</si>
  <si>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</si>
  <si>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</si>
  <si>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</si>
  <si>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</si>
  <si>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</si>
  <si>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</si>
  <si>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</si>
  <si>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</si>
  <si>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</si>
  <si>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</si>
  <si>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</si>
  <si>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</si>
  <si>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</si>
  <si>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</si>
  <si>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</si>
  <si>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</si>
  <si>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</si>
  <si>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</si>
  <si>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</si>
  <si>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</si>
  <si>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</si>
  <si>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</si>
  <si>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</si>
  <si>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</si>
  <si>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</si>
  <si>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</si>
  <si>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</si>
  <si>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</si>
  <si>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</si>
  <si>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</si>
  <si>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</si>
  <si>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</si>
  <si>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</si>
  <si>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</si>
  <si>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</si>
  <si>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</si>
  <si>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</si>
  <si>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</si>
  <si>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</si>
  <si>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</si>
  <si>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</si>
  <si>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</si>
  <si>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</si>
  <si>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</si>
  <si>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</si>
  <si>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</si>
  <si>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</si>
  <si>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</si>
  <si>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</si>
  <si>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</si>
  <si>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</si>
  <si>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</si>
  <si>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</si>
  <si>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</si>
  <si>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</si>
  <si>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</si>
  <si>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</si>
  <si>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</si>
  <si>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</si>
  <si>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</si>
  <si>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</si>
  <si>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</si>
  <si>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</si>
  <si>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</si>
  <si>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</si>
  <si>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</si>
  <si>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</si>
  <si>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</si>
  <si>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</si>
  <si>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</si>
  <si>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</si>
  <si>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</si>
  <si>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</si>
  <si>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</si>
  <si>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</si>
  <si>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</si>
  <si>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</si>
  <si>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</si>
  <si>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</si>
  <si>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</si>
  <si>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</si>
  <si>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</si>
  <si>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</si>
  <si>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</si>
  <si>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</si>
  <si>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</si>
  <si>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</si>
  <si>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</si>
  <si>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</si>
  <si>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</si>
  <si>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</si>
  <si>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</si>
  <si>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</si>
  <si>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</si>
  <si>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</si>
  <si>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</si>
  <si>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</si>
  <si>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</si>
  <si>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</si>
  <si>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</si>
  <si>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</si>
  <si>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</si>
  <si>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</si>
  <si>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</si>
  <si>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</si>
  <si>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</si>
  <si>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</si>
  <si>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</si>
  <si>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</si>
  <si>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</si>
  <si>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</si>
  <si>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</si>
  <si>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</si>
  <si>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</si>
  <si>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</si>
  <si>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</si>
  <si>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</si>
  <si>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</si>
  <si>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</si>
  <si>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</si>
  <si>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</si>
  <si>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</si>
  <si>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</si>
  <si>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</si>
  <si>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</si>
  <si>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</si>
  <si>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</si>
  <si>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</si>
  <si>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</si>
  <si>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</si>
  <si>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</si>
  <si>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</si>
  <si>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</si>
  <si>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</si>
  <si>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</si>
  <si>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</si>
  <si>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</si>
  <si>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</si>
  <si>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</si>
  <si>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</si>
  <si>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</si>
  <si>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</si>
  <si>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</si>
  <si>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</si>
  <si>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</si>
  <si>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</si>
  <si>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</si>
  <si>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</si>
  <si>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</si>
  <si>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</si>
  <si>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</si>
  <si>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</si>
  <si>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</si>
  <si>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</si>
  <si>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</si>
  <si>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</si>
  <si>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</si>
  <si>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</si>
  <si>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</si>
  <si>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</si>
  <si>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</si>
  <si>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</si>
  <si>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</si>
  <si>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</si>
  <si>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</si>
  <si>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</si>
  <si>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</si>
  <si>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</si>
  <si>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</si>
  <si>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</si>
  <si>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</si>
  <si>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</si>
  <si>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</si>
  <si>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</si>
  <si>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</si>
  <si>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</si>
  <si>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</si>
  <si>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</si>
  <si>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</si>
  <si>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</si>
  <si>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</si>
  <si>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</si>
  <si>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</si>
  <si>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</si>
  <si>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</si>
  <si>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</si>
  <si>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</si>
  <si>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</si>
  <si>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</si>
  <si>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</si>
  <si>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</si>
  <si>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</si>
  <si>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</si>
  <si>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</si>
  <si>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</si>
  <si>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</si>
  <si>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</si>
  <si>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</si>
  <si>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</si>
  <si>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</si>
  <si>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</si>
  <si>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</si>
  <si>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</si>
  <si>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</si>
  <si>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</si>
  <si>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</si>
  <si>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</si>
  <si>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</si>
  <si>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</si>
  <si>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</si>
  <si>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</si>
  <si>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</si>
  <si>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</si>
  <si>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</si>
  <si>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</si>
  <si>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</si>
  <si>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</si>
  <si>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</si>
  <si>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</si>
  <si>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</si>
  <si>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</si>
  <si>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</si>
  <si>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</si>
  <si>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</si>
  <si>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</si>
  <si>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</si>
  <si>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</si>
  <si>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</si>
  <si>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</si>
  <si>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</si>
  <si>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</si>
  <si>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</si>
  <si>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</si>
  <si>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</si>
  <si>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</si>
  <si>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</si>
  <si>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</si>
  <si>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</si>
  <si>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</si>
  <si>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</si>
  <si>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</si>
  <si>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</si>
  <si>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</si>
  <si>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</si>
  <si>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</si>
  <si>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</si>
  <si>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</si>
  <si>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</si>
  <si>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</si>
  <si>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</si>
  <si>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</si>
  <si>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</si>
  <si>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</si>
  <si>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</si>
  <si>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</si>
  <si>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</si>
  <si>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</si>
  <si>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</si>
  <si>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</si>
  <si>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</si>
  <si>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</si>
  <si>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</si>
  <si>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</si>
  <si>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</si>
  <si>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</si>
  <si>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</si>
  <si>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</si>
  <si>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</si>
  <si>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</si>
  <si>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</si>
  <si>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</si>
  <si>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</si>
  <si>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</si>
  <si>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</si>
  <si>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</si>
  <si>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</si>
  <si>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</si>
  <si>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</si>
  <si>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</si>
  <si>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</si>
  <si>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</si>
  <si>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</si>
  <si>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</si>
  <si>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</si>
  <si>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</si>
  <si>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</si>
  <si>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</si>
  <si>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</si>
  <si>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</si>
  <si>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</si>
  <si>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</si>
  <si>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</si>
  <si>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</si>
  <si>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</si>
  <si>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</si>
  <si>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</si>
  <si>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</si>
  <si>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</si>
  <si>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</si>
  <si>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</si>
  <si>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</si>
  <si>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</si>
  <si>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</si>
  <si>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</si>
  <si>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</si>
  <si>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</si>
  <si>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</si>
  <si>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</si>
  <si>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</si>
  <si>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</si>
  <si>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</si>
  <si>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</si>
  <si>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</si>
  <si>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</si>
  <si>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</si>
  <si>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</si>
  <si>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</si>
  <si>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</si>
  <si>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</si>
  <si>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</si>
  <si>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</si>
  <si>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</si>
  <si>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</si>
  <si>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</si>
  <si>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</si>
  <si>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</si>
  <si>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</si>
  <si>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</si>
  <si>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</si>
  <si>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</si>
  <si>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</si>
  <si>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</si>
  <si>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</si>
  <si>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</si>
  <si>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</si>
  <si>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</si>
  <si>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</si>
  <si>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</si>
  <si>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</si>
  <si>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</si>
  <si>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</si>
  <si>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</si>
  <si>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</si>
  <si>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</si>
  <si>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</si>
  <si>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</si>
  <si>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</si>
  <si>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</si>
  <si>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</si>
  <si>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</si>
  <si>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</si>
  <si>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</si>
  <si>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</si>
  <si>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</si>
  <si>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</si>
  <si>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</si>
  <si>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</si>
  <si>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</si>
  <si>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</si>
  <si>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</si>
  <si>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</si>
  <si>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</si>
  <si>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</si>
  <si>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</si>
  <si>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</si>
  <si>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</si>
  <si>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</si>
  <si>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</si>
  <si>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</si>
  <si>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</si>
  <si>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</si>
  <si>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</si>
  <si>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</si>
  <si>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</si>
  <si>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</si>
  <si>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</si>
  <si>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</si>
  <si>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</si>
  <si>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</si>
  <si>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</si>
  <si>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</si>
  <si>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</si>
  <si>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</si>
  <si>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</si>
  <si>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</si>
  <si>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</si>
  <si>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</si>
  <si>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</si>
  <si>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</si>
  <si>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</si>
  <si>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</si>
  <si>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</si>
  <si>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</si>
  <si>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</si>
  <si>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</si>
  <si>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</si>
  <si>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</si>
  <si>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</si>
  <si>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</si>
  <si>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</si>
  <si>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</si>
  <si>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</si>
  <si>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</si>
  <si>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</si>
  <si>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</si>
  <si>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</si>
  <si>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</si>
  <si>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</si>
  <si>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</si>
  <si>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</si>
  <si>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</si>
  <si>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</si>
  <si>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</si>
  <si>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</si>
  <si>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</si>
  <si>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</si>
  <si>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</si>
  <si>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</si>
  <si>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</si>
  <si>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</si>
  <si>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</si>
  <si>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</si>
  <si>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</si>
  <si>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</si>
  <si>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</si>
  <si>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</si>
  <si>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</si>
  <si>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</si>
  <si>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</si>
  <si>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</si>
  <si>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</si>
  <si>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</si>
  <si>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</si>
  <si>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</si>
  <si>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</si>
  <si>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</si>
  <si>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</si>
  <si>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</si>
  <si>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</si>
  <si>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</si>
  <si>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</si>
  <si>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</si>
  <si>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</si>
  <si>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</si>
  <si>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</si>
  <si>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</si>
  <si>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</si>
  <si>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</si>
  <si>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</si>
  <si>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</si>
  <si>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</si>
  <si>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</si>
  <si>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</si>
  <si>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</si>
  <si>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</si>
  <si>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</si>
  <si>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</si>
  <si>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</si>
  <si>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</si>
  <si>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</si>
  <si>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</si>
  <si>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</si>
  <si>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</si>
  <si>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</si>
  <si>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</si>
  <si>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</si>
  <si>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</si>
  <si>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</si>
  <si>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</si>
  <si>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</si>
  <si>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</si>
  <si>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</si>
  <si>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</si>
  <si>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</si>
  <si>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</si>
  <si>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</si>
  <si>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</si>
  <si>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</si>
  <si>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</si>
  <si>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</si>
  <si>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</si>
  <si>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</si>
  <si>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</si>
  <si>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</si>
  <si>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</si>
  <si>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</si>
  <si>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</si>
  <si>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</si>
  <si>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</si>
  <si>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</si>
  <si>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</si>
  <si>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</si>
  <si>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</si>
  <si>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</si>
  <si>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</si>
  <si>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</si>
  <si>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</si>
  <si>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</si>
  <si>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</si>
  <si>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</si>
  <si>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</si>
  <si>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</si>
  <si>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</si>
  <si>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</si>
  <si>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</si>
  <si>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</si>
  <si>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</si>
  <si>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</si>
  <si>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</si>
  <si>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</si>
  <si>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</si>
  <si>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</si>
  <si>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</si>
  <si>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</si>
  <si>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</si>
  <si>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</si>
  <si>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</si>
  <si>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</si>
  <si>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</si>
  <si>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</si>
  <si>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</si>
  <si>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</si>
  <si>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</si>
  <si>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</si>
  <si>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</si>
  <si>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</si>
  <si>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</si>
  <si>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</si>
  <si>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</si>
  <si>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</si>
  <si>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</si>
  <si>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</si>
  <si>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</si>
  <si>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</si>
  <si>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</si>
  <si>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</si>
  <si>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</si>
  <si>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</si>
  <si>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</si>
  <si>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</si>
  <si>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</si>
  <si>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</si>
  <si>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</si>
  <si>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</si>
  <si>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</si>
  <si>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</si>
  <si>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</si>
  <si>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</si>
  <si>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</si>
  <si>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</si>
  <si>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</si>
  <si>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</si>
  <si>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</si>
  <si>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</si>
  <si>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</si>
  <si>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</si>
  <si>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</si>
  <si>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</si>
  <si>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</si>
  <si>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</si>
  <si>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</si>
  <si>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</si>
  <si>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</si>
  <si>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</si>
  <si>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</si>
  <si>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</si>
  <si>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</si>
  <si>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</si>
  <si>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</si>
  <si>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</si>
  <si>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</si>
  <si>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</si>
  <si>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</si>
  <si>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</si>
  <si>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</si>
  <si>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</si>
  <si>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</si>
  <si>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</si>
  <si>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</si>
  <si>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</si>
  <si>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</si>
  <si>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</si>
  <si>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</si>
  <si>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</si>
  <si>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</si>
  <si>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</si>
  <si>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</si>
  <si>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</si>
  <si>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</si>
  <si>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</si>
  <si>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</si>
  <si>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</si>
  <si>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</si>
  <si>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</si>
  <si>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</si>
  <si>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</si>
  <si>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</si>
  <si>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</si>
  <si>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</si>
  <si>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</si>
  <si>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</si>
  <si>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</si>
  <si>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</si>
  <si>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</si>
  <si>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</si>
  <si>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</si>
  <si>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</si>
  <si>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</si>
  <si>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</si>
  <si>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</si>
  <si>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</si>
  <si>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</si>
  <si>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</si>
  <si>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</si>
  <si>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</si>
  <si>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</si>
  <si>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</si>
  <si>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</si>
  <si>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</si>
  <si>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</si>
  <si>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</si>
  <si>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</si>
  <si>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</si>
  <si>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</si>
  <si>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</si>
  <si>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</si>
  <si>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</si>
  <si>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</si>
  <si>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</si>
  <si>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</si>
  <si>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</si>
  <si>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</si>
  <si>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</si>
  <si>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</si>
  <si>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</si>
  <si>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</si>
  <si>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</si>
  <si>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</si>
  <si>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</si>
  <si>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</si>
  <si>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</si>
  <si>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</si>
  <si>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</si>
  <si>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</si>
  <si>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</si>
  <si>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</si>
  <si>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</si>
  <si>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</si>
  <si>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</si>
  <si>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</si>
  <si>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</si>
  <si>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</si>
  <si>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</si>
  <si>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</si>
  <si>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</si>
  <si>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</si>
  <si>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</si>
  <si>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</si>
  <si>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</si>
  <si>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</si>
  <si>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</si>
  <si>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</si>
  <si>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</si>
  <si>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</si>
  <si>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</si>
  <si>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</si>
  <si>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</si>
  <si>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</si>
  <si>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</si>
  <si>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</si>
  <si>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</si>
  <si>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</si>
  <si>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</si>
  <si>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</si>
  <si>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</si>
  <si>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</si>
  <si>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</si>
  <si>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</si>
  <si>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</si>
  <si>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</si>
  <si>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</si>
  <si>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</si>
  <si>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</si>
  <si>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</si>
  <si>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</si>
  <si>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</si>
  <si>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</si>
  <si>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</si>
  <si>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</si>
  <si>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</si>
  <si>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</si>
  <si>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</si>
  <si>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</si>
  <si>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</si>
  <si>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</si>
  <si>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</si>
  <si>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</si>
  <si>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</si>
  <si>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</si>
  <si>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</si>
  <si>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</si>
  <si>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</si>
  <si>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</si>
  <si>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</si>
  <si>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</si>
  <si>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</si>
  <si>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</si>
  <si>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</si>
  <si>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</si>
  <si>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</si>
  <si>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</si>
  <si>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</si>
  <si>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</si>
  <si>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</si>
  <si>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</si>
  <si>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</si>
  <si>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</si>
  <si>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</si>
  <si>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</si>
  <si>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</si>
  <si>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</si>
  <si>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</si>
  <si>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</si>
  <si>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</si>
  <si>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</si>
  <si>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</si>
  <si>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</si>
  <si>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</si>
  <si>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</si>
  <si>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</si>
  <si>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</si>
  <si>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</si>
  <si>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</si>
  <si>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</si>
  <si>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</si>
  <si>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</si>
  <si>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</si>
  <si>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</si>
  <si>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</si>
  <si>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</si>
  <si>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</si>
  <si>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</si>
  <si>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</si>
  <si>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</si>
  <si>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</si>
  <si>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</si>
  <si>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</si>
  <si>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</si>
  <si>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</si>
  <si>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</si>
  <si>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</si>
  <si>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</si>
  <si>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</si>
  <si>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</si>
  <si>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</si>
  <si>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</si>
  <si>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</si>
  <si>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</si>
  <si>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</si>
  <si>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</si>
  <si>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</si>
  <si>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</si>
  <si>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</si>
  <si>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</si>
  <si>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</si>
  <si>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</si>
  <si>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</si>
  <si>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</si>
  <si>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</si>
  <si>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</si>
  <si>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</si>
  <si>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</si>
  <si>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</si>
  <si>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</si>
  <si>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</si>
  <si>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</si>
  <si>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</si>
  <si>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</si>
  <si>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</si>
  <si>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</si>
  <si>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</si>
  <si>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</si>
  <si>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</si>
  <si>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</si>
  <si>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</si>
  <si>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</si>
  <si>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</si>
  <si>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</si>
  <si>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</si>
  <si>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</si>
  <si>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</si>
  <si>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</si>
  <si>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</si>
  <si>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</si>
  <si>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</si>
  <si>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</si>
  <si>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</si>
  <si>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</si>
  <si>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</si>
  <si>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</si>
  <si>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</si>
  <si>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</si>
  <si>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</si>
  <si>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</si>
  <si>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</si>
  <si>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</si>
  <si>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</si>
  <si>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</si>
  <si>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</si>
  <si>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</si>
  <si>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</si>
  <si>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</si>
  <si>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</si>
  <si>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</si>
  <si>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</si>
  <si>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</si>
  <si>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</si>
  <si>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</si>
  <si>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</si>
  <si>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</si>
  <si>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</si>
  <si>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</si>
  <si>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</si>
  <si>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</si>
  <si>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</si>
  <si>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</si>
  <si>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</si>
  <si>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</si>
  <si>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</si>
  <si>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</si>
  <si>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</si>
  <si>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</si>
  <si>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</si>
  <si>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</si>
  <si>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</si>
  <si>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</si>
  <si>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</si>
  <si>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</si>
  <si>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</si>
  <si>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</si>
  <si>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</si>
  <si>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</si>
  <si>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</si>
  <si>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</si>
  <si>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</si>
  <si>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</si>
  <si>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</si>
  <si>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</si>
  <si>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</si>
  <si>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</si>
  <si>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</si>
  <si>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</si>
  <si>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</si>
  <si>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</si>
  <si>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</si>
  <si>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</si>
  <si>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</si>
  <si>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</si>
  <si>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</si>
  <si>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</si>
  <si>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</si>
  <si>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</si>
  <si>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</si>
  <si>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</si>
  <si>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</si>
  <si>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</si>
  <si>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</si>
  <si>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</si>
  <si>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</si>
  <si>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</si>
  <si>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</si>
  <si>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</si>
  <si>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</si>
  <si>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</si>
  <si>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</si>
  <si>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</si>
  <si>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</si>
  <si>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</si>
  <si>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</si>
  <si>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</si>
  <si>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</si>
  <si>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</si>
  <si>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</si>
  <si>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</si>
  <si>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</si>
  <si>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</si>
  <si>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</si>
  <si>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</si>
  <si>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</si>
  <si>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</si>
  <si>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</si>
  <si>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</si>
  <si>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</si>
  <si>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</si>
  <si>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</si>
  <si>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</si>
  <si>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</si>
  <si>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</si>
  <si>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</si>
  <si>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</si>
  <si>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</si>
  <si>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</si>
  <si>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</si>
  <si>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</si>
  <si>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</si>
  <si>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</si>
  <si>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</si>
  <si>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</si>
  <si>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</si>
  <si>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</si>
  <si>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</si>
  <si>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</si>
  <si>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</si>
  <si>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</si>
  <si>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</si>
  <si>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</si>
  <si>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</si>
  <si>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</si>
  <si>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</si>
  <si>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</si>
  <si>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</si>
  <si>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</si>
  <si>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</si>
  <si>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</si>
  <si>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</si>
  <si>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</si>
  <si>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</si>
  <si>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</si>
  <si>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</si>
  <si>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</si>
  <si>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</si>
  <si>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</si>
  <si>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</si>
  <si>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</si>
  <si>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</si>
  <si>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</si>
  <si>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</si>
  <si>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</si>
  <si>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</si>
  <si>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</si>
  <si>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</si>
  <si>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</si>
  <si>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</si>
  <si>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</si>
  <si>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</si>
  <si>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</si>
  <si>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</si>
  <si>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</si>
  <si>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</si>
  <si>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</si>
  <si>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</si>
  <si>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</si>
  <si>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</si>
  <si>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</si>
  <si>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</si>
  <si>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</si>
  <si>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</si>
  <si>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</si>
  <si>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</si>
  <si>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</si>
  <si>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</si>
  <si>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</si>
  <si>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</si>
  <si>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</si>
  <si>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</si>
  <si>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</si>
  <si>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</si>
  <si>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</si>
  <si>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</si>
  <si>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</si>
  <si>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</si>
  <si>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</si>
  <si>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</si>
  <si>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</si>
  <si>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</si>
  <si>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</si>
  <si>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</si>
  <si>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</si>
  <si>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</si>
  <si>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</si>
  <si>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</si>
  <si>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</si>
  <si>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</si>
  <si>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</si>
  <si>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</si>
  <si>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</si>
  <si>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</si>
  <si>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</si>
  <si>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</si>
  <si>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</si>
  <si>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</si>
  <si>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</si>
  <si>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</si>
  <si>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</si>
  <si>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</si>
  <si>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</si>
  <si>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</si>
  <si>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</si>
  <si>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</si>
  <si>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</si>
  <si>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</si>
  <si>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</si>
  <si>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</si>
  <si>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</si>
  <si>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</si>
  <si>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</si>
  <si>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</si>
  <si>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</si>
  <si>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</si>
  <si>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</si>
  <si>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</si>
  <si>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</si>
  <si>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</si>
  <si>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</si>
  <si>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</si>
  <si>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</si>
  <si>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</si>
  <si>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</si>
  <si>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</si>
  <si>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</si>
  <si>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</si>
  <si>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</si>
  <si>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</si>
  <si>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</si>
  <si>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</si>
  <si>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</si>
  <si>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</si>
  <si>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</si>
  <si>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</si>
  <si>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</si>
  <si>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</si>
  <si>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</si>
  <si>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</si>
  <si>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</si>
  <si>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</si>
  <si>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</si>
  <si>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</si>
  <si>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</si>
  <si>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</si>
  <si>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</si>
  <si>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</si>
  <si>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</si>
  <si>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</si>
  <si>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</si>
  <si>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</si>
  <si>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</si>
  <si>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</si>
  <si>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</si>
  <si>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</si>
  <si>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</si>
  <si>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</si>
  <si>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</si>
  <si>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</si>
  <si>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</si>
  <si>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</si>
  <si>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</si>
  <si>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</si>
  <si>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</si>
  <si>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</si>
  <si>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</si>
  <si>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</si>
  <si>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</si>
  <si>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</si>
  <si>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</si>
  <si>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</si>
  <si>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</si>
  <si>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</si>
  <si>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</si>
  <si>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</si>
  <si>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</si>
  <si>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</si>
  <si>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</si>
  <si>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</si>
  <si>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</si>
  <si>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</si>
  <si>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</si>
  <si>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</si>
  <si>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</si>
  <si>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</si>
  <si>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</si>
  <si>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</si>
  <si>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</si>
  <si>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</si>
  <si>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</si>
  <si>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</si>
  <si>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</si>
  <si>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</si>
  <si>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</si>
  <si>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</si>
  <si>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</si>
  <si>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</si>
  <si>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</si>
  <si>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</si>
  <si>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</si>
  <si>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</si>
  <si>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</si>
  <si>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</si>
  <si>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</si>
  <si>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</si>
  <si>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</si>
  <si>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</si>
  <si>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</si>
  <si>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</si>
  <si>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</si>
  <si>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</si>
  <si>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</si>
  <si>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</si>
  <si>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</si>
  <si>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</si>
  <si>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</si>
  <si>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</si>
  <si>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</si>
  <si>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</si>
  <si>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</si>
  <si>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</si>
  <si>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</si>
  <si>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</si>
  <si>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</si>
  <si>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</si>
  <si>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</si>
  <si>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</si>
  <si>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</si>
  <si>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</si>
  <si>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</si>
  <si>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</si>
  <si>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</si>
  <si>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</si>
  <si>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</si>
  <si>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</si>
  <si>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</si>
  <si>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</si>
  <si>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</si>
  <si>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</si>
  <si>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</si>
  <si>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</si>
  <si>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</si>
  <si>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</si>
  <si>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</si>
  <si>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</si>
  <si>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</si>
  <si>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</si>
  <si>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</si>
  <si>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</si>
  <si>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</si>
  <si>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</si>
  <si>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</si>
  <si>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</si>
  <si>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</si>
  <si>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</si>
  <si>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</si>
  <si>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</si>
  <si>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</si>
  <si>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</si>
  <si>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</si>
  <si>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</si>
  <si>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</si>
  <si>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</si>
  <si>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</si>
  <si>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</si>
  <si>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</si>
  <si>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</si>
  <si>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</si>
  <si>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</si>
  <si>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</si>
  <si>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</si>
  <si>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</si>
  <si>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</si>
  <si>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</si>
  <si>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</si>
  <si>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</si>
  <si>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</si>
  <si>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</si>
  <si>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</si>
  <si>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</si>
  <si>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</si>
  <si>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</si>
  <si>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</si>
  <si>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</si>
  <si>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</si>
  <si>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</si>
  <si>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</si>
  <si>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</si>
  <si>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</si>
  <si>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</si>
  <si>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</si>
  <si>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</si>
  <si>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</si>
  <si>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</si>
  <si>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</si>
  <si>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</si>
  <si>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</si>
  <si>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</si>
  <si>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</si>
  <si>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</si>
  <si>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</si>
  <si>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</si>
  <si>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</si>
  <si>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</si>
  <si>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</si>
  <si>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</si>
  <si>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</si>
  <si>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</si>
  <si>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</si>
  <si>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</si>
  <si>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</si>
  <si>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</si>
  <si>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</si>
  <si>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</si>
  <si>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</si>
  <si>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</si>
  <si>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</si>
  <si>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</si>
  <si>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</si>
  <si>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</si>
  <si>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</si>
  <si>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</si>
  <si>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</si>
  <si>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</si>
  <si>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</si>
  <si>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</si>
  <si>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</si>
  <si>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</si>
  <si>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</si>
  <si>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</si>
  <si>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</si>
  <si>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</si>
  <si>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</si>
  <si>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</si>
  <si>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</si>
  <si>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</si>
  <si>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</si>
  <si>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</si>
  <si>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</si>
  <si>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</si>
  <si>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</si>
  <si>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</si>
  <si>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</si>
  <si>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</si>
  <si>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</si>
  <si>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</si>
  <si>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</si>
  <si>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</si>
  <si>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</si>
  <si>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</si>
  <si>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</si>
  <si>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</si>
  <si>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</si>
  <si>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</si>
  <si>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</si>
  <si>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</si>
  <si>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</si>
  <si>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</si>
  <si>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</si>
  <si>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</si>
  <si>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</si>
  <si>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</si>
  <si>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</si>
  <si>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</si>
  <si>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</si>
  <si>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</si>
  <si>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</si>
  <si>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</si>
  <si>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</si>
  <si>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</si>
  <si>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</si>
  <si>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</si>
  <si>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</si>
  <si>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</si>
  <si>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</si>
  <si>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</si>
  <si>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</si>
  <si>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</si>
  <si>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</si>
  <si>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</si>
  <si>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</si>
  <si>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</si>
  <si>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</si>
  <si>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</si>
  <si>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</si>
  <si>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</si>
  <si>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</si>
  <si>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</si>
  <si>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</si>
  <si>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</si>
  <si>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</si>
  <si>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</si>
  <si>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</si>
  <si>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</si>
  <si>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</si>
  <si>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</si>
  <si>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</si>
  <si>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</si>
  <si>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</si>
  <si>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</si>
  <si>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</si>
  <si>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</si>
  <si>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</si>
  <si>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</si>
  <si>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</si>
  <si>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</si>
  <si>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</si>
  <si>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</si>
  <si>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</si>
  <si>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</si>
  <si>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</si>
  <si>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</si>
  <si>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</si>
  <si>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</si>
  <si>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</si>
  <si>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</si>
  <si>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</si>
  <si>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</si>
  <si>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</si>
  <si>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</si>
  <si>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</si>
  <si>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</si>
  <si>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</si>
  <si>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</si>
  <si>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</si>
  <si>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</si>
  <si>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</si>
  <si>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</si>
  <si>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</si>
  <si>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</si>
  <si>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</si>
  <si>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</si>
  <si>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</si>
  <si>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</si>
  <si>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</si>
  <si>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</si>
  <si>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</si>
  <si>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</si>
  <si>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</si>
  <si>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</si>
  <si>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</si>
  <si>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</si>
  <si>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</si>
  <si>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</si>
  <si>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</si>
  <si>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</si>
  <si>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</si>
  <si>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</si>
  <si>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</si>
  <si>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</si>
  <si>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</si>
  <si>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</si>
  <si>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</si>
  <si>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</si>
  <si>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</si>
  <si>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</si>
  <si>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</si>
  <si>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</si>
  <si>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</si>
  <si>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</si>
  <si>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</si>
  <si>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</si>
  <si>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</si>
  <si>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</si>
  <si>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</si>
  <si>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</si>
  <si>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</si>
  <si>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</si>
  <si>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</si>
  <si>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</si>
  <si>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</si>
  <si>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</si>
  <si>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</si>
  <si>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</si>
  <si>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</si>
  <si>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</si>
  <si>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</si>
  <si>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</si>
  <si>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</si>
  <si>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</si>
  <si>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</si>
  <si>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</si>
  <si>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</si>
  <si>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</si>
  <si>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</si>
  <si>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</si>
  <si>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</si>
  <si>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</si>
  <si>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</si>
  <si>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</si>
  <si>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</si>
  <si>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</si>
  <si>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</si>
  <si>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</si>
  <si>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</si>
  <si>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</si>
  <si>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</si>
  <si>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</si>
  <si>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</si>
  <si>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</si>
  <si>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</si>
  <si>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</si>
  <si>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</si>
  <si>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</si>
  <si>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</si>
  <si>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</si>
  <si>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</si>
  <si>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</si>
  <si>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</si>
  <si>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</si>
  <si>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</si>
  <si>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</si>
  <si>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</si>
  <si>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</si>
  <si>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</si>
  <si>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</si>
  <si>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</si>
  <si>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</si>
  <si>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</si>
  <si>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</si>
  <si>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</si>
  <si>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</si>
  <si>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</si>
  <si>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</si>
  <si>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</si>
  <si>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</si>
  <si>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</si>
  <si>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</si>
  <si>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</si>
  <si>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</si>
  <si>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</si>
  <si>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</si>
  <si>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</si>
  <si>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</si>
  <si>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</si>
  <si>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</si>
  <si>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</si>
  <si>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</si>
  <si>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</si>
  <si>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</si>
  <si>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</si>
  <si>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</si>
  <si>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</si>
  <si>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</si>
  <si>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</si>
  <si>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</si>
  <si>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</si>
  <si>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</si>
  <si>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</si>
  <si>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</si>
  <si>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</si>
  <si>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</si>
  <si>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</si>
  <si>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</si>
  <si>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</si>
  <si>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</si>
  <si>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</si>
  <si>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</si>
  <si>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</si>
  <si>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</si>
  <si>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</si>
  <si>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</si>
  <si>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</si>
  <si>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</si>
  <si>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</si>
  <si>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</si>
  <si>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</si>
  <si>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</si>
  <si>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</si>
  <si>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</si>
  <si>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</si>
  <si>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</si>
  <si>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</si>
  <si>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</si>
  <si>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</si>
  <si>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</si>
  <si>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</si>
  <si>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</si>
  <si>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</si>
  <si>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</si>
  <si>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</si>
  <si>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</si>
  <si>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</si>
  <si>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</si>
  <si>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</si>
  <si>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</si>
  <si>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</si>
  <si>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</si>
  <si>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</si>
  <si>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</si>
  <si>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</si>
  <si>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</si>
  <si>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</si>
  <si>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</si>
  <si>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</si>
  <si>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</si>
  <si>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</si>
  <si>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</si>
  <si>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</si>
  <si>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</si>
  <si>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</si>
  <si>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</si>
  <si>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</si>
  <si>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</si>
  <si>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</si>
  <si>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</si>
  <si>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</si>
  <si>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</si>
  <si>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</si>
  <si>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</si>
  <si>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</si>
  <si>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</si>
  <si>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</si>
  <si>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</si>
  <si>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</si>
  <si>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</si>
  <si>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</si>
  <si>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</si>
  <si>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</si>
  <si>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</si>
  <si>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</si>
  <si>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</si>
  <si>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</si>
  <si>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</si>
  <si>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</si>
  <si>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</si>
  <si>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</si>
  <si>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</si>
  <si>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</si>
  <si>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</si>
  <si>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</si>
  <si>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</si>
  <si>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</si>
  <si>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</si>
  <si>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</si>
  <si>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</si>
  <si>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</si>
  <si>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</si>
  <si>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</si>
  <si>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</si>
  <si>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</si>
  <si>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</si>
  <si>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</si>
  <si>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</si>
  <si>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</si>
  <si>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</si>
  <si>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</si>
  <si>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</si>
  <si>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</si>
  <si>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</si>
  <si>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</si>
  <si>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</si>
  <si>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</si>
  <si>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</si>
  <si>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</si>
  <si>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</si>
  <si>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</si>
  <si>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</si>
  <si>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</si>
  <si>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</si>
  <si>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</si>
  <si>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</si>
  <si>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</si>
  <si>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</si>
  <si>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</si>
  <si>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</si>
  <si>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</si>
  <si>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</si>
  <si>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</si>
  <si>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</si>
  <si>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</si>
  <si>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</si>
  <si>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</si>
  <si>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</si>
  <si>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</si>
  <si>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</si>
  <si>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</si>
  <si>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</si>
  <si>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</si>
  <si>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</si>
  <si>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</si>
  <si>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</si>
  <si>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</si>
  <si>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</si>
  <si>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</si>
  <si>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</si>
  <si>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</si>
  <si>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</si>
  <si>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</si>
  <si>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</si>
  <si>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</si>
  <si>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</si>
  <si>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</si>
  <si>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</si>
  <si>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</si>
  <si>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</si>
  <si>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</si>
  <si>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</si>
  <si>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</si>
  <si>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</si>
  <si>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</si>
  <si>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</si>
  <si>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</si>
  <si>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</si>
  <si>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</si>
  <si>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</si>
  <si>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</si>
  <si>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</si>
  <si>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</si>
  <si>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</si>
  <si>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</si>
  <si>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</si>
  <si>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</si>
  <si>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</si>
  <si>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</si>
  <si>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</si>
  <si>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</si>
  <si>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</si>
  <si>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</si>
  <si>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</si>
  <si>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</si>
  <si>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</si>
  <si>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</si>
  <si>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</si>
  <si>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</si>
  <si>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</si>
  <si>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</si>
  <si>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</si>
  <si>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</si>
  <si>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</si>
  <si>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</si>
  <si>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</si>
  <si>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</si>
  <si>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</si>
  <si>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</si>
  <si>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</si>
  <si>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</si>
  <si>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</si>
  <si>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</si>
  <si>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</si>
  <si>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</si>
  <si>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</si>
  <si>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</si>
  <si>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</si>
  <si>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</si>
  <si>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</si>
  <si>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</si>
  <si>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</si>
  <si>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</si>
  <si>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</si>
  <si>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</si>
  <si>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</si>
  <si>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</si>
  <si>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</si>
  <si>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</si>
  <si>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</si>
  <si>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</si>
  <si>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</si>
  <si>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</si>
  <si>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</si>
  <si>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</si>
  <si>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</si>
  <si>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</si>
  <si>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</si>
  <si>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</si>
  <si>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</si>
  <si>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</si>
  <si>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</si>
  <si>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</si>
  <si>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</si>
  <si>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</si>
  <si>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</si>
  <si>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</si>
  <si>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</si>
  <si>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</si>
  <si>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</si>
  <si>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</si>
  <si>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</si>
  <si>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</si>
  <si>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</si>
  <si>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</si>
  <si>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</si>
  <si>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</si>
  <si>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</si>
  <si>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</si>
  <si>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</si>
  <si>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</si>
  <si>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</si>
  <si>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</si>
  <si>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</si>
  <si>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</si>
  <si>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</si>
  <si>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</si>
  <si>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</si>
  <si>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</si>
  <si>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</si>
  <si>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</si>
  <si>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</si>
  <si>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</si>
  <si>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</si>
  <si>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</si>
  <si>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</si>
  <si>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</si>
  <si>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</si>
  <si>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</si>
  <si>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</si>
  <si>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</si>
  <si>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</si>
  <si>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</si>
  <si>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</si>
  <si>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</si>
  <si>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</si>
  <si>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</si>
  <si>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</si>
  <si>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</si>
  <si>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</si>
  <si>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</si>
  <si>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</si>
  <si>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</si>
  <si>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</si>
  <si>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</si>
  <si>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</si>
  <si>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</si>
  <si>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</si>
  <si>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</si>
  <si>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</si>
  <si>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</si>
  <si>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</si>
  <si>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</si>
  <si>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</si>
  <si>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</si>
  <si>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</si>
  <si>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</si>
  <si>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</si>
  <si>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</si>
  <si>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</si>
  <si>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</si>
  <si>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</si>
  <si>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</si>
  <si>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</si>
  <si>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</si>
  <si>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</si>
  <si>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</si>
  <si>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</si>
  <si>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</si>
  <si>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</si>
  <si>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</si>
  <si>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</si>
  <si>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</si>
  <si>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</si>
  <si>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</si>
  <si>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</si>
  <si>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</si>
  <si>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</si>
  <si>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</si>
  <si>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</si>
  <si>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</si>
  <si>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</si>
  <si>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</si>
  <si>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</si>
  <si>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</si>
  <si>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</si>
  <si>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</si>
  <si>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</si>
  <si>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</si>
  <si>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</si>
  <si>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</si>
  <si>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</si>
  <si>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</si>
  <si>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</si>
  <si>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</si>
  <si>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</si>
  <si>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</si>
  <si>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</si>
  <si>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</si>
  <si>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</si>
  <si>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</si>
  <si>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</si>
  <si>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</si>
  <si>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</si>
  <si>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</si>
  <si>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</si>
  <si>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</si>
  <si>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</si>
  <si>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</si>
  <si>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</si>
  <si>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</si>
  <si>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</si>
  <si>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</si>
  <si>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</si>
  <si>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</si>
  <si>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</si>
  <si>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</si>
  <si>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</si>
  <si>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</si>
  <si>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</si>
  <si>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</si>
  <si>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</si>
  <si>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</si>
  <si>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</si>
  <si>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</si>
  <si>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</si>
  <si>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</si>
  <si>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</si>
  <si>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</si>
  <si>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</si>
  <si>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</si>
  <si>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</si>
  <si>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</si>
  <si>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</si>
  <si>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</si>
  <si>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</si>
  <si>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</si>
  <si>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</si>
  <si>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</si>
  <si>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</si>
  <si>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</si>
  <si>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</si>
  <si>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</si>
  <si>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</si>
  <si>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</si>
  <si>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</si>
  <si>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</si>
  <si>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</si>
  <si>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</si>
  <si>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</si>
  <si>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</si>
  <si>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</si>
  <si>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</si>
  <si>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</si>
  <si>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</si>
  <si>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</si>
  <si>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</si>
  <si>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</si>
  <si>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</si>
  <si>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</si>
  <si>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</si>
  <si>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</si>
  <si>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</si>
  <si>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</si>
  <si>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</si>
  <si>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</si>
  <si>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</si>
  <si>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</si>
  <si>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</si>
  <si>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</si>
  <si>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</si>
  <si>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</si>
  <si>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</si>
  <si>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</si>
  <si>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</si>
  <si>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</si>
  <si>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</si>
  <si>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</si>
  <si>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</si>
  <si>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</si>
  <si>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</si>
  <si>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</si>
  <si>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</si>
  <si>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</si>
  <si>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</si>
  <si>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</si>
  <si>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</si>
  <si>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</si>
  <si>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</si>
  <si>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</si>
  <si>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</si>
  <si>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</si>
  <si>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</si>
  <si>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</si>
  <si>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</si>
  <si>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</si>
  <si>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</si>
  <si>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</si>
  <si>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</si>
  <si>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</si>
  <si>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</si>
  <si>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</si>
  <si>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</si>
  <si>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</si>
  <si>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</si>
  <si>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</si>
  <si>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</si>
  <si>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</si>
  <si>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</si>
  <si>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</si>
  <si>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</si>
  <si>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</si>
  <si>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</si>
  <si>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</si>
  <si>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</si>
  <si>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</si>
  <si>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</si>
  <si>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</si>
  <si>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</si>
  <si>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</si>
  <si>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</si>
  <si>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</si>
  <si>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</si>
  <si>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</si>
  <si>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</si>
  <si>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</si>
  <si>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</si>
  <si>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</si>
  <si>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</si>
  <si>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</si>
  <si>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</si>
  <si>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</si>
  <si>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</si>
  <si>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</si>
  <si>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</si>
  <si>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</si>
  <si>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</si>
  <si>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</si>
  <si>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</si>
  <si>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</si>
  <si>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</si>
  <si>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</si>
  <si>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</si>
  <si>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</si>
  <si>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</si>
  <si>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</si>
  <si>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</si>
  <si>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</si>
  <si>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</si>
  <si>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</si>
  <si>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</si>
  <si>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</si>
  <si>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</si>
  <si>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</si>
  <si>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</si>
  <si>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</si>
  <si>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</si>
  <si>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</si>
  <si>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</si>
  <si>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</si>
  <si>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</si>
  <si>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</si>
  <si>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</si>
  <si>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</si>
  <si>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</si>
  <si>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</si>
  <si>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</si>
  <si>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</si>
  <si>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</si>
  <si>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</si>
  <si>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</si>
  <si>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</si>
  <si>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</si>
  <si>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</si>
  <si>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</si>
  <si>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</si>
  <si>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</si>
  <si>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</si>
  <si>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</si>
  <si>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</si>
  <si>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</si>
  <si>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</si>
  <si>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</si>
  <si>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</si>
  <si>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</si>
  <si>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</si>
  <si>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</si>
  <si>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</si>
  <si>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</si>
  <si>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</si>
  <si>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</si>
  <si>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</si>
  <si>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</si>
  <si>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</si>
  <si>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</si>
  <si>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</si>
  <si>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</si>
  <si>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</si>
  <si>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</si>
  <si>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</si>
  <si>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</si>
  <si>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</si>
  <si>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</si>
  <si>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</si>
  <si>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</si>
  <si>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</si>
  <si>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</si>
  <si>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</si>
  <si>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</si>
  <si>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</si>
  <si>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</si>
  <si>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</si>
  <si>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</si>
  <si>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</si>
  <si>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</si>
  <si>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</si>
  <si>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</si>
  <si>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</si>
  <si>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</si>
  <si>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</si>
  <si>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</si>
  <si>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</si>
  <si>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</si>
  <si>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</si>
  <si>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</si>
  <si>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</si>
  <si>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</si>
  <si>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</si>
  <si>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</si>
  <si>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</si>
  <si>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</si>
  <si>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</si>
  <si>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</si>
  <si>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</si>
  <si>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</si>
  <si>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</si>
  <si>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</si>
  <si>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</si>
  <si>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</si>
  <si>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</si>
  <si>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</si>
  <si>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</si>
  <si>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</si>
  <si>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</si>
  <si>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</si>
  <si>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</si>
  <si>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</si>
  <si>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</si>
  <si>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</si>
  <si>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</si>
  <si>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</si>
  <si>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</si>
  <si>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</si>
  <si>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</si>
  <si>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</si>
  <si>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</si>
  <si>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</si>
  <si>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</si>
  <si>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</si>
  <si>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</si>
  <si>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</si>
  <si>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</si>
  <si>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</si>
  <si>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</si>
  <si>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</si>
  <si>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</si>
  <si>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</si>
  <si>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</si>
  <si>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</si>
  <si>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</si>
  <si>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</si>
  <si>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</si>
  <si>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</si>
  <si>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</si>
  <si>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</si>
  <si>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</si>
  <si>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</si>
  <si>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</si>
  <si>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</si>
  <si>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</si>
  <si>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</si>
  <si>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</si>
  <si>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</si>
  <si>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</si>
  <si>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</si>
  <si>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</si>
  <si>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</si>
  <si>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</si>
  <si>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</si>
  <si>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</si>
  <si>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</si>
  <si>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</si>
  <si>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</si>
  <si>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</si>
  <si>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</si>
  <si>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</si>
  <si>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</si>
  <si>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</si>
  <si>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</si>
  <si>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</si>
  <si>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</si>
  <si>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</si>
  <si>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</si>
  <si>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</si>
  <si>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</si>
  <si>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</si>
  <si>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</si>
  <si>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</si>
  <si>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</si>
  <si>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</si>
  <si>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</si>
  <si>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</si>
  <si>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</si>
  <si>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</si>
  <si>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</si>
  <si>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</si>
  <si>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</si>
  <si>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</si>
  <si>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</si>
  <si>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</si>
  <si>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</si>
  <si>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</si>
  <si>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</si>
  <si>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</si>
  <si>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</si>
  <si>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</si>
  <si>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</si>
  <si>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</si>
  <si>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</si>
  <si>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</si>
  <si>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</si>
  <si>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</si>
  <si>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</si>
  <si>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</si>
  <si>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</si>
  <si>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</si>
  <si>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</si>
  <si>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</si>
  <si>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</si>
  <si>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</si>
  <si>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</si>
  <si>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</si>
  <si>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</si>
  <si>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</si>
  <si>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</si>
  <si>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</si>
  <si>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</si>
  <si>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</si>
  <si>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</si>
  <si>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</si>
  <si>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</si>
  <si>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</si>
  <si>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</si>
  <si>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</si>
  <si>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</si>
  <si>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</si>
  <si>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</si>
  <si>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</si>
  <si>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</si>
  <si>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</si>
  <si>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</si>
  <si>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</si>
  <si>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</si>
  <si>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</si>
  <si>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</si>
  <si>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</si>
  <si>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</si>
  <si>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</si>
  <si>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</si>
  <si>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</si>
  <si>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</si>
  <si>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</si>
  <si>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</si>
  <si>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</si>
  <si>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</si>
  <si>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</si>
  <si>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</si>
  <si>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</si>
  <si>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</si>
  <si>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</si>
  <si>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</si>
  <si>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</si>
  <si>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</si>
  <si>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</si>
  <si>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</si>
  <si>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</si>
  <si>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</si>
  <si>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</si>
  <si>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</si>
  <si>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</si>
  <si>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</si>
  <si>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</si>
  <si>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</si>
  <si>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</si>
  <si>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</si>
  <si>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</si>
  <si>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</si>
  <si>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</si>
  <si>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</si>
  <si>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</si>
  <si>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</si>
  <si>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</si>
  <si>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</si>
  <si>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</si>
  <si>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</si>
  <si>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</si>
  <si>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</si>
  <si>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</si>
  <si>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</si>
  <si>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</si>
  <si>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</si>
  <si>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</si>
  <si>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</si>
  <si>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</si>
  <si>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</si>
  <si>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</si>
  <si>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</si>
  <si>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</si>
  <si>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</si>
  <si>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</si>
  <si>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</si>
  <si>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</si>
  <si>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</si>
  <si>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</si>
  <si>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</si>
  <si>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</si>
  <si>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</si>
  <si>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</si>
  <si>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</si>
  <si>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</si>
  <si>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</si>
  <si>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</si>
  <si>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</si>
  <si>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</si>
  <si>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</si>
  <si>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</si>
  <si>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</si>
  <si>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</si>
  <si>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</si>
  <si>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</si>
  <si>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</si>
  <si>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</si>
  <si>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</si>
  <si>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</si>
  <si>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</si>
  <si>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</si>
  <si>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</si>
  <si>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</si>
  <si>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</si>
  <si>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</si>
  <si>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</si>
  <si>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</si>
  <si>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</si>
  <si>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</si>
  <si>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</si>
  <si>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</si>
  <si>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</si>
  <si>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</si>
  <si>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</si>
  <si>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</si>
  <si>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</si>
  <si>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</si>
  <si>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</si>
  <si>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</si>
  <si>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</si>
  <si>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</si>
  <si>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</si>
  <si>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</si>
  <si>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</si>
  <si>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</si>
  <si>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</si>
  <si>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</si>
  <si>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</si>
  <si>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</si>
  <si>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</si>
  <si>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</si>
  <si>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</si>
  <si>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</si>
  <si>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</si>
  <si>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</si>
  <si>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</si>
  <si>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</si>
  <si>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</si>
  <si>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</si>
  <si>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</si>
  <si>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</si>
  <si>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</si>
  <si>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</si>
  <si>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</si>
  <si>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</si>
  <si>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</si>
  <si>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</si>
  <si>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</si>
  <si>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</si>
  <si>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</si>
  <si>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</si>
  <si>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</si>
  <si>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</si>
  <si>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</si>
  <si>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</si>
  <si>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</si>
  <si>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</si>
  <si>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</si>
  <si>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</si>
  <si>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</si>
  <si>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</si>
  <si>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</si>
  <si>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</si>
  <si>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</si>
  <si>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</si>
  <si>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</si>
  <si>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</si>
  <si>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</si>
  <si>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</si>
  <si>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</si>
  <si>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</si>
  <si>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</si>
  <si>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</si>
  <si>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</si>
  <si>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</si>
  <si>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</si>
  <si>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</si>
  <si>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</si>
  <si>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</si>
  <si>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</si>
  <si>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</si>
  <si>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</si>
  <si>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</si>
  <si>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</si>
  <si>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</si>
  <si>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</si>
  <si>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</si>
  <si>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</si>
  <si>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</si>
  <si>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</si>
  <si>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</si>
  <si>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</si>
  <si>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</si>
  <si>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</si>
  <si>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</si>
  <si>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</si>
  <si>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</si>
  <si>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</si>
  <si>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</si>
  <si>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</si>
  <si>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</si>
  <si>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</si>
  <si>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</si>
  <si>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</si>
  <si>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</si>
  <si>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</si>
  <si>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</si>
  <si>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</si>
  <si>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</si>
  <si>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</si>
  <si>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</si>
  <si>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</si>
  <si>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</si>
  <si>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</si>
  <si>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</si>
  <si>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</si>
  <si>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</si>
  <si>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</si>
  <si>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</si>
  <si>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</si>
  <si>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</si>
  <si>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</si>
  <si>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</si>
  <si>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</si>
  <si>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</si>
  <si>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</si>
  <si>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</si>
  <si>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</si>
  <si>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</si>
  <si>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</si>
  <si>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</si>
  <si>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</si>
  <si>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</si>
  <si>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</si>
  <si>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</si>
  <si>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</si>
  <si>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</si>
  <si>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</si>
  <si>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</si>
  <si>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</si>
  <si>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</si>
  <si>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</si>
  <si>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</si>
  <si>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</si>
  <si>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</si>
  <si>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</si>
  <si>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</si>
  <si>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</si>
  <si>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</si>
  <si>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</si>
  <si>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</si>
  <si>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</si>
  <si>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</si>
  <si>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</si>
  <si>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</si>
  <si>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</si>
  <si>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</si>
  <si>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</si>
  <si>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</si>
  <si>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</si>
  <si>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</si>
  <si>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</si>
  <si>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</si>
  <si>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</si>
  <si>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</si>
  <si>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</si>
  <si>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</si>
  <si>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</si>
  <si>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</si>
  <si>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</si>
  <si>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</si>
  <si>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</si>
  <si>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</si>
  <si>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</si>
  <si>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</si>
  <si>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</si>
  <si>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</si>
  <si>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</si>
  <si>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</si>
  <si>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</si>
  <si>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</si>
  <si>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</si>
  <si>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</si>
  <si>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</si>
  <si>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</si>
  <si>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</si>
  <si>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</si>
  <si>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</si>
  <si>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</si>
  <si>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</si>
  <si>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</si>
  <si>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</si>
  <si>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</si>
  <si>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</si>
  <si>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</si>
  <si>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</si>
  <si>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</si>
  <si>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</si>
  <si>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</si>
  <si>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</si>
  <si>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</si>
  <si>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</si>
  <si>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</si>
  <si>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</si>
  <si>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</si>
  <si>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</si>
  <si>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</si>
  <si>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</si>
  <si>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</si>
  <si>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</si>
  <si>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</si>
  <si>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</si>
  <si>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</si>
  <si>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</si>
  <si>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</si>
  <si>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</si>
  <si>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</si>
  <si>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</si>
  <si>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</si>
  <si>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</si>
  <si>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</si>
  <si>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</si>
  <si>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</si>
  <si>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</si>
  <si>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</si>
  <si>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</si>
  <si>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</si>
  <si>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</si>
  <si>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</si>
  <si>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</si>
  <si>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</si>
  <si>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</si>
  <si>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</si>
  <si>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</si>
  <si>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</si>
  <si>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</si>
  <si>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</si>
  <si>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</si>
  <si>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</si>
  <si>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</si>
  <si>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</si>
  <si>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</si>
  <si>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</si>
  <si>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</si>
  <si>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</si>
  <si>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</si>
  <si>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</si>
  <si>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</si>
  <si>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</si>
  <si>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</si>
  <si>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</si>
  <si>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</si>
  <si>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</si>
  <si>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</si>
  <si>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</si>
  <si>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</si>
  <si>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</si>
  <si>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</si>
  <si>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</si>
  <si>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</si>
  <si>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</si>
  <si>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</si>
  <si>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</si>
  <si>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</si>
  <si>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</si>
  <si>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</si>
  <si>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</si>
  <si>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</si>
  <si>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</si>
  <si>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</si>
  <si>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</si>
  <si>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</si>
  <si>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</si>
  <si>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</si>
  <si>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</si>
  <si>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</si>
  <si>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</si>
  <si>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</si>
  <si>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</si>
  <si>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</si>
  <si>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</si>
  <si>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</si>
  <si>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</si>
  <si>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</si>
  <si>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</si>
  <si>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</si>
  <si>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</si>
  <si>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</si>
  <si>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</si>
  <si>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</si>
  <si>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</si>
  <si>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</si>
  <si>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</si>
  <si>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</si>
  <si>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</si>
  <si>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</si>
  <si>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</si>
  <si>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</si>
  <si>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</si>
  <si>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</si>
  <si>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</si>
  <si>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</si>
  <si>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</si>
  <si>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</si>
  <si>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</si>
  <si>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</si>
  <si>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</si>
  <si>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</si>
  <si>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</si>
  <si>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</si>
  <si>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</si>
  <si>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</si>
  <si>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</si>
  <si>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</si>
  <si>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</si>
  <si>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</si>
  <si>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</si>
  <si>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</si>
  <si>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</si>
  <si>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</si>
  <si>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</si>
  <si>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</si>
  <si>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</si>
  <si>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</si>
  <si>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</si>
  <si>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</si>
  <si>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</si>
  <si>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</si>
  <si>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</si>
  <si>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</si>
  <si>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</si>
  <si>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</si>
  <si>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</si>
  <si>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</si>
  <si>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</si>
  <si>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</si>
  <si>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</si>
  <si>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</si>
  <si>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</si>
  <si>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</si>
  <si>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</si>
  <si>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</si>
  <si>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</si>
  <si>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</si>
  <si>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</si>
  <si>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</si>
  <si>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</si>
  <si>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</si>
  <si>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</si>
  <si>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</si>
  <si>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</si>
  <si>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</si>
  <si>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</si>
  <si>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</si>
  <si>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</si>
  <si>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</si>
  <si>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</si>
  <si>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</si>
  <si>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</si>
  <si>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</si>
  <si>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</si>
  <si>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</si>
  <si>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</si>
  <si>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</si>
  <si>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</si>
  <si>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</si>
  <si>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</si>
  <si>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</si>
  <si>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</si>
  <si>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</si>
  <si>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</si>
  <si>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</si>
  <si>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</si>
  <si>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</si>
  <si>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</si>
  <si>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</si>
  <si>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</si>
  <si>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</si>
  <si>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</si>
  <si>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</si>
  <si>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</si>
  <si>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</si>
  <si>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</si>
  <si>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</si>
  <si>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</si>
  <si>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</si>
  <si>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</si>
  <si>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</si>
  <si>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</si>
  <si>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</si>
  <si>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</si>
  <si>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</si>
  <si>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</si>
  <si>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</si>
  <si>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</si>
  <si>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</si>
  <si>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</si>
  <si>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</si>
  <si>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</si>
  <si>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</si>
  <si>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</si>
  <si>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</si>
  <si>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</si>
  <si>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</si>
  <si>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</si>
  <si>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</si>
  <si>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</si>
  <si>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</si>
  <si>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</si>
  <si>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</si>
  <si>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</si>
  <si>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</si>
  <si>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</si>
  <si>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</si>
  <si>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</si>
  <si>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</si>
  <si>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</si>
  <si>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</si>
  <si>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</si>
  <si>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</si>
  <si>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</si>
  <si>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</si>
  <si>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</si>
  <si>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</si>
  <si>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</si>
  <si>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</si>
  <si>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</si>
  <si>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</si>
  <si>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</si>
  <si>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</si>
  <si>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</si>
  <si>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</si>
  <si>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</si>
  <si>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</si>
  <si>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</si>
  <si>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</si>
  <si>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</si>
  <si>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</si>
  <si>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</si>
  <si>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</si>
  <si>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</si>
  <si>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</si>
  <si>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</si>
  <si>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</si>
  <si>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</si>
  <si>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</si>
  <si>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</si>
  <si>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</si>
  <si>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</si>
  <si>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</si>
  <si>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</si>
  <si>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</si>
  <si>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</si>
  <si>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</si>
  <si>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</si>
  <si>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</si>
  <si>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</si>
  <si>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</si>
  <si>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</si>
  <si>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</si>
  <si>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</si>
  <si>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</si>
  <si>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</si>
  <si>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</si>
  <si>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</si>
  <si>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</si>
  <si>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</si>
  <si>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</si>
  <si>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</si>
  <si>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</si>
  <si>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</si>
  <si>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</si>
  <si>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</si>
  <si>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</si>
  <si>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</si>
  <si>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</si>
  <si>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</si>
  <si>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</si>
  <si>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</si>
  <si>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</si>
  <si>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</si>
  <si>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</si>
  <si>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</si>
  <si>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</si>
  <si>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</si>
  <si>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</si>
  <si>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</si>
  <si>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</si>
  <si>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</si>
  <si>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</si>
  <si>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</si>
  <si>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</si>
  <si>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</si>
  <si>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</si>
  <si>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</si>
  <si>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</si>
  <si>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</si>
  <si>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</si>
  <si>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</si>
  <si>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</si>
  <si>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</si>
  <si>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</si>
  <si>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</si>
  <si>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</si>
  <si>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</si>
  <si>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</si>
  <si>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</si>
  <si>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</si>
  <si>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</si>
  <si>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</si>
  <si>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</si>
  <si>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</si>
  <si>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</si>
  <si>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</si>
  <si>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</si>
  <si>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</si>
  <si>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</si>
  <si>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</si>
  <si>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</si>
  <si>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</si>
  <si>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</si>
  <si>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</si>
  <si>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</si>
  <si>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</si>
  <si>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</si>
  <si>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</si>
  <si>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</si>
  <si>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</si>
  <si>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</si>
  <si>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</si>
  <si>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</si>
  <si>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</si>
  <si>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</si>
  <si>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</si>
  <si>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</si>
  <si>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</si>
  <si>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</si>
  <si>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</si>
  <si>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</si>
  <si>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</si>
  <si>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</si>
  <si>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</si>
  <si>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</si>
  <si>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</si>
  <si>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</si>
  <si>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</si>
  <si>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</si>
  <si>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</si>
  <si>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</si>
  <si>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</si>
  <si>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</si>
  <si>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</si>
  <si>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</si>
  <si>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</si>
  <si>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</si>
  <si>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</si>
  <si>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</si>
  <si>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</si>
  <si>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</si>
  <si>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</si>
  <si>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</si>
  <si>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</si>
  <si>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</si>
  <si>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</si>
  <si>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</si>
  <si>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</si>
  <si>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</si>
  <si>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</si>
  <si>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</si>
  <si>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</si>
  <si>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</si>
  <si>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</si>
  <si>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</si>
  <si>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</si>
  <si>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</si>
  <si>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</si>
  <si>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</si>
  <si>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</si>
  <si>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</si>
  <si>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</si>
  <si>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</si>
  <si>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</si>
  <si>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</si>
  <si>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</si>
  <si>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</si>
  <si>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</si>
  <si>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</si>
  <si>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</si>
  <si>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</si>
  <si>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</si>
  <si>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</si>
  <si>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</si>
  <si>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</si>
  <si>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</si>
  <si>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</si>
  <si>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</si>
  <si>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</si>
  <si>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</si>
  <si>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</si>
  <si>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</si>
  <si>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</si>
  <si>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</si>
  <si>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</si>
  <si>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</si>
  <si>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</si>
  <si>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</si>
  <si>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</si>
  <si>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</si>
  <si>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</si>
  <si>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</si>
  <si>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</si>
  <si>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</si>
  <si>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</si>
  <si>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</si>
  <si>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</si>
  <si>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</si>
  <si>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</si>
  <si>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</si>
  <si>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</si>
  <si>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</si>
  <si>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</si>
  <si>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</si>
  <si>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</si>
  <si>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</si>
  <si>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</si>
  <si>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</si>
  <si>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</si>
  <si>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</si>
  <si>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</si>
  <si>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</si>
  <si>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</si>
  <si>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</si>
  <si>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</si>
  <si>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</si>
  <si>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</si>
  <si>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</si>
  <si>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</si>
  <si>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</si>
  <si>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</si>
  <si>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</si>
  <si>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</si>
  <si>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</si>
  <si>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</si>
  <si>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</si>
  <si>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</si>
  <si>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</si>
  <si>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</si>
  <si>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</si>
  <si>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</si>
  <si>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</si>
  <si>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</si>
  <si>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</si>
  <si>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</si>
  <si>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</si>
  <si>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</si>
  <si>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</si>
  <si>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</si>
  <si>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</si>
  <si>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</si>
  <si>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</si>
  <si>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</si>
  <si>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</si>
  <si>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</si>
  <si>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</si>
  <si>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</si>
  <si>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</si>
  <si>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</si>
  <si>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</si>
  <si>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</si>
  <si>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</si>
  <si>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</si>
  <si>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</si>
  <si>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</si>
  <si>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</si>
  <si>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</si>
  <si>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</si>
  <si>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</si>
  <si>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</si>
  <si>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</si>
  <si>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</si>
  <si>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</si>
  <si>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</si>
  <si>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</si>
  <si>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</si>
  <si>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</si>
  <si>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</si>
  <si>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</si>
  <si>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</si>
  <si>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</si>
  <si>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</si>
  <si>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</si>
  <si>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</si>
  <si>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</si>
  <si>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</si>
  <si>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</si>
  <si>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</si>
  <si>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</si>
  <si>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</si>
  <si>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</si>
  <si>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</si>
  <si>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</si>
  <si>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</si>
  <si>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</si>
  <si>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</si>
  <si>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</si>
  <si>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</si>
  <si>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</si>
  <si>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</si>
  <si>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</si>
  <si>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</si>
  <si>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</si>
  <si>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</si>
  <si>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</si>
  <si>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</si>
  <si>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</si>
  <si>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</si>
  <si>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</si>
  <si>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</si>
  <si>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</si>
  <si>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</si>
  <si>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</si>
  <si>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</si>
  <si>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</si>
  <si>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</si>
  <si>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</si>
  <si>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</si>
  <si>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</si>
  <si>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</si>
  <si>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</si>
  <si>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</si>
  <si>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</si>
  <si>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</si>
  <si>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</si>
  <si>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</si>
  <si>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</si>
  <si>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</si>
  <si>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</si>
  <si>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</si>
  <si>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</si>
  <si>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</si>
  <si>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</si>
  <si>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</si>
  <si>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</si>
  <si>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</si>
  <si>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</si>
  <si>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</si>
  <si>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</si>
  <si>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</si>
  <si>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</si>
  <si>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</si>
  <si>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</si>
  <si>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</si>
  <si>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</si>
  <si>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</si>
  <si>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</si>
  <si>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</si>
  <si>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</si>
  <si>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</si>
  <si>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</si>
  <si>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</si>
  <si>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</si>
  <si>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</si>
  <si>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</si>
  <si>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</si>
  <si>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</si>
  <si>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</si>
  <si>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</si>
  <si>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</si>
  <si>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</si>
  <si>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</si>
  <si>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</si>
  <si>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</si>
  <si>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</si>
  <si>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</si>
  <si>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</si>
  <si>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</si>
  <si>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</si>
  <si>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</si>
  <si>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</si>
  <si>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</si>
  <si>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</si>
  <si>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</si>
  <si>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</si>
  <si>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</si>
  <si>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</si>
  <si>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</si>
  <si>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</si>
  <si>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</si>
  <si>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</si>
  <si>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</si>
  <si>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</si>
  <si>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</si>
  <si>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</si>
  <si>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</si>
  <si>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</si>
  <si>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</si>
  <si>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</si>
  <si>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</si>
  <si>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</si>
  <si>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</si>
  <si>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</si>
  <si>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</si>
  <si>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</si>
  <si>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</si>
  <si>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</si>
  <si>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</si>
  <si>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</si>
  <si>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</si>
  <si>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</si>
  <si>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</si>
  <si>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</si>
  <si>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</si>
  <si>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</si>
  <si>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</si>
  <si>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</si>
  <si>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</si>
  <si>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</si>
  <si>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</si>
  <si>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</si>
  <si>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</si>
  <si>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</si>
  <si>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</si>
  <si>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</si>
  <si>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</si>
  <si>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</si>
  <si>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</si>
  <si>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</si>
  <si>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</si>
  <si>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</si>
  <si>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</si>
  <si>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</si>
  <si>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</si>
  <si>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</si>
  <si>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</si>
  <si>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</si>
  <si>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</si>
  <si>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</si>
  <si>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</si>
  <si>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</si>
  <si>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</si>
  <si>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</si>
  <si>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</si>
  <si>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</si>
  <si>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</si>
  <si>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</si>
  <si>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</si>
  <si>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</si>
  <si>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</si>
  <si>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</si>
  <si>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</si>
  <si>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</si>
  <si>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</si>
  <si>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</si>
  <si>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</si>
  <si>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</si>
  <si>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</si>
  <si>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</si>
  <si>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</si>
  <si>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</si>
  <si>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</si>
  <si>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</si>
  <si>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</si>
  <si>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</si>
  <si>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</si>
  <si>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</si>
  <si>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</si>
  <si>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</si>
  <si>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</si>
  <si>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</si>
  <si>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</si>
  <si>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</si>
  <si>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</si>
  <si>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</si>
  <si>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</si>
  <si>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</si>
  <si>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</si>
  <si>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</si>
  <si>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</si>
  <si>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</si>
  <si>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</si>
  <si>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</si>
  <si>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</si>
  <si>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</si>
  <si>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</si>
  <si>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</si>
  <si>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</si>
  <si>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</si>
  <si>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</si>
  <si>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</si>
  <si>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</si>
  <si>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</si>
  <si>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</si>
  <si>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</si>
  <si>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</si>
  <si>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</si>
  <si>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</si>
  <si>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</si>
  <si>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</si>
  <si>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</si>
  <si>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</si>
  <si>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</si>
  <si>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</si>
  <si>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</si>
  <si>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</si>
  <si>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</si>
  <si>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</si>
  <si>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</si>
  <si>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</si>
  <si>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</si>
  <si>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</si>
  <si>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</si>
  <si>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</si>
  <si>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</si>
  <si>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</si>
  <si>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</si>
  <si>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</si>
  <si>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</si>
  <si>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</si>
  <si>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</si>
  <si>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</si>
  <si>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</si>
  <si>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</si>
  <si>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</si>
  <si>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</si>
  <si>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</si>
  <si>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</si>
  <si>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</si>
  <si>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</si>
  <si>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</si>
  <si>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</si>
  <si>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</si>
  <si>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</si>
  <si>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</si>
  <si>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</si>
  <si>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</si>
  <si>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</si>
  <si>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</si>
  <si>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</si>
  <si>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</si>
  <si>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</si>
  <si>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</si>
  <si>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</si>
  <si>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</si>
  <si>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</si>
  <si>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</si>
  <si>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</si>
  <si>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</si>
  <si>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</si>
  <si>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</si>
  <si>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</si>
  <si>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</si>
  <si>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</si>
  <si>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</si>
  <si>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</si>
  <si>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</si>
  <si>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</si>
  <si>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</si>
  <si>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</si>
  <si>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</si>
  <si>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</si>
  <si>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</si>
  <si>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</si>
  <si>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</si>
  <si>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</si>
  <si>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</si>
  <si>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</si>
  <si>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</si>
  <si>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</si>
  <si>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</si>
  <si>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</si>
  <si>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</si>
  <si>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</si>
  <si>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</si>
  <si>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</si>
  <si>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</si>
  <si>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</si>
  <si>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</si>
  <si>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</si>
  <si>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</si>
  <si>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</si>
  <si>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</si>
  <si>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</si>
  <si>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</si>
  <si>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</si>
  <si>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</si>
  <si>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</si>
  <si>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</si>
  <si>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</si>
  <si>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</si>
  <si>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</si>
  <si>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</si>
  <si>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</si>
  <si>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</si>
  <si>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</si>
  <si>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</si>
  <si>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</si>
  <si>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</si>
  <si>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</si>
  <si>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</si>
  <si>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</si>
  <si>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</si>
  <si>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</si>
  <si>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</si>
  <si>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</si>
  <si>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</si>
  <si>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</si>
  <si>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</si>
  <si>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</si>
  <si>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</si>
  <si>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</si>
  <si>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</si>
  <si>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</si>
  <si>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</si>
  <si>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</si>
  <si>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</si>
  <si>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</si>
  <si>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</si>
  <si>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</si>
  <si>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</si>
  <si>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</si>
  <si>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</si>
  <si>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</si>
  <si>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</si>
  <si>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</si>
  <si>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</si>
  <si>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</si>
  <si>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</si>
  <si>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</si>
  <si>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</si>
  <si>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</si>
  <si>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</si>
  <si>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</si>
  <si>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</si>
  <si>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</si>
  <si>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</si>
  <si>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</si>
  <si>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</si>
  <si>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</si>
  <si>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</si>
  <si>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</si>
  <si>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</si>
  <si>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</si>
  <si>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</si>
  <si>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</si>
  <si>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</si>
  <si>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</si>
  <si>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</si>
  <si>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</si>
  <si>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</si>
  <si>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</si>
  <si>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</si>
  <si>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</si>
  <si>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</si>
  <si>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</si>
  <si>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</si>
  <si>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</si>
  <si>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</si>
  <si>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</si>
  <si>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</si>
  <si>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</si>
  <si>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</si>
  <si>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</si>
  <si>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</si>
  <si>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</si>
  <si>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</si>
  <si>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</si>
  <si>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</si>
  <si>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</si>
  <si>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</si>
  <si>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</si>
  <si>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</si>
  <si>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</si>
  <si>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</si>
  <si>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</si>
  <si>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</si>
  <si>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</si>
  <si>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</si>
  <si>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</si>
  <si>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</si>
  <si>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</si>
  <si>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</si>
  <si>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</si>
  <si>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</si>
  <si>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</si>
  <si>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</si>
  <si>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</si>
  <si>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</si>
  <si>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</si>
  <si>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</si>
  <si>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</si>
  <si>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</si>
  <si>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</si>
  <si>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</si>
  <si>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</si>
  <si>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</si>
  <si>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</si>
  <si>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</si>
  <si>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</si>
  <si>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</si>
  <si>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</si>
  <si>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</si>
  <si>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</si>
  <si>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</si>
  <si>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</si>
  <si>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</si>
  <si>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</si>
  <si>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</si>
  <si>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</si>
  <si>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</si>
  <si>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</si>
  <si>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</si>
  <si>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</si>
  <si>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</si>
  <si>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</si>
  <si>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</si>
  <si>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</si>
  <si>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</si>
  <si>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</si>
  <si>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</si>
  <si>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</si>
  <si>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</si>
  <si>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</si>
  <si>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</si>
  <si>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</si>
  <si>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</si>
  <si>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</si>
  <si>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</si>
  <si>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</si>
  <si>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</si>
  <si>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</si>
  <si>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</si>
  <si>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</si>
  <si>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</si>
  <si>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</si>
  <si>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</si>
  <si>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</si>
  <si>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</si>
  <si>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</si>
  <si>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</si>
  <si>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</si>
  <si>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</si>
  <si>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</si>
  <si>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</si>
  <si>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</si>
  <si>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</si>
  <si>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</si>
  <si>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</si>
  <si>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</si>
  <si>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</si>
  <si>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</si>
  <si>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</si>
  <si>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</si>
  <si>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</si>
  <si>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</si>
  <si>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</si>
  <si>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</si>
  <si>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</si>
  <si>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</si>
  <si>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</si>
  <si>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</si>
  <si>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</si>
  <si>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</si>
  <si>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</si>
  <si>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</si>
  <si>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</si>
  <si>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</si>
  <si>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</si>
  <si>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</si>
  <si>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</si>
  <si>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</si>
  <si>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</si>
  <si>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</si>
  <si>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</si>
  <si>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</si>
  <si>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</si>
  <si>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</si>
  <si>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</si>
  <si>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</si>
  <si>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</si>
  <si>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</si>
  <si>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</si>
  <si>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</si>
  <si>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</si>
  <si>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</si>
  <si>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</si>
  <si>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</si>
  <si>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</si>
  <si>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</si>
  <si>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</si>
  <si>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</si>
  <si>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</si>
  <si>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</si>
  <si>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</si>
  <si>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</si>
  <si>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</si>
  <si>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</si>
  <si>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</si>
  <si>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</si>
  <si>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</si>
  <si>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</si>
  <si>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</si>
  <si>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</si>
  <si>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</si>
  <si>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</si>
  <si>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</si>
  <si>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</si>
  <si>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</si>
  <si>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</si>
  <si>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</si>
  <si>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</si>
  <si>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</si>
  <si>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</si>
  <si>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</si>
  <si>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</si>
  <si>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</si>
  <si>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</si>
  <si>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</si>
  <si>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</si>
  <si>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</si>
  <si>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</si>
  <si>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</si>
  <si>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</si>
  <si>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</si>
  <si>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</si>
  <si>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</si>
  <si>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</si>
  <si>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</si>
  <si>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</si>
  <si>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</si>
  <si>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</si>
  <si>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</si>
  <si>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</si>
  <si>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</si>
  <si>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</si>
  <si>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</si>
  <si>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</si>
  <si>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</si>
  <si>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</si>
  <si>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</si>
  <si>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</si>
  <si>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</si>
  <si>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</si>
  <si>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</si>
  <si>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</si>
  <si>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</si>
  <si>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</si>
  <si>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</si>
  <si>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</si>
  <si>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</si>
  <si>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</si>
  <si>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</si>
  <si>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</si>
  <si>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</si>
  <si>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</si>
  <si>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</si>
  <si>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</si>
  <si>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</si>
  <si>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</si>
  <si>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</si>
  <si>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</si>
  <si>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</si>
  <si>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</si>
  <si>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</si>
  <si>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</si>
  <si>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</si>
  <si>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</si>
  <si>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</si>
  <si>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</si>
  <si>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</si>
  <si>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</si>
  <si>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</si>
  <si>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</si>
  <si>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</si>
  <si>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</si>
  <si>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</si>
  <si>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</si>
  <si>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</si>
  <si>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</si>
  <si>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</si>
  <si>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</si>
  <si>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</si>
  <si>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</si>
  <si>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</si>
  <si>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</si>
  <si>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</si>
  <si>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</si>
  <si>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</si>
  <si>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</si>
  <si>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</si>
  <si>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</si>
  <si>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</si>
  <si>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</si>
  <si>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</si>
  <si>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</si>
  <si>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</si>
  <si>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</si>
  <si>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</si>
  <si>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</si>
  <si>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</si>
  <si>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</si>
  <si>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</si>
  <si>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</si>
  <si>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</si>
  <si>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</si>
  <si>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</si>
  <si>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</si>
  <si>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</si>
  <si>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</si>
  <si>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</si>
  <si>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</si>
  <si>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</si>
  <si>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</si>
  <si>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</si>
  <si>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</si>
  <si>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</si>
  <si>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</si>
  <si>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</si>
  <si>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</si>
  <si>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</si>
  <si>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</si>
  <si>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</si>
  <si>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</si>
  <si>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</si>
  <si>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</si>
  <si>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</si>
  <si>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</si>
  <si>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</si>
  <si>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</si>
  <si>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</si>
  <si>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</si>
  <si>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</si>
  <si>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</si>
  <si>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</si>
  <si>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</si>
  <si>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</si>
  <si>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</si>
  <si>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</si>
  <si>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</si>
  <si>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</si>
  <si>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</si>
  <si>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</si>
  <si>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</si>
  <si>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</si>
  <si>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</si>
  <si>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</si>
  <si>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</si>
  <si>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</si>
  <si>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</si>
  <si>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</si>
  <si>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</si>
  <si>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</si>
  <si>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</si>
  <si>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</si>
  <si>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</si>
  <si>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</si>
  <si>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</si>
  <si>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</si>
  <si>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</si>
  <si>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</si>
  <si>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</si>
  <si>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</si>
  <si>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</si>
  <si>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</si>
  <si>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</si>
  <si>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</si>
  <si>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</si>
  <si>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</si>
  <si>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</si>
  <si>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</si>
  <si>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</si>
  <si>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</si>
  <si>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</si>
  <si>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</si>
  <si>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</si>
  <si>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</si>
  <si>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</si>
  <si>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</si>
  <si>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</si>
  <si>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</si>
  <si>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</si>
  <si>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</si>
  <si>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</si>
  <si>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</si>
  <si>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</si>
  <si>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</si>
  <si>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</si>
  <si>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</si>
  <si>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</si>
  <si>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</si>
  <si>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</si>
  <si>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</si>
  <si>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</si>
  <si>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</si>
  <si>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</si>
  <si>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</si>
  <si>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</si>
  <si>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</si>
  <si>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</si>
  <si>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</si>
  <si>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</si>
  <si>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</si>
  <si>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</si>
  <si>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</si>
  <si>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</si>
  <si>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</si>
  <si>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</si>
  <si>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</si>
  <si>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</si>
  <si>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</si>
  <si>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</si>
  <si>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</si>
  <si>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</si>
  <si>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</si>
  <si>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</si>
  <si>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</si>
  <si>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</si>
  <si>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</si>
  <si>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</si>
  <si>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</si>
  <si>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</si>
  <si>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</si>
  <si>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</si>
  <si>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</si>
  <si>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</si>
  <si>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</si>
  <si>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</si>
  <si>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</si>
  <si>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</si>
  <si>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</si>
  <si>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</si>
  <si>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</si>
  <si>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</si>
  <si>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</si>
  <si>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</si>
  <si>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</si>
  <si>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</si>
  <si>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</si>
  <si>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</si>
  <si>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</si>
  <si>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</si>
  <si>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</si>
  <si>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</si>
  <si>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</si>
  <si>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</si>
  <si>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</si>
  <si>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</si>
  <si>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</si>
  <si>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</si>
  <si>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</si>
  <si>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</si>
  <si>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</si>
  <si>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</si>
  <si>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</si>
  <si>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</si>
  <si>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</si>
  <si>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</si>
  <si>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</si>
  <si>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</si>
  <si>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</si>
  <si>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</si>
  <si>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</si>
  <si>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</si>
  <si>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</si>
  <si>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</si>
  <si>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</si>
  <si>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</si>
  <si>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</si>
  <si>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</si>
  <si>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</si>
  <si>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</si>
  <si>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</si>
  <si>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</si>
  <si>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</si>
  <si>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</si>
  <si>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</si>
  <si>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</si>
  <si>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</si>
  <si>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</si>
  <si>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</si>
  <si>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</si>
  <si>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</si>
  <si>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</si>
  <si>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</si>
  <si>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</si>
  <si>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</si>
  <si>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</si>
  <si>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</si>
  <si>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</si>
  <si>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</si>
  <si>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</si>
  <si>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</si>
  <si>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</si>
  <si>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</si>
  <si>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</si>
  <si>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</si>
  <si>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</si>
  <si>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</si>
  <si>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</si>
  <si>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</si>
  <si>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</si>
  <si>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</si>
  <si>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</si>
  <si>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</si>
  <si>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</si>
  <si>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</si>
  <si>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</si>
  <si>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</si>
  <si>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</si>
  <si>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</si>
  <si>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</si>
  <si>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</si>
  <si>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</si>
  <si>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</si>
  <si>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</si>
  <si>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</si>
  <si>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</si>
  <si>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</si>
  <si>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</si>
  <si>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</si>
  <si>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</si>
  <si>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</si>
  <si>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</si>
  <si>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</si>
  <si>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</si>
  <si>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</si>
  <si>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</si>
  <si>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</si>
  <si>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</si>
  <si>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</si>
  <si>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</si>
  <si>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</si>
  <si>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</si>
  <si>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</si>
  <si>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</si>
  <si>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</si>
  <si>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</si>
  <si>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</si>
  <si>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</si>
  <si>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</si>
  <si>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</si>
  <si>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</si>
  <si>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</si>
  <si>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</si>
  <si>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</si>
  <si>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</si>
  <si>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</si>
  <si>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</si>
  <si>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</si>
  <si>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</si>
  <si>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</si>
  <si>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</si>
  <si>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</si>
  <si>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</si>
  <si>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</si>
  <si>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</si>
  <si>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</si>
  <si>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</si>
  <si>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</si>
  <si>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</si>
  <si>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</si>
  <si>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</si>
  <si>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</si>
  <si>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</si>
  <si>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</si>
  <si>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</si>
  <si>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</si>
  <si>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</si>
  <si>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</si>
  <si>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</si>
  <si>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</si>
  <si>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</si>
  <si>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</si>
  <si>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</si>
  <si>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</si>
  <si>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</si>
  <si>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</si>
  <si>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</si>
  <si>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</si>
  <si>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</si>
  <si>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</si>
  <si>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</si>
  <si>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</si>
  <si>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</si>
  <si>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</si>
  <si>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</si>
  <si>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</si>
  <si>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</si>
  <si>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</si>
  <si>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</si>
  <si>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</si>
  <si>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</si>
  <si>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</si>
  <si>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</si>
  <si>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</si>
  <si>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</si>
  <si>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</si>
  <si>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</si>
  <si>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</si>
  <si>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</si>
  <si>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</si>
  <si>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</si>
  <si>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</si>
  <si>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</si>
  <si>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</si>
  <si>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</si>
  <si>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</si>
  <si>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</si>
  <si>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</si>
  <si>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</si>
  <si>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</si>
  <si>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</si>
  <si>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</si>
  <si>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</si>
  <si>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</si>
  <si>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</si>
  <si>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</si>
  <si>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</si>
  <si>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</si>
  <si>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</si>
  <si>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</si>
  <si>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</si>
  <si>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</si>
  <si>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</si>
  <si>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</si>
  <si>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</si>
  <si>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</si>
  <si>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</si>
  <si>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</si>
  <si>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</si>
  <si>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</si>
  <si>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</si>
  <si>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</si>
  <si>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</si>
  <si>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</si>
  <si>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</si>
  <si>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</si>
  <si>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</si>
  <si>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</si>
  <si>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</si>
  <si>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</si>
  <si>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</si>
  <si>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</si>
  <si>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</si>
  <si>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</si>
  <si>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</si>
  <si>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</si>
  <si>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</si>
  <si>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</si>
  <si>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</si>
  <si>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</si>
  <si>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</si>
  <si>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</si>
  <si>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</si>
  <si>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</si>
  <si>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</si>
  <si>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</si>
  <si>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</si>
  <si>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</si>
  <si>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</si>
  <si>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</si>
  <si>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</si>
  <si>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</si>
  <si>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</si>
  <si>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</si>
  <si>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</si>
  <si>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</si>
  <si>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</si>
  <si>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</si>
  <si>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</si>
  <si>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</si>
  <si>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</si>
  <si>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</si>
  <si>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</si>
  <si>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</si>
  <si>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</si>
  <si>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</si>
  <si>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</si>
  <si>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</si>
  <si>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</si>
  <si>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</si>
  <si>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</si>
  <si>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</si>
  <si>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</si>
  <si>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</si>
  <si>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</si>
  <si>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</si>
  <si>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</si>
  <si>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</si>
  <si>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</si>
  <si>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</si>
  <si>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</si>
  <si>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</si>
  <si>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</si>
  <si>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</si>
  <si>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</si>
  <si>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</si>
  <si>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</si>
  <si>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</si>
  <si>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</si>
  <si>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</si>
  <si>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</si>
  <si>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</si>
  <si>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</si>
  <si>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</si>
  <si>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</si>
  <si>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</si>
  <si>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</si>
  <si>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</si>
  <si>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</si>
  <si>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</si>
  <si>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</si>
  <si>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</si>
  <si>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</si>
  <si>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</si>
  <si>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</si>
  <si>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</si>
  <si>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</si>
  <si>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</si>
  <si>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</si>
  <si>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</si>
  <si>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</si>
  <si>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</si>
  <si>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</si>
  <si>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</si>
  <si>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</si>
  <si>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</si>
  <si>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</si>
  <si>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</si>
  <si>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</si>
  <si>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</si>
  <si>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</si>
  <si>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</si>
  <si>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</si>
  <si>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</si>
  <si>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</si>
  <si>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</si>
  <si>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</si>
  <si>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</si>
  <si>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</si>
  <si>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</si>
  <si>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</si>
  <si>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</si>
  <si>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</si>
  <si>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</si>
  <si>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</si>
  <si>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</si>
  <si>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</si>
  <si>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</si>
  <si>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</si>
  <si>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</si>
  <si>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</si>
  <si>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</si>
  <si>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</si>
  <si>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</si>
  <si>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</si>
  <si>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</si>
  <si>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</si>
  <si>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</si>
  <si>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</si>
  <si>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</si>
  <si>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</si>
  <si>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</si>
  <si>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</si>
  <si>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</si>
  <si>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</si>
  <si>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</si>
  <si>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</si>
  <si>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</si>
  <si>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</si>
  <si>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</si>
  <si>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</si>
  <si>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</si>
  <si>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</si>
  <si>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</si>
  <si>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</si>
  <si>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</si>
  <si>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</si>
  <si>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</si>
  <si>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</si>
  <si>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</si>
  <si>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</si>
  <si>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</si>
  <si>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</si>
  <si>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</si>
  <si>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</si>
  <si>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</si>
  <si>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</si>
  <si>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</si>
  <si>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</si>
  <si>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</si>
  <si>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</si>
  <si>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</si>
  <si>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</si>
  <si>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</si>
  <si>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</si>
  <si>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</si>
  <si>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</si>
  <si>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</si>
  <si>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</si>
  <si>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</si>
  <si>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</si>
  <si>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</si>
  <si>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</si>
  <si>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</si>
  <si>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</si>
  <si>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</si>
  <si>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</si>
  <si>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</si>
  <si>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</si>
  <si>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</si>
  <si>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</si>
  <si>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</si>
  <si>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</si>
  <si>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</si>
  <si>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</si>
  <si>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</si>
  <si>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</si>
  <si>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</si>
  <si>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</si>
  <si>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</si>
  <si>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</si>
  <si>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</si>
  <si>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</si>
  <si>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</si>
  <si>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</si>
  <si>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</si>
  <si>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</si>
  <si>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</si>
  <si>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</si>
  <si>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</si>
  <si>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</si>
  <si>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</si>
  <si>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</si>
  <si>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</si>
  <si>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</si>
  <si>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</si>
  <si>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</si>
  <si>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</si>
  <si>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</si>
  <si>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</si>
  <si>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</si>
  <si>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</si>
  <si>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</si>
  <si>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</si>
  <si>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</si>
  <si>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</si>
  <si>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</si>
  <si>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</si>
  <si>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</si>
  <si>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</si>
  <si>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</si>
  <si>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</si>
  <si>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</si>
  <si>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</si>
  <si>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</si>
  <si>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</si>
  <si>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</si>
  <si>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</si>
  <si>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</si>
  <si>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</si>
  <si>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</si>
  <si>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</si>
  <si>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</si>
  <si>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</si>
  <si>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</si>
  <si>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</si>
  <si>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</si>
  <si>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</si>
  <si>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</si>
  <si>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</si>
  <si>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</si>
  <si>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</si>
  <si>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</si>
  <si>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</si>
  <si>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</si>
  <si>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</si>
  <si>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</si>
  <si>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</si>
  <si>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</si>
  <si>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</si>
  <si>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</si>
  <si>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</si>
  <si>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</si>
  <si>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</si>
  <si>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</si>
  <si>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</si>
  <si>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</si>
  <si>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</si>
  <si>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</si>
  <si>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</si>
  <si>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</si>
  <si>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</si>
  <si>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</si>
  <si>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</si>
  <si>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</si>
  <si>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</si>
  <si>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</si>
  <si>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</si>
  <si>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</si>
  <si>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</si>
  <si>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</si>
  <si>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</si>
  <si>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</si>
  <si>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</si>
  <si>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</si>
  <si>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</si>
  <si>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</si>
  <si>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</si>
  <si>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</si>
  <si>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</si>
  <si>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</si>
  <si>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</si>
  <si>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</si>
  <si>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</si>
  <si>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</si>
  <si>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</si>
  <si>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</si>
  <si>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</si>
  <si>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</si>
  <si>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</si>
  <si>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</si>
  <si>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</si>
  <si>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</si>
  <si>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</si>
  <si>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</si>
  <si>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</si>
  <si>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</si>
  <si>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</si>
  <si>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</si>
  <si>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</si>
  <si>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</si>
  <si>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</si>
  <si>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</si>
  <si>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</si>
  <si>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</si>
  <si>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</si>
  <si>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</si>
  <si>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</si>
  <si>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</si>
  <si>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</si>
  <si>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</si>
  <si>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</si>
  <si>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</si>
  <si>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</si>
  <si>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</si>
  <si>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</si>
  <si>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</si>
  <si>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</si>
  <si>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</si>
  <si>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</si>
  <si>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</si>
  <si>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</si>
  <si>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</si>
  <si>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</si>
  <si>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</si>
  <si>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</si>
  <si>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</si>
  <si>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</si>
  <si>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</si>
  <si>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</si>
  <si>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</si>
  <si>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</si>
  <si>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</si>
  <si>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</si>
  <si>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</si>
  <si>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</si>
  <si>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</si>
  <si>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</si>
  <si>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</si>
  <si>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</si>
  <si>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</si>
  <si>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</si>
  <si>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</si>
  <si>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</si>
  <si>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</si>
  <si>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</si>
  <si>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</si>
  <si>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</si>
  <si>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</si>
  <si>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</si>
  <si>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</si>
  <si>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</si>
  <si>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</si>
  <si>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</si>
  <si>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</si>
  <si>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</si>
  <si>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</si>
  <si>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</si>
  <si>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</si>
  <si>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</si>
  <si>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</si>
  <si>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</si>
  <si>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</si>
  <si>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</si>
  <si>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</si>
  <si>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</si>
  <si>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</si>
  <si>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</si>
  <si>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</si>
  <si>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</si>
  <si>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</si>
  <si>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</si>
  <si>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</si>
  <si>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</si>
  <si>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</si>
  <si>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</si>
  <si>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</si>
  <si>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</si>
  <si>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</si>
  <si>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</si>
  <si>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</si>
  <si>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</si>
  <si>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</si>
  <si>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</si>
  <si>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</si>
  <si>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</si>
  <si>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</si>
  <si>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</si>
  <si>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</si>
  <si>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</si>
  <si>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</si>
  <si>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</si>
  <si>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</si>
  <si>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</si>
  <si>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</si>
  <si>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</si>
  <si>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</si>
  <si>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</si>
  <si>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</si>
  <si>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</si>
  <si>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</si>
  <si>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</si>
  <si>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</si>
  <si>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</si>
  <si>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</si>
  <si>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</si>
  <si>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</si>
  <si>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</si>
  <si>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</si>
  <si>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</si>
  <si>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</si>
  <si>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</si>
  <si>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</si>
  <si>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</si>
  <si>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</si>
  <si>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</si>
  <si>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</si>
  <si>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</si>
  <si>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</si>
  <si>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</si>
  <si>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</si>
  <si>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</si>
  <si>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</si>
  <si>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</si>
  <si>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</si>
  <si>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</si>
  <si>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</si>
  <si>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</si>
  <si>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</si>
  <si>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</si>
  <si>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</si>
  <si>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</si>
  <si>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</si>
  <si>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</si>
  <si>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</si>
  <si>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</si>
  <si>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</si>
  <si>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</si>
  <si>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</si>
  <si>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</si>
  <si>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</si>
  <si>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</si>
  <si>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</si>
  <si>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</si>
  <si>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</si>
  <si>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</si>
  <si>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</si>
  <si>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</si>
  <si>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</si>
  <si>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</si>
  <si>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</si>
  <si>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</si>
  <si>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</si>
  <si>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</si>
  <si>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</si>
  <si>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</si>
  <si>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</si>
  <si>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</si>
  <si>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</si>
  <si>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</si>
  <si>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</si>
  <si>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</si>
  <si>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</si>
  <si>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</si>
  <si>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</si>
  <si>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</si>
  <si>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</si>
  <si>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</si>
  <si>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</si>
  <si>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</si>
  <si>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</si>
  <si>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</si>
  <si>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</si>
  <si>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</si>
  <si>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</si>
  <si>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</si>
  <si>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</si>
  <si>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</si>
  <si>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</si>
  <si>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</si>
  <si>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</si>
  <si>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</si>
  <si>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</si>
  <si>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</si>
  <si>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</si>
  <si>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</si>
  <si>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</si>
  <si>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</si>
  <si>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</si>
  <si>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</si>
  <si>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</si>
  <si>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</si>
  <si>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</si>
  <si>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</si>
  <si>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</si>
  <si>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</si>
  <si>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</si>
  <si>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</si>
  <si>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</si>
  <si>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</si>
  <si>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</si>
  <si>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</si>
  <si>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</si>
  <si>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</si>
  <si>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</si>
  <si>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</si>
  <si>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</si>
  <si>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</si>
  <si>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</si>
  <si>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</si>
  <si>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</si>
  <si>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</si>
  <si>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</si>
  <si>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</si>
  <si>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</si>
  <si>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</si>
  <si>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</si>
  <si>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</si>
  <si>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</si>
  <si>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</si>
  <si>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</si>
  <si>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</si>
  <si>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</si>
  <si>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</si>
  <si>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</si>
  <si>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</si>
  <si>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</si>
  <si>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</si>
  <si>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</si>
  <si>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</si>
  <si>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</si>
  <si>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</si>
  <si>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</si>
  <si>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</si>
  <si>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</si>
  <si>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</si>
  <si>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</si>
  <si>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</si>
  <si>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</si>
  <si>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</si>
  <si>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</si>
  <si>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</si>
  <si>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</si>
  <si>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</si>
  <si>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</si>
  <si>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</si>
  <si>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</si>
  <si>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</si>
  <si>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</si>
  <si>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</si>
  <si>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</si>
  <si>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</si>
  <si>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</si>
  <si>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</si>
  <si>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</si>
  <si>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</si>
  <si>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</si>
  <si>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</si>
  <si>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</si>
  <si>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</si>
  <si>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</si>
  <si>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</si>
  <si>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</si>
  <si>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</si>
  <si>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</si>
  <si>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</si>
  <si>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</si>
  <si>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</si>
  <si>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</si>
  <si>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</si>
  <si>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</si>
  <si>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</si>
  <si>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</si>
  <si>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</si>
  <si>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</si>
  <si>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</si>
  <si>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</si>
  <si>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</si>
  <si>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</si>
  <si>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</si>
  <si>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</si>
  <si>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</si>
  <si>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</si>
  <si>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</si>
  <si>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</si>
  <si>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</si>
  <si>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</si>
  <si>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</si>
  <si>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</si>
  <si>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</si>
  <si>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</si>
  <si>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</si>
  <si>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</si>
  <si>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</si>
  <si>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</si>
  <si>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</si>
  <si>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</si>
  <si>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</si>
  <si>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</si>
  <si>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</si>
  <si>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</si>
  <si>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</si>
  <si>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</si>
  <si>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</si>
  <si>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</si>
  <si>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</si>
  <si>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</si>
  <si>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</si>
  <si>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</si>
  <si>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</si>
  <si>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</si>
  <si>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</si>
  <si>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</si>
  <si>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</si>
  <si>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</si>
  <si>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</si>
  <si>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</si>
  <si>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</si>
  <si>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</si>
  <si>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</si>
  <si>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</si>
  <si>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</si>
  <si>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</si>
  <si>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</si>
  <si>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</si>
  <si>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</si>
  <si>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</si>
  <si>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</si>
  <si>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</si>
  <si>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</si>
  <si>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</si>
  <si>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</si>
  <si>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</si>
  <si>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</si>
  <si>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</si>
  <si>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</si>
  <si>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</si>
  <si>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</si>
  <si>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</si>
  <si>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</si>
  <si>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</si>
  <si>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</si>
  <si>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</si>
  <si>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</si>
  <si>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</si>
  <si>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</si>
  <si>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</si>
  <si>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</si>
  <si>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</si>
  <si>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</si>
  <si>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</si>
  <si>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</si>
  <si>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</si>
  <si>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</si>
  <si>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</si>
  <si>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</si>
  <si>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</si>
  <si>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</si>
  <si>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</si>
  <si>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</si>
  <si>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</si>
  <si>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</si>
  <si>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</si>
  <si>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</si>
  <si>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</si>
  <si>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</si>
  <si>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</si>
  <si>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</si>
  <si>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</si>
  <si>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</si>
  <si>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</si>
  <si>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</si>
  <si>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</si>
  <si>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</si>
  <si>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</si>
  <si>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</si>
  <si>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</si>
  <si>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</si>
  <si>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</si>
  <si>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</si>
  <si>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</si>
  <si>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</si>
  <si>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</si>
  <si>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</si>
  <si>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</si>
  <si>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</si>
  <si>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</si>
  <si>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</si>
  <si>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</si>
  <si>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</si>
  <si>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</si>
  <si>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</si>
  <si>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</si>
  <si>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</si>
  <si>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</si>
  <si>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</si>
  <si>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</si>
  <si>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</si>
  <si>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</si>
  <si>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</si>
  <si>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</si>
  <si>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</si>
  <si>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</si>
  <si>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</si>
  <si>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</si>
  <si>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</si>
  <si>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</si>
  <si>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</si>
  <si>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</si>
  <si>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</si>
  <si>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</si>
  <si>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</si>
  <si>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</si>
  <si>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</si>
  <si>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</si>
  <si>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</si>
  <si>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</si>
  <si>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</si>
  <si>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</si>
  <si>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</si>
  <si>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</si>
  <si>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</si>
  <si>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</si>
  <si>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</si>
  <si>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</si>
  <si>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</si>
  <si>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</si>
  <si>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</si>
  <si>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</si>
  <si>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</si>
  <si>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</si>
  <si>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</si>
  <si>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</si>
  <si>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</si>
  <si>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</si>
  <si>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</si>
  <si>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</si>
  <si>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</si>
  <si>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</si>
  <si>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</si>
  <si>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</si>
  <si>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</si>
  <si>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</si>
  <si>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</si>
  <si>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</si>
  <si>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</si>
  <si>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</si>
  <si>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</si>
  <si>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</si>
  <si>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</si>
  <si>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</si>
  <si>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</si>
  <si>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</si>
  <si>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</si>
  <si>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</si>
  <si>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</si>
  <si>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</si>
  <si>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</si>
  <si>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</si>
  <si>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</si>
  <si>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</si>
  <si>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</si>
  <si>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</si>
  <si>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</si>
  <si>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</si>
  <si>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</si>
  <si>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</si>
  <si>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</si>
  <si>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</si>
  <si>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</si>
  <si>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</si>
  <si>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</si>
  <si>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</si>
  <si>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</si>
  <si>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</si>
  <si>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</si>
  <si>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</si>
  <si>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</si>
  <si>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</si>
  <si>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</si>
  <si>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</si>
  <si>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</si>
  <si>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</si>
  <si>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</si>
  <si>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</si>
  <si>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</si>
  <si>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</si>
  <si>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</si>
  <si>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</si>
  <si>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</si>
  <si>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</si>
  <si>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</si>
  <si>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</si>
  <si>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</si>
  <si>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</si>
  <si>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</si>
  <si>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</si>
  <si>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</si>
  <si>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</si>
  <si>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</si>
  <si>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</si>
  <si>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</si>
  <si>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</si>
  <si>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</si>
  <si>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</si>
  <si>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</si>
  <si>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</si>
  <si>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</si>
  <si>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</si>
  <si>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</si>
  <si>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</si>
  <si>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</si>
  <si>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</si>
  <si>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</si>
  <si>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</si>
  <si>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</si>
  <si>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</si>
  <si>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</si>
  <si>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</si>
  <si>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</si>
  <si>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</si>
  <si>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</si>
  <si>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</si>
  <si>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</si>
  <si>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</si>
  <si>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</si>
  <si>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</si>
  <si>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</si>
  <si>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</si>
  <si>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</si>
  <si>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</si>
  <si>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</si>
  <si>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</si>
  <si>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</si>
  <si>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</si>
  <si>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</si>
  <si>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</si>
  <si>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</si>
  <si>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</si>
  <si>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</si>
  <si>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</si>
  <si>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</si>
  <si>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</si>
  <si>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</si>
  <si>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</si>
  <si>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</si>
  <si>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</si>
  <si>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</si>
  <si>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</si>
  <si>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</si>
  <si>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</si>
  <si>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</si>
  <si>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</si>
  <si>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</si>
  <si>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</si>
  <si>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</si>
  <si>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</si>
  <si>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</si>
  <si>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</si>
  <si>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</si>
  <si>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</si>
  <si>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</si>
  <si>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</si>
  <si>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</si>
  <si>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</si>
  <si>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</si>
  <si>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</si>
  <si>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</si>
  <si>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</si>
  <si>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</si>
  <si>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</si>
  <si>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</si>
  <si>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</si>
  <si>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</si>
  <si>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</si>
  <si>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</si>
  <si>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</si>
  <si>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</si>
  <si>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</si>
  <si>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</si>
  <si>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</si>
  <si>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</si>
  <si>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</si>
  <si>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</si>
  <si>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</si>
  <si>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</si>
  <si>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</si>
  <si>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</si>
  <si>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</si>
  <si>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</si>
  <si>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</si>
  <si>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</si>
  <si>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</si>
  <si>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</si>
  <si>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</si>
  <si>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</si>
  <si>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</si>
  <si>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</si>
  <si>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</si>
  <si>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</si>
  <si>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</si>
  <si>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</si>
  <si>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</si>
  <si>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</si>
  <si>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</si>
  <si>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</si>
  <si>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</si>
  <si>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</si>
  <si>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</si>
  <si>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</si>
  <si>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</si>
  <si>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</si>
  <si>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</si>
  <si>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</si>
  <si>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</si>
  <si>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</si>
  <si>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</si>
  <si>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</si>
  <si>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</si>
  <si>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</si>
  <si>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</si>
  <si>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</si>
  <si>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</si>
  <si>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</si>
  <si>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</si>
  <si>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</si>
  <si>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</si>
  <si>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</si>
  <si>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</si>
  <si>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</si>
  <si>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</si>
  <si>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</si>
  <si>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</si>
  <si>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</si>
  <si>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</si>
  <si>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</si>
  <si>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</si>
  <si>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</si>
  <si>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</si>
  <si>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</si>
  <si>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</si>
  <si>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</si>
  <si>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</si>
  <si>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</si>
  <si>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</si>
  <si>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</si>
  <si>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</si>
  <si>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</si>
  <si>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</si>
  <si>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</si>
  <si>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</si>
  <si>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</si>
  <si>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</si>
  <si>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</si>
  <si>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</si>
  <si>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</si>
  <si>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</si>
  <si>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</si>
  <si>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</si>
  <si>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</si>
  <si>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</si>
  <si>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</si>
  <si>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</si>
  <si>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</si>
  <si>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</si>
  <si>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</si>
  <si>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</si>
  <si>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</si>
  <si>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</si>
  <si>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</si>
  <si>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</si>
  <si>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</si>
  <si>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</si>
  <si>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</si>
  <si>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</si>
  <si>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</si>
  <si>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</si>
  <si>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</si>
  <si>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</si>
  <si>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</si>
  <si>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</si>
  <si>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</si>
  <si>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</si>
  <si>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</si>
  <si>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</si>
  <si>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</si>
  <si>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</si>
  <si>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</si>
  <si>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</si>
  <si>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</si>
  <si>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</si>
  <si>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</si>
  <si>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</si>
  <si>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</si>
  <si>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</si>
  <si>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</si>
  <si>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</si>
  <si>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</si>
  <si>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</si>
  <si>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</si>
  <si>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</si>
  <si>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</si>
  <si>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</si>
  <si>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</si>
  <si>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</si>
  <si>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</si>
  <si>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</si>
  <si>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</si>
  <si>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</si>
  <si>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</si>
  <si>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</si>
  <si>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</si>
  <si>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</si>
  <si>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</si>
  <si>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</si>
  <si>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</si>
  <si>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</si>
  <si>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</si>
  <si>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</si>
  <si>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</si>
  <si>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</si>
  <si>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</si>
  <si>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</si>
  <si>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</si>
  <si>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</si>
  <si>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</si>
  <si>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</si>
  <si>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</si>
  <si>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</si>
  <si>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</si>
  <si>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</si>
  <si>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</si>
  <si>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</si>
  <si>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</si>
  <si>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</si>
  <si>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</si>
  <si>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</si>
  <si>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</si>
  <si>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</si>
  <si>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</si>
  <si>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</si>
  <si>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</si>
  <si>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</si>
  <si>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</si>
  <si>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</si>
  <si>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</si>
  <si>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</si>
  <si>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</si>
  <si>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</si>
  <si>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</si>
  <si>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</si>
  <si>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</si>
  <si>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</si>
  <si>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</si>
  <si>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</si>
  <si>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</si>
  <si>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</si>
  <si>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</si>
  <si>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</si>
  <si>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</si>
  <si>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</si>
  <si>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</si>
  <si>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</si>
  <si>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</si>
  <si>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</si>
  <si>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</si>
  <si>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</si>
  <si>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</si>
  <si>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</si>
  <si>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</si>
  <si>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</si>
  <si>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</si>
  <si>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</si>
  <si>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</si>
  <si>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</si>
  <si>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</si>
  <si>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</si>
  <si>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</si>
  <si>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</si>
  <si>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</si>
  <si>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</si>
  <si>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</si>
  <si>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</si>
  <si>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</si>
  <si>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</si>
  <si>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</si>
  <si>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</si>
  <si>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</si>
  <si>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</si>
  <si>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</si>
  <si>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</si>
  <si>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</si>
  <si>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</si>
  <si>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</si>
  <si>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</si>
  <si>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</si>
  <si>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</si>
  <si>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</si>
  <si>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</si>
  <si>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</si>
  <si>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</si>
  <si>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</si>
  <si>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</si>
  <si>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</si>
  <si>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</si>
  <si>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</si>
  <si>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</si>
  <si>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</si>
  <si>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</si>
  <si>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</si>
  <si>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</si>
  <si>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</si>
  <si>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</si>
  <si>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</si>
  <si>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</si>
  <si>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</si>
  <si>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</si>
  <si>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</si>
  <si>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</si>
  <si>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</si>
  <si>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</si>
  <si>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</si>
  <si>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</si>
  <si>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</si>
  <si>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</si>
  <si>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</si>
  <si>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</si>
  <si>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</si>
  <si>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</si>
  <si>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</si>
  <si>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</si>
  <si>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</si>
  <si>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</si>
  <si>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</si>
  <si>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</si>
  <si>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</si>
  <si>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</si>
  <si>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</si>
  <si>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</si>
  <si>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</si>
  <si>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</si>
  <si>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</si>
  <si>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</si>
  <si>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</si>
  <si>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</si>
  <si>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</si>
  <si>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</si>
  <si>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</si>
  <si>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</si>
  <si>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</si>
  <si>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</si>
  <si>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</si>
  <si>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</si>
  <si>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</si>
  <si>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</si>
  <si>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</si>
  <si>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</si>
  <si>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</si>
  <si>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</si>
  <si>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</si>
  <si>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</si>
  <si>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</si>
  <si>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</si>
  <si>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</si>
  <si>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</si>
  <si>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</si>
  <si>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</si>
  <si>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</si>
  <si>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</si>
  <si>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</si>
  <si>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</si>
  <si>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</si>
  <si>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</si>
  <si>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</si>
  <si>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</si>
  <si>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</si>
  <si>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</si>
  <si>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</si>
  <si>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</si>
  <si>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</si>
  <si>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</si>
  <si>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</si>
  <si>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</si>
  <si>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</si>
  <si>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</si>
  <si>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</si>
  <si>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</si>
  <si>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</si>
  <si>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</si>
  <si>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</si>
  <si>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</si>
  <si>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</si>
  <si>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</si>
  <si>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</si>
  <si>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</si>
  <si>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</si>
  <si>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</si>
  <si>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</si>
  <si>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</si>
  <si>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</si>
  <si>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</si>
  <si>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</si>
  <si>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</si>
  <si>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</si>
  <si>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</si>
  <si>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</si>
  <si>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</si>
  <si>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</si>
  <si>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</si>
  <si>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</si>
  <si>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</si>
  <si>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</si>
  <si>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</si>
  <si>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</si>
  <si>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</si>
  <si>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</si>
  <si>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</si>
  <si>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</si>
  <si>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</si>
  <si>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</si>
  <si>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</si>
  <si>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</si>
  <si>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</si>
  <si>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</si>
  <si>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</si>
  <si>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</si>
  <si>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</si>
  <si>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</si>
  <si>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</si>
  <si>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</si>
  <si>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</si>
  <si>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</si>
  <si>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</si>
  <si>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</si>
  <si>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</si>
  <si>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</si>
  <si>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</si>
  <si>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</si>
  <si>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</si>
  <si>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</si>
  <si>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</si>
  <si>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</si>
  <si>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</si>
  <si>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</si>
  <si>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</si>
  <si>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</si>
  <si>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</si>
  <si>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</si>
  <si>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</si>
  <si>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</si>
  <si>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</si>
  <si>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</si>
  <si>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</si>
  <si>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</si>
  <si>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</si>
  <si>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</si>
  <si>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</si>
  <si>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</si>
  <si>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</si>
  <si>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</si>
  <si>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</si>
  <si>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</si>
  <si>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</si>
  <si>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</si>
  <si>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</si>
  <si>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</si>
  <si>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</si>
  <si>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</si>
  <si>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</si>
  <si>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</si>
  <si>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</si>
  <si>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</si>
  <si>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</si>
  <si>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</si>
  <si>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</si>
  <si>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</si>
  <si>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</si>
  <si>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</si>
  <si>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</si>
  <si>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</si>
  <si>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</si>
  <si>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</si>
  <si>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</si>
  <si>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</si>
  <si>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</si>
  <si>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</si>
  <si>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</si>
  <si>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</si>
  <si>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</si>
  <si>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</si>
  <si>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</si>
  <si>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</si>
  <si>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</si>
  <si>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</si>
  <si>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</si>
  <si>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</si>
  <si>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</si>
  <si>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</si>
  <si>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</si>
  <si>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</si>
  <si>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</si>
  <si>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</si>
  <si>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</si>
  <si>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</si>
  <si>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</si>
  <si>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</si>
  <si>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</si>
  <si>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</si>
  <si>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</si>
  <si>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</si>
  <si>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</si>
  <si>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</si>
  <si>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</si>
  <si>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</si>
  <si>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</si>
  <si>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</si>
  <si>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</si>
  <si>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</si>
  <si>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</si>
  <si>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</si>
  <si>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</si>
  <si>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</si>
  <si>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</si>
  <si>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</si>
  <si>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</si>
  <si>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</si>
  <si>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</si>
  <si>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</si>
  <si>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</si>
  <si>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</si>
  <si>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</si>
  <si>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</si>
  <si>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</si>
  <si>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</si>
  <si>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</si>
  <si>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</si>
  <si>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</si>
  <si>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</si>
  <si>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</si>
  <si>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</si>
  <si>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</si>
  <si>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</si>
  <si>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</si>
  <si>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</si>
  <si>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</si>
  <si>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</si>
  <si>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</si>
  <si>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</si>
  <si>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</si>
  <si>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</si>
  <si>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</si>
  <si>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</si>
  <si>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</si>
  <si>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</si>
  <si>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</si>
  <si>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</si>
  <si>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</si>
  <si>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</si>
  <si>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</si>
  <si>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</si>
  <si>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</si>
  <si>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</si>
  <si>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</si>
  <si>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</si>
  <si>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</si>
  <si>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</si>
  <si>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</si>
  <si>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</si>
  <si>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</si>
  <si>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</si>
  <si>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</si>
  <si>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</si>
  <si>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</si>
  <si>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</si>
  <si>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</si>
  <si>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</si>
  <si>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</si>
  <si>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</si>
  <si>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</si>
  <si>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</si>
  <si>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</si>
  <si>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</si>
  <si>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</si>
  <si>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</si>
  <si>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</si>
  <si>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</si>
  <si>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</si>
  <si>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</si>
  <si>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</si>
  <si>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</si>
  <si>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</si>
  <si>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</si>
  <si>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</si>
  <si>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</si>
  <si>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</si>
  <si>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</si>
  <si>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</si>
  <si>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</si>
  <si>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</si>
  <si>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</si>
  <si>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</si>
  <si>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</si>
  <si>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</si>
  <si>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</si>
  <si>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</si>
  <si>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</si>
  <si>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</si>
  <si>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</si>
  <si>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</si>
  <si>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</si>
  <si>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</si>
  <si>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</si>
  <si>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</si>
  <si>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</si>
  <si>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</si>
  <si>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</si>
  <si>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</si>
  <si>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</si>
  <si>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</si>
  <si>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</si>
  <si>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</si>
  <si>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</si>
  <si>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</si>
  <si>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</si>
  <si>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</si>
  <si>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</si>
  <si>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</si>
  <si>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</si>
  <si>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</si>
  <si>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</si>
  <si>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</si>
  <si>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</si>
  <si>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</si>
  <si>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</si>
  <si>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</si>
  <si>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</si>
  <si>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</si>
  <si>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</si>
  <si>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</si>
  <si>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</si>
  <si>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</si>
  <si>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</si>
  <si>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</si>
  <si>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</si>
  <si>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</si>
  <si>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</si>
  <si>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</si>
  <si>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</si>
  <si>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</si>
  <si>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</si>
  <si>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</si>
  <si>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</si>
  <si>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</si>
  <si>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</si>
  <si>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</si>
  <si>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</si>
  <si>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</si>
  <si>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</si>
  <si>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</si>
  <si>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</si>
  <si>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</si>
  <si>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</si>
  <si>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</si>
  <si>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</si>
  <si>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</si>
  <si>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</si>
  <si>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</si>
  <si>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</si>
  <si>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</si>
  <si>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</si>
  <si>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</si>
  <si>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</si>
  <si>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</si>
  <si>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</si>
  <si>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</si>
  <si>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</si>
  <si>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</si>
  <si>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</si>
  <si>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</si>
  <si>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</si>
  <si>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</si>
  <si>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</si>
  <si>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</si>
  <si>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</si>
  <si>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</si>
  <si>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</si>
  <si>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</si>
  <si>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</si>
  <si>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</si>
  <si>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</si>
  <si>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</si>
  <si>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</si>
  <si>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</si>
  <si>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</si>
  <si>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</si>
  <si>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</si>
  <si>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</si>
  <si>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</si>
  <si>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</si>
  <si>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</si>
  <si>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</si>
  <si>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</si>
  <si>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</si>
  <si>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</si>
  <si>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</si>
  <si>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</si>
  <si>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</si>
  <si>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</si>
  <si>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</si>
  <si>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</si>
  <si>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</si>
  <si>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</si>
  <si>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</si>
  <si>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</si>
  <si>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</si>
  <si>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</si>
  <si>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</si>
  <si>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</si>
  <si>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</si>
  <si>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</si>
  <si>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</si>
  <si>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</si>
  <si>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</si>
  <si>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</si>
  <si>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</si>
  <si>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</si>
  <si>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</si>
  <si>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</si>
  <si>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</si>
  <si>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</si>
  <si>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</si>
  <si>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</si>
  <si>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</si>
  <si>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</si>
  <si>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</si>
  <si>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</si>
  <si>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</si>
  <si>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</si>
  <si>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</si>
  <si>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</si>
  <si>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</si>
  <si>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</si>
  <si>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</si>
  <si>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</si>
  <si>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</si>
  <si>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</si>
  <si>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</si>
  <si>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</si>
  <si>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</si>
  <si>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</si>
  <si>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</si>
  <si>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</si>
  <si>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</si>
  <si>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</si>
  <si>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</si>
  <si>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</si>
  <si>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</si>
  <si>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</si>
  <si>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</si>
  <si>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</si>
  <si>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</si>
  <si>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</si>
  <si>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</si>
  <si>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</si>
  <si>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</si>
  <si>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</si>
  <si>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</si>
  <si>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</si>
  <si>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</si>
  <si>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</si>
  <si>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</si>
  <si>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</si>
  <si>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</si>
  <si>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</si>
  <si>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</si>
  <si>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</si>
  <si>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</si>
  <si>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</si>
  <si>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</si>
  <si>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</si>
  <si>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</si>
  <si>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</si>
  <si>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</si>
  <si>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</si>
  <si>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</si>
  <si>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</si>
  <si>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</si>
  <si>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</si>
  <si>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</si>
  <si>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</si>
  <si>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</si>
  <si>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</si>
  <si>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</si>
  <si>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</si>
  <si>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</si>
  <si>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</si>
  <si>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</si>
  <si>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</si>
  <si>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</si>
  <si>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</si>
  <si>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</si>
  <si>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</si>
  <si>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</si>
  <si>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</si>
  <si>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</si>
  <si>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</si>
  <si>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</si>
  <si>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</si>
  <si>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</si>
  <si>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</si>
  <si>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</si>
  <si>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</si>
  <si>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</si>
  <si>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</si>
  <si>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</si>
  <si>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</si>
  <si>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</si>
  <si>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</si>
  <si>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</si>
  <si>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</si>
  <si>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</si>
  <si>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</si>
  <si>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</si>
  <si>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</si>
  <si>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</si>
  <si>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</si>
  <si>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</si>
  <si>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</si>
  <si>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</si>
  <si>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</si>
  <si>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</si>
  <si>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</si>
  <si>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</si>
  <si>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</si>
  <si>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</si>
  <si>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</si>
  <si>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</si>
  <si>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</si>
  <si>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</si>
  <si>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</si>
  <si>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</si>
  <si>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</si>
  <si>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</si>
  <si>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</si>
  <si>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</si>
  <si>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</si>
  <si>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</si>
  <si>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</si>
  <si>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</si>
  <si>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</si>
  <si>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</si>
  <si>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</si>
  <si>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</si>
  <si>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</si>
  <si>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</si>
  <si>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</si>
  <si>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</si>
  <si>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</si>
  <si>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</si>
  <si>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</si>
  <si>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</si>
  <si>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</si>
  <si>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</si>
  <si>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</si>
  <si>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</si>
  <si>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</si>
  <si>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</si>
  <si>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</si>
  <si>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</si>
  <si>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</si>
  <si>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</si>
  <si>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</si>
  <si>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</si>
  <si>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</si>
  <si>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</si>
  <si>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</si>
  <si>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</si>
  <si>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</si>
  <si>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</si>
  <si>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</si>
  <si>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</si>
  <si>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</si>
  <si>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</si>
  <si>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</si>
  <si>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</si>
  <si>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</si>
  <si>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</si>
  <si>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</si>
  <si>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</si>
  <si>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</si>
  <si>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</si>
  <si>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</si>
  <si>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</si>
  <si>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</si>
  <si>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</si>
  <si>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</si>
  <si>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</si>
  <si>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</si>
  <si>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</si>
  <si>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</si>
  <si>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</si>
  <si>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</si>
  <si>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</si>
  <si>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</si>
  <si>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</si>
  <si>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</si>
  <si>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</si>
  <si>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</si>
  <si>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</si>
  <si>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</si>
  <si>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</si>
  <si>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</si>
  <si>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</si>
  <si>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</si>
  <si>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</si>
  <si>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</si>
  <si>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</si>
  <si>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</si>
  <si>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</si>
  <si>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</si>
  <si>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</si>
  <si>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</si>
  <si>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</si>
  <si>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</si>
  <si>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</si>
  <si>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</si>
  <si>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</si>
  <si>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</si>
  <si>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</si>
  <si>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</si>
  <si>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</si>
  <si>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</si>
  <si>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</si>
  <si>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</si>
  <si>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</si>
  <si>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</si>
  <si>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</si>
  <si>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</si>
  <si>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</si>
  <si>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</si>
  <si>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</si>
  <si>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</si>
  <si>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</si>
  <si>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</si>
  <si>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</si>
  <si>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</si>
  <si>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</si>
  <si>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</si>
  <si>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</si>
  <si>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</si>
  <si>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</si>
  <si>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</si>
  <si>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</si>
  <si>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</si>
  <si>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</si>
  <si>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</si>
  <si>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</si>
  <si>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</si>
  <si>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</si>
  <si>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</si>
  <si>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</si>
  <si>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</si>
  <si>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</si>
  <si>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</si>
  <si>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</si>
  <si>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</si>
  <si>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</si>
  <si>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</si>
  <si>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</si>
  <si>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</si>
  <si>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</si>
  <si>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</si>
  <si>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</si>
  <si>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</si>
  <si>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</si>
  <si>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</si>
  <si>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</si>
  <si>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</si>
  <si>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</si>
  <si>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</si>
  <si>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</si>
  <si>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</si>
  <si>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</si>
  <si>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</si>
  <si>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</si>
  <si>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</si>
  <si>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</si>
  <si>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</si>
  <si>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</si>
  <si>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</si>
  <si>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</si>
  <si>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</si>
  <si>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</si>
  <si>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</si>
  <si>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</si>
  <si>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</si>
  <si>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</si>
  <si>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</si>
  <si>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</si>
  <si>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</si>
  <si>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</si>
  <si>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</si>
  <si>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</si>
  <si>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+Sheele</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</si>
  <si>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</si>
  <si>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</si>
  <si>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</si>
  <si>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</si>
  <si>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</si>
  <si>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</si>
  <si>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</si>
  <si>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</si>
  <si>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</si>
  <si>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</si>
  <si>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</si>
  <si>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</si>
  <si>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</si>
  <si>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</si>
  <si>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</si>
  <si>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</si>
  <si>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</si>
  <si>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</si>
  <si>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</si>
  <si>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</si>
  <si>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</si>
  <si>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</si>
  <si>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</si>
  <si>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</si>
  <si>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</si>
  <si>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</si>
  <si>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</si>
  <si>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</si>
  <si>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</si>
  <si>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</si>
  <si>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</si>
  <si>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</si>
  <si>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</si>
  <si>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</si>
  <si>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</si>
  <si>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</si>
  <si>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</si>
  <si>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</si>
  <si>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</si>
  <si>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</si>
  <si>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</si>
  <si>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</si>
  <si>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</si>
  <si>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</si>
  <si>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</si>
  <si>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</si>
  <si>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</si>
  <si>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</si>
  <si>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</si>
  <si>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</si>
  <si>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</si>
  <si>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</si>
  <si>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</si>
  <si>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</si>
  <si>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</si>
  <si>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</si>
  <si>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</si>
  <si>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</si>
  <si>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</si>
  <si>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</si>
  <si>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</si>
  <si>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</si>
  <si>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</si>
  <si>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</si>
  <si>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</si>
  <si>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</si>
  <si>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</si>
  <si>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</si>
  <si>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</si>
  <si>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</si>
  <si>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</si>
  <si>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</si>
  <si>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</si>
  <si>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</si>
  <si>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</si>
  <si>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</si>
  <si>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</si>
  <si>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</si>
  <si>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</si>
  <si>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</si>
  <si>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</si>
  <si>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</si>
  <si>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</si>
  <si>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</si>
  <si>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</si>
  <si>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</si>
  <si>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</si>
  <si>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</si>
  <si>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</si>
  <si>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</si>
  <si>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</si>
  <si>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</si>
  <si>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</si>
  <si>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</si>
  <si>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</si>
  <si>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</si>
  <si>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</si>
  <si>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</si>
  <si>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</si>
  <si>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</si>
  <si>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</si>
  <si>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</si>
  <si>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</si>
  <si>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</si>
  <si>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</si>
  <si>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</si>
  <si>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</si>
  <si>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</si>
  <si>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</si>
  <si>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</si>
  <si>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</si>
  <si>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</si>
  <si>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</si>
  <si>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</si>
  <si>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</si>
  <si>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</si>
  <si>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</si>
  <si>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</si>
  <si>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</si>
  <si>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</si>
  <si>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</si>
  <si>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</si>
  <si>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</si>
  <si>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</si>
  <si>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</si>
  <si>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</si>
  <si>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</si>
  <si>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</si>
  <si>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</si>
  <si>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</si>
  <si>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</si>
  <si>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</si>
  <si>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</si>
  <si>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</si>
  <si>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</si>
  <si>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</si>
  <si>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</si>
  <si>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</si>
  <si>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</si>
  <si>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</si>
  <si>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</si>
  <si>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</si>
  <si>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</si>
  <si>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</si>
  <si>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</si>
  <si>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</si>
  <si>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</si>
  <si>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</si>
  <si>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</si>
  <si>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</si>
  <si>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</si>
  <si>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</si>
  <si>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</si>
  <si>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</si>
  <si>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</si>
  <si>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</si>
  <si>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</si>
  <si>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</si>
  <si>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</si>
  <si>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</si>
  <si>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</si>
  <si>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</si>
  <si>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</si>
  <si>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</si>
  <si>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</si>
  <si>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</si>
  <si>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</si>
  <si>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</si>
  <si>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</si>
  <si>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</si>
  <si>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</si>
  <si>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</si>
  <si>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</si>
  <si>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</si>
  <si>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</si>
  <si>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</si>
  <si>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</si>
  <si>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</si>
  <si>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</si>
  <si>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</si>
  <si>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</si>
  <si>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</si>
  <si>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</si>
  <si>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</si>
  <si>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</si>
  <si>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</si>
  <si>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</si>
  <si>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</si>
  <si>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</si>
  <si>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</si>
  <si>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</si>
  <si>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</si>
  <si>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</si>
  <si>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</si>
  <si>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</si>
  <si>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</si>
  <si>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</si>
  <si>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</si>
  <si>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</si>
  <si>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</si>
  <si>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</si>
  <si>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</si>
  <si>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</si>
  <si>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</si>
  <si>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</si>
  <si>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</si>
  <si>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</si>
  <si>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</si>
  <si>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</si>
  <si>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</si>
  <si>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</si>
  <si>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</si>
  <si>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</si>
  <si>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</si>
  <si>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</si>
  <si>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</si>
  <si>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</si>
  <si>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</si>
  <si>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</si>
  <si>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</si>
  <si>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</si>
  <si>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</si>
  <si>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</si>
  <si>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</si>
  <si>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</si>
  <si>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</si>
  <si>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</si>
  <si>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</si>
  <si>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</si>
  <si>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</si>
  <si>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</si>
  <si>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</si>
  <si>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</si>
  <si>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</si>
  <si>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</si>
  <si>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</si>
  <si>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</si>
  <si>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</si>
  <si>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</si>
  <si>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</si>
  <si>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</si>
  <si>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</si>
  <si>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</si>
  <si>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</si>
  <si>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</si>
  <si>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</si>
  <si>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</si>
  <si>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</si>
  <si>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</si>
  <si>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</si>
  <si>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</si>
  <si>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</si>
  <si>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</si>
  <si>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</si>
  <si>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</si>
  <si>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</si>
  <si>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</si>
  <si>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</si>
  <si>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</si>
  <si>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</si>
  <si>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</si>
  <si>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</si>
  <si>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</si>
  <si>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</si>
  <si>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</si>
  <si>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</si>
  <si>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</si>
  <si>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</si>
  <si>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</si>
  <si>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</si>
  <si>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</si>
  <si>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</si>
  <si>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</si>
  <si>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</si>
  <si>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</si>
  <si>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</si>
  <si>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</si>
  <si>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</si>
  <si>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</si>
  <si>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</si>
  <si>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</si>
  <si>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</si>
  <si>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</si>
  <si>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</si>
  <si>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</si>
  <si>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</si>
  <si>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</si>
  <si>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</si>
  <si>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</si>
  <si>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</si>
  <si>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</si>
  <si>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</si>
  <si>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</si>
  <si>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</si>
  <si>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</si>
  <si>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</si>
  <si>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</si>
  <si>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</si>
  <si>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</si>
  <si>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</si>
  <si>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</si>
  <si>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</si>
  <si>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</si>
  <si>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</si>
  <si>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</si>
  <si>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</si>
  <si>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</si>
  <si>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</si>
  <si>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</si>
  <si>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</si>
  <si>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</si>
  <si>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</si>
  <si>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</si>
  <si>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</si>
  <si>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</si>
  <si>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</si>
  <si>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</si>
  <si>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</si>
  <si>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</si>
  <si>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</si>
  <si>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</si>
  <si>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</si>
  <si>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</si>
  <si>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</si>
  <si>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</si>
  <si>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</si>
  <si>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</si>
  <si>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</si>
  <si>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</si>
  <si>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</si>
  <si>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</si>
  <si>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</si>
  <si>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</si>
  <si>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</si>
  <si>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</si>
  <si>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</si>
  <si>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</si>
  <si>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</si>
  <si>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</si>
  <si>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</si>
  <si>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</si>
  <si>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</si>
  <si>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</si>
  <si>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</si>
  <si>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</si>
  <si>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</si>
  <si>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</si>
  <si>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ísica: Con cualquier Presencia</t>
  </si>
  <si>
    <t>ísica: Presencia inferior a 80</t>
  </si>
  <si>
    <t>ísica: Presencia inferior a 100</t>
  </si>
  <si>
    <t>ísica: Presencia inferior a 120</t>
  </si>
  <si>
    <t>ísica: Presencia inferior a 140</t>
  </si>
  <si>
    <t>ísica: Presencia inferior a 160</t>
  </si>
  <si>
    <t>ágica: Valor zeónico inferior a 60</t>
  </si>
  <si>
    <t>ágica: Valor zeónico inferior a 80</t>
  </si>
  <si>
    <t>ágica: Valor zeónico inferior a 100</t>
  </si>
  <si>
    <t>ágica: Valor zeónico inferior a 150</t>
  </si>
  <si>
    <t>ágica: Valor zeónico inferior a 200</t>
  </si>
  <si>
    <t>ágica: Valor zeónico inferior a 250</t>
  </si>
  <si>
    <t>ágica: Valor zeónico inferior a 300</t>
  </si>
  <si>
    <t>síquica: Potencial Muy Difícil</t>
  </si>
  <si>
    <t>síquica: Potencial Absurdo</t>
  </si>
  <si>
    <t>síquica: Potencial Casi Imposible</t>
  </si>
  <si>
    <t>síquica: Potencial Imposible</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</si>
  <si>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</si>
  <si>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</si>
  <si>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</si>
  <si>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</si>
  <si>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</si>
  <si>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</si>
  <si>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</si>
  <si>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</si>
  <si>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</si>
  <si>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</si>
  <si>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</si>
  <si>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</si>
  <si>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</si>
  <si>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</si>
  <si>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</si>
  <si>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</si>
  <si>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</si>
  <si>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</si>
  <si>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</si>
  <si>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</si>
  <si>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</si>
  <si>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</si>
  <si>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</si>
  <si>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</si>
  <si>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</si>
  <si>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</si>
  <si>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</si>
  <si>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</si>
  <si>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</si>
  <si>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</si>
  <si>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</si>
  <si>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</si>
  <si>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</si>
  <si>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</si>
  <si>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</si>
  <si>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</si>
  <si>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</si>
  <si>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</si>
  <si>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</si>
  <si>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</si>
  <si>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</si>
  <si>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</si>
  <si>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</si>
  <si>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</si>
  <si>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</si>
  <si>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</si>
  <si>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</si>
  <si>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</si>
  <si>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</si>
  <si>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</si>
  <si>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</si>
  <si>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</si>
  <si>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</si>
  <si>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</si>
  <si>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</si>
  <si>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</si>
  <si>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</si>
  <si>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</si>
  <si>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</si>
  <si>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</si>
  <si>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</si>
  <si>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</si>
  <si>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</si>
  <si>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</si>
  <si>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</si>
  <si>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</si>
  <si>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</si>
  <si>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</si>
  <si>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</si>
  <si>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</si>
  <si>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</si>
  <si>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</si>
  <si>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</si>
  <si>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</si>
  <si>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</si>
  <si>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</si>
  <si>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</si>
  <si>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</si>
  <si>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</si>
  <si>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</si>
  <si>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</si>
  <si>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</si>
  <si>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</si>
  <si>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</si>
  <si>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</si>
  <si>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</si>
  <si>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</si>
  <si>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</si>
  <si>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</si>
  <si>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</si>
  <si>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</si>
  <si>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</si>
  <si>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</si>
  <si>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</si>
  <si>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</si>
  <si>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</si>
  <si>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</si>
  <si>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</si>
  <si>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</si>
  <si>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</si>
  <si>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</si>
  <si>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</si>
  <si>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</si>
  <si>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</si>
  <si>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</si>
  <si>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</si>
  <si>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</si>
  <si>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</si>
  <si>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</si>
  <si>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</si>
  <si>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</si>
  <si>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</si>
  <si>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</si>
  <si>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</si>
  <si>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</si>
  <si>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</si>
  <si>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</si>
  <si>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</si>
  <si>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</si>
  <si>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</si>
  <si>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</si>
  <si>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</si>
  <si>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</si>
  <si>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</si>
  <si>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</si>
  <si>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</si>
  <si>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</si>
  <si>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</si>
  <si>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</si>
  <si>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</si>
  <si>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</si>
  <si>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</si>
  <si>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</si>
  <si>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</si>
  <si>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</si>
  <si>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</si>
  <si>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</si>
  <si>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</si>
  <si>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</si>
  <si>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</si>
  <si>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</si>
  <si>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</si>
  <si>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</si>
  <si>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</si>
  <si>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</si>
  <si>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</si>
  <si>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</si>
  <si>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</si>
  <si>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</si>
  <si>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</si>
  <si>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</si>
  <si>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</si>
  <si>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</si>
  <si>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</si>
  <si>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</si>
  <si>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</si>
  <si>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</si>
  <si>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</si>
  <si>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</si>
  <si>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</si>
  <si>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</si>
  <si>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</si>
  <si>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</si>
  <si>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</si>
  <si>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</si>
  <si>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</si>
  <si>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</si>
  <si>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</si>
  <si>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</si>
  <si>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</si>
  <si>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</si>
  <si>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</si>
  <si>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</si>
  <si>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</si>
  <si>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</si>
  <si>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</si>
  <si>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</si>
  <si>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</si>
  <si>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</si>
  <si>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</si>
  <si>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</si>
  <si>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</si>
  <si>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</si>
  <si>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</si>
  <si>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</si>
  <si>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</si>
  <si>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</si>
  <si>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</si>
  <si>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</si>
  <si>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</si>
  <si>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</si>
  <si>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</si>
  <si>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</si>
  <si>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</si>
  <si>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</si>
  <si>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</si>
  <si>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</si>
  <si>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</si>
  <si>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</si>
  <si>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</si>
  <si>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</si>
  <si>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</si>
  <si>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</si>
  <si>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</si>
  <si>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</si>
  <si>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</si>
  <si>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</si>
  <si>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</si>
  <si>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</si>
  <si>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</si>
  <si>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</si>
  <si>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</si>
  <si>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</si>
  <si>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</si>
  <si>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</si>
  <si>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</si>
  <si>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</si>
  <si>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</si>
  <si>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</si>
  <si>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</si>
  <si>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</si>
  <si>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</si>
  <si>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</si>
  <si>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</si>
  <si>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</si>
  <si>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</si>
  <si>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</si>
  <si>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</si>
  <si>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</si>
  <si>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</si>
  <si>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</si>
  <si>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</si>
  <si>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</si>
  <si>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</si>
  <si>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</si>
  <si>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</si>
  <si>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</si>
  <si>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</si>
  <si>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</si>
  <si>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</si>
  <si>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</si>
  <si>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</si>
  <si>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</si>
  <si>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</si>
  <si>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</si>
  <si>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</si>
  <si>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</si>
  <si>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</si>
  <si>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</si>
  <si>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</si>
  <si>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</si>
  <si>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</si>
  <si>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</si>
  <si>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</si>
  <si>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</si>
  <si>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</si>
  <si>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</si>
  <si>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</si>
  <si>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</si>
  <si>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</si>
  <si>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</si>
  <si>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</si>
  <si>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</si>
  <si>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</si>
  <si>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</si>
  <si>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</si>
  <si>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</si>
  <si>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</si>
  <si>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</si>
  <si>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</si>
  <si>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</si>
  <si>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</si>
  <si>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</si>
  <si>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</si>
  <si>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</si>
  <si>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</si>
  <si>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</si>
  <si>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</si>
  <si>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</si>
  <si>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</si>
  <si>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</si>
  <si>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</si>
  <si>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</si>
  <si>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</si>
  <si>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</si>
  <si>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</si>
  <si>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</si>
  <si>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</si>
  <si>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</si>
  <si>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</si>
  <si>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</si>
  <si>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</si>
  <si>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</si>
  <si>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</si>
  <si>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</si>
  <si>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</si>
  <si>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</si>
  <si>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</si>
  <si>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</si>
  <si>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</si>
  <si>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</si>
  <si>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</si>
  <si>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</si>
  <si>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</si>
  <si>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</si>
  <si>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</si>
  <si>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</si>
  <si>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</si>
  <si>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</si>
  <si>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</si>
  <si>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</si>
  <si>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</si>
  <si>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</si>
  <si>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</si>
  <si>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</si>
  <si>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</si>
  <si>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</si>
  <si>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</si>
  <si>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</si>
  <si>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</si>
  <si>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</si>
  <si>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</si>
  <si>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</si>
  <si>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</si>
  <si>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</si>
  <si>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</si>
  <si>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</si>
  <si>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</si>
  <si>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</si>
  <si>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</si>
  <si>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</si>
  <si>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</si>
  <si>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</si>
  <si>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</si>
  <si>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</si>
  <si>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</si>
  <si>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</si>
  <si>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</si>
  <si>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</si>
  <si>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</si>
  <si>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</si>
  <si>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</si>
  <si>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</si>
  <si>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</si>
  <si>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</si>
  <si>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</si>
  <si>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</si>
  <si>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</si>
  <si>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</si>
  <si>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</si>
  <si>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</si>
  <si>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</si>
  <si>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</si>
  <si>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</si>
  <si>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</si>
  <si>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</si>
  <si>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</si>
  <si>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</si>
  <si>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</si>
  <si>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</si>
  <si>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</si>
  <si>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</si>
  <si>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</si>
  <si>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</si>
  <si>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</si>
  <si>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</si>
  <si>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</si>
  <si>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</si>
  <si>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</si>
  <si>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</si>
  <si>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</si>
  <si>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</si>
  <si>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</si>
  <si>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</si>
  <si>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</si>
  <si>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</si>
  <si>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</si>
  <si>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</si>
  <si>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</si>
  <si>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</si>
  <si>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</si>
  <si>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</si>
  <si>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</si>
  <si>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</si>
  <si>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</si>
  <si>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</si>
  <si>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</si>
  <si>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</si>
  <si>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</si>
  <si>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</si>
  <si>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</si>
  <si>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</si>
  <si>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</si>
  <si>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</si>
  <si>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</si>
  <si>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</si>
  <si>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</si>
  <si>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</si>
  <si>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</si>
  <si>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</si>
  <si>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</si>
  <si>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</si>
  <si>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</si>
  <si>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</si>
  <si>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</si>
  <si>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</si>
  <si>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</si>
  <si>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</si>
  <si>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</si>
  <si>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</si>
  <si>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</si>
  <si>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</si>
  <si>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</si>
  <si>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</si>
  <si>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</si>
  <si>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</si>
  <si>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</si>
  <si>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</si>
  <si>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</si>
  <si>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</si>
  <si>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</si>
  <si>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</si>
  <si>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</si>
  <si>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</si>
  <si>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</si>
  <si>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</si>
  <si>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</si>
  <si>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</si>
  <si>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</si>
  <si>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</si>
  <si>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</si>
  <si>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</si>
  <si>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</si>
  <si>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</si>
  <si>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</si>
  <si>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</si>
  <si>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</si>
  <si>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</si>
  <si>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</si>
  <si>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</si>
  <si>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</si>
  <si>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</si>
  <si>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</si>
  <si>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</si>
  <si>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</si>
  <si>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</si>
  <si>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</si>
  <si>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</si>
  <si>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</si>
  <si>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</si>
  <si>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</si>
  <si>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</si>
  <si>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</si>
  <si>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</si>
  <si>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</si>
  <si>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</si>
  <si>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</si>
  <si>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</si>
  <si>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</si>
  <si>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</si>
  <si>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</si>
  <si>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</si>
  <si>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</si>
  <si>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</si>
  <si>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</si>
  <si>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</si>
  <si>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</si>
  <si>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</si>
  <si>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</si>
  <si>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</si>
  <si>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</si>
  <si>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</si>
  <si>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</si>
  <si>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</si>
  <si>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</si>
  <si>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</si>
  <si>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</si>
  <si>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</si>
  <si>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</si>
  <si>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</si>
  <si>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</si>
  <si>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</si>
  <si>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</si>
  <si>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</si>
  <si>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</si>
  <si>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</si>
  <si>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</si>
  <si>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</si>
  <si>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</si>
  <si>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</si>
  <si>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</si>
  <si>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</si>
  <si>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</si>
  <si>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</si>
  <si>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</si>
  <si>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</si>
  <si>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</si>
  <si>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</si>
  <si>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</si>
  <si>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</si>
  <si>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</si>
  <si>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</si>
  <si>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</si>
  <si>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</si>
  <si>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</si>
  <si>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</si>
  <si>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</si>
  <si>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</si>
  <si>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</si>
  <si>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</si>
  <si>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</si>
  <si>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</si>
  <si>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</si>
  <si>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</si>
  <si>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</si>
  <si>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</si>
  <si>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</si>
  <si>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</si>
  <si>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</si>
  <si>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</si>
  <si>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</si>
  <si>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</si>
  <si>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</si>
  <si>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</si>
  <si>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</si>
  <si>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</si>
  <si>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</si>
  <si>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</si>
  <si>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</si>
  <si>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</si>
  <si>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</si>
  <si>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</si>
  <si>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</si>
  <si>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</si>
  <si>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</si>
  <si>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</si>
  <si>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</si>
  <si>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</si>
  <si>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</si>
  <si>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</si>
  <si>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</si>
  <si>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</si>
  <si>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</si>
  <si>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</si>
  <si>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</si>
  <si>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</si>
  <si>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</si>
  <si>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</si>
  <si>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</si>
  <si>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</si>
  <si>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</si>
  <si>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</si>
  <si>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</si>
  <si>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</si>
  <si>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</si>
  <si>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</si>
  <si>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</si>
  <si>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</si>
  <si>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</si>
  <si>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</si>
  <si>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</si>
  <si>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</si>
  <si>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</si>
  <si>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</si>
  <si>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</si>
  <si>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</si>
  <si>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</si>
  <si>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</si>
  <si>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</si>
  <si>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</si>
  <si>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</si>
  <si>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</si>
  <si>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</si>
  <si>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</si>
  <si>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</si>
  <si>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</si>
  <si>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</si>
  <si>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</si>
  <si>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</si>
  <si>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</si>
  <si>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</si>
  <si>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</si>
  <si>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</si>
  <si>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</si>
  <si>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</si>
  <si>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</si>
  <si>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</si>
  <si>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</si>
  <si>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</si>
  <si>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</si>
  <si>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</si>
  <si>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</si>
  <si>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</si>
  <si>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</si>
  <si>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</si>
  <si>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</si>
  <si>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</si>
  <si>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</si>
  <si>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</si>
  <si>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</si>
  <si>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</si>
  <si>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</si>
  <si>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</si>
  <si>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</si>
  <si>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</si>
  <si>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</si>
  <si>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</si>
  <si>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</si>
  <si>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</si>
  <si>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</si>
  <si>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</si>
  <si>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</si>
  <si>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</si>
  <si>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</si>
  <si>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</si>
  <si>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</si>
  <si>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</si>
  <si>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</si>
  <si>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</si>
  <si>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</si>
  <si>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</si>
  <si>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</si>
  <si>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</si>
  <si>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</si>
  <si>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</si>
  <si>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</si>
  <si>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</si>
  <si>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</si>
  <si>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</si>
  <si>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</si>
  <si>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</si>
  <si>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</si>
  <si>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</si>
  <si>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</si>
  <si>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</si>
  <si>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</si>
  <si>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</si>
  <si>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</si>
  <si>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</si>
  <si>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</si>
  <si>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</si>
  <si>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</si>
  <si>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</si>
  <si>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</si>
  <si>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</si>
  <si>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</si>
  <si>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</si>
  <si>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</si>
  <si>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</si>
  <si>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</si>
  <si>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</si>
  <si>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</si>
  <si>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</si>
  <si>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</si>
  <si>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</si>
  <si>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</si>
  <si>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</si>
  <si>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</si>
  <si>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</si>
  <si>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</si>
  <si>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</si>
  <si>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</si>
  <si>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</si>
  <si>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</si>
  <si>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</si>
  <si>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</si>
  <si>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</si>
  <si>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</si>
  <si>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</si>
  <si>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</si>
  <si>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</si>
  <si>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</si>
  <si>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</si>
  <si>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</si>
  <si>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</si>
  <si>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</si>
  <si>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</si>
  <si>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</si>
  <si>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</si>
  <si>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</si>
  <si>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</si>
  <si>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</si>
  <si>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</si>
  <si>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</si>
  <si>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</si>
  <si>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</si>
  <si>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</si>
  <si>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</si>
  <si>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</si>
  <si>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</si>
  <si>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</si>
  <si>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</si>
  <si>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</si>
  <si>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</si>
  <si>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</si>
  <si>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</si>
  <si>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</si>
  <si>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</si>
  <si>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</si>
  <si>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</si>
  <si>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</si>
  <si>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</si>
  <si>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</si>
  <si>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</si>
  <si>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</si>
  <si>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</si>
  <si>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</si>
  <si>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</si>
  <si>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</si>
  <si>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</si>
  <si>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</si>
  <si>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</si>
  <si>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</si>
  <si>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</si>
  <si>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</si>
  <si>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</si>
  <si>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</si>
  <si>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</si>
  <si>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</si>
  <si>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</si>
  <si>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</si>
  <si>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</si>
  <si>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</si>
  <si>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</si>
  <si>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</si>
  <si>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</si>
  <si>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</si>
  <si>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</si>
  <si>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</si>
  <si>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</si>
  <si>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</si>
  <si>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</si>
  <si>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</si>
  <si>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</si>
  <si>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</si>
  <si>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</si>
  <si>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</si>
  <si>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</si>
  <si>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</si>
  <si>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</si>
  <si>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</si>
  <si>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</si>
  <si>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</si>
  <si>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</si>
  <si>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</si>
  <si>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</si>
  <si>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</si>
  <si>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</si>
  <si>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</si>
  <si>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</si>
  <si>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</si>
  <si>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</si>
  <si>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</si>
  <si>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</si>
  <si>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</si>
  <si>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</si>
  <si>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</si>
  <si>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</si>
  <si>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</si>
  <si>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</si>
  <si>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</si>
  <si>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</si>
  <si>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</si>
  <si>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</si>
  <si>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</si>
  <si>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</si>
  <si>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</si>
  <si>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</si>
  <si>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</si>
  <si>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</si>
  <si>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</si>
  <si>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</si>
  <si>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</si>
  <si>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</si>
  <si>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</si>
  <si>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</si>
  <si>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</si>
  <si>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</si>
  <si>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</si>
  <si>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</si>
  <si>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</si>
  <si>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</si>
  <si>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</si>
  <si>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</si>
  <si>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</si>
  <si>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</si>
  <si>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</si>
  <si>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</si>
  <si>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</si>
  <si>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</si>
  <si>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</si>
  <si>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</si>
  <si>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</si>
  <si>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</si>
  <si>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</si>
  <si>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</si>
  <si>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</si>
  <si>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</si>
  <si>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</si>
  <si>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</si>
  <si>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</si>
  <si>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</si>
  <si>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</si>
  <si>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</si>
  <si>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</si>
  <si>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</si>
  <si>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</si>
  <si>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</si>
  <si>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</si>
  <si>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</si>
  <si>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</si>
  <si>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</si>
  <si>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</si>
  <si>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</si>
  <si>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</si>
  <si>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</si>
  <si>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</si>
  <si>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</si>
  <si>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</si>
  <si>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</si>
  <si>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</si>
  <si>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</si>
  <si>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</si>
  <si>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</si>
  <si>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</si>
  <si>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</si>
  <si>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</si>
  <si>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</si>
  <si>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</si>
  <si>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</si>
  <si>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</si>
  <si>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</si>
  <si>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</si>
  <si>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</si>
  <si>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</si>
  <si>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</si>
  <si>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</si>
  <si>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</si>
  <si>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</si>
  <si>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</si>
  <si>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</si>
  <si>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</si>
  <si>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</si>
  <si>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</si>
  <si>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</si>
  <si>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</si>
  <si>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</si>
  <si>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</si>
  <si>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</si>
  <si>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</si>
  <si>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</si>
  <si>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</si>
  <si>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</si>
  <si>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</si>
  <si>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</si>
  <si>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</si>
  <si>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</si>
  <si>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</si>
  <si>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</si>
  <si>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</si>
  <si>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</si>
  <si>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</si>
  <si>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</si>
  <si>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</si>
  <si>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</si>
  <si>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</si>
  <si>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</si>
  <si>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</si>
  <si>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</si>
  <si>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</si>
  <si>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</si>
  <si>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</si>
  <si>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</si>
  <si>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</si>
  <si>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</si>
  <si>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</si>
  <si>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</si>
  <si>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</si>
  <si>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</si>
  <si>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</si>
  <si>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</si>
  <si>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Lo de abajo no vale pa na de momento, porque excel no acepta como referencia para data validation un indirect() a una tabla dinámica, al parecer. Gran software mejor compañía. Si algún día excel decide s3er capaz de quitar los especios en blanco de las listas de validación de datos, esto será útil.</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</si>
  <si>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</si>
  <si>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</si>
  <si>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</si>
  <si>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</si>
  <si>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</si>
  <si>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</si>
  <si>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</si>
  <si>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</si>
  <si>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</si>
  <si>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</si>
  <si>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</si>
  <si>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</si>
  <si>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</si>
  <si>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</si>
  <si>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</si>
  <si>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</si>
  <si>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</si>
  <si>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</si>
  <si>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</si>
  <si>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</si>
  <si>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</si>
  <si>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</si>
  <si>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</si>
  <si>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</si>
  <si>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</si>
  <si>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</si>
  <si>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</si>
  <si>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</si>
  <si>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</si>
  <si>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Movimiento acuático, Empatía Elemental (Agua), Afinidad Elemental (Agua)</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</si>
  <si>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</si>
  <si>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</si>
  <si>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</si>
  <si>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</si>
  <si>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</si>
  <si>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</si>
  <si>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</si>
  <si>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</si>
  <si>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</si>
  <si>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</si>
  <si>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</si>
  <si>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</si>
  <si>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</si>
  <si>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</si>
  <si>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</si>
  <si>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</si>
  <si>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</si>
  <si>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</si>
  <si>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</si>
  <si>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</si>
  <si>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</si>
  <si>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</si>
  <si>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Especialización Raíces/otros</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</si>
  <si>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</si>
  <si>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</si>
  <si>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</si>
  <si>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</si>
  <si>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</si>
  <si>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</si>
  <si>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</si>
  <si>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</si>
  <si>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</si>
  <si>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</si>
  <si>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</si>
  <si>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</si>
  <si>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Or'inie, Alas de Serafin, Esencia celestial,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</si>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</sst>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5"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sz val="9"/>
      <color theme="0" tint="-0.249977111117893"/>
      <name val="Arial"/>
      <family val="2"/>
    </font>
    <font>
      <b/>
      <i/>
      <sz val="9.5"/>
      <color indexed="10"/>
      <name val="Arial"/>
      <family val="2"/>
    </font>
    <font>
      <b/>
      <i/>
      <sz val="9.5"/>
      <name val="Arial"/>
      <family val="2"/>
    </font>
    <font>
      <b/>
      <i/>
      <sz val="18"/>
      <name val="Arial"/>
      <family val="2"/>
    </font>
    <font>
      <sz val="8"/>
      <color rgb="FFFF0000"/>
      <name val="Arial"/>
      <family val="2"/>
    </font>
    <font>
      <sz val="7"/>
      <color indexed="10"/>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s>
  <borders count="38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582">
    <xf numFmtId="0" fontId="0" fillId="0" borderId="0" xfId="0"/>
    <xf numFmtId="0" fontId="9" fillId="7" borderId="8" xfId="0" applyFont="1" applyFill="1" applyBorder="1" applyAlignment="1" applyProtection="1">
      <alignment horizontal="center" vertical="center" wrapText="1"/>
    </xf>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9" fillId="7" borderId="18" xfId="0" applyFont="1" applyFill="1" applyBorder="1" applyAlignment="1" applyProtection="1">
      <alignment horizontal="center" vertical="center" wrapText="1"/>
    </xf>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13" fillId="7" borderId="16" xfId="0" applyFont="1" applyFill="1" applyBorder="1" applyAlignment="1" applyProtection="1">
      <alignment horizontal="center" vertical="center" wrapText="1"/>
      <protection locked="0"/>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13" fillId="7" borderId="17"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protection locked="0"/>
    </xf>
    <xf numFmtId="0" fontId="9"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13" fillId="3" borderId="15" xfId="0" applyFont="1" applyFill="1" applyBorder="1" applyAlignment="1" applyProtection="1">
      <alignment horizontal="center"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13" fillId="7" borderId="29" xfId="0" applyFont="1" applyFill="1" applyBorder="1" applyAlignment="1" applyProtection="1">
      <alignment horizontal="center" vertical="center" wrapText="1"/>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0" fillId="3" borderId="14" xfId="0" applyFont="1" applyFill="1" applyBorder="1" applyProtection="1"/>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15" xfId="0"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13" fillId="7" borderId="3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0" fillId="3" borderId="12" xfId="0" applyFill="1" applyBorder="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45"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wrapText="1"/>
    </xf>
    <xf numFmtId="0" fontId="9" fillId="7" borderId="27" xfId="0" applyFont="1" applyFill="1" applyBorder="1" applyAlignment="1" applyProtection="1">
      <alignment horizontal="center" vertical="center" wrapText="1"/>
    </xf>
    <xf numFmtId="0" fontId="9" fillId="7" borderId="9" xfId="0" applyFont="1" applyFill="1" applyBorder="1" applyAlignment="1">
      <alignment horizontal="center"/>
    </xf>
    <xf numFmtId="0" fontId="9" fillId="7" borderId="66"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64"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3" fillId="7" borderId="63" xfId="0" applyFont="1" applyFill="1" applyBorder="1" applyAlignment="1" applyProtection="1">
      <alignment horizontal="center" vertic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11" fillId="7" borderId="0" xfId="0" applyFont="1" applyFill="1" applyBorder="1" applyAlignment="1" applyProtection="1">
      <alignment horizontal="right"/>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0" fillId="3" borderId="27" xfId="0" applyFont="1" applyFill="1" applyBorder="1" applyAlignment="1" applyProtection="1">
      <alignment horizontal="right"/>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0" fillId="3" borderId="11" xfId="0" applyFill="1" applyBorder="1" applyAlignment="1" applyProtection="1">
      <alignment horizontal="center"/>
    </xf>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7" xfId="0" applyFill="1" applyBorder="1" applyAlignment="1" applyProtection="1">
      <alignment horizontal="center" vertical="center"/>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0" fillId="3" borderId="22" xfId="0" applyFont="1" applyFill="1" applyBorder="1" applyProtection="1"/>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52" fillId="8" borderId="16" xfId="0" applyFont="1" applyFill="1" applyBorder="1" applyAlignment="1" applyProtection="1"/>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4" xfId="0" applyFill="1" applyBorder="1" applyAlignment="1" applyProtection="1">
      <alignment horizontal="center" vertical="center"/>
    </xf>
    <xf numFmtId="0" fontId="0" fillId="3" borderId="22" xfId="0" applyFill="1" applyBorder="1" applyAlignment="1" applyProtection="1">
      <alignment horizontal="center"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0" fontId="0" fillId="3" borderId="7" xfId="0" applyFont="1" applyFill="1" applyBorder="1" applyAlignment="1" applyProtection="1">
      <alignment horizontal="center" vertical="center"/>
    </xf>
    <xf numFmtId="0" fontId="0" fillId="3" borderId="71" xfId="0" applyFont="1" applyFill="1" applyBorder="1" applyAlignment="1" applyProtection="1">
      <alignment horizontal="center" vertical="center"/>
    </xf>
    <xf numFmtId="0" fontId="0" fillId="3" borderId="68" xfId="0" applyFont="1" applyFill="1" applyBorder="1" applyAlignment="1" applyProtection="1">
      <alignment horizontal="center" vertical="center"/>
    </xf>
    <xf numFmtId="167" fontId="9" fillId="3" borderId="0" xfId="0" applyNumberFormat="1" applyFont="1" applyFill="1" applyBorder="1" applyAlignment="1" applyProtection="1">
      <alignment horizontal="right" vertical="center"/>
    </xf>
    <xf numFmtId="49" fontId="52" fillId="8" borderId="14" xfId="0" applyNumberFormat="1" applyFont="1" applyFill="1" applyBorder="1" applyAlignment="1" applyProtection="1">
      <alignment horizontal="center" vertical="center"/>
    </xf>
    <xf numFmtId="49" fontId="52" fillId="8" borderId="0" xfId="0" applyNumberFormat="1" applyFont="1" applyFill="1" applyBorder="1" applyAlignment="1" applyProtection="1">
      <alignment horizontal="center" vertical="center"/>
    </xf>
    <xf numFmtId="0" fontId="0" fillId="3" borderId="11" xfId="0" applyFont="1" applyFill="1" applyBorder="1" applyProtection="1"/>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0" fillId="3" borderId="11" xfId="0" applyFont="1" applyFill="1" applyBorder="1" applyAlignment="1" applyProtection="1">
      <alignment horizontal="right" vertical="center" wrapText="1"/>
    </xf>
    <xf numFmtId="0" fontId="0" fillId="3" borderId="14" xfId="0" applyFont="1" applyFill="1" applyBorder="1" applyAlignment="1" applyProtection="1">
      <alignment horizontal="right" vertical="center" wrapText="1"/>
    </xf>
    <xf numFmtId="0" fontId="0" fillId="3" borderId="22" xfId="0" applyFont="1" applyFill="1" applyBorder="1" applyAlignment="1" applyProtection="1">
      <alignment horizontal="right" vertical="center" wrapText="1"/>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15" xfId="0" applyFont="1" applyFill="1" applyBorder="1" applyAlignment="1">
      <alignment horizontal="center"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28" fillId="3" borderId="0" xfId="0" applyFont="1" applyFill="1" applyBorder="1" applyAlignment="1">
      <alignment horizontal="center" vertical="center"/>
    </xf>
    <xf numFmtId="0" fontId="8" fillId="3" borderId="0" xfId="0" applyFont="1" applyFill="1" applyBorder="1" applyAlignment="1">
      <alignment horizontal="center" vertical="center"/>
    </xf>
    <xf numFmtId="0" fontId="0" fillId="3" borderId="29" xfId="0" applyFill="1" applyBorder="1" applyAlignment="1" applyProtection="1">
      <alignment horizontal="right"/>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79" fillId="12" borderId="101"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79" fillId="12" borderId="75" xfId="12" applyFont="1" applyFill="1" applyBorder="1" applyProtection="1"/>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84" fillId="12" borderId="75" xfId="12" applyFont="1" applyFill="1" applyBorder="1" applyAlignment="1" applyProtection="1">
      <alignment wrapText="1"/>
    </xf>
    <xf numFmtId="0" fontId="84" fillId="12" borderId="75" xfId="12" applyNumberFormat="1" applyFont="1" applyFill="1" applyBorder="1" applyAlignment="1" applyProtection="1">
      <alignmen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0" fontId="84" fillId="27" borderId="75" xfId="12" applyFont="1" applyFill="1" applyBorder="1" applyAlignment="1" applyProtection="1">
      <alignment horizontal="left" wrapText="1"/>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84" fillId="12" borderId="75" xfId="12" applyFont="1" applyFill="1" applyBorder="1" applyAlignment="1" applyProtection="1">
      <alignment horizontal="left" wrapText="1"/>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12" borderId="103" xfId="12" applyFont="1" applyFill="1" applyBorder="1" applyAlignment="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27"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27" borderId="0" xfId="12" applyFont="1" applyFill="1" applyBorder="1" applyAlignment="1" applyProtection="1">
      <alignment horizontal="left"/>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2" fillId="23" borderId="101" xfId="0" applyFont="1" applyFill="1" applyBorder="1" applyAlignment="1" applyProtection="1">
      <alignment horizontal="center"/>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7" borderId="107" xfId="12" applyFont="1" applyFill="1" applyBorder="1" applyAlignment="1" applyProtection="1">
      <alignment horizontal="center"/>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27" borderId="104" xfId="12" applyFont="1" applyFill="1" applyBorder="1" applyAlignment="1" applyProtection="1">
      <alignment horizontal="center"/>
    </xf>
    <xf numFmtId="0" fontId="107" fillId="27" borderId="107" xfId="12" applyFont="1" applyFill="1" applyBorder="1" applyAlignment="1" applyProtection="1">
      <alignment horizontal="center" vertical="center"/>
    </xf>
    <xf numFmtId="0" fontId="107" fillId="12" borderId="0" xfId="12" applyFont="1" applyFill="1" applyAlignment="1" applyProtection="1">
      <alignment horizontal="center"/>
    </xf>
    <xf numFmtId="0" fontId="107" fillId="27" borderId="102" xfId="12" applyFont="1" applyFill="1" applyBorder="1" applyAlignment="1" applyProtection="1">
      <alignment horizontal="center"/>
    </xf>
    <xf numFmtId="0" fontId="107" fillId="12" borderId="0" xfId="12" applyFont="1" applyFill="1" applyBorder="1" applyAlignment="1" applyProtection="1">
      <alignment horizontal="center"/>
    </xf>
    <xf numFmtId="0" fontId="107" fillId="27" borderId="99"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7" borderId="100" xfId="12" applyFont="1" applyFill="1" applyBorder="1" applyProtection="1"/>
    <xf numFmtId="0" fontId="9" fillId="27" borderId="0" xfId="12" applyFont="1" applyFill="1" applyBorder="1" applyProtection="1"/>
    <xf numFmtId="0" fontId="9" fillId="27" borderId="78" xfId="12" applyFont="1" applyFill="1" applyBorder="1" applyProtection="1"/>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27" borderId="87"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13" fillId="23" borderId="90" xfId="0" applyFont="1" applyFill="1" applyBorder="1" applyAlignment="1" applyProtection="1">
      <alignment horizontal="center"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0" fillId="3" borderId="103"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7" borderId="171" xfId="0" applyFont="1" applyFill="1" applyBorder="1" applyAlignment="1" applyProtection="1">
      <alignment horizontal="center" vertical="center" wrapText="1"/>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73" xfId="0" applyFill="1" applyBorder="1" applyAlignment="1" applyProtection="1">
      <alignment wrapText="1"/>
    </xf>
    <xf numFmtId="0" fontId="0" fillId="7" borderId="73"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3" borderId="7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79" xfId="0" applyFont="1"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4" borderId="0" xfId="0" applyFont="1" applyFill="1" applyBorder="1" applyProtection="1"/>
    <xf numFmtId="0" fontId="11" fillId="44" borderId="90" xfId="0" applyFont="1" applyFill="1" applyBorder="1" applyProtection="1"/>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0" fillId="48" borderId="103" xfId="0"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22" fillId="40" borderId="103"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52" fillId="42" borderId="119" xfId="0" applyFont="1" applyFill="1" applyBorder="1" applyAlignment="1" applyProtection="1">
      <alignment vertical="center" wrapText="1"/>
    </xf>
    <xf numFmtId="0" fontId="52" fillId="42" borderId="160" xfId="0" applyFont="1" applyFill="1" applyBorder="1" applyAlignment="1" applyProtection="1">
      <alignment vertical="center" wrapText="1"/>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9" fillId="7" borderId="0" xfId="0" applyFont="1" applyFill="1" applyBorder="1" applyAlignment="1" applyProtection="1">
      <alignment horizontal="center"/>
      <protection locked="0"/>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22" fillId="41" borderId="134" xfId="0" applyFont="1" applyFill="1" applyBorder="1" applyAlignment="1" applyProtection="1">
      <alignment horizontal="center"/>
      <protection locked="0"/>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13" fillId="7" borderId="15" xfId="0" applyFont="1" applyFill="1" applyBorder="1" applyAlignment="1" applyProtection="1">
      <alignment horizontal="center"/>
      <protection locked="0"/>
    </xf>
    <xf numFmtId="0" fontId="22" fillId="40" borderId="0" xfId="0" applyFont="1" applyFill="1" applyBorder="1" applyAlignment="1" applyProtection="1">
      <alignment horizontal="center" wrapText="1"/>
      <protection locked="0"/>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0" fillId="16" borderId="75" xfId="0" applyFill="1" applyBorder="1" applyAlignment="1" applyProtection="1">
      <alignment horizontal="center"/>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5"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6" xfId="0" applyFont="1" applyFill="1" applyBorder="1" applyAlignment="1" applyProtection="1">
      <alignment horizontal="center" wrapText="1"/>
    </xf>
    <xf numFmtId="0" fontId="52" fillId="8" borderId="247" xfId="0" applyFont="1" applyFill="1" applyBorder="1" applyAlignment="1" applyProtection="1">
      <alignment horizontal="center" wrapText="1"/>
    </xf>
    <xf numFmtId="0" fontId="52" fillId="8" borderId="248"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8" fillId="7" borderId="103"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6"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60"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64" xfId="0" applyFont="1" applyFill="1" applyBorder="1" applyAlignment="1" applyProtection="1">
      <alignment horizontal="center"/>
    </xf>
    <xf numFmtId="0" fontId="0" fillId="3" borderId="263" xfId="0" applyFill="1" applyBorder="1" applyProtection="1"/>
    <xf numFmtId="0" fontId="0" fillId="3" borderId="264"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7"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63" xfId="0" applyFont="1" applyFill="1" applyBorder="1" applyAlignment="1" applyProtection="1">
      <alignment horizontal="right" vertical="center"/>
    </xf>
    <xf numFmtId="0" fontId="13" fillId="7" borderId="265"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6" xfId="0" applyFont="1" applyFill="1" applyBorder="1" applyAlignment="1">
      <alignment horizontal="left"/>
    </xf>
    <xf numFmtId="0" fontId="63" fillId="14" borderId="277" xfId="0" applyFont="1" applyFill="1" applyBorder="1"/>
    <xf numFmtId="0" fontId="63" fillId="15" borderId="277" xfId="0" applyFont="1" applyFill="1" applyBorder="1"/>
    <xf numFmtId="0" fontId="63" fillId="15" borderId="107" xfId="0" applyFont="1" applyFill="1" applyBorder="1"/>
    <xf numFmtId="0" fontId="64" fillId="17" borderId="278" xfId="0" applyFont="1" applyFill="1" applyBorder="1" applyAlignment="1">
      <alignment horizontal="left"/>
    </xf>
    <xf numFmtId="0" fontId="64" fillId="17" borderId="279" xfId="0" applyFont="1" applyFill="1" applyBorder="1" applyAlignment="1">
      <alignment horizontal="left"/>
    </xf>
    <xf numFmtId="0" fontId="64" fillId="16" borderId="279" xfId="0" applyFont="1" applyFill="1" applyBorder="1" applyAlignment="1">
      <alignment horizontal="left"/>
    </xf>
    <xf numFmtId="0" fontId="64" fillId="16" borderId="280" xfId="0" applyFont="1" applyFill="1" applyBorder="1" applyAlignment="1">
      <alignment horizontal="left"/>
    </xf>
    <xf numFmtId="0" fontId="64" fillId="18" borderId="281" xfId="0" applyFont="1" applyFill="1" applyBorder="1" applyAlignment="1">
      <alignment horizontal="left"/>
    </xf>
    <xf numFmtId="0" fontId="64" fillId="18" borderId="282" xfId="0" applyFont="1" applyFill="1" applyBorder="1" applyAlignment="1">
      <alignment horizontal="left"/>
    </xf>
    <xf numFmtId="0" fontId="64" fillId="16" borderId="282" xfId="0" applyFont="1" applyFill="1" applyBorder="1" applyAlignment="1">
      <alignment horizontal="left"/>
    </xf>
    <xf numFmtId="0" fontId="64" fillId="16" borderId="283" xfId="0" applyFont="1" applyFill="1" applyBorder="1" applyAlignment="1">
      <alignment horizontal="left"/>
    </xf>
    <xf numFmtId="0" fontId="64" fillId="17" borderId="281" xfId="0" applyFont="1" applyFill="1" applyBorder="1" applyAlignment="1">
      <alignment horizontal="left"/>
    </xf>
    <xf numFmtId="0" fontId="64" fillId="17" borderId="282" xfId="0" applyFont="1" applyFill="1" applyBorder="1" applyAlignment="1">
      <alignment horizontal="left"/>
    </xf>
    <xf numFmtId="0" fontId="64" fillId="18" borderId="284" xfId="0" applyFont="1" applyFill="1" applyBorder="1" applyAlignment="1">
      <alignment horizontal="left"/>
    </xf>
    <xf numFmtId="0" fontId="64" fillId="18" borderId="285" xfId="0" applyFont="1" applyFill="1" applyBorder="1" applyAlignment="1">
      <alignment horizontal="left"/>
    </xf>
    <xf numFmtId="0" fontId="64" fillId="16" borderId="285"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6"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7"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91" xfId="0" applyFont="1" applyFill="1" applyBorder="1" applyAlignment="1" applyProtection="1">
      <alignment horizontal="center"/>
    </xf>
    <xf numFmtId="0" fontId="0" fillId="7" borderId="291" xfId="0" applyFont="1" applyFill="1" applyBorder="1" applyAlignment="1" applyProtection="1">
      <alignment horizontal="right"/>
    </xf>
    <xf numFmtId="0" fontId="11" fillId="7" borderId="291" xfId="0" applyFont="1" applyFill="1" applyBorder="1" applyAlignment="1" applyProtection="1">
      <alignment horizontal="left"/>
    </xf>
    <xf numFmtId="0" fontId="11" fillId="7" borderId="292" xfId="0" applyFont="1" applyFill="1" applyBorder="1" applyAlignment="1" applyProtection="1">
      <alignment horizontal="left"/>
    </xf>
    <xf numFmtId="0" fontId="10" fillId="7" borderId="289" xfId="0" applyFont="1" applyFill="1" applyBorder="1" applyProtection="1"/>
    <xf numFmtId="0" fontId="0" fillId="7" borderId="291" xfId="0" applyFill="1" applyBorder="1" applyProtection="1"/>
    <xf numFmtId="0" fontId="0" fillId="7" borderId="292"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9" fillId="16" borderId="0" xfId="0" applyFont="1" applyFill="1" applyBorder="1" applyAlignment="1" applyProtection="1">
      <alignment horizontal="center"/>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9" fillId="30" borderId="0" xfId="0" applyFont="1" applyFill="1" applyBorder="1" applyAlignment="1" applyProtection="1">
      <alignment horizontal="center" vertical="center" wrapText="1"/>
    </xf>
    <xf numFmtId="0" fontId="0" fillId="30" borderId="104" xfId="0" applyFill="1" applyBorder="1" applyAlignment="1" applyProtection="1">
      <alignment horizontal="center"/>
    </xf>
    <xf numFmtId="0" fontId="0" fillId="30" borderId="75"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9" fillId="30" borderId="90" xfId="0" applyFont="1" applyFill="1" applyBorder="1" applyAlignment="1" applyProtection="1">
      <alignment horizontal="center" vertical="center"/>
    </xf>
    <xf numFmtId="0" fontId="9" fillId="16" borderId="90" xfId="0" applyFont="1" applyFill="1" applyBorder="1" applyAlignment="1" applyProtection="1">
      <alignment horizontal="center"/>
    </xf>
    <xf numFmtId="0" fontId="9" fillId="16" borderId="81" xfId="0" applyFont="1" applyFill="1" applyBorder="1" applyAlignment="1" applyProtection="1">
      <alignment horizontal="center"/>
    </xf>
    <xf numFmtId="0" fontId="9" fillId="16" borderId="73" xfId="0" applyFont="1" applyFill="1" applyBorder="1" applyAlignment="1" applyProtection="1">
      <alignment horizontal="center"/>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5" xfId="0" applyFont="1" applyFill="1" applyBorder="1" applyAlignment="1" applyProtection="1">
      <alignment horizontal="center" vertical="center" wrapText="1"/>
    </xf>
    <xf numFmtId="0" fontId="0" fillId="3" borderId="306"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11" xfId="0" applyFont="1" applyFill="1" applyBorder="1"/>
    <xf numFmtId="0" fontId="127" fillId="3" borderId="14" xfId="0" applyFont="1" applyFill="1" applyBorder="1"/>
    <xf numFmtId="0" fontId="127" fillId="3" borderId="14" xfId="0" applyFont="1" applyFill="1" applyBorder="1" applyProtection="1"/>
    <xf numFmtId="0" fontId="127" fillId="3" borderId="102" xfId="0" applyFont="1" applyFill="1" applyBorder="1"/>
    <xf numFmtId="0" fontId="127" fillId="3" borderId="0" xfId="0" applyFont="1" applyFill="1"/>
    <xf numFmtId="0" fontId="127" fillId="3" borderId="0" xfId="0" applyFont="1" applyFill="1" applyBorder="1"/>
    <xf numFmtId="0" fontId="127" fillId="3" borderId="87" xfId="0" applyFont="1" applyFill="1" applyBorder="1"/>
    <xf numFmtId="0" fontId="13" fillId="7" borderId="310" xfId="0" applyFont="1" applyFill="1" applyBorder="1" applyAlignment="1" applyProtection="1">
      <alignment horizontal="center" vertical="center"/>
      <protection locked="0"/>
    </xf>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11" xfId="0" applyFont="1" applyFill="1" applyBorder="1" applyAlignment="1" applyProtection="1">
      <alignment horizontal="center" vertical="center"/>
      <protection locked="0"/>
    </xf>
    <xf numFmtId="0" fontId="9" fillId="7" borderId="322" xfId="0" applyFont="1" applyFill="1" applyBorder="1" applyAlignment="1" applyProtection="1">
      <alignment horizontal="center" vertical="center"/>
    </xf>
    <xf numFmtId="0" fontId="9" fillId="3" borderId="288" xfId="0" applyFont="1" applyFill="1" applyBorder="1" applyAlignment="1" applyProtection="1">
      <alignment horizontal="left" vertical="center"/>
    </xf>
    <xf numFmtId="0" fontId="9" fillId="37" borderId="202" xfId="0" applyFont="1" applyFill="1" applyBorder="1" applyAlignment="1" applyProtection="1">
      <alignment horizontal="left" vertical="center"/>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9" fillId="3" borderId="104" xfId="0" applyFont="1" applyFill="1" applyBorder="1" applyAlignment="1" applyProtection="1">
      <alignment vertical="center"/>
    </xf>
    <xf numFmtId="0" fontId="9" fillId="3" borderId="102" xfId="0" applyFont="1" applyFill="1" applyBorder="1" applyProtection="1"/>
    <xf numFmtId="0" fontId="9" fillId="3" borderId="87"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0" fillId="3" borderId="306" xfId="0" applyFill="1" applyBorder="1" applyProtection="1"/>
    <xf numFmtId="0" fontId="0" fillId="3" borderId="107" xfId="0" applyFill="1" applyBorder="1" applyProtection="1"/>
    <xf numFmtId="0" fontId="0" fillId="3" borderId="108" xfId="0" applyFill="1" applyBorder="1" applyProtection="1"/>
    <xf numFmtId="0" fontId="9" fillId="3" borderId="107" xfId="0" applyFont="1" applyFill="1" applyBorder="1" applyAlignment="1" applyProtection="1">
      <alignment horizontal="right"/>
    </xf>
    <xf numFmtId="0" fontId="15" fillId="8" borderId="106" xfId="0" applyFont="1" applyFill="1" applyBorder="1" applyAlignment="1" applyProtection="1">
      <alignment vertical="center"/>
    </xf>
    <xf numFmtId="0" fontId="0" fillId="16" borderId="103" xfId="0" applyFill="1" applyBorder="1" applyAlignment="1" applyProtection="1">
      <alignment horizontal="center"/>
    </xf>
    <xf numFmtId="0" fontId="9" fillId="55" borderId="318"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left" vertical="center"/>
    </xf>
    <xf numFmtId="0" fontId="52" fillId="8" borderId="0" xfId="0" applyFont="1" applyFill="1" applyBorder="1" applyAlignment="1" applyProtection="1">
      <alignment horizont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5"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73" xfId="0" applyFont="1" applyFill="1" applyBorder="1" applyAlignment="1" applyProtection="1">
      <alignment horizontal="left"/>
    </xf>
    <xf numFmtId="0" fontId="0" fillId="3" borderId="324"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5"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25" xfId="0" applyFont="1" applyFill="1" applyBorder="1" applyAlignment="1" applyProtection="1">
      <alignment horizontal="center"/>
    </xf>
    <xf numFmtId="0" fontId="0" fillId="0" borderId="0" xfId="0" applyFill="1" applyBorder="1" applyAlignment="1" applyProtection="1"/>
    <xf numFmtId="0" fontId="127" fillId="3" borderId="0" xfId="0" applyFont="1" applyFill="1" applyProtection="1"/>
    <xf numFmtId="0" fontId="74" fillId="3" borderId="0" xfId="0" applyFont="1" applyFill="1" applyBorder="1" applyAlignment="1" applyProtection="1">
      <alignment vertical="center"/>
    </xf>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139" fillId="3" borderId="0" xfId="0" applyFont="1" applyFill="1" applyBorder="1" applyAlignment="1" applyProtection="1">
      <alignment horizontal="center" vertical="center"/>
    </xf>
    <xf numFmtId="0" fontId="139" fillId="3" borderId="0" xfId="0" applyFont="1" applyFill="1" applyBorder="1" applyAlignment="1" applyProtection="1">
      <alignment horizontal="center"/>
    </xf>
    <xf numFmtId="0" fontId="69" fillId="3" borderId="0" xfId="0" applyFont="1" applyFill="1" applyBorder="1" applyAlignment="1" applyProtection="1">
      <alignment horizontal="left"/>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40" fillId="3" borderId="0" xfId="0" applyFont="1" applyFill="1" applyBorder="1" applyAlignment="1" applyProtection="1">
      <alignment vertical="center"/>
    </xf>
    <xf numFmtId="0" fontId="141" fillId="3" borderId="0" xfId="0" applyFont="1" applyFill="1" applyBorder="1" applyAlignment="1" applyProtection="1">
      <alignment vertical="center"/>
    </xf>
    <xf numFmtId="0" fontId="74" fillId="41" borderId="0" xfId="0" applyFont="1" applyFill="1" applyBorder="1" applyAlignment="1" applyProtection="1">
      <alignment vertical="center"/>
    </xf>
    <xf numFmtId="0" fontId="140" fillId="41" borderId="0" xfId="0" applyFont="1" applyFill="1" applyBorder="1" applyAlignment="1" applyProtection="1">
      <alignment vertical="center"/>
    </xf>
    <xf numFmtId="0" fontId="69" fillId="41" borderId="0" xfId="0" applyFont="1" applyFill="1" applyProtection="1"/>
    <xf numFmtId="0" fontId="69" fillId="41" borderId="0" xfId="0" applyFont="1" applyFill="1" applyBorder="1" applyAlignment="1" applyProtection="1">
      <alignment vertical="center"/>
    </xf>
    <xf numFmtId="0" fontId="114" fillId="3" borderId="0" xfId="0" applyFont="1" applyFill="1" applyBorder="1" applyAlignment="1" applyProtection="1"/>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6" xfId="0" applyFont="1" applyFill="1" applyBorder="1" applyAlignment="1" applyProtection="1">
      <alignment horizontal="left"/>
    </xf>
    <xf numFmtId="0" fontId="9" fillId="3" borderId="265" xfId="0" applyFont="1" applyFill="1" applyBorder="1" applyAlignment="1" applyProtection="1">
      <alignment horizontal="left"/>
    </xf>
    <xf numFmtId="0" fontId="0" fillId="3" borderId="265" xfId="0" applyFont="1" applyFill="1" applyBorder="1" applyAlignment="1" applyProtection="1">
      <alignment horizontal="center"/>
    </xf>
    <xf numFmtId="0" fontId="0" fillId="3" borderId="265" xfId="0" applyFill="1" applyBorder="1" applyAlignment="1" applyProtection="1">
      <alignment horizontal="center"/>
    </xf>
    <xf numFmtId="0" fontId="0" fillId="37" borderId="79" xfId="0" applyFill="1" applyBorder="1" applyAlignment="1" applyProtection="1">
      <alignment horizontal="center"/>
    </xf>
    <xf numFmtId="0" fontId="9" fillId="3" borderId="89" xfId="0" applyFont="1" applyFill="1" applyBorder="1" applyAlignment="1" applyProtection="1">
      <alignment horizontal="left"/>
    </xf>
    <xf numFmtId="0" fontId="0" fillId="37" borderId="90" xfId="0" applyFill="1" applyBorder="1" applyAlignment="1" applyProtection="1">
      <alignment horizontal="center"/>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73" xfId="0" applyFont="1" applyFill="1" applyBorder="1" applyAlignment="1" applyProtection="1">
      <alignment horizontal="center"/>
    </xf>
    <xf numFmtId="0" fontId="0" fillId="37" borderId="81" xfId="0" applyFill="1" applyBorder="1" applyAlignment="1" applyProtection="1">
      <alignment horizontal="center"/>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18"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0" fillId="3" borderId="118"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124" fillId="8" borderId="16" xfId="0" applyFont="1" applyFill="1" applyBorder="1" applyAlignment="1" applyProtection="1">
      <alignment horizontal="center" wrapText="1"/>
    </xf>
    <xf numFmtId="0" fontId="0" fillId="3" borderId="334"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7" xfId="0" applyNumberFormat="1" applyFont="1" applyFill="1" applyBorder="1" applyAlignment="1" applyProtection="1">
      <alignment horizontal="center" vertical="center"/>
    </xf>
    <xf numFmtId="0" fontId="13" fillId="3" borderId="307" xfId="0" applyNumberFormat="1" applyFont="1" applyFill="1" applyBorder="1" applyAlignment="1" applyProtection="1">
      <alignment horizontal="center" vertical="center"/>
    </xf>
    <xf numFmtId="49" fontId="13" fillId="3" borderId="335"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9"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13" fillId="3" borderId="335" xfId="0" applyNumberFormat="1" applyFont="1" applyFill="1" applyBorder="1" applyAlignment="1" applyProtection="1">
      <alignment horizontal="center" vertic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52" fillId="8" borderId="16" xfId="0" applyFont="1" applyFill="1" applyBorder="1" applyAlignment="1" applyProtection="1">
      <alignment horizont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9" fillId="0" borderId="0" xfId="0" applyFont="1" applyProtection="1"/>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3" fillId="7" borderId="6"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13" fillId="7" borderId="20" xfId="0" applyFont="1" applyFill="1" applyBorder="1" applyAlignment="1" applyProtection="1">
      <alignment horizontal="center" vertical="center" wrapText="1"/>
      <protection locked="0"/>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32" xfId="0" applyFont="1" applyFill="1" applyBorder="1" applyAlignment="1" applyProtection="1">
      <alignment horizontal="center" vertical="center" wrapText="1"/>
    </xf>
    <xf numFmtId="0" fontId="9" fillId="3" borderId="89"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11" xfId="0" applyFont="1" applyFill="1" applyBorder="1" applyAlignment="1" applyProtection="1">
      <alignment horizontal="center" vertical="center" wrapText="1"/>
    </xf>
    <xf numFmtId="0" fontId="146"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103" xfId="0" applyFont="1" applyFill="1" applyBorder="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73" xfId="0" applyFont="1" applyFill="1" applyBorder="1" applyAlignment="1" applyProtection="1">
      <alignment horizontal="center"/>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15" fillId="8" borderId="90"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37" fillId="59" borderId="267" xfId="0" applyFont="1" applyFill="1" applyBorder="1" applyAlignment="1" applyProtection="1">
      <alignment horizontal="center" vertical="center"/>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7"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9" fillId="41" borderId="0" xfId="0" applyFont="1" applyFill="1" applyBorder="1" applyAlignment="1" applyProtection="1">
      <alignment horizontal="center"/>
      <protection locked="0"/>
    </xf>
    <xf numFmtId="0" fontId="9" fillId="41" borderId="117" xfId="0" applyFont="1" applyFill="1" applyBorder="1" applyAlignment="1" applyProtection="1">
      <alignment horizontal="center"/>
      <protection locked="0"/>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41" xfId="0" applyFont="1" applyFill="1" applyBorder="1" applyAlignment="1" applyProtection="1">
      <alignment vertical="center" wrapText="1"/>
    </xf>
    <xf numFmtId="0" fontId="12" fillId="7" borderId="342"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12" fillId="40" borderId="338" xfId="0" applyFont="1" applyFill="1" applyBorder="1" applyAlignment="1" applyProtection="1">
      <alignment horizontal="center"/>
    </xf>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15" fillId="8" borderId="122"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8"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6" xfId="0" applyFont="1" applyFill="1" applyBorder="1" applyAlignment="1">
      <alignment horizontal="right"/>
    </xf>
    <xf numFmtId="0" fontId="0" fillId="19" borderId="268" xfId="0" applyFont="1" applyFill="1" applyBorder="1" applyAlignment="1">
      <alignment horizontal="center"/>
    </xf>
    <xf numFmtId="0" fontId="0" fillId="19" borderId="268"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63"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4" fillId="3" borderId="104" xfId="0" applyFont="1" applyFill="1" applyBorder="1" applyProtection="1"/>
    <xf numFmtId="0" fontId="13" fillId="3" borderId="75" xfId="0" applyFont="1" applyFill="1" applyBorder="1" applyAlignment="1" applyProtection="1">
      <alignment horizontal="center" vertical="center"/>
    </xf>
    <xf numFmtId="0" fontId="144"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8" fillId="8" borderId="265"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7" xfId="0" applyFont="1" applyFill="1" applyBorder="1" applyAlignment="1" applyProtection="1">
      <alignment vertical="center" wrapText="1"/>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9" fillId="0" borderId="0" xfId="0" applyFont="1" applyAlignment="1" applyProtection="1"/>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146" fillId="22" borderId="0" xfId="0" applyFont="1" applyFill="1" applyAlignment="1"/>
    <xf numFmtId="0" fontId="0" fillId="3" borderId="71" xfId="0" applyFont="1" applyFill="1" applyBorder="1" applyAlignment="1" applyProtection="1"/>
    <xf numFmtId="0" fontId="0" fillId="3" borderId="68" xfId="0" applyFont="1" applyFill="1" applyBorder="1" applyAlignment="1" applyProtection="1"/>
    <xf numFmtId="0" fontId="0" fillId="3" borderId="7" xfId="0" applyFont="1" applyFill="1" applyBorder="1" applyAlignment="1" applyProtection="1"/>
    <xf numFmtId="0" fontId="9" fillId="37" borderId="75" xfId="0" applyFont="1" applyFill="1" applyBorder="1" applyAlignment="1" applyProtection="1"/>
    <xf numFmtId="0" fontId="0" fillId="37" borderId="75" xfId="0" applyFill="1" applyBorder="1" applyAlignment="1" applyProtection="1"/>
    <xf numFmtId="0" fontId="0" fillId="3" borderId="75" xfId="0" applyFill="1" applyBorder="1" applyAlignment="1" applyProtection="1"/>
    <xf numFmtId="0" fontId="0" fillId="3" borderId="103"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0" fillId="16" borderId="0" xfId="0" applyFill="1" applyBorder="1" applyAlignment="1" applyProtection="1"/>
    <xf numFmtId="0" fontId="9" fillId="16" borderId="89" xfId="0" applyFont="1" applyFill="1" applyBorder="1" applyAlignment="1" applyProtection="1"/>
    <xf numFmtId="0" fontId="0" fillId="16" borderId="89" xfId="0" applyFill="1" applyBorder="1" applyProtection="1"/>
    <xf numFmtId="0" fontId="9" fillId="16" borderId="89" xfId="0" applyFont="1" applyFill="1" applyBorder="1" applyAlignment="1" applyProtection="1">
      <alignment wrapText="1"/>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9"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9" fillId="16" borderId="75" xfId="0" applyFont="1" applyFill="1" applyBorder="1" applyAlignment="1" applyProtection="1">
      <alignment wrapText="1"/>
    </xf>
    <xf numFmtId="0" fontId="113" fillId="8" borderId="104" xfId="0" applyFont="1" applyFill="1" applyBorder="1" applyAlignment="1" applyProtection="1">
      <alignment vertical="center" wrapText="1"/>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6" borderId="107" xfId="0" applyFill="1" applyBorder="1" applyProtection="1"/>
    <xf numFmtId="0" fontId="0" fillId="31" borderId="107" xfId="0" applyFill="1" applyBorder="1" applyProtection="1"/>
    <xf numFmtId="0" fontId="0" fillId="19" borderId="0" xfId="0" applyFill="1" applyBorder="1" applyProtection="1"/>
    <xf numFmtId="0" fontId="0" fillId="19" borderId="75"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16" borderId="140" xfId="0" applyFill="1" applyBorder="1" applyProtection="1"/>
    <xf numFmtId="0" fontId="0" fillId="31" borderId="108"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52" fillId="42" borderId="160" xfId="0" applyFont="1" applyFill="1" applyBorder="1" applyAlignment="1" applyProtection="1">
      <alignment horizontal="center" vertical="center" wrapText="1"/>
    </xf>
    <xf numFmtId="0" fontId="0" fillId="3" borderId="286" xfId="0" applyFill="1" applyBorder="1" applyProtection="1"/>
    <xf numFmtId="0" fontId="13" fillId="7" borderId="342" xfId="0" applyFont="1" applyFill="1" applyBorder="1" applyAlignment="1" applyProtection="1">
      <alignment horizontal="center" vertical="center" wrapText="1"/>
    </xf>
    <xf numFmtId="0" fontId="13" fillId="7" borderId="342"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49" fillId="8" borderId="7" xfId="0" applyFont="1" applyFill="1" applyBorder="1" applyAlignment="1" applyProtection="1">
      <alignment horizontal="center" vertical="center"/>
    </xf>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42"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42"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0" fillId="16" borderId="89" xfId="0" applyFill="1" applyBorder="1" applyAlignment="1" applyProtection="1">
      <alignment horizontal="center"/>
    </xf>
    <xf numFmtId="0" fontId="124" fillId="8" borderId="358" xfId="0" applyFont="1" applyFill="1" applyBorder="1" applyAlignment="1" applyProtection="1">
      <alignment horizontal="center" vertical="center"/>
    </xf>
    <xf numFmtId="0" fontId="15" fillId="8" borderId="100"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0" fillId="16" borderId="155" xfId="0" applyFill="1" applyBorder="1" applyAlignment="1" applyProtection="1">
      <alignment horizontal="center"/>
    </xf>
    <xf numFmtId="0" fontId="0" fillId="16" borderId="87" xfId="0" applyFill="1" applyBorder="1" applyAlignment="1" applyProtection="1">
      <alignment horizontal="center"/>
    </xf>
    <xf numFmtId="0" fontId="15" fillId="8" borderId="164" xfId="0" applyFont="1" applyFill="1" applyBorder="1" applyAlignment="1" applyProtection="1">
      <alignment vertical="center"/>
    </xf>
    <xf numFmtId="0" fontId="9" fillId="7" borderId="263" xfId="0" applyFont="1" applyFill="1" applyBorder="1" applyAlignment="1" applyProtection="1">
      <alignment horizontal="center" vertical="center" wrapText="1"/>
    </xf>
    <xf numFmtId="0" fontId="9" fillId="7" borderId="265"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141" fillId="41" borderId="0" xfId="0" applyFont="1" applyFill="1" applyBorder="1" applyAlignment="1" applyProtection="1">
      <alignment vertical="center"/>
    </xf>
    <xf numFmtId="0" fontId="77" fillId="3" borderId="75" xfId="0" applyFont="1" applyFill="1" applyBorder="1" applyProtection="1"/>
    <xf numFmtId="0" fontId="150" fillId="3" borderId="0"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3" fillId="12" borderId="75" xfId="0" applyFont="1" applyFill="1" applyBorder="1" applyProtection="1"/>
    <xf numFmtId="0" fontId="143" fillId="12" borderId="107" xfId="0" applyFont="1" applyFill="1" applyBorder="1" applyAlignment="1" applyProtection="1"/>
    <xf numFmtId="0" fontId="143"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42" fillId="12" borderId="0" xfId="0" applyFont="1" applyFill="1" applyBorder="1" applyProtection="1"/>
    <xf numFmtId="0" fontId="10" fillId="23" borderId="260" xfId="0" applyFont="1" applyFill="1" applyBorder="1" applyAlignment="1" applyProtection="1">
      <alignment horizontal="center" vertical="center" wrapText="1"/>
    </xf>
    <xf numFmtId="0" fontId="26" fillId="23" borderId="265" xfId="0" applyFont="1" applyFill="1" applyBorder="1" applyAlignment="1" applyProtection="1">
      <alignment horizontal="center" vertical="center" wrapText="1"/>
      <protection locked="0"/>
    </xf>
    <xf numFmtId="0" fontId="143" fillId="12" borderId="0" xfId="0" applyFont="1" applyFill="1" applyBorder="1" applyProtection="1"/>
    <xf numFmtId="0" fontId="26" fillId="23" borderId="343"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51"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7"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49" fillId="8" borderId="75"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9" fillId="48" borderId="75" xfId="0" applyNumberFormat="1" applyFont="1" applyFill="1" applyBorder="1" applyAlignment="1">
      <alignment horizontal="center" vertical="center"/>
    </xf>
    <xf numFmtId="49" fontId="0" fillId="16" borderId="104" xfId="0" applyNumberFormat="1" applyFill="1" applyBorder="1" applyProtection="1"/>
    <xf numFmtId="49" fontId="0" fillId="16" borderId="0" xfId="0" applyNumberFormat="1" applyFill="1" applyBorder="1" applyProtection="1"/>
    <xf numFmtId="49" fontId="0" fillId="16" borderId="75"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9" fillId="48" borderId="103" xfId="0" applyNumberFormat="1" applyFont="1" applyFill="1" applyBorder="1" applyAlignment="1">
      <alignment horizontal="center" vertical="center"/>
    </xf>
    <xf numFmtId="49" fontId="13" fillId="7" borderId="121" xfId="0" applyNumberFormat="1" applyFont="1" applyFill="1" applyBorder="1" applyAlignment="1" applyProtection="1">
      <alignment vertical="center" wrapText="1"/>
      <protection locked="0"/>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52" fillId="42" borderId="101" xfId="0" applyFont="1" applyFill="1" applyBorder="1" applyAlignment="1" applyProtection="1">
      <alignment vertical="center" wrapText="1"/>
    </xf>
    <xf numFmtId="0" fontId="52" fillId="42" borderId="99" xfId="0" applyFont="1" applyFill="1" applyBorder="1" applyAlignment="1" applyProtection="1">
      <alignment vertical="center" wrapText="1"/>
    </xf>
    <xf numFmtId="0" fontId="52" fillId="42" borderId="343" xfId="0" applyFont="1" applyFill="1" applyBorder="1" applyAlignment="1" applyProtection="1">
      <alignment horizontal="center" vertical="center" wrapText="1"/>
    </xf>
    <xf numFmtId="0" fontId="55" fillId="44" borderId="265" xfId="0" applyFont="1" applyFill="1" applyBorder="1" applyAlignment="1" applyProtection="1">
      <alignment horizontal="center"/>
    </xf>
    <xf numFmtId="0" fontId="11" fillId="44" borderId="265" xfId="0" applyFont="1" applyFill="1" applyBorder="1" applyAlignment="1" applyProtection="1">
      <alignment horizontal="left"/>
    </xf>
    <xf numFmtId="0" fontId="11" fillId="45" borderId="265" xfId="0" applyFont="1" applyFill="1" applyBorder="1" applyProtection="1"/>
    <xf numFmtId="0" fontId="11" fillId="44" borderId="265" xfId="0" applyFont="1" applyFill="1" applyBorder="1" applyAlignment="1" applyProtection="1">
      <alignment horizontal="center"/>
    </xf>
    <xf numFmtId="0" fontId="11" fillId="44" borderId="265" xfId="0" applyNumberFormat="1" applyFont="1" applyFill="1" applyBorder="1" applyAlignment="1" applyProtection="1">
      <alignment horizontal="center"/>
    </xf>
    <xf numFmtId="0" fontId="11" fillId="44" borderId="265" xfId="0" applyFont="1" applyFill="1" applyBorder="1" applyProtection="1"/>
    <xf numFmtId="0" fontId="55" fillId="44" borderId="87" xfId="0" applyFont="1" applyFill="1" applyBorder="1" applyAlignment="1" applyProtection="1">
      <alignment horizontal="center"/>
    </xf>
    <xf numFmtId="0" fontId="11" fillId="44" borderId="87" xfId="0" applyFont="1" applyFill="1" applyBorder="1" applyAlignment="1" applyProtection="1">
      <alignment horizontal="left"/>
    </xf>
    <xf numFmtId="0" fontId="11" fillId="45" borderId="87" xfId="0" applyFont="1" applyFill="1" applyBorder="1" applyProtection="1"/>
    <xf numFmtId="0" fontId="11" fillId="44" borderId="87" xfId="0" applyFont="1" applyFill="1" applyBorder="1" applyAlignment="1" applyProtection="1">
      <alignment horizontal="center"/>
    </xf>
    <xf numFmtId="0" fontId="11" fillId="44" borderId="87" xfId="0" applyNumberFormat="1" applyFont="1" applyFill="1" applyBorder="1" applyAlignment="1" applyProtection="1">
      <alignment horizontal="center"/>
    </xf>
    <xf numFmtId="0" fontId="11" fillId="44" borderId="87" xfId="0" applyFont="1" applyFill="1" applyBorder="1" applyProtection="1"/>
    <xf numFmtId="0" fontId="11" fillId="44" borderId="148" xfId="0" applyFont="1" applyFill="1" applyBorder="1" applyProtection="1"/>
    <xf numFmtId="0" fontId="11" fillId="44" borderId="75" xfId="0" applyFont="1" applyFill="1" applyBorder="1" applyAlignment="1" applyProtection="1">
      <alignment horizontal="center"/>
    </xf>
    <xf numFmtId="0" fontId="11" fillId="44" borderId="103" xfId="0" applyFont="1" applyFill="1" applyBorder="1" applyAlignment="1" applyProtection="1">
      <alignment horizontal="center"/>
    </xf>
    <xf numFmtId="0" fontId="127" fillId="7" borderId="0" xfId="0" applyFont="1" applyFill="1" applyProtection="1"/>
    <xf numFmtId="0" fontId="0" fillId="3" borderId="100" xfId="0" applyFill="1" applyBorder="1" applyAlignment="1" applyProtection="1"/>
    <xf numFmtId="0" fontId="0" fillId="3" borderId="101" xfId="0" applyFill="1" applyBorder="1" applyAlignment="1" applyProtection="1"/>
    <xf numFmtId="0" fontId="127" fillId="58" borderId="0" xfId="0" applyFont="1" applyFill="1" applyBorder="1" applyProtection="1"/>
    <xf numFmtId="0" fontId="127" fillId="3" borderId="75"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3" fillId="44" borderId="90" xfId="0" applyFont="1" applyFill="1" applyBorder="1" applyProtection="1"/>
    <xf numFmtId="0" fontId="11" fillId="46" borderId="0" xfId="0" applyFont="1" applyFill="1" applyBorder="1" applyProtection="1"/>
    <xf numFmtId="0" fontId="11" fillId="46" borderId="87" xfId="0" applyFont="1" applyFill="1" applyBorder="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63"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62"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43" xfId="0" applyFont="1" applyFill="1" applyBorder="1" applyAlignment="1" applyProtection="1">
      <alignment horizontal="center" vertical="center" wrapText="1"/>
    </xf>
    <xf numFmtId="0" fontId="9" fillId="7" borderId="0" xfId="0" applyFont="1" applyFill="1" applyBorder="1" applyAlignment="1">
      <alignment horizontal="center"/>
    </xf>
    <xf numFmtId="0" fontId="9" fillId="7" borderId="53" xfId="0" applyFont="1" applyFill="1" applyBorder="1" applyAlignment="1" applyProtection="1">
      <alignment horizontal="right" vertical="center" wrapText="1"/>
    </xf>
    <xf numFmtId="0" fontId="9"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protection locked="0"/>
    </xf>
    <xf numFmtId="0" fontId="26" fillId="7" borderId="75" xfId="0" applyFont="1" applyFill="1" applyBorder="1" applyAlignment="1" applyProtection="1">
      <alignment horizontal="center" vertical="center" wrapText="1"/>
    </xf>
    <xf numFmtId="0" fontId="153" fillId="3" borderId="27" xfId="0" applyFont="1" applyFill="1" applyBorder="1" applyAlignment="1" applyProtection="1">
      <alignment horizontal="center" vertical="center" wrapText="1"/>
      <protection locked="0"/>
    </xf>
    <xf numFmtId="0" fontId="153" fillId="7" borderId="0" xfId="0" applyFont="1" applyFill="1" applyBorder="1" applyAlignment="1" applyProtection="1">
      <alignment horizontal="center" vertical="center" wrapText="1"/>
      <protection locked="0"/>
    </xf>
    <xf numFmtId="0" fontId="153" fillId="7" borderId="27" xfId="0" applyFont="1" applyFill="1" applyBorder="1" applyAlignment="1" applyProtection="1">
      <alignment horizontal="center" vertical="center" wrapText="1"/>
      <protection locked="0"/>
    </xf>
    <xf numFmtId="0" fontId="153" fillId="3" borderId="79" xfId="0" applyFont="1" applyFill="1" applyBorder="1" applyAlignment="1" applyProtection="1">
      <alignment horizontal="center" wrapText="1"/>
      <protection locked="0"/>
    </xf>
    <xf numFmtId="0" fontId="153" fillId="7" borderId="90" xfId="0" applyFont="1" applyFill="1" applyBorder="1" applyAlignment="1" applyProtection="1">
      <alignment horizontal="center" wrapText="1"/>
      <protection locked="0"/>
    </xf>
    <xf numFmtId="0" fontId="153" fillId="3" borderId="90" xfId="0" applyFont="1" applyFill="1" applyBorder="1" applyAlignment="1" applyProtection="1">
      <alignment horizontal="center" wrapText="1"/>
      <protection locked="0"/>
    </xf>
    <xf numFmtId="0" fontId="153" fillId="7" borderId="81" xfId="0" applyFont="1" applyFill="1" applyBorder="1" applyAlignment="1" applyProtection="1">
      <alignment horizontal="center" wrapText="1"/>
      <protection locked="0"/>
    </xf>
    <xf numFmtId="0" fontId="153" fillId="7" borderId="196" xfId="0" applyFont="1" applyFill="1" applyBorder="1" applyAlignment="1" applyProtection="1">
      <alignment horizontal="center" vertical="center" wrapText="1"/>
      <protection locked="0"/>
    </xf>
    <xf numFmtId="0" fontId="153" fillId="7" borderId="79" xfId="0" applyFont="1" applyFill="1" applyBorder="1" applyAlignment="1" applyProtection="1">
      <alignment horizontal="center" wrapText="1"/>
      <protection locked="0"/>
    </xf>
    <xf numFmtId="0" fontId="153" fillId="3" borderId="81" xfId="0" applyFont="1" applyFill="1" applyBorder="1" applyAlignment="1" applyProtection="1">
      <alignment horizontal="center" wrapText="1"/>
      <protection locked="0"/>
    </xf>
    <xf numFmtId="0" fontId="153" fillId="7" borderId="120" xfId="0" applyFont="1" applyFill="1" applyBorder="1" applyAlignment="1" applyProtection="1">
      <alignment horizontal="center" vertical="center"/>
      <protection locked="0"/>
    </xf>
    <xf numFmtId="0" fontId="153" fillId="7" borderId="12" xfId="0" applyFont="1" applyFill="1" applyBorder="1" applyAlignment="1" applyProtection="1">
      <alignment horizontal="center" wrapText="1"/>
      <protection locked="0"/>
    </xf>
    <xf numFmtId="0" fontId="153" fillId="3" borderId="39" xfId="0" applyFont="1" applyFill="1" applyBorder="1" applyAlignment="1" applyProtection="1">
      <alignment horizontal="center" wrapText="1"/>
      <protection locked="0"/>
    </xf>
    <xf numFmtId="0" fontId="153" fillId="7" borderId="100" xfId="0" applyFont="1" applyFill="1" applyBorder="1" applyAlignment="1" applyProtection="1">
      <alignment horizontal="center" wrapText="1"/>
      <protection locked="0"/>
    </xf>
    <xf numFmtId="0" fontId="153" fillId="3" borderId="0" xfId="0" applyFont="1" applyFill="1" applyBorder="1" applyAlignment="1" applyProtection="1">
      <alignment horizontal="center" wrapText="1"/>
      <protection locked="0"/>
    </xf>
    <xf numFmtId="0" fontId="153" fillId="7" borderId="0" xfId="0" applyFont="1" applyFill="1" applyBorder="1" applyAlignment="1" applyProtection="1">
      <alignment horizontal="center" wrapText="1"/>
      <protection locked="0"/>
    </xf>
    <xf numFmtId="0" fontId="153" fillId="3" borderId="78" xfId="0" applyFont="1" applyFill="1" applyBorder="1" applyAlignment="1" applyProtection="1">
      <alignment horizontal="center" wrapText="1"/>
      <protection locked="0"/>
    </xf>
    <xf numFmtId="0" fontId="153" fillId="3" borderId="73" xfId="0" applyFont="1" applyFill="1" applyBorder="1" applyAlignment="1" applyProtection="1">
      <alignment horizontal="center" wrapText="1"/>
      <protection locked="0"/>
    </xf>
    <xf numFmtId="0" fontId="153" fillId="7" borderId="73" xfId="0" applyFont="1" applyFill="1" applyBorder="1" applyAlignment="1" applyProtection="1">
      <alignment horizontal="center" wrapText="1"/>
      <protection locked="0"/>
    </xf>
    <xf numFmtId="0" fontId="153"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8"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2" fillId="7" borderId="341" xfId="0" applyFont="1" applyFill="1" applyBorder="1" applyAlignment="1" applyProtection="1">
      <alignment horizontal="center" vertical="center" wrapText="1"/>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12" fillId="7" borderId="232" xfId="0" applyFont="1" applyFill="1" applyBorder="1" applyAlignment="1" applyProtection="1">
      <alignment horizontal="center" vertical="center" wrapText="1"/>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41" borderId="110" xfId="0" applyFont="1" applyFill="1" applyBorder="1" applyAlignment="1" applyProtection="1">
      <alignment horizontal="center"/>
    </xf>
    <xf numFmtId="0" fontId="12" fillId="7" borderId="373"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77" fillId="3" borderId="0" xfId="0" applyFont="1" applyFill="1" applyAlignment="1" applyProtection="1">
      <alignment horizontal="center"/>
    </xf>
    <xf numFmtId="0" fontId="9" fillId="61" borderId="357" xfId="0" applyFont="1" applyFill="1" applyBorder="1" applyAlignment="1" applyProtection="1">
      <alignment horizontal="center" vertical="center"/>
    </xf>
    <xf numFmtId="0" fontId="9" fillId="62" borderId="0" xfId="0" applyFont="1" applyFill="1" applyBorder="1" applyAlignment="1" applyProtection="1">
      <alignment horizontal="center" vertical="center"/>
    </xf>
    <xf numFmtId="0" fontId="9" fillId="62" borderId="266" xfId="0" applyFont="1" applyFill="1" applyBorder="1" applyAlignment="1" applyProtection="1">
      <alignment horizontal="center" vertical="center"/>
    </xf>
    <xf numFmtId="0" fontId="9" fillId="62" borderId="265" xfId="0" applyFont="1" applyFill="1" applyBorder="1" applyAlignment="1" applyProtection="1">
      <alignment horizontal="center" vertical="center"/>
    </xf>
    <xf numFmtId="0" fontId="9" fillId="62" borderId="89" xfId="0" applyFont="1" applyFill="1" applyBorder="1" applyAlignment="1" applyProtection="1">
      <alignment horizontal="center" vertical="center"/>
    </xf>
    <xf numFmtId="0" fontId="9" fillId="61" borderId="150" xfId="0" applyFont="1" applyFill="1" applyBorder="1" applyAlignment="1" applyProtection="1">
      <alignment horizontal="center" vertical="center"/>
    </xf>
    <xf numFmtId="0" fontId="9" fillId="62" borderId="268" xfId="0" applyFont="1" applyFill="1" applyBorder="1" applyAlignment="1" applyProtection="1">
      <alignment horizontal="center" vertical="center"/>
    </xf>
    <xf numFmtId="0" fontId="9" fillId="62" borderId="75" xfId="0" applyFont="1" applyFill="1" applyBorder="1" applyAlignment="1" applyProtection="1">
      <alignment horizontal="center" vertical="center"/>
    </xf>
    <xf numFmtId="0" fontId="9" fillId="3" borderId="102" xfId="0" applyFont="1" applyFill="1" applyBorder="1" applyAlignment="1" applyProtection="1">
      <alignment horizontal="left" vertical="center"/>
    </xf>
    <xf numFmtId="0" fontId="9" fillId="62" borderId="155" xfId="0" applyFont="1" applyFill="1" applyBorder="1" applyAlignment="1" applyProtection="1">
      <alignment horizontal="center" vertical="center"/>
    </xf>
    <xf numFmtId="0" fontId="9" fillId="62" borderId="87" xfId="0" applyFont="1" applyFill="1" applyBorder="1" applyAlignment="1" applyProtection="1">
      <alignment horizontal="center" vertical="center"/>
    </xf>
    <xf numFmtId="0" fontId="9" fillId="62" borderId="103" xfId="0" applyFont="1" applyFill="1" applyBorder="1" applyAlignment="1" applyProtection="1">
      <alignment horizontal="center" vertical="center"/>
    </xf>
    <xf numFmtId="0" fontId="9" fillId="52" borderId="288"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8"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159"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59" fillId="3" borderId="0" xfId="0" applyFont="1" applyFill="1" applyBorder="1" applyAlignment="1" applyProtection="1">
      <alignment horizontal="left" vertical="center"/>
    </xf>
    <xf numFmtId="0" fontId="159" fillId="3" borderId="0" xfId="0" applyFont="1" applyFill="1" applyBorder="1" applyAlignment="1" applyProtection="1">
      <alignment horizontal="left"/>
    </xf>
    <xf numFmtId="1" fontId="159"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69" fillId="7" borderId="0" xfId="0" applyFont="1" applyFill="1"/>
    <xf numFmtId="0" fontId="69" fillId="3" borderId="0" xfId="0" applyFont="1" applyFill="1"/>
    <xf numFmtId="0" fontId="69" fillId="3" borderId="13" xfId="0" applyFont="1" applyFill="1" applyBorder="1"/>
    <xf numFmtId="0" fontId="69" fillId="3" borderId="15" xfId="0" applyFont="1" applyFill="1" applyBorder="1"/>
    <xf numFmtId="0" fontId="69" fillId="3" borderId="0" xfId="0" quotePrefix="1" applyFont="1" applyFill="1"/>
    <xf numFmtId="0" fontId="69" fillId="3" borderId="103" xfId="0" applyFont="1" applyFill="1" applyBorder="1"/>
    <xf numFmtId="0" fontId="69" fillId="3" borderId="0" xfId="0" applyFont="1" applyFill="1" applyBorder="1"/>
    <xf numFmtId="0" fontId="69" fillId="3" borderId="87" xfId="0" applyFont="1" applyFill="1" applyBorder="1"/>
    <xf numFmtId="0" fontId="69" fillId="3" borderId="0" xfId="0" applyFont="1" applyFill="1" applyAlignment="1" applyProtection="1">
      <alignment horizontal="left"/>
    </xf>
    <xf numFmtId="0" fontId="9" fillId="16" borderId="0" xfId="0" quotePrefix="1" applyFont="1" applyFill="1" applyBorder="1" applyAlignment="1" applyProtection="1"/>
    <xf numFmtId="0" fontId="12" fillId="7" borderId="0" xfId="0" applyFont="1" applyFill="1" applyBorder="1" applyAlignment="1" applyProtection="1">
      <alignment horizontal="left"/>
    </xf>
    <xf numFmtId="0" fontId="11"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13" fillId="7" borderId="0"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3" fillId="7" borderId="60"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62"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43"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8"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27" fillId="3" borderId="0" xfId="0" applyFont="1" applyFill="1" applyAlignment="1" applyProtection="1">
      <alignment horizontal="left"/>
    </xf>
    <xf numFmtId="0" fontId="69" fillId="3" borderId="75" xfId="0" applyFont="1" applyFill="1" applyBorder="1" applyAlignment="1" applyProtection="1">
      <alignment horizontal="right" wrapText="1"/>
    </xf>
    <xf numFmtId="0" fontId="69" fillId="3" borderId="75" xfId="0" applyFont="1" applyFill="1" applyBorder="1" applyAlignment="1" applyProtection="1">
      <alignment horizontal="center" vertical="center" wrapText="1"/>
    </xf>
    <xf numFmtId="0" fontId="69" fillId="3" borderId="103" xfId="0" applyFont="1" applyFill="1" applyBorder="1" applyAlignment="1" applyProtection="1">
      <alignment horizontal="right" wrapText="1"/>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77" fillId="3" borderId="0" xfId="0" applyFont="1" applyFill="1" applyAlignment="1" applyProtection="1">
      <alignment horizontal="center"/>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101" xfId="0" applyFont="1" applyFill="1" applyBorder="1" applyProtection="1"/>
    <xf numFmtId="0" fontId="9" fillId="3" borderId="75" xfId="0" applyFont="1" applyFill="1" applyBorder="1" applyProtection="1"/>
    <xf numFmtId="0" fontId="9" fillId="3" borderId="75" xfId="0" applyFont="1" applyFill="1" applyBorder="1" applyAlignment="1" applyProtection="1">
      <alignment horizontal="center"/>
    </xf>
    <xf numFmtId="0" fontId="9" fillId="3" borderId="103" xfId="0" applyFont="1" applyFill="1" applyBorder="1" applyProtection="1"/>
    <xf numFmtId="1" fontId="0" fillId="3" borderId="0" xfId="0" applyNumberFormat="1" applyFill="1" applyBorder="1" applyAlignment="1" applyProtection="1">
      <alignment horizontal="center"/>
    </xf>
    <xf numFmtId="0" fontId="0" fillId="3" borderId="343" xfId="0" applyFont="1" applyFill="1" applyBorder="1" applyAlignment="1" applyProtection="1">
      <alignment horizontal="left"/>
    </xf>
    <xf numFmtId="0" fontId="0" fillId="3" borderId="135" xfId="0" applyFont="1" applyFill="1" applyBorder="1" applyAlignment="1" applyProtection="1">
      <alignment horizontal="center"/>
    </xf>
    <xf numFmtId="0" fontId="143" fillId="3" borderId="0" xfId="0" applyFont="1" applyFill="1" applyBorder="1" applyProtection="1"/>
    <xf numFmtId="0" fontId="77" fillId="3" borderId="75" xfId="0" applyFont="1" applyFill="1" applyBorder="1" applyAlignment="1" applyProtection="1">
      <alignment horizontal="center"/>
    </xf>
    <xf numFmtId="0" fontId="69" fillId="3" borderId="0" xfId="0" applyFont="1" applyFill="1" applyAlignment="1" applyProtection="1">
      <alignment wrapText="1"/>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9" fillId="12" borderId="0" xfId="12" applyFont="1" applyFill="1" applyBorder="1" applyAlignment="1" applyProtection="1">
      <alignment horizontal="center"/>
    </xf>
    <xf numFmtId="0" fontId="77" fillId="12" borderId="75" xfId="12" applyFont="1" applyFill="1" applyBorder="1" applyAlignment="1" applyProtection="1">
      <alignment horizontal="right" vertical="center"/>
    </xf>
    <xf numFmtId="168" fontId="59" fillId="2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49" fontId="96" fillId="13" borderId="78" xfId="0" applyNumberFormat="1"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127" fillId="3" borderId="0" xfId="0" applyFont="1" applyFill="1" applyAlignment="1" applyProtection="1">
      <alignment horizontal="center"/>
    </xf>
    <xf numFmtId="0" fontId="9" fillId="3" borderId="379"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380" xfId="0" applyFill="1" applyBorder="1" applyProtection="1"/>
    <xf numFmtId="0" fontId="0" fillId="16" borderId="12" xfId="0" applyFill="1" applyBorder="1" applyProtection="1"/>
    <xf numFmtId="0" fontId="9" fillId="3" borderId="379"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155" xfId="0" applyFill="1" applyBorder="1" applyProtection="1"/>
    <xf numFmtId="0" fontId="0" fillId="16" borderId="87" xfId="0" applyFill="1" applyBorder="1" applyProtection="1"/>
    <xf numFmtId="0" fontId="69" fillId="7" borderId="16" xfId="0" applyFont="1"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69" fillId="3" borderId="13" xfId="0" applyFont="1" applyFill="1" applyBorder="1" applyProtection="1"/>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69" fillId="3" borderId="15" xfId="0" applyFont="1" applyFill="1" applyBorder="1" applyAlignment="1" applyProtection="1">
      <alignment horizontal="center"/>
    </xf>
    <xf numFmtId="165" fontId="69" fillId="3" borderId="15" xfId="0" applyNumberFormat="1" applyFont="1" applyFill="1" applyBorder="1" applyProtection="1"/>
    <xf numFmtId="0" fontId="69" fillId="3" borderId="15" xfId="0" applyFont="1" applyFill="1" applyBorder="1" applyAlignment="1" applyProtection="1"/>
    <xf numFmtId="0" fontId="77" fillId="3" borderId="15" xfId="0" applyFont="1" applyFill="1" applyBorder="1" applyAlignment="1" applyProtection="1">
      <alignment horizontal="center" vertical="center"/>
    </xf>
    <xf numFmtId="0" fontId="69" fillId="7" borderId="0" xfId="0" applyFont="1" applyFill="1" applyBorder="1" applyAlignment="1" applyProtection="1"/>
    <xf numFmtId="0" fontId="158" fillId="7" borderId="0" xfId="0" applyFont="1" applyFill="1" applyBorder="1" applyAlignment="1" applyProtection="1">
      <alignment horizontal="center" vertical="center"/>
    </xf>
    <xf numFmtId="0" fontId="114" fillId="7" borderId="0" xfId="0" applyFont="1" applyFill="1" applyBorder="1" applyAlignment="1" applyProtection="1">
      <alignment horizontal="center" vertical="center"/>
    </xf>
    <xf numFmtId="0" fontId="77" fillId="7" borderId="0" xfId="0" applyFont="1" applyFill="1" applyAlignment="1" applyProtection="1">
      <alignment horizontal="center" vertical="center"/>
    </xf>
    <xf numFmtId="0" fontId="77" fillId="3" borderId="15" xfId="0" applyFont="1" applyFill="1" applyBorder="1" applyProtection="1"/>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0" fontId="69" fillId="3" borderId="17" xfId="0" applyFont="1" applyFill="1" applyBorder="1" applyProtection="1"/>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58" fillId="3" borderId="15" xfId="0" applyFont="1" applyFill="1" applyBorder="1" applyAlignment="1" applyProtection="1">
      <alignment horizontal="center" vertical="center"/>
    </xf>
    <xf numFmtId="0" fontId="69" fillId="3" borderId="15" xfId="0" applyFont="1" applyFill="1" applyBorder="1" applyAlignment="1" applyProtection="1">
      <alignment horizontal="center" vertical="center"/>
    </xf>
    <xf numFmtId="0" fontId="77" fillId="3" borderId="0" xfId="0" applyFont="1" applyFill="1" applyBorder="1" applyAlignment="1" applyProtection="1"/>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1" fontId="77" fillId="3" borderId="0" xfId="0" applyNumberFormat="1" applyFont="1" applyFill="1" applyBorder="1" applyAlignment="1" applyProtection="1">
      <alignment horizontal="center"/>
    </xf>
    <xf numFmtId="0" fontId="150" fillId="3" borderId="0" xfId="0" applyFont="1" applyFill="1" applyBorder="1" applyAlignment="1" applyProtection="1">
      <alignment horizontal="left" vertical="center"/>
    </xf>
    <xf numFmtId="0" fontId="150" fillId="3" borderId="0" xfId="0" applyFont="1" applyFill="1" applyBorder="1" applyAlignment="1" applyProtection="1">
      <alignment horizontal="center" vertical="center"/>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3" fillId="3" borderId="0" xfId="0" applyFont="1" applyFill="1" applyProtection="1"/>
    <xf numFmtId="0" fontId="16" fillId="7" borderId="252"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0" fontId="52" fillId="8" borderId="102" xfId="0" applyFont="1" applyFill="1" applyBorder="1" applyAlignment="1" applyProtection="1">
      <alignment horizontal="center" wrapText="1"/>
    </xf>
    <xf numFmtId="0" fontId="52" fillId="8" borderId="87" xfId="0" applyFont="1" applyFill="1" applyBorder="1" applyAlignment="1" applyProtection="1">
      <alignment horizontal="center"/>
    </xf>
    <xf numFmtId="0" fontId="52" fillId="8" borderId="103" xfId="0" applyFont="1" applyFill="1" applyBorder="1" applyAlignment="1" applyProtection="1">
      <alignment horizontal="center" wrapText="1"/>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49" fontId="52" fillId="8" borderId="103" xfId="0" applyNumberFormat="1" applyFont="1" applyFill="1" applyBorder="1" applyAlignment="1" applyProtection="1">
      <alignment horizontal="center" vertical="center"/>
    </xf>
    <xf numFmtId="0" fontId="52" fillId="8" borderId="103" xfId="0" applyFont="1" applyFill="1" applyBorder="1" applyAlignment="1" applyProtection="1">
      <alignment horizont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69" fillId="41" borderId="99"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103" xfId="0" applyFont="1" applyFill="1" applyBorder="1" applyAlignment="1" applyProtection="1">
      <alignment horizontal="center"/>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13" fillId="7" borderId="15"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10" fillId="7" borderId="289" xfId="0" applyFont="1" applyFill="1" applyBorder="1" applyAlignment="1" applyProtection="1">
      <alignment horizontal="left"/>
    </xf>
    <xf numFmtId="0" fontId="10" fillId="7" borderId="290" xfId="0" applyFont="1" applyFill="1" applyBorder="1" applyAlignment="1" applyProtection="1">
      <alignment horizontal="left"/>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1" fillId="7" borderId="291" xfId="0" applyFont="1" applyFill="1" applyBorder="1" applyAlignment="1" applyProtection="1">
      <alignment horizontal="left"/>
    </xf>
    <xf numFmtId="0" fontId="10" fillId="7" borderId="291" xfId="0" applyFont="1" applyFill="1" applyBorder="1" applyAlignment="1" applyProtection="1">
      <alignment horizontal="left"/>
    </xf>
    <xf numFmtId="0" fontId="10" fillId="7" borderId="0" xfId="0" applyFont="1" applyFill="1" applyBorder="1" applyAlignment="1" applyProtection="1">
      <alignment horizontal="left"/>
    </xf>
    <xf numFmtId="0" fontId="12"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3" fillId="7" borderId="293" xfId="0" applyFont="1" applyFill="1" applyBorder="1" applyAlignment="1" applyProtection="1">
      <alignment horizontal="left" vertical="top" wrapText="1"/>
    </xf>
    <xf numFmtId="0" fontId="13" fillId="7" borderId="292"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0" fillId="3" borderId="107" xfId="0" applyFill="1" applyBorder="1" applyAlignment="1" applyProtection="1">
      <alignment horizontal="right" vertical="center" textRotation="90" wrapText="1"/>
    </xf>
    <xf numFmtId="0" fontId="69" fillId="41" borderId="100"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87" xfId="0" applyFont="1" applyFill="1" applyBorder="1" applyAlignment="1" applyProtection="1">
      <alignment horizontal="center"/>
    </xf>
    <xf numFmtId="0" fontId="13" fillId="7" borderId="294" xfId="0" applyFont="1" applyFill="1" applyBorder="1" applyAlignment="1" applyProtection="1">
      <alignment horizontal="left" vertical="top" wrapText="1"/>
    </xf>
    <xf numFmtId="0" fontId="13" fillId="7" borderId="295"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3" fillId="7" borderId="104"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15" fillId="8" borderId="10" xfId="0" applyFont="1" applyFill="1" applyBorder="1" applyAlignment="1" applyProtection="1">
      <alignment horizontal="center"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22" fillId="7" borderId="68"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6" xfId="0" applyFont="1" applyFill="1" applyBorder="1" applyAlignment="1" applyProtection="1">
      <alignment horizontal="center" vertical="center" wrapText="1"/>
      <protection locked="0"/>
    </xf>
    <xf numFmtId="0" fontId="9" fillId="7" borderId="18" xfId="0" applyFont="1" applyFill="1" applyBorder="1" applyAlignment="1" applyProtection="1">
      <alignment horizontal="center" vertical="center" wrapText="1"/>
    </xf>
    <xf numFmtId="0" fontId="14" fillId="40" borderId="263" xfId="0" applyFont="1" applyFill="1" applyBorder="1" applyAlignment="1" applyProtection="1">
      <alignment horizontal="center" vertical="center" wrapText="1"/>
      <protection locked="0"/>
    </xf>
    <xf numFmtId="0" fontId="14" fillId="40" borderId="265"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7"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3" fillId="7" borderId="22"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11"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23" xfId="0" applyFont="1" applyFill="1" applyBorder="1" applyAlignment="1" applyProtection="1">
      <alignment horizontal="left" vertical="center" wrapText="1"/>
      <protection locked="0"/>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13" fillId="7" borderId="7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9" fillId="7" borderId="102" xfId="0" applyFont="1" applyFill="1" applyBorder="1" applyAlignment="1" applyProtection="1">
      <alignment horizontal="right" vertical="center" wrapText="1"/>
    </xf>
    <xf numFmtId="0" fontId="9" fillId="7" borderId="218" xfId="0" applyFont="1" applyFill="1" applyBorder="1" applyAlignment="1" applyProtection="1">
      <alignment horizontal="right" vertical="center" wrapText="1"/>
    </xf>
    <xf numFmtId="0" fontId="25" fillId="7" borderId="272"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9" fillId="7" borderId="34"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9" fillId="7" borderId="0" xfId="0" applyFont="1" applyFill="1" applyBorder="1" applyAlignment="1" applyProtection="1">
      <alignment horizontal="right" vertical="center" wrapText="1"/>
    </xf>
    <xf numFmtId="0" fontId="13" fillId="0" borderId="104" xfId="0" applyFont="1" applyFill="1" applyBorder="1" applyAlignment="1" applyProtection="1">
      <alignment horizontal="left" vertical="center"/>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9" fillId="7" borderId="0"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36" fillId="0" borderId="89" xfId="0" applyFont="1" applyFill="1" applyBorder="1" applyAlignment="1" applyProtection="1">
      <alignment horizontal="center" vertical="center"/>
      <protection locked="0"/>
    </xf>
    <xf numFmtId="0" fontId="36" fillId="0" borderId="297"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8"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8"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13" fillId="7" borderId="265"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9" fillId="7" borderId="265" xfId="0" applyFont="1" applyFill="1" applyBorder="1" applyAlignment="1" applyProtection="1">
      <alignment horizontal="right"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7"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4" fillId="7" borderId="99" xfId="0" applyFont="1" applyFill="1" applyBorder="1" applyAlignment="1" applyProtection="1">
      <alignment horizontal="center" vertical="center" wrapText="1"/>
    </xf>
    <xf numFmtId="0" fontId="164" fillId="7" borderId="100" xfId="0" applyFont="1" applyFill="1" applyBorder="1" applyAlignment="1" applyProtection="1">
      <alignment horizontal="center" vertical="center" wrapText="1"/>
    </xf>
    <xf numFmtId="0" fontId="164" fillId="7" borderId="101" xfId="0" applyFont="1" applyFill="1" applyBorder="1" applyAlignment="1" applyProtection="1">
      <alignment horizontal="center" vertical="center" wrapText="1"/>
    </xf>
    <xf numFmtId="0" fontId="164" fillId="7" borderId="102" xfId="0" applyFont="1" applyFill="1" applyBorder="1" applyAlignment="1" applyProtection="1">
      <alignment horizontal="center" vertical="center" wrapText="1"/>
    </xf>
    <xf numFmtId="0" fontId="164" fillId="7" borderId="87" xfId="0" applyFont="1" applyFill="1" applyBorder="1" applyAlignment="1" applyProtection="1">
      <alignment horizontal="center" vertical="center" wrapText="1"/>
    </xf>
    <xf numFmtId="0" fontId="164" fillId="7" borderId="103"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11" fillId="0" borderId="265" xfId="0" applyFont="1" applyFill="1" applyBorder="1" applyAlignment="1" applyProtection="1">
      <alignment horizontal="center" vertical="center" wrapText="1"/>
      <protection locked="0"/>
    </xf>
    <xf numFmtId="0" fontId="11" fillId="0" borderId="268" xfId="0" applyFont="1" applyFill="1" applyBorder="1" applyAlignment="1" applyProtection="1">
      <alignment horizontal="center" vertical="center" wrapText="1"/>
      <protection locked="0"/>
    </xf>
    <xf numFmtId="0" fontId="11" fillId="0" borderId="343"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8"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9"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1" fillId="7" borderId="52" xfId="0" applyFont="1" applyFill="1" applyBorder="1" applyAlignment="1" applyProtection="1">
      <alignment horizontal="center" vertical="center" wrapText="1"/>
      <protection locked="0"/>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63" xfId="0" applyFont="1" applyFill="1" applyBorder="1" applyAlignment="1" applyProtection="1">
      <alignment horizontal="center" vertical="center" wrapText="1"/>
    </xf>
    <xf numFmtId="0" fontId="10" fillId="7" borderId="265"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43"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3" fillId="0" borderId="0" xfId="0" applyFont="1" applyFill="1" applyBorder="1" applyAlignment="1" applyProtection="1">
      <alignment horizontal="left" vertical="center" wrapText="1"/>
      <protection locked="0"/>
    </xf>
    <xf numFmtId="0" fontId="13" fillId="0" borderId="119" xfId="0" applyFont="1" applyFill="1" applyBorder="1" applyAlignment="1" applyProtection="1">
      <alignment horizontal="right" vertical="center" wrapText="1"/>
      <protection locked="0"/>
    </xf>
    <xf numFmtId="0" fontId="13" fillId="0" borderId="343" xfId="0" applyFont="1" applyFill="1" applyBorder="1" applyAlignment="1" applyProtection="1">
      <alignment horizontal="right" vertical="center" wrapText="1"/>
      <protection locked="0"/>
    </xf>
    <xf numFmtId="0" fontId="13" fillId="0" borderId="343"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12" fillId="7" borderId="260"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2" xfId="0" applyFont="1" applyFill="1" applyBorder="1" applyAlignment="1" applyProtection="1">
      <alignment horizontal="center"/>
      <protection locked="0"/>
    </xf>
    <xf numFmtId="0" fontId="13" fillId="7" borderId="239" xfId="0" applyFont="1" applyFill="1" applyBorder="1" applyAlignment="1" applyProtection="1">
      <alignment horizontal="center"/>
      <protection locked="0"/>
    </xf>
    <xf numFmtId="0" fontId="13" fillId="0" borderId="241" xfId="0" applyFont="1" applyFill="1" applyBorder="1" applyAlignment="1" applyProtection="1">
      <alignment horizontal="center" vertical="center" wrapText="1"/>
      <protection locked="0"/>
    </xf>
    <xf numFmtId="0" fontId="13" fillId="0" borderId="237" xfId="0" applyFont="1" applyFill="1" applyBorder="1" applyAlignment="1" applyProtection="1">
      <alignment horizontal="center" vertical="center" wrapText="1"/>
      <protection locked="0"/>
    </xf>
    <xf numFmtId="0" fontId="9" fillId="7" borderId="240" xfId="0" applyFont="1" applyFill="1" applyBorder="1" applyAlignment="1" applyProtection="1">
      <alignment horizontal="center" vertical="center" wrapText="1"/>
    </xf>
    <xf numFmtId="0" fontId="9" fillId="7" borderId="236"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45" xfId="0" applyFont="1" applyFill="1" applyBorder="1" applyAlignment="1" applyProtection="1">
      <alignment horizontal="left" vertical="center" wrapText="1" shrinkToFit="1"/>
    </xf>
    <xf numFmtId="0" fontId="13" fillId="7" borderId="344" xfId="0" applyFont="1" applyFill="1" applyBorder="1" applyAlignment="1" applyProtection="1">
      <alignment horizontal="left" vertical="center" wrapText="1" shrinkToFit="1"/>
    </xf>
    <xf numFmtId="0" fontId="13" fillId="7" borderId="348" xfId="0" applyFont="1" applyFill="1" applyBorder="1" applyAlignment="1" applyProtection="1">
      <alignment horizontal="left" vertical="center" wrapText="1" shrinkToFit="1"/>
    </xf>
    <xf numFmtId="0" fontId="13" fillId="7" borderId="347"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46" xfId="0" applyFont="1" applyFill="1" applyBorder="1" applyAlignment="1" applyProtection="1">
      <alignment horizontal="left" vertical="center" wrapText="1" shrinkToFit="1"/>
    </xf>
    <xf numFmtId="0" fontId="13" fillId="7" borderId="343" xfId="0" applyFont="1" applyFill="1" applyBorder="1" applyAlignment="1" applyProtection="1">
      <alignment horizontal="center" vertical="center" wrapTex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300"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301" xfId="0" applyFont="1" applyFill="1" applyBorder="1" applyAlignment="1" applyProtection="1">
      <alignment horizontal="left" vertical="center" wrapText="1"/>
    </xf>
    <xf numFmtId="0" fontId="13" fillId="7" borderId="302" xfId="0" applyFont="1" applyFill="1" applyBorder="1" applyAlignment="1" applyProtection="1">
      <alignment horizontal="left" vertical="center" wrapText="1"/>
    </xf>
    <xf numFmtId="0" fontId="13" fillId="7" borderId="303" xfId="0" applyFont="1" applyFill="1" applyBorder="1" applyAlignment="1" applyProtection="1">
      <alignment horizontal="left" vertical="center" wrapText="1"/>
    </xf>
    <xf numFmtId="0" fontId="13" fillId="7" borderId="304" xfId="0" applyFont="1" applyFill="1" applyBorder="1" applyAlignment="1" applyProtection="1">
      <alignment horizontal="left" vertical="center" wrapText="1"/>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4"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343" xfId="0" applyFont="1" applyFill="1" applyBorder="1" applyAlignment="1" applyProtection="1">
      <alignment horizontal="right" vertical="center" wrapText="1"/>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6" xfId="0" applyFont="1" applyFill="1" applyBorder="1" applyAlignment="1" applyProtection="1">
      <alignment horizontal="center" vertical="center"/>
      <protection locked="0"/>
    </xf>
    <xf numFmtId="0" fontId="36" fillId="0" borderId="296" xfId="0" applyFont="1" applyFill="1" applyBorder="1" applyAlignment="1" applyProtection="1">
      <alignment horizontal="center" vertical="center"/>
      <protection locked="0"/>
    </xf>
    <xf numFmtId="0" fontId="36" fillId="0" borderId="265" xfId="0" applyFont="1" applyFill="1" applyBorder="1" applyAlignment="1" applyProtection="1">
      <alignment horizontal="center" vertical="center"/>
      <protection locked="0"/>
    </xf>
    <xf numFmtId="0" fontId="36" fillId="0" borderId="268"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13" fillId="0" borderId="119" xfId="0" applyFont="1" applyFill="1" applyBorder="1" applyAlignment="1" applyProtection="1">
      <alignment horizontal="left" vertical="center"/>
      <protection locked="0"/>
    </xf>
    <xf numFmtId="0" fontId="13" fillId="0" borderId="343" xfId="0" applyFont="1" applyFill="1" applyBorder="1" applyAlignment="1" applyProtection="1">
      <alignment horizontal="left" vertical="center"/>
      <protection locked="0"/>
    </xf>
    <xf numFmtId="0" fontId="13" fillId="0" borderId="263" xfId="0" applyFont="1" applyFill="1" applyBorder="1" applyAlignment="1" applyProtection="1">
      <alignment horizontal="left" vertical="center"/>
      <protection locked="0"/>
    </xf>
    <xf numFmtId="0" fontId="13" fillId="0" borderId="265"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57" xfId="0" applyFont="1" applyFill="1" applyBorder="1" applyAlignment="1" applyProtection="1">
      <alignment horizontal="center" vertical="center" wrapText="1"/>
    </xf>
    <xf numFmtId="0" fontId="13" fillId="0" borderId="263" xfId="0" applyFont="1" applyFill="1" applyBorder="1" applyAlignment="1" applyProtection="1">
      <alignment horizontal="center" vertical="center"/>
      <protection locked="0"/>
    </xf>
    <xf numFmtId="0" fontId="13" fillId="0" borderId="265" xfId="0" applyFont="1" applyFill="1" applyBorder="1" applyAlignment="1" applyProtection="1">
      <alignment horizontal="center" vertical="center"/>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0" borderId="266" xfId="0" applyFont="1" applyFill="1" applyBorder="1" applyAlignment="1" applyProtection="1">
      <alignment horizontal="left" vertical="center" wrapText="1"/>
      <protection locked="0"/>
    </xf>
    <xf numFmtId="0" fontId="13" fillId="0" borderId="265" xfId="0" applyFont="1" applyFill="1" applyBorder="1" applyAlignment="1" applyProtection="1">
      <alignment horizontal="left" vertical="center" wrapText="1"/>
      <protection locked="0"/>
    </xf>
    <xf numFmtId="0" fontId="13" fillId="0" borderId="268"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3" fillId="7" borderId="15" xfId="0" applyFont="1" applyFill="1" applyBorder="1" applyAlignment="1" applyProtection="1">
      <alignment horizontal="center" vertical="center" wrapText="1"/>
      <protection locked="0"/>
    </xf>
    <xf numFmtId="0" fontId="12" fillId="7" borderId="27" xfId="0" applyFont="1" applyFill="1" applyBorder="1" applyAlignment="1" applyProtection="1">
      <alignment horizontal="center" vertical="center" wrapText="1"/>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21" fillId="7" borderId="21" xfId="0" applyFont="1" applyFill="1" applyBorder="1" applyAlignment="1" applyProtection="1">
      <alignment horizontal="center" vertical="center" wrapText="1"/>
      <protection locked="0"/>
    </xf>
    <xf numFmtId="0" fontId="21" fillId="7" borderId="342"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6" xfId="0" applyFont="1" applyFill="1" applyBorder="1" applyAlignment="1" applyProtection="1">
      <alignment vertical="center" wrapText="1"/>
      <protection locked="0"/>
    </xf>
    <xf numFmtId="0" fontId="26" fillId="7" borderId="265"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43"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3" fillId="0" borderId="343"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26" fillId="7" borderId="68"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9" fillId="7" borderId="243"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43" xfId="0" applyFont="1" applyFill="1" applyBorder="1" applyAlignment="1" applyProtection="1">
      <alignment horizontal="right" vertical="center" wrapText="1"/>
    </xf>
    <xf numFmtId="0" fontId="26" fillId="7" borderId="288"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0" borderId="338" xfId="0" applyFont="1" applyFill="1" applyBorder="1" applyAlignment="1" applyProtection="1">
      <alignment horizontal="left"/>
      <protection locked="0"/>
    </xf>
    <xf numFmtId="0" fontId="13" fillId="0" borderId="343"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9" fillId="7" borderId="14"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13" fillId="0" borderId="263" xfId="0" applyFont="1" applyFill="1" applyBorder="1" applyAlignment="1" applyProtection="1">
      <alignment horizontal="right" vertical="center"/>
      <protection locked="0"/>
    </xf>
    <xf numFmtId="0" fontId="13" fillId="0" borderId="265" xfId="0" applyFont="1" applyFill="1" applyBorder="1" applyAlignment="1" applyProtection="1">
      <alignment horizontal="right" vertical="center"/>
      <protection locked="0"/>
    </xf>
    <xf numFmtId="0" fontId="13" fillId="0" borderId="80" xfId="0" applyFont="1" applyFill="1" applyBorder="1" applyAlignment="1" applyProtection="1">
      <alignment horizontal="right" vertical="center"/>
      <protection locked="0"/>
    </xf>
    <xf numFmtId="0" fontId="13" fillId="0" borderId="343" xfId="0" applyFont="1" applyFill="1" applyBorder="1" applyAlignment="1" applyProtection="1">
      <alignment horizontal="right" vertical="center"/>
      <protection locked="0"/>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13" fillId="0" borderId="266"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43"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5" fillId="8" borderId="353" xfId="0" applyFont="1" applyFill="1" applyBorder="1" applyAlignment="1" applyProtection="1">
      <alignment horizontal="center" vertical="center" wrapText="1"/>
    </xf>
    <xf numFmtId="0" fontId="15" fillId="8" borderId="354" xfId="0" applyFont="1" applyFill="1" applyBorder="1" applyAlignment="1" applyProtection="1">
      <alignment horizontal="center" vertical="center" wrapText="1"/>
    </xf>
    <xf numFmtId="0" fontId="15" fillId="8" borderId="355"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96"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30" fillId="8" borderId="1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30" fillId="8" borderId="7"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9" fillId="7" borderId="12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3" borderId="78" xfId="0" applyFont="1" applyFill="1" applyBorder="1" applyAlignment="1">
      <alignment horizontal="center"/>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22"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13" fillId="7" borderId="89"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6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9" fillId="7" borderId="122"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3" borderId="89"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9" fillId="7" borderId="42" xfId="0" applyFont="1" applyFill="1" applyBorder="1" applyAlignment="1" applyProtection="1">
      <alignment horizontal="center" vertical="center" wrapText="1"/>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10" fillId="7" borderId="196"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9" fillId="3" borderId="73" xfId="0" applyFont="1" applyFill="1" applyBorder="1" applyAlignment="1" applyProtection="1">
      <alignment horizontal="center" vertical="center" wrapText="1"/>
    </xf>
    <xf numFmtId="0" fontId="9" fillId="7" borderId="78" xfId="0" applyFont="1" applyFill="1" applyBorder="1" applyAlignment="1">
      <alignment horizontal="center"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37" fillId="7" borderId="39" xfId="0" applyFont="1" applyFill="1" applyBorder="1" applyAlignment="1" applyProtection="1">
      <alignment horizontal="left" vertical="center"/>
    </xf>
    <xf numFmtId="0" fontId="37" fillId="7" borderId="182" xfId="0" applyFont="1" applyFill="1" applyBorder="1" applyAlignment="1" applyProtection="1">
      <alignment horizontal="lef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29" fillId="7" borderId="208" xfId="0" applyFont="1" applyFill="1" applyBorder="1" applyAlignment="1" applyProtection="1">
      <alignment horizontal="center" vertical="center" wrapText="1"/>
    </xf>
    <xf numFmtId="0" fontId="29" fillId="7" borderId="111"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74" xfId="0" applyFont="1" applyFill="1" applyBorder="1" applyAlignment="1" applyProtection="1">
      <alignment horizontal="center" vertical="center" textRotation="90" wrapText="1"/>
    </xf>
    <xf numFmtId="0" fontId="30" fillId="8" borderId="302" xfId="0" applyFont="1" applyFill="1" applyBorder="1" applyAlignment="1" applyProtection="1">
      <alignment horizontal="center" vertical="center" textRotation="90"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xf>
    <xf numFmtId="0" fontId="13" fillId="7" borderId="192" xfId="0" applyFont="1" applyFill="1" applyBorder="1" applyAlignment="1" applyProtection="1">
      <alignment horizontal="center" vertical="center"/>
    </xf>
    <xf numFmtId="0" fontId="13" fillId="7" borderId="375" xfId="0" applyFont="1" applyFill="1" applyBorder="1" applyAlignment="1" applyProtection="1">
      <alignment horizontal="center" vertical="center"/>
    </xf>
    <xf numFmtId="0" fontId="11" fillId="3" borderId="6" xfId="0" applyFont="1" applyFill="1" applyBorder="1" applyAlignment="1" applyProtection="1">
      <alignment horizontal="center" vertical="center"/>
      <protection locked="0"/>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16" fillId="7" borderId="15" xfId="0" applyFont="1" applyFill="1" applyBorder="1" applyAlignment="1" applyProtection="1">
      <alignment horizontal="center"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21" fillId="7" borderId="327" xfId="0" applyFont="1" applyFill="1" applyBorder="1" applyAlignment="1" applyProtection="1">
      <alignment horizontal="center" vertical="center"/>
    </xf>
    <xf numFmtId="0" fontId="21" fillId="7" borderId="311" xfId="0" applyFont="1" applyFill="1" applyBorder="1" applyAlignment="1" applyProtection="1">
      <alignment horizontal="center" vertical="center"/>
    </xf>
    <xf numFmtId="0" fontId="13" fillId="7" borderId="310"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9" fillId="7" borderId="188"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13" fillId="3" borderId="53"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9" fillId="7" borderId="79" xfId="0" applyFont="1" applyFill="1" applyBorder="1" applyAlignment="1" applyProtection="1">
      <alignment horizontal="right"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9" fillId="7" borderId="209" xfId="0" applyFont="1" applyFill="1" applyBorder="1" applyAlignment="1" applyProtection="1">
      <alignment horizontal="right" wrapText="1"/>
    </xf>
    <xf numFmtId="0" fontId="9" fillId="7" borderId="204"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9" fillId="3" borderId="207" xfId="0" applyFont="1" applyFill="1" applyBorder="1" applyAlignment="1" applyProtection="1">
      <alignment horizontal="right" wrapText="1"/>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16" fillId="7" borderId="186"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9" fillId="7" borderId="77" xfId="0" applyFont="1" applyFill="1" applyBorder="1" applyAlignment="1" applyProtection="1">
      <alignment horizontal="right" wrapText="1"/>
    </xf>
    <xf numFmtId="0" fontId="16" fillId="7" borderId="217" xfId="0" applyFont="1" applyFill="1" applyBorder="1" applyAlignment="1" applyProtection="1">
      <alignment horizontal="center" vertical="center" wrapText="1"/>
    </xf>
    <xf numFmtId="0" fontId="9" fillId="7" borderId="73" xfId="0" applyFont="1" applyFill="1" applyBorder="1" applyAlignment="1">
      <alignment horizontal="center"/>
    </xf>
    <xf numFmtId="0" fontId="9" fillId="7" borderId="204"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72" fillId="3" borderId="266" xfId="0" applyFont="1" applyFill="1" applyBorder="1" applyAlignment="1" applyProtection="1">
      <alignment horizontal="center" vertical="center" wrapText="1"/>
      <protection locked="0"/>
    </xf>
    <xf numFmtId="0" fontId="72" fillId="3" borderId="79" xfId="0" applyFont="1" applyFill="1" applyBorder="1" applyAlignment="1" applyProtection="1">
      <alignment horizontal="center" vertical="center" wrapText="1"/>
      <protection locked="0"/>
    </xf>
    <xf numFmtId="0" fontId="11" fillId="3" borderId="266" xfId="0" applyFont="1" applyFill="1" applyBorder="1" applyAlignment="1" applyProtection="1">
      <alignment horizontal="right" vertical="center" wrapText="1"/>
      <protection locked="0"/>
    </xf>
    <xf numFmtId="0" fontId="11" fillId="3" borderId="265" xfId="0" applyFont="1" applyFill="1" applyBorder="1" applyAlignment="1" applyProtection="1">
      <alignment horizontal="right" vertical="center" wrapText="1"/>
      <protection locked="0"/>
    </xf>
    <xf numFmtId="0" fontId="11" fillId="3" borderId="79"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4" fillId="7" borderId="263" xfId="0" applyFont="1" applyFill="1" applyBorder="1" applyAlignment="1" applyProtection="1">
      <alignment horizontal="center" vertical="center" wrapText="1"/>
    </xf>
    <xf numFmtId="0" fontId="14" fillId="7" borderId="265" xfId="0" applyFont="1" applyFill="1" applyBorder="1" applyAlignment="1" applyProtection="1">
      <alignment horizontal="center" vertical="center" wrapText="1"/>
    </xf>
    <xf numFmtId="0" fontId="14" fillId="7" borderId="268"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43"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9" fillId="7" borderId="356"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13" fillId="3"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60" fillId="7" borderId="154" xfId="0" applyFont="1" applyFill="1" applyBorder="1" applyAlignment="1" applyProtection="1">
      <alignment horizontal="center" vertical="center" wrapText="1"/>
    </xf>
    <xf numFmtId="0" fontId="160" fillId="7" borderId="100" xfId="0" applyFont="1" applyFill="1" applyBorder="1" applyAlignment="1" applyProtection="1">
      <alignment horizontal="center" vertical="center" wrapText="1"/>
    </xf>
    <xf numFmtId="0" fontId="160" fillId="7" borderId="101" xfId="0" applyFont="1" applyFill="1" applyBorder="1" applyAlignment="1" applyProtection="1">
      <alignment horizontal="center" vertical="center" wrapText="1"/>
    </xf>
    <xf numFmtId="0" fontId="160" fillId="7" borderId="155" xfId="0" applyFont="1" applyFill="1" applyBorder="1" applyAlignment="1" applyProtection="1">
      <alignment horizontal="center" vertical="center" wrapText="1"/>
    </xf>
    <xf numFmtId="0" fontId="160" fillId="7" borderId="87" xfId="0" applyFont="1" applyFill="1" applyBorder="1" applyAlignment="1" applyProtection="1">
      <alignment horizontal="center" vertical="center" wrapText="1"/>
    </xf>
    <xf numFmtId="0" fontId="160"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9" fillId="3" borderId="104" xfId="0" applyFont="1" applyFill="1" applyBorder="1" applyAlignment="1" applyProtection="1">
      <alignment horizontal="center" vertical="center" wrapText="1"/>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7" borderId="78" xfId="0" applyFont="1" applyFill="1" applyBorder="1" applyAlignment="1" applyProtection="1">
      <alignment horizontal="center" vertical="center" wrapText="1"/>
    </xf>
    <xf numFmtId="0" fontId="37" fillId="3" borderId="56" xfId="0" applyFont="1" applyFill="1" applyBorder="1" applyAlignment="1" applyProtection="1">
      <alignment horizontal="left" vertical="center"/>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13" fillId="7" borderId="14" xfId="0" applyFont="1" applyFill="1" applyBorder="1" applyAlignment="1" applyProtection="1">
      <alignment horizontal="right" vertical="center" wrapText="1"/>
    </xf>
    <xf numFmtId="0" fontId="13" fillId="7" borderId="23" xfId="0" applyFont="1" applyFill="1" applyBorder="1" applyAlignment="1" applyProtection="1">
      <alignment horizontal="left" vertical="center" wrapText="1"/>
    </xf>
    <xf numFmtId="0" fontId="13" fillId="7" borderId="22" xfId="0" applyFont="1" applyFill="1" applyBorder="1" applyAlignment="1" applyProtection="1">
      <alignment horizontal="right" vertical="center" wrapText="1"/>
    </xf>
    <xf numFmtId="0" fontId="13" fillId="7" borderId="24" xfId="0" applyFont="1" applyFill="1" applyBorder="1" applyAlignment="1" applyProtection="1">
      <alignment horizontal="left" vertical="center" wrapText="1"/>
    </xf>
    <xf numFmtId="0" fontId="13" fillId="7" borderId="56" xfId="0" applyFont="1" applyFill="1" applyBorder="1" applyAlignment="1" applyProtection="1">
      <alignment horizontal="left" vertical="center" wrapText="1"/>
    </xf>
    <xf numFmtId="0" fontId="13" fillId="7" borderId="34" xfId="0" applyFont="1" applyFill="1" applyBorder="1" applyAlignment="1" applyProtection="1">
      <alignment horizontal="right"/>
    </xf>
    <xf numFmtId="0" fontId="13" fillId="7" borderId="6"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9" fillId="7" borderId="88" xfId="0" applyFont="1" applyFill="1" applyBorder="1" applyAlignment="1" applyProtection="1">
      <alignment horizontal="center" vertical="center" wrapText="1"/>
    </xf>
    <xf numFmtId="0" fontId="12" fillId="7" borderId="376" xfId="0" applyFont="1" applyFill="1" applyBorder="1" applyAlignment="1" applyProtection="1">
      <alignment horizontal="center" vertical="center" wrapText="1"/>
    </xf>
    <xf numFmtId="0" fontId="12" fillId="7" borderId="377"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72" xfId="0" applyFont="1" applyFill="1" applyBorder="1" applyAlignment="1" applyProtection="1">
      <alignment horizontal="right" vertical="center" wrapText="1"/>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23" xfId="0" applyFont="1" applyFill="1" applyBorder="1" applyAlignment="1" applyProtection="1">
      <alignment horizontal="left"/>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9" fillId="7" borderId="186" xfId="0" applyFont="1" applyFill="1" applyBorder="1" applyAlignment="1" applyProtection="1">
      <alignment horizontal="center" vertical="center"/>
    </xf>
    <xf numFmtId="0" fontId="13" fillId="7" borderId="328"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66"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67" xfId="0" applyFont="1" applyBorder="1" applyAlignment="1" applyProtection="1">
      <alignment horizontal="center" vertical="center" wrapText="1"/>
    </xf>
    <xf numFmtId="0" fontId="9" fillId="0" borderId="368"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64"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63"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41" xfId="0" applyFont="1" applyFill="1" applyBorder="1" applyAlignment="1" applyProtection="1">
      <alignment horizontal="center" vertical="center" wrapText="1"/>
    </xf>
    <xf numFmtId="0" fontId="25" fillId="7" borderId="3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40" xfId="0" applyFont="1" applyFill="1" applyBorder="1" applyAlignment="1" applyProtection="1">
      <alignment horizontal="right" vertical="center" wrapText="1"/>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25" fillId="7" borderId="35" xfId="0" applyFont="1" applyFill="1" applyBorder="1" applyAlignment="1" applyProtection="1">
      <alignment horizontal="center" vertical="center" wrapText="1"/>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13" fillId="7" borderId="272"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15" fillId="8" borderId="269" xfId="0" applyFont="1" applyFill="1" applyBorder="1" applyAlignment="1" applyProtection="1">
      <alignment horizontal="center" vertical="center" wrapText="1"/>
    </xf>
    <xf numFmtId="0" fontId="15" fillId="8" borderId="330"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5" fillId="8" borderId="270" xfId="0" applyFont="1" applyFill="1" applyBorder="1" applyAlignment="1" applyProtection="1">
      <alignment horizontal="center" vertical="center" wrapText="1"/>
    </xf>
    <xf numFmtId="0" fontId="15" fillId="8" borderId="271" xfId="0" applyFont="1" applyFill="1" applyBorder="1" applyAlignment="1" applyProtection="1">
      <alignment horizontal="center" vertical="center" wrapText="1"/>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12" fillId="7" borderId="109" xfId="0" applyFont="1" applyFill="1" applyBorder="1" applyAlignment="1" applyProtection="1">
      <alignment horizontal="center" vertical="center" wrapText="1"/>
    </xf>
    <xf numFmtId="0" fontId="12" fillId="7" borderId="111" xfId="0" applyFont="1" applyFill="1" applyBorder="1" applyAlignment="1" applyProtection="1">
      <alignment horizontal="center" vertical="center" wrapText="1"/>
    </xf>
    <xf numFmtId="0" fontId="12" fillId="7" borderId="162" xfId="0" applyFont="1" applyFill="1" applyBorder="1" applyAlignment="1" applyProtection="1">
      <alignment horizontal="center" vertical="center" wrapText="1"/>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25" fillId="7" borderId="56"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5" fillId="7" borderId="310" xfId="0" applyFont="1" applyFill="1" applyBorder="1" applyAlignment="1" applyProtection="1">
      <alignment horizontal="center" vertical="center" wrapText="1"/>
    </xf>
    <xf numFmtId="0" fontId="12" fillId="41" borderId="114" xfId="0" applyFont="1" applyFill="1" applyBorder="1" applyAlignment="1" applyProtection="1">
      <alignment horizontal="center"/>
    </xf>
    <xf numFmtId="0" fontId="12" fillId="41" borderId="110" xfId="0" applyFont="1" applyFill="1" applyBorder="1" applyAlignment="1" applyProtection="1">
      <alignment horizontal="center"/>
    </xf>
    <xf numFmtId="0" fontId="0" fillId="41" borderId="110" xfId="0" applyFill="1" applyBorder="1" applyAlignment="1" applyProtection="1">
      <alignment horizontal="center"/>
      <protection locked="0"/>
    </xf>
    <xf numFmtId="0" fontId="0" fillId="41" borderId="109" xfId="0" applyFill="1" applyBorder="1" applyAlignment="1" applyProtection="1">
      <alignment horizontal="center"/>
      <protection locked="0"/>
    </xf>
    <xf numFmtId="0" fontId="12" fillId="41" borderId="266" xfId="0" applyFont="1" applyFill="1" applyBorder="1" applyAlignment="1" applyProtection="1">
      <alignment horizontal="center"/>
    </xf>
    <xf numFmtId="0" fontId="12" fillId="41" borderId="268" xfId="0" applyFont="1" applyFill="1" applyBorder="1" applyAlignment="1" applyProtection="1">
      <alignment horizontal="center"/>
    </xf>
    <xf numFmtId="0" fontId="9" fillId="7" borderId="61" xfId="0" applyFont="1" applyFill="1" applyBorder="1" applyAlignment="1" applyProtection="1">
      <alignment horizontal="center" vertical="center" wrapText="1"/>
    </xf>
    <xf numFmtId="0" fontId="9" fillId="7" borderId="363" xfId="0" applyFont="1" applyFill="1" applyBorder="1" applyAlignment="1" applyProtection="1">
      <alignment horizontal="center" vertical="center" wrapText="1"/>
    </xf>
    <xf numFmtId="0" fontId="9" fillId="7" borderId="366" xfId="0" applyFont="1" applyFill="1" applyBorder="1" applyAlignment="1" applyProtection="1">
      <alignment horizontal="center" vertical="center" wrapText="1"/>
    </xf>
    <xf numFmtId="0" fontId="9" fillId="7" borderId="367"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64"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72" xfId="0" applyFont="1" applyFill="1" applyBorder="1" applyAlignment="1" applyProtection="1">
      <alignment horizontal="center" vertical="center" wrapText="1"/>
    </xf>
    <xf numFmtId="0" fontId="0" fillId="41" borderId="116" xfId="0" applyFill="1" applyBorder="1" applyAlignment="1" applyProtection="1">
      <alignment horizontal="center" vertical="center"/>
      <protection locked="0"/>
    </xf>
    <xf numFmtId="0" fontId="0" fillId="41" borderId="129" xfId="0" applyFill="1" applyBorder="1" applyAlignment="1" applyProtection="1">
      <alignment horizontal="center" vertical="center"/>
      <protection locked="0"/>
    </xf>
    <xf numFmtId="0" fontId="0" fillId="41" borderId="129" xfId="0" applyFill="1" applyBorder="1" applyAlignment="1" applyProtection="1">
      <alignment horizontal="center"/>
      <protection locked="0"/>
    </xf>
    <xf numFmtId="0" fontId="0" fillId="41" borderId="139" xfId="0" applyFill="1" applyBorder="1" applyAlignment="1" applyProtection="1">
      <alignment horizontal="center"/>
      <protection locked="0"/>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97"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15" fillId="8" borderId="176" xfId="0" applyFont="1" applyFill="1" applyBorder="1" applyAlignment="1" applyProtection="1">
      <alignment horizontal="center" vertical="center" wrapText="1"/>
    </xf>
    <xf numFmtId="0" fontId="13" fillId="7" borderId="356"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26" fillId="7" borderId="0" xfId="0" applyFont="1" applyFill="1" applyBorder="1" applyAlignment="1" applyProtection="1">
      <alignment horizontal="right" vertical="center"/>
    </xf>
    <xf numFmtId="0" fontId="12" fillId="7" borderId="110" xfId="0" applyFont="1" applyFill="1" applyBorder="1" applyAlignment="1" applyProtection="1">
      <alignment horizontal="right" vertical="center" wrapText="1"/>
    </xf>
    <xf numFmtId="0" fontId="13" fillId="7" borderId="35" xfId="0" applyFont="1" applyFill="1" applyBorder="1" applyAlignment="1" applyProtection="1">
      <alignment horizontal="center" vertical="center"/>
      <protection locked="0"/>
    </xf>
    <xf numFmtId="0" fontId="12" fillId="7" borderId="129" xfId="0" applyFont="1" applyFill="1" applyBorder="1" applyAlignment="1" applyProtection="1">
      <alignment horizontal="right" vertical="center" wrapText="1"/>
    </xf>
    <xf numFmtId="0" fontId="13" fillId="7" borderId="360"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174" xfId="0" applyFont="1" applyFill="1" applyBorder="1" applyAlignment="1" applyProtection="1">
      <alignment horizontal="center" vertical="center"/>
      <protection locked="0"/>
    </xf>
    <xf numFmtId="0" fontId="13" fillId="7" borderId="120" xfId="0" applyFont="1" applyFill="1" applyBorder="1" applyAlignment="1" applyProtection="1">
      <alignment horizontal="center" vertical="center"/>
      <protection locked="0"/>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5" fillId="8" borderId="359" xfId="0" applyFont="1" applyFill="1" applyBorder="1" applyAlignment="1" applyProtection="1">
      <alignment horizontal="center" vertical="center" wrapText="1"/>
    </xf>
    <xf numFmtId="0" fontId="13" fillId="7" borderId="84" xfId="0" applyFont="1" applyFill="1" applyBorder="1" applyAlignment="1" applyProtection="1">
      <alignment vertical="center" wrapText="1"/>
      <protection locked="0"/>
    </xf>
    <xf numFmtId="0" fontId="13" fillId="7" borderId="12" xfId="0" applyFont="1" applyFill="1" applyBorder="1" applyAlignment="1" applyProtection="1">
      <alignment vertical="center" wrapText="1"/>
      <protection locked="0"/>
    </xf>
    <xf numFmtId="0" fontId="13" fillId="7" borderId="26" xfId="0" applyFont="1" applyFill="1" applyBorder="1" applyAlignment="1" applyProtection="1">
      <alignment vertical="center" wrapText="1"/>
      <protection locked="0"/>
    </xf>
    <xf numFmtId="0" fontId="12" fillId="7" borderId="44" xfId="0" applyFont="1" applyFill="1" applyBorder="1" applyAlignment="1" applyProtection="1">
      <alignment horizontal="center" vertical="center" wrapText="1"/>
    </xf>
    <xf numFmtId="0" fontId="15" fillId="8" borderId="300"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41"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25" fillId="7" borderId="337"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65"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30" xfId="0" applyFont="1" applyFill="1" applyBorder="1" applyAlignment="1" applyProtection="1">
      <alignment horizontal="center" vertical="center"/>
      <protection locked="0"/>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3" fillId="7" borderId="65" xfId="0" applyFont="1" applyFill="1" applyBorder="1" applyAlignment="1" applyProtection="1">
      <alignment horizontal="right"/>
    </xf>
    <xf numFmtId="0" fontId="13" fillId="7" borderId="14" xfId="0" applyFont="1" applyFill="1" applyBorder="1" applyAlignment="1" applyProtection="1">
      <alignment horizontal="right"/>
    </xf>
    <xf numFmtId="0" fontId="25" fillId="7" borderId="55" xfId="0" applyFont="1" applyFill="1" applyBorder="1" applyAlignment="1" applyProtection="1">
      <alignment horizontal="center" vertical="center" wrapText="1"/>
    </xf>
    <xf numFmtId="0" fontId="13" fillId="7" borderId="287"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12" fillId="7" borderId="112" xfId="0" applyFont="1" applyFill="1" applyBorder="1" applyAlignment="1" applyProtection="1">
      <alignment horizontal="center" vertical="center" wrapText="1"/>
    </xf>
    <xf numFmtId="0" fontId="13" fillId="7" borderId="122" xfId="0" applyFont="1" applyFill="1" applyBorder="1" applyAlignment="1" applyProtection="1">
      <alignment horizontal="center" vertical="center" wrapText="1"/>
    </xf>
    <xf numFmtId="0" fontId="13" fillId="7" borderId="371" xfId="0" applyFont="1" applyFill="1" applyBorder="1" applyAlignment="1" applyProtection="1">
      <alignment horizontal="center"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25" fillId="7" borderId="341" xfId="0" applyFont="1" applyFill="1" applyBorder="1" applyAlignment="1" applyProtection="1">
      <alignment horizontal="center" vertical="center" wrapText="1"/>
    </xf>
    <xf numFmtId="0" fontId="13" fillId="7" borderId="49" xfId="0" applyFont="1" applyFill="1" applyBorder="1" applyAlignment="1" applyProtection="1">
      <alignment horizontal="lef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125" xfId="0" applyFont="1" applyFill="1" applyBorder="1" applyAlignment="1" applyProtection="1">
      <alignment horizontal="center" vertical="center" wrapText="1"/>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17" xfId="0" applyFont="1" applyFill="1" applyBorder="1" applyAlignment="1" applyProtection="1">
      <alignment horizontal="left" vertical="center" wrapText="1"/>
    </xf>
    <xf numFmtId="0" fontId="55" fillId="41" borderId="150" xfId="0" applyNumberFormat="1" applyFont="1" applyFill="1" applyBorder="1" applyAlignment="1" applyProtection="1">
      <alignment horizontal="center" wrapText="1"/>
    </xf>
    <xf numFmtId="0" fontId="55" fillId="41" borderId="267"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13" fillId="41" borderId="75" xfId="0" applyNumberFormat="1" applyFont="1" applyFill="1" applyBorder="1" applyAlignment="1" applyProtection="1">
      <alignment horizontal="center" vertical="center"/>
    </xf>
    <xf numFmtId="0" fontId="9" fillId="9" borderId="104" xfId="0" applyFont="1" applyFill="1" applyBorder="1" applyAlignment="1" applyProtection="1">
      <alignment vertical="center" wrapText="1"/>
    </xf>
    <xf numFmtId="0" fontId="9" fillId="9" borderId="14" xfId="0" applyFont="1" applyFill="1" applyBorder="1" applyAlignment="1" applyProtection="1">
      <alignment vertical="center" wrapText="1"/>
    </xf>
    <xf numFmtId="0" fontId="13" fillId="9" borderId="241" xfId="0" applyFont="1" applyFill="1" applyBorder="1" applyAlignment="1" applyProtection="1">
      <alignment horizontal="center" vertical="center" wrapText="1"/>
      <protection locked="0"/>
    </xf>
    <xf numFmtId="0" fontId="13" fillId="9" borderId="237" xfId="0" applyFont="1" applyFill="1" applyBorder="1" applyAlignment="1" applyProtection="1">
      <alignment horizontal="center" vertical="center" wrapText="1"/>
      <protection locked="0"/>
    </xf>
    <xf numFmtId="0" fontId="9" fillId="7" borderId="119" xfId="0" applyFont="1" applyFill="1" applyBorder="1" applyAlignment="1" applyProtection="1">
      <alignment vertical="center" wrapText="1"/>
    </xf>
    <xf numFmtId="0" fontId="9" fillId="7" borderId="238" xfId="0" applyFont="1" applyFill="1" applyBorder="1" applyAlignment="1" applyProtection="1">
      <alignment vertical="center" wrapText="1"/>
    </xf>
    <xf numFmtId="0" fontId="13" fillId="7" borderId="242" xfId="0" applyFont="1" applyFill="1" applyBorder="1" applyAlignment="1" applyProtection="1">
      <alignment horizontal="center" vertical="center" wrapText="1"/>
      <protection locked="0"/>
    </xf>
    <xf numFmtId="0" fontId="13" fillId="7" borderId="239" xfId="0" applyFont="1" applyFill="1" applyBorder="1" applyAlignment="1" applyProtection="1">
      <alignment horizontal="center" vertical="center" wrapText="1"/>
      <protection locked="0"/>
    </xf>
    <xf numFmtId="0" fontId="13" fillId="3" borderId="104"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13" fillId="7" borderId="104" xfId="0" applyFont="1" applyFill="1" applyBorder="1" applyAlignment="1" applyProtection="1">
      <alignment horizontal="center" vertical="center" wrapText="1"/>
      <protection locked="0"/>
    </xf>
    <xf numFmtId="0" fontId="38" fillId="8" borderId="100" xfId="0" applyFont="1" applyFill="1" applyBorder="1" applyAlignment="1" applyProtection="1">
      <alignment horizontal="center" vertical="center" wrapText="1"/>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9" fillId="7" borderId="104" xfId="0" applyFont="1" applyFill="1" applyBorder="1" applyAlignment="1" applyProtection="1">
      <alignment vertical="center" wrapText="1"/>
    </xf>
    <xf numFmtId="0" fontId="9" fillId="7" borderId="14" xfId="0" applyFont="1" applyFill="1" applyBorder="1" applyAlignment="1" applyProtection="1">
      <alignment vertical="center" wrapText="1"/>
    </xf>
    <xf numFmtId="0" fontId="13" fillId="7" borderId="241" xfId="0" applyFont="1" applyFill="1" applyBorder="1" applyAlignment="1" applyProtection="1">
      <alignment horizontal="center" vertical="center" wrapText="1"/>
      <protection locked="0"/>
    </xf>
    <xf numFmtId="0" fontId="13" fillId="7" borderId="237" xfId="0" applyFont="1" applyFill="1" applyBorder="1" applyAlignment="1" applyProtection="1">
      <alignment horizontal="center" vertical="center" wrapText="1"/>
      <protection locked="0"/>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13" fillId="7" borderId="0" xfId="0" applyFont="1" applyFill="1" applyBorder="1" applyAlignment="1" applyProtection="1">
      <alignment horizontal="left" vertical="center" wrapText="1"/>
      <protection locked="0"/>
    </xf>
    <xf numFmtId="0" fontId="13" fillId="3" borderId="0" xfId="0" applyFont="1" applyFill="1" applyBorder="1" applyAlignment="1" applyProtection="1">
      <alignment horizontal="left" vertical="center" wrapText="1"/>
      <protection locked="0"/>
    </xf>
    <xf numFmtId="0" fontId="9" fillId="7" borderId="65" xfId="0" applyFont="1" applyFill="1" applyBorder="1" applyAlignment="1" applyProtection="1"/>
    <xf numFmtId="0" fontId="9" fillId="7" borderId="39" xfId="0" applyFont="1" applyFill="1" applyBorder="1" applyAlignment="1" applyProtection="1">
      <alignment horizontal="left"/>
    </xf>
    <xf numFmtId="0" fontId="69" fillId="3" borderId="0" xfId="0" applyFont="1" applyFill="1" applyAlignment="1" applyProtection="1">
      <alignment horizontal="left"/>
    </xf>
    <xf numFmtId="0" fontId="113" fillId="8" borderId="0"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9" fillId="7" borderId="14" xfId="0" applyFont="1" applyFill="1" applyBorder="1" applyAlignment="1" applyProtection="1"/>
    <xf numFmtId="0" fontId="13" fillId="7" borderId="17" xfId="0" applyFont="1" applyFill="1" applyBorder="1" applyAlignment="1" applyProtection="1">
      <alignment horizontal="center" vertical="center" wrapText="1"/>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0" xfId="0" applyFont="1" applyFill="1" applyBorder="1" applyAlignment="1" applyProtection="1">
      <alignment horizont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44" fillId="7" borderId="77"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80"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9" fillId="7" borderId="120"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105"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105" xfId="0" applyFont="1" applyFill="1" applyBorder="1" applyAlignment="1" applyProtection="1">
      <alignment vertical="center" wrapText="1"/>
    </xf>
    <xf numFmtId="0" fontId="9" fillId="7" borderId="235" xfId="0" applyFont="1" applyFill="1" applyBorder="1" applyAlignment="1" applyProtection="1">
      <alignment vertical="center" wrapText="1"/>
    </xf>
    <xf numFmtId="0" fontId="13" fillId="7" borderId="240" xfId="0" applyFont="1" applyFill="1" applyBorder="1" applyAlignment="1" applyProtection="1">
      <alignment horizontal="center" vertical="center" wrapText="1"/>
      <protection locked="0"/>
    </xf>
    <xf numFmtId="0" fontId="13" fillId="7" borderId="236" xfId="0" applyFont="1" applyFill="1" applyBorder="1" applyAlignment="1" applyProtection="1">
      <alignment horizontal="center" vertical="center" wrapText="1"/>
      <protection locked="0"/>
    </xf>
    <xf numFmtId="0" fontId="9" fillId="7" borderId="150" xfId="0" applyFont="1" applyFill="1" applyBorder="1" applyAlignment="1" applyProtection="1">
      <alignment horizontal="center" vertical="center" wrapText="1"/>
    </xf>
    <xf numFmtId="0" fontId="9" fillId="7" borderId="233"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7" borderId="150" xfId="0" applyFont="1" applyFill="1" applyBorder="1" applyAlignment="1" applyProtection="1">
      <alignment horizontal="center" vertical="center"/>
    </xf>
    <xf numFmtId="0" fontId="9" fillId="7" borderId="267" xfId="0" applyFont="1" applyFill="1" applyBorder="1" applyAlignment="1" applyProtection="1">
      <alignment horizontal="center" vertical="center"/>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16" fillId="50" borderId="105"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3" fillId="7" borderId="77" xfId="0" applyFont="1" applyFill="1" applyBorder="1" applyAlignment="1" applyProtection="1">
      <alignment horizontal="center" vertical="center" wrapText="1"/>
    </xf>
    <xf numFmtId="0" fontId="13" fillId="7" borderId="78" xfId="0" applyFont="1" applyFill="1" applyBorder="1" applyAlignment="1" applyProtection="1">
      <alignment horizontal="center" vertical="center" wrapText="1"/>
    </xf>
    <xf numFmtId="0" fontId="13" fillId="7" borderId="136"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13" fillId="7" borderId="73"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3" borderId="34" xfId="0" applyFont="1" applyFill="1" applyBorder="1" applyAlignment="1" applyProtection="1">
      <alignment horizontal="left" vertical="center" wrapText="1"/>
      <protection locked="0"/>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9" fillId="41" borderId="261" xfId="0" applyFont="1" applyFill="1" applyBorder="1" applyAlignment="1" applyProtection="1">
      <alignment horizontal="center"/>
    </xf>
    <xf numFmtId="0" fontId="9" fillId="41" borderId="259" xfId="0" applyFont="1" applyFill="1" applyBorder="1" applyAlignment="1" applyProtection="1">
      <alignment horizontal="center"/>
    </xf>
    <xf numFmtId="0" fontId="9" fillId="41" borderId="262" xfId="0" applyFont="1" applyFill="1" applyBorder="1" applyAlignment="1" applyProtection="1">
      <alignment horizontal="center"/>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13" fillId="7" borderId="87"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13" fillId="7" borderId="75" xfId="0" applyFont="1" applyFill="1" applyBorder="1" applyAlignment="1" applyProtection="1">
      <alignment horizontal="left" vertical="center" wrapText="1"/>
    </xf>
    <xf numFmtId="0" fontId="9" fillId="7" borderId="254" xfId="0" applyFont="1" applyFill="1" applyBorder="1" applyAlignment="1" applyProtection="1">
      <alignment horizontal="center" vertical="center" wrapText="1"/>
    </xf>
    <xf numFmtId="0" fontId="9" fillId="7" borderId="255" xfId="0" applyFont="1" applyFill="1" applyBorder="1" applyAlignment="1" applyProtection="1">
      <alignment horizontal="center" vertical="center" wrapText="1"/>
    </xf>
    <xf numFmtId="0" fontId="13" fillId="7" borderId="10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22" fillId="7" borderId="23" xfId="0" applyFont="1" applyFill="1" applyBorder="1" applyAlignment="1" applyProtection="1">
      <alignment horizontal="center"/>
    </xf>
    <xf numFmtId="0" fontId="9" fillId="7" borderId="14" xfId="0" applyFont="1" applyFill="1" applyBorder="1" applyAlignment="1" applyProtection="1">
      <alignment horizontal="center"/>
    </xf>
    <xf numFmtId="0" fontId="28" fillId="7" borderId="6" xfId="0" applyFont="1" applyFill="1" applyBorder="1" applyAlignment="1" applyProtection="1">
      <alignment horizontal="center"/>
    </xf>
    <xf numFmtId="0" fontId="9" fillId="7" borderId="65"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9" fillId="7" borderId="88"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26" fillId="7" borderId="96" xfId="0" applyFont="1" applyFill="1" applyBorder="1" applyAlignment="1" applyProtection="1">
      <alignment horizontal="left" vertical="top" wrapText="1"/>
      <protection locked="0"/>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61" fillId="41" borderId="122" xfId="0" applyFont="1" applyFill="1" applyBorder="1" applyAlignment="1" applyProtection="1">
      <alignment horizontal="center" vertical="center"/>
    </xf>
    <xf numFmtId="0" fontId="161" fillId="41" borderId="125" xfId="0" applyFont="1" applyFill="1" applyBorder="1" applyAlignment="1" applyProtection="1">
      <alignment horizontal="center" vertical="center"/>
    </xf>
    <xf numFmtId="0" fontId="161"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8"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wrapText="1"/>
    </xf>
    <xf numFmtId="0" fontId="72" fillId="41" borderId="0" xfId="0" applyFont="1" applyFill="1" applyBorder="1" applyAlignment="1" applyProtection="1">
      <alignment horizont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13" fillId="7" borderId="89"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160" xfId="0" applyFont="1" applyFill="1" applyBorder="1" applyAlignment="1" applyProtection="1">
      <alignment horizontal="center" vertical="center" wrapText="1"/>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7"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6" xfId="0" applyNumberFormat="1" applyFont="1" applyFill="1" applyBorder="1" applyAlignment="1" applyProtection="1">
      <alignment horizontal="center"/>
    </xf>
    <xf numFmtId="0" fontId="13" fillId="41" borderId="265" xfId="0" applyNumberFormat="1" applyFont="1" applyFill="1" applyBorder="1" applyAlignment="1" applyProtection="1">
      <alignment horizontal="center"/>
    </xf>
    <xf numFmtId="0" fontId="13" fillId="41" borderId="268"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72" fillId="41" borderId="87"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263" xfId="0" applyFont="1" applyFill="1" applyBorder="1" applyAlignment="1" applyProtection="1">
      <alignment horizontal="center" vertical="center" wrapText="1"/>
      <protection locked="0"/>
    </xf>
    <xf numFmtId="0" fontId="9" fillId="7" borderId="265" xfId="0" applyFont="1" applyFill="1" applyBorder="1" applyAlignment="1" applyProtection="1">
      <alignment horizontal="center" vertical="center" wrapText="1"/>
      <protection locked="0"/>
    </xf>
    <xf numFmtId="0" fontId="13" fillId="7" borderId="265"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25" fillId="23" borderId="110" xfId="0" applyFont="1" applyFill="1" applyBorder="1" applyAlignment="1" applyProtection="1">
      <alignment horizontal="center" vertical="center" wrapText="1"/>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9" fillId="23" borderId="110" xfId="0" applyFont="1" applyFill="1" applyBorder="1" applyAlignment="1" applyProtection="1">
      <alignment horizontal="right" vertical="center" wrapText="1"/>
    </xf>
    <xf numFmtId="0" fontId="71" fillId="23" borderId="110" xfId="0" applyFont="1" applyFill="1" applyBorder="1" applyAlignment="1" applyProtection="1">
      <alignment horizontal="center" vertical="center" wrapText="1"/>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wrapText="1"/>
      <protection locked="0"/>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9" fillId="23" borderId="109" xfId="0" applyFont="1" applyFill="1" applyBorder="1" applyAlignment="1" applyProtection="1">
      <alignment horizontal="center" vertical="center" wrapText="1"/>
    </xf>
    <xf numFmtId="0" fontId="9" fillId="23" borderId="120" xfId="0"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36" fillId="24" borderId="89"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1" fontId="25" fillId="23" borderId="135" xfId="0" applyNumberFormat="1" applyFont="1" applyFill="1" applyBorder="1" applyAlignment="1" applyProtection="1">
      <alignment horizontal="center" vertical="center" wrapTex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1" fontId="25" fillId="23" borderId="147" xfId="0" applyNumberFormat="1"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105" xfId="0" applyFont="1" applyFill="1" applyBorder="1" applyAlignment="1" applyProtection="1">
      <alignment horizontal="center" vertical="center" wrapText="1"/>
    </xf>
    <xf numFmtId="0" fontId="9" fillId="0" borderId="78"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24" borderId="77" xfId="0" applyFont="1" applyFill="1" applyBorder="1" applyAlignment="1" applyProtection="1">
      <alignment horizontal="center"/>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9" fillId="7" borderId="356"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77" fillId="8" borderId="99" xfId="0" applyFont="1" applyFill="1" applyBorder="1" applyAlignment="1" applyProtection="1">
      <alignment horizontal="center" vertical="center" wrapText="1"/>
    </xf>
    <xf numFmtId="0" fontId="77" fillId="8" borderId="101" xfId="0" applyFont="1" applyFill="1" applyBorder="1" applyAlignment="1" applyProtection="1">
      <alignment horizontal="center" vertical="center" wrapText="1"/>
    </xf>
    <xf numFmtId="0" fontId="77" fillId="8" borderId="104" xfId="0" applyFont="1" applyFill="1" applyBorder="1" applyAlignment="1" applyProtection="1">
      <alignment horizontal="center" vertical="center" wrapText="1"/>
    </xf>
    <xf numFmtId="0" fontId="77" fillId="8" borderId="75" xfId="0" applyFont="1" applyFill="1" applyBorder="1" applyAlignment="1" applyProtection="1">
      <alignment horizontal="center" vertical="center" wrapText="1"/>
    </xf>
    <xf numFmtId="0" fontId="77" fillId="3" borderId="107" xfId="0" applyFont="1" applyFill="1" applyBorder="1" applyAlignment="1" applyProtection="1">
      <alignment horizontal="center" vertical="center"/>
    </xf>
    <xf numFmtId="0" fontId="77" fillId="41" borderId="102" xfId="0" applyFont="1" applyFill="1" applyBorder="1" applyAlignment="1" applyProtection="1">
      <alignment horizontal="center" vertical="center"/>
      <protection locked="0"/>
    </xf>
    <xf numFmtId="0" fontId="77" fillId="41" borderId="103" xfId="0" applyFont="1" applyFill="1" applyBorder="1" applyAlignment="1" applyProtection="1">
      <alignment horizontal="center" vertical="center"/>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 fontId="9" fillId="7" borderId="148"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0" fontId="0" fillId="7" borderId="269" xfId="0" applyFill="1" applyBorder="1" applyAlignment="1" applyProtection="1">
      <alignment wrapText="1"/>
    </xf>
    <xf numFmtId="0" fontId="0" fillId="7" borderId="176" xfId="0" applyFill="1" applyBorder="1" applyAlignment="1" applyProtection="1">
      <alignment wrapText="1"/>
    </xf>
    <xf numFmtId="0" fontId="0" fillId="7" borderId="331" xfId="0" applyFill="1" applyBorder="1" applyAlignment="1" applyProtection="1">
      <alignment wrapText="1"/>
    </xf>
    <xf numFmtId="0" fontId="0" fillId="7" borderId="332" xfId="0" applyFill="1" applyBorder="1" applyAlignment="1" applyProtection="1">
      <alignment wrapText="1"/>
    </xf>
    <xf numFmtId="0" fontId="0" fillId="7" borderId="333" xfId="0" applyFill="1" applyBorder="1" applyAlignment="1" applyProtection="1">
      <alignment wrapText="1"/>
    </xf>
    <xf numFmtId="0" fontId="15" fillId="8" borderId="10" xfId="0" applyFont="1" applyFill="1" applyBorder="1" applyAlignment="1" applyProtection="1">
      <alignment horizont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left" vertical="center" wrapText="1"/>
    </xf>
    <xf numFmtId="0" fontId="9" fillId="7" borderId="91" xfId="0" applyFont="1" applyFill="1" applyBorder="1" applyAlignment="1" applyProtection="1">
      <alignment horizontal="center" vertical="center" wrapText="1"/>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0" fontId="26" fillId="7" borderId="49" xfId="0" applyFont="1" applyFill="1" applyBorder="1" applyAlignment="1" applyProtection="1">
      <alignment horizontal="left" vertical="center"/>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1" fontId="11" fillId="7" borderId="0" xfId="0" applyNumberFormat="1"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1" fillId="7" borderId="0" xfId="0" applyFont="1" applyFill="1" applyBorder="1" applyAlignment="1" applyProtection="1">
      <alignment horizontal="center" vertical="center"/>
      <protection locked="0"/>
    </xf>
    <xf numFmtId="0" fontId="12" fillId="7" borderId="86" xfId="0" applyFont="1" applyFill="1" applyBorder="1" applyAlignment="1" applyProtection="1">
      <alignment horizontal="right"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26" xfId="0" applyNumberFormat="1" applyFont="1" applyFill="1" applyBorder="1" applyAlignment="1" applyProtection="1">
      <alignment horizontal="center" vertical="center"/>
      <protection locked="0"/>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 borderId="0" xfId="0" applyFont="1" applyFill="1" applyBorder="1" applyAlignment="1" applyProtection="1">
      <alignment horizontal="left"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0" fontId="9" fillId="7" borderId="17" xfId="0" applyFont="1" applyFill="1" applyBorder="1" applyAlignment="1" applyProtection="1">
      <alignment horizontal="left" vertical="center" wrapText="1"/>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1" fontId="11" fillId="7" borderId="87" xfId="0" applyNumberFormat="1" applyFont="1" applyFill="1" applyBorder="1" applyAlignment="1" applyProtection="1">
      <alignment horizontal="center" vertical="center"/>
      <protection locked="0"/>
    </xf>
    <xf numFmtId="0" fontId="28" fillId="7" borderId="341" xfId="0" applyFont="1" applyFill="1" applyBorder="1" applyAlignment="1" applyProtection="1">
      <alignment horizontal="center"/>
    </xf>
    <xf numFmtId="0" fontId="22" fillId="7" borderId="342" xfId="0" applyFont="1" applyFill="1" applyBorder="1" applyAlignment="1" applyProtection="1">
      <alignment horizont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29" fillId="12" borderId="100" xfId="0" applyFont="1" applyFill="1" applyBorder="1" applyAlignment="1" applyProtection="1">
      <alignment horizont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15" fillId="13" borderId="122" xfId="0" applyFont="1" applyFill="1" applyBorder="1" applyAlignment="1" applyProtection="1">
      <alignment horizontal="center" vertical="center"/>
    </xf>
    <xf numFmtId="0" fontId="15" fillId="13" borderId="125"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0" fillId="23" borderId="263" xfId="0" applyFont="1" applyFill="1" applyBorder="1" applyAlignment="1" applyProtection="1">
      <alignment horizontal="right" vertical="center" wrapText="1"/>
    </xf>
    <xf numFmtId="0" fontId="10" fillId="23" borderId="104" xfId="0" applyFont="1" applyFill="1" applyBorder="1" applyAlignment="1" applyProtection="1">
      <alignment horizontal="right" vertical="center" wrapText="1"/>
    </xf>
    <xf numFmtId="0" fontId="11" fillId="23" borderId="266"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266" xfId="0" applyFont="1" applyFill="1" applyBorder="1" applyAlignment="1" applyProtection="1">
      <alignment horizontal="center" vertical="center" wrapText="1"/>
      <protection locked="0"/>
    </xf>
    <xf numFmtId="0" fontId="11" fillId="23" borderId="265" xfId="0" applyFont="1" applyFill="1" applyBorder="1" applyAlignment="1" applyProtection="1">
      <alignment horizontal="center" vertical="center" wrapText="1"/>
      <protection locked="0"/>
    </xf>
    <xf numFmtId="0" fontId="11" fillId="23" borderId="268" xfId="0" applyFont="1" applyFill="1" applyBorder="1" applyAlignment="1" applyProtection="1">
      <alignment horizontal="center" vertical="center" wrapText="1"/>
      <protection locked="0"/>
    </xf>
    <xf numFmtId="0" fontId="11" fillId="23" borderId="89"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9" fillId="23" borderId="104" xfId="0" applyFont="1" applyFill="1" applyBorder="1" applyAlignment="1" applyProtection="1"/>
    <xf numFmtId="0" fontId="0" fillId="23" borderId="0" xfId="0" applyFill="1" applyBorder="1" applyAlignment="1" applyProtection="1"/>
    <xf numFmtId="0" fontId="13" fillId="23" borderId="75" xfId="0" applyFont="1" applyFill="1" applyBorder="1" applyAlignment="1" applyProtection="1">
      <alignment horizontal="center" vertical="center" wrapText="1"/>
      <protection locked="0"/>
    </xf>
    <xf numFmtId="0" fontId="10" fillId="12" borderId="104"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5" fillId="12" borderId="90"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13" fillId="23" borderId="0"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left"/>
    </xf>
    <xf numFmtId="0" fontId="10" fillId="23" borderId="90" xfId="0" applyFont="1" applyFill="1" applyBorder="1" applyAlignment="1" applyProtection="1">
      <alignment horizontal="right" vertical="center" wrapText="1"/>
    </xf>
    <xf numFmtId="0" fontId="143" fillId="12" borderId="107" xfId="0" applyFont="1" applyFill="1" applyBorder="1" applyAlignment="1" applyProtection="1">
      <alignment horizontal="center" vertical="center"/>
    </xf>
    <xf numFmtId="0" fontId="9" fillId="23" borderId="0" xfId="0" applyFont="1" applyFill="1" applyBorder="1" applyAlignment="1" applyProtection="1">
      <alignment horizontal="center"/>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11" fillId="23" borderId="105" xfId="0" applyFont="1" applyFill="1" applyBorder="1" applyAlignment="1" applyProtection="1">
      <alignment horizontal="center" vertical="center" wrapText="1"/>
      <protection locked="0"/>
    </xf>
    <xf numFmtId="0" fontId="11" fillId="23" borderId="78" xfId="0" applyFont="1" applyFill="1" applyBorder="1" applyAlignment="1" applyProtection="1">
      <alignment horizontal="center" vertical="center" wrapText="1"/>
      <protection locked="0"/>
    </xf>
    <xf numFmtId="0" fontId="11" fillId="23" borderId="79" xfId="0" applyFont="1" applyFill="1" applyBorder="1" applyAlignment="1" applyProtection="1">
      <alignment horizontal="center" vertical="center" wrapText="1"/>
      <protection locked="0"/>
    </xf>
    <xf numFmtId="0" fontId="11" fillId="23" borderId="136" xfId="0" applyFont="1" applyFill="1" applyBorder="1" applyAlignment="1" applyProtection="1">
      <alignment horizontal="center" vertical="center"/>
    </xf>
    <xf numFmtId="0" fontId="11" fillId="23" borderId="75" xfId="0" applyFont="1" applyFill="1" applyBorder="1" applyAlignment="1" applyProtection="1">
      <alignment horizontal="center" vertical="center"/>
    </xf>
    <xf numFmtId="0" fontId="10" fillId="12" borderId="119" xfId="0" applyFont="1" applyFill="1" applyBorder="1" applyAlignment="1" applyProtection="1">
      <alignment horizontal="right" vertical="center" wrapText="1"/>
    </xf>
    <xf numFmtId="0" fontId="11" fillId="12" borderId="8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protection locked="0"/>
    </xf>
    <xf numFmtId="0" fontId="11" fillId="12" borderId="343"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11" fillId="23" borderId="155"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156" fillId="23" borderId="266" xfId="0" applyFont="1" applyFill="1" applyBorder="1" applyAlignment="1" applyProtection="1">
      <alignment horizontal="center" vertical="center" wrapText="1"/>
    </xf>
    <xf numFmtId="0" fontId="156" fillId="23" borderId="265" xfId="0" applyFont="1" applyFill="1" applyBorder="1" applyAlignment="1" applyProtection="1">
      <alignment horizontal="center" vertical="center" wrapText="1"/>
    </xf>
    <xf numFmtId="0" fontId="156" fillId="23" borderId="268" xfId="0" applyFont="1" applyFill="1" applyBorder="1" applyAlignment="1" applyProtection="1">
      <alignment horizontal="center" vertical="center" wrapText="1"/>
    </xf>
    <xf numFmtId="0" fontId="156" fillId="23" borderId="155" xfId="0" applyFont="1" applyFill="1" applyBorder="1" applyAlignment="1" applyProtection="1">
      <alignment horizontal="center" vertical="center" wrapText="1"/>
    </xf>
    <xf numFmtId="0" fontId="156" fillId="23" borderId="87" xfId="0" applyFont="1" applyFill="1" applyBorder="1" applyAlignment="1" applyProtection="1">
      <alignment horizontal="center" vertical="center" wrapText="1"/>
    </xf>
    <xf numFmtId="0" fontId="156" fillId="23" borderId="103"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xf>
    <xf numFmtId="0" fontId="13" fillId="23" borderId="0" xfId="0" applyFont="1" applyFill="1" applyBorder="1" applyAlignment="1" applyProtection="1">
      <alignment horizontal="center" vertical="center"/>
    </xf>
    <xf numFmtId="0" fontId="11" fillId="12" borderId="104"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1" fillId="23" borderId="104"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9" fillId="23" borderId="0" xfId="0" applyFont="1" applyFill="1" applyBorder="1" applyAlignment="1" applyProtection="1"/>
    <xf numFmtId="0" fontId="44" fillId="23" borderId="263" xfId="0" applyFont="1" applyFill="1" applyBorder="1" applyAlignment="1" applyProtection="1">
      <alignment horizontal="center" vertical="center"/>
    </xf>
    <xf numFmtId="0" fontId="44" fillId="23" borderId="265"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43" xfId="0" applyFont="1" applyFill="1" applyBorder="1" applyAlignment="1" applyProtection="1">
      <alignment horizontal="center" vertical="center"/>
    </xf>
    <xf numFmtId="0" fontId="44" fillId="23" borderId="268"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9" fillId="23" borderId="263" xfId="0" applyFont="1" applyFill="1" applyBorder="1" applyAlignment="1" applyProtection="1">
      <alignment vertical="center" wrapText="1"/>
    </xf>
    <xf numFmtId="0" fontId="0" fillId="23" borderId="265" xfId="0" applyFill="1" applyBorder="1" applyAlignment="1" applyProtection="1">
      <alignment vertical="center" wrapText="1"/>
    </xf>
    <xf numFmtId="0" fontId="9" fillId="23" borderId="0" xfId="0" applyFont="1" applyFill="1" applyBorder="1" applyAlignment="1" applyProtection="1">
      <alignment horizontal="left" vertical="center" wrapText="1"/>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43" xfId="0" applyFill="1" applyBorder="1" applyAlignment="1" applyProtection="1">
      <alignmen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14" fillId="12" borderId="0"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0" fontId="9" fillId="12" borderId="0" xfId="12" applyFont="1" applyFill="1" applyBorder="1" applyAlignment="1" applyProtection="1">
      <alignment horizontal="center" vertical="center"/>
    </xf>
    <xf numFmtId="0" fontId="9" fillId="12" borderId="0" xfId="12" applyFont="1" applyFill="1" applyBorder="1" applyAlignment="1" applyProtection="1">
      <alignment horizontal="center"/>
    </xf>
    <xf numFmtId="0" fontId="77" fillId="12" borderId="75" xfId="12" applyFont="1" applyFill="1" applyBorder="1" applyAlignment="1" applyProtection="1">
      <alignment horizontal="center" vertical="center" wrapText="1"/>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15" fillId="8" borderId="269" xfId="0" applyFont="1" applyFill="1" applyBorder="1" applyAlignment="1" applyProtection="1">
      <alignment horizontal="center" vertical="center"/>
    </xf>
    <xf numFmtId="0" fontId="15" fillId="8" borderId="270" xfId="0" applyFont="1" applyFill="1" applyBorder="1" applyAlignment="1" applyProtection="1">
      <alignment horizontal="center" vertical="center"/>
    </xf>
    <xf numFmtId="0" fontId="15" fillId="8" borderId="271"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25" fillId="7" borderId="288"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7"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150" xfId="0" applyFont="1" applyFill="1" applyBorder="1" applyAlignment="1" applyProtection="1">
      <alignment horizontal="center" vertical="center" wrapText="1"/>
    </xf>
    <xf numFmtId="0" fontId="13" fillId="7" borderId="357" xfId="0" applyFont="1" applyFill="1" applyBorder="1" applyAlignment="1" applyProtection="1">
      <alignment horizontal="center" vertical="center" wrapText="1"/>
    </xf>
    <xf numFmtId="0" fontId="13" fillId="7" borderId="361"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72"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11" xfId="0" applyFont="1" applyFill="1" applyBorder="1" applyAlignment="1" applyProtection="1">
      <alignment horizontal="center" vertical="center" wrapText="1"/>
    </xf>
    <xf numFmtId="0" fontId="13" fillId="7" borderId="267" xfId="0" applyFont="1" applyFill="1" applyBorder="1" applyAlignment="1" applyProtection="1">
      <alignment horizontal="center" vertical="center" wrapText="1"/>
    </xf>
    <xf numFmtId="0" fontId="9" fillId="7" borderId="263" xfId="0" applyFont="1" applyFill="1" applyBorder="1" applyAlignment="1" applyProtection="1">
      <alignment horizontal="left" vertical="center"/>
    </xf>
    <xf numFmtId="0" fontId="9" fillId="7" borderId="265"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9" fillId="7" borderId="266"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8" xfId="0" applyFont="1" applyFill="1" applyBorder="1" applyAlignment="1" applyProtection="1">
      <alignment horizontal="center" vertical="center" wrapText="1"/>
    </xf>
    <xf numFmtId="0" fontId="9" fillId="7" borderId="339"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9" fillId="7" borderId="90" xfId="0" applyFont="1" applyFill="1" applyBorder="1" applyAlignment="1" applyProtection="1">
      <alignment horizontal="left" vertical="center" wrapText="1"/>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19" xfId="0" applyFont="1" applyFill="1" applyBorder="1" applyAlignment="1" applyProtection="1">
      <alignment horizontal="left" vertical="center" wrapText="1"/>
    </xf>
    <xf numFmtId="0" fontId="9" fillId="7" borderId="343"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29" fillId="7" borderId="273" xfId="0" applyFont="1" applyFill="1" applyBorder="1" applyAlignment="1" applyProtection="1">
      <alignment horizontal="center" vertical="center"/>
    </xf>
    <xf numFmtId="0" fontId="29" fillId="7" borderId="274" xfId="0" applyFont="1" applyFill="1" applyBorder="1" applyAlignment="1" applyProtection="1">
      <alignment horizontal="center" vertical="center"/>
    </xf>
    <xf numFmtId="0" fontId="29" fillId="7" borderId="275"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13" fillId="7" borderId="89"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49" fontId="13" fillId="7" borderId="112" xfId="0" applyNumberFormat="1" applyFont="1" applyFill="1" applyBorder="1" applyAlignment="1" applyProtection="1">
      <alignment horizontal="center" vertical="center" wrapText="1"/>
      <protection locked="0"/>
    </xf>
    <xf numFmtId="49" fontId="13" fillId="7" borderId="130" xfId="0" applyNumberFormat="1" applyFont="1" applyFill="1" applyBorder="1" applyAlignment="1" applyProtection="1">
      <alignment horizontal="center" vertical="center" wrapText="1"/>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49" fontId="9" fillId="7" borderId="110" xfId="0" applyNumberFormat="1" applyFont="1" applyFill="1" applyBorder="1" applyAlignment="1" applyProtection="1">
      <alignment horizontal="center" vertical="center" wrapText="1"/>
      <protection locked="0"/>
    </xf>
    <xf numFmtId="49" fontId="9" fillId="7" borderId="129" xfId="0" applyNumberFormat="1" applyFont="1" applyFill="1" applyBorder="1" applyAlignment="1" applyProtection="1">
      <alignment horizontal="center" vertical="center" wrapText="1"/>
      <protection locked="0"/>
    </xf>
    <xf numFmtId="49" fontId="9" fillId="7" borderId="263" xfId="0" applyNumberFormat="1" applyFont="1" applyFill="1" applyBorder="1" applyAlignment="1" applyProtection="1">
      <alignment vertical="center"/>
      <protection locked="0"/>
    </xf>
    <xf numFmtId="49" fontId="9" fillId="7" borderId="265" xfId="0" applyNumberFormat="1" applyFont="1" applyFill="1" applyBorder="1" applyAlignment="1" applyProtection="1">
      <alignment vertical="center"/>
      <protection locked="0"/>
    </xf>
    <xf numFmtId="49" fontId="9" fillId="7" borderId="79"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49" fontId="9" fillId="7" borderId="114" xfId="0" applyNumberFormat="1" applyFont="1" applyFill="1" applyBorder="1" applyAlignment="1" applyProtection="1">
      <alignment horizontal="center" vertical="center" wrapText="1"/>
    </xf>
    <xf numFmtId="49" fontId="9" fillId="7" borderId="110" xfId="0" applyNumberFormat="1" applyFont="1" applyFill="1" applyBorder="1" applyAlignment="1" applyProtection="1">
      <alignment horizontal="center" vertical="center" wrapText="1"/>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127" xfId="0" applyNumberFormat="1" applyFont="1" applyFill="1" applyBorder="1" applyAlignment="1" applyProtection="1">
      <alignment horizontal="center" vertical="center" wrapText="1"/>
    </xf>
    <xf numFmtId="49" fontId="13" fillId="7" borderId="128" xfId="0" applyNumberFormat="1" applyFont="1" applyFill="1" applyBorder="1" applyAlignment="1" applyProtection="1">
      <alignment horizontal="center" vertical="center" wrapText="1"/>
    </xf>
    <xf numFmtId="0" fontId="12" fillId="7" borderId="133"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90" xfId="0" applyFont="1" applyFill="1" applyBorder="1" applyAlignment="1" applyProtection="1">
      <alignment horizontal="right"/>
      <protection locked="0"/>
    </xf>
    <xf numFmtId="0" fontId="9" fillId="41" borderId="155" xfId="0" applyFont="1" applyFill="1" applyBorder="1" applyAlignment="1" applyProtection="1">
      <alignment horizontal="right"/>
      <protection locked="0"/>
    </xf>
    <xf numFmtId="0" fontId="13" fillId="41" borderId="131" xfId="0" applyFont="1" applyFill="1" applyBorder="1" applyAlignment="1" applyProtection="1">
      <alignment horizontal="left"/>
      <protection locked="0"/>
    </xf>
    <xf numFmtId="0" fontId="13" fillId="41" borderId="134" xfId="0" applyFont="1" applyFill="1" applyBorder="1" applyAlignment="1" applyProtection="1">
      <alignment horizontal="left"/>
      <protection locked="0"/>
    </xf>
    <xf numFmtId="0" fontId="9" fillId="41" borderId="265" xfId="0" applyFont="1" applyFill="1" applyBorder="1" applyAlignment="1" applyProtection="1">
      <alignment horizontal="left"/>
      <protection locked="0"/>
    </xf>
    <xf numFmtId="0" fontId="9" fillId="41" borderId="268" xfId="0" applyFont="1" applyFill="1" applyBorder="1" applyAlignment="1" applyProtection="1">
      <alignment horizontal="left"/>
      <protection locked="0"/>
    </xf>
    <xf numFmtId="0" fontId="134" fillId="53" borderId="89"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134" fillId="53" borderId="75" xfId="0" applyFont="1" applyFill="1" applyBorder="1" applyAlignment="1">
      <alignment horizontal="center" vertical="center" wrapText="1"/>
    </xf>
    <xf numFmtId="0" fontId="9" fillId="7" borderId="89" xfId="0" applyFont="1" applyFill="1" applyBorder="1" applyAlignment="1" applyProtection="1">
      <alignment horizontal="center" vertical="center"/>
      <protection locked="0"/>
    </xf>
    <xf numFmtId="0" fontId="9" fillId="7" borderId="0" xfId="0" applyFont="1" applyFill="1" applyBorder="1" applyAlignment="1" applyProtection="1">
      <alignment horizontal="center" vertical="center"/>
      <protection locked="0"/>
    </xf>
    <xf numFmtId="0" fontId="9" fillId="7" borderId="75" xfId="0" applyFont="1" applyFill="1" applyBorder="1" applyAlignment="1" applyProtection="1">
      <alignment horizontal="center" vertical="center"/>
      <protection locked="0"/>
    </xf>
    <xf numFmtId="0" fontId="9" fillId="7" borderId="155" xfId="0" applyFont="1" applyFill="1" applyBorder="1" applyAlignment="1" applyProtection="1">
      <alignment horizontal="center" vertical="center"/>
      <protection locked="0"/>
    </xf>
    <xf numFmtId="0" fontId="9" fillId="7" borderId="87" xfId="0" applyFont="1" applyFill="1" applyBorder="1" applyAlignment="1" applyProtection="1">
      <alignment horizontal="center" vertical="center"/>
      <protection locked="0"/>
    </xf>
    <xf numFmtId="0" fontId="9" fillId="7" borderId="103" xfId="0" applyFont="1" applyFill="1" applyBorder="1" applyAlignment="1" applyProtection="1">
      <alignment horizontal="center" vertical="center"/>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75" xfId="0" applyFont="1" applyFill="1" applyBorder="1" applyAlignment="1" applyProtection="1">
      <alignment horizontal="center" vertical="center" wrapText="1"/>
      <protection locked="0"/>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9" fillId="7" borderId="309" xfId="0" applyFont="1" applyFill="1" applyBorder="1" applyAlignment="1" applyProtection="1">
      <alignment horizontal="center" vertical="center" wrapText="1"/>
    </xf>
    <xf numFmtId="0" fontId="9" fillId="7" borderId="307" xfId="0" applyFont="1" applyFill="1" applyBorder="1" applyAlignment="1" applyProtection="1">
      <alignment horizontal="center" vertical="center" wrapText="1"/>
    </xf>
    <xf numFmtId="0" fontId="9" fillId="7" borderId="308"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13" fillId="3" borderId="27" xfId="0" applyFont="1" applyFill="1" applyBorder="1" applyAlignment="1" applyProtection="1">
      <alignment horizontal="left" vertical="center" wrapText="1"/>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26" fillId="7" borderId="340" xfId="0" applyFont="1" applyFill="1" applyBorder="1" applyAlignment="1" applyProtection="1">
      <alignment horizontal="center" vertical="center" wrapText="1"/>
    </xf>
    <xf numFmtId="0" fontId="26" fillId="7" borderId="101" xfId="0" applyFont="1" applyFill="1" applyBorder="1" applyAlignment="1" applyProtection="1">
      <alignment horizontal="center" vertical="center" wrapText="1"/>
    </xf>
    <xf numFmtId="0" fontId="26" fillId="7" borderId="89"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26" fillId="7" borderId="155"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xf>
    <xf numFmtId="0" fontId="9" fillId="7" borderId="323" xfId="0" applyFont="1" applyFill="1" applyBorder="1" applyAlignment="1" applyProtection="1">
      <alignment horizontal="center" vertical="center" wrapText="1"/>
    </xf>
    <xf numFmtId="0" fontId="9" fillId="7" borderId="321"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9" fillId="7" borderId="266" xfId="0" applyFont="1" applyFill="1" applyBorder="1" applyAlignment="1" applyProtection="1">
      <alignment horizontal="center" vertical="center"/>
      <protection locked="0"/>
    </xf>
    <xf numFmtId="0" fontId="9" fillId="7" borderId="265" xfId="0" applyFont="1" applyFill="1" applyBorder="1" applyAlignment="1" applyProtection="1">
      <alignment horizontal="center" vertical="center"/>
      <protection locked="0"/>
    </xf>
    <xf numFmtId="0" fontId="9" fillId="7" borderId="268" xfId="0" applyFont="1" applyFill="1" applyBorder="1" applyAlignment="1" applyProtection="1">
      <alignment horizontal="center" vertical="center"/>
      <protection locked="0"/>
    </xf>
    <xf numFmtId="0" fontId="9" fillId="41" borderId="131" xfId="0" applyFont="1" applyFill="1" applyBorder="1" applyAlignment="1" applyProtection="1">
      <alignment horizontal="right"/>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50" xfId="0" applyFont="1" applyFill="1" applyBorder="1" applyAlignment="1" applyProtection="1">
      <alignment horizontal="right"/>
    </xf>
    <xf numFmtId="0" fontId="9" fillId="41" borderId="267" xfId="0" applyFont="1" applyFill="1" applyBorder="1" applyAlignment="1" applyProtection="1">
      <alignment horizontal="right"/>
    </xf>
    <xf numFmtId="0" fontId="13" fillId="7" borderId="266"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3" fillId="7" borderId="186" xfId="0" applyFont="1" applyFill="1" applyBorder="1" applyAlignment="1" applyProtection="1">
      <alignment horizontal="center" vertical="center" wrapText="1"/>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9" fillId="7" borderId="31" xfId="0" applyFont="1" applyFill="1" applyBorder="1" applyAlignment="1" applyProtection="1">
      <alignment horizontal="center" vertical="center" wrapText="1"/>
    </xf>
    <xf numFmtId="0" fontId="9" fillId="3" borderId="102" xfId="0" applyFont="1" applyFill="1" applyBorder="1" applyAlignment="1" applyProtection="1">
      <alignment horizontal="center"/>
      <protection locked="0"/>
    </xf>
    <xf numFmtId="0" fontId="9" fillId="3" borderId="87" xfId="0" applyFont="1" applyFill="1" applyBorder="1" applyAlignment="1" applyProtection="1">
      <alignment horizontal="center"/>
      <protection locked="0"/>
    </xf>
    <xf numFmtId="0" fontId="9" fillId="3" borderId="103" xfId="0" applyFont="1" applyFill="1" applyBorder="1" applyAlignment="1" applyProtection="1">
      <alignment horizontal="center"/>
      <protection locked="0"/>
    </xf>
    <xf numFmtId="0" fontId="9" fillId="54" borderId="0" xfId="0" applyFont="1" applyFill="1" applyBorder="1" applyAlignment="1">
      <alignment horizontal="right" vertical="center" wrapText="1"/>
    </xf>
    <xf numFmtId="0" fontId="9" fillId="55" borderId="100" xfId="0" applyFont="1" applyFill="1" applyBorder="1" applyAlignment="1">
      <alignment horizontal="right" vertical="center" wrapText="1"/>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3" fillId="7" borderId="65" xfId="0" applyFont="1" applyFill="1" applyBorder="1" applyAlignment="1" applyProtection="1">
      <alignment vertical="center" wrapText="1"/>
      <protection locked="0"/>
    </xf>
    <xf numFmtId="0" fontId="13" fillId="7" borderId="38" xfId="0" applyFont="1" applyFill="1" applyBorder="1" applyAlignment="1" applyProtection="1">
      <alignment vertical="center" wrapText="1"/>
      <protection locked="0"/>
    </xf>
    <xf numFmtId="0" fontId="13" fillId="7" borderId="35" xfId="0" applyFont="1" applyFill="1" applyBorder="1" applyAlignment="1" applyProtection="1">
      <alignment vertical="center" wrapText="1"/>
      <protection locked="0"/>
    </xf>
    <xf numFmtId="0" fontId="135" fillId="53" borderId="314" xfId="0" applyFont="1" applyFill="1" applyBorder="1" applyAlignment="1">
      <alignment horizontal="center" vertical="center" wrapText="1"/>
    </xf>
    <xf numFmtId="0" fontId="135" fillId="53" borderId="315" xfId="0" applyFont="1" applyFill="1" applyBorder="1" applyAlignment="1">
      <alignment horizontal="center" vertical="center" wrapText="1"/>
    </xf>
    <xf numFmtId="0" fontId="135" fillId="53" borderId="316" xfId="0" applyFont="1" applyFill="1" applyBorder="1" applyAlignment="1">
      <alignment horizontal="center" vertical="center" wrapText="1"/>
    </xf>
    <xf numFmtId="0" fontId="9" fillId="7" borderId="104" xfId="0" applyFont="1" applyFill="1" applyBorder="1" applyAlignment="1" applyProtection="1">
      <alignment horizontal="center"/>
      <protection locked="0"/>
    </xf>
    <xf numFmtId="0" fontId="9" fillId="7" borderId="0" xfId="0" applyFont="1" applyFill="1" applyBorder="1" applyAlignment="1" applyProtection="1">
      <alignment horizontal="center"/>
      <protection locked="0"/>
    </xf>
    <xf numFmtId="0" fontId="9" fillId="7" borderId="75" xfId="0" applyFont="1" applyFill="1" applyBorder="1" applyAlignment="1" applyProtection="1">
      <alignment horizontal="center"/>
      <protection locked="0"/>
    </xf>
    <xf numFmtId="0" fontId="13" fillId="3" borderId="102" xfId="0" applyFont="1" applyFill="1" applyBorder="1" applyAlignment="1" applyProtection="1">
      <alignment horizontal="center"/>
      <protection locked="0"/>
    </xf>
    <xf numFmtId="0" fontId="13" fillId="3" borderId="87" xfId="0" applyFont="1" applyFill="1" applyBorder="1" applyAlignment="1" applyProtection="1">
      <alignment horizontal="center"/>
      <protection locked="0"/>
    </xf>
    <xf numFmtId="0" fontId="13" fillId="3" borderId="103" xfId="0" applyFont="1" applyFill="1" applyBorder="1" applyAlignment="1" applyProtection="1">
      <alignment horizontal="center"/>
      <protection locked="0"/>
    </xf>
    <xf numFmtId="0" fontId="9" fillId="3" borderId="319" xfId="0" applyFont="1" applyFill="1" applyBorder="1" applyAlignment="1" applyProtection="1">
      <alignment horizontal="center"/>
      <protection locked="0"/>
    </xf>
    <xf numFmtId="0" fontId="9" fillId="3" borderId="313" xfId="0" applyFont="1" applyFill="1" applyBorder="1" applyAlignment="1" applyProtection="1">
      <alignment horizontal="center"/>
      <protection locked="0"/>
    </xf>
    <xf numFmtId="0" fontId="9" fillId="3" borderId="320" xfId="0" applyFont="1" applyFill="1" applyBorder="1" applyAlignment="1" applyProtection="1">
      <alignment horizontal="center"/>
      <protection locked="0"/>
    </xf>
    <xf numFmtId="0" fontId="136" fillId="55" borderId="317" xfId="0" applyFont="1" applyFill="1" applyBorder="1" applyAlignment="1">
      <alignment horizontal="right" vertical="center" wrapText="1"/>
    </xf>
    <xf numFmtId="0" fontId="136" fillId="55" borderId="312" xfId="0" applyFont="1" applyFill="1" applyBorder="1" applyAlignment="1">
      <alignment horizontal="right" vertical="center" wrapText="1"/>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left" vertical="center" wrapText="1"/>
      <protection locked="0"/>
    </xf>
    <xf numFmtId="0" fontId="13" fillId="7" borderId="19" xfId="0" applyFont="1" applyFill="1" applyBorder="1" applyAlignment="1" applyProtection="1">
      <alignment horizontal="center" vertical="center" wrapText="1"/>
      <protection locked="0"/>
    </xf>
    <xf numFmtId="0" fontId="25" fillId="7" borderId="29" xfId="0" applyFont="1" applyFill="1" applyBorder="1" applyAlignment="1" applyProtection="1">
      <alignment horizontal="center" vertical="center" wrapText="1"/>
      <protection locked="0"/>
    </xf>
    <xf numFmtId="0" fontId="9" fillId="7" borderId="37" xfId="0" applyFont="1" applyFill="1" applyBorder="1" applyAlignment="1" applyProtection="1">
      <alignment horizontal="center" vertical="center" wrapText="1"/>
    </xf>
    <xf numFmtId="0" fontId="9" fillId="7" borderId="21" xfId="0" applyFont="1" applyFill="1" applyBorder="1" applyAlignment="1" applyProtection="1">
      <alignment horizontal="center" vertical="center" wrapText="1"/>
    </xf>
    <xf numFmtId="0" fontId="9" fillId="7" borderId="31" xfId="0" applyFont="1" applyFill="1" applyBorder="1" applyAlignment="1" applyProtection="1">
      <alignment horizontal="right" vertical="center" wrapText="1"/>
    </xf>
    <xf numFmtId="0" fontId="13" fillId="7" borderId="46" xfId="0" applyFont="1" applyFill="1" applyBorder="1" applyAlignment="1" applyProtection="1">
      <alignment horizontal="center" vertical="center" wrapText="1"/>
      <protection locked="0"/>
    </xf>
    <xf numFmtId="0" fontId="9" fillId="7" borderId="56" xfId="0" applyFont="1" applyFill="1" applyBorder="1" applyAlignment="1" applyProtection="1">
      <alignment vertical="center" wrapText="1"/>
    </xf>
    <xf numFmtId="0" fontId="9" fillId="7" borderId="38" xfId="0" applyFont="1" applyFill="1" applyBorder="1" applyAlignment="1" applyProtection="1">
      <alignment vertical="center" wrapText="1"/>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9" fillId="7" borderId="16" xfId="0" applyFont="1" applyFill="1" applyBorder="1" applyAlignment="1" applyProtection="1">
      <alignment vertical="center" wrapText="1"/>
    </xf>
    <xf numFmtId="0" fontId="9" fillId="7" borderId="27" xfId="0" applyFont="1" applyFill="1" applyBorder="1" applyAlignment="1" applyProtection="1">
      <alignment horizontal="center" vertical="center" wrapText="1"/>
    </xf>
    <xf numFmtId="0" fontId="15" fillId="8" borderId="10" xfId="0" applyFont="1" applyFill="1" applyBorder="1" applyAlignment="1" applyProtection="1">
      <alignment horizontal="center" vertical="center" textRotation="90" wrapText="1"/>
    </xf>
    <xf numFmtId="0" fontId="9" fillId="7" borderId="16" xfId="0" applyFont="1" applyFill="1" applyBorder="1" applyAlignment="1" applyProtection="1">
      <alignment horizontal="right" vertical="center" wrapText="1"/>
    </xf>
    <xf numFmtId="0" fontId="25" fillId="7" borderId="91" xfId="0" applyFont="1" applyFill="1" applyBorder="1" applyAlignment="1" applyProtection="1">
      <alignment horizontal="center" vertical="center" wrapText="1"/>
      <protection locked="0"/>
    </xf>
    <xf numFmtId="0" fontId="25" fillId="7" borderId="250" xfId="0" applyFont="1" applyFill="1" applyBorder="1" applyAlignment="1" applyProtection="1">
      <alignment horizontal="center" vertical="center" wrapText="1"/>
      <protection locked="0"/>
    </xf>
    <xf numFmtId="0" fontId="25" fillId="7" borderId="30" xfId="0" applyFont="1" applyFill="1" applyBorder="1" applyAlignment="1" applyProtection="1">
      <alignment horizontal="center" vertical="center" wrapText="1"/>
      <protection locked="0"/>
    </xf>
    <xf numFmtId="0" fontId="25" fillId="7" borderId="251" xfId="0" applyFont="1" applyFill="1" applyBorder="1" applyAlignment="1" applyProtection="1">
      <alignment horizontal="center" vertical="center" wrapText="1"/>
      <protection locked="0"/>
    </xf>
    <xf numFmtId="0" fontId="25" fillId="7" borderId="249" xfId="0" applyFont="1" applyFill="1" applyBorder="1" applyAlignment="1" applyProtection="1">
      <alignment horizontal="center" vertical="center" wrapText="1"/>
      <protection locked="0"/>
    </xf>
    <xf numFmtId="0" fontId="25" fillId="7" borderId="73" xfId="0" applyFont="1" applyFill="1" applyBorder="1" applyAlignment="1" applyProtection="1">
      <alignment horizontal="center" vertical="center" wrapText="1"/>
      <protection locked="0"/>
    </xf>
    <xf numFmtId="0" fontId="13" fillId="7" borderId="37" xfId="0" applyFont="1" applyFill="1" applyBorder="1" applyAlignment="1" applyProtection="1">
      <alignment horizontal="center"/>
      <protection locked="0"/>
    </xf>
    <xf numFmtId="0" fontId="9" fillId="3" borderId="34" xfId="0" applyFont="1" applyFill="1" applyBorder="1" applyAlignment="1" applyProtection="1">
      <alignment horizontal="center"/>
    </xf>
    <xf numFmtId="0" fontId="25" fillId="7" borderId="253" xfId="0" applyFont="1" applyFill="1" applyBorder="1" applyAlignment="1" applyProtection="1">
      <alignment horizontal="center" vertical="center" wrapText="1"/>
      <protection locked="0"/>
    </xf>
    <xf numFmtId="0" fontId="13" fillId="7" borderId="45" xfId="0" applyFont="1" applyFill="1" applyBorder="1" applyAlignment="1" applyProtection="1">
      <alignment horizontal="center" vertical="center"/>
      <protection locked="0"/>
    </xf>
    <xf numFmtId="0" fontId="13" fillId="7" borderId="8" xfId="0" applyFont="1" applyFill="1" applyBorder="1" applyAlignment="1" applyProtection="1">
      <alignment horizontal="left" vertical="center" wrapText="1"/>
      <protection locked="0"/>
    </xf>
    <xf numFmtId="0" fontId="25" fillId="7" borderId="49" xfId="0" applyFont="1" applyFill="1" applyBorder="1" applyAlignment="1" applyProtection="1">
      <alignment horizontal="center" vertical="center" wrapText="1"/>
      <protection locked="0"/>
    </xf>
    <xf numFmtId="0" fontId="25" fillId="7" borderId="252"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protection locked="0"/>
    </xf>
    <xf numFmtId="0" fontId="13" fillId="7" borderId="56" xfId="0" applyFont="1" applyFill="1" applyBorder="1" applyAlignment="1" applyProtection="1">
      <alignment horizontal="center"/>
      <protection locked="0"/>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17" xfId="0" applyFont="1" applyFill="1" applyBorder="1" applyAlignment="1" applyProtection="1">
      <alignment horizontal="center"/>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17" xfId="0" applyFont="1" applyFill="1" applyBorder="1" applyAlignment="1" applyProtection="1">
      <alignment horizontal="left"/>
      <protection locked="0"/>
    </xf>
    <xf numFmtId="0" fontId="13" fillId="7" borderId="82" xfId="0" applyFont="1" applyFill="1" applyBorder="1" applyAlignment="1" applyProtection="1">
      <alignment horizontal="left" vertical="center" wrapText="1"/>
      <protection locked="0"/>
    </xf>
    <xf numFmtId="0" fontId="13" fillId="7" borderId="58"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3"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13" fillId="7" borderId="29" xfId="0" applyFont="1" applyFill="1" applyBorder="1" applyAlignment="1" applyProtection="1">
      <alignment horizontal="center"/>
      <protection locked="0"/>
    </xf>
    <xf numFmtId="0" fontId="13" fillId="7" borderId="16" xfId="0" applyFont="1" applyFill="1" applyBorder="1" applyAlignment="1" applyProtection="1">
      <alignment horizontal="left" vertical="center" wrapText="1"/>
      <protection locked="0"/>
    </xf>
    <xf numFmtId="0" fontId="13" fillId="7" borderId="35"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9" fillId="0" borderId="34" xfId="0" applyFont="1" applyBorder="1" applyAlignment="1" applyProtection="1">
      <alignment horizont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13" fillId="7" borderId="15" xfId="0" applyFont="1" applyFill="1" applyBorder="1" applyAlignment="1" applyProtection="1">
      <alignment horizontal="center"/>
      <protection locked="0"/>
    </xf>
    <xf numFmtId="0" fontId="13" fillId="7" borderId="49" xfId="0" applyFont="1" applyFill="1" applyBorder="1" applyAlignment="1" applyProtection="1">
      <alignment horizontal="center"/>
      <protection locked="0"/>
    </xf>
    <xf numFmtId="0" fontId="12" fillId="40" borderId="340"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3" fillId="3" borderId="15" xfId="0" applyFont="1" applyFill="1" applyBorder="1" applyAlignment="1" applyProtection="1">
      <alignment horizontal="center"/>
      <protection locked="0"/>
    </xf>
    <xf numFmtId="0" fontId="0" fillId="7" borderId="9" xfId="0" applyFont="1" applyFill="1" applyBorder="1" applyAlignment="1" applyProtection="1">
      <alignment horizontal="center" vertical="center" wrapText="1"/>
    </xf>
    <xf numFmtId="0" fontId="11" fillId="7" borderId="55" xfId="0" applyFont="1" applyFill="1" applyBorder="1" applyAlignment="1" applyProtection="1">
      <alignment horizontal="center" vertical="center"/>
      <protection locked="0"/>
    </xf>
    <xf numFmtId="0" fontId="11" fillId="7" borderId="45" xfId="0" applyFont="1" applyFill="1" applyBorder="1" applyAlignment="1" applyProtection="1">
      <alignment horizontal="center" vertical="center"/>
      <protection locked="0"/>
    </xf>
    <xf numFmtId="0" fontId="11" fillId="7" borderId="28" xfId="0" applyFont="1" applyFill="1" applyBorder="1" applyAlignment="1" applyProtection="1">
      <alignment horizontal="center" vertical="center"/>
      <protection locked="0"/>
    </xf>
    <xf numFmtId="0" fontId="13" fillId="7" borderId="53" xfId="0" applyFont="1" applyFill="1" applyBorder="1" applyAlignment="1" applyProtection="1">
      <alignment horizontal="center"/>
      <protection locked="0"/>
    </xf>
    <xf numFmtId="0" fontId="153" fillId="40" borderId="89" xfId="0" applyFont="1" applyFill="1" applyBorder="1" applyAlignment="1" applyProtection="1">
      <alignment horizontal="center" vertical="center" wrapText="1"/>
      <protection locked="0"/>
    </xf>
    <xf numFmtId="0" fontId="153" fillId="40" borderId="0" xfId="0" applyFont="1" applyFill="1" applyBorder="1" applyAlignment="1" applyProtection="1">
      <alignment horizontal="center" vertical="center" wrapText="1"/>
      <protection locked="0"/>
    </xf>
    <xf numFmtId="0" fontId="153" fillId="40" borderId="155" xfId="0" applyFont="1" applyFill="1" applyBorder="1" applyAlignment="1" applyProtection="1">
      <alignment horizontal="center" vertical="center" wrapText="1"/>
      <protection locked="0"/>
    </xf>
    <xf numFmtId="0" fontId="153" fillId="40" borderId="87" xfId="0" applyFont="1" applyFill="1" applyBorder="1" applyAlignment="1" applyProtection="1">
      <alignment horizontal="center" vertical="center" wrapText="1"/>
      <protection locked="0"/>
    </xf>
    <xf numFmtId="0" fontId="153" fillId="40" borderId="90"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23" fillId="40" borderId="0" xfId="0" applyFont="1" applyFill="1" applyBorder="1" applyAlignment="1" applyProtection="1">
      <alignment horizontal="center" vertical="center" wrapText="1"/>
    </xf>
    <xf numFmtId="0" fontId="23" fillId="40" borderId="90" xfId="0" applyFont="1" applyFill="1" applyBorder="1" applyAlignment="1" applyProtection="1">
      <alignment horizontal="center" vertical="center" wrapText="1"/>
    </xf>
    <xf numFmtId="0" fontId="153" fillId="40" borderId="148" xfId="0" applyFont="1" applyFill="1" applyBorder="1" applyAlignment="1" applyProtection="1">
      <alignment horizontal="center" vertical="center" wrapText="1"/>
      <protection locked="0"/>
    </xf>
    <xf numFmtId="0" fontId="9" fillId="40" borderId="127" xfId="0" applyFont="1" applyFill="1" applyBorder="1" applyAlignment="1">
      <alignment horizontal="center"/>
    </xf>
    <xf numFmtId="0" fontId="9" fillId="40" borderId="128" xfId="0" applyFont="1" applyFill="1" applyBorder="1" applyAlignment="1">
      <alignment horizontal="center"/>
    </xf>
    <xf numFmtId="0" fontId="23" fillId="40" borderId="75" xfId="0" applyFont="1" applyFill="1" applyBorder="1" applyAlignment="1" applyProtection="1">
      <alignment horizontal="center" vertical="center" wrapText="1"/>
    </xf>
    <xf numFmtId="0" fontId="153" fillId="40" borderId="75" xfId="0" applyFont="1" applyFill="1" applyBorder="1" applyAlignment="1" applyProtection="1">
      <alignment horizontal="center" vertical="center" wrapText="1"/>
      <protection locked="0"/>
    </xf>
    <xf numFmtId="0" fontId="153" fillId="40" borderId="103" xfId="0" applyFont="1" applyFill="1" applyBorder="1" applyAlignment="1" applyProtection="1">
      <alignment horizontal="center" vertical="center" wrapText="1"/>
      <protection locked="0"/>
    </xf>
    <xf numFmtId="0" fontId="9" fillId="40" borderId="112" xfId="0" applyFont="1" applyFill="1" applyBorder="1" applyAlignment="1">
      <alignment horizontal="center"/>
    </xf>
    <xf numFmtId="0" fontId="162" fillId="41" borderId="266" xfId="0" applyFont="1" applyFill="1" applyBorder="1" applyAlignment="1">
      <alignment horizontal="center" vertical="center"/>
    </xf>
    <xf numFmtId="0" fontId="162" fillId="41" borderId="79" xfId="0" applyFont="1" applyFill="1" applyBorder="1" applyAlignment="1">
      <alignment horizontal="center" vertical="center"/>
    </xf>
    <xf numFmtId="0" fontId="162" fillId="41" borderId="89" xfId="0" applyFont="1" applyFill="1" applyBorder="1" applyAlignment="1">
      <alignment horizontal="center" vertical="center"/>
    </xf>
    <xf numFmtId="0" fontId="162" fillId="41" borderId="90" xfId="0" applyFont="1" applyFill="1" applyBorder="1" applyAlignment="1">
      <alignment horizontal="center" vertical="center"/>
    </xf>
    <xf numFmtId="0" fontId="162" fillId="41" borderId="155" xfId="0" applyFont="1" applyFill="1" applyBorder="1" applyAlignment="1">
      <alignment horizontal="center" vertical="center"/>
    </xf>
    <xf numFmtId="0" fontId="162" fillId="41" borderId="148" xfId="0" applyFont="1" applyFill="1" applyBorder="1" applyAlignment="1">
      <alignment horizontal="center" vertical="center"/>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9" fillId="7" borderId="138" xfId="0" applyFont="1" applyFill="1" applyBorder="1" applyAlignment="1">
      <alignment horizontal="right"/>
    </xf>
    <xf numFmtId="0" fontId="9" fillId="7" borderId="129" xfId="0" applyFont="1" applyFill="1" applyBorder="1" applyAlignment="1">
      <alignment horizontal="right"/>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2" fillId="8" borderId="10" xfId="0" applyFont="1" applyFill="1" applyBorder="1" applyAlignment="1" applyProtection="1">
      <alignment horizontal="center" vertical="center" wrapText="1"/>
    </xf>
    <xf numFmtId="0" fontId="145" fillId="15" borderId="0" xfId="0" applyFont="1" applyFill="1" applyAlignment="1" applyProtection="1">
      <alignment horizontal="left" vertical="center"/>
    </xf>
    <xf numFmtId="0" fontId="0" fillId="0" borderId="0" xfId="0" applyAlignment="1" applyProtection="1">
      <alignment horizontal="left"/>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0" fillId="0" borderId="0" xfId="0" applyAlignment="1" applyProtection="1">
      <alignment horizontal="center"/>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34" fillId="53" borderId="99"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52" fillId="8" borderId="16" xfId="0" applyFont="1" applyFill="1" applyBorder="1" applyAlignment="1" applyProtection="1">
      <alignment horizontal="center"/>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52" fillId="8" borderId="53"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30" fillId="8" borderId="106" xfId="0" applyFont="1" applyFill="1" applyBorder="1" applyAlignment="1" applyProtection="1">
      <alignment horizontal="center" vertical="center" wrapText="1"/>
    </xf>
    <xf numFmtId="0" fontId="30" fillId="8" borderId="107" xfId="0" applyFont="1" applyFill="1" applyBorder="1" applyAlignment="1" applyProtection="1">
      <alignment horizontal="center" vertical="center" wrapText="1"/>
    </xf>
    <xf numFmtId="0" fontId="0" fillId="3" borderId="0" xfId="0" applyFont="1" applyFill="1" applyBorder="1" applyAlignment="1" applyProtection="1">
      <alignment horizontal="center"/>
    </xf>
    <xf numFmtId="0" fontId="0" fillId="3" borderId="73" xfId="0" applyFont="1" applyFill="1" applyBorder="1" applyAlignment="1" applyProtection="1">
      <alignment horizontal="center"/>
    </xf>
    <xf numFmtId="0" fontId="15" fillId="8" borderId="350" xfId="0" applyFont="1" applyFill="1" applyBorder="1" applyAlignment="1" applyProtection="1">
      <alignment horizontal="center" vertical="center" wrapText="1"/>
    </xf>
    <xf numFmtId="0" fontId="15" fillId="8" borderId="351" xfId="0" applyFont="1" applyFill="1" applyBorder="1" applyAlignment="1" applyProtection="1">
      <alignment horizontal="center" vertical="center" wrapText="1"/>
    </xf>
    <xf numFmtId="0" fontId="15" fillId="8" borderId="352" xfId="0" applyFont="1" applyFill="1" applyBorder="1" applyAlignment="1" applyProtection="1">
      <alignment horizontal="center" vertical="center" wrapText="1"/>
    </xf>
    <xf numFmtId="0" fontId="15" fillId="8" borderId="7" xfId="0" applyFont="1" applyFill="1" applyBorder="1" applyAlignment="1" applyProtection="1">
      <alignment horizontal="center"/>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38" fillId="8" borderId="0" xfId="0" applyFont="1" applyFill="1" applyBorder="1" applyAlignment="1" applyProtection="1">
      <alignment horizontal="center" vertical="center" wrapText="1"/>
    </xf>
    <xf numFmtId="0" fontId="120" fillId="8" borderId="99" xfId="0" applyFont="1" applyFill="1" applyBorder="1" applyAlignment="1" applyProtection="1">
      <alignment horizontal="center" vertical="center" wrapText="1"/>
    </xf>
    <xf numFmtId="0" fontId="120" fillId="8" borderId="100"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120" fillId="8" borderId="101"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8" fillId="8" borderId="99" xfId="0" applyFont="1" applyFill="1" applyBorder="1" applyAlignment="1" applyProtection="1">
      <alignment horizontal="center" vertical="center"/>
    </xf>
    <xf numFmtId="0" fontId="148" fillId="8" borderId="100" xfId="0" applyFont="1" applyFill="1" applyBorder="1" applyAlignment="1" applyProtection="1">
      <alignment horizontal="center" vertical="center"/>
    </xf>
    <xf numFmtId="0" fontId="148" fillId="8" borderId="101" xfId="0" applyFont="1" applyFill="1" applyBorder="1" applyAlignment="1" applyProtection="1">
      <alignment horizontal="center" vertical="center"/>
    </xf>
    <xf numFmtId="0" fontId="148" fillId="8" borderId="119" xfId="0" applyFont="1" applyFill="1" applyBorder="1" applyAlignment="1" applyProtection="1">
      <alignment horizontal="center" vertical="center"/>
    </xf>
    <xf numFmtId="0" fontId="148" fillId="8" borderId="73" xfId="0" applyFont="1" applyFill="1" applyBorder="1" applyAlignment="1" applyProtection="1">
      <alignment horizontal="center" vertical="center"/>
    </xf>
    <xf numFmtId="0" fontId="148" fillId="8" borderId="160" xfId="0" applyFont="1" applyFill="1" applyBorder="1" applyAlignment="1" applyProtection="1">
      <alignment horizontal="center" vertical="center"/>
    </xf>
    <xf numFmtId="0" fontId="60" fillId="16" borderId="110"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49" fontId="49" fillId="8" borderId="75" xfId="0" applyNumberFormat="1" applyFont="1" applyFill="1" applyBorder="1" applyAlignment="1" applyProtection="1">
      <alignment horizontal="center" vertical="center"/>
    </xf>
    <xf numFmtId="0" fontId="15" fillId="8" borderId="265" xfId="0" applyFont="1" applyFill="1" applyBorder="1" applyAlignment="1" applyProtection="1">
      <alignment horizontal="center" vertical="center" wrapText="1"/>
    </xf>
    <xf numFmtId="0" fontId="10" fillId="39" borderId="109" xfId="0" applyFont="1" applyFill="1" applyBorder="1" applyAlignment="1">
      <alignment horizontal="center"/>
    </xf>
    <xf numFmtId="0" fontId="10" fillId="39" borderId="267" xfId="0" applyFont="1" applyFill="1" applyBorder="1" applyAlignment="1">
      <alignment horizontal="center"/>
    </xf>
    <xf numFmtId="0" fontId="10" fillId="39" borderId="111" xfId="0" applyFont="1" applyFill="1" applyBorder="1" applyAlignment="1">
      <alignment horizontal="center"/>
    </xf>
    <xf numFmtId="0" fontId="15" fillId="8" borderId="7" xfId="0" applyFont="1" applyFill="1" applyBorder="1" applyAlignment="1" applyProtection="1">
      <alignment horizontal="center" vertical="center"/>
    </xf>
    <xf numFmtId="0" fontId="30" fillId="8" borderId="7" xfId="0" applyFont="1" applyFill="1" applyBorder="1" applyAlignment="1" applyProtection="1">
      <alignment horizontal="left" vertic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38" fillId="8" borderId="104"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30" fillId="8" borderId="7" xfId="0" applyFont="1" applyFill="1" applyBorder="1" applyAlignment="1" applyProtection="1">
      <alignment horizontal="center" vertical="center"/>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9" xfId="0" applyFont="1" applyFill="1" applyBorder="1" applyAlignment="1" applyProtection="1">
      <alignment horizontal="center" vertical="center"/>
    </xf>
    <xf numFmtId="0" fontId="30" fillId="8" borderId="37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9" fillId="30" borderId="110" xfId="0" applyFont="1" applyFill="1" applyBorder="1" applyAlignment="1" applyProtection="1">
      <alignment horizontal="center"/>
    </xf>
    <xf numFmtId="0" fontId="9" fillId="30" borderId="265" xfId="0" applyFont="1" applyFill="1" applyBorder="1" applyAlignment="1" applyProtection="1">
      <alignment horizontal="center" vertical="center" wrapText="1"/>
    </xf>
    <xf numFmtId="0" fontId="9" fillId="30" borderId="79" xfId="0" applyFont="1" applyFill="1" applyBorder="1" applyAlignment="1" applyProtection="1">
      <alignment horizontal="center" vertical="center" wrapText="1"/>
    </xf>
    <xf numFmtId="0" fontId="52" fillId="42" borderId="106" xfId="0" applyFont="1" applyFill="1" applyBorder="1" applyAlignment="1" applyProtection="1">
      <alignment horizontal="center" vertical="center" wrapText="1"/>
    </xf>
    <xf numFmtId="0" fontId="52" fillId="42" borderId="223" xfId="0" applyFont="1" applyFill="1" applyBorder="1" applyAlignment="1" applyProtection="1">
      <alignment horizontal="center" vertical="center" wrapText="1"/>
    </xf>
    <xf numFmtId="0" fontId="52" fillId="42" borderId="99" xfId="0" applyFont="1" applyFill="1" applyBorder="1" applyAlignment="1" applyProtection="1">
      <alignment horizontal="center" vertical="center" wrapText="1"/>
    </xf>
    <xf numFmtId="0" fontId="52" fillId="42" borderId="101" xfId="0" applyFont="1" applyFill="1" applyBorder="1" applyAlignment="1" applyProtection="1">
      <alignment horizontal="center" vertical="center" wrapText="1"/>
    </xf>
    <xf numFmtId="0" fontId="52" fillId="42" borderId="166" xfId="0" applyFont="1" applyFill="1" applyBorder="1" applyAlignment="1" applyProtection="1">
      <alignment horizontal="center" vertical="center" wrapText="1"/>
    </xf>
    <xf numFmtId="0" fontId="52" fillId="42" borderId="119" xfId="0" applyFont="1" applyFill="1" applyBorder="1" applyAlignment="1" applyProtection="1">
      <alignment horizontal="center" vertical="center" wrapText="1"/>
    </xf>
    <xf numFmtId="0" fontId="52" fillId="42" borderId="81" xfId="0" applyFont="1" applyFill="1" applyBorder="1" applyAlignment="1" applyProtection="1">
      <alignment horizontal="center" vertical="center" wrapText="1"/>
    </xf>
    <xf numFmtId="0" fontId="15" fillId="8" borderId="106" xfId="0" applyFont="1" applyFill="1" applyBorder="1" applyAlignment="1" applyProtection="1">
      <alignment horizontal="center" vertical="center" wrapText="1"/>
    </xf>
    <xf numFmtId="0" fontId="15" fillId="8" borderId="223" xfId="0" applyFont="1" applyFill="1" applyBorder="1" applyAlignment="1" applyProtection="1">
      <alignment horizontal="center" vertical="center" wrapText="1"/>
    </xf>
    <xf numFmtId="0" fontId="149" fillId="8" borderId="10" xfId="0" applyFont="1" applyFill="1" applyBorder="1" applyAlignment="1" applyProtection="1">
      <alignment horizontal="center"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0" fillId="16" borderId="114" xfId="0" applyFill="1" applyBorder="1" applyAlignment="1" applyProtection="1">
      <alignment horizontal="center" vertical="center"/>
    </xf>
    <xf numFmtId="0" fontId="0" fillId="16" borderId="110" xfId="0" applyFill="1" applyBorder="1" applyAlignment="1" applyProtection="1">
      <alignment horizontal="center" vertical="center"/>
    </xf>
    <xf numFmtId="0" fontId="0" fillId="16" borderId="112" xfId="0" applyFill="1" applyBorder="1" applyAlignment="1" applyProtection="1">
      <alignment horizontal="center" vertical="center"/>
    </xf>
    <xf numFmtId="0" fontId="0" fillId="16" borderId="116" xfId="0" applyFill="1" applyBorder="1" applyAlignment="1" applyProtection="1">
      <alignment horizontal="center" vertical="center"/>
    </xf>
    <xf numFmtId="0" fontId="0" fillId="16" borderId="129" xfId="0" applyFill="1" applyBorder="1" applyAlignment="1" applyProtection="1">
      <alignment horizontal="center" vertical="center"/>
    </xf>
    <xf numFmtId="0" fontId="0" fillId="16" borderId="130" xfId="0"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0" fillId="30" borderId="120"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2" xfId="0" applyFill="1" applyBorder="1" applyAlignment="1" applyProtection="1">
      <alignment horizontal="center" wrapText="1"/>
    </xf>
    <xf numFmtId="0" fontId="9" fillId="30" borderId="110" xfId="0" applyFont="1" applyFill="1" applyBorder="1" applyAlignment="1" applyProtection="1">
      <alignment horizontal="center" vertical="top" wrapText="1"/>
    </xf>
    <xf numFmtId="0" fontId="9" fillId="30" borderId="112" xfId="0" applyFont="1" applyFill="1" applyBorder="1" applyAlignment="1" applyProtection="1">
      <alignment horizontal="center" vertical="top" wrapText="1"/>
    </xf>
    <xf numFmtId="0" fontId="38" fillId="8" borderId="10"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wrapText="1"/>
    </xf>
    <xf numFmtId="0" fontId="52" fillId="8" borderId="22" xfId="0" applyFont="1" applyFill="1" applyBorder="1" applyAlignment="1" applyProtection="1">
      <alignment horizontal="center"/>
    </xf>
    <xf numFmtId="0" fontId="38" fillId="8" borderId="227" xfId="0" applyFont="1" applyFill="1" applyBorder="1" applyAlignment="1" applyProtection="1">
      <alignment horizontal="center" vertical="center" wrapText="1"/>
    </xf>
    <xf numFmtId="0" fontId="38" fillId="8" borderId="257" xfId="0" applyFont="1" applyFill="1" applyBorder="1" applyAlignment="1" applyProtection="1">
      <alignment horizontal="center" vertical="center" wrapText="1"/>
    </xf>
    <xf numFmtId="0" fontId="52" fillId="8" borderId="22" xfId="0" applyFont="1" applyFill="1" applyBorder="1" applyAlignment="1" applyProtection="1">
      <alignment horizontal="right" vertical="center"/>
    </xf>
    <xf numFmtId="0" fontId="52" fillId="8" borderId="17" xfId="0" applyFont="1" applyFill="1" applyBorder="1" applyAlignment="1" applyProtection="1">
      <alignment horizontal="left" vertical="center"/>
    </xf>
    <xf numFmtId="0" fontId="30" fillId="8" borderId="7" xfId="0" applyNumberFormat="1" applyFont="1" applyFill="1" applyBorder="1" applyAlignment="1" applyProtection="1">
      <alignment horizontal="center" vertical="center"/>
    </xf>
    <xf numFmtId="0" fontId="15" fillId="8" borderId="227" xfId="0" applyFont="1" applyFill="1" applyBorder="1" applyAlignment="1" applyProtection="1">
      <alignment horizontal="center" vertical="center" wrapText="1"/>
    </xf>
    <xf numFmtId="0" fontId="15" fillId="8" borderId="257" xfId="0" applyFont="1" applyFill="1" applyBorder="1" applyAlignment="1" applyProtection="1">
      <alignment horizontal="center" vertical="center" wrapText="1"/>
    </xf>
    <xf numFmtId="0" fontId="52" fillId="8" borderId="14" xfId="0" applyFont="1" applyFill="1" applyBorder="1" applyAlignment="1" applyProtection="1">
      <alignment horizontal="center" vertical="center" wrapText="1"/>
    </xf>
    <xf numFmtId="0" fontId="30" fillId="8" borderId="104" xfId="0" applyFont="1" applyFill="1" applyBorder="1" applyAlignment="1" applyProtection="1">
      <alignment horizontal="center" vertical="center"/>
    </xf>
    <xf numFmtId="0" fontId="30" fillId="8" borderId="75" xfId="0" applyFont="1" applyFill="1" applyBorder="1" applyAlignment="1" applyProtection="1">
      <alignment horizontal="center" vertical="center"/>
    </xf>
    <xf numFmtId="0" fontId="38" fillId="8" borderId="7" xfId="0" applyFont="1" applyFill="1" applyBorder="1" applyAlignment="1" applyProtection="1">
      <alignment horizontal="center" vertical="center"/>
    </xf>
    <xf numFmtId="0" fontId="30" fillId="8" borderId="7" xfId="0" applyFont="1" applyFill="1" applyBorder="1" applyAlignment="1" applyProtection="1">
      <alignment horizontal="center" vertical="center" wrapText="1"/>
    </xf>
    <xf numFmtId="0" fontId="52" fillId="8" borderId="16" xfId="0" applyFont="1" applyFill="1" applyBorder="1" applyAlignment="1" applyProtection="1">
      <alignment horizontal="left" vertical="center"/>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8" fillId="3" borderId="71" xfId="0" applyFont="1"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5" fillId="8" borderId="75" xfId="0" applyFont="1" applyFill="1" applyBorder="1" applyAlignment="1" applyProtection="1">
      <alignment horizontal="center" vertical="center" wrapText="1"/>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6" xfId="0" applyFont="1" applyFill="1" applyBorder="1" applyAlignment="1">
      <alignment horizontal="center"/>
    </xf>
    <xf numFmtId="0" fontId="0" fillId="19" borderId="268"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0" fontId="10" fillId="39" borderId="110" xfId="0" applyFont="1" applyFill="1" applyBorder="1" applyAlignment="1">
      <alignment horizontal="center"/>
    </xf>
    <xf numFmtId="49" fontId="13" fillId="56" borderId="336"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6" xfId="0" applyFont="1" applyFill="1" applyBorder="1" applyAlignment="1">
      <alignment horizontal="center"/>
    </xf>
    <xf numFmtId="0" fontId="13" fillId="19" borderId="79" xfId="0" applyFont="1" applyFill="1" applyBorder="1" applyAlignment="1">
      <alignment horizontal="center"/>
    </xf>
    <xf numFmtId="0" fontId="10" fillId="39" borderId="162" xfId="0" applyFont="1" applyFill="1" applyBorder="1" applyAlignment="1">
      <alignment horizont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9"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70" xfId="0" applyFont="1" applyFill="1" applyBorder="1" applyAlignment="1" applyProtection="1">
      <alignment horizontal="center" vertical="center"/>
    </xf>
    <xf numFmtId="0" fontId="15" fillId="8" borderId="343" xfId="0" applyFont="1" applyFill="1" applyBorder="1" applyAlignment="1" applyProtection="1">
      <alignment horizontal="center" vertical="center" wrapText="1"/>
    </xf>
    <xf numFmtId="0" fontId="52" fillId="42" borderId="160" xfId="0" applyFont="1" applyFill="1" applyBorder="1" applyAlignment="1" applyProtection="1">
      <alignment horizontal="center" vertical="center" wrapText="1"/>
    </xf>
    <xf numFmtId="0" fontId="38" fillId="8" borderId="102"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0" fillId="43" borderId="266" xfId="0" applyFill="1" applyBorder="1" applyAlignment="1" applyProtection="1">
      <alignment horizontal="center" vertical="center" wrapText="1"/>
    </xf>
    <xf numFmtId="0" fontId="0" fillId="43" borderId="89" xfId="0" applyFill="1" applyBorder="1" applyAlignment="1" applyProtection="1">
      <alignment horizontal="center" vertical="center" wrapText="1"/>
    </xf>
    <xf numFmtId="0" fontId="0" fillId="43" borderId="155" xfId="0" applyFill="1" applyBorder="1" applyAlignment="1" applyProtection="1">
      <alignment horizontal="center"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8" fillId="8" borderId="7" xfId="0" applyFont="1" applyFill="1" applyBorder="1" applyAlignment="1" applyProtection="1">
      <alignment horizontal="center"/>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0" fillId="0" borderId="109" xfId="0" applyBorder="1" applyAlignment="1" applyProtection="1">
      <alignment horizontal="left"/>
    </xf>
    <xf numFmtId="0" fontId="0" fillId="0" borderId="357" xfId="0" applyBorder="1" applyAlignment="1" applyProtection="1">
      <alignment horizontal="left"/>
    </xf>
    <xf numFmtId="0" fontId="0" fillId="0" borderId="361" xfId="0" applyBorder="1" applyAlignment="1" applyProtection="1">
      <alignment horizontal="left"/>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34" fillId="53" borderId="104" xfId="0" applyFont="1" applyFill="1" applyBorder="1" applyAlignment="1">
      <alignment horizontal="center" vertical="center" wrapText="1"/>
    </xf>
    <xf numFmtId="49" fontId="0" fillId="3" borderId="68"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wrapText="1"/>
    </xf>
    <xf numFmtId="0" fontId="113" fillId="8" borderId="0"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113" fillId="8" borderId="75" xfId="0" applyFont="1" applyFill="1" applyBorder="1" applyAlignment="1" applyProtection="1">
      <alignment horizontal="center" vertical="center" wrapText="1"/>
    </xf>
    <xf numFmtId="0" fontId="113" fillId="8" borderId="154"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7" xfId="0" applyFont="1" applyFill="1" applyBorder="1" applyAlignment="1" applyProtection="1">
      <alignment horizontal="center" vertical="center"/>
    </xf>
    <xf numFmtId="0" fontId="52" fillId="8" borderId="305" xfId="0" applyFont="1" applyFill="1" applyBorder="1" applyAlignment="1" applyProtection="1">
      <alignment horizontal="center" vertical="center"/>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3" xfId="0" applyFont="1" applyFill="1" applyBorder="1" applyAlignment="1" applyProtection="1">
      <alignment horizontal="center" vertical="center" wrapText="1"/>
    </xf>
    <xf numFmtId="0" fontId="52" fillId="8" borderId="87" xfId="0" applyFont="1" applyFill="1" applyBorder="1" applyAlignment="1" applyProtection="1">
      <alignment horizontal="center" wrapText="1"/>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52" fillId="0" borderId="0" xfId="0" applyFont="1" applyFill="1" applyBorder="1" applyAlignment="1" applyProtection="1">
      <alignment horizont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60" fillId="12" borderId="89"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8" fillId="21" borderId="111" xfId="0" applyFont="1" applyFill="1" applyBorder="1" applyAlignment="1" applyProtection="1">
      <alignment horizontal="center"/>
    </xf>
    <xf numFmtId="0" fontId="60" fillId="12" borderId="80"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0" fillId="16" borderId="89" xfId="0" applyFill="1" applyBorder="1"/>
    <xf numFmtId="0" fontId="0" fillId="16" borderId="90" xfId="0" applyFill="1" applyBorder="1"/>
    <xf numFmtId="0" fontId="0" fillId="22" borderId="109" xfId="0" applyFill="1" applyBorder="1" applyAlignment="1">
      <alignment horizontal="left"/>
    </xf>
    <xf numFmtId="0" fontId="0" fillId="22" borderId="120" xfId="0" applyFill="1" applyBorder="1" applyAlignment="1">
      <alignment horizontal="left"/>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87" xfId="0" applyFont="1" applyFill="1" applyBorder="1" applyAlignment="1" applyProtection="1">
      <alignment horizontal="center"/>
    </xf>
    <xf numFmtId="0" fontId="60" fillId="12" borderId="90" xfId="0" applyFont="1" applyFill="1" applyBorder="1" applyAlignment="1" applyProtection="1">
      <alignment horizontal="center"/>
    </xf>
    <xf numFmtId="0" fontId="60" fillId="16" borderId="0" xfId="0" applyFont="1" applyFill="1" applyBorder="1" applyAlignment="1">
      <alignment horizontal="center"/>
    </xf>
    <xf numFmtId="0" fontId="0" fillId="16" borderId="0" xfId="0" applyFill="1" applyBorder="1" applyAlignment="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60" fillId="12" borderId="75"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13" fillId="23" borderId="73" xfId="0" applyFont="1" applyFill="1" applyBorder="1" applyAlignment="1" applyProtection="1">
      <alignment horizontal="left" vertical="center" wrapText="1"/>
    </xf>
    <xf numFmtId="0" fontId="47" fillId="23" borderId="73" xfId="0" applyFont="1" applyFill="1" applyBorder="1" applyAlignment="1" applyProtection="1">
      <alignment horizontal="right"/>
    </xf>
    <xf numFmtId="0" fontId="12" fillId="23" borderId="73" xfId="0" applyFont="1" applyFill="1" applyBorder="1" applyAlignment="1" applyProtection="1">
      <alignment horizontal="right" vertical="center"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52" fillId="23" borderId="125" xfId="0" applyFont="1" applyFill="1" applyBorder="1" applyAlignment="1" applyProtection="1">
      <alignment horizontal="center" vertical="center" wrapText="1"/>
      <protection locked="0"/>
    </xf>
    <xf numFmtId="0" fontId="152" fillId="23" borderId="164" xfId="0" applyFont="1" applyFill="1" applyBorder="1" applyAlignment="1" applyProtection="1">
      <alignment horizontal="center" vertical="center" wrapText="1"/>
      <protection locked="0"/>
    </xf>
    <xf numFmtId="0" fontId="106" fillId="22" borderId="109" xfId="0" applyFont="1" applyFill="1" applyBorder="1" applyAlignment="1" applyProtection="1">
      <alignment horizontal="right" vertical="center" wrapText="1"/>
    </xf>
    <xf numFmtId="0" fontId="106" fillId="22" borderId="267" xfId="0" applyFont="1" applyFill="1" applyBorder="1" applyAlignment="1" applyProtection="1">
      <alignment horizontal="right" vertical="center" wrapText="1"/>
    </xf>
    <xf numFmtId="0" fontId="152" fillId="23" borderId="111" xfId="0" applyFont="1" applyFill="1" applyBorder="1" applyAlignment="1" applyProtection="1">
      <alignment horizontal="center" vertical="center" wrapText="1"/>
    </xf>
    <xf numFmtId="0" fontId="152" fillId="23" borderId="267" xfId="0"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82" fillId="23" borderId="87" xfId="12" applyNumberFormat="1"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8" fillId="23" borderId="89" xfId="0" applyFont="1" applyFill="1" applyBorder="1" applyAlignment="1" applyProtection="1">
      <alignment horizontal="center"/>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12" borderId="89" xfId="0" applyFont="1" applyFill="1" applyBorder="1" applyAlignment="1" applyProtection="1">
      <alignment horizontal="center"/>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47" fillId="23" borderId="87" xfId="0" applyFont="1" applyFill="1" applyBorder="1" applyAlignment="1" applyProtection="1">
      <alignment horizontal="right"/>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847">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10"/>
      </font>
    </dxf>
    <dxf>
      <font>
        <color theme="0"/>
      </font>
    </dxf>
    <dxf>
      <font>
        <color theme="0"/>
      </font>
    </dxf>
    <dxf>
      <font>
        <color theme="0"/>
      </font>
    </dxf>
    <dxf>
      <font>
        <color theme="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color theme="0"/>
      </font>
    </dxf>
    <dxf>
      <font>
        <color theme="0"/>
      </font>
    </dxf>
    <dxf>
      <font>
        <color theme="0"/>
      </font>
    </dxf>
    <dxf>
      <font>
        <color theme="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color theme="0"/>
      </font>
    </dxf>
    <dxf>
      <font>
        <color theme="0"/>
      </font>
    </dxf>
    <dxf>
      <font>
        <color theme="0"/>
      </font>
    </dxf>
    <dxf>
      <font>
        <color rgb="FFFF0000"/>
      </font>
    </dxf>
    <dxf>
      <font>
        <color rgb="FFFF0000"/>
      </font>
    </dxf>
    <dxf>
      <font>
        <b val="0"/>
        <i/>
        <condense val="0"/>
        <extend val="0"/>
        <color indexed="10"/>
      </font>
    </dxf>
    <dxf>
      <font>
        <color rgb="FFFF000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12" dataDxfId="211">
  <autoFilter ref="A14:A25" xr:uid="{00000000-0009-0000-0100-000012000000}"/>
  <tableColumns count="1">
    <tableColumn id="1" xr3:uid="{00000000-0010-0000-0000-000001000000}" name="Habilidad_de_Ataque" dataDxfId="2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09" dataDxfId="208">
  <autoFilter ref="A26:A33" xr:uid="{00000000-0009-0000-0100-000013000000}"/>
  <tableColumns count="1">
    <tableColumn id="1" xr3:uid="{00000000-0010-0000-0100-000001000000}" name="Habilidad_de_Ataque_Completa" dataDxfId="20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206" dataDxfId="205">
  <autoFilter ref="A34:A42" xr:uid="{00000000-0009-0000-0100-000014000000}"/>
  <tableColumns count="1">
    <tableColumn id="1" xr3:uid="{00000000-0010-0000-0200-000001000000}" name="Ataque_Predeterminado" dataDxfId="20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203" dataDxfId="202">
  <autoFilter ref="A43:A54" xr:uid="{00000000-0009-0000-0100-000015000000}"/>
  <tableColumns count="1">
    <tableColumn id="1" xr3:uid="{00000000-0010-0000-0300-000001000000}" name="Habilidad_de_Contraataque" dataDxfId="2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200" dataDxfId="199">
  <autoFilter ref="A55:A61" xr:uid="{00000000-0009-0000-0100-000016000000}"/>
  <tableColumns count="1">
    <tableColumn id="1" xr3:uid="{00000000-0010-0000-0400-000001000000}" name="Maniobras_de_Combate_y_Apuntar" dataDxfId="19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97" dataDxfId="196">
  <autoFilter ref="A62:A65" xr:uid="{00000000-0009-0000-0100-000017000000}"/>
  <tableColumns count="1">
    <tableColumn id="1" xr3:uid="{00000000-0010-0000-0500-000001000000}" name="Maniobras_de_Combate_y_Apuntar_Reales" dataDxfId="19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94" dataDxfId="193">
  <autoFilter ref="A66:A69" xr:uid="{00000000-0009-0000-0100-000018000000}"/>
  <tableColumns count="1">
    <tableColumn id="1" xr3:uid="{00000000-0010-0000-0600-000001000000}" name="Ataque_Indirecto" dataDxfId="19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91" dataDxfId="190">
  <autoFilter ref="A70:A78" xr:uid="{00000000-0009-0000-0100-000019000000}"/>
  <tableColumns count="1">
    <tableColumn id="1" xr3:uid="{00000000-0010-0000-0700-000001000000}" name="Camuflar_Ataque" dataDxfId="18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8" dataDxfId="187">
  <autoFilter ref="A80:A91" xr:uid="{00000000-0009-0000-0100-00001A000000}"/>
  <tableColumns count="1">
    <tableColumn id="1" xr3:uid="{00000000-0010-0000-0800-000001000000}" name="Habilidad_de_Parada" dataDxfId="18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85" dataDxfId="184">
  <autoFilter ref="A92:A99" xr:uid="{00000000-0009-0000-0100-00001B000000}"/>
  <tableColumns count="1">
    <tableColumn id="1" xr3:uid="{00000000-0010-0000-0900-000001000000}" name="Habilidad_de_Parada_Completa" dataDxfId="18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82" dataDxfId="181">
  <autoFilter ref="A100:A111" xr:uid="{00000000-0009-0000-0100-00001C000000}"/>
  <tableColumns count="1">
    <tableColumn id="1" xr3:uid="{00000000-0010-0000-0A00-000001000000}" name="Habilidad_de_Parada_Limitada" dataDxfId="18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79" dataDxfId="178">
  <autoFilter ref="A112:A123" xr:uid="{00000000-0009-0000-0100-00001D000000}"/>
  <tableColumns count="1">
    <tableColumn id="1" xr3:uid="{00000000-0010-0000-0B00-000001000000}" name="Habilidad_de_Esquiva" dataDxfId="17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76" dataDxfId="175">
  <autoFilter ref="A124:A131" xr:uid="{00000000-0009-0000-0100-00001E000000}"/>
  <tableColumns count="1">
    <tableColumn id="1" xr3:uid="{00000000-0010-0000-0C00-000001000000}" name="Habilidad_de_Esquiva_Completa" dataDxfId="17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73" dataDxfId="172">
  <autoFilter ref="A132:A143" xr:uid="{00000000-0009-0000-0100-00001F000000}"/>
  <tableColumns count="1">
    <tableColumn id="1" xr3:uid="{00000000-0010-0000-0D00-000001000000}" name="Habilidad_de_Esquiva_Limitada" dataDxfId="17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70" dataDxfId="169">
  <autoFilter ref="A144:A152" xr:uid="{00000000-0009-0000-0100-000020000000}"/>
  <tableColumns count="1">
    <tableColumn id="1" xr3:uid="{00000000-0010-0000-0E00-000001000000}" name="Defensa_Predeterminada" dataDxfId="16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67" dataDxfId="166">
  <autoFilter ref="A153:A171" xr:uid="{00000000-0009-0000-0100-000021000000}"/>
  <tableColumns count="1">
    <tableColumn id="1" xr3:uid="{00000000-0010-0000-0F00-000001000000}" name="Aumento_de_Daño" dataDxfId="16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64" dataDxfId="163">
  <autoFilter ref="A172:A179" xr:uid="{00000000-0009-0000-0100-000022000000}"/>
  <tableColumns count="1">
    <tableColumn id="1" xr3:uid="{00000000-0010-0000-1000-000001000000}" name="Aumento_de_Daño_Real" dataDxfId="16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61" dataDxfId="160">
  <autoFilter ref="A180:A183" xr:uid="{00000000-0009-0000-0100-000023000000}"/>
  <tableColumns count="1">
    <tableColumn id="1" xr3:uid="{00000000-0010-0000-1100-000001000000}" name="Multiplicador_al_Daño" dataDxfId="159"/>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8" dataDxfId="157">
  <autoFilter ref="A184:A187" xr:uid="{00000000-0009-0000-0100-000024000000}"/>
  <tableColumns count="1">
    <tableColumn id="1" xr3:uid="{00000000-0010-0000-1200-000001000000}" name="Multiplicador_al_Daño_Real" dataDxfId="156"/>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55" dataDxfId="154">
  <autoFilter ref="A188:A195" xr:uid="{00000000-0009-0000-0100-000026000000}"/>
  <tableColumns count="1">
    <tableColumn id="1" xr3:uid="{00000000-0010-0000-1300-000001000000}" name="Sustitución_de_Daño" dataDxfId="153"/>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52" dataDxfId="151">
  <autoFilter ref="A196:A202" xr:uid="{00000000-0009-0000-0100-000027000000}"/>
  <tableColumns count="1">
    <tableColumn id="1" xr3:uid="{00000000-0010-0000-1400-000001000000}" name="Sustitución_de_Daño_Real" dataDxfId="15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49" dataDxfId="148">
  <autoFilter ref="A204:A216" xr:uid="{00000000-0009-0000-0100-000028000000}"/>
  <tableColumns count="1">
    <tableColumn id="1" xr3:uid="{00000000-0010-0000-1500-000001000000}" name="Ataque_Adicional" dataDxfId="147"/>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46" dataDxfId="145">
  <autoFilter ref="A217:A227" xr:uid="{00000000-0009-0000-0100-000029000000}"/>
  <tableColumns count="1">
    <tableColumn id="1" xr3:uid="{00000000-0010-0000-1600-000001000000}" name="Ataque_Adicional_Limitado" dataDxfId="144"/>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43" dataDxfId="142">
  <autoFilter ref="A228:A238" xr:uid="{00000000-0009-0000-0100-00002A000000}"/>
  <tableColumns count="1">
    <tableColumn id="1" xr3:uid="{00000000-0010-0000-1700-000001000000}" name="Defensas_Adicionales" dataDxfId="14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40" dataDxfId="139">
  <autoFilter ref="A239:A249" xr:uid="{00000000-0009-0000-0100-00002B000000}"/>
  <tableColumns count="1">
    <tableColumn id="1" xr3:uid="{00000000-0010-0000-1800-000001000000}" name="Acciones_Adicionales" dataDxfId="138"/>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37" dataDxfId="136">
  <autoFilter ref="A251:A259" xr:uid="{00000000-0009-0000-0100-00002C000000}"/>
  <tableColumns count="1">
    <tableColumn id="1" xr3:uid="{00000000-0010-0000-1900-000001000000}" name="Incrementar_Turno" dataDxfId="13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34" dataDxfId="133">
  <autoFilter ref="A260:A261" xr:uid="{00000000-0009-0000-0100-00002D000000}"/>
  <tableColumns count="1">
    <tableColumn id="1" xr3:uid="{00000000-0010-0000-1A00-000001000000}" name="Recuperar_Acción" dataDxfId="132"/>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31" dataDxfId="130">
  <autoFilter ref="A262:A264" xr:uid="{00000000-0009-0000-0100-00002E000000}"/>
  <tableColumns count="1">
    <tableColumn id="1" xr3:uid="{00000000-0010-0000-1B00-000001000000}" name="Previsión" dataDxfId="129"/>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8" dataDxfId="127">
  <autoFilter ref="A266:A281" xr:uid="{00000000-0009-0000-0100-00002F000000}"/>
  <tableColumns count="1">
    <tableColumn id="1" xr3:uid="{00000000-0010-0000-1C00-000001000000}" name="Ataque_a_Distancia" dataDxfId="126"/>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25" dataDxfId="124">
  <autoFilter ref="A282:A290" xr:uid="{00000000-0009-0000-0100-000030000000}"/>
  <tableColumns count="1">
    <tableColumn id="1" xr3:uid="{00000000-0010-0000-1D00-000001000000}" name="Ataque_a_Distancia_Real" dataDxfId="123"/>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22" dataDxfId="121">
  <autoFilter ref="A291:A302" xr:uid="{00000000-0009-0000-0100-000031000000}"/>
  <tableColumns count="1">
    <tableColumn id="1" xr3:uid="{00000000-0010-0000-1E00-000001000000}" name="Ataque_con_Área" dataDxfId="12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19" dataDxfId="118">
  <autoFilter ref="A303:A311" xr:uid="{00000000-0009-0000-0100-000032000000}"/>
  <tableColumns count="1">
    <tableColumn id="1" xr3:uid="{00000000-0010-0000-1F00-000001000000}" name="Ataque_con_Área_Real" dataDxfId="117"/>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16" dataDxfId="115">
  <autoFilter ref="A312:A320" xr:uid="{00000000-0009-0000-0100-000033000000}"/>
  <tableColumns count="1">
    <tableColumn id="1" xr3:uid="{00000000-0010-0000-2000-000001000000}" name="Parada_en_Área" dataDxfId="114"/>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13" dataDxfId="112">
  <autoFilter ref="A321:A331" xr:uid="{00000000-0009-0000-0100-000034000000}"/>
  <tableColumns count="1">
    <tableColumn id="1" xr3:uid="{00000000-0010-0000-2100-000001000000}" name="Transporte_Automático" dataDxfId="11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10" dataDxfId="109">
  <autoFilter ref="A333:A341" xr:uid="{00000000-0009-0000-0100-000035000000}"/>
  <tableColumns count="1">
    <tableColumn id="1" xr3:uid="{00000000-0010-0000-2200-000001000000}" name="Aumentar_Rotura" dataDxfId="108"/>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107" dataDxfId="106">
  <autoFilter ref="A342:A349" xr:uid="{00000000-0009-0000-0100-000036000000}"/>
  <tableColumns count="1">
    <tableColumn id="1" xr3:uid="{00000000-0010-0000-2300-000001000000}" name="Aumentar_Entereza" dataDxfId="105"/>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04" dataDxfId="103">
  <autoFilter ref="A350:A359" xr:uid="{00000000-0009-0000-0100-000037000000}"/>
  <tableColumns count="1">
    <tableColumn id="1" xr3:uid="{00000000-0010-0000-2400-000001000000}" name="Destruir_Armadura" dataDxfId="10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101" dataDxfId="100">
  <autoFilter ref="A360:A374" xr:uid="{00000000-0009-0000-0100-000038000000}"/>
  <tableColumns count="1">
    <tableColumn id="1" xr3:uid="{00000000-0010-0000-2500-000001000000}" name="Armadura" dataDxfId="99"/>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8" dataDxfId="97">
  <autoFilter ref="A376:A381" xr:uid="{00000000-0009-0000-0100-000039000000}"/>
  <tableColumns count="1">
    <tableColumn id="1" xr3:uid="{00000000-0010-0000-2600-000001000000}" name="Incremento_de_Movimiento" dataDxfId="96"/>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95" dataDxfId="94">
  <autoFilter ref="A382:A388" xr:uid="{00000000-0009-0000-0100-00003A000000}"/>
  <tableColumns count="1">
    <tableColumn id="1" xr3:uid="{00000000-0010-0000-2700-000001000000}" name="Incremento_de_Habilidad" dataDxfId="93"/>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92" dataDxfId="91">
  <autoFilter ref="A389:A397" xr:uid="{00000000-0009-0000-0100-00003B000000}"/>
  <tableColumns count="1">
    <tableColumn id="1" xr3:uid="{00000000-0010-0000-2800-000001000000}" name="Capacidad_Incrementada_AGI" dataDxfId="90"/>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89" dataDxfId="88">
  <autoFilter ref="A398:A406" xr:uid="{00000000-0009-0000-0100-00003C000000}"/>
  <tableColumns count="1">
    <tableColumn id="1" xr3:uid="{00000000-0010-0000-2900-000001000000}" name="Capacidad_Incrementada_FUE" dataDxfId="87"/>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86" dataDxfId="85">
  <autoFilter ref="A407:A415" xr:uid="{00000000-0009-0000-0100-00003D000000}"/>
  <tableColumns count="1">
    <tableColumn id="1" xr3:uid="{00000000-0010-0000-2A00-000001000000}" name="Capacidad_Incrementada_DES" dataDxfId="84"/>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83" dataDxfId="82">
  <autoFilter ref="A416:A427" xr:uid="{00000000-0009-0000-0100-00003E000000}"/>
  <tableColumns count="1">
    <tableColumn id="1" xr3:uid="{00000000-0010-0000-2B00-000001000000}" name="Incremento_de_Resistencia_Física" dataDxfId="8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80" dataDxfId="79">
  <autoFilter ref="A428:A436" xr:uid="{00000000-0009-0000-0100-00003F000000}"/>
  <tableColumns count="1">
    <tableColumn id="1" xr3:uid="{00000000-0010-0000-2C00-000001000000}" name="Incremento_de_Resistencia_Mágica" dataDxfId="78"/>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7" dataDxfId="76">
  <autoFilter ref="A437:A445" xr:uid="{00000000-0009-0000-0100-000040000000}"/>
  <tableColumns count="1">
    <tableColumn id="1" xr3:uid="{00000000-0010-0000-2D00-000001000000}" name="Incremento_de_Resistencia_Psíquica" dataDxfId="75"/>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4" dataDxfId="73">
  <autoFilter ref="A446:A453" xr:uid="{00000000-0009-0000-0100-000041000000}"/>
  <tableColumns count="1">
    <tableColumn id="1" xr3:uid="{00000000-0010-0000-2E00-000001000000}" name="Habilidades_Perceptivas" dataDxfId="72"/>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71" dataDxfId="70">
  <autoFilter ref="A455:A456" xr:uid="{00000000-0009-0000-0100-000042000000}"/>
  <tableColumns count="1">
    <tableColumn id="1" xr3:uid="{00000000-0010-0000-2F00-000001000000}" name="Ataque_capaz_de_Dañar_Energía" dataDxfId="69"/>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8" dataDxfId="67">
  <autoFilter ref="A457:A458" xr:uid="{00000000-0009-0000-0100-000043000000}"/>
  <tableColumns count="1">
    <tableColumn id="1" xr3:uid="{00000000-0010-0000-3000-000001000000}" name="Ataque_Elemental" dataDxfId="66"/>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5" dataDxfId="64">
  <autoFilter ref="A459:A471" xr:uid="{00000000-0009-0000-0100-000044000000}"/>
  <tableColumns count="1">
    <tableColumn id="1" xr3:uid="{00000000-0010-0000-3100-000001000000}" name="Armas_Físicas_de_Ki" dataDxfId="63"/>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2" dataDxfId="61">
  <autoFilter ref="A472:A473" xr:uid="{00000000-0009-0000-0100-000045000000}"/>
  <tableColumns count="1">
    <tableColumn id="1" xr3:uid="{00000000-0010-0000-3200-000001000000}" name="Ataque_Sobrenatural" dataDxfId="60"/>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59" dataDxfId="58">
  <autoFilter ref="A474:A480" xr:uid="{00000000-0009-0000-0100-000046000000}"/>
  <tableColumns count="1">
    <tableColumn id="1" xr3:uid="{00000000-0010-0000-3300-000001000000}" name="Absorción_de_Ki" dataDxfId="57"/>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56" dataDxfId="55">
  <autoFilter ref="A481:A492" xr:uid="{00000000-0009-0000-0100-000047000000}"/>
  <tableColumns count="1">
    <tableColumn id="1" xr3:uid="{00000000-0010-0000-3400-000001000000}" name="Apresamiento" dataDxfId="54"/>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53" dataDxfId="52">
  <autoFilter ref="A493:A494" xr:uid="{00000000-0009-0000-0100-000048000000}"/>
  <tableColumns count="1">
    <tableColumn id="1" xr3:uid="{00000000-0010-0000-3500-000001000000}" name="Choque_Físico" dataDxfId="51"/>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50" dataDxfId="49">
  <autoFilter ref="A495:A508" xr:uid="{00000000-0009-0000-0100-000049000000}"/>
  <tableColumns count="1">
    <tableColumn id="1" xr3:uid="{00000000-0010-0000-3600-000001000000}" name="Acumulación" dataDxfId="48"/>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47" dataDxfId="46">
  <autoFilter ref="A509:A532" xr:uid="{00000000-0009-0000-0100-00004A000000}"/>
  <tableColumns count="1">
    <tableColumn id="1" xr3:uid="{00000000-0010-0000-3700-000001000000}" name="Espejismo" dataDxfId="45"/>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44" dataDxfId="43">
  <autoFilter ref="A533:A547" xr:uid="{00000000-0009-0000-0100-00004B000000}"/>
  <tableColumns count="1">
    <tableColumn id="1" xr3:uid="{00000000-0010-0000-3800-000001000000}" name="Escudo_de_Energía" dataDxfId="42"/>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41" dataDxfId="40">
  <autoFilter ref="A548:A604" xr:uid="{00000000-0009-0000-0100-00004C000000}"/>
  <tableColumns count="1">
    <tableColumn id="1" xr3:uid="{00000000-0010-0000-3900-000001000000}" name="Estados_Sobrenaturales" dataDxfId="39"/>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38" dataDxfId="37">
  <autoFilter ref="A605:A616" xr:uid="{00000000-0009-0000-0100-00004D000000}"/>
  <tableColumns count="1">
    <tableColumn id="1" xr3:uid="{00000000-0010-0000-3A00-000001000000}" name="Impacto" dataDxfId="36"/>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35" dataDxfId="34">
  <autoFilter ref="A617:A628" xr:uid="{00000000-0009-0000-0100-00004E000000}"/>
  <tableColumns count="1">
    <tableColumn id="1" xr3:uid="{00000000-0010-0000-3B00-000001000000}" name="Interrupción" dataDxfId="33"/>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32" dataDxfId="31">
  <autoFilter ref="A629:A635" xr:uid="{00000000-0009-0000-0100-00004F000000}"/>
  <tableColumns count="1">
    <tableColumn id="1" xr3:uid="{00000000-0010-0000-3C00-000001000000}" name="Intangibilidad" dataDxfId="30"/>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29" dataDxfId="28">
  <autoFilter ref="A636:A641" xr:uid="{00000000-0009-0000-0100-000050000000}"/>
  <tableColumns count="1">
    <tableColumn id="1" xr3:uid="{00000000-0010-0000-3D00-000001000000}" name="Marca" dataDxfId="27"/>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26" dataDxfId="25">
  <autoFilter ref="A642:A655" xr:uid="{00000000-0009-0000-0100-000051000000}"/>
  <tableColumns count="1">
    <tableColumn id="1" xr3:uid="{00000000-0010-0000-3E00-000001000000}" name="Potenciar_Crítico" dataDxfId="24"/>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23" dataDxfId="22">
  <autoFilter ref="A656:A665" xr:uid="{00000000-0009-0000-0100-000052000000}"/>
  <tableColumns count="1">
    <tableColumn id="1" xr3:uid="{00000000-0010-0000-3F00-000001000000}" name="Potenciar_Crítico_Real" dataDxfId="21"/>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20" dataDxfId="19">
  <autoFilter ref="A666:A671" xr:uid="{00000000-0009-0000-0100-000053000000}"/>
  <tableColumns count="1">
    <tableColumn id="1" xr3:uid="{00000000-0010-0000-4000-000001000000}" name="Reflectar_el_Ataque" dataDxfId="1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topLeftCell="A4" zoomScaleNormal="100" workbookViewId="0">
      <selection activeCell="AB26" sqref="AB26"/>
    </sheetView>
  </sheetViews>
  <sheetFormatPr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695" customWidth="1"/>
    <col min="22" max="24" width="5" style="1695" customWidth="1"/>
    <col min="25" max="25" width="2" style="1695" customWidth="1"/>
    <col min="26" max="36" width="5.7109375" style="1695"/>
    <col min="37" max="37" width="6" style="1695"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130"/>
      <c r="C2" s="1779"/>
      <c r="D2" s="1779"/>
      <c r="E2" s="1779"/>
      <c r="F2" s="1779"/>
      <c r="G2" s="1779"/>
      <c r="H2" s="1779"/>
      <c r="I2" s="1779"/>
      <c r="J2" s="1779"/>
      <c r="K2" s="1779"/>
      <c r="L2" s="1779"/>
      <c r="M2" s="1779"/>
      <c r="N2" s="1779"/>
      <c r="O2" s="1779"/>
      <c r="P2" s="1779"/>
      <c r="Q2" s="1779"/>
      <c r="R2" s="1779"/>
      <c r="S2" s="1781"/>
      <c r="T2" s="47"/>
    </row>
    <row r="3" spans="1:27" ht="12" customHeight="1" thickBot="1" x14ac:dyDescent="0.25">
      <c r="A3" s="45"/>
      <c r="B3" s="2131"/>
      <c r="C3" s="3138"/>
      <c r="D3" s="3138"/>
      <c r="E3" s="3138"/>
      <c r="F3" s="3138"/>
      <c r="G3" s="3138"/>
      <c r="H3" s="3138"/>
      <c r="I3" s="48"/>
      <c r="J3" s="48"/>
      <c r="K3" s="48"/>
      <c r="L3" s="48"/>
      <c r="M3" s="48"/>
      <c r="N3" s="48"/>
      <c r="O3" s="48"/>
      <c r="P3" s="48"/>
      <c r="Q3" s="48"/>
      <c r="R3" s="49"/>
      <c r="S3" s="1782"/>
      <c r="T3" s="47"/>
    </row>
    <row r="4" spans="1:27" ht="12" customHeight="1" thickBot="1" x14ac:dyDescent="0.25">
      <c r="A4" s="45"/>
      <c r="B4" s="2131"/>
      <c r="C4" s="3138"/>
      <c r="D4" s="3138"/>
      <c r="E4" s="3138"/>
      <c r="F4" s="3138"/>
      <c r="G4" s="3138"/>
      <c r="H4" s="3138"/>
      <c r="I4" s="52"/>
      <c r="J4" s="52"/>
      <c r="K4" s="3139" t="str">
        <f>IF(General!$G$22=0,"",General!$G$22)</f>
        <v/>
      </c>
      <c r="L4" s="3139"/>
      <c r="M4" s="3139"/>
      <c r="N4" s="3139"/>
      <c r="O4" s="3139"/>
      <c r="P4" s="3139"/>
      <c r="Q4" s="3139"/>
      <c r="R4" s="13"/>
      <c r="S4" s="1783"/>
      <c r="T4" s="53"/>
    </row>
    <row r="5" spans="1:27" ht="12" customHeight="1" thickBot="1" x14ac:dyDescent="0.25">
      <c r="A5" s="45"/>
      <c r="B5" s="2131"/>
      <c r="C5" s="3138"/>
      <c r="D5" s="3138"/>
      <c r="E5" s="3138"/>
      <c r="F5" s="3138"/>
      <c r="G5" s="3138"/>
      <c r="H5" s="3138"/>
      <c r="I5" s="52"/>
      <c r="J5" s="52"/>
      <c r="K5" s="3139"/>
      <c r="L5" s="3139"/>
      <c r="M5" s="3139"/>
      <c r="N5" s="3139"/>
      <c r="O5" s="3139"/>
      <c r="P5" s="3139"/>
      <c r="Q5" s="3139"/>
      <c r="R5" s="55"/>
      <c r="S5" s="1782"/>
      <c r="T5" s="53"/>
    </row>
    <row r="6" spans="1:27" ht="12" customHeight="1" thickBot="1" x14ac:dyDescent="0.25">
      <c r="A6" s="45"/>
      <c r="B6" s="2131"/>
      <c r="C6" s="3138"/>
      <c r="D6" s="3138"/>
      <c r="E6" s="3138"/>
      <c r="F6" s="3138"/>
      <c r="G6" s="3138"/>
      <c r="H6" s="3138"/>
      <c r="I6" s="52"/>
      <c r="J6" s="52"/>
      <c r="K6" s="3139"/>
      <c r="L6" s="3139"/>
      <c r="M6" s="3139"/>
      <c r="N6" s="3139"/>
      <c r="O6" s="3139"/>
      <c r="P6" s="3139"/>
      <c r="Q6" s="3139"/>
      <c r="R6" s="55"/>
      <c r="S6" s="1782"/>
      <c r="T6" s="53"/>
    </row>
    <row r="7" spans="1:27" ht="12" customHeight="1" thickBot="1" x14ac:dyDescent="0.25">
      <c r="A7" s="45"/>
      <c r="B7" s="2131"/>
      <c r="C7" s="3138"/>
      <c r="D7" s="3138"/>
      <c r="E7" s="3138"/>
      <c r="F7" s="3138"/>
      <c r="G7" s="3138"/>
      <c r="H7" s="3138"/>
      <c r="I7" s="52"/>
      <c r="J7" s="52"/>
      <c r="K7" s="3139"/>
      <c r="L7" s="3139"/>
      <c r="M7" s="3139"/>
      <c r="N7" s="3139"/>
      <c r="O7" s="3139"/>
      <c r="P7" s="3139"/>
      <c r="Q7" s="3139"/>
      <c r="R7" s="55"/>
      <c r="S7" s="1782"/>
      <c r="T7" s="53"/>
    </row>
    <row r="8" spans="1:27" ht="12" customHeight="1" thickBot="1" x14ac:dyDescent="0.25">
      <c r="A8" s="45"/>
      <c r="B8" s="2131"/>
      <c r="C8" s="3138"/>
      <c r="D8" s="3138"/>
      <c r="E8" s="3138"/>
      <c r="F8" s="3138"/>
      <c r="G8" s="3138"/>
      <c r="H8" s="3138"/>
      <c r="I8" s="59"/>
      <c r="J8" s="59"/>
      <c r="K8" s="59"/>
      <c r="L8" s="59"/>
      <c r="M8" s="59"/>
      <c r="N8" s="59"/>
      <c r="O8" s="59"/>
      <c r="P8" s="59"/>
      <c r="Q8" s="59"/>
      <c r="R8" s="60"/>
      <c r="S8" s="1782"/>
      <c r="T8" s="53"/>
    </row>
    <row r="9" spans="1:27" ht="12" customHeight="1" thickBot="1" x14ac:dyDescent="0.25">
      <c r="A9" s="45"/>
      <c r="B9" s="2131"/>
      <c r="C9" s="67"/>
      <c r="D9" s="67"/>
      <c r="E9" s="67"/>
      <c r="F9" s="67"/>
      <c r="G9" s="67"/>
      <c r="H9" s="67"/>
      <c r="I9" s="67"/>
      <c r="J9" s="67"/>
      <c r="K9" s="67"/>
      <c r="L9" s="67"/>
      <c r="M9" s="67"/>
      <c r="N9" s="67"/>
      <c r="O9" s="67"/>
      <c r="P9" s="67"/>
      <c r="Q9" s="67"/>
      <c r="R9" s="67"/>
      <c r="S9" s="1782"/>
      <c r="T9" s="53"/>
    </row>
    <row r="10" spans="1:27" ht="12" customHeight="1" x14ac:dyDescent="0.2">
      <c r="A10" s="45"/>
      <c r="B10" s="2131"/>
      <c r="C10" s="1711"/>
      <c r="D10" s="1576"/>
      <c r="E10" s="1576"/>
      <c r="F10" s="1576"/>
      <c r="G10" s="1576"/>
      <c r="H10" s="1576"/>
      <c r="I10" s="1576"/>
      <c r="J10" s="1576"/>
      <c r="K10" s="1576"/>
      <c r="L10" s="1576"/>
      <c r="M10" s="1576"/>
      <c r="N10" s="1576"/>
      <c r="O10" s="1576"/>
      <c r="P10" s="1576"/>
      <c r="Q10" s="1576"/>
      <c r="R10" s="1712"/>
      <c r="S10" s="1782"/>
      <c r="T10" s="53"/>
      <c r="V10" s="3168" t="s">
        <v>8665</v>
      </c>
      <c r="W10" s="3169"/>
      <c r="X10" s="3170"/>
    </row>
    <row r="11" spans="1:27" ht="12" customHeight="1" thickBot="1" x14ac:dyDescent="0.25">
      <c r="A11" s="45"/>
      <c r="B11" s="2132"/>
      <c r="C11" s="1713" t="s">
        <v>1627</v>
      </c>
      <c r="D11" s="355" t="str">
        <f>(PDs!S5+PDs!S7+PDs!S9+PDs!S11+PDs!S13)&amp;IF(Principal!AA27=0,""," + "&amp;Principal!AA27)</f>
        <v>0</v>
      </c>
      <c r="E11" s="356"/>
      <c r="F11" s="217"/>
      <c r="G11" s="217"/>
      <c r="H11" s="217"/>
      <c r="I11" s="217"/>
      <c r="J11" s="2124" t="s">
        <v>1672</v>
      </c>
      <c r="K11" s="3145" t="str">
        <f>Principal!K7</f>
        <v xml:space="preserve"> 10</v>
      </c>
      <c r="L11" s="3145"/>
      <c r="M11" s="3145"/>
      <c r="N11" s="3145"/>
      <c r="O11" s="3145"/>
      <c r="P11" s="3145"/>
      <c r="Q11" s="3145"/>
      <c r="R11" s="2125"/>
      <c r="S11" s="1782"/>
      <c r="T11" s="53"/>
      <c r="V11" s="3171"/>
      <c r="W11" s="3172"/>
      <c r="X11" s="3173"/>
    </row>
    <row r="12" spans="1:27" ht="12" customHeight="1" x14ac:dyDescent="0.2">
      <c r="A12" s="45"/>
      <c r="B12" s="2132"/>
      <c r="C12" s="3140" t="s">
        <v>2181</v>
      </c>
      <c r="D12" s="3141"/>
      <c r="E12" s="3141"/>
      <c r="F12" s="3142">
        <f>Principal!N11</f>
        <v>70</v>
      </c>
      <c r="G12" s="3142"/>
      <c r="H12" s="217"/>
      <c r="I12" s="217"/>
      <c r="J12" s="217"/>
      <c r="K12" s="3143" t="s">
        <v>1626</v>
      </c>
      <c r="L12" s="3143"/>
      <c r="M12" s="3144" t="str">
        <f>Principal!L5</f>
        <v/>
      </c>
      <c r="N12" s="3144"/>
      <c r="O12" s="3144"/>
      <c r="P12" s="217"/>
      <c r="Q12" s="217"/>
      <c r="R12" s="1714"/>
      <c r="S12" s="1782"/>
      <c r="T12" s="53"/>
      <c r="V12" s="3130"/>
      <c r="W12" s="3163"/>
      <c r="X12" s="3131"/>
      <c r="Z12" s="3130"/>
      <c r="AA12" s="3131"/>
    </row>
    <row r="13" spans="1:27" ht="12" customHeight="1" x14ac:dyDescent="0.2">
      <c r="A13" s="45"/>
      <c r="B13" s="2132"/>
      <c r="C13" s="2120" t="s">
        <v>2182</v>
      </c>
      <c r="D13" s="2123">
        <f>FUE</f>
        <v>5</v>
      </c>
      <c r="E13" s="2121" t="s">
        <v>2183</v>
      </c>
      <c r="F13" s="2123">
        <f>DES</f>
        <v>5</v>
      </c>
      <c r="G13" s="2121" t="s">
        <v>2184</v>
      </c>
      <c r="H13" s="2123">
        <f>AGI</f>
        <v>5</v>
      </c>
      <c r="I13" s="2121" t="s">
        <v>2185</v>
      </c>
      <c r="J13" s="2123">
        <f>CON</f>
        <v>5</v>
      </c>
      <c r="K13" s="2121" t="s">
        <v>2186</v>
      </c>
      <c r="L13" s="2123">
        <f>POD</f>
        <v>5</v>
      </c>
      <c r="M13" s="2121" t="s">
        <v>2187</v>
      </c>
      <c r="N13" s="2123">
        <f>INT</f>
        <v>5</v>
      </c>
      <c r="O13" s="2121" t="s">
        <v>2188</v>
      </c>
      <c r="P13" s="2123">
        <f>VOL</f>
        <v>5</v>
      </c>
      <c r="Q13" s="2121" t="s">
        <v>2189</v>
      </c>
      <c r="R13" s="2125">
        <f>PER</f>
        <v>5</v>
      </c>
      <c r="S13" s="1782"/>
      <c r="T13" s="53"/>
      <c r="V13" s="3132"/>
      <c r="W13" s="3164"/>
      <c r="X13" s="3133"/>
      <c r="Z13" s="3132"/>
      <c r="AA13" s="3133"/>
    </row>
    <row r="14" spans="1:27" ht="12" customHeight="1" x14ac:dyDescent="0.2">
      <c r="A14" s="45"/>
      <c r="B14" s="2132"/>
      <c r="C14" s="1715" t="s">
        <v>2190</v>
      </c>
      <c r="D14" s="2123">
        <f>Principal!J58</f>
        <v>20</v>
      </c>
      <c r="E14" s="357" t="s">
        <v>2191</v>
      </c>
      <c r="F14" s="2123">
        <f>Principal!J61</f>
        <v>20</v>
      </c>
      <c r="G14" s="357" t="s">
        <v>2192</v>
      </c>
      <c r="H14" s="2123">
        <f>Principal!J62</f>
        <v>20</v>
      </c>
      <c r="I14" s="357" t="s">
        <v>2193</v>
      </c>
      <c r="J14" s="2123">
        <f>Principal!J60</f>
        <v>20</v>
      </c>
      <c r="K14" s="357" t="s">
        <v>2194</v>
      </c>
      <c r="L14" s="2123">
        <f>Principal!J59</f>
        <v>20</v>
      </c>
      <c r="M14" s="56"/>
      <c r="N14" s="357" t="s">
        <v>2168</v>
      </c>
      <c r="O14" s="56"/>
      <c r="P14" s="2123">
        <f>Presencia_final</f>
        <v>20</v>
      </c>
      <c r="Q14" s="56"/>
      <c r="R14" s="1578"/>
      <c r="S14" s="1782"/>
      <c r="T14" s="53"/>
      <c r="V14" s="3132"/>
      <c r="W14" s="3164"/>
      <c r="X14" s="3133"/>
      <c r="Z14" s="3132"/>
      <c r="AA14" s="3133"/>
    </row>
    <row r="15" spans="1:27" ht="4.5" customHeight="1" x14ac:dyDescent="0.2">
      <c r="A15" s="45"/>
      <c r="B15" s="2132"/>
      <c r="C15" s="1716"/>
      <c r="D15" s="56"/>
      <c r="E15" s="56"/>
      <c r="F15" s="56"/>
      <c r="G15" s="56"/>
      <c r="H15" s="56"/>
      <c r="I15" s="56"/>
      <c r="J15" s="56"/>
      <c r="K15" s="56"/>
      <c r="L15" s="56"/>
      <c r="M15" s="56"/>
      <c r="N15" s="56"/>
      <c r="O15" s="56"/>
      <c r="P15" s="56"/>
      <c r="Q15" s="56"/>
      <c r="R15" s="1578"/>
      <c r="S15" s="1782"/>
      <c r="T15" s="53"/>
      <c r="V15" s="3132"/>
      <c r="W15" s="3164"/>
      <c r="X15" s="3133"/>
      <c r="Z15" s="3132"/>
      <c r="AA15" s="3133"/>
    </row>
    <row r="16" spans="1:27" ht="17.100000000000001" customHeight="1" x14ac:dyDescent="0.2">
      <c r="A16" s="45"/>
      <c r="B16" s="2132"/>
      <c r="C16" s="2122" t="s">
        <v>2195</v>
      </c>
      <c r="D16" s="3136"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35 Natural</v>
      </c>
      <c r="E16" s="3136"/>
      <c r="F16" s="3136"/>
      <c r="G16" s="3136"/>
      <c r="H16" s="3136"/>
      <c r="I16" s="3136"/>
      <c r="J16" s="3136"/>
      <c r="K16" s="3136"/>
      <c r="L16" s="3136"/>
      <c r="M16" s="3136"/>
      <c r="N16" s="3136"/>
      <c r="O16" s="3136"/>
      <c r="P16" s="3136"/>
      <c r="Q16" s="3136"/>
      <c r="R16" s="3137"/>
      <c r="S16" s="1782"/>
      <c r="T16" s="53"/>
      <c r="V16" s="3132"/>
      <c r="W16" s="3164"/>
      <c r="X16" s="3133"/>
      <c r="Z16" s="3132"/>
      <c r="AA16" s="3133"/>
    </row>
    <row r="17" spans="1:27" ht="17.100000000000001" customHeight="1" thickBot="1" x14ac:dyDescent="0.25">
      <c r="A17" s="45"/>
      <c r="B17" s="2132"/>
      <c r="C17" s="3140" t="s">
        <v>2196</v>
      </c>
      <c r="D17" s="3141"/>
      <c r="E17" s="3141"/>
      <c r="F17" s="3141"/>
      <c r="G17" s="3136"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136"/>
      <c r="I17" s="3136"/>
      <c r="J17" s="3136"/>
      <c r="K17" s="3136"/>
      <c r="L17" s="3136"/>
      <c r="M17" s="3136"/>
      <c r="N17" s="3136"/>
      <c r="O17" s="3136"/>
      <c r="P17" s="3136"/>
      <c r="Q17" s="3136"/>
      <c r="R17" s="3137"/>
      <c r="S17" s="1782"/>
      <c r="T17" s="53"/>
      <c r="V17" s="3132"/>
      <c r="W17" s="3164"/>
      <c r="X17" s="3133"/>
      <c r="Z17" s="3134"/>
      <c r="AA17" s="3135"/>
    </row>
    <row r="18" spans="1:27" ht="17.100000000000001" customHeight="1" x14ac:dyDescent="0.2">
      <c r="A18" s="45"/>
      <c r="B18" s="2131"/>
      <c r="C18" s="3140" t="s">
        <v>2197</v>
      </c>
      <c r="D18" s="3141"/>
      <c r="E18" s="3141"/>
      <c r="F18" s="3141"/>
      <c r="G18" s="3136"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136"/>
      <c r="I18" s="3136"/>
      <c r="J18" s="3136"/>
      <c r="K18" s="3136"/>
      <c r="L18" s="3136"/>
      <c r="M18" s="3136"/>
      <c r="N18" s="3136"/>
      <c r="O18" s="3136"/>
      <c r="P18" s="3136"/>
      <c r="Q18" s="3136"/>
      <c r="R18" s="3137"/>
      <c r="S18" s="1782"/>
      <c r="T18" s="53"/>
      <c r="V18" s="3132"/>
      <c r="W18" s="3164"/>
      <c r="X18" s="3133"/>
    </row>
    <row r="19" spans="1:27" ht="17.100000000000001" customHeight="1" x14ac:dyDescent="0.2">
      <c r="A19" s="45"/>
      <c r="B19" s="2131"/>
      <c r="C19" s="1717" t="s">
        <v>2198</v>
      </c>
      <c r="D19" s="3136"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v>
      </c>
      <c r="E19" s="3136"/>
      <c r="F19" s="3136"/>
      <c r="G19" s="3136"/>
      <c r="H19" s="3136"/>
      <c r="I19" s="3136"/>
      <c r="J19" s="3136"/>
      <c r="K19" s="3136"/>
      <c r="L19" s="3136"/>
      <c r="M19" s="3136"/>
      <c r="N19" s="3136"/>
      <c r="O19" s="3136"/>
      <c r="P19" s="3136"/>
      <c r="Q19" s="3136"/>
      <c r="R19" s="3137"/>
      <c r="S19" s="1782"/>
      <c r="T19" s="53"/>
      <c r="V19" s="3132"/>
      <c r="W19" s="3164"/>
      <c r="X19" s="3133"/>
    </row>
    <row r="20" spans="1:27" ht="12" customHeight="1" x14ac:dyDescent="0.2">
      <c r="A20" s="45"/>
      <c r="B20" s="2131"/>
      <c r="C20" s="1715" t="s">
        <v>2199</v>
      </c>
      <c r="D20" s="3142" t="str">
        <f>IF(Combate!E12=0,"",Combate!E12)&amp;IF(OR(Combate!E12=0,Combate!E13=0),""," + ")&amp;IF(Combate!E13=0,"",Combate!E13)&amp;IF(OR(AND(Combate!E12=0,Combate!E13=0),Combate!E14=0),""," + ")&amp;IF(Combate!E14=0,"",Combate!E14)</f>
        <v>Gabardina</v>
      </c>
      <c r="E20" s="3142"/>
      <c r="F20" s="3142"/>
      <c r="G20" s="3142"/>
      <c r="H20" s="3142"/>
      <c r="I20" s="3142"/>
      <c r="J20" s="3142"/>
      <c r="K20" s="56"/>
      <c r="L20" s="56"/>
      <c r="M20" s="56"/>
      <c r="N20" s="56"/>
      <c r="O20" s="56"/>
      <c r="P20" s="56"/>
      <c r="Q20" s="56"/>
      <c r="R20" s="1578"/>
      <c r="S20" s="1782"/>
      <c r="T20" s="53"/>
      <c r="V20" s="3132"/>
      <c r="W20" s="3164"/>
      <c r="X20" s="3133"/>
    </row>
    <row r="21" spans="1:27" ht="12" customHeight="1" x14ac:dyDescent="0.2">
      <c r="A21" s="45"/>
      <c r="B21" s="2131"/>
      <c r="C21" s="1718" t="s">
        <v>2200</v>
      </c>
      <c r="D21" s="2123">
        <f>Combate!K16</f>
        <v>1</v>
      </c>
      <c r="E21" s="358" t="s">
        <v>2201</v>
      </c>
      <c r="F21" s="2123">
        <f>Combate!L16</f>
        <v>0</v>
      </c>
      <c r="G21" s="358" t="s">
        <v>2202</v>
      </c>
      <c r="H21" s="2123">
        <f>Combate!M16</f>
        <v>2</v>
      </c>
      <c r="I21" s="358" t="s">
        <v>2203</v>
      </c>
      <c r="J21" s="2123">
        <f>Combate!N16</f>
        <v>1</v>
      </c>
      <c r="K21" s="358" t="s">
        <v>2204</v>
      </c>
      <c r="L21" s="2123">
        <f>Combate!P16</f>
        <v>2</v>
      </c>
      <c r="M21" s="358" t="s">
        <v>2205</v>
      </c>
      <c r="N21" s="2123">
        <f>Combate!O16</f>
        <v>2</v>
      </c>
      <c r="O21" s="358" t="s">
        <v>2206</v>
      </c>
      <c r="P21" s="2123">
        <f>Combate!Q16</f>
        <v>0</v>
      </c>
      <c r="Q21" s="56"/>
      <c r="R21" s="1578"/>
      <c r="S21" s="1782"/>
      <c r="T21" s="53"/>
      <c r="V21" s="3132"/>
      <c r="W21" s="3164"/>
      <c r="X21" s="3133"/>
    </row>
    <row r="22" spans="1:27" ht="11.25" customHeight="1" thickBot="1" x14ac:dyDescent="0.25">
      <c r="A22" s="45"/>
      <c r="B22" s="2131"/>
      <c r="C22" s="2882" t="s">
        <v>10060</v>
      </c>
      <c r="D22" s="2894">
        <f>Combate!K15</f>
        <v>0</v>
      </c>
      <c r="E22" s="56"/>
      <c r="F22" s="2894">
        <f>Combate!L15</f>
        <v>0</v>
      </c>
      <c r="G22" s="56"/>
      <c r="H22" s="2894">
        <f>Combate!M15</f>
        <v>0</v>
      </c>
      <c r="I22" s="56"/>
      <c r="J22" s="2894">
        <f>Combate!N15</f>
        <v>0</v>
      </c>
      <c r="K22" s="56"/>
      <c r="L22" s="2894">
        <f>Combate!P15</f>
        <v>0</v>
      </c>
      <c r="M22" s="56"/>
      <c r="N22" s="2894">
        <f>Combate!O15</f>
        <v>0</v>
      </c>
      <c r="O22" s="56"/>
      <c r="P22" s="2894">
        <f>Combate!Q15</f>
        <v>0</v>
      </c>
      <c r="Q22" s="56"/>
      <c r="R22" s="1578"/>
      <c r="S22" s="1782"/>
      <c r="T22" s="53"/>
      <c r="V22" s="3134"/>
      <c r="W22" s="3165"/>
      <c r="X22" s="3135"/>
    </row>
    <row r="23" spans="1:27" ht="12" customHeight="1" x14ac:dyDescent="0.2">
      <c r="A23" s="45"/>
      <c r="B23" s="1691"/>
      <c r="C23" s="3150" t="s">
        <v>2207</v>
      </c>
      <c r="D23" s="3151"/>
      <c r="E23" s="3151"/>
      <c r="F23" s="2135" t="str">
        <f>"("&amp;Ki!E24&amp;")"</f>
        <v>(30)</v>
      </c>
      <c r="G23" s="2136" t="s">
        <v>2182</v>
      </c>
      <c r="H23" s="2137" t="str">
        <f>Ki!E18</f>
        <v>-</v>
      </c>
      <c r="I23" s="2136" t="s">
        <v>2183</v>
      </c>
      <c r="J23" s="2137" t="str">
        <f>Ki!E16</f>
        <v>-</v>
      </c>
      <c r="K23" s="2136" t="s">
        <v>2184</v>
      </c>
      <c r="L23" s="2137" t="str">
        <f>Ki!E12</f>
        <v>-</v>
      </c>
      <c r="M23" s="2136" t="s">
        <v>2185</v>
      </c>
      <c r="N23" s="2137" t="str">
        <f>Ki!E14</f>
        <v>-</v>
      </c>
      <c r="O23" s="2136" t="s">
        <v>2186</v>
      </c>
      <c r="P23" s="2137" t="str">
        <f>Ki!E20</f>
        <v>-</v>
      </c>
      <c r="Q23" s="2136" t="s">
        <v>2188</v>
      </c>
      <c r="R23" s="2138" t="str">
        <f>Ki!E22</f>
        <v>-</v>
      </c>
      <c r="S23" s="1782"/>
      <c r="T23" s="53"/>
    </row>
    <row r="24" spans="1:27" ht="12" customHeight="1" x14ac:dyDescent="0.2">
      <c r="A24" s="45"/>
      <c r="B24" s="3162"/>
      <c r="C24" s="3140" t="s">
        <v>2208</v>
      </c>
      <c r="D24" s="3141"/>
      <c r="E24" s="3141"/>
      <c r="F24" s="3141"/>
      <c r="G24" s="360" t="s">
        <v>2182</v>
      </c>
      <c r="H24" s="2123">
        <f>Ki!D18</f>
        <v>1</v>
      </c>
      <c r="I24" s="360" t="s">
        <v>2183</v>
      </c>
      <c r="J24" s="2123">
        <f>Ki!D16</f>
        <v>1</v>
      </c>
      <c r="K24" s="360" t="s">
        <v>2184</v>
      </c>
      <c r="L24" s="2123">
        <f>Ki!D12</f>
        <v>1</v>
      </c>
      <c r="M24" s="360" t="s">
        <v>2185</v>
      </c>
      <c r="N24" s="2123">
        <f>Ki!D14</f>
        <v>1</v>
      </c>
      <c r="O24" s="360" t="s">
        <v>2186</v>
      </c>
      <c r="P24" s="2123">
        <f>Ki!D20</f>
        <v>1</v>
      </c>
      <c r="Q24" s="360" t="s">
        <v>2188</v>
      </c>
      <c r="R24" s="2125">
        <f>Ki!D22</f>
        <v>1</v>
      </c>
      <c r="S24" s="1782"/>
      <c r="T24" s="53"/>
    </row>
    <row r="25" spans="1:27" ht="12" customHeight="1" x14ac:dyDescent="0.2">
      <c r="A25" s="45"/>
      <c r="B25" s="3162"/>
      <c r="C25" s="3140" t="s">
        <v>2209</v>
      </c>
      <c r="D25" s="3141"/>
      <c r="E25" s="3141"/>
      <c r="F25" s="3146"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146"/>
      <c r="H25" s="3146"/>
      <c r="I25" s="3146"/>
      <c r="J25" s="3146"/>
      <c r="K25" s="3146"/>
      <c r="L25" s="3146"/>
      <c r="M25" s="3146"/>
      <c r="N25" s="3146"/>
      <c r="O25" s="3146"/>
      <c r="P25" s="3146"/>
      <c r="Q25" s="3146"/>
      <c r="R25" s="3147"/>
      <c r="S25" s="1782"/>
      <c r="T25" s="53"/>
    </row>
    <row r="26" spans="1:27" ht="12" customHeight="1" x14ac:dyDescent="0.2">
      <c r="A26" s="45"/>
      <c r="B26" s="3162"/>
      <c r="C26" s="1716"/>
      <c r="D26" s="56"/>
      <c r="E26" s="56"/>
      <c r="F26" s="3146"/>
      <c r="G26" s="3146"/>
      <c r="H26" s="3146"/>
      <c r="I26" s="3146"/>
      <c r="J26" s="3146"/>
      <c r="K26" s="3146"/>
      <c r="L26" s="3146"/>
      <c r="M26" s="3146"/>
      <c r="N26" s="3146"/>
      <c r="O26" s="3146"/>
      <c r="P26" s="3146"/>
      <c r="Q26" s="3146"/>
      <c r="R26" s="3147"/>
      <c r="S26" s="1782"/>
      <c r="T26" s="47"/>
    </row>
    <row r="27" spans="1:27" ht="11.25" customHeight="1" x14ac:dyDescent="0.2">
      <c r="A27" s="45"/>
      <c r="B27" s="3162"/>
      <c r="C27" s="1716"/>
      <c r="D27" s="56"/>
      <c r="E27" s="56"/>
      <c r="F27" s="3146"/>
      <c r="G27" s="3146"/>
      <c r="H27" s="3146"/>
      <c r="I27" s="3146"/>
      <c r="J27" s="3146"/>
      <c r="K27" s="3146"/>
      <c r="L27" s="3146"/>
      <c r="M27" s="3146"/>
      <c r="N27" s="3146"/>
      <c r="O27" s="3146"/>
      <c r="P27" s="3146"/>
      <c r="Q27" s="3146"/>
      <c r="R27" s="3147"/>
      <c r="S27" s="1782"/>
      <c r="T27" s="47"/>
    </row>
    <row r="28" spans="1:27" ht="12" customHeight="1" x14ac:dyDescent="0.2">
      <c r="A28" s="45"/>
      <c r="B28" s="3162"/>
      <c r="C28" s="3148" t="s">
        <v>2210</v>
      </c>
      <c r="D28" s="3149"/>
      <c r="E28" s="3146"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146"/>
      <c r="G28" s="3146"/>
      <c r="H28" s="3146"/>
      <c r="I28" s="3146"/>
      <c r="J28" s="3146"/>
      <c r="K28" s="3146"/>
      <c r="L28" s="3146"/>
      <c r="M28" s="3146"/>
      <c r="N28" s="3146"/>
      <c r="O28" s="3146"/>
      <c r="P28" s="3146"/>
      <c r="Q28" s="3146"/>
      <c r="R28" s="3147"/>
      <c r="S28" s="1782"/>
      <c r="T28" s="47"/>
    </row>
    <row r="29" spans="1:27" ht="12" customHeight="1" x14ac:dyDescent="0.2">
      <c r="A29" s="45"/>
      <c r="B29" s="3162"/>
      <c r="C29" s="1719"/>
      <c r="D29" s="217"/>
      <c r="E29" s="3146"/>
      <c r="F29" s="3146"/>
      <c r="G29" s="3146"/>
      <c r="H29" s="3146"/>
      <c r="I29" s="3146"/>
      <c r="J29" s="3146"/>
      <c r="K29" s="3146"/>
      <c r="L29" s="3146"/>
      <c r="M29" s="3146"/>
      <c r="N29" s="3146"/>
      <c r="O29" s="3146"/>
      <c r="P29" s="3146"/>
      <c r="Q29" s="3146"/>
      <c r="R29" s="3147"/>
      <c r="S29" s="1782"/>
      <c r="T29" s="47"/>
    </row>
    <row r="30" spans="1:27" ht="12" customHeight="1" x14ac:dyDescent="0.2">
      <c r="A30" s="45"/>
      <c r="B30" s="3162"/>
      <c r="C30" s="1716"/>
      <c r="D30" s="56"/>
      <c r="E30" s="361"/>
      <c r="F30" s="361"/>
      <c r="G30" s="361"/>
      <c r="H30" s="361"/>
      <c r="I30" s="361"/>
      <c r="J30" s="361"/>
      <c r="K30" s="361"/>
      <c r="L30" s="361"/>
      <c r="M30" s="361"/>
      <c r="N30" s="361"/>
      <c r="O30" s="361"/>
      <c r="P30" s="361"/>
      <c r="Q30" s="361"/>
      <c r="R30" s="1720"/>
      <c r="S30" s="1782"/>
      <c r="T30" s="47"/>
    </row>
    <row r="31" spans="1:27" ht="12" customHeight="1" x14ac:dyDescent="0.2">
      <c r="A31" s="45"/>
      <c r="B31" s="3162"/>
      <c r="C31" s="2139" t="s">
        <v>2211</v>
      </c>
      <c r="D31" s="3154">
        <f>Místicos!L13</f>
        <v>5</v>
      </c>
      <c r="E31" s="3154"/>
      <c r="F31" s="2140"/>
      <c r="G31" s="2140"/>
      <c r="H31" s="2140"/>
      <c r="I31" s="2140"/>
      <c r="J31" s="2140"/>
      <c r="K31" s="2140"/>
      <c r="L31" s="3155" t="s">
        <v>2212</v>
      </c>
      <c r="M31" s="3155"/>
      <c r="N31" s="2137">
        <f>Místicos!M25</f>
        <v>0</v>
      </c>
      <c r="O31" s="3155" t="s">
        <v>2213</v>
      </c>
      <c r="P31" s="3155"/>
      <c r="Q31" s="2137">
        <f>Místicos!M27</f>
        <v>0</v>
      </c>
      <c r="R31" s="2141"/>
      <c r="S31" s="1782"/>
      <c r="T31" s="47"/>
    </row>
    <row r="32" spans="1:27" ht="12" customHeight="1" x14ac:dyDescent="0.2">
      <c r="A32" s="45"/>
      <c r="B32" s="2133"/>
      <c r="C32" s="1715" t="s">
        <v>2214</v>
      </c>
      <c r="D32" s="3142">
        <f>Místicos!K18</f>
        <v>70</v>
      </c>
      <c r="E32" s="3142"/>
      <c r="F32" s="56"/>
      <c r="G32" s="56"/>
      <c r="H32" s="56"/>
      <c r="I32" s="56"/>
      <c r="J32" s="56"/>
      <c r="K32" s="56"/>
      <c r="L32" s="3156" t="s">
        <v>2215</v>
      </c>
      <c r="M32" s="3156"/>
      <c r="N32" s="2123">
        <f>Místicos!M26</f>
        <v>0</v>
      </c>
      <c r="O32" s="3157" t="s">
        <v>2216</v>
      </c>
      <c r="P32" s="3157"/>
      <c r="Q32" s="2123">
        <f>Místicos!M28</f>
        <v>0</v>
      </c>
      <c r="R32" s="1578"/>
      <c r="S32" s="1782"/>
      <c r="T32" s="47"/>
    </row>
    <row r="33" spans="1:22" ht="12" customHeight="1" x14ac:dyDescent="0.2">
      <c r="A33" s="45"/>
      <c r="B33" s="2133"/>
      <c r="C33" s="3140" t="s">
        <v>2217</v>
      </c>
      <c r="D33" s="3141"/>
      <c r="E33" s="3141"/>
      <c r="F33" s="3141"/>
      <c r="G33" s="3152">
        <f>IF(Místicos!P13=Místicos!Q13,Místicos!P13,Místicos!P13&amp;" Ofensiva"&amp;", "&amp;Místicos!Q13&amp;" Defensiva")</f>
        <v>0</v>
      </c>
      <c r="H33" s="3152"/>
      <c r="I33" s="3152"/>
      <c r="J33" s="3152"/>
      <c r="K33" s="3152"/>
      <c r="L33" s="3152"/>
      <c r="M33" s="3152"/>
      <c r="N33" s="3152"/>
      <c r="O33" s="3152"/>
      <c r="P33" s="3152"/>
      <c r="Q33" s="3152"/>
      <c r="R33" s="3153"/>
      <c r="S33" s="1782"/>
      <c r="T33" s="47"/>
    </row>
    <row r="34" spans="1:22" ht="12" customHeight="1" x14ac:dyDescent="0.2">
      <c r="A34" s="45"/>
      <c r="B34" s="2133"/>
      <c r="C34" s="3140" t="s">
        <v>2218</v>
      </c>
      <c r="D34" s="3141"/>
      <c r="E34" s="3141"/>
      <c r="F34" s="3161"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161"/>
      <c r="H34" s="3161"/>
      <c r="I34" s="3161"/>
      <c r="J34" s="3161"/>
      <c r="K34" s="3161"/>
      <c r="L34" s="3161"/>
      <c r="M34" s="3161"/>
      <c r="N34" s="3161"/>
      <c r="O34" s="3161"/>
      <c r="P34" s="3161"/>
      <c r="Q34" s="3161"/>
      <c r="R34" s="3147"/>
      <c r="S34" s="1782"/>
      <c r="T34" s="47"/>
    </row>
    <row r="35" spans="1:22" ht="12" customHeight="1" x14ac:dyDescent="0.2">
      <c r="A35" s="45"/>
      <c r="B35" s="2133"/>
      <c r="C35" s="1716"/>
      <c r="D35" s="56"/>
      <c r="E35" s="56"/>
      <c r="F35" s="3161"/>
      <c r="G35" s="3161"/>
      <c r="H35" s="3161"/>
      <c r="I35" s="3161"/>
      <c r="J35" s="3161"/>
      <c r="K35" s="3161"/>
      <c r="L35" s="3161"/>
      <c r="M35" s="3161"/>
      <c r="N35" s="3161"/>
      <c r="O35" s="3161"/>
      <c r="P35" s="3161"/>
      <c r="Q35" s="3161"/>
      <c r="R35" s="3147"/>
      <c r="S35" s="1782"/>
      <c r="T35" s="47"/>
    </row>
    <row r="36" spans="1:22" ht="12" customHeight="1" x14ac:dyDescent="0.2">
      <c r="A36" s="45"/>
      <c r="B36" s="1691"/>
      <c r="C36" s="1716"/>
      <c r="D36" s="56"/>
      <c r="E36" s="56"/>
      <c r="F36" s="3161"/>
      <c r="G36" s="3161"/>
      <c r="H36" s="3161"/>
      <c r="I36" s="3161"/>
      <c r="J36" s="3161"/>
      <c r="K36" s="3161"/>
      <c r="L36" s="3161"/>
      <c r="M36" s="3161"/>
      <c r="N36" s="3161"/>
      <c r="O36" s="3161"/>
      <c r="P36" s="3161"/>
      <c r="Q36" s="3161"/>
      <c r="R36" s="3147"/>
      <c r="S36" s="1782"/>
      <c r="T36" s="47"/>
    </row>
    <row r="37" spans="1:22" ht="12" customHeight="1" x14ac:dyDescent="0.2">
      <c r="A37" s="45"/>
      <c r="B37" s="1691"/>
      <c r="C37" s="1716"/>
      <c r="D37" s="56"/>
      <c r="E37" s="56"/>
      <c r="F37" s="3166"/>
      <c r="G37" s="3166"/>
      <c r="H37" s="3166"/>
      <c r="I37" s="3166"/>
      <c r="J37" s="3166"/>
      <c r="K37" s="3166"/>
      <c r="L37" s="3166"/>
      <c r="M37" s="3166"/>
      <c r="N37" s="3166"/>
      <c r="O37" s="3166"/>
      <c r="P37" s="3166"/>
      <c r="Q37" s="3166"/>
      <c r="R37" s="3167"/>
      <c r="S37" s="1782"/>
      <c r="T37" s="47"/>
    </row>
    <row r="38" spans="1:22" ht="12" customHeight="1" x14ac:dyDescent="0.2">
      <c r="A38" s="45"/>
      <c r="B38" s="2133"/>
      <c r="C38" s="3150" t="s">
        <v>2219</v>
      </c>
      <c r="D38" s="3151"/>
      <c r="E38" s="2137">
        <f>Psíquicos!I16</f>
        <v>0</v>
      </c>
      <c r="F38" s="2140"/>
      <c r="G38" s="2140"/>
      <c r="H38" s="2140"/>
      <c r="I38" s="2140"/>
      <c r="J38" s="2140"/>
      <c r="K38" s="2140"/>
      <c r="L38" s="2140"/>
      <c r="M38" s="2140"/>
      <c r="N38" s="2140"/>
      <c r="O38" s="2140"/>
      <c r="P38" s="2140"/>
      <c r="Q38" s="2140"/>
      <c r="R38" s="2141"/>
      <c r="S38" s="1782"/>
      <c r="T38" s="47"/>
    </row>
    <row r="39" spans="1:22" ht="12" customHeight="1" x14ac:dyDescent="0.2">
      <c r="A39" s="45"/>
      <c r="B39" s="2133"/>
      <c r="C39" s="3140" t="s">
        <v>2220</v>
      </c>
      <c r="D39" s="3141"/>
      <c r="E39" s="2123">
        <f>Psíquicos!M13</f>
        <v>0</v>
      </c>
      <c r="F39" s="56"/>
      <c r="G39" s="56"/>
      <c r="H39" s="56"/>
      <c r="I39" s="56"/>
      <c r="J39" s="56"/>
      <c r="K39" s="56"/>
      <c r="L39" s="3156" t="s">
        <v>2221</v>
      </c>
      <c r="M39" s="3156"/>
      <c r="N39" s="3156"/>
      <c r="O39" s="3156"/>
      <c r="P39" s="56"/>
      <c r="Q39" s="56"/>
      <c r="R39" s="1578"/>
      <c r="S39" s="1782"/>
      <c r="T39" s="47"/>
    </row>
    <row r="40" spans="1:22" ht="12" customHeight="1" x14ac:dyDescent="0.2">
      <c r="A40" s="45"/>
      <c r="B40" s="2133"/>
      <c r="C40" s="3140" t="s">
        <v>2222</v>
      </c>
      <c r="D40" s="3141"/>
      <c r="E40" s="3141"/>
      <c r="F40" s="3141"/>
      <c r="G40" s="2123">
        <f>Psíquicos!H11</f>
        <v>10</v>
      </c>
      <c r="H40" s="3158"/>
      <c r="I40" s="3158"/>
      <c r="J40" s="3158"/>
      <c r="K40" s="3158"/>
      <c r="L40" s="3146" t="str">
        <f>IF(Psíquicos!C39="","",Psíquicos!C39)&amp;IF(Psíquicos!C41="","",", "&amp;Psíquicos!C41)&amp;IF(Psíquicos!C43="","",", "&amp;Psíquicos!C43)&amp;IF(Psíquicos!C45="","",", "&amp;Psíquicos!C45)&amp;IF(Psíquicos!C47="","",", "&amp;Psíquicos!C47)&amp;IF(Psíquicos!C49="","",", "&amp;Psíquicos!C49)</f>
        <v/>
      </c>
      <c r="M40" s="3146"/>
      <c r="N40" s="3146"/>
      <c r="O40" s="3146"/>
      <c r="P40" s="3146"/>
      <c r="Q40" s="3146"/>
      <c r="R40" s="3147"/>
      <c r="S40" s="1782"/>
      <c r="T40" s="47"/>
    </row>
    <row r="41" spans="1:22" ht="12" customHeight="1" x14ac:dyDescent="0.2">
      <c r="A41" s="45"/>
      <c r="B41" s="2133"/>
      <c r="C41" s="3140" t="s">
        <v>2223</v>
      </c>
      <c r="D41" s="3141"/>
      <c r="E41" s="3141"/>
      <c r="F41" s="3141"/>
      <c r="G41" s="3142">
        <f>IF(Psíquicos!P12=Psíquicos!Q12,Psíquicos!P12,Psíquicos!P12&amp;" Ofensiva"&amp;", "&amp;Psíquicos!Q12&amp;" Defensiva")</f>
        <v>0</v>
      </c>
      <c r="H41" s="3142"/>
      <c r="I41" s="3142"/>
      <c r="J41" s="3142"/>
      <c r="K41" s="3142"/>
      <c r="L41" s="3146"/>
      <c r="M41" s="3146"/>
      <c r="N41" s="3146"/>
      <c r="O41" s="3146"/>
      <c r="P41" s="3146"/>
      <c r="Q41" s="3146"/>
      <c r="R41" s="3147"/>
      <c r="S41" s="1782"/>
      <c r="T41" s="47"/>
    </row>
    <row r="42" spans="1:22" ht="12" customHeight="1" x14ac:dyDescent="0.2">
      <c r="A42" s="45"/>
      <c r="B42" s="2131"/>
      <c r="C42" s="3140" t="s">
        <v>2224</v>
      </c>
      <c r="D42" s="3141"/>
      <c r="E42" s="3141"/>
      <c r="F42" s="3141"/>
      <c r="G42" s="3136" t="str">
        <f>IF(Psíquicos!C25=0,"",Psíquicos!C25)&amp;IF(Psíquicos!C27=0,"",", "&amp;Psíquicos!C27)&amp;IF(Psíquicos!C29=0,"",", "&amp;Psíquicos!C29)&amp;IF(Psíquicos!C31=0,"",", "&amp;Psíquicos!C31)&amp;IF(Psíquicos!C33=0,"",", "&amp;Psíquicos!C33)&amp;IF(Psíquicos!C35=0,"",", "&amp;Psíquicos!C35)</f>
        <v/>
      </c>
      <c r="H42" s="3136"/>
      <c r="I42" s="3136"/>
      <c r="J42" s="3136"/>
      <c r="K42" s="3136"/>
      <c r="L42" s="3136"/>
      <c r="M42" s="3136"/>
      <c r="N42" s="3136"/>
      <c r="O42" s="3136"/>
      <c r="P42" s="3136"/>
      <c r="Q42" s="3136"/>
      <c r="R42" s="3137"/>
      <c r="S42" s="1782"/>
      <c r="T42" s="47"/>
    </row>
    <row r="43" spans="1:22" ht="12" customHeight="1" x14ac:dyDescent="0.2">
      <c r="A43" s="45"/>
      <c r="B43" s="2131"/>
      <c r="C43" s="3140" t="s">
        <v>2225</v>
      </c>
      <c r="D43" s="3141"/>
      <c r="E43" s="3141"/>
      <c r="F43" s="3141"/>
      <c r="G43" s="3146"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146"/>
      <c r="I43" s="3146"/>
      <c r="J43" s="3146"/>
      <c r="K43" s="3146"/>
      <c r="L43" s="3146"/>
      <c r="M43" s="3146"/>
      <c r="N43" s="3146"/>
      <c r="O43" s="3146"/>
      <c r="P43" s="3146"/>
      <c r="Q43" s="3146"/>
      <c r="R43" s="3147"/>
      <c r="S43" s="1782"/>
      <c r="T43" s="47"/>
    </row>
    <row r="44" spans="1:22" ht="12" customHeight="1" x14ac:dyDescent="0.2">
      <c r="A44" s="45"/>
      <c r="B44" s="2131"/>
      <c r="C44" s="1716"/>
      <c r="D44" s="56"/>
      <c r="E44" s="56"/>
      <c r="F44" s="56"/>
      <c r="G44" s="3146"/>
      <c r="H44" s="3146"/>
      <c r="I44" s="3146"/>
      <c r="J44" s="3146"/>
      <c r="K44" s="3146"/>
      <c r="L44" s="3146"/>
      <c r="M44" s="3146"/>
      <c r="N44" s="3146"/>
      <c r="O44" s="3146"/>
      <c r="P44" s="3146"/>
      <c r="Q44" s="3146"/>
      <c r="R44" s="3147"/>
      <c r="S44" s="1782"/>
      <c r="T44" s="47"/>
    </row>
    <row r="45" spans="1:22" ht="12" customHeight="1" x14ac:dyDescent="0.2">
      <c r="A45" s="45"/>
      <c r="B45" s="2131"/>
      <c r="C45" s="1716"/>
      <c r="D45" s="56"/>
      <c r="E45" s="56"/>
      <c r="F45" s="56"/>
      <c r="G45" s="3146"/>
      <c r="H45" s="3146"/>
      <c r="I45" s="3146"/>
      <c r="J45" s="3146"/>
      <c r="K45" s="3146"/>
      <c r="L45" s="3146"/>
      <c r="M45" s="3146"/>
      <c r="N45" s="3146"/>
      <c r="O45" s="3146"/>
      <c r="P45" s="3146"/>
      <c r="Q45" s="3146"/>
      <c r="R45" s="3147"/>
      <c r="S45" s="1782"/>
      <c r="T45" s="47"/>
      <c r="V45" s="1695"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x14ac:dyDescent="0.2">
      <c r="A46" s="45"/>
      <c r="B46" s="2131"/>
      <c r="C46" s="1716"/>
      <c r="D46" s="56"/>
      <c r="E46" s="56"/>
      <c r="F46" s="56"/>
      <c r="G46" s="56"/>
      <c r="H46" s="56"/>
      <c r="I46" s="56"/>
      <c r="J46" s="56"/>
      <c r="K46" s="56"/>
      <c r="L46" s="56"/>
      <c r="M46" s="56"/>
      <c r="N46" s="56"/>
      <c r="O46" s="56"/>
      <c r="P46" s="56"/>
      <c r="Q46" s="56"/>
      <c r="R46" s="1578"/>
      <c r="S46" s="1782"/>
      <c r="T46" s="47"/>
    </row>
    <row r="47" spans="1:22" ht="12" customHeight="1" x14ac:dyDescent="0.2">
      <c r="A47" s="45"/>
      <c r="B47" s="2131"/>
      <c r="C47" s="3150" t="s">
        <v>2226</v>
      </c>
      <c r="D47" s="3151"/>
      <c r="E47" s="3151"/>
      <c r="F47" s="3151"/>
      <c r="G47" s="3159" t="str">
        <f>IF(V45="","",LEFT(V45,LEN(V45)-2))</f>
        <v/>
      </c>
      <c r="H47" s="3159"/>
      <c r="I47" s="3159"/>
      <c r="J47" s="3159"/>
      <c r="K47" s="3159"/>
      <c r="L47" s="3159"/>
      <c r="M47" s="3159"/>
      <c r="N47" s="3159"/>
      <c r="O47" s="3159"/>
      <c r="P47" s="3159"/>
      <c r="Q47" s="3159"/>
      <c r="R47" s="3160"/>
      <c r="S47" s="1782"/>
      <c r="T47" s="47"/>
    </row>
    <row r="48" spans="1:22" ht="23.85" customHeight="1" x14ac:dyDescent="0.2">
      <c r="A48" s="45"/>
      <c r="B48" s="2131"/>
      <c r="C48" s="1716"/>
      <c r="D48" s="56"/>
      <c r="E48" s="56"/>
      <c r="F48" s="56"/>
      <c r="G48" s="3146"/>
      <c r="H48" s="3146"/>
      <c r="I48" s="3146"/>
      <c r="J48" s="3146"/>
      <c r="K48" s="3146"/>
      <c r="L48" s="3146"/>
      <c r="M48" s="3146"/>
      <c r="N48" s="3146"/>
      <c r="O48" s="3146"/>
      <c r="P48" s="3146"/>
      <c r="Q48" s="3146"/>
      <c r="R48" s="3147"/>
      <c r="S48" s="1782"/>
      <c r="T48" s="47"/>
    </row>
    <row r="49" spans="1:20" ht="12" customHeight="1" x14ac:dyDescent="0.2">
      <c r="A49" s="45"/>
      <c r="B49" s="2131"/>
      <c r="C49" s="3140" t="s">
        <v>2227</v>
      </c>
      <c r="D49" s="3141"/>
      <c r="E49" s="3141"/>
      <c r="F49" s="3141"/>
      <c r="G49" s="3146" t="str">
        <f>Tablas!$F$1983</f>
        <v/>
      </c>
      <c r="H49" s="3146"/>
      <c r="I49" s="3146"/>
      <c r="J49" s="3146"/>
      <c r="K49" s="3146"/>
      <c r="L49" s="3146"/>
      <c r="M49" s="3146"/>
      <c r="N49" s="3146"/>
      <c r="O49" s="3146"/>
      <c r="P49" s="3146"/>
      <c r="Q49" s="3146"/>
      <c r="R49" s="3147"/>
      <c r="S49" s="1782"/>
      <c r="T49" s="47"/>
    </row>
    <row r="50" spans="1:20" ht="12" customHeight="1" x14ac:dyDescent="0.2">
      <c r="A50" s="45"/>
      <c r="B50" s="2131"/>
      <c r="C50" s="1716"/>
      <c r="D50" s="56"/>
      <c r="E50" s="56"/>
      <c r="F50" s="56"/>
      <c r="G50" s="3146"/>
      <c r="H50" s="3146"/>
      <c r="I50" s="3146"/>
      <c r="J50" s="3146"/>
      <c r="K50" s="3146"/>
      <c r="L50" s="3146"/>
      <c r="M50" s="3146"/>
      <c r="N50" s="3146"/>
      <c r="O50" s="3146"/>
      <c r="P50" s="3146"/>
      <c r="Q50" s="3146"/>
      <c r="R50" s="3147"/>
      <c r="S50" s="1782"/>
      <c r="T50" s="47"/>
    </row>
    <row r="51" spans="1:20" ht="12" customHeight="1" x14ac:dyDescent="0.2">
      <c r="A51" s="45"/>
      <c r="B51" s="2131"/>
      <c r="C51" s="3140" t="s">
        <v>2228</v>
      </c>
      <c r="D51" s="3141"/>
      <c r="E51" s="3141"/>
      <c r="F51" s="3141"/>
      <c r="G51" s="3146"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146"/>
      <c r="I51" s="3146"/>
      <c r="J51" s="3146"/>
      <c r="K51" s="3146"/>
      <c r="L51" s="3146"/>
      <c r="M51" s="3146"/>
      <c r="N51" s="3146"/>
      <c r="O51" s="3146"/>
      <c r="P51" s="3146"/>
      <c r="Q51" s="3146"/>
      <c r="R51" s="3147"/>
      <c r="S51" s="1782"/>
      <c r="T51" s="47"/>
    </row>
    <row r="52" spans="1:20" ht="12" customHeight="1" x14ac:dyDescent="0.2">
      <c r="A52" s="45"/>
      <c r="B52" s="2131"/>
      <c r="C52" s="1716"/>
      <c r="D52" s="56"/>
      <c r="E52" s="56"/>
      <c r="F52" s="56"/>
      <c r="G52" s="3146"/>
      <c r="H52" s="3146"/>
      <c r="I52" s="3146"/>
      <c r="J52" s="3146"/>
      <c r="K52" s="3146"/>
      <c r="L52" s="3146"/>
      <c r="M52" s="3146"/>
      <c r="N52" s="3146"/>
      <c r="O52" s="3146"/>
      <c r="P52" s="3146"/>
      <c r="Q52" s="3146"/>
      <c r="R52" s="3147"/>
      <c r="S52" s="1782"/>
      <c r="T52" s="47"/>
    </row>
    <row r="53" spans="1:20" ht="12" customHeight="1" x14ac:dyDescent="0.2">
      <c r="A53" s="45"/>
      <c r="B53" s="2131"/>
      <c r="C53" s="3140" t="s">
        <v>2229</v>
      </c>
      <c r="D53" s="3141"/>
      <c r="E53" s="3161" t="str">
        <f>Tablas!H2020</f>
        <v/>
      </c>
      <c r="F53" s="3161"/>
      <c r="G53" s="3161"/>
      <c r="H53" s="3161"/>
      <c r="I53" s="3161"/>
      <c r="J53" s="3161"/>
      <c r="K53" s="3161"/>
      <c r="L53" s="3161"/>
      <c r="M53" s="3161"/>
      <c r="N53" s="3161"/>
      <c r="O53" s="3161"/>
      <c r="P53" s="3161"/>
      <c r="Q53" s="3161"/>
      <c r="R53" s="3147"/>
      <c r="S53" s="1782"/>
      <c r="T53" s="47"/>
    </row>
    <row r="54" spans="1:20" ht="12" customHeight="1" x14ac:dyDescent="0.2">
      <c r="A54" s="45"/>
      <c r="B54" s="2131"/>
      <c r="C54" s="1716"/>
      <c r="D54" s="56"/>
      <c r="E54" s="3161"/>
      <c r="F54" s="3161"/>
      <c r="G54" s="3161"/>
      <c r="H54" s="3161"/>
      <c r="I54" s="3161"/>
      <c r="J54" s="3161"/>
      <c r="K54" s="3161"/>
      <c r="L54" s="3161"/>
      <c r="M54" s="3161"/>
      <c r="N54" s="3161"/>
      <c r="O54" s="3161"/>
      <c r="P54" s="3161"/>
      <c r="Q54" s="3161"/>
      <c r="R54" s="3147"/>
      <c r="S54" s="1782"/>
      <c r="T54" s="47"/>
    </row>
    <row r="55" spans="1:20" ht="12" customHeight="1" x14ac:dyDescent="0.2">
      <c r="A55" s="45"/>
      <c r="B55" s="2131"/>
      <c r="C55" s="1716"/>
      <c r="D55" s="56"/>
      <c r="E55" s="3161"/>
      <c r="F55" s="3161"/>
      <c r="G55" s="3161"/>
      <c r="H55" s="3161"/>
      <c r="I55" s="3161"/>
      <c r="J55" s="3161"/>
      <c r="K55" s="3161"/>
      <c r="L55" s="3161"/>
      <c r="M55" s="3161"/>
      <c r="N55" s="3161"/>
      <c r="O55" s="3161"/>
      <c r="P55" s="3161"/>
      <c r="Q55" s="3161"/>
      <c r="R55" s="3147"/>
      <c r="S55" s="1782"/>
      <c r="T55" s="47"/>
    </row>
    <row r="56" spans="1:20" ht="12" customHeight="1" x14ac:dyDescent="0.2">
      <c r="A56" s="45"/>
      <c r="B56" s="2131"/>
      <c r="C56" s="1716"/>
      <c r="D56" s="56"/>
      <c r="E56" s="3161"/>
      <c r="F56" s="3161"/>
      <c r="G56" s="3161"/>
      <c r="H56" s="3161"/>
      <c r="I56" s="3161"/>
      <c r="J56" s="3161"/>
      <c r="K56" s="3161"/>
      <c r="L56" s="3161"/>
      <c r="M56" s="3161"/>
      <c r="N56" s="3161"/>
      <c r="O56" s="3161"/>
      <c r="P56" s="3161"/>
      <c r="Q56" s="3161"/>
      <c r="R56" s="3147"/>
      <c r="S56" s="1782"/>
      <c r="T56" s="47"/>
    </row>
    <row r="57" spans="1:20" ht="12" customHeight="1" x14ac:dyDescent="0.2">
      <c r="A57" s="45"/>
      <c r="B57" s="2131"/>
      <c r="C57" s="3179" t="s">
        <v>1670</v>
      </c>
      <c r="D57" s="3180"/>
      <c r="E57" s="3181" t="str">
        <f>Tamaño&amp;", "&amp;Principal!M6</f>
        <v>10, Medio</v>
      </c>
      <c r="F57" s="3181"/>
      <c r="G57" s="3181"/>
      <c r="H57" s="3181"/>
      <c r="I57" s="3181"/>
      <c r="J57" s="56"/>
      <c r="K57" s="3156" t="s">
        <v>2230</v>
      </c>
      <c r="L57" s="3156"/>
      <c r="M57" s="3156"/>
      <c r="N57" s="2123">
        <f>Regeneración</f>
        <v>1</v>
      </c>
      <c r="O57" s="56"/>
      <c r="P57" s="56"/>
      <c r="Q57" s="56"/>
      <c r="R57" s="1578"/>
      <c r="S57" s="1782"/>
      <c r="T57" s="47"/>
    </row>
    <row r="58" spans="1:20" ht="12" customHeight="1" x14ac:dyDescent="0.2">
      <c r="A58" s="45"/>
      <c r="B58" s="2131"/>
      <c r="C58" s="3182" t="s">
        <v>2231</v>
      </c>
      <c r="D58" s="3183"/>
      <c r="E58" s="3183"/>
      <c r="F58" s="362">
        <f>TipodeMovimiento</f>
        <v>5</v>
      </c>
      <c r="G58" s="56"/>
      <c r="H58" s="56"/>
      <c r="I58" s="56"/>
      <c r="J58" s="56"/>
      <c r="K58" s="3156" t="s">
        <v>2232</v>
      </c>
      <c r="L58" s="3156"/>
      <c r="M58" s="3142">
        <f>IF(Cansancio=0,"Incansable",Cansancio)</f>
        <v>5</v>
      </c>
      <c r="N58" s="3142"/>
      <c r="O58" s="56"/>
      <c r="P58" s="56"/>
      <c r="Q58" s="56"/>
      <c r="R58" s="1578"/>
      <c r="S58" s="1782"/>
      <c r="T58" s="47"/>
    </row>
    <row r="59" spans="1:20" ht="12" customHeight="1" x14ac:dyDescent="0.2">
      <c r="A59" s="45"/>
      <c r="B59" s="2131"/>
      <c r="C59" s="1716"/>
      <c r="D59" s="56"/>
      <c r="E59" s="56"/>
      <c r="F59" s="56"/>
      <c r="G59" s="56"/>
      <c r="H59" s="56"/>
      <c r="I59" s="56"/>
      <c r="J59" s="56"/>
      <c r="K59" s="3178" t="s">
        <v>1734</v>
      </c>
      <c r="L59" s="3178"/>
      <c r="M59" s="3178"/>
      <c r="N59" s="359">
        <f>Principal!J32</f>
        <v>1</v>
      </c>
      <c r="O59" s="2123"/>
      <c r="P59" s="56"/>
      <c r="Q59" s="56"/>
      <c r="R59" s="1578"/>
      <c r="S59" s="1782"/>
      <c r="T59" s="47"/>
    </row>
    <row r="60" spans="1:20" ht="12" customHeight="1" x14ac:dyDescent="0.2">
      <c r="A60" s="45"/>
      <c r="B60" s="2131"/>
      <c r="C60" s="3150" t="s">
        <v>2233</v>
      </c>
      <c r="D60" s="3151"/>
      <c r="E60" s="3151"/>
      <c r="F60" s="3151"/>
      <c r="G60" s="3151"/>
      <c r="H60" s="2140"/>
      <c r="I60" s="2140"/>
      <c r="J60" s="2140"/>
      <c r="K60" s="2140"/>
      <c r="L60" s="2140"/>
      <c r="M60" s="2140"/>
      <c r="N60" s="2140"/>
      <c r="O60" s="2140"/>
      <c r="P60" s="2140"/>
      <c r="Q60" s="2140"/>
      <c r="R60" s="2141"/>
      <c r="S60" s="1782"/>
      <c r="T60" s="47"/>
    </row>
    <row r="61" spans="1:20" ht="12" customHeight="1" x14ac:dyDescent="0.2">
      <c r="A61" s="45"/>
      <c r="B61" s="2131"/>
      <c r="C61" s="3174"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161"/>
      <c r="E61" s="3161"/>
      <c r="F61" s="3161"/>
      <c r="G61" s="3161"/>
      <c r="H61" s="3161"/>
      <c r="I61" s="3161"/>
      <c r="J61" s="3161"/>
      <c r="K61" s="3161"/>
      <c r="L61" s="3161"/>
      <c r="M61" s="3161"/>
      <c r="N61" s="3161"/>
      <c r="O61" s="3161"/>
      <c r="P61" s="3161"/>
      <c r="Q61" s="3161"/>
      <c r="R61" s="3147"/>
      <c r="S61" s="1782"/>
      <c r="T61" s="47"/>
    </row>
    <row r="62" spans="1:20" ht="12" customHeight="1" x14ac:dyDescent="0.2">
      <c r="A62" s="45"/>
      <c r="B62" s="2131"/>
      <c r="C62" s="3174"/>
      <c r="D62" s="3161"/>
      <c r="E62" s="3161"/>
      <c r="F62" s="3161"/>
      <c r="G62" s="3161"/>
      <c r="H62" s="3161"/>
      <c r="I62" s="3161"/>
      <c r="J62" s="3161"/>
      <c r="K62" s="3161"/>
      <c r="L62" s="3161"/>
      <c r="M62" s="3161"/>
      <c r="N62" s="3161"/>
      <c r="O62" s="3161"/>
      <c r="P62" s="3161"/>
      <c r="Q62" s="3161"/>
      <c r="R62" s="3147"/>
      <c r="S62" s="1782"/>
      <c r="T62" s="47"/>
    </row>
    <row r="63" spans="1:20" ht="12" customHeight="1" x14ac:dyDescent="0.2">
      <c r="A63" s="45"/>
      <c r="B63" s="2131"/>
      <c r="C63" s="3174"/>
      <c r="D63" s="3161"/>
      <c r="E63" s="3161"/>
      <c r="F63" s="3161"/>
      <c r="G63" s="3161"/>
      <c r="H63" s="3161"/>
      <c r="I63" s="3161"/>
      <c r="J63" s="3161"/>
      <c r="K63" s="3161"/>
      <c r="L63" s="3161"/>
      <c r="M63" s="3161"/>
      <c r="N63" s="3161"/>
      <c r="O63" s="3161"/>
      <c r="P63" s="3161"/>
      <c r="Q63" s="3161"/>
      <c r="R63" s="3147"/>
      <c r="S63" s="1782"/>
      <c r="T63" s="47"/>
    </row>
    <row r="64" spans="1:20" ht="12" customHeight="1" x14ac:dyDescent="0.2">
      <c r="A64" s="45"/>
      <c r="B64" s="2131"/>
      <c r="C64" s="3174"/>
      <c r="D64" s="3161"/>
      <c r="E64" s="3161"/>
      <c r="F64" s="3161"/>
      <c r="G64" s="3161"/>
      <c r="H64" s="3161"/>
      <c r="I64" s="3161"/>
      <c r="J64" s="3161"/>
      <c r="K64" s="3161"/>
      <c r="L64" s="3161"/>
      <c r="M64" s="3161"/>
      <c r="N64" s="3161"/>
      <c r="O64" s="3161"/>
      <c r="P64" s="3161"/>
      <c r="Q64" s="3161"/>
      <c r="R64" s="3147"/>
      <c r="S64" s="1782"/>
      <c r="T64" s="47"/>
    </row>
    <row r="65" spans="1:20" ht="12" customHeight="1" x14ac:dyDescent="0.2">
      <c r="A65" s="45"/>
      <c r="B65" s="2131"/>
      <c r="C65" s="3174"/>
      <c r="D65" s="3161"/>
      <c r="E65" s="3161"/>
      <c r="F65" s="3161"/>
      <c r="G65" s="3161"/>
      <c r="H65" s="3161"/>
      <c r="I65" s="3161"/>
      <c r="J65" s="3161"/>
      <c r="K65" s="3161"/>
      <c r="L65" s="3161"/>
      <c r="M65" s="3161"/>
      <c r="N65" s="3161"/>
      <c r="O65" s="3161"/>
      <c r="P65" s="3161"/>
      <c r="Q65" s="3161"/>
      <c r="R65" s="3147"/>
      <c r="S65" s="1782"/>
      <c r="T65" s="47"/>
    </row>
    <row r="66" spans="1:20" ht="12.75" customHeight="1" x14ac:dyDescent="0.2">
      <c r="A66" s="45"/>
      <c r="B66" s="2131"/>
      <c r="C66" s="3174"/>
      <c r="D66" s="3161"/>
      <c r="E66" s="3161"/>
      <c r="F66" s="3161"/>
      <c r="G66" s="3161"/>
      <c r="H66" s="3161"/>
      <c r="I66" s="3161"/>
      <c r="J66" s="3161"/>
      <c r="K66" s="3161"/>
      <c r="L66" s="3161"/>
      <c r="M66" s="3161"/>
      <c r="N66" s="3161"/>
      <c r="O66" s="3161"/>
      <c r="P66" s="3161"/>
      <c r="Q66" s="3161"/>
      <c r="R66" s="3147"/>
      <c r="S66" s="1782"/>
      <c r="T66" s="47"/>
    </row>
    <row r="67" spans="1:20" ht="12.75" customHeight="1" x14ac:dyDescent="0.2">
      <c r="A67" s="45"/>
      <c r="B67" s="2131"/>
      <c r="C67" s="3174"/>
      <c r="D67" s="3161"/>
      <c r="E67" s="3161"/>
      <c r="F67" s="3161"/>
      <c r="G67" s="3161"/>
      <c r="H67" s="3161"/>
      <c r="I67" s="3161"/>
      <c r="J67" s="3161"/>
      <c r="K67" s="3161"/>
      <c r="L67" s="3161"/>
      <c r="M67" s="3161"/>
      <c r="N67" s="3161"/>
      <c r="O67" s="3161"/>
      <c r="P67" s="3161"/>
      <c r="Q67" s="3161"/>
      <c r="R67" s="3147"/>
      <c r="S67" s="1782"/>
      <c r="T67" s="47"/>
    </row>
    <row r="68" spans="1:20" ht="12.75" customHeight="1" thickBot="1" x14ac:dyDescent="0.25">
      <c r="A68" s="45"/>
      <c r="B68" s="2131"/>
      <c r="C68" s="3175"/>
      <c r="D68" s="3176"/>
      <c r="E68" s="3176"/>
      <c r="F68" s="3176"/>
      <c r="G68" s="3176"/>
      <c r="H68" s="3176"/>
      <c r="I68" s="3176"/>
      <c r="J68" s="3176"/>
      <c r="K68" s="3176"/>
      <c r="L68" s="3176"/>
      <c r="M68" s="3176"/>
      <c r="N68" s="3176"/>
      <c r="O68" s="3176"/>
      <c r="P68" s="3176"/>
      <c r="Q68" s="3176"/>
      <c r="R68" s="3177"/>
      <c r="S68" s="1782"/>
      <c r="T68" s="47"/>
    </row>
    <row r="69" spans="1:20" ht="12.75" customHeight="1" thickBot="1" x14ac:dyDescent="0.25">
      <c r="A69" s="45"/>
      <c r="B69" s="2134"/>
      <c r="C69" s="1784"/>
      <c r="D69" s="1784"/>
      <c r="E69" s="1784"/>
      <c r="F69" s="1784"/>
      <c r="G69" s="1784"/>
      <c r="H69" s="1784"/>
      <c r="I69" s="1784"/>
      <c r="J69" s="1784"/>
      <c r="K69" s="1784"/>
      <c r="L69" s="1784"/>
      <c r="M69" s="1784"/>
      <c r="N69" s="1784"/>
      <c r="O69" s="1784"/>
      <c r="P69" s="1784"/>
      <c r="Q69" s="1784"/>
      <c r="R69" s="1784"/>
      <c r="S69" s="1786"/>
      <c r="T69" s="47"/>
    </row>
    <row r="70" spans="1:20" ht="12.75" customHeight="1" x14ac:dyDescent="0.2">
      <c r="A70" s="45"/>
      <c r="B70" s="46"/>
      <c r="C70" s="46"/>
      <c r="D70" s="46"/>
      <c r="E70" s="46"/>
      <c r="F70" s="46"/>
      <c r="G70" s="46"/>
      <c r="H70" s="46"/>
      <c r="I70" s="46"/>
      <c r="J70" s="46"/>
      <c r="K70" s="46"/>
      <c r="L70" s="46"/>
      <c r="M70" s="46"/>
      <c r="N70" s="46"/>
      <c r="O70" s="46"/>
      <c r="P70" s="46"/>
      <c r="Q70" s="46"/>
      <c r="R70" s="46"/>
      <c r="S70" s="1697"/>
      <c r="T70" s="1697"/>
    </row>
  </sheetData>
  <sheetProtection formatRows="0" selectLockedCells="1"/>
  <mergeCells count="63">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 ref="C47:F47"/>
    <mergeCell ref="G47:R48"/>
    <mergeCell ref="C49:F49"/>
    <mergeCell ref="G49:R50"/>
    <mergeCell ref="E53:R56"/>
    <mergeCell ref="C42:F42"/>
    <mergeCell ref="G42:R42"/>
    <mergeCell ref="C43:F43"/>
    <mergeCell ref="G43:R45"/>
    <mergeCell ref="C38:D38"/>
    <mergeCell ref="C39:D39"/>
    <mergeCell ref="L39:O39"/>
    <mergeCell ref="C40:F40"/>
    <mergeCell ref="H40:K40"/>
    <mergeCell ref="L40:R41"/>
    <mergeCell ref="C41:F41"/>
    <mergeCell ref="G41:K41"/>
    <mergeCell ref="C33:F33"/>
    <mergeCell ref="G33:R33"/>
    <mergeCell ref="C34:E34"/>
    <mergeCell ref="D31:E31"/>
    <mergeCell ref="L31:M31"/>
    <mergeCell ref="O31:P31"/>
    <mergeCell ref="D32:E32"/>
    <mergeCell ref="L32:M32"/>
    <mergeCell ref="O32:P32"/>
    <mergeCell ref="C28:D28"/>
    <mergeCell ref="E28:R29"/>
    <mergeCell ref="D19:R19"/>
    <mergeCell ref="D20:J20"/>
    <mergeCell ref="C23:E23"/>
    <mergeCell ref="C24:F24"/>
    <mergeCell ref="C25:E25"/>
    <mergeCell ref="F25:R27"/>
    <mergeCell ref="C18:F18"/>
    <mergeCell ref="G18:R18"/>
    <mergeCell ref="Z12:AA17"/>
    <mergeCell ref="D16:R16"/>
    <mergeCell ref="C3:H8"/>
    <mergeCell ref="K4:Q7"/>
    <mergeCell ref="C12:E12"/>
    <mergeCell ref="F12:G12"/>
    <mergeCell ref="K12:L12"/>
    <mergeCell ref="M12:O12"/>
    <mergeCell ref="K11:Q11"/>
    <mergeCell ref="C17:F17"/>
    <mergeCell ref="G17:R17"/>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F24" sqref="F24"/>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324"/>
    <col min="38" max="38" width="1.7109375" style="2324" customWidth="1"/>
    <col min="39" max="39" width="8.5703125" style="2324" bestFit="1" customWidth="1"/>
    <col min="40" max="50" width="5.7109375" style="2324"/>
    <col min="51" max="51" width="5.7109375" style="1807"/>
    <col min="52" max="16384" width="5.7109375" style="2"/>
  </cols>
  <sheetData>
    <row r="1" spans="1:51" ht="12" customHeight="1" thickBot="1" x14ac:dyDescent="0.25">
      <c r="A1" s="3184"/>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808" customFormat="1" ht="12" customHeight="1" thickBot="1" x14ac:dyDescent="0.25">
      <c r="A2" s="3184"/>
      <c r="B2" s="1801" t="s">
        <v>8056</v>
      </c>
      <c r="C2" s="1802" t="str">
        <f>IF($L$23="Sue'Aman:","Sue_Aman","Etnias")</f>
        <v>Etnias</v>
      </c>
      <c r="D2" s="1802"/>
      <c r="E2" s="1802"/>
      <c r="F2" s="1802"/>
      <c r="G2" s="1802"/>
      <c r="H2" s="1802"/>
      <c r="I2" s="1802"/>
      <c r="J2" s="1802"/>
      <c r="K2" s="1802"/>
      <c r="L2" s="1802"/>
      <c r="M2" s="1802"/>
      <c r="N2" s="1802"/>
      <c r="O2" s="1802"/>
      <c r="P2" s="1802"/>
      <c r="Q2" s="1802"/>
      <c r="R2" s="1803"/>
      <c r="S2" s="1800"/>
      <c r="T2" s="1696"/>
      <c r="U2" s="1804"/>
      <c r="V2" s="1805"/>
      <c r="W2" s="1805"/>
      <c r="X2" s="1805"/>
      <c r="Y2" s="1805"/>
      <c r="Z2" s="1805"/>
      <c r="AA2" s="1805"/>
      <c r="AB2" s="1805"/>
      <c r="AC2" s="1805"/>
      <c r="AD2" s="1805"/>
      <c r="AE2" s="1805"/>
      <c r="AF2" s="1805"/>
      <c r="AG2" s="1805"/>
      <c r="AH2" s="1805"/>
      <c r="AI2" s="1805"/>
      <c r="AJ2" s="1805"/>
      <c r="AK2" s="2325"/>
      <c r="AL2" s="5"/>
      <c r="AM2" s="2326"/>
      <c r="AN2" s="2326"/>
      <c r="AO2" s="2326"/>
      <c r="AP2" s="2326"/>
      <c r="AQ2" s="2326"/>
      <c r="AR2" s="2326"/>
      <c r="AS2" s="2324"/>
      <c r="AT2" s="2324"/>
      <c r="AU2" s="2324"/>
      <c r="AV2" s="2324"/>
      <c r="AW2" s="2324"/>
      <c r="AX2" s="2324"/>
      <c r="AY2" s="1807"/>
    </row>
    <row r="3" spans="1:51" ht="12" customHeight="1" thickBot="1" x14ac:dyDescent="0.25">
      <c r="A3" s="3184"/>
      <c r="B3" s="1793"/>
      <c r="C3" s="7"/>
      <c r="D3" s="7"/>
      <c r="E3" s="7"/>
      <c r="F3" s="7"/>
      <c r="G3" s="7"/>
      <c r="H3" s="7"/>
      <c r="I3" s="7"/>
      <c r="J3" s="7"/>
      <c r="K3" s="7"/>
      <c r="L3" s="7"/>
      <c r="M3" s="7"/>
      <c r="N3" s="7"/>
      <c r="O3" s="7"/>
      <c r="P3" s="7"/>
      <c r="Q3" s="7"/>
      <c r="R3" s="1794"/>
      <c r="S3" s="4"/>
      <c r="T3" s="5"/>
      <c r="U3" s="8"/>
      <c r="V3" s="3224"/>
      <c r="W3" s="3224"/>
      <c r="X3" s="3224"/>
      <c r="Y3" s="3224"/>
      <c r="Z3" s="3224"/>
      <c r="AA3" s="3224"/>
      <c r="AB3" s="9"/>
      <c r="AC3" s="9"/>
      <c r="AD3" s="9"/>
      <c r="AE3" s="9"/>
      <c r="AF3" s="9"/>
      <c r="AG3" s="9"/>
      <c r="AH3" s="9"/>
      <c r="AI3" s="9"/>
      <c r="AJ3" s="10"/>
      <c r="AK3" s="11"/>
      <c r="AL3" s="5"/>
      <c r="AM3" s="2326"/>
      <c r="AN3" s="2326"/>
      <c r="AO3" s="2326"/>
      <c r="AP3" s="2326"/>
      <c r="AQ3" s="2326"/>
      <c r="AR3" s="2326"/>
    </row>
    <row r="4" spans="1:51" ht="12" customHeight="1" thickBot="1" x14ac:dyDescent="0.25">
      <c r="A4" s="3184"/>
      <c r="B4" s="1793"/>
      <c r="C4" s="7"/>
      <c r="D4" s="7"/>
      <c r="E4" s="7"/>
      <c r="F4" s="7"/>
      <c r="G4" s="7"/>
      <c r="H4" s="7"/>
      <c r="I4" s="7"/>
      <c r="J4" s="7"/>
      <c r="K4" s="7"/>
      <c r="L4" s="7"/>
      <c r="M4" s="7"/>
      <c r="N4" s="7"/>
      <c r="O4" s="7"/>
      <c r="P4" s="7"/>
      <c r="Q4" s="7"/>
      <c r="R4" s="1794"/>
      <c r="S4" s="4"/>
      <c r="T4" s="5"/>
      <c r="U4" s="8"/>
      <c r="V4" s="3224"/>
      <c r="W4" s="3224"/>
      <c r="X4" s="3224"/>
      <c r="Y4" s="3224"/>
      <c r="Z4" s="3224"/>
      <c r="AA4" s="3224"/>
      <c r="AB4" s="12"/>
      <c r="AC4" s="3143" t="s">
        <v>1625</v>
      </c>
      <c r="AD4" s="3143"/>
      <c r="AE4" s="3144" t="str">
        <f>IF(OR(General!$G$22="",General!$G$22=0),"",General!$G$22)</f>
        <v/>
      </c>
      <c r="AF4" s="3144"/>
      <c r="AG4" s="3144"/>
      <c r="AH4" s="3144"/>
      <c r="AI4" s="3144"/>
      <c r="AJ4" s="13"/>
      <c r="AK4" s="11"/>
      <c r="AL4" s="5"/>
      <c r="AM4" s="2326"/>
      <c r="AN4" s="2326"/>
      <c r="AO4" s="2326"/>
      <c r="AP4" s="2326"/>
      <c r="AQ4" s="2326"/>
      <c r="AR4" s="2326"/>
    </row>
    <row r="5" spans="1:51" ht="12" customHeight="1" thickBot="1" x14ac:dyDescent="0.25">
      <c r="A5" s="3184"/>
      <c r="B5" s="1793"/>
      <c r="C5" s="7"/>
      <c r="D5" s="7"/>
      <c r="E5" s="7"/>
      <c r="F5" s="1908"/>
      <c r="G5" s="1909"/>
      <c r="H5" s="1909"/>
      <c r="I5" s="1909"/>
      <c r="J5" s="1909"/>
      <c r="K5" s="1909"/>
      <c r="L5" s="1909"/>
      <c r="M5" s="1909"/>
      <c r="N5" s="1910"/>
      <c r="O5" s="7"/>
      <c r="P5" s="7"/>
      <c r="Q5" s="7"/>
      <c r="R5" s="1794"/>
      <c r="S5" s="4"/>
      <c r="T5" s="5"/>
      <c r="U5" s="8"/>
      <c r="V5" s="3224"/>
      <c r="W5" s="3224"/>
      <c r="X5" s="3224"/>
      <c r="Y5" s="3224"/>
      <c r="Z5" s="3224"/>
      <c r="AA5" s="3224"/>
      <c r="AB5" s="12"/>
      <c r="AC5" s="3220" t="s">
        <v>1626</v>
      </c>
      <c r="AD5" s="3220"/>
      <c r="AE5" s="3221" t="str">
        <f>Principal!$L$5</f>
        <v/>
      </c>
      <c r="AF5" s="3221"/>
      <c r="AG5" s="3221"/>
      <c r="AH5" s="14" t="s">
        <v>1627</v>
      </c>
      <c r="AI5" s="15" t="str">
        <f>Principal!$P$5</f>
        <v>0</v>
      </c>
      <c r="AJ5" s="16"/>
      <c r="AK5" s="11"/>
      <c r="AL5" s="5"/>
      <c r="AM5" s="2326"/>
      <c r="AU5" s="2326"/>
      <c r="AV5" s="2326"/>
      <c r="AW5" s="2326"/>
      <c r="AX5" s="411"/>
      <c r="AY5" s="1808"/>
    </row>
    <row r="6" spans="1:51" ht="12" customHeight="1" thickBot="1" x14ac:dyDescent="0.25">
      <c r="A6" s="3184"/>
      <c r="B6" s="1793"/>
      <c r="C6" s="7"/>
      <c r="D6" s="7"/>
      <c r="E6" s="7"/>
      <c r="F6" s="1911"/>
      <c r="G6" s="1907"/>
      <c r="H6" s="1907"/>
      <c r="I6" s="1907"/>
      <c r="J6" s="1907"/>
      <c r="K6" s="1907"/>
      <c r="L6" s="1907"/>
      <c r="M6" s="1907"/>
      <c r="N6" s="1912"/>
      <c r="O6" s="7"/>
      <c r="P6" s="7"/>
      <c r="Q6" s="7"/>
      <c r="R6" s="1794"/>
      <c r="S6" s="4"/>
      <c r="T6" s="5"/>
      <c r="U6" s="8"/>
      <c r="V6" s="3224"/>
      <c r="W6" s="3224"/>
      <c r="X6" s="3224"/>
      <c r="Y6" s="3224"/>
      <c r="Z6" s="3224"/>
      <c r="AA6" s="3224"/>
      <c r="AB6" s="12"/>
      <c r="AC6" s="3222" t="s">
        <v>1628</v>
      </c>
      <c r="AD6" s="3222"/>
      <c r="AE6" s="3222"/>
      <c r="AF6" s="3222"/>
      <c r="AG6" s="3222"/>
      <c r="AH6" s="3222"/>
      <c r="AI6" s="3222"/>
      <c r="AJ6" s="16"/>
      <c r="AK6" s="11"/>
      <c r="AL6" s="5"/>
      <c r="AM6" s="2326"/>
      <c r="AN6" s="2326"/>
      <c r="AO6" s="2326"/>
      <c r="AP6" s="2326"/>
      <c r="AQ6" s="2326"/>
      <c r="AR6" s="2326"/>
      <c r="AS6" s="2326"/>
      <c r="AT6" s="2326"/>
      <c r="AU6" s="2326"/>
      <c r="AV6" s="2326"/>
      <c r="AW6" s="2326"/>
      <c r="AX6" s="411"/>
      <c r="AY6" s="1808"/>
    </row>
    <row r="7" spans="1:51" ht="12" customHeight="1" thickBot="1" x14ac:dyDescent="0.25">
      <c r="A7" s="3184"/>
      <c r="B7" s="1793"/>
      <c r="C7" s="7"/>
      <c r="D7" s="7"/>
      <c r="E7" s="7"/>
      <c r="F7" s="1911"/>
      <c r="G7" s="1907"/>
      <c r="H7" s="1907"/>
      <c r="I7" s="1907"/>
      <c r="J7" s="1907"/>
      <c r="K7" s="1907"/>
      <c r="L7" s="1907"/>
      <c r="M7" s="1907"/>
      <c r="N7" s="1912"/>
      <c r="O7" s="7"/>
      <c r="P7" s="7"/>
      <c r="Q7" s="7"/>
      <c r="R7" s="1794"/>
      <c r="S7" s="4"/>
      <c r="T7" s="5"/>
      <c r="U7" s="8"/>
      <c r="V7" s="3224"/>
      <c r="W7" s="3224"/>
      <c r="X7" s="3224"/>
      <c r="Y7" s="3224"/>
      <c r="Z7" s="3224"/>
      <c r="AA7" s="3224"/>
      <c r="AB7" s="12"/>
      <c r="AC7" s="3222"/>
      <c r="AD7" s="3222"/>
      <c r="AE7" s="3222"/>
      <c r="AF7" s="3222"/>
      <c r="AG7" s="3222"/>
      <c r="AH7" s="3222"/>
      <c r="AI7" s="3222"/>
      <c r="AJ7" s="16"/>
      <c r="AK7" s="11"/>
      <c r="AL7" s="5"/>
      <c r="AM7" s="2326"/>
      <c r="AN7" s="2326"/>
      <c r="AO7" s="2326"/>
      <c r="AP7" s="2326"/>
      <c r="AQ7" s="2326"/>
      <c r="AR7" s="2326"/>
      <c r="AS7" s="2326"/>
      <c r="AT7" s="2326"/>
      <c r="AU7" s="2326"/>
      <c r="AV7" s="2326"/>
      <c r="AW7" s="2326"/>
      <c r="AX7" s="411"/>
      <c r="AY7" s="1808"/>
    </row>
    <row r="8" spans="1:51" ht="12" customHeight="1" thickBot="1" x14ac:dyDescent="0.25">
      <c r="A8" s="3184"/>
      <c r="B8" s="1793"/>
      <c r="C8" s="7"/>
      <c r="D8" s="7"/>
      <c r="E8" s="7"/>
      <c r="F8" s="1911"/>
      <c r="G8" s="1907"/>
      <c r="H8" s="1907"/>
      <c r="I8" s="1907"/>
      <c r="J8" s="1907"/>
      <c r="K8" s="1907"/>
      <c r="L8" s="1907"/>
      <c r="M8" s="1907"/>
      <c r="N8" s="1912"/>
      <c r="O8" s="7"/>
      <c r="P8" s="7"/>
      <c r="Q8" s="7"/>
      <c r="R8" s="1794"/>
      <c r="S8" s="4"/>
      <c r="T8" s="5"/>
      <c r="U8" s="8"/>
      <c r="V8" s="3224"/>
      <c r="W8" s="3224"/>
      <c r="X8" s="3224"/>
      <c r="Y8" s="3224"/>
      <c r="Z8" s="3224"/>
      <c r="AA8" s="3224"/>
      <c r="AB8" s="17"/>
      <c r="AC8" s="17"/>
      <c r="AD8" s="17"/>
      <c r="AE8" s="17"/>
      <c r="AF8" s="17"/>
      <c r="AG8" s="17"/>
      <c r="AH8" s="17"/>
      <c r="AI8" s="17"/>
      <c r="AJ8" s="18"/>
      <c r="AK8" s="11"/>
      <c r="AL8" s="5"/>
      <c r="AM8" s="2326"/>
      <c r="AU8" s="2326"/>
      <c r="AV8" s="2326"/>
      <c r="AW8" s="2326"/>
      <c r="AX8" s="411"/>
      <c r="AY8" s="1808"/>
    </row>
    <row r="9" spans="1:51" ht="12" customHeight="1" thickBot="1" x14ac:dyDescent="0.25">
      <c r="A9" s="3184"/>
      <c r="B9" s="1793"/>
      <c r="C9" s="7"/>
      <c r="D9" s="7"/>
      <c r="E9" s="7"/>
      <c r="F9" s="1911"/>
      <c r="G9" s="1907"/>
      <c r="H9" s="1907"/>
      <c r="I9" s="1907"/>
      <c r="J9" s="1907"/>
      <c r="K9" s="1907"/>
      <c r="L9" s="1907"/>
      <c r="M9" s="1907"/>
      <c r="N9" s="1912"/>
      <c r="O9" s="7"/>
      <c r="P9" s="7"/>
      <c r="Q9" s="7"/>
      <c r="R9" s="1794"/>
      <c r="S9" s="4"/>
      <c r="T9" s="5"/>
      <c r="U9" s="8"/>
      <c r="V9" s="2146"/>
      <c r="W9" s="19"/>
      <c r="X9" s="19"/>
      <c r="Y9" s="19"/>
      <c r="Z9" s="19"/>
      <c r="AA9" s="19"/>
      <c r="AB9" s="2146"/>
      <c r="AC9" s="19"/>
      <c r="AD9" s="19"/>
      <c r="AE9" s="19"/>
      <c r="AF9" s="19"/>
      <c r="AG9" s="19"/>
      <c r="AH9" s="19"/>
      <c r="AI9" s="19"/>
      <c r="AJ9" s="19"/>
      <c r="AK9" s="11"/>
      <c r="AL9" s="5"/>
      <c r="AM9" s="2326"/>
      <c r="AU9" s="2326"/>
      <c r="AV9" s="2326"/>
      <c r="AW9" s="2326"/>
      <c r="AX9" s="411"/>
      <c r="AY9" s="1808"/>
    </row>
    <row r="10" spans="1:51" ht="12" customHeight="1" thickBot="1" x14ac:dyDescent="0.25">
      <c r="A10" s="3184"/>
      <c r="B10" s="1795"/>
      <c r="F10" s="1911"/>
      <c r="G10" s="1907"/>
      <c r="H10" s="1907"/>
      <c r="I10" s="1907"/>
      <c r="J10" s="1907"/>
      <c r="K10" s="1907"/>
      <c r="L10" s="1907"/>
      <c r="M10" s="1907"/>
      <c r="N10" s="1912"/>
      <c r="O10" s="7"/>
      <c r="P10" s="7"/>
      <c r="Q10" s="7"/>
      <c r="R10" s="1794"/>
      <c r="S10" s="4"/>
      <c r="T10" s="5"/>
      <c r="U10" s="8"/>
      <c r="V10" s="3168" t="s">
        <v>8669</v>
      </c>
      <c r="W10" s="3169"/>
      <c r="X10" s="3169"/>
      <c r="Y10" s="3169"/>
      <c r="Z10" s="3169"/>
      <c r="AA10" s="3169"/>
      <c r="AB10" s="3170"/>
      <c r="AC10" s="2147"/>
      <c r="AD10" s="3201" t="s">
        <v>1632</v>
      </c>
      <c r="AE10" s="3201"/>
      <c r="AF10" s="3201"/>
      <c r="AG10" s="3201"/>
      <c r="AH10" s="3223" t="s">
        <v>1630</v>
      </c>
      <c r="AI10" s="3223"/>
      <c r="AJ10" s="21" t="s">
        <v>1631</v>
      </c>
      <c r="AK10" s="11"/>
      <c r="AL10" s="5"/>
      <c r="AM10" s="2326"/>
      <c r="AU10" s="2326"/>
      <c r="AV10" s="2326"/>
      <c r="AW10" s="2326"/>
      <c r="AX10" s="411"/>
      <c r="AY10" s="1808"/>
    </row>
    <row r="11" spans="1:51" ht="12" customHeight="1" x14ac:dyDescent="0.2">
      <c r="A11" s="3184"/>
      <c r="B11" s="1795"/>
      <c r="F11" s="1911"/>
      <c r="G11" s="1907"/>
      <c r="H11" s="1907"/>
      <c r="I11" s="1907"/>
      <c r="J11" s="1907"/>
      <c r="K11" s="1907"/>
      <c r="L11" s="1907"/>
      <c r="M11" s="1907"/>
      <c r="N11" s="1912"/>
      <c r="O11" s="7"/>
      <c r="P11" s="7"/>
      <c r="Q11" s="7"/>
      <c r="R11" s="1794"/>
      <c r="S11" s="4"/>
      <c r="T11" s="5"/>
      <c r="U11" s="8"/>
      <c r="V11" s="3228" t="s">
        <v>8806</v>
      </c>
      <c r="W11" s="3229"/>
      <c r="X11" s="3229"/>
      <c r="Y11" s="3227" t="s">
        <v>1658</v>
      </c>
      <c r="Z11" s="3227"/>
      <c r="AA11" s="3225" t="s">
        <v>8762</v>
      </c>
      <c r="AB11" s="3226"/>
      <c r="AD11" s="3205"/>
      <c r="AE11" s="3205"/>
      <c r="AF11" s="3205"/>
      <c r="AG11" s="3205"/>
      <c r="AH11" s="3206"/>
      <c r="AI11" s="3206"/>
      <c r="AJ11" s="22"/>
      <c r="AK11" s="11"/>
      <c r="AL11" s="5"/>
      <c r="AM11" s="2326"/>
      <c r="AU11" s="2326"/>
      <c r="AV11" s="2326"/>
      <c r="AW11" s="2326"/>
      <c r="AX11" s="411"/>
      <c r="AY11" s="1808"/>
    </row>
    <row r="12" spans="1:51" ht="12" customHeight="1" x14ac:dyDescent="0.2">
      <c r="A12" s="3184"/>
      <c r="B12" s="1793"/>
      <c r="C12" s="7"/>
      <c r="D12" s="7"/>
      <c r="E12" s="7"/>
      <c r="F12" s="1911"/>
      <c r="G12" s="1907"/>
      <c r="H12" s="1907"/>
      <c r="I12" s="1907"/>
      <c r="J12" s="1907"/>
      <c r="K12" s="1907"/>
      <c r="L12" s="1907"/>
      <c r="M12" s="1907"/>
      <c r="N12" s="1912"/>
      <c r="O12" s="7"/>
      <c r="Q12" s="7"/>
      <c r="R12" s="1794"/>
      <c r="S12" s="4"/>
      <c r="T12" s="5"/>
      <c r="U12" s="8"/>
      <c r="V12" s="3208"/>
      <c r="W12" s="3209"/>
      <c r="X12" s="3210"/>
      <c r="Y12" s="3214">
        <f>VLOOKUP(Nivel_Total,Tabla_ExpTotal,AjusteNivel+2,FALSE)+V12</f>
        <v>0</v>
      </c>
      <c r="Z12" s="3218"/>
      <c r="AA12" s="3214">
        <f>VLOOKUP(Nivel_Total+1,Tabla_ExpTotal,AjusteNivel+2,FALSE)</f>
        <v>0</v>
      </c>
      <c r="AB12" s="3215"/>
      <c r="AC12" s="2147"/>
      <c r="AD12" s="3205"/>
      <c r="AE12" s="3205"/>
      <c r="AF12" s="3205"/>
      <c r="AG12" s="3205"/>
      <c r="AH12" s="3206"/>
      <c r="AI12" s="3206"/>
      <c r="AJ12" s="22"/>
      <c r="AK12" s="11"/>
      <c r="AL12" s="5"/>
      <c r="AM12" s="2326"/>
      <c r="AN12" s="2326"/>
      <c r="AO12" s="2326"/>
      <c r="AR12" s="2326"/>
      <c r="AS12" s="2326"/>
      <c r="AT12" s="2326"/>
      <c r="AU12" s="2326"/>
      <c r="AV12" s="2326"/>
      <c r="AW12" s="2326"/>
      <c r="AX12" s="411"/>
      <c r="AY12" s="1808"/>
    </row>
    <row r="13" spans="1:51" ht="12" customHeight="1" thickBot="1" x14ac:dyDescent="0.25">
      <c r="A13" s="3184"/>
      <c r="B13" s="1793"/>
      <c r="C13" s="7"/>
      <c r="D13" s="7"/>
      <c r="E13" s="7"/>
      <c r="F13" s="1911"/>
      <c r="G13" s="1907"/>
      <c r="H13" s="1907"/>
      <c r="I13" s="1907"/>
      <c r="J13" s="1907"/>
      <c r="K13" s="1907"/>
      <c r="L13" s="1907"/>
      <c r="M13" s="1907"/>
      <c r="N13" s="1912"/>
      <c r="O13" s="7"/>
      <c r="P13" s="7"/>
      <c r="Q13" s="7"/>
      <c r="R13" s="1794"/>
      <c r="S13" s="4"/>
      <c r="T13" s="5"/>
      <c r="U13" s="8"/>
      <c r="V13" s="3211"/>
      <c r="W13" s="3212"/>
      <c r="X13" s="3213"/>
      <c r="Y13" s="3216"/>
      <c r="Z13" s="3219"/>
      <c r="AA13" s="3216"/>
      <c r="AB13" s="3217"/>
      <c r="AC13" s="2245"/>
      <c r="AD13" s="3205"/>
      <c r="AE13" s="3205"/>
      <c r="AF13" s="3205"/>
      <c r="AG13" s="3205"/>
      <c r="AH13" s="3206"/>
      <c r="AI13" s="3206"/>
      <c r="AJ13" s="22"/>
      <c r="AK13" s="11"/>
      <c r="AL13" s="5"/>
      <c r="AM13" s="2326"/>
      <c r="AN13" s="2326"/>
      <c r="AO13" s="2326"/>
      <c r="AP13" s="2326"/>
      <c r="AQ13" s="2326"/>
      <c r="AR13" s="2326"/>
      <c r="AS13" s="2326"/>
      <c r="AT13" s="2326"/>
      <c r="AU13" s="2326"/>
      <c r="AV13" s="2326"/>
      <c r="AW13" s="2326"/>
      <c r="AX13" s="411"/>
      <c r="AY13" s="1808"/>
    </row>
    <row r="14" spans="1:51" ht="12" customHeight="1" thickBot="1" x14ac:dyDescent="0.25">
      <c r="A14" s="3184"/>
      <c r="B14" s="1793"/>
      <c r="C14" s="7"/>
      <c r="D14" s="7"/>
      <c r="E14" s="7"/>
      <c r="F14" s="1911"/>
      <c r="G14" s="1907"/>
      <c r="H14" s="1907"/>
      <c r="I14" s="1907"/>
      <c r="J14" s="1907"/>
      <c r="K14" s="1907"/>
      <c r="L14" s="1907"/>
      <c r="M14" s="1907"/>
      <c r="N14" s="1912"/>
      <c r="O14" s="7"/>
      <c r="P14" s="7"/>
      <c r="Q14" s="7"/>
      <c r="R14" s="1794"/>
      <c r="S14" s="4"/>
      <c r="T14" s="5"/>
      <c r="U14" s="8"/>
      <c r="V14" s="3231" t="str">
        <f>IF(AND(General!V12="",OR(Tablas!G472&gt;0,Tablas!G473&gt;0,Tablas!G474&gt;0)),"Suma experiencia de Curtido (50 por PC empleado)","")</f>
        <v/>
      </c>
      <c r="W14" s="3231"/>
      <c r="X14" s="3231"/>
      <c r="Y14" s="3231"/>
      <c r="Z14" s="3231"/>
      <c r="AA14" s="3231"/>
      <c r="AB14" s="3231"/>
      <c r="AD14" s="3205"/>
      <c r="AE14" s="3205"/>
      <c r="AF14" s="3205"/>
      <c r="AG14" s="3205"/>
      <c r="AH14" s="3206"/>
      <c r="AI14" s="3206"/>
      <c r="AJ14" s="22"/>
      <c r="AK14" s="11"/>
      <c r="AL14" s="5"/>
      <c r="AM14" s="2326"/>
      <c r="AU14" s="2326"/>
      <c r="AV14" s="2326"/>
      <c r="AW14" s="2326"/>
      <c r="AX14" s="411"/>
      <c r="AY14" s="1808"/>
    </row>
    <row r="15" spans="1:51" ht="12" customHeight="1" thickBot="1" x14ac:dyDescent="0.25">
      <c r="A15" s="3184"/>
      <c r="B15" s="1793"/>
      <c r="C15" s="7"/>
      <c r="D15" s="7"/>
      <c r="E15" s="7"/>
      <c r="F15" s="1911"/>
      <c r="G15" s="1907"/>
      <c r="H15" s="1907"/>
      <c r="I15" s="1907"/>
      <c r="J15" s="1907"/>
      <c r="K15" s="1907"/>
      <c r="L15" s="1907"/>
      <c r="M15" s="1907"/>
      <c r="N15" s="1912"/>
      <c r="O15" s="7"/>
      <c r="P15" s="7"/>
      <c r="R15" s="1794"/>
      <c r="S15" s="4"/>
      <c r="T15" s="5"/>
      <c r="U15" s="8"/>
      <c r="V15" s="3201" t="s">
        <v>1629</v>
      </c>
      <c r="W15" s="3201"/>
      <c r="X15" s="3201"/>
      <c r="Y15" s="3201"/>
      <c r="Z15" s="3207" t="s">
        <v>1630</v>
      </c>
      <c r="AA15" s="3207"/>
      <c r="AB15" s="21" t="s">
        <v>1631</v>
      </c>
      <c r="AD15" s="3205"/>
      <c r="AE15" s="3205"/>
      <c r="AF15" s="3205"/>
      <c r="AG15" s="3205"/>
      <c r="AH15" s="3206"/>
      <c r="AI15" s="3206"/>
      <c r="AJ15" s="22"/>
      <c r="AK15" s="11"/>
      <c r="AL15" s="5"/>
      <c r="AM15" s="2326"/>
      <c r="AU15" s="2326"/>
      <c r="AV15" s="2326"/>
      <c r="AW15" s="2326"/>
      <c r="AX15" s="411"/>
      <c r="AY15" s="1808"/>
    </row>
    <row r="16" spans="1:51" ht="12" customHeight="1" thickBot="1" x14ac:dyDescent="0.25">
      <c r="A16" s="3184"/>
      <c r="B16" s="1793"/>
      <c r="C16" s="7"/>
      <c r="D16" s="7"/>
      <c r="E16" s="7"/>
      <c r="F16" s="1913"/>
      <c r="G16" s="1668"/>
      <c r="H16" s="1668"/>
      <c r="I16" s="1668"/>
      <c r="J16" s="1789"/>
      <c r="K16" s="1668"/>
      <c r="L16" s="1668"/>
      <c r="M16" s="1668"/>
      <c r="N16" s="1914"/>
      <c r="O16" s="7"/>
      <c r="P16" s="7"/>
      <c r="Q16" s="7"/>
      <c r="R16" s="1794"/>
      <c r="S16" s="4"/>
      <c r="T16" s="5"/>
      <c r="U16" s="8"/>
      <c r="V16" s="3230"/>
      <c r="W16" s="3230"/>
      <c r="X16" s="3230"/>
      <c r="Y16" s="3230"/>
      <c r="Z16" s="3206"/>
      <c r="AA16" s="3206"/>
      <c r="AB16" s="22"/>
      <c r="AD16" s="3205"/>
      <c r="AE16" s="3205"/>
      <c r="AF16" s="3205"/>
      <c r="AG16" s="3205"/>
      <c r="AH16" s="3206"/>
      <c r="AI16" s="3206"/>
      <c r="AJ16" s="22"/>
      <c r="AK16" s="11"/>
      <c r="AL16" s="5"/>
      <c r="AM16" s="2326"/>
      <c r="AU16" s="2326"/>
      <c r="AV16" s="2326"/>
      <c r="AW16" s="2326"/>
      <c r="AX16" s="411"/>
      <c r="AY16" s="1808"/>
    </row>
    <row r="17" spans="1:51" ht="12" customHeight="1" x14ac:dyDescent="0.2">
      <c r="A17" s="3184"/>
      <c r="B17" s="1793"/>
      <c r="C17" s="7"/>
      <c r="D17" s="7"/>
      <c r="E17" s="7"/>
      <c r="F17" s="7"/>
      <c r="G17" s="7"/>
      <c r="H17" s="7"/>
      <c r="O17" s="7"/>
      <c r="P17" s="7"/>
      <c r="Q17" s="7"/>
      <c r="R17" s="1794"/>
      <c r="S17" s="4"/>
      <c r="T17" s="5"/>
      <c r="U17" s="8"/>
      <c r="V17" s="3230"/>
      <c r="W17" s="3230"/>
      <c r="X17" s="3230"/>
      <c r="Y17" s="3230"/>
      <c r="Z17" s="3206"/>
      <c r="AA17" s="3206"/>
      <c r="AB17" s="22"/>
      <c r="AD17" s="3205"/>
      <c r="AE17" s="3205"/>
      <c r="AF17" s="3205"/>
      <c r="AG17" s="3205"/>
      <c r="AH17" s="3206"/>
      <c r="AI17" s="3206"/>
      <c r="AJ17" s="22"/>
      <c r="AK17" s="11"/>
      <c r="AL17" s="5"/>
      <c r="AM17" s="2326"/>
      <c r="AU17" s="2326"/>
      <c r="AV17" s="2326"/>
      <c r="AW17" s="2326"/>
      <c r="AX17" s="411"/>
      <c r="AY17" s="1808"/>
    </row>
    <row r="18" spans="1:51" ht="12" customHeight="1" thickBot="1" x14ac:dyDescent="0.25">
      <c r="A18" s="3184"/>
      <c r="B18" s="1793"/>
      <c r="C18" s="7"/>
      <c r="Q18" s="7"/>
      <c r="R18" s="1794"/>
      <c r="S18" s="4"/>
      <c r="T18" s="5"/>
      <c r="U18" s="8"/>
      <c r="V18" s="3230"/>
      <c r="W18" s="3230"/>
      <c r="X18" s="3230"/>
      <c r="Y18" s="3230"/>
      <c r="Z18" s="3206"/>
      <c r="AA18" s="3206"/>
      <c r="AB18" s="22"/>
      <c r="AC18" s="23"/>
      <c r="AD18" s="3205"/>
      <c r="AE18" s="3205"/>
      <c r="AF18" s="3205"/>
      <c r="AG18" s="3205"/>
      <c r="AH18" s="3206"/>
      <c r="AI18" s="3206"/>
      <c r="AJ18" s="22"/>
      <c r="AK18" s="11"/>
      <c r="AL18" s="5"/>
      <c r="AM18" s="2326"/>
      <c r="AU18" s="2326"/>
      <c r="AV18" s="2326"/>
      <c r="AW18" s="2326"/>
      <c r="AX18" s="411"/>
      <c r="AY18" s="1808"/>
    </row>
    <row r="19" spans="1:51" ht="12" customHeight="1" x14ac:dyDescent="0.2">
      <c r="A19" s="3184"/>
      <c r="B19" s="1793"/>
      <c r="C19" s="7"/>
      <c r="D19" s="3185" t="s">
        <v>1633</v>
      </c>
      <c r="E19" s="3186"/>
      <c r="F19" s="3186"/>
      <c r="G19" s="3186"/>
      <c r="H19" s="3186"/>
      <c r="I19" s="3186"/>
      <c r="J19" s="3186"/>
      <c r="K19" s="3186"/>
      <c r="L19" s="3186"/>
      <c r="M19" s="3186"/>
      <c r="N19" s="3186"/>
      <c r="O19" s="3186"/>
      <c r="P19" s="3187"/>
      <c r="R19" s="1794"/>
      <c r="S19" s="4"/>
      <c r="T19" s="5"/>
      <c r="U19" s="8"/>
      <c r="V19" s="3230"/>
      <c r="W19" s="3230"/>
      <c r="X19" s="3230"/>
      <c r="Y19" s="3230"/>
      <c r="Z19" s="3206"/>
      <c r="AA19" s="3206"/>
      <c r="AB19" s="22"/>
      <c r="AC19" s="23"/>
      <c r="AD19" s="3230"/>
      <c r="AE19" s="3230"/>
      <c r="AF19" s="3230"/>
      <c r="AG19" s="3230"/>
      <c r="AH19" s="3206"/>
      <c r="AI19" s="3206"/>
      <c r="AJ19" s="22"/>
      <c r="AK19" s="11"/>
      <c r="AL19" s="5"/>
      <c r="AM19" s="2326"/>
      <c r="AU19" s="2326"/>
      <c r="AV19" s="2326"/>
      <c r="AW19" s="2326"/>
      <c r="AX19" s="411"/>
      <c r="AY19" s="1808"/>
    </row>
    <row r="20" spans="1:51" ht="12" customHeight="1" thickBot="1" x14ac:dyDescent="0.25">
      <c r="A20" s="3184"/>
      <c r="B20" s="1793"/>
      <c r="C20" s="7"/>
      <c r="D20" s="3188"/>
      <c r="E20" s="3189"/>
      <c r="F20" s="3189"/>
      <c r="G20" s="3189"/>
      <c r="H20" s="3189"/>
      <c r="I20" s="3189"/>
      <c r="J20" s="3189"/>
      <c r="K20" s="3189"/>
      <c r="L20" s="3189"/>
      <c r="M20" s="3189"/>
      <c r="N20" s="3189"/>
      <c r="O20" s="3189"/>
      <c r="P20" s="3190"/>
      <c r="R20" s="1794"/>
      <c r="S20" s="4"/>
      <c r="T20" s="5"/>
      <c r="U20" s="8"/>
      <c r="V20" s="3230"/>
      <c r="W20" s="3230"/>
      <c r="X20" s="3230"/>
      <c r="Y20" s="3230"/>
      <c r="Z20" s="3206"/>
      <c r="AA20" s="3206"/>
      <c r="AB20" s="22"/>
      <c r="AC20" s="23"/>
      <c r="AD20" s="3230"/>
      <c r="AE20" s="3230"/>
      <c r="AF20" s="3230"/>
      <c r="AG20" s="3230"/>
      <c r="AH20" s="3206"/>
      <c r="AI20" s="3206"/>
      <c r="AJ20" s="22"/>
      <c r="AK20" s="11"/>
      <c r="AL20" s="5"/>
      <c r="AM20" s="2326"/>
      <c r="AN20" s="2326"/>
    </row>
    <row r="21" spans="1:51" ht="12" customHeight="1" x14ac:dyDescent="0.2">
      <c r="A21" s="3184"/>
      <c r="B21" s="1793"/>
      <c r="C21" s="7"/>
      <c r="D21" s="1790"/>
      <c r="E21" s="1791"/>
      <c r="F21" s="1791"/>
      <c r="G21" s="1791"/>
      <c r="H21" s="1791"/>
      <c r="I21" s="1791"/>
      <c r="J21" s="1791"/>
      <c r="K21" s="1791"/>
      <c r="L21" s="1791"/>
      <c r="M21" s="1791"/>
      <c r="N21" s="1791"/>
      <c r="O21" s="1791"/>
      <c r="P21" s="1792"/>
      <c r="R21" s="1794"/>
      <c r="S21" s="4"/>
      <c r="T21" s="5"/>
      <c r="U21" s="8"/>
      <c r="V21" s="3205"/>
      <c r="W21" s="3205"/>
      <c r="X21" s="3205"/>
      <c r="Y21" s="3205"/>
      <c r="Z21" s="3206"/>
      <c r="AA21" s="3206"/>
      <c r="AB21" s="22"/>
      <c r="AC21" s="23"/>
      <c r="AD21" s="3205"/>
      <c r="AE21" s="3205"/>
      <c r="AF21" s="3205"/>
      <c r="AG21" s="3205"/>
      <c r="AH21" s="3206"/>
      <c r="AI21" s="3206"/>
      <c r="AJ21" s="22"/>
      <c r="AK21" s="11"/>
      <c r="AL21" s="5"/>
      <c r="AM21" s="2326"/>
      <c r="AN21" s="2326"/>
    </row>
    <row r="22" spans="1:51" ht="12" customHeight="1" x14ac:dyDescent="0.25">
      <c r="A22" s="3184"/>
      <c r="B22" s="1793"/>
      <c r="C22" s="7"/>
      <c r="D22" s="1664"/>
      <c r="E22" s="3192" t="s">
        <v>1634</v>
      </c>
      <c r="F22" s="3192"/>
      <c r="G22" s="3197"/>
      <c r="H22" s="3197"/>
      <c r="I22" s="3197"/>
      <c r="J22" s="3197"/>
      <c r="K22" s="3197"/>
      <c r="L22" s="3197"/>
      <c r="M22" s="3197"/>
      <c r="N22" s="3197"/>
      <c r="O22" s="3197"/>
      <c r="P22" s="1666"/>
      <c r="R22" s="1794"/>
      <c r="S22" s="4"/>
      <c r="T22" s="5"/>
      <c r="U22" s="8"/>
      <c r="V22" s="3205"/>
      <c r="W22" s="3205"/>
      <c r="X22" s="3205"/>
      <c r="Y22" s="3205"/>
      <c r="Z22" s="3206"/>
      <c r="AA22" s="3206"/>
      <c r="AB22" s="22"/>
      <c r="AC22" s="23"/>
      <c r="AD22" s="3205"/>
      <c r="AE22" s="3205"/>
      <c r="AF22" s="3205"/>
      <c r="AG22" s="3205"/>
      <c r="AH22" s="3206"/>
      <c r="AI22" s="3206"/>
      <c r="AJ22" s="22"/>
      <c r="AK22" s="11"/>
      <c r="AL22" s="5"/>
      <c r="AM22" s="2326"/>
      <c r="AN22" s="2327"/>
    </row>
    <row r="23" spans="1:51" ht="12" customHeight="1" thickBot="1" x14ac:dyDescent="0.25">
      <c r="A23" s="3184"/>
      <c r="B23" s="1793"/>
      <c r="C23" s="7"/>
      <c r="D23" s="1664"/>
      <c r="E23" s="1659" t="s">
        <v>1635</v>
      </c>
      <c r="F23" s="3199" t="s">
        <v>2239</v>
      </c>
      <c r="G23" s="3199"/>
      <c r="H23" s="1663" t="s">
        <v>8670</v>
      </c>
      <c r="I23" s="3196"/>
      <c r="J23" s="3196"/>
      <c r="K23" s="3196"/>
      <c r="L23" s="3200" t="str">
        <f>IF($F$23="Ebudan","Sue'Aman:",IF(OR($F$23="Humano",$F$23="Nephilim Sylvain",$F$23="Nephilim Jayán",$F$23="Nephilim D'Anjayni",$F$23="Nephilim Ebudan",$F$23="Nephilim Daimah",$F$23="Nephilim Duk'zarist",$F$23="Nephilim Devah",$F$23="Nephilim Vetala",$F$23="Nephilim Turak"),"Etnia:",""))</f>
        <v>Etnia:</v>
      </c>
      <c r="M23" s="3200"/>
      <c r="N23" s="3196"/>
      <c r="O23" s="3196"/>
      <c r="P23" s="1665"/>
      <c r="R23" s="1794"/>
      <c r="S23" s="4"/>
      <c r="T23" s="5"/>
      <c r="U23" s="8"/>
      <c r="V23" s="3232"/>
      <c r="W23" s="3232"/>
      <c r="X23" s="3232"/>
      <c r="Y23" s="3232"/>
      <c r="Z23" s="3233"/>
      <c r="AA23" s="3233"/>
      <c r="AB23" s="24"/>
      <c r="AC23" s="23"/>
      <c r="AD23" s="3205"/>
      <c r="AE23" s="3205"/>
      <c r="AF23" s="3205"/>
      <c r="AG23" s="3205"/>
      <c r="AH23" s="3206"/>
      <c r="AI23" s="3206"/>
      <c r="AJ23" s="22"/>
      <c r="AK23" s="11"/>
      <c r="AL23" s="5"/>
      <c r="AM23" s="2326"/>
      <c r="AN23" s="2326"/>
      <c r="AO23" s="2326"/>
    </row>
    <row r="24" spans="1:51" ht="12" customHeight="1" thickBot="1" x14ac:dyDescent="0.25">
      <c r="A24" s="3184"/>
      <c r="B24" s="1793"/>
      <c r="C24" s="7"/>
      <c r="D24" s="1664"/>
      <c r="E24" s="1659" t="s">
        <v>1636</v>
      </c>
      <c r="F24" s="1660"/>
      <c r="G24" s="1661"/>
      <c r="H24" s="1663" t="s">
        <v>1639</v>
      </c>
      <c r="I24" s="3193"/>
      <c r="J24" s="3193"/>
      <c r="K24" s="3191" t="s">
        <v>1641</v>
      </c>
      <c r="L24" s="3191"/>
      <c r="M24" s="3193"/>
      <c r="N24" s="3193"/>
      <c r="O24" s="3193"/>
      <c r="P24" s="1666"/>
      <c r="R24" s="1794"/>
      <c r="S24" s="4"/>
      <c r="T24" s="5"/>
      <c r="U24" s="8"/>
      <c r="AC24" s="23"/>
      <c r="AD24" s="3205"/>
      <c r="AE24" s="3205"/>
      <c r="AF24" s="3205"/>
      <c r="AG24" s="3205"/>
      <c r="AH24" s="3206"/>
      <c r="AI24" s="3206"/>
      <c r="AJ24" s="22"/>
      <c r="AK24" s="11"/>
      <c r="AL24" s="5"/>
      <c r="AM24" s="2326"/>
      <c r="AN24" s="2326"/>
      <c r="AO24" s="2326"/>
    </row>
    <row r="25" spans="1:51" ht="12" customHeight="1" thickBot="1" x14ac:dyDescent="0.25">
      <c r="A25" s="3184"/>
      <c r="B25" s="1793"/>
      <c r="C25" s="7"/>
      <c r="D25" s="1664"/>
      <c r="E25" s="1659" t="s">
        <v>1637</v>
      </c>
      <c r="F25" s="1770"/>
      <c r="G25" s="1663"/>
      <c r="H25" s="1662" t="s">
        <v>1643</v>
      </c>
      <c r="I25" s="3193"/>
      <c r="J25" s="3193"/>
      <c r="K25" s="1661"/>
      <c r="L25" s="1662" t="s">
        <v>7839</v>
      </c>
      <c r="M25" s="3196"/>
      <c r="N25" s="3196"/>
      <c r="O25" s="3196"/>
      <c r="P25" s="1799"/>
      <c r="R25" s="1794"/>
      <c r="S25" s="4"/>
      <c r="T25" s="5"/>
      <c r="U25" s="8"/>
      <c r="V25" s="3201" t="s">
        <v>1640</v>
      </c>
      <c r="W25" s="3201"/>
      <c r="X25" s="3201"/>
      <c r="Y25" s="3201"/>
      <c r="Z25" s="3201"/>
      <c r="AA25" s="3201"/>
      <c r="AB25" s="25" t="s">
        <v>1631</v>
      </c>
      <c r="AC25" s="23"/>
      <c r="AD25" s="3205"/>
      <c r="AE25" s="3205"/>
      <c r="AF25" s="3205"/>
      <c r="AG25" s="3205"/>
      <c r="AH25" s="3206"/>
      <c r="AI25" s="3206"/>
      <c r="AJ25" s="22"/>
      <c r="AK25" s="11"/>
      <c r="AL25" s="5"/>
      <c r="AM25" s="2326"/>
      <c r="AN25" s="2326"/>
      <c r="AO25" s="2326"/>
    </row>
    <row r="26" spans="1:51" ht="12" customHeight="1" x14ac:dyDescent="0.2">
      <c r="A26" s="3184"/>
      <c r="B26" s="1793"/>
      <c r="C26" s="7"/>
      <c r="D26" s="1664"/>
      <c r="E26" s="1662" t="s">
        <v>1638</v>
      </c>
      <c r="F26" s="1881"/>
      <c r="G26" s="1662"/>
      <c r="H26" s="1663" t="s">
        <v>1642</v>
      </c>
      <c r="I26" s="3193"/>
      <c r="J26" s="3193"/>
      <c r="K26" s="3198" t="str">
        <f>IF(M25="","","Clase social:")</f>
        <v/>
      </c>
      <c r="L26" s="3198"/>
      <c r="M26" s="3194"/>
      <c r="N26" s="3194"/>
      <c r="O26" s="3194"/>
      <c r="P26" s="1797"/>
      <c r="R26" s="1794"/>
      <c r="S26" s="4"/>
      <c r="T26" s="5"/>
      <c r="U26" s="8"/>
      <c r="V26" s="3234"/>
      <c r="W26" s="3234"/>
      <c r="X26" s="3234"/>
      <c r="Y26" s="3234"/>
      <c r="Z26" s="3234"/>
      <c r="AA26" s="3234"/>
      <c r="AB26" s="26"/>
      <c r="AC26" s="23"/>
      <c r="AD26" s="3205"/>
      <c r="AE26" s="3205"/>
      <c r="AF26" s="3205"/>
      <c r="AG26" s="3205"/>
      <c r="AH26" s="3206"/>
      <c r="AI26" s="3206"/>
      <c r="AJ26" s="22"/>
      <c r="AK26" s="11"/>
      <c r="AL26" s="5"/>
      <c r="AM26" s="411"/>
      <c r="AN26" s="411"/>
      <c r="AO26" s="411"/>
    </row>
    <row r="27" spans="1:51" ht="12" customHeight="1" thickBot="1" x14ac:dyDescent="0.25">
      <c r="A27" s="3184"/>
      <c r="B27" s="1793"/>
      <c r="C27" s="7"/>
      <c r="D27" s="1667"/>
      <c r="E27" s="1668"/>
      <c r="F27" s="1668"/>
      <c r="G27" s="1787"/>
      <c r="H27" s="1788"/>
      <c r="I27" s="1788"/>
      <c r="J27" s="1789"/>
      <c r="K27" s="1789"/>
      <c r="L27" s="1789"/>
      <c r="M27" s="3195"/>
      <c r="N27" s="3195"/>
      <c r="O27" s="3195"/>
      <c r="P27" s="1798"/>
      <c r="R27" s="1794"/>
      <c r="S27" s="4"/>
      <c r="T27" s="5"/>
      <c r="U27" s="8"/>
      <c r="V27" s="3205"/>
      <c r="W27" s="3205"/>
      <c r="X27" s="3205"/>
      <c r="Y27" s="3205"/>
      <c r="Z27" s="3205"/>
      <c r="AA27" s="3205"/>
      <c r="AB27" s="27"/>
      <c r="AC27" s="23"/>
      <c r="AD27" s="3205"/>
      <c r="AE27" s="3205"/>
      <c r="AF27" s="3205"/>
      <c r="AG27" s="3205"/>
      <c r="AH27" s="3206"/>
      <c r="AI27" s="3206"/>
      <c r="AJ27" s="22"/>
      <c r="AK27" s="11"/>
      <c r="AL27" s="5"/>
      <c r="AM27" s="411"/>
      <c r="AN27" s="411"/>
      <c r="AO27" s="411"/>
    </row>
    <row r="28" spans="1:51" ht="12" customHeight="1" x14ac:dyDescent="0.2">
      <c r="A28" s="3184"/>
      <c r="B28" s="1793"/>
      <c r="C28" s="7"/>
      <c r="Q28" s="7"/>
      <c r="R28" s="1794"/>
      <c r="S28" s="4"/>
      <c r="T28" s="5"/>
      <c r="U28" s="8"/>
      <c r="V28" s="3205"/>
      <c r="W28" s="3205"/>
      <c r="X28" s="3205"/>
      <c r="Y28" s="3205"/>
      <c r="Z28" s="3205"/>
      <c r="AA28" s="3205"/>
      <c r="AB28" s="27"/>
      <c r="AC28" s="23"/>
      <c r="AD28" s="3205"/>
      <c r="AE28" s="3205"/>
      <c r="AF28" s="3205"/>
      <c r="AG28" s="3205"/>
      <c r="AH28" s="3206"/>
      <c r="AI28" s="3206"/>
      <c r="AJ28" s="22"/>
      <c r="AK28" s="11"/>
      <c r="AL28" s="5"/>
      <c r="AM28" s="411"/>
      <c r="AN28" s="411"/>
      <c r="AO28" s="411"/>
    </row>
    <row r="29" spans="1:51" ht="12" customHeight="1" thickBot="1" x14ac:dyDescent="0.25">
      <c r="A29" s="3184"/>
      <c r="B29" s="1793"/>
      <c r="C29" s="7"/>
      <c r="D29" s="7"/>
      <c r="E29" s="7"/>
      <c r="F29" s="7"/>
      <c r="G29" s="7"/>
      <c r="H29" s="7"/>
      <c r="I29" s="7"/>
      <c r="J29" s="7"/>
      <c r="K29" s="7"/>
      <c r="L29" s="7"/>
      <c r="M29" s="7"/>
      <c r="N29" s="7"/>
      <c r="O29" s="7"/>
      <c r="P29" s="7"/>
      <c r="Q29" s="7"/>
      <c r="R29" s="1794"/>
      <c r="S29" s="4"/>
      <c r="T29" s="5"/>
      <c r="U29" s="8"/>
      <c r="V29" s="3205"/>
      <c r="W29" s="3205"/>
      <c r="X29" s="3205"/>
      <c r="Y29" s="3205"/>
      <c r="Z29" s="3205"/>
      <c r="AA29" s="3205"/>
      <c r="AB29" s="27"/>
      <c r="AC29" s="23"/>
      <c r="AD29" s="3205"/>
      <c r="AE29" s="3205"/>
      <c r="AF29" s="3205"/>
      <c r="AG29" s="3205"/>
      <c r="AH29" s="3206"/>
      <c r="AI29" s="3206"/>
      <c r="AJ29" s="22"/>
      <c r="AK29" s="11"/>
      <c r="AL29" s="5"/>
      <c r="AM29" s="411"/>
      <c r="AN29" s="411"/>
      <c r="AO29" s="411"/>
      <c r="AW29" s="2326"/>
      <c r="AX29" s="2326"/>
      <c r="AY29" s="1806"/>
    </row>
    <row r="30" spans="1:51" ht="12" customHeight="1" thickBot="1" x14ac:dyDescent="0.25">
      <c r="A30" s="3184"/>
      <c r="B30" s="1793"/>
      <c r="C30" s="3201" t="s">
        <v>1644</v>
      </c>
      <c r="D30" s="3201"/>
      <c r="E30" s="3201"/>
      <c r="F30" s="3201"/>
      <c r="G30" s="3201"/>
      <c r="H30" s="3201"/>
      <c r="I30" s="3201"/>
      <c r="J30" s="7"/>
      <c r="K30" s="3201" t="s">
        <v>1645</v>
      </c>
      <c r="L30" s="3201"/>
      <c r="M30" s="3201"/>
      <c r="N30" s="3201"/>
      <c r="O30" s="3201"/>
      <c r="P30" s="3201"/>
      <c r="Q30" s="3201"/>
      <c r="R30" s="1794"/>
      <c r="S30" s="4"/>
      <c r="T30" s="5"/>
      <c r="U30" s="8"/>
      <c r="V30" s="3205"/>
      <c r="W30" s="3205"/>
      <c r="X30" s="3205"/>
      <c r="Y30" s="3205"/>
      <c r="Z30" s="3205"/>
      <c r="AA30" s="3205"/>
      <c r="AB30" s="27"/>
      <c r="AC30" s="23"/>
      <c r="AD30" s="3205"/>
      <c r="AE30" s="3205"/>
      <c r="AF30" s="3205"/>
      <c r="AG30" s="3205"/>
      <c r="AH30" s="3206"/>
      <c r="AI30" s="3206"/>
      <c r="AJ30" s="22"/>
      <c r="AK30" s="11"/>
      <c r="AL30" s="5"/>
      <c r="AM30" s="2326"/>
      <c r="AN30" s="2326"/>
      <c r="AO30" s="2326"/>
      <c r="AP30" s="2326"/>
      <c r="AQ30" s="2326"/>
      <c r="AR30" s="2326"/>
      <c r="AS30" s="2326"/>
      <c r="AT30" s="2326"/>
      <c r="AU30" s="2326"/>
      <c r="AV30" s="2326"/>
      <c r="AW30" s="2326"/>
      <c r="AX30" s="2326"/>
      <c r="AY30" s="1806"/>
    </row>
    <row r="31" spans="1:51" ht="12" customHeight="1" thickBot="1" x14ac:dyDescent="0.25">
      <c r="A31" s="3184"/>
      <c r="B31" s="1793"/>
      <c r="C31" s="3204"/>
      <c r="D31" s="3204"/>
      <c r="E31" s="3204"/>
      <c r="F31" s="3204"/>
      <c r="G31" s="3204"/>
      <c r="H31" s="3204"/>
      <c r="I31" s="3204"/>
      <c r="J31" s="7"/>
      <c r="K31" s="3204"/>
      <c r="L31" s="3204"/>
      <c r="M31" s="3204"/>
      <c r="N31" s="3204"/>
      <c r="O31" s="3204"/>
      <c r="P31" s="3204"/>
      <c r="Q31" s="3204"/>
      <c r="R31" s="1794"/>
      <c r="S31" s="4"/>
      <c r="T31" s="5"/>
      <c r="U31" s="8"/>
      <c r="V31" s="3205"/>
      <c r="W31" s="3205"/>
      <c r="X31" s="3205"/>
      <c r="Y31" s="3205"/>
      <c r="Z31" s="3205"/>
      <c r="AA31" s="3205"/>
      <c r="AB31" s="27"/>
      <c r="AC31" s="23"/>
      <c r="AD31" s="3205"/>
      <c r="AE31" s="3205"/>
      <c r="AF31" s="3205"/>
      <c r="AG31" s="3205"/>
      <c r="AH31" s="3206"/>
      <c r="AI31" s="3206"/>
      <c r="AJ31" s="22"/>
      <c r="AK31" s="11"/>
      <c r="AL31" s="5"/>
      <c r="AM31" s="2326"/>
      <c r="AN31" s="2326"/>
      <c r="AO31" s="2326"/>
      <c r="AP31" s="2326"/>
      <c r="AQ31" s="2326"/>
      <c r="AR31" s="2326"/>
      <c r="AS31" s="2326"/>
      <c r="AT31" s="2326"/>
      <c r="AU31" s="2326"/>
      <c r="AV31" s="2326"/>
      <c r="AW31" s="2326"/>
      <c r="AX31" s="2326"/>
      <c r="AY31" s="1806"/>
    </row>
    <row r="32" spans="1:51" ht="12" customHeight="1" thickBot="1" x14ac:dyDescent="0.25">
      <c r="A32" s="3184"/>
      <c r="B32" s="1793"/>
      <c r="C32" s="3204"/>
      <c r="D32" s="3204"/>
      <c r="E32" s="3204"/>
      <c r="F32" s="3204"/>
      <c r="G32" s="3204"/>
      <c r="H32" s="3204"/>
      <c r="I32" s="3204"/>
      <c r="J32" s="7"/>
      <c r="K32" s="3204"/>
      <c r="L32" s="3204"/>
      <c r="M32" s="3204"/>
      <c r="N32" s="3204"/>
      <c r="O32" s="3204"/>
      <c r="P32" s="3204"/>
      <c r="Q32" s="3204"/>
      <c r="R32" s="1794"/>
      <c r="S32" s="4"/>
      <c r="T32" s="5"/>
      <c r="U32" s="8"/>
      <c r="V32" s="3232"/>
      <c r="W32" s="3232"/>
      <c r="X32" s="3232"/>
      <c r="Y32" s="3232"/>
      <c r="Z32" s="3232"/>
      <c r="AA32" s="3232"/>
      <c r="AB32" s="28"/>
      <c r="AC32" s="23"/>
      <c r="AD32" s="3235" t="s">
        <v>1646</v>
      </c>
      <c r="AE32" s="3235"/>
      <c r="AF32" s="3236" t="str">
        <f>IF(Principal!E14=0,0&amp;" kg",VLOOKUP(FUE,Tabla_Fuerza,3)&amp;" kg")</f>
        <v>25 kg</v>
      </c>
      <c r="AG32" s="3236"/>
      <c r="AH32" s="3237" t="s">
        <v>1647</v>
      </c>
      <c r="AI32" s="3237"/>
      <c r="AJ32" s="29">
        <f>SUM(AB11:AB23,AB26:AB32,AJ11:AJ31)</f>
        <v>0</v>
      </c>
      <c r="AK32" s="11"/>
      <c r="AL32" s="5"/>
      <c r="AM32" s="2326"/>
      <c r="AN32" s="2326"/>
      <c r="AO32" s="2326"/>
      <c r="AW32" s="2326"/>
      <c r="AX32" s="2326"/>
      <c r="AY32" s="1806"/>
    </row>
    <row r="33" spans="1:52" ht="12" customHeight="1" thickBot="1" x14ac:dyDescent="0.25">
      <c r="A33" s="3184"/>
      <c r="B33" s="1793"/>
      <c r="C33" s="3204"/>
      <c r="D33" s="3204"/>
      <c r="E33" s="3204"/>
      <c r="F33" s="3204"/>
      <c r="G33" s="3204"/>
      <c r="H33" s="3204"/>
      <c r="I33" s="3204"/>
      <c r="J33" s="30"/>
      <c r="K33" s="3204"/>
      <c r="L33" s="3204"/>
      <c r="M33" s="3204"/>
      <c r="N33" s="3204"/>
      <c r="O33" s="3204"/>
      <c r="P33" s="3204"/>
      <c r="Q33" s="3204"/>
      <c r="R33" s="1794"/>
      <c r="S33" s="4"/>
      <c r="T33" s="5"/>
      <c r="U33" s="8"/>
      <c r="AK33" s="11"/>
      <c r="AL33" s="5"/>
      <c r="AM33" s="2326"/>
      <c r="AN33" s="2326"/>
      <c r="AO33" s="2326"/>
      <c r="AW33" s="2326"/>
      <c r="AX33" s="2326"/>
      <c r="AY33" s="1806"/>
    </row>
    <row r="34" spans="1:52" ht="12" customHeight="1" thickBot="1" x14ac:dyDescent="0.25">
      <c r="A34" s="3184"/>
      <c r="B34" s="1793"/>
      <c r="C34" s="7"/>
      <c r="D34" s="7"/>
      <c r="E34" s="7"/>
      <c r="F34" s="7"/>
      <c r="G34" s="7"/>
      <c r="H34" s="7"/>
      <c r="I34" s="7"/>
      <c r="J34" s="31"/>
      <c r="K34" s="3204"/>
      <c r="L34" s="3204"/>
      <c r="M34" s="3204"/>
      <c r="N34" s="3204"/>
      <c r="O34" s="3204"/>
      <c r="P34" s="3204"/>
      <c r="Q34" s="3204"/>
      <c r="R34" s="1794"/>
      <c r="S34" s="4"/>
      <c r="T34" s="5"/>
      <c r="U34" s="8"/>
      <c r="V34" s="3201" t="s">
        <v>1648</v>
      </c>
      <c r="W34" s="3201"/>
      <c r="X34" s="3201"/>
      <c r="Y34" s="3201"/>
      <c r="Z34" s="3201"/>
      <c r="AA34" s="3201"/>
      <c r="AB34" s="3201"/>
      <c r="AC34" s="3201"/>
      <c r="AD34" s="3201"/>
      <c r="AE34" s="3201"/>
      <c r="AF34" s="3201"/>
      <c r="AG34" s="3201"/>
      <c r="AH34" s="3201"/>
      <c r="AI34" s="3201"/>
      <c r="AJ34" s="3201"/>
      <c r="AK34" s="11"/>
      <c r="AL34" s="5"/>
      <c r="AM34" s="2326"/>
      <c r="AN34" s="2326"/>
      <c r="AO34" s="2326"/>
      <c r="AW34" s="2326"/>
      <c r="AX34" s="2326"/>
      <c r="AY34" s="1806"/>
    </row>
    <row r="35" spans="1:52" ht="12" customHeight="1" thickBot="1" x14ac:dyDescent="0.25">
      <c r="A35" s="3184"/>
      <c r="B35" s="1793"/>
      <c r="C35" s="3201" t="s">
        <v>1649</v>
      </c>
      <c r="D35" s="3201"/>
      <c r="E35" s="3201"/>
      <c r="F35" s="3201"/>
      <c r="G35" s="3201"/>
      <c r="H35" s="3201"/>
      <c r="I35" s="3201"/>
      <c r="J35" s="31"/>
      <c r="K35" s="3204"/>
      <c r="L35" s="3204"/>
      <c r="M35" s="3204"/>
      <c r="N35" s="3204"/>
      <c r="O35" s="3204"/>
      <c r="P35" s="3204"/>
      <c r="Q35" s="3204"/>
      <c r="R35" s="1794"/>
      <c r="S35" s="4"/>
      <c r="T35" s="5"/>
      <c r="U35" s="8"/>
      <c r="V35" s="3241"/>
      <c r="W35" s="3241"/>
      <c r="X35" s="3241"/>
      <c r="Y35" s="3242"/>
      <c r="Z35" s="3242"/>
      <c r="AA35" s="3242"/>
      <c r="AB35" s="3242"/>
      <c r="AC35" s="3242"/>
      <c r="AD35" s="3242"/>
      <c r="AE35" s="3242"/>
      <c r="AF35" s="3242"/>
      <c r="AG35" s="3242"/>
      <c r="AH35" s="3242"/>
      <c r="AI35" s="3242"/>
      <c r="AJ35" s="3242"/>
      <c r="AK35" s="11"/>
      <c r="AL35" s="5"/>
      <c r="AM35" s="2326"/>
      <c r="AN35" s="2326"/>
      <c r="AO35" s="2326"/>
      <c r="AP35" s="2326"/>
      <c r="AX35" s="2326"/>
      <c r="AY35" s="1806"/>
      <c r="AZ35" s="6"/>
    </row>
    <row r="36" spans="1:52" ht="12" customHeight="1" thickBot="1" x14ac:dyDescent="0.25">
      <c r="A36" s="3184"/>
      <c r="B36" s="1793"/>
      <c r="C36" s="3204"/>
      <c r="D36" s="3204"/>
      <c r="E36" s="3204"/>
      <c r="F36" s="3204"/>
      <c r="G36" s="3204"/>
      <c r="H36" s="3204"/>
      <c r="I36" s="3204"/>
      <c r="J36" s="31"/>
      <c r="K36" s="3204"/>
      <c r="L36" s="3204"/>
      <c r="M36" s="3204"/>
      <c r="N36" s="3204"/>
      <c r="O36" s="3204"/>
      <c r="P36" s="3204"/>
      <c r="Q36" s="3204"/>
      <c r="R36" s="1794"/>
      <c r="S36" s="4"/>
      <c r="T36" s="5"/>
      <c r="U36" s="8"/>
      <c r="V36" s="3241"/>
      <c r="W36" s="3241"/>
      <c r="X36" s="3241"/>
      <c r="Y36" s="3242"/>
      <c r="Z36" s="3242"/>
      <c r="AA36" s="3242"/>
      <c r="AB36" s="3242"/>
      <c r="AC36" s="3242"/>
      <c r="AD36" s="3242"/>
      <c r="AE36" s="3242"/>
      <c r="AF36" s="3242"/>
      <c r="AG36" s="3242"/>
      <c r="AH36" s="3242"/>
      <c r="AI36" s="3242"/>
      <c r="AJ36" s="3242"/>
      <c r="AK36" s="11"/>
      <c r="AL36" s="5"/>
      <c r="AM36" s="2326"/>
      <c r="AN36" s="2326"/>
      <c r="AO36" s="2326"/>
      <c r="AP36" s="2326"/>
      <c r="AQ36" s="2326"/>
      <c r="AR36" s="2326"/>
      <c r="AS36" s="2326"/>
      <c r="AT36" s="2326"/>
      <c r="AU36" s="2326"/>
      <c r="AV36" s="2326"/>
      <c r="AW36" s="2326"/>
      <c r="AX36" s="2326"/>
      <c r="AY36" s="1806"/>
      <c r="AZ36" s="6"/>
    </row>
    <row r="37" spans="1:52" ht="12" customHeight="1" thickBot="1" x14ac:dyDescent="0.25">
      <c r="A37" s="3184"/>
      <c r="B37" s="1793"/>
      <c r="C37" s="3204"/>
      <c r="D37" s="3204"/>
      <c r="E37" s="3204"/>
      <c r="F37" s="3204"/>
      <c r="G37" s="3204"/>
      <c r="H37" s="3204"/>
      <c r="I37" s="3204"/>
      <c r="J37" s="31"/>
      <c r="K37" s="3204"/>
      <c r="L37" s="3204"/>
      <c r="M37" s="3204"/>
      <c r="N37" s="3204"/>
      <c r="O37" s="3204"/>
      <c r="P37" s="3204"/>
      <c r="Q37" s="3204"/>
      <c r="R37" s="1794"/>
      <c r="S37" s="4"/>
      <c r="T37" s="5"/>
      <c r="U37" s="8"/>
      <c r="V37" s="3241"/>
      <c r="W37" s="3241"/>
      <c r="X37" s="3241"/>
      <c r="Y37" s="3242"/>
      <c r="Z37" s="3242"/>
      <c r="AA37" s="3242"/>
      <c r="AB37" s="3242"/>
      <c r="AC37" s="3242"/>
      <c r="AD37" s="3242"/>
      <c r="AE37" s="3242"/>
      <c r="AF37" s="3242"/>
      <c r="AG37" s="3242"/>
      <c r="AH37" s="3242"/>
      <c r="AI37" s="3242"/>
      <c r="AJ37" s="3242"/>
      <c r="AK37" s="11"/>
      <c r="AL37" s="5"/>
      <c r="AM37" s="2326"/>
      <c r="AN37" s="2326"/>
      <c r="AO37" s="2326"/>
      <c r="AP37" s="2326"/>
      <c r="AQ37" s="2326"/>
      <c r="AR37" s="2326"/>
      <c r="AS37" s="2326"/>
      <c r="AT37" s="2326"/>
      <c r="AU37" s="2326"/>
      <c r="AV37" s="2326"/>
      <c r="AW37" s="2326"/>
      <c r="AX37" s="2326"/>
      <c r="AY37" s="1806"/>
      <c r="AZ37" s="6"/>
    </row>
    <row r="38" spans="1:52" ht="12" customHeight="1" thickBot="1" x14ac:dyDescent="0.25">
      <c r="A38" s="3184"/>
      <c r="B38" s="1793"/>
      <c r="C38" s="3204"/>
      <c r="D38" s="3204"/>
      <c r="E38" s="3204"/>
      <c r="F38" s="3204"/>
      <c r="G38" s="3204"/>
      <c r="H38" s="3204"/>
      <c r="I38" s="3204"/>
      <c r="J38" s="31"/>
      <c r="K38" s="3204"/>
      <c r="L38" s="3204"/>
      <c r="M38" s="3204"/>
      <c r="N38" s="3204"/>
      <c r="O38" s="3204"/>
      <c r="P38" s="3204"/>
      <c r="Q38" s="3204"/>
      <c r="R38" s="1794"/>
      <c r="S38" s="4"/>
      <c r="T38" s="5"/>
      <c r="U38" s="8"/>
      <c r="V38" s="3241"/>
      <c r="W38" s="3241"/>
      <c r="X38" s="3241"/>
      <c r="Y38" s="3242"/>
      <c r="Z38" s="3242"/>
      <c r="AA38" s="3242"/>
      <c r="AB38" s="3242"/>
      <c r="AC38" s="3242"/>
      <c r="AD38" s="3242"/>
      <c r="AE38" s="3242"/>
      <c r="AF38" s="3242"/>
      <c r="AG38" s="3242"/>
      <c r="AH38" s="3242"/>
      <c r="AI38" s="3242"/>
      <c r="AJ38" s="3242"/>
      <c r="AK38" s="11"/>
      <c r="AL38" s="5"/>
      <c r="AM38" s="2326"/>
      <c r="AN38" s="2326"/>
      <c r="AP38" s="2326"/>
      <c r="AX38" s="2326"/>
      <c r="AY38" s="1806"/>
      <c r="AZ38" s="6"/>
    </row>
    <row r="39" spans="1:52" ht="12" customHeight="1" thickBot="1" x14ac:dyDescent="0.25">
      <c r="A39" s="3184"/>
      <c r="B39" s="1793"/>
      <c r="C39" s="3204"/>
      <c r="D39" s="3204"/>
      <c r="E39" s="3204"/>
      <c r="F39" s="3204"/>
      <c r="G39" s="3204"/>
      <c r="H39" s="3204"/>
      <c r="I39" s="3204"/>
      <c r="J39" s="31"/>
      <c r="K39" s="3204"/>
      <c r="L39" s="3204"/>
      <c r="M39" s="3204"/>
      <c r="N39" s="3204"/>
      <c r="O39" s="3204"/>
      <c r="P39" s="3204"/>
      <c r="Q39" s="3204"/>
      <c r="R39" s="1794"/>
      <c r="S39" s="4"/>
      <c r="T39" s="5"/>
      <c r="U39" s="8"/>
      <c r="V39" s="3241"/>
      <c r="W39" s="3241"/>
      <c r="X39" s="3241"/>
      <c r="Y39" s="3242"/>
      <c r="Z39" s="3242"/>
      <c r="AA39" s="3242"/>
      <c r="AB39" s="3242"/>
      <c r="AC39" s="3242"/>
      <c r="AD39" s="3242"/>
      <c r="AE39" s="3242"/>
      <c r="AF39" s="3242"/>
      <c r="AG39" s="3242"/>
      <c r="AH39" s="3242"/>
      <c r="AI39" s="3242"/>
      <c r="AJ39" s="3242"/>
      <c r="AK39" s="11"/>
      <c r="AL39" s="5"/>
      <c r="AM39" s="2326"/>
      <c r="AN39" s="2326"/>
      <c r="AP39" s="2326"/>
      <c r="AX39" s="2326"/>
      <c r="AY39" s="1806"/>
      <c r="AZ39" s="6"/>
    </row>
    <row r="40" spans="1:52" ht="12" customHeight="1" thickBot="1" x14ac:dyDescent="0.25">
      <c r="A40" s="3184"/>
      <c r="B40" s="1793"/>
      <c r="C40" s="3204"/>
      <c r="D40" s="3204"/>
      <c r="E40" s="3204"/>
      <c r="F40" s="3204"/>
      <c r="G40" s="3204"/>
      <c r="H40" s="3204"/>
      <c r="I40" s="3204"/>
      <c r="J40" s="31"/>
      <c r="K40" s="3204"/>
      <c r="L40" s="3204"/>
      <c r="M40" s="3204"/>
      <c r="N40" s="3204"/>
      <c r="O40" s="3204"/>
      <c r="P40" s="3204"/>
      <c r="Q40" s="3204"/>
      <c r="R40" s="1794"/>
      <c r="S40" s="4"/>
      <c r="T40" s="5"/>
      <c r="U40" s="8"/>
      <c r="V40" s="3241"/>
      <c r="W40" s="3241"/>
      <c r="X40" s="3241"/>
      <c r="Y40" s="3242"/>
      <c r="Z40" s="3242"/>
      <c r="AA40" s="3242"/>
      <c r="AB40" s="3242"/>
      <c r="AC40" s="3242"/>
      <c r="AD40" s="3242"/>
      <c r="AE40" s="3242"/>
      <c r="AF40" s="3242"/>
      <c r="AG40" s="3242"/>
      <c r="AH40" s="3242"/>
      <c r="AI40" s="3242"/>
      <c r="AJ40" s="3242"/>
      <c r="AK40" s="11"/>
      <c r="AL40" s="5"/>
      <c r="AM40" s="2326"/>
      <c r="AN40" s="2326"/>
      <c r="AP40" s="2326"/>
      <c r="AX40" s="2326"/>
      <c r="AY40" s="1806"/>
      <c r="AZ40" s="6"/>
    </row>
    <row r="41" spans="1:52" ht="12" customHeight="1" thickBot="1" x14ac:dyDescent="0.25">
      <c r="A41" s="3184"/>
      <c r="B41" s="1793"/>
      <c r="C41" s="3204"/>
      <c r="D41" s="3204"/>
      <c r="E41" s="3204"/>
      <c r="F41" s="3204"/>
      <c r="G41" s="3204"/>
      <c r="H41" s="3204"/>
      <c r="I41" s="3204"/>
      <c r="J41" s="31"/>
      <c r="K41" s="3204"/>
      <c r="L41" s="3204"/>
      <c r="M41" s="3204"/>
      <c r="N41" s="3204"/>
      <c r="O41" s="3204"/>
      <c r="P41" s="3204"/>
      <c r="Q41" s="3204"/>
      <c r="R41" s="1794"/>
      <c r="S41" s="4"/>
      <c r="T41" s="5"/>
      <c r="U41" s="8"/>
      <c r="V41" s="3241"/>
      <c r="W41" s="3241"/>
      <c r="X41" s="3241"/>
      <c r="Y41" s="3238"/>
      <c r="Z41" s="3238"/>
      <c r="AA41" s="3238"/>
      <c r="AB41" s="3238"/>
      <c r="AC41" s="3238"/>
      <c r="AD41" s="3238"/>
      <c r="AE41" s="3238"/>
      <c r="AF41" s="3238"/>
      <c r="AG41" s="3238"/>
      <c r="AH41" s="3238"/>
      <c r="AI41" s="3238"/>
      <c r="AJ41" s="3238"/>
      <c r="AK41" s="11"/>
      <c r="AL41" s="5"/>
      <c r="AM41" s="2326"/>
      <c r="AN41" s="2326"/>
      <c r="AP41" s="2326"/>
      <c r="AX41" s="2326"/>
      <c r="AY41" s="1806"/>
      <c r="AZ41" s="6"/>
    </row>
    <row r="42" spans="1:52" ht="12" customHeight="1" thickBot="1" x14ac:dyDescent="0.25">
      <c r="A42" s="3184"/>
      <c r="B42" s="1793"/>
      <c r="C42" s="3204"/>
      <c r="D42" s="3204"/>
      <c r="E42" s="3204"/>
      <c r="F42" s="3204"/>
      <c r="G42" s="3204"/>
      <c r="H42" s="3204"/>
      <c r="I42" s="3204"/>
      <c r="J42" s="7"/>
      <c r="K42" s="3204"/>
      <c r="L42" s="3204"/>
      <c r="M42" s="3204"/>
      <c r="N42" s="3204"/>
      <c r="O42" s="3204"/>
      <c r="P42" s="3204"/>
      <c r="Q42" s="3204"/>
      <c r="R42" s="1794"/>
      <c r="S42" s="4"/>
      <c r="T42" s="5"/>
      <c r="U42" s="8"/>
      <c r="V42" s="3241"/>
      <c r="W42" s="3241"/>
      <c r="X42" s="3241"/>
      <c r="Y42" s="3238"/>
      <c r="Z42" s="3238"/>
      <c r="AA42" s="3238"/>
      <c r="AB42" s="3238"/>
      <c r="AC42" s="3238"/>
      <c r="AD42" s="3238"/>
      <c r="AE42" s="3238"/>
      <c r="AF42" s="3238"/>
      <c r="AG42" s="3238"/>
      <c r="AH42" s="3238"/>
      <c r="AI42" s="3238"/>
      <c r="AJ42" s="3238"/>
      <c r="AK42" s="11"/>
      <c r="AL42" s="5"/>
      <c r="AM42" s="2326"/>
      <c r="AN42" s="2326"/>
      <c r="AP42" s="2326"/>
      <c r="AX42" s="2326"/>
      <c r="AY42" s="1806"/>
      <c r="AZ42" s="6"/>
    </row>
    <row r="43" spans="1:52" ht="12" customHeight="1" thickBot="1" x14ac:dyDescent="0.25">
      <c r="A43" s="3184"/>
      <c r="B43" s="1793"/>
      <c r="C43" s="3204"/>
      <c r="D43" s="3204"/>
      <c r="E43" s="3204"/>
      <c r="F43" s="3204"/>
      <c r="G43" s="3204"/>
      <c r="H43" s="3204"/>
      <c r="I43" s="3204"/>
      <c r="J43" s="7"/>
      <c r="K43" s="3204"/>
      <c r="L43" s="3204"/>
      <c r="M43" s="3204"/>
      <c r="N43" s="3204"/>
      <c r="O43" s="3204"/>
      <c r="P43" s="3204"/>
      <c r="Q43" s="3204"/>
      <c r="R43" s="1794"/>
      <c r="S43" s="4"/>
      <c r="T43" s="5"/>
      <c r="U43" s="8"/>
      <c r="V43" s="3239"/>
      <c r="W43" s="3239"/>
      <c r="X43" s="3239"/>
      <c r="Y43" s="3240"/>
      <c r="Z43" s="3240"/>
      <c r="AA43" s="3240"/>
      <c r="AB43" s="3240"/>
      <c r="AC43" s="3240"/>
      <c r="AD43" s="3240"/>
      <c r="AE43" s="3240"/>
      <c r="AF43" s="3240"/>
      <c r="AG43" s="3240"/>
      <c r="AH43" s="3240"/>
      <c r="AI43" s="3240"/>
      <c r="AJ43" s="3240"/>
      <c r="AK43" s="11"/>
      <c r="AL43" s="5"/>
      <c r="AM43" s="2326"/>
      <c r="AN43" s="2326"/>
      <c r="AP43" s="2326"/>
      <c r="AX43" s="2326"/>
      <c r="AY43" s="1806"/>
      <c r="AZ43" s="6"/>
    </row>
    <row r="44" spans="1:52" ht="12" customHeight="1" thickBot="1" x14ac:dyDescent="0.25">
      <c r="A44" s="3184"/>
      <c r="B44" s="1793"/>
      <c r="C44" s="7"/>
      <c r="D44" s="7"/>
      <c r="E44" s="7"/>
      <c r="F44" s="7"/>
      <c r="G44" s="7"/>
      <c r="H44" s="7"/>
      <c r="I44" s="7"/>
      <c r="J44" s="7"/>
      <c r="K44" s="3204"/>
      <c r="L44" s="3204"/>
      <c r="M44" s="3204"/>
      <c r="N44" s="3204"/>
      <c r="O44" s="3204"/>
      <c r="P44" s="3204"/>
      <c r="Q44" s="3204"/>
      <c r="R44" s="1794"/>
      <c r="S44" s="4"/>
      <c r="T44" s="5"/>
      <c r="U44" s="8"/>
      <c r="V44" s="3239"/>
      <c r="W44" s="3239"/>
      <c r="X44" s="3239"/>
      <c r="Y44" s="3240"/>
      <c r="Z44" s="3240"/>
      <c r="AA44" s="3240"/>
      <c r="AB44" s="3240"/>
      <c r="AC44" s="3240"/>
      <c r="AD44" s="3240"/>
      <c r="AE44" s="3240"/>
      <c r="AF44" s="3240"/>
      <c r="AG44" s="3240"/>
      <c r="AH44" s="3240"/>
      <c r="AI44" s="3240"/>
      <c r="AJ44" s="3240"/>
      <c r="AK44" s="11"/>
      <c r="AL44" s="5"/>
      <c r="AM44" s="2326"/>
      <c r="AN44" s="2326"/>
    </row>
    <row r="45" spans="1:52" ht="12" customHeight="1" thickBot="1" x14ac:dyDescent="0.25">
      <c r="A45" s="3184"/>
      <c r="B45" s="1793"/>
      <c r="C45" s="3201" t="s">
        <v>1650</v>
      </c>
      <c r="D45" s="3201"/>
      <c r="E45" s="3201"/>
      <c r="F45" s="3201"/>
      <c r="G45" s="3201"/>
      <c r="H45" s="3201"/>
      <c r="I45" s="3201"/>
      <c r="J45" s="7"/>
      <c r="K45" s="3204"/>
      <c r="L45" s="3204"/>
      <c r="M45" s="3204"/>
      <c r="N45" s="3204"/>
      <c r="O45" s="3204"/>
      <c r="P45" s="3204"/>
      <c r="Q45" s="3204"/>
      <c r="R45" s="1794"/>
      <c r="S45" s="4"/>
      <c r="T45" s="5"/>
      <c r="U45" s="8"/>
      <c r="AK45" s="11"/>
      <c r="AL45" s="5"/>
      <c r="AM45" s="2326"/>
      <c r="AN45" s="2326"/>
      <c r="AO45" s="2326"/>
      <c r="AW45" s="2326"/>
      <c r="AX45" s="411"/>
      <c r="AY45" s="1808"/>
    </row>
    <row r="46" spans="1:52" ht="12" customHeight="1" thickBot="1" x14ac:dyDescent="0.25">
      <c r="A46" s="3184"/>
      <c r="B46" s="1793"/>
      <c r="C46" s="3204"/>
      <c r="D46" s="3204"/>
      <c r="E46" s="3204"/>
      <c r="F46" s="3204"/>
      <c r="G46" s="3204"/>
      <c r="H46" s="3204"/>
      <c r="I46" s="3204"/>
      <c r="J46" s="7"/>
      <c r="K46" s="3204"/>
      <c r="L46" s="3204"/>
      <c r="M46" s="3204"/>
      <c r="N46" s="3204"/>
      <c r="O46" s="3204"/>
      <c r="P46" s="3204"/>
      <c r="Q46" s="3204"/>
      <c r="R46" s="1794"/>
      <c r="S46" s="4"/>
      <c r="T46" s="5"/>
      <c r="U46" s="8"/>
      <c r="V46" s="3251" t="s">
        <v>1651</v>
      </c>
      <c r="W46" s="3251"/>
      <c r="X46" s="3251"/>
      <c r="Y46" s="3251"/>
      <c r="Z46" s="3251"/>
      <c r="AA46" s="3251"/>
      <c r="AB46" s="3251"/>
      <c r="AD46" s="3251" t="s">
        <v>1652</v>
      </c>
      <c r="AE46" s="3251"/>
      <c r="AF46" s="3251"/>
      <c r="AG46" s="3251"/>
      <c r="AH46" s="3251"/>
      <c r="AI46" s="3251"/>
      <c r="AJ46" s="3251"/>
      <c r="AK46" s="11"/>
      <c r="AL46" s="5"/>
      <c r="AM46" s="2326"/>
      <c r="AN46" s="2326"/>
      <c r="AO46" s="2326"/>
      <c r="AW46" s="2326"/>
      <c r="AX46" s="2326"/>
      <c r="AY46" s="1806"/>
    </row>
    <row r="47" spans="1:52" ht="12" customHeight="1" thickBot="1" x14ac:dyDescent="0.25">
      <c r="A47" s="3184"/>
      <c r="B47" s="1793"/>
      <c r="C47" s="3204"/>
      <c r="D47" s="3204"/>
      <c r="E47" s="3204"/>
      <c r="F47" s="3204"/>
      <c r="G47" s="3204"/>
      <c r="H47" s="3204"/>
      <c r="I47" s="3204"/>
      <c r="J47" s="7"/>
      <c r="K47" s="3204"/>
      <c r="L47" s="3204"/>
      <c r="M47" s="3204"/>
      <c r="N47" s="3204"/>
      <c r="O47" s="3204"/>
      <c r="P47" s="3204"/>
      <c r="Q47" s="3204"/>
      <c r="R47" s="1794"/>
      <c r="S47" s="4"/>
      <c r="T47" s="5"/>
      <c r="U47" s="8"/>
      <c r="V47" s="3252"/>
      <c r="W47" s="3252"/>
      <c r="X47" s="3252"/>
      <c r="Y47" s="3252"/>
      <c r="Z47" s="3252"/>
      <c r="AA47" s="3252"/>
      <c r="AB47" s="3252"/>
      <c r="AD47" s="3252"/>
      <c r="AE47" s="3252"/>
      <c r="AF47" s="3252"/>
      <c r="AG47" s="3252"/>
      <c r="AH47" s="3252"/>
      <c r="AI47" s="3252"/>
      <c r="AJ47" s="3252"/>
      <c r="AK47" s="11"/>
      <c r="AL47" s="5"/>
      <c r="AM47" s="2326"/>
      <c r="AN47" s="2326"/>
      <c r="AO47" s="2326"/>
      <c r="AP47" s="2326"/>
      <c r="AQ47" s="2326"/>
      <c r="AR47" s="2326"/>
      <c r="AS47" s="2326"/>
      <c r="AT47" s="2326"/>
      <c r="AU47" s="2326"/>
      <c r="AV47" s="2326"/>
      <c r="AW47" s="2326"/>
      <c r="AX47" s="2326"/>
      <c r="AY47" s="1806"/>
    </row>
    <row r="48" spans="1:52" ht="12" customHeight="1" thickBot="1" x14ac:dyDescent="0.25">
      <c r="A48" s="3184"/>
      <c r="B48" s="1793"/>
      <c r="C48" s="3204"/>
      <c r="D48" s="3204"/>
      <c r="E48" s="3204"/>
      <c r="F48" s="3204"/>
      <c r="G48" s="3204"/>
      <c r="H48" s="3204"/>
      <c r="I48" s="3204"/>
      <c r="J48" s="7"/>
      <c r="K48" s="3204"/>
      <c r="L48" s="3204"/>
      <c r="M48" s="3204"/>
      <c r="N48" s="3204"/>
      <c r="O48" s="3204"/>
      <c r="P48" s="3204"/>
      <c r="Q48" s="3204"/>
      <c r="R48" s="1794"/>
      <c r="S48" s="4"/>
      <c r="T48" s="5"/>
      <c r="U48" s="8"/>
      <c r="V48" s="3250"/>
      <c r="W48" s="3250"/>
      <c r="X48" s="3250"/>
      <c r="Y48" s="3250"/>
      <c r="Z48" s="3250"/>
      <c r="AA48" s="3250"/>
      <c r="AB48" s="3250"/>
      <c r="AD48" s="3250"/>
      <c r="AE48" s="3250"/>
      <c r="AF48" s="3250"/>
      <c r="AG48" s="3250"/>
      <c r="AH48" s="3250"/>
      <c r="AI48" s="3250"/>
      <c r="AJ48" s="3250"/>
      <c r="AK48" s="11"/>
      <c r="AL48" s="5"/>
      <c r="AM48" s="2326"/>
      <c r="AN48" s="2326"/>
      <c r="AO48" s="2326"/>
      <c r="AP48" s="2326"/>
      <c r="AQ48" s="2326"/>
      <c r="AR48" s="2326"/>
      <c r="AS48" s="2326"/>
      <c r="AT48" s="2326"/>
      <c r="AU48" s="2326"/>
      <c r="AV48" s="2326"/>
      <c r="AW48" s="2326"/>
      <c r="AX48" s="2326"/>
      <c r="AY48" s="1806"/>
    </row>
    <row r="49" spans="1:51" ht="12" customHeight="1" thickBot="1" x14ac:dyDescent="0.25">
      <c r="A49" s="3184"/>
      <c r="B49" s="1793"/>
      <c r="C49" s="3204"/>
      <c r="D49" s="3204"/>
      <c r="E49" s="3204"/>
      <c r="F49" s="3204"/>
      <c r="G49" s="3204"/>
      <c r="H49" s="3204"/>
      <c r="I49" s="3204"/>
      <c r="J49" s="7"/>
      <c r="K49" s="3204"/>
      <c r="L49" s="3204"/>
      <c r="M49" s="3204"/>
      <c r="N49" s="3204"/>
      <c r="O49" s="3204"/>
      <c r="P49" s="3204"/>
      <c r="Q49" s="3204"/>
      <c r="R49" s="1794"/>
      <c r="S49" s="4"/>
      <c r="T49" s="5"/>
      <c r="U49" s="8"/>
      <c r="V49" s="3250"/>
      <c r="W49" s="3250"/>
      <c r="X49" s="3250"/>
      <c r="Y49" s="3250"/>
      <c r="Z49" s="3250"/>
      <c r="AA49" s="3250"/>
      <c r="AB49" s="3250"/>
      <c r="AD49" s="3250"/>
      <c r="AE49" s="3250"/>
      <c r="AF49" s="3250"/>
      <c r="AG49" s="3250"/>
      <c r="AH49" s="3250"/>
      <c r="AI49" s="3250"/>
      <c r="AJ49" s="3250"/>
      <c r="AK49" s="11"/>
      <c r="AL49" s="5"/>
      <c r="AM49" s="2326"/>
      <c r="AN49" s="2326"/>
      <c r="AO49" s="2326"/>
      <c r="AW49" s="2326"/>
      <c r="AX49" s="2326"/>
      <c r="AY49" s="1806"/>
    </row>
    <row r="50" spans="1:51" ht="12" customHeight="1" thickBot="1" x14ac:dyDescent="0.25">
      <c r="A50" s="3184"/>
      <c r="B50" s="1793"/>
      <c r="C50" s="3204"/>
      <c r="D50" s="3204"/>
      <c r="E50" s="3204"/>
      <c r="F50" s="3204"/>
      <c r="G50" s="3204"/>
      <c r="H50" s="3204"/>
      <c r="I50" s="3204"/>
      <c r="J50" s="7"/>
      <c r="K50" s="3204"/>
      <c r="L50" s="3204"/>
      <c r="M50" s="3204"/>
      <c r="N50" s="3204"/>
      <c r="O50" s="3204"/>
      <c r="P50" s="3204"/>
      <c r="Q50" s="3204"/>
      <c r="R50" s="1794"/>
      <c r="S50" s="4"/>
      <c r="T50" s="5"/>
      <c r="U50" s="8"/>
      <c r="V50" s="3250"/>
      <c r="W50" s="3250"/>
      <c r="X50" s="3250"/>
      <c r="Y50" s="3250"/>
      <c r="Z50" s="3250"/>
      <c r="AA50" s="3250"/>
      <c r="AB50" s="3250"/>
      <c r="AD50" s="3250"/>
      <c r="AE50" s="3250"/>
      <c r="AF50" s="3250"/>
      <c r="AG50" s="3250"/>
      <c r="AH50" s="3250"/>
      <c r="AI50" s="3250"/>
      <c r="AJ50" s="3250"/>
      <c r="AK50" s="11"/>
      <c r="AL50" s="5"/>
      <c r="AM50" s="2326"/>
      <c r="AN50" s="2326"/>
      <c r="AO50" s="2326"/>
      <c r="AW50" s="2326"/>
      <c r="AX50" s="2326"/>
      <c r="AY50" s="1806"/>
    </row>
    <row r="51" spans="1:51" ht="12" customHeight="1" thickBot="1" x14ac:dyDescent="0.25">
      <c r="A51" s="3184"/>
      <c r="B51" s="1793"/>
      <c r="C51" s="3204"/>
      <c r="D51" s="3204"/>
      <c r="E51" s="3204"/>
      <c r="F51" s="3204"/>
      <c r="G51" s="3204"/>
      <c r="H51" s="3204"/>
      <c r="I51" s="3204"/>
      <c r="J51" s="7"/>
      <c r="K51" s="3204"/>
      <c r="L51" s="3204"/>
      <c r="M51" s="3204"/>
      <c r="N51" s="3204"/>
      <c r="O51" s="3204"/>
      <c r="P51" s="3204"/>
      <c r="Q51" s="3204"/>
      <c r="R51" s="1794"/>
      <c r="S51" s="4"/>
      <c r="T51" s="5"/>
      <c r="U51" s="8"/>
      <c r="V51" s="3250"/>
      <c r="W51" s="3250"/>
      <c r="X51" s="3250"/>
      <c r="Y51" s="3250"/>
      <c r="Z51" s="3250"/>
      <c r="AA51" s="3250"/>
      <c r="AB51" s="3250"/>
      <c r="AD51" s="3250"/>
      <c r="AE51" s="3250"/>
      <c r="AF51" s="3250"/>
      <c r="AG51" s="3250"/>
      <c r="AH51" s="3250"/>
      <c r="AI51" s="3250"/>
      <c r="AJ51" s="3250"/>
      <c r="AK51" s="11"/>
      <c r="AL51" s="5"/>
      <c r="AM51" s="2326"/>
      <c r="AN51" s="2326"/>
      <c r="AO51" s="2326"/>
      <c r="AW51" s="2326"/>
      <c r="AX51" s="2326"/>
      <c r="AY51" s="1806"/>
    </row>
    <row r="52" spans="1:51" ht="12" customHeight="1" thickBot="1" x14ac:dyDescent="0.25">
      <c r="A52" s="3184"/>
      <c r="B52" s="1793"/>
      <c r="C52" s="3204"/>
      <c r="D52" s="3204"/>
      <c r="E52" s="3204"/>
      <c r="F52" s="3204"/>
      <c r="G52" s="3204"/>
      <c r="H52" s="3204"/>
      <c r="I52" s="3204"/>
      <c r="J52" s="7"/>
      <c r="K52" s="3204"/>
      <c r="L52" s="3204"/>
      <c r="M52" s="3204"/>
      <c r="N52" s="3204"/>
      <c r="O52" s="3204"/>
      <c r="P52" s="3204"/>
      <c r="Q52" s="3204"/>
      <c r="R52" s="1794"/>
      <c r="S52" s="4"/>
      <c r="T52" s="5"/>
      <c r="U52" s="8"/>
      <c r="V52" s="3250"/>
      <c r="W52" s="3250"/>
      <c r="X52" s="3250"/>
      <c r="Y52" s="3250"/>
      <c r="Z52" s="3250"/>
      <c r="AA52" s="3250"/>
      <c r="AB52" s="3250"/>
      <c r="AD52" s="3250"/>
      <c r="AE52" s="3250"/>
      <c r="AF52" s="3250"/>
      <c r="AG52" s="3250"/>
      <c r="AH52" s="3250"/>
      <c r="AI52" s="3250"/>
      <c r="AJ52" s="3250"/>
      <c r="AK52" s="11"/>
      <c r="AL52" s="5"/>
      <c r="AM52" s="2326"/>
      <c r="AN52" s="2326"/>
      <c r="AO52" s="2326"/>
      <c r="AW52" s="2326"/>
      <c r="AX52" s="2326"/>
      <c r="AY52" s="1806"/>
    </row>
    <row r="53" spans="1:51" ht="12" customHeight="1" thickBot="1" x14ac:dyDescent="0.25">
      <c r="A53" s="3184"/>
      <c r="B53" s="1793"/>
      <c r="C53" s="3204"/>
      <c r="D53" s="3204"/>
      <c r="E53" s="3204"/>
      <c r="F53" s="3204"/>
      <c r="G53" s="3204"/>
      <c r="H53" s="3204"/>
      <c r="I53" s="3204"/>
      <c r="J53" s="7"/>
      <c r="K53" s="3204"/>
      <c r="L53" s="3204"/>
      <c r="M53" s="3204"/>
      <c r="N53" s="3204"/>
      <c r="O53" s="3204"/>
      <c r="P53" s="3204"/>
      <c r="Q53" s="3204"/>
      <c r="R53" s="1794"/>
      <c r="S53" s="4"/>
      <c r="T53" s="5"/>
      <c r="U53" s="8"/>
      <c r="V53" s="3250"/>
      <c r="W53" s="3250"/>
      <c r="X53" s="3250"/>
      <c r="Y53" s="3250"/>
      <c r="Z53" s="3250"/>
      <c r="AA53" s="3250"/>
      <c r="AB53" s="3250"/>
      <c r="AD53" s="3250"/>
      <c r="AE53" s="3250"/>
      <c r="AF53" s="3250"/>
      <c r="AG53" s="3250"/>
      <c r="AH53" s="3250"/>
      <c r="AI53" s="3250"/>
      <c r="AJ53" s="3250"/>
      <c r="AK53" s="11"/>
      <c r="AL53" s="5"/>
      <c r="AM53" s="2326"/>
      <c r="AN53" s="2326"/>
      <c r="AO53" s="2326"/>
      <c r="AW53" s="2326"/>
      <c r="AX53" s="2326"/>
      <c r="AY53" s="1806"/>
    </row>
    <row r="54" spans="1:51" ht="12" customHeight="1" thickBot="1" x14ac:dyDescent="0.25">
      <c r="A54" s="3184"/>
      <c r="B54" s="1793"/>
      <c r="C54" s="7"/>
      <c r="D54" s="7"/>
      <c r="E54" s="7"/>
      <c r="F54" s="7"/>
      <c r="G54" s="7"/>
      <c r="H54" s="7"/>
      <c r="I54" s="7"/>
      <c r="J54" s="7"/>
      <c r="K54" s="3204"/>
      <c r="L54" s="3204"/>
      <c r="M54" s="3204"/>
      <c r="N54" s="3204"/>
      <c r="O54" s="3204"/>
      <c r="P54" s="3204"/>
      <c r="Q54" s="3204"/>
      <c r="R54" s="1794"/>
      <c r="S54" s="4"/>
      <c r="T54" s="5"/>
      <c r="U54" s="8"/>
      <c r="V54" s="3250"/>
      <c r="W54" s="3250"/>
      <c r="X54" s="3250"/>
      <c r="Y54" s="3250"/>
      <c r="Z54" s="3250"/>
      <c r="AA54" s="3250"/>
      <c r="AB54" s="3250"/>
      <c r="AD54" s="3250"/>
      <c r="AE54" s="3250"/>
      <c r="AF54" s="3250"/>
      <c r="AG54" s="3250"/>
      <c r="AH54" s="3250"/>
      <c r="AI54" s="3250"/>
      <c r="AJ54" s="3250"/>
      <c r="AK54" s="11"/>
      <c r="AL54" s="5"/>
      <c r="AM54" s="2326"/>
      <c r="AN54" s="2326"/>
      <c r="AO54" s="2326"/>
      <c r="AW54" s="2326"/>
      <c r="AX54" s="2326"/>
      <c r="AY54" s="1806"/>
    </row>
    <row r="55" spans="1:51" ht="12" customHeight="1" thickBot="1" x14ac:dyDescent="0.25">
      <c r="A55" s="3184"/>
      <c r="B55" s="1793"/>
      <c r="C55" s="3201" t="s">
        <v>1653</v>
      </c>
      <c r="D55" s="3201"/>
      <c r="E55" s="3201"/>
      <c r="F55" s="3201"/>
      <c r="G55" s="3201"/>
      <c r="H55" s="3201"/>
      <c r="I55" s="3201"/>
      <c r="J55" s="7"/>
      <c r="K55" s="3204"/>
      <c r="L55" s="3204"/>
      <c r="M55" s="3204"/>
      <c r="N55" s="3204"/>
      <c r="O55" s="3204"/>
      <c r="P55" s="3204"/>
      <c r="Q55" s="3204"/>
      <c r="R55" s="1794"/>
      <c r="S55" s="4"/>
      <c r="T55" s="5"/>
      <c r="U55" s="8"/>
      <c r="V55" s="3247"/>
      <c r="W55" s="3247"/>
      <c r="X55" s="3247"/>
      <c r="Y55" s="3247"/>
      <c r="Z55" s="3247"/>
      <c r="AA55" s="3247"/>
      <c r="AB55" s="3247"/>
      <c r="AD55" s="3247"/>
      <c r="AE55" s="3247"/>
      <c r="AF55" s="3247"/>
      <c r="AG55" s="3247"/>
      <c r="AH55" s="3247"/>
      <c r="AI55" s="3247"/>
      <c r="AJ55" s="3247"/>
      <c r="AK55" s="11"/>
      <c r="AL55" s="5"/>
      <c r="AM55" s="2326"/>
      <c r="AN55" s="2326"/>
      <c r="AO55" s="2326"/>
      <c r="AW55" s="2326"/>
      <c r="AX55" s="2326"/>
      <c r="AY55" s="1806"/>
    </row>
    <row r="56" spans="1:51" ht="12" customHeight="1" thickBot="1" x14ac:dyDescent="0.25">
      <c r="A56" s="3184"/>
      <c r="B56" s="1793"/>
      <c r="C56" s="3204"/>
      <c r="D56" s="3204"/>
      <c r="E56" s="3204"/>
      <c r="F56" s="3204"/>
      <c r="G56" s="3204"/>
      <c r="H56" s="3204"/>
      <c r="I56" s="3204"/>
      <c r="J56" s="7"/>
      <c r="K56" s="3204"/>
      <c r="L56" s="3204"/>
      <c r="M56" s="3204"/>
      <c r="N56" s="3204"/>
      <c r="O56" s="3204"/>
      <c r="P56" s="3204"/>
      <c r="Q56" s="3204"/>
      <c r="R56" s="1794"/>
      <c r="S56" s="4"/>
      <c r="T56" s="5"/>
      <c r="U56" s="8"/>
      <c r="AK56" s="11"/>
      <c r="AL56" s="5"/>
      <c r="AM56" s="2326"/>
      <c r="AN56" s="2326"/>
      <c r="AO56" s="2326"/>
      <c r="AW56" s="2326"/>
      <c r="AX56" s="2326"/>
      <c r="AY56" s="1806"/>
    </row>
    <row r="57" spans="1:51" ht="12" customHeight="1" thickBot="1" x14ac:dyDescent="0.25">
      <c r="A57" s="3184"/>
      <c r="B57" s="1793"/>
      <c r="C57" s="3204"/>
      <c r="D57" s="3204"/>
      <c r="E57" s="3204"/>
      <c r="F57" s="3204"/>
      <c r="G57" s="3204"/>
      <c r="H57" s="3204"/>
      <c r="I57" s="3204"/>
      <c r="J57" s="7"/>
      <c r="K57" s="3204"/>
      <c r="L57" s="3204"/>
      <c r="M57" s="3204"/>
      <c r="N57" s="3204"/>
      <c r="O57" s="3204"/>
      <c r="P57" s="3204"/>
      <c r="Q57" s="3204"/>
      <c r="R57" s="1794"/>
      <c r="S57" s="4"/>
      <c r="T57" s="5"/>
      <c r="U57" s="8"/>
      <c r="V57" s="3201" t="s">
        <v>1654</v>
      </c>
      <c r="W57" s="3201"/>
      <c r="X57" s="3201"/>
      <c r="Y57" s="3201"/>
      <c r="Z57" s="3201"/>
      <c r="AA57" s="3201"/>
      <c r="AB57" s="3201"/>
      <c r="AD57" s="3248" t="s">
        <v>1655</v>
      </c>
      <c r="AE57" s="3248"/>
      <c r="AF57" s="3248"/>
      <c r="AG57" s="3248"/>
      <c r="AH57" s="3248"/>
      <c r="AI57" s="3249" t="str">
        <f>VLOOKUP(AD59,Tabla_Fama,2)</f>
        <v>Desconocido</v>
      </c>
      <c r="AJ57" s="3249"/>
      <c r="AK57" s="11"/>
      <c r="AL57" s="5"/>
      <c r="AM57" s="2326"/>
      <c r="AQ57" s="2326"/>
      <c r="AR57" s="2326"/>
      <c r="AS57" s="2326"/>
      <c r="AT57" s="2326"/>
      <c r="AU57" s="2326"/>
      <c r="AV57" s="2326"/>
      <c r="AW57" s="2326"/>
      <c r="AX57" s="2326"/>
      <c r="AY57" s="1806"/>
    </row>
    <row r="58" spans="1:51" ht="12" customHeight="1" thickBot="1" x14ac:dyDescent="0.25">
      <c r="A58" s="3184"/>
      <c r="B58" s="1793"/>
      <c r="C58" s="3204"/>
      <c r="D58" s="3204"/>
      <c r="E58" s="3204"/>
      <c r="F58" s="3204"/>
      <c r="G58" s="3204"/>
      <c r="H58" s="3204"/>
      <c r="I58" s="3204"/>
      <c r="J58" s="7"/>
      <c r="K58" s="3204"/>
      <c r="L58" s="3204"/>
      <c r="M58" s="3204"/>
      <c r="N58" s="3204"/>
      <c r="O58" s="3204"/>
      <c r="P58" s="3204"/>
      <c r="Q58" s="3204"/>
      <c r="R58" s="1794"/>
      <c r="S58" s="4"/>
      <c r="T58" s="5"/>
      <c r="U58" s="8"/>
      <c r="V58" s="3223" t="s">
        <v>1656</v>
      </c>
      <c r="W58" s="3223"/>
      <c r="X58" s="3223"/>
      <c r="Y58" s="3223"/>
      <c r="Z58" s="3243" t="s">
        <v>1657</v>
      </c>
      <c r="AA58" s="3243"/>
      <c r="AB58" s="3243"/>
      <c r="AD58" s="32" t="s">
        <v>1658</v>
      </c>
      <c r="AE58" s="3244" t="s">
        <v>1659</v>
      </c>
      <c r="AF58" s="3244"/>
      <c r="AG58" s="33"/>
      <c r="AH58" s="3244" t="s">
        <v>1660</v>
      </c>
      <c r="AI58" s="3244"/>
      <c r="AJ58" s="34"/>
      <c r="AK58" s="11"/>
      <c r="AL58" s="5"/>
    </row>
    <row r="59" spans="1:51" ht="12" customHeight="1" thickBot="1" x14ac:dyDescent="0.25">
      <c r="A59" s="3184"/>
      <c r="B59" s="1793"/>
      <c r="C59" s="3204"/>
      <c r="D59" s="3204"/>
      <c r="E59" s="3204"/>
      <c r="F59" s="3204"/>
      <c r="G59" s="3204"/>
      <c r="H59" s="3204"/>
      <c r="I59" s="3204"/>
      <c r="J59" s="7"/>
      <c r="K59" s="3204"/>
      <c r="L59" s="3204"/>
      <c r="M59" s="3204"/>
      <c r="N59" s="3204"/>
      <c r="O59" s="3204"/>
      <c r="P59" s="3204"/>
      <c r="Q59" s="3204"/>
      <c r="R59" s="1794"/>
      <c r="S59" s="4"/>
      <c r="T59" s="5"/>
      <c r="U59" s="8"/>
      <c r="V59" s="3245" t="s">
        <v>1661</v>
      </c>
      <c r="W59" s="3246"/>
      <c r="X59" s="3246"/>
      <c r="Y59" s="3246"/>
      <c r="Z59" s="3259"/>
      <c r="AA59" s="3259"/>
      <c r="AB59" s="3259"/>
      <c r="AD59" s="3260">
        <f>MAX(AG58+AG60+AJ59+AJ58+AG59,IF(Tablas!$G$478&gt;0,40,IF(Tablas!$G$479&gt;0,65)))</f>
        <v>0</v>
      </c>
      <c r="AE59" s="3261" t="s">
        <v>1662</v>
      </c>
      <c r="AF59" s="3261"/>
      <c r="AG59" s="35"/>
      <c r="AH59" s="3262" t="s">
        <v>1663</v>
      </c>
      <c r="AI59" s="3262"/>
      <c r="AJ59" s="36"/>
      <c r="AK59" s="11"/>
      <c r="AL59" s="5"/>
    </row>
    <row r="60" spans="1:51" ht="12" customHeight="1" thickBot="1" x14ac:dyDescent="0.25">
      <c r="A60" s="3184"/>
      <c r="B60" s="1793"/>
      <c r="C60" s="3204"/>
      <c r="D60" s="3204"/>
      <c r="E60" s="3204"/>
      <c r="F60" s="3204"/>
      <c r="G60" s="3204"/>
      <c r="H60" s="3204"/>
      <c r="I60" s="3204"/>
      <c r="J60" s="7"/>
      <c r="K60" s="3204"/>
      <c r="L60" s="3204"/>
      <c r="M60" s="3204"/>
      <c r="N60" s="3204"/>
      <c r="O60" s="3204"/>
      <c r="P60" s="3204"/>
      <c r="Q60" s="3204"/>
      <c r="R60" s="1794"/>
      <c r="S60" s="4"/>
      <c r="T60" s="5"/>
      <c r="U60" s="8"/>
      <c r="V60" s="3245"/>
      <c r="W60" s="3246"/>
      <c r="X60" s="3246"/>
      <c r="Y60" s="3246"/>
      <c r="Z60" s="3259"/>
      <c r="AA60" s="3259"/>
      <c r="AB60" s="3259"/>
      <c r="AD60" s="3260"/>
      <c r="AE60" s="3263" t="s">
        <v>1664</v>
      </c>
      <c r="AF60" s="3263"/>
      <c r="AG60" s="37"/>
      <c r="AH60" s="3264" t="s">
        <v>1665</v>
      </c>
      <c r="AI60" s="3264"/>
      <c r="AJ60" s="38">
        <f>VLOOKUP(AD59,Tabla_Fama,3)</f>
        <v>0</v>
      </c>
      <c r="AK60" s="11"/>
      <c r="AL60" s="5"/>
    </row>
    <row r="61" spans="1:51" ht="12" customHeight="1" thickBot="1" x14ac:dyDescent="0.25">
      <c r="A61" s="3184"/>
      <c r="B61" s="1793"/>
      <c r="C61" s="3204"/>
      <c r="D61" s="3204"/>
      <c r="E61" s="3204"/>
      <c r="F61" s="3204"/>
      <c r="G61" s="3204"/>
      <c r="H61" s="3204"/>
      <c r="I61" s="3204"/>
      <c r="J61" s="7"/>
      <c r="K61" s="3204"/>
      <c r="L61" s="3204"/>
      <c r="M61" s="3204"/>
      <c r="N61" s="3204"/>
      <c r="O61" s="3204"/>
      <c r="P61" s="3204"/>
      <c r="Q61" s="3204"/>
      <c r="R61" s="1794"/>
      <c r="S61" s="4"/>
      <c r="T61" s="5"/>
      <c r="U61" s="8"/>
      <c r="V61" s="3245" t="s">
        <v>1666</v>
      </c>
      <c r="W61" s="3246"/>
      <c r="X61" s="3246"/>
      <c r="Y61" s="3246"/>
      <c r="Z61" s="3259"/>
      <c r="AA61" s="3259"/>
      <c r="AB61" s="3259"/>
      <c r="AK61" s="11"/>
      <c r="AL61" s="5"/>
    </row>
    <row r="62" spans="1:51" ht="12" customHeight="1" thickBot="1" x14ac:dyDescent="0.25">
      <c r="A62" s="3184"/>
      <c r="B62" s="1793"/>
      <c r="C62" s="3204"/>
      <c r="D62" s="3204"/>
      <c r="E62" s="3204"/>
      <c r="F62" s="3204"/>
      <c r="G62" s="3204"/>
      <c r="H62" s="3204"/>
      <c r="I62" s="3204"/>
      <c r="J62" s="7"/>
      <c r="K62" s="3204"/>
      <c r="L62" s="3204"/>
      <c r="M62" s="3204"/>
      <c r="N62" s="3204"/>
      <c r="O62" s="3204"/>
      <c r="P62" s="3204"/>
      <c r="Q62" s="3204"/>
      <c r="R62" s="1794"/>
      <c r="S62" s="4"/>
      <c r="T62" s="5"/>
      <c r="U62" s="8"/>
      <c r="V62" s="3245"/>
      <c r="W62" s="3246"/>
      <c r="X62" s="3246"/>
      <c r="Y62" s="3246"/>
      <c r="Z62" s="3259"/>
      <c r="AA62" s="3259"/>
      <c r="AB62" s="3259"/>
      <c r="AD62" s="3201" t="s">
        <v>1667</v>
      </c>
      <c r="AE62" s="3201"/>
      <c r="AF62" s="3201"/>
      <c r="AG62" s="3201"/>
      <c r="AH62" s="3201"/>
      <c r="AI62" s="3201"/>
      <c r="AJ62" s="3201"/>
      <c r="AK62" s="11"/>
      <c r="AL62" s="5"/>
    </row>
    <row r="63" spans="1:51" ht="12" customHeight="1" thickBot="1" x14ac:dyDescent="0.25">
      <c r="A63" s="3184"/>
      <c r="B63" s="1793"/>
      <c r="C63" s="3204"/>
      <c r="D63" s="3204"/>
      <c r="E63" s="3204"/>
      <c r="F63" s="3204"/>
      <c r="G63" s="3204"/>
      <c r="H63" s="3204"/>
      <c r="I63" s="3204"/>
      <c r="J63" s="7"/>
      <c r="K63" s="3204"/>
      <c r="L63" s="3204"/>
      <c r="M63" s="3204"/>
      <c r="N63" s="3204"/>
      <c r="O63" s="3204"/>
      <c r="P63" s="3204"/>
      <c r="Q63" s="3204"/>
      <c r="R63" s="1794"/>
      <c r="S63" s="4"/>
      <c r="T63" s="5"/>
      <c r="U63" s="8"/>
      <c r="V63" s="3253" t="s">
        <v>1668</v>
      </c>
      <c r="W63" s="3254"/>
      <c r="X63" s="3254"/>
      <c r="Y63" s="3254"/>
      <c r="Z63" s="3259"/>
      <c r="AA63" s="3259"/>
      <c r="AB63" s="3259"/>
      <c r="AD63" s="3255" t="s">
        <v>1669</v>
      </c>
      <c r="AE63" s="3255"/>
      <c r="AF63" s="3255"/>
      <c r="AG63" s="39">
        <f>IF(INT+POD+VOL=0,0,VLOOKUP(INT+POD+VOL,Tabla_Cordura,3))</f>
        <v>10</v>
      </c>
      <c r="AH63" s="3256">
        <f>IF(INT+POD+VOL=0,0,VLOOKUP(INT+POD+VOL,Tabla_Cordura,2))</f>
        <v>30</v>
      </c>
      <c r="AI63" s="3257"/>
      <c r="AJ63" s="3257"/>
      <c r="AK63" s="11"/>
      <c r="AL63" s="5"/>
    </row>
    <row r="64" spans="1:51" ht="12" customHeight="1" thickBot="1" x14ac:dyDescent="0.25">
      <c r="A64" s="3184"/>
      <c r="B64" s="1793"/>
      <c r="C64" s="7"/>
      <c r="D64" s="7"/>
      <c r="E64" s="7"/>
      <c r="F64" s="7"/>
      <c r="G64" s="7"/>
      <c r="H64" s="7"/>
      <c r="I64" s="7"/>
      <c r="J64" s="7"/>
      <c r="K64" s="7"/>
      <c r="L64" s="7"/>
      <c r="M64" s="7"/>
      <c r="N64" s="7"/>
      <c r="O64" s="7"/>
      <c r="P64" s="7"/>
      <c r="Q64" s="7"/>
      <c r="R64" s="1794"/>
      <c r="S64" s="4"/>
      <c r="T64" s="5"/>
      <c r="U64" s="8"/>
      <c r="V64" s="3253"/>
      <c r="W64" s="3254"/>
      <c r="X64" s="3254"/>
      <c r="Y64" s="3254"/>
      <c r="Z64" s="3259"/>
      <c r="AA64" s="3259"/>
      <c r="AB64" s="3259"/>
      <c r="AD64" s="3258"/>
      <c r="AE64" s="3258"/>
      <c r="AF64" s="3258"/>
      <c r="AG64" s="3258"/>
      <c r="AH64" s="3256"/>
      <c r="AI64" s="3257"/>
      <c r="AJ64" s="3257"/>
      <c r="AK64" s="11"/>
      <c r="AL64" s="5"/>
    </row>
    <row r="65" spans="1:38" ht="12" customHeight="1" thickBot="1" x14ac:dyDescent="0.25">
      <c r="A65" s="3184"/>
      <c r="B65" s="3202"/>
      <c r="C65" s="3203"/>
      <c r="D65" s="3203"/>
      <c r="E65" s="3203"/>
      <c r="F65" s="3203"/>
      <c r="G65" s="3203"/>
      <c r="H65" s="3203"/>
      <c r="I65" s="3203"/>
      <c r="J65" s="3203"/>
      <c r="K65" s="3203"/>
      <c r="L65" s="3203"/>
      <c r="M65" s="1796"/>
      <c r="N65" s="1796"/>
      <c r="O65" s="1796"/>
      <c r="P65" s="1796"/>
      <c r="Q65" s="1796"/>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184"/>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11"/>
      <c r="B67" s="411"/>
      <c r="C67" s="411"/>
      <c r="D67" s="411"/>
      <c r="E67" s="411"/>
      <c r="F67" s="411"/>
      <c r="G67" s="411"/>
      <c r="H67" s="411"/>
      <c r="I67" s="411"/>
      <c r="J67" s="411"/>
      <c r="K67" s="411"/>
      <c r="L67" s="411"/>
      <c r="M67" s="411"/>
      <c r="N67" s="411"/>
      <c r="O67" s="411"/>
      <c r="P67" s="411"/>
      <c r="Q67" s="411"/>
      <c r="R67" s="411"/>
      <c r="S67" s="411"/>
      <c r="T67" s="411"/>
      <c r="U67" s="411"/>
      <c r="V67" s="411"/>
    </row>
    <row r="68" spans="1:38" ht="12" customHeight="1" x14ac:dyDescent="0.2">
      <c r="A68" s="411"/>
      <c r="B68" s="411"/>
      <c r="C68" s="411"/>
      <c r="D68" s="411"/>
      <c r="E68" s="411"/>
      <c r="F68" s="411"/>
      <c r="G68" s="411"/>
      <c r="H68" s="411"/>
      <c r="I68" s="411"/>
      <c r="J68" s="411"/>
      <c r="K68" s="411"/>
      <c r="L68" s="411"/>
      <c r="M68" s="411"/>
      <c r="N68" s="411"/>
      <c r="O68" s="411"/>
      <c r="P68" s="411"/>
      <c r="Q68" s="411"/>
      <c r="R68" s="411"/>
      <c r="S68" s="411"/>
      <c r="T68" s="411"/>
      <c r="U68" s="411"/>
      <c r="V68" s="411"/>
    </row>
    <row r="69" spans="1:38" ht="12" customHeight="1" x14ac:dyDescent="0.2">
      <c r="A69" s="411"/>
      <c r="B69" s="411"/>
      <c r="F69" s="411" t="str">
        <f>Tablas!DI31</f>
        <v/>
      </c>
      <c r="G69" s="411"/>
      <c r="H69" s="411"/>
      <c r="I69" s="411"/>
      <c r="J69" s="411"/>
      <c r="K69" s="411"/>
      <c r="L69" s="411"/>
      <c r="M69" s="411"/>
      <c r="N69" s="411"/>
      <c r="O69" s="411"/>
      <c r="P69" s="411"/>
      <c r="Q69" s="411"/>
      <c r="R69" s="411"/>
      <c r="S69" s="411"/>
      <c r="T69" s="411"/>
      <c r="U69" s="411"/>
      <c r="V69" s="411"/>
    </row>
    <row r="70" spans="1:38" ht="12" customHeight="1" x14ac:dyDescent="0.2">
      <c r="A70" s="411"/>
      <c r="B70" s="411"/>
      <c r="F70" s="411" t="str">
        <f>Tablas!DI32</f>
        <v/>
      </c>
      <c r="G70" s="411"/>
      <c r="H70" s="411"/>
      <c r="I70" s="411"/>
      <c r="J70" s="411"/>
      <c r="K70" s="411"/>
      <c r="L70" s="411"/>
      <c r="M70" s="411"/>
      <c r="N70" s="411"/>
      <c r="O70" s="411"/>
      <c r="P70" s="411"/>
      <c r="Q70" s="411"/>
      <c r="R70" s="411"/>
      <c r="S70" s="411"/>
      <c r="T70" s="411"/>
      <c r="U70" s="411"/>
      <c r="V70" s="411"/>
    </row>
    <row r="71" spans="1:38" ht="12" customHeight="1" x14ac:dyDescent="0.2">
      <c r="A71" s="411"/>
      <c r="B71" s="411"/>
      <c r="F71" s="411" t="str">
        <f>Tablas!DI33</f>
        <v/>
      </c>
      <c r="G71" s="411"/>
      <c r="H71" s="411"/>
      <c r="I71" s="411"/>
      <c r="J71" s="411"/>
      <c r="K71" s="411"/>
      <c r="L71" s="411"/>
      <c r="M71" s="411"/>
      <c r="N71" s="411"/>
      <c r="O71" s="411"/>
      <c r="P71" s="411"/>
      <c r="Q71" s="411"/>
      <c r="R71" s="411"/>
      <c r="S71" s="411"/>
      <c r="T71" s="411"/>
      <c r="U71" s="411"/>
      <c r="V71" s="411"/>
    </row>
    <row r="72" spans="1:38" ht="12" customHeight="1" x14ac:dyDescent="0.2">
      <c r="A72" s="411"/>
      <c r="B72" s="411"/>
      <c r="F72" s="411" t="str">
        <f>Tablas!DI34</f>
        <v/>
      </c>
      <c r="G72" s="411"/>
      <c r="H72" s="411"/>
      <c r="I72" s="411"/>
      <c r="J72" s="411"/>
      <c r="K72" s="411"/>
      <c r="L72" s="411"/>
      <c r="M72" s="411"/>
      <c r="N72" s="411"/>
      <c r="O72" s="411"/>
      <c r="P72" s="411"/>
      <c r="Q72" s="411"/>
      <c r="R72" s="411"/>
      <c r="S72" s="411"/>
      <c r="T72" s="411"/>
      <c r="U72" s="411"/>
      <c r="V72" s="411"/>
    </row>
    <row r="73" spans="1:38" ht="12" customHeight="1" x14ac:dyDescent="0.2">
      <c r="A73" s="411"/>
      <c r="B73" s="411"/>
      <c r="C73" s="411"/>
      <c r="D73" s="411"/>
      <c r="E73" s="411"/>
      <c r="F73" s="411"/>
      <c r="G73" s="411"/>
      <c r="H73" s="411"/>
      <c r="I73" s="411"/>
      <c r="J73" s="411"/>
      <c r="K73" s="411"/>
      <c r="L73" s="411"/>
      <c r="M73" s="411"/>
      <c r="N73" s="411"/>
      <c r="O73" s="411"/>
      <c r="P73" s="411"/>
      <c r="Q73" s="411"/>
      <c r="R73" s="411"/>
      <c r="S73" s="411"/>
      <c r="T73" s="411"/>
      <c r="U73" s="411"/>
      <c r="V73" s="411"/>
    </row>
    <row r="74" spans="1:38" ht="12" customHeight="1" x14ac:dyDescent="0.2">
      <c r="A74" s="411"/>
      <c r="B74" s="411"/>
      <c r="C74" s="411"/>
      <c r="D74" s="411"/>
      <c r="E74" s="411"/>
      <c r="F74" s="411"/>
      <c r="G74" s="411"/>
      <c r="H74" s="411"/>
      <c r="I74" s="411"/>
      <c r="J74" s="411"/>
      <c r="K74" s="411"/>
      <c r="L74" s="411"/>
      <c r="M74" s="411"/>
      <c r="N74" s="411"/>
      <c r="O74" s="411"/>
      <c r="P74" s="411"/>
      <c r="Q74" s="411"/>
      <c r="R74" s="411"/>
      <c r="S74" s="411"/>
      <c r="T74" s="411"/>
      <c r="U74" s="411"/>
      <c r="V74" s="411"/>
    </row>
    <row r="75" spans="1:38" ht="12" customHeight="1" x14ac:dyDescent="0.2">
      <c r="A75" s="411"/>
      <c r="B75" s="411"/>
      <c r="C75" s="411"/>
      <c r="D75" s="411"/>
      <c r="E75" s="411"/>
      <c r="F75" s="411"/>
      <c r="G75" s="411"/>
      <c r="H75" s="411"/>
      <c r="I75" s="411"/>
      <c r="J75" s="411"/>
      <c r="K75" s="411"/>
      <c r="L75" s="411"/>
      <c r="M75" s="411"/>
      <c r="N75" s="411"/>
      <c r="O75" s="411"/>
      <c r="P75" s="411"/>
      <c r="Q75" s="411"/>
      <c r="R75" s="411"/>
      <c r="S75" s="411"/>
      <c r="T75" s="411"/>
      <c r="U75" s="411"/>
      <c r="V75" s="411"/>
    </row>
    <row r="76" spans="1:38" ht="12" customHeight="1" x14ac:dyDescent="0.2">
      <c r="A76" s="411"/>
      <c r="B76" s="411"/>
      <c r="C76" s="411"/>
      <c r="D76" s="411"/>
      <c r="E76" s="411"/>
      <c r="F76" s="411"/>
      <c r="G76" s="411"/>
      <c r="H76" s="411"/>
      <c r="I76" s="411"/>
      <c r="J76" s="411"/>
      <c r="K76" s="411"/>
      <c r="L76" s="411"/>
      <c r="M76" s="411"/>
      <c r="N76" s="411"/>
      <c r="O76" s="411"/>
      <c r="P76" s="411"/>
      <c r="Q76" s="411"/>
      <c r="R76" s="411"/>
      <c r="S76" s="411"/>
      <c r="T76" s="411"/>
      <c r="U76" s="411"/>
      <c r="V76" s="411"/>
    </row>
    <row r="77" spans="1:38" ht="12" customHeight="1" x14ac:dyDescent="0.2">
      <c r="A77" s="411"/>
      <c r="B77" s="411"/>
      <c r="C77" s="411"/>
      <c r="D77" s="411"/>
      <c r="E77" s="411"/>
      <c r="F77" s="411"/>
      <c r="G77" s="411"/>
      <c r="H77" s="411"/>
      <c r="I77" s="411"/>
      <c r="J77" s="411"/>
      <c r="K77" s="411"/>
      <c r="L77" s="411"/>
      <c r="M77" s="411"/>
      <c r="N77" s="411"/>
      <c r="O77" s="411"/>
      <c r="P77" s="411"/>
      <c r="Q77" s="411"/>
      <c r="R77" s="411"/>
      <c r="S77" s="411"/>
      <c r="T77" s="411"/>
      <c r="U77" s="411"/>
      <c r="V77" s="411"/>
    </row>
    <row r="78" spans="1:38" ht="12" customHeight="1" x14ac:dyDescent="0.2">
      <c r="A78" s="411"/>
      <c r="B78" s="411"/>
      <c r="C78" s="411"/>
      <c r="D78" s="411"/>
      <c r="E78" s="411"/>
      <c r="F78" s="411"/>
      <c r="G78" s="411"/>
      <c r="H78" s="411"/>
      <c r="I78" s="411"/>
      <c r="J78" s="411"/>
      <c r="K78" s="411"/>
      <c r="L78" s="411"/>
      <c r="M78" s="411"/>
      <c r="N78" s="411"/>
      <c r="O78" s="411"/>
      <c r="P78" s="411"/>
      <c r="Q78" s="411"/>
      <c r="R78" s="411"/>
      <c r="S78" s="411"/>
      <c r="T78" s="411"/>
      <c r="U78" s="411"/>
      <c r="V78" s="411"/>
    </row>
    <row r="79" spans="1:38" ht="12" customHeight="1" x14ac:dyDescent="0.2">
      <c r="A79" s="411"/>
      <c r="B79" s="411"/>
      <c r="C79" s="411"/>
      <c r="D79" s="411"/>
      <c r="E79" s="411"/>
      <c r="F79" s="411"/>
      <c r="G79" s="411"/>
      <c r="H79" s="411"/>
      <c r="I79" s="411"/>
      <c r="J79" s="411"/>
      <c r="K79" s="411"/>
      <c r="L79" s="411"/>
      <c r="M79" s="411"/>
      <c r="N79" s="411"/>
      <c r="O79" s="411"/>
      <c r="P79" s="411"/>
      <c r="Q79" s="411"/>
      <c r="R79" s="411"/>
      <c r="S79" s="411"/>
      <c r="T79" s="411"/>
      <c r="U79" s="411"/>
      <c r="V79" s="411"/>
    </row>
    <row r="80" spans="1:38" ht="12" customHeight="1" x14ac:dyDescent="0.2">
      <c r="A80" s="411"/>
      <c r="B80" s="411"/>
      <c r="C80" s="411"/>
      <c r="D80" s="411"/>
      <c r="E80" s="411"/>
      <c r="F80" s="411"/>
      <c r="G80" s="411"/>
      <c r="H80" s="411"/>
      <c r="I80" s="411"/>
      <c r="J80" s="411"/>
      <c r="K80" s="411"/>
      <c r="L80" s="411"/>
      <c r="M80" s="411"/>
      <c r="N80" s="411"/>
      <c r="O80" s="411"/>
      <c r="P80" s="411"/>
      <c r="Q80" s="411"/>
      <c r="R80" s="411"/>
      <c r="S80" s="411"/>
      <c r="T80" s="411"/>
      <c r="U80" s="411"/>
      <c r="V80" s="411"/>
    </row>
    <row r="81" spans="1:22" ht="12" customHeight="1" x14ac:dyDescent="0.2">
      <c r="A81" s="411"/>
      <c r="B81" s="411"/>
      <c r="C81" s="411"/>
      <c r="D81" s="411"/>
      <c r="E81" s="411"/>
      <c r="F81" s="411"/>
      <c r="G81" s="411"/>
      <c r="H81" s="411"/>
      <c r="I81" s="411"/>
      <c r="J81" s="411"/>
      <c r="K81" s="411"/>
      <c r="L81" s="411"/>
      <c r="M81" s="411"/>
      <c r="N81" s="411"/>
      <c r="O81" s="411"/>
      <c r="P81" s="411"/>
      <c r="Q81" s="411"/>
      <c r="R81" s="411"/>
      <c r="S81" s="411"/>
      <c r="T81" s="411"/>
      <c r="U81" s="411"/>
      <c r="V81" s="411"/>
    </row>
    <row r="82" spans="1:22" ht="12" customHeight="1" x14ac:dyDescent="0.2">
      <c r="A82" s="411"/>
      <c r="B82" s="411"/>
      <c r="C82" s="411"/>
      <c r="D82" s="411"/>
      <c r="E82" s="411"/>
      <c r="F82" s="411"/>
      <c r="G82" s="411"/>
      <c r="H82" s="411"/>
      <c r="I82" s="411"/>
      <c r="J82" s="411"/>
      <c r="K82" s="411"/>
      <c r="L82" s="411"/>
      <c r="M82" s="411"/>
      <c r="N82" s="411"/>
      <c r="O82" s="411"/>
      <c r="P82" s="411"/>
      <c r="Q82" s="411"/>
      <c r="R82" s="411"/>
      <c r="S82" s="411"/>
      <c r="T82" s="411"/>
      <c r="U82" s="411"/>
      <c r="V82" s="411"/>
    </row>
    <row r="83" spans="1:22" ht="12" customHeight="1" x14ac:dyDescent="0.2">
      <c r="A83" s="411"/>
      <c r="B83" s="411"/>
      <c r="C83" s="411"/>
      <c r="D83" s="411"/>
      <c r="E83" s="411"/>
      <c r="F83" s="411"/>
      <c r="G83" s="411"/>
      <c r="H83" s="411"/>
      <c r="I83" s="411"/>
      <c r="J83" s="411"/>
      <c r="K83" s="411"/>
      <c r="L83" s="411"/>
      <c r="M83" s="411"/>
      <c r="N83" s="411"/>
      <c r="O83" s="411"/>
      <c r="P83" s="411"/>
      <c r="Q83" s="411"/>
      <c r="R83" s="411"/>
      <c r="S83" s="411"/>
      <c r="T83" s="411"/>
      <c r="U83" s="411"/>
      <c r="V83" s="411"/>
    </row>
    <row r="84" spans="1:22" ht="12" customHeight="1" x14ac:dyDescent="0.2">
      <c r="A84" s="411"/>
      <c r="B84" s="411"/>
      <c r="C84" s="411"/>
      <c r="D84" s="411"/>
      <c r="E84" s="411"/>
      <c r="F84" s="411"/>
      <c r="G84" s="411"/>
      <c r="H84" s="411"/>
      <c r="I84" s="411"/>
      <c r="J84" s="411"/>
      <c r="K84" s="411"/>
      <c r="L84" s="411"/>
      <c r="M84" s="411"/>
      <c r="N84" s="411"/>
      <c r="O84" s="411"/>
      <c r="P84" s="411"/>
      <c r="Q84" s="411"/>
      <c r="R84" s="411"/>
      <c r="S84" s="411"/>
      <c r="T84" s="411"/>
      <c r="U84" s="411"/>
      <c r="V84" s="411"/>
    </row>
    <row r="85" spans="1:22" ht="12" customHeight="1" x14ac:dyDescent="0.2">
      <c r="A85" s="411"/>
      <c r="B85" s="411"/>
      <c r="C85" s="411"/>
      <c r="D85" s="411"/>
      <c r="E85" s="411"/>
      <c r="F85" s="411"/>
      <c r="G85" s="411"/>
      <c r="H85" s="411"/>
      <c r="I85" s="411"/>
      <c r="J85" s="411"/>
      <c r="K85" s="411"/>
      <c r="L85" s="411"/>
      <c r="M85" s="411"/>
      <c r="N85" s="411"/>
      <c r="O85" s="411"/>
      <c r="P85" s="411"/>
      <c r="Q85" s="411"/>
      <c r="R85" s="411"/>
      <c r="S85" s="411"/>
      <c r="T85" s="411"/>
      <c r="U85" s="411"/>
      <c r="V85" s="411"/>
    </row>
    <row r="86" spans="1:22" ht="12" customHeight="1" x14ac:dyDescent="0.2">
      <c r="A86" s="411"/>
      <c r="B86" s="411"/>
      <c r="C86" s="411"/>
      <c r="D86" s="411"/>
      <c r="E86" s="411"/>
      <c r="F86" s="411"/>
      <c r="G86" s="411"/>
      <c r="H86" s="411"/>
      <c r="I86" s="411"/>
      <c r="J86" s="411"/>
      <c r="K86" s="411"/>
      <c r="L86" s="411"/>
      <c r="M86" s="411"/>
      <c r="N86" s="411"/>
      <c r="O86" s="411"/>
      <c r="P86" s="411"/>
      <c r="Q86" s="411"/>
      <c r="R86" s="411"/>
      <c r="S86" s="411"/>
      <c r="T86" s="411"/>
      <c r="U86" s="411"/>
      <c r="V86" s="411"/>
    </row>
    <row r="87" spans="1:22" ht="12" customHeight="1" x14ac:dyDescent="0.2">
      <c r="A87" s="411"/>
      <c r="B87" s="411"/>
      <c r="C87" s="411"/>
      <c r="D87" s="411"/>
      <c r="E87" s="411"/>
      <c r="F87" s="411"/>
      <c r="G87" s="411"/>
      <c r="H87" s="411"/>
      <c r="I87" s="411"/>
      <c r="J87" s="411"/>
      <c r="K87" s="411"/>
      <c r="L87" s="411"/>
      <c r="M87" s="411"/>
      <c r="N87" s="411"/>
      <c r="O87" s="411"/>
      <c r="P87" s="411"/>
      <c r="Q87" s="411"/>
      <c r="R87" s="411"/>
      <c r="S87" s="411"/>
      <c r="T87" s="411"/>
      <c r="U87" s="411"/>
      <c r="V87" s="411"/>
    </row>
  </sheetData>
  <sheetProtection selectLockedCells="1"/>
  <mergeCells count="169">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58:Y58"/>
    <mergeCell ref="Z58:AB58"/>
    <mergeCell ref="AE58:AF58"/>
    <mergeCell ref="AH58:AI58"/>
    <mergeCell ref="V59:V60"/>
    <mergeCell ref="W59:Y60"/>
    <mergeCell ref="V55:AB55"/>
    <mergeCell ref="AD55:AJ55"/>
    <mergeCell ref="V57:AB57"/>
    <mergeCell ref="AD57:AH57"/>
    <mergeCell ref="AI57:AJ57"/>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A1:A66"/>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 ref="C55:I55"/>
    <mergeCell ref="B65:L65"/>
    <mergeCell ref="C56:I63"/>
    <mergeCell ref="C46:I53"/>
  </mergeCells>
  <phoneticPr fontId="9" type="noConversion"/>
  <conditionalFormatting sqref="AD59:AD60">
    <cfRule type="cellIs" dxfId="845" priority="14" stopIfTrue="1" operator="equal">
      <formula>0</formula>
    </cfRule>
  </conditionalFormatting>
  <conditionalFormatting sqref="N23">
    <cfRule type="expression" dxfId="844" priority="7">
      <formula>$L$23=""</formula>
    </cfRule>
  </conditionalFormatting>
  <conditionalFormatting sqref="M26">
    <cfRule type="expression" dxfId="843" priority="1811" stopIfTrue="1">
      <formula>$K$26=""</formula>
    </cfRule>
  </conditionalFormatting>
  <conditionalFormatting sqref="I23:K23">
    <cfRule type="expression" dxfId="842" priority="6" stopIfTrue="1">
      <formula>ISNUMBER(SEARCH(Raza,Nephilim))</formula>
    </cfRule>
  </conditionalFormatting>
  <conditionalFormatting sqref="V12">
    <cfRule type="expression" dxfId="841" priority="2276">
      <formula>$V$12&gt;=$AA$12</formula>
    </cfRule>
  </conditionalFormatting>
  <conditionalFormatting sqref="V14:AB14">
    <cfRule type="expression" dxfId="840"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P23" xr:uid="{00000000-0002-0000-0100-000002000000}">
      <formula1>Tabla_SiNo</formula1>
    </dataValidation>
    <dataValidation type="list" allowBlank="1" showInputMessage="1" showErrorMessage="1" sqref="M26:O27" xr:uid="{00000000-0002-0000-0100-000003000000}">
      <formula1>Lista_ClaseSocial</formula1>
    </dataValidation>
    <dataValidation type="list" allowBlank="1" showInputMessage="1" showErrorMessage="1" sqref="M25:O25" xr:uid="{00000000-0002-0000-0100-000004000000}">
      <formula1>Regiones</formula1>
    </dataValidation>
    <dataValidation type="list" allowBlank="1" showInputMessage="1" showErrorMessage="1" sqref="N23" xr:uid="{00000000-0002-0000-0100-000005000000}">
      <formula1>INDIRECT($C$2)</formula1>
    </dataValidation>
    <dataValidation type="list" allowBlank="1" showInputMessage="1" showErrorMessage="1" sqref="I23:K23" xr:uid="{00000000-0002-0000-0100-000006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zoomScaleNormal="100" zoomScaleSheetLayoutView="55" workbookViewId="0">
      <selection activeCell="C19" sqref="C19:G19"/>
    </sheetView>
  </sheetViews>
  <sheetFormatPr defaultColWidth="5.7109375" defaultRowHeight="12" customHeight="1" x14ac:dyDescent="0.2"/>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695"/>
    <col min="12" max="16" width="5.7109375" style="43"/>
    <col min="17" max="17" width="9" style="43" bestFit="1" customWidth="1"/>
    <col min="18" max="18" width="3.7109375" style="44" customWidth="1"/>
    <col min="19" max="19" width="1.7109375" style="2671" customWidth="1"/>
    <col min="20" max="20" width="1.7109375" style="2672" customWidth="1"/>
    <col min="21" max="21" width="3.7109375" style="2708"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695" customWidth="1"/>
    <col min="38" max="38" width="1.7109375" style="1695" customWidth="1"/>
    <col min="39" max="39" width="3.7109375" style="2701" customWidth="1"/>
    <col min="40" max="40" width="10.7109375" style="1888" customWidth="1"/>
    <col min="41" max="43" width="3.7109375" style="1888" customWidth="1"/>
    <col min="44" max="48" width="3.7109375" style="1695" customWidth="1"/>
    <col min="49" max="49" width="3.7109375" style="2291" customWidth="1"/>
    <col min="50" max="53" width="3.7109375" style="1695" customWidth="1"/>
    <col min="54" max="55" width="3.7109375" style="2291" customWidth="1"/>
    <col min="56" max="57" width="3.7109375" style="1695" customWidth="1"/>
    <col min="58" max="59" width="5.7109375" style="1695"/>
    <col min="60" max="16384" width="5.7109375" style="43"/>
  </cols>
  <sheetData>
    <row r="1" spans="1:46" ht="12" customHeight="1" thickBot="1" x14ac:dyDescent="0.25">
      <c r="A1" s="45"/>
      <c r="B1" s="53"/>
      <c r="C1" s="46"/>
      <c r="D1" s="46"/>
      <c r="E1" s="46"/>
      <c r="F1" s="46"/>
      <c r="G1" s="46"/>
      <c r="H1" s="46"/>
      <c r="I1" s="46"/>
      <c r="J1" s="46"/>
      <c r="K1" s="1771"/>
      <c r="L1" s="46"/>
      <c r="M1" s="46"/>
      <c r="N1" s="46"/>
      <c r="O1" s="46"/>
      <c r="P1" s="46"/>
      <c r="Q1" s="46"/>
      <c r="R1" s="47"/>
      <c r="S1" s="2673"/>
      <c r="T1" s="2700"/>
      <c r="U1" s="4"/>
      <c r="V1" s="4"/>
      <c r="W1" s="4"/>
      <c r="X1" s="4"/>
      <c r="Y1" s="4"/>
      <c r="Z1" s="4"/>
      <c r="AA1" s="4"/>
      <c r="AB1" s="4"/>
      <c r="AC1" s="4"/>
      <c r="AD1" s="4"/>
      <c r="AE1" s="4"/>
      <c r="AF1" s="4"/>
      <c r="AG1" s="4"/>
      <c r="AH1" s="4"/>
      <c r="AI1" s="4"/>
      <c r="AJ1" s="4"/>
      <c r="AK1" s="1800"/>
      <c r="AL1" s="1800"/>
    </row>
    <row r="2" spans="1:46" ht="12" customHeight="1" thickBot="1" x14ac:dyDescent="0.25">
      <c r="A2" s="45"/>
      <c r="B2" s="2676"/>
      <c r="C2" s="1859"/>
      <c r="D2" s="1779"/>
      <c r="E2" s="1779"/>
      <c r="F2" s="1779"/>
      <c r="G2" s="1779"/>
      <c r="H2" s="1779"/>
      <c r="I2" s="1779"/>
      <c r="J2" s="1779"/>
      <c r="K2" s="1780"/>
      <c r="L2" s="1779"/>
      <c r="M2" s="1779"/>
      <c r="N2" s="1779"/>
      <c r="O2" s="1779"/>
      <c r="P2" s="1779"/>
      <c r="Q2" s="1779"/>
      <c r="R2" s="1781"/>
      <c r="S2" s="2675" t="s">
        <v>9994</v>
      </c>
      <c r="T2" s="2674">
        <f>Tablas!J1199</f>
        <v>10</v>
      </c>
      <c r="U2" s="2704"/>
      <c r="V2" s="2678"/>
      <c r="W2" s="2678"/>
      <c r="X2" s="2678"/>
      <c r="Y2" s="2678"/>
      <c r="Z2" s="2678"/>
      <c r="AA2" s="2678"/>
      <c r="AB2" s="2678"/>
      <c r="AC2" s="2678"/>
      <c r="AD2" s="2678"/>
      <c r="AE2" s="2678"/>
      <c r="AF2" s="2678"/>
      <c r="AG2" s="2678"/>
      <c r="AH2" s="2678"/>
      <c r="AI2" s="2678"/>
      <c r="AJ2" s="2678"/>
      <c r="AK2" s="1803"/>
      <c r="AL2" s="1800"/>
    </row>
    <row r="3" spans="1:46" ht="12" customHeight="1" thickBot="1" x14ac:dyDescent="0.25">
      <c r="A3" s="45"/>
      <c r="B3" s="1486"/>
      <c r="C3" s="3138"/>
      <c r="D3" s="3138"/>
      <c r="E3" s="3138"/>
      <c r="F3" s="3138"/>
      <c r="G3" s="3138"/>
      <c r="H3" s="3138"/>
      <c r="I3" s="48"/>
      <c r="J3" s="48"/>
      <c r="K3" s="1772"/>
      <c r="L3" s="48"/>
      <c r="M3" s="48"/>
      <c r="N3" s="48"/>
      <c r="O3" s="48"/>
      <c r="P3" s="48"/>
      <c r="Q3" s="49"/>
      <c r="R3" s="1782"/>
      <c r="S3" s="2675" t="s">
        <v>9995</v>
      </c>
      <c r="T3" s="2674">
        <f>Tablas!J1200</f>
        <v>10</v>
      </c>
      <c r="U3" s="2705"/>
      <c r="V3" s="3224"/>
      <c r="W3" s="3224"/>
      <c r="X3" s="3224"/>
      <c r="Y3" s="3224"/>
      <c r="Z3" s="3224"/>
      <c r="AA3" s="3224"/>
      <c r="AB3" s="9"/>
      <c r="AC3" s="9"/>
      <c r="AD3" s="9"/>
      <c r="AE3" s="9"/>
      <c r="AF3" s="9"/>
      <c r="AG3" s="9"/>
      <c r="AH3" s="9"/>
      <c r="AI3" s="9"/>
      <c r="AJ3" s="10"/>
      <c r="AK3" s="3003"/>
      <c r="AL3" s="1800"/>
      <c r="AM3" s="3087"/>
      <c r="AN3" s="3093"/>
      <c r="AO3" s="3093"/>
      <c r="AP3" s="3093"/>
      <c r="AQ3" s="3093"/>
    </row>
    <row r="4" spans="1:46" ht="12" customHeight="1" thickBot="1" x14ac:dyDescent="0.25">
      <c r="A4" s="45"/>
      <c r="B4" s="2372"/>
      <c r="C4" s="3138"/>
      <c r="D4" s="3138"/>
      <c r="E4" s="3138"/>
      <c r="F4" s="3138"/>
      <c r="G4" s="3138"/>
      <c r="H4" s="3138"/>
      <c r="I4" s="52"/>
      <c r="J4" s="3143" t="s">
        <v>1625</v>
      </c>
      <c r="K4" s="3143"/>
      <c r="L4" s="3144" t="str">
        <f>IF(OR(General!$G$22="",General!$G$22=0),"",General!$G$22)</f>
        <v/>
      </c>
      <c r="M4" s="3144"/>
      <c r="N4" s="3144"/>
      <c r="O4" s="3144"/>
      <c r="P4" s="3144"/>
      <c r="Q4" s="13"/>
      <c r="R4" s="2377"/>
      <c r="S4" s="2668"/>
      <c r="T4" s="2669"/>
      <c r="U4" s="2705"/>
      <c r="V4" s="3224"/>
      <c r="W4" s="3224"/>
      <c r="X4" s="3224"/>
      <c r="Y4" s="3224"/>
      <c r="Z4" s="3224"/>
      <c r="AA4" s="3224"/>
      <c r="AB4" s="12"/>
      <c r="AC4" s="3143" t="s">
        <v>1625</v>
      </c>
      <c r="AD4" s="3143"/>
      <c r="AE4" s="3144" t="str">
        <f>IF(OR(General!$G$22="",General!$G$22=0),"",General!$G$22)</f>
        <v/>
      </c>
      <c r="AF4" s="3144"/>
      <c r="AG4" s="3144"/>
      <c r="AH4" s="3144"/>
      <c r="AI4" s="3144"/>
      <c r="AJ4" s="13"/>
      <c r="AK4" s="3003"/>
      <c r="AL4" s="1800"/>
      <c r="AM4" s="3085"/>
      <c r="AN4" s="3093"/>
      <c r="AO4" s="3093"/>
      <c r="AP4" s="3093"/>
      <c r="AQ4" s="3093"/>
    </row>
    <row r="5" spans="1:46" ht="12" customHeight="1" thickBot="1" x14ac:dyDescent="0.25">
      <c r="A5" s="45"/>
      <c r="B5" s="2372"/>
      <c r="C5" s="3138"/>
      <c r="D5" s="3138"/>
      <c r="E5" s="3138"/>
      <c r="F5" s="3138"/>
      <c r="G5" s="3138"/>
      <c r="H5" s="3138"/>
      <c r="I5" s="52"/>
      <c r="J5" s="3220" t="s">
        <v>1626</v>
      </c>
      <c r="K5" s="3220"/>
      <c r="L5" s="3221" t="str">
        <f>IF(PDs!P13=0,IF(PDs!P11=0,IF(PDs!P9=0,IF(PDs!P7=0,IF(PDs!P5=0,"",PDs!P5),PDs!P7),PDs!P9),PDs!P11),PDs!P13)</f>
        <v/>
      </c>
      <c r="M5" s="3221"/>
      <c r="N5" s="3221"/>
      <c r="O5" s="54" t="s">
        <v>1627</v>
      </c>
      <c r="P5" s="15" t="str">
        <f>PDs!R15&amp;IF(Principal!AA27=0,""," + "&amp;Principal!AA27)</f>
        <v>0</v>
      </c>
      <c r="Q5" s="55"/>
      <c r="R5" s="1782"/>
      <c r="S5" s="2668"/>
      <c r="T5" s="2669"/>
      <c r="U5" s="2705"/>
      <c r="V5" s="3224"/>
      <c r="W5" s="3224"/>
      <c r="X5" s="3224"/>
      <c r="Y5" s="3224"/>
      <c r="Z5" s="3224"/>
      <c r="AA5" s="3224"/>
      <c r="AB5" s="12"/>
      <c r="AC5" s="3220" t="s">
        <v>1626</v>
      </c>
      <c r="AD5" s="3220"/>
      <c r="AE5" s="3221" t="str">
        <f>$L$5</f>
        <v/>
      </c>
      <c r="AF5" s="3221"/>
      <c r="AG5" s="3221"/>
      <c r="AH5" s="14" t="s">
        <v>1627</v>
      </c>
      <c r="AI5" s="15" t="str">
        <f>$P$5</f>
        <v>0</v>
      </c>
      <c r="AJ5" s="16"/>
      <c r="AK5" s="3003"/>
      <c r="AL5" s="1800"/>
      <c r="AM5" s="3085"/>
      <c r="AN5" s="3093"/>
      <c r="AO5" s="3093"/>
      <c r="AP5" s="3093"/>
      <c r="AQ5" s="3093"/>
    </row>
    <row r="6" spans="1:46" ht="12" customHeight="1" thickBot="1" x14ac:dyDescent="0.25">
      <c r="A6" s="45"/>
      <c r="B6" s="2372"/>
      <c r="C6" s="3138"/>
      <c r="D6" s="3138"/>
      <c r="E6" s="3138"/>
      <c r="F6" s="3138"/>
      <c r="G6" s="3138"/>
      <c r="H6" s="3138"/>
      <c r="I6" s="52"/>
      <c r="J6" s="3220" t="s">
        <v>1670</v>
      </c>
      <c r="K6" s="3220"/>
      <c r="L6" s="2515">
        <f>MIN(IF(Raza="Criatura",99,IF(Raza="Jayán",24,22)),AS21)</f>
        <v>10</v>
      </c>
      <c r="M6" s="3221" t="str">
        <f>IF(Raza="Criatura",VLOOKUP($L$6,Tablas!W47:X54,2),IF(AND(Raza="Jayán",Tamaño&gt;22),"Grande","Medio"))</f>
        <v>Medio</v>
      </c>
      <c r="N6" s="3221"/>
      <c r="O6" s="56"/>
      <c r="P6" s="56"/>
      <c r="Q6" s="55"/>
      <c r="R6" s="1782"/>
      <c r="S6" s="2668"/>
      <c r="T6" s="2669"/>
      <c r="U6" s="2705"/>
      <c r="V6" s="3224"/>
      <c r="W6" s="3224"/>
      <c r="X6" s="3224"/>
      <c r="Y6" s="3224"/>
      <c r="Z6" s="3224"/>
      <c r="AA6" s="3224"/>
      <c r="AB6" s="12"/>
      <c r="AC6" s="3222" t="s">
        <v>1671</v>
      </c>
      <c r="AD6" s="3222"/>
      <c r="AE6" s="3222"/>
      <c r="AF6" s="3222"/>
      <c r="AG6" s="3222"/>
      <c r="AH6" s="3222"/>
      <c r="AI6" s="3222"/>
      <c r="AJ6" s="16"/>
      <c r="AK6" s="3003"/>
      <c r="AL6" s="1800"/>
      <c r="AM6" s="3087"/>
      <c r="AN6" s="3093"/>
      <c r="AO6" s="3093"/>
      <c r="AP6" s="3094"/>
      <c r="AQ6" s="3094"/>
    </row>
    <row r="7" spans="1:46" ht="12" customHeight="1" thickBot="1" x14ac:dyDescent="0.25">
      <c r="A7" s="45"/>
      <c r="B7" s="2372"/>
      <c r="C7" s="3138"/>
      <c r="D7" s="3138"/>
      <c r="E7" s="3138"/>
      <c r="F7" s="3138"/>
      <c r="G7" s="3138"/>
      <c r="H7" s="3138"/>
      <c r="I7" s="52"/>
      <c r="J7" s="2518" t="s">
        <v>1672</v>
      </c>
      <c r="K7" s="3221" t="str">
        <f>TipoDeCriatura&amp;IF(AND(TipoDeCriatura="Natural",NOT(Raza=0)),", "&amp;Raza&amp;" ","")&amp;IF(Nephilim="",""," ("&amp;Nephilim&amp;")")&amp;" "&amp;Principal!AB13</f>
        <v xml:space="preserve"> 10</v>
      </c>
      <c r="L7" s="3221"/>
      <c r="M7" s="3221"/>
      <c r="N7" s="3221"/>
      <c r="O7" s="3221"/>
      <c r="P7" s="3221"/>
      <c r="Q7" s="55"/>
      <c r="R7" s="1782"/>
      <c r="S7" s="2668"/>
      <c r="T7" s="2669"/>
      <c r="U7" s="2705"/>
      <c r="V7" s="3224"/>
      <c r="W7" s="3224"/>
      <c r="X7" s="3224"/>
      <c r="Y7" s="3224"/>
      <c r="Z7" s="3224"/>
      <c r="AA7" s="3224"/>
      <c r="AB7" s="12"/>
      <c r="AC7" s="3222"/>
      <c r="AD7" s="3222"/>
      <c r="AE7" s="3222"/>
      <c r="AF7" s="3222"/>
      <c r="AG7" s="3222"/>
      <c r="AH7" s="3222"/>
      <c r="AI7" s="3222"/>
      <c r="AJ7" s="16"/>
      <c r="AK7" s="3003"/>
      <c r="AL7" s="1800"/>
      <c r="AM7" s="3087"/>
      <c r="AN7" s="3093"/>
      <c r="AO7" s="3093"/>
      <c r="AP7" s="3093"/>
      <c r="AQ7" s="3093"/>
    </row>
    <row r="8" spans="1:46" ht="12" customHeight="1" thickBot="1" x14ac:dyDescent="0.25">
      <c r="A8" s="45"/>
      <c r="B8" s="2372"/>
      <c r="C8" s="3138"/>
      <c r="D8" s="3138"/>
      <c r="E8" s="3138"/>
      <c r="F8" s="3138"/>
      <c r="G8" s="3138"/>
      <c r="H8" s="3138"/>
      <c r="I8" s="59"/>
      <c r="J8" s="59"/>
      <c r="K8" s="1773"/>
      <c r="L8" s="59"/>
      <c r="M8" s="59"/>
      <c r="N8" s="59"/>
      <c r="O8" s="59"/>
      <c r="P8" s="59"/>
      <c r="Q8" s="60"/>
      <c r="R8" s="1782"/>
      <c r="S8" s="2668"/>
      <c r="T8" s="2669"/>
      <c r="U8" s="2705"/>
      <c r="V8" s="3224"/>
      <c r="W8" s="3224"/>
      <c r="X8" s="3224"/>
      <c r="Y8" s="3224"/>
      <c r="Z8" s="3224"/>
      <c r="AA8" s="3224"/>
      <c r="AB8" s="17"/>
      <c r="AC8" s="61"/>
      <c r="AD8" s="61"/>
      <c r="AE8" s="61"/>
      <c r="AF8" s="61"/>
      <c r="AG8" s="61"/>
      <c r="AH8" s="61"/>
      <c r="AI8" s="61"/>
      <c r="AJ8" s="62"/>
      <c r="AK8" s="3003"/>
      <c r="AL8" s="1800"/>
      <c r="AO8" s="3085"/>
      <c r="AQ8" s="3095" t="s">
        <v>8819</v>
      </c>
      <c r="AR8" s="1888"/>
      <c r="AS8" s="1888"/>
    </row>
    <row r="9" spans="1:46" ht="12" customHeight="1" thickBot="1" x14ac:dyDescent="0.25">
      <c r="A9" s="45"/>
      <c r="B9" s="2373"/>
      <c r="C9" s="63"/>
      <c r="D9" s="63"/>
      <c r="E9" s="63"/>
      <c r="F9" s="63"/>
      <c r="G9" s="63"/>
      <c r="H9" s="63"/>
      <c r="I9" s="2305"/>
      <c r="J9" s="63"/>
      <c r="K9" s="1774"/>
      <c r="L9" s="63"/>
      <c r="M9" s="2305"/>
      <c r="N9" s="63"/>
      <c r="O9" s="63"/>
      <c r="P9" s="63"/>
      <c r="Q9" s="63"/>
      <c r="R9" s="1782"/>
      <c r="S9" s="2668"/>
      <c r="T9" s="2669"/>
      <c r="U9" s="2705"/>
      <c r="V9" s="7"/>
      <c r="W9" s="7"/>
      <c r="X9" s="7"/>
      <c r="Y9" s="64"/>
      <c r="Z9" s="64"/>
      <c r="AA9" s="64"/>
      <c r="AB9" s="64"/>
      <c r="AC9" s="64"/>
      <c r="AD9" s="64"/>
      <c r="AE9" s="64"/>
      <c r="AF9" s="64"/>
      <c r="AG9" s="64"/>
      <c r="AH9" s="7"/>
      <c r="AI9" s="7"/>
      <c r="AJ9" s="7"/>
      <c r="AK9" s="3003"/>
      <c r="AL9" s="1800"/>
      <c r="AO9" s="3096"/>
      <c r="AP9" s="3093" t="s">
        <v>8816</v>
      </c>
      <c r="AQ9" s="3097" t="s">
        <v>8813</v>
      </c>
      <c r="AR9" s="1888" t="s">
        <v>8821</v>
      </c>
      <c r="AS9" s="1888" t="s">
        <v>8822</v>
      </c>
    </row>
    <row r="10" spans="1:46" ht="12" customHeight="1" thickBot="1" x14ac:dyDescent="0.25">
      <c r="A10" s="45"/>
      <c r="B10" s="2374"/>
      <c r="C10" s="3300" t="s">
        <v>1673</v>
      </c>
      <c r="D10" s="2164" t="str">
        <f>SUM(E11:E18)+COUNTIF(E11:E18,10)&amp;" pts"</f>
        <v>40 pts</v>
      </c>
      <c r="E10" s="2522" t="s">
        <v>1674</v>
      </c>
      <c r="F10" s="2511" t="s">
        <v>1675</v>
      </c>
      <c r="G10" s="66" t="s">
        <v>1658</v>
      </c>
      <c r="H10" s="25" t="s">
        <v>1676</v>
      </c>
      <c r="I10" s="96"/>
      <c r="J10" s="3201" t="s">
        <v>1677</v>
      </c>
      <c r="K10" s="3201"/>
      <c r="L10" s="3201"/>
      <c r="M10" s="96"/>
      <c r="N10" s="3201" t="s">
        <v>1678</v>
      </c>
      <c r="O10" s="3201"/>
      <c r="P10" s="3201"/>
      <c r="Q10" s="3201"/>
      <c r="R10" s="2378"/>
      <c r="S10" s="2668"/>
      <c r="T10" s="2669"/>
      <c r="U10" s="2706"/>
      <c r="V10" s="3315" t="s">
        <v>1679</v>
      </c>
      <c r="W10" s="3316"/>
      <c r="X10" s="3316"/>
      <c r="Y10" s="3316"/>
      <c r="Z10" s="3316"/>
      <c r="AA10" s="3316"/>
      <c r="AB10" s="3318"/>
      <c r="AC10" s="67"/>
      <c r="AD10" s="3315" t="s">
        <v>1680</v>
      </c>
      <c r="AE10" s="3316"/>
      <c r="AF10" s="3316"/>
      <c r="AG10" s="3316"/>
      <c r="AH10" s="3317" t="s">
        <v>1681</v>
      </c>
      <c r="AI10" s="3317"/>
      <c r="AJ10" s="2793">
        <f>SUM(AJ12:AJ23)+IF(OR(TipoDeCriatura="Ánima",TipoDeCriatura="Ánima, Elemental",TipoDeCriatura="No muerto, Espectro"),100,0)+AJ27</f>
        <v>0</v>
      </c>
      <c r="AK10" s="1992"/>
      <c r="AL10" s="1800"/>
      <c r="AO10" s="3093"/>
      <c r="AP10" s="3097" t="s">
        <v>8815</v>
      </c>
      <c r="AQ10" s="3095" t="s">
        <v>8818</v>
      </c>
      <c r="AR10" s="3095" t="s">
        <v>8820</v>
      </c>
      <c r="AS10" s="3095" t="s">
        <v>8814</v>
      </c>
      <c r="AT10" s="3093" t="s">
        <v>8833</v>
      </c>
    </row>
    <row r="11" spans="1:46" ht="12" customHeight="1" thickBot="1" x14ac:dyDescent="0.25">
      <c r="A11" s="45"/>
      <c r="B11" s="2374"/>
      <c r="C11" s="3300"/>
      <c r="D11" s="69" t="s">
        <v>1682</v>
      </c>
      <c r="E11" s="2524">
        <v>5</v>
      </c>
      <c r="F11" s="71"/>
      <c r="G11" s="72">
        <f>MIN(20,MAX(0,AS11+F11))</f>
        <v>5</v>
      </c>
      <c r="H11" s="2531">
        <f>IF(G11&lt;1,0,VLOOKUP(G11,Tablas!$C$14:$D$33,2))</f>
        <v>0</v>
      </c>
      <c r="I11" s="67"/>
      <c r="J11" s="3287">
        <f>IF(COUNTIF(AB42:AE69,"Degeneración")&gt;0,0,AS19+L13)</f>
        <v>1</v>
      </c>
      <c r="K11" s="3327" t="str">
        <f>INDEX(Tabla_Regen,MATCH(J11,INDEX(Tabla_Regen,,2),0),3)</f>
        <v>10 PV / día</v>
      </c>
      <c r="L11" s="3327"/>
      <c r="M11" s="96"/>
      <c r="N11" s="3328">
        <f>PDs!Z185</f>
        <v>70</v>
      </c>
      <c r="O11" s="3328"/>
      <c r="P11" s="3329"/>
      <c r="Q11" s="3329"/>
      <c r="R11" s="2378"/>
      <c r="S11" s="2668"/>
      <c r="T11" s="2669"/>
      <c r="U11" s="2706"/>
      <c r="V11" s="3337" t="s">
        <v>1683</v>
      </c>
      <c r="W11" s="3338"/>
      <c r="X11" s="3339"/>
      <c r="Y11" s="3319"/>
      <c r="Z11" s="3319"/>
      <c r="AA11" s="3319"/>
      <c r="AB11" s="3320"/>
      <c r="AC11" s="67"/>
      <c r="AD11" s="3228" t="s">
        <v>1751</v>
      </c>
      <c r="AE11" s="3229"/>
      <c r="AF11" s="3229"/>
      <c r="AG11" s="3229" t="s">
        <v>1676</v>
      </c>
      <c r="AH11" s="3494"/>
      <c r="AI11" s="2600" t="s">
        <v>1685</v>
      </c>
      <c r="AJ11" s="2629" t="s">
        <v>1686</v>
      </c>
      <c r="AK11" s="1992"/>
      <c r="AL11" s="1800"/>
      <c r="AM11" s="2701" t="s">
        <v>9991</v>
      </c>
      <c r="AO11" s="3093" t="s">
        <v>1682</v>
      </c>
      <c r="AP11" s="3075">
        <f t="shared" ref="AP11:AP18" si="0">E11+HLOOKUP(D11,Bonos_Raza_Base,2,FALSE)</f>
        <v>5</v>
      </c>
      <c r="AQ11" s="3075">
        <f>AP11+Tablas!G242-2*Tablas!G492+Tablas!J1205</f>
        <v>5</v>
      </c>
      <c r="AR11" s="3075">
        <f>Bono_IncremTotal+IF(ISNUMBER(FIND(D11,PodPsi_IncremHab)),'Tablas psiquica'!$AH$70,FALSE)</f>
        <v>0</v>
      </c>
      <c r="AS11" s="3075">
        <f t="shared" ref="AS11:AS18" si="1">IF(AQ11&lt;10,MIN(10,AR11+AQ11)+TRUNC(MAX(0,(AR11+AQ11-10)/2,0)),AQ11+TRUNC(AR11/2,0))</f>
        <v>5</v>
      </c>
      <c r="AT11" s="3075">
        <f>IF(AQ11&lt;10,MIN(10,(AR11-IF(ISNUMBER(FIND(D11,PodPsi_IncremHab)),'Tablas psiquica'!$AH$70,FALSE))+AQ11)+TRUNC(MAX(0,((AR11-IF(ISNUMBER(FIND(D11,PodPsi_IncremHab)),'Tablas psiquica'!$AH$70,FALSE))+AQ11-10)/2,0)),AQ11+TRUNC((AR11-IF(ISNUMBER(FIND(D11,PodPsi_IncremHab)),'Tablas psiquica'!$AH$70,FALSE))/2,0))</f>
        <v>5</v>
      </c>
    </row>
    <row r="12" spans="1:46" ht="12" customHeight="1" thickBot="1" x14ac:dyDescent="0.25">
      <c r="A12" s="45"/>
      <c r="B12" s="2374"/>
      <c r="C12" s="3300"/>
      <c r="D12" s="69" t="str">
        <f>IF(OR($Y$11="Ánima",$Y$11="Ánima, Elemental",$Y$11="No muerto, Espectro"),"-","CON")</f>
        <v>CON</v>
      </c>
      <c r="E12" s="2524">
        <v>5</v>
      </c>
      <c r="F12" s="75"/>
      <c r="G12" s="72">
        <f>MIN(20,MAX(0,IF(OR(TipoDeCriatura="Ánima",TipoDeCriatura="Ánima, Elemental",TipoDeCriatura="No muerto, Espectro"),POD,AS12+F12)))</f>
        <v>5</v>
      </c>
      <c r="H12" s="2531">
        <f>IF(G12&lt;1,0,VLOOKUP(G12,Tablas!$C$14:$D$33,2))</f>
        <v>0</v>
      </c>
      <c r="I12" s="511"/>
      <c r="J12" s="3287"/>
      <c r="K12" s="3326" t="str">
        <f>IF(Tablas!$S$1398=0,INDEX(Tabla_Regen,MATCH(J11,INDEX(Tabla_Regen,,2),0),5),Tablas!$S$1398&amp;" PV al día")</f>
        <v>-5 al día</v>
      </c>
      <c r="L12" s="3326"/>
      <c r="M12" s="96"/>
      <c r="N12" s="3328"/>
      <c r="O12" s="3328"/>
      <c r="P12" s="3329"/>
      <c r="Q12" s="3329"/>
      <c r="R12" s="2378"/>
      <c r="S12" s="2668"/>
      <c r="T12" s="2669"/>
      <c r="U12" s="2706"/>
      <c r="V12" s="3340"/>
      <c r="W12" s="3341"/>
      <c r="X12" s="3342"/>
      <c r="Y12" s="3321"/>
      <c r="Z12" s="3321"/>
      <c r="AA12" s="3321"/>
      <c r="AB12" s="3322"/>
      <c r="AC12" s="67"/>
      <c r="AD12" s="3495"/>
      <c r="AE12" s="3496"/>
      <c r="AF12" s="3496"/>
      <c r="AG12" s="3343"/>
      <c r="AH12" s="3343"/>
      <c r="AI12" s="2482" t="str">
        <f t="shared" ref="AI12:AI23" si="2">IF(AD12="","",VLOOKUP(AD12&amp;IF(AG12="",""," "&amp;AG12),Tabla_HabEsenciales,2,FALSE))</f>
        <v/>
      </c>
      <c r="AJ12" s="1566" t="str">
        <f t="shared" ref="AJ12:AJ23" si="3">IF(AD12="","",VLOOKUP(AD12&amp;IF(AG12="",""," "&amp;AG12),Tabla_HabEsenciales,3,FALSE))</f>
        <v/>
      </c>
      <c r="AK12" s="3003" t="str">
        <f t="shared" ref="AK12:AK23" si="4">SUBSTITUTE(IF(AD12="","",VLOOKUP(AD12,Tabla_Listas_PodHabMonstruo,3,FALSE)),".","")</f>
        <v/>
      </c>
      <c r="AL12" s="1800"/>
      <c r="AM12" s="2701" t="str">
        <f>AD12&amp;IF(AG12="",""," "&amp;AG12)</f>
        <v/>
      </c>
      <c r="AO12" s="3093" t="str">
        <f>IF(OR($Y$11="Ánima",$Y$11="Ánima, Elemental",$Y$11="No muerto, Espectro"),"-","CON")</f>
        <v>CON</v>
      </c>
      <c r="AP12" s="3075">
        <f t="shared" si="0"/>
        <v>5</v>
      </c>
      <c r="AQ12" s="3075">
        <f>AP12+Tablas!G243-2*Tablas!G493+Tablas!J1206</f>
        <v>5</v>
      </c>
      <c r="AR12" s="3075">
        <f>Bono_IncremTotal</f>
        <v>0</v>
      </c>
      <c r="AS12" s="3075">
        <f t="shared" si="1"/>
        <v>5</v>
      </c>
      <c r="AT12" s="3075"/>
    </row>
    <row r="13" spans="1:46" ht="12" customHeight="1" thickBot="1" x14ac:dyDescent="0.25">
      <c r="A13" s="45"/>
      <c r="B13" s="2374"/>
      <c r="C13" s="3300"/>
      <c r="D13" s="69" t="s">
        <v>1687</v>
      </c>
      <c r="E13" s="2524">
        <v>5</v>
      </c>
      <c r="F13" s="75"/>
      <c r="G13" s="72">
        <f t="shared" ref="G13:G18" si="5">MIN(20,MAX(0,AS13+F13))</f>
        <v>5</v>
      </c>
      <c r="H13" s="2531">
        <f>IF(G13&lt;1,0,VLOOKUP(G13,Tablas!$C$14:$D$33,2))</f>
        <v>0</v>
      </c>
      <c r="I13" s="511"/>
      <c r="J13" s="3235" t="s">
        <v>1688</v>
      </c>
      <c r="K13" s="3235"/>
      <c r="L13" s="77"/>
      <c r="M13" s="96"/>
      <c r="N13" s="3328"/>
      <c r="O13" s="3328"/>
      <c r="P13" s="3329"/>
      <c r="Q13" s="3329"/>
      <c r="R13" s="2378"/>
      <c r="S13" s="2668"/>
      <c r="T13" s="2669"/>
      <c r="U13" s="2706"/>
      <c r="V13" s="3330" t="s">
        <v>1689</v>
      </c>
      <c r="W13" s="3331"/>
      <c r="X13" s="3331"/>
      <c r="Y13" s="1273"/>
      <c r="Z13" s="56"/>
      <c r="AA13" s="78" t="s">
        <v>1691</v>
      </c>
      <c r="AB13" s="2152">
        <v>10</v>
      </c>
      <c r="AC13" s="67"/>
      <c r="AD13" s="3351"/>
      <c r="AE13" s="3352"/>
      <c r="AF13" s="3352"/>
      <c r="AG13" s="3343"/>
      <c r="AH13" s="3343"/>
      <c r="AI13" s="2627" t="str">
        <f t="shared" si="2"/>
        <v/>
      </c>
      <c r="AJ13" s="1566" t="str">
        <f t="shared" si="3"/>
        <v/>
      </c>
      <c r="AK13" s="3003" t="str">
        <f t="shared" si="4"/>
        <v/>
      </c>
      <c r="AL13" s="1800"/>
      <c r="AM13" s="2701" t="str">
        <f t="shared" ref="AM13:AM23" si="6">AD13&amp;IF(AG13="",""," "&amp;AG13)</f>
        <v/>
      </c>
      <c r="AO13" s="3093" t="s">
        <v>1687</v>
      </c>
      <c r="AP13" s="3075">
        <f t="shared" si="0"/>
        <v>5</v>
      </c>
      <c r="AQ13" s="3075">
        <f>AP13+Tablas!G244-2*Tablas!G494+Tablas!J1207+Tablas!K1737+Tablas!$K$1817</f>
        <v>5</v>
      </c>
      <c r="AR13" s="3075">
        <f>Bono_IncremTotal+IF(ISNUMBER(FIND(D11,PodPsi_IncremHab)),'Tablas psiquica'!$AH$70,FALSE)</f>
        <v>0</v>
      </c>
      <c r="AS13" s="3075">
        <f t="shared" si="1"/>
        <v>5</v>
      </c>
      <c r="AT13" s="3075"/>
    </row>
    <row r="14" spans="1:46" ht="12" customHeight="1" thickBot="1" x14ac:dyDescent="0.25">
      <c r="A14" s="45"/>
      <c r="B14" s="2374"/>
      <c r="C14" s="3300"/>
      <c r="D14" s="69" t="s">
        <v>1692</v>
      </c>
      <c r="E14" s="2524">
        <v>5</v>
      </c>
      <c r="F14" s="75"/>
      <c r="G14" s="72">
        <f t="shared" si="5"/>
        <v>5</v>
      </c>
      <c r="H14" s="2531">
        <f>IF(G14&lt;1,0,VLOOKUP(G14,Tablas!$C$14:$D$33,2))</f>
        <v>0</v>
      </c>
      <c r="I14" s="511"/>
      <c r="J14" s="511"/>
      <c r="K14" s="1775"/>
      <c r="L14" s="67"/>
      <c r="M14" s="96"/>
      <c r="N14" s="79"/>
      <c r="O14" s="67"/>
      <c r="P14" s="67"/>
      <c r="Q14" s="2517"/>
      <c r="R14" s="2379"/>
      <c r="S14" s="2668"/>
      <c r="T14" s="2669"/>
      <c r="U14" s="2706"/>
      <c r="V14" s="3332" t="s">
        <v>1693</v>
      </c>
      <c r="W14" s="3333"/>
      <c r="X14" s="3333"/>
      <c r="Y14" s="1274" t="s">
        <v>1690</v>
      </c>
      <c r="Z14" s="82"/>
      <c r="AA14" s="83" t="s">
        <v>1694</v>
      </c>
      <c r="AB14" s="2514" t="str">
        <f>IF(TipoDeCriatura="Natural",MAX(Principal!AB13-IF(Raza=0,0,VLOOKUP(Raza,Tablas!$J$109:$AB$129,19,FALSE)),0),"-")</f>
        <v>-</v>
      </c>
      <c r="AC14" s="67"/>
      <c r="AD14" s="3351"/>
      <c r="AE14" s="3352"/>
      <c r="AF14" s="3352"/>
      <c r="AG14" s="3343"/>
      <c r="AH14" s="3343"/>
      <c r="AI14" s="2627" t="str">
        <f t="shared" si="2"/>
        <v/>
      </c>
      <c r="AJ14" s="1566" t="str">
        <f t="shared" si="3"/>
        <v/>
      </c>
      <c r="AK14" s="3003" t="str">
        <f t="shared" si="4"/>
        <v/>
      </c>
      <c r="AL14" s="1800"/>
      <c r="AM14" s="2701" t="str">
        <f t="shared" si="6"/>
        <v/>
      </c>
      <c r="AO14" s="3093" t="s">
        <v>1692</v>
      </c>
      <c r="AP14" s="3075">
        <f t="shared" si="0"/>
        <v>5</v>
      </c>
      <c r="AQ14" s="3075">
        <f>AP14+Tablas!G245-2*Tablas!G495+Tablas!J1208+Tablas!$K$1817</f>
        <v>5</v>
      </c>
      <c r="AR14" s="3075">
        <f>Bono_IncremTotal+'Tablas psiquica'!$AH$67</f>
        <v>0</v>
      </c>
      <c r="AS14" s="3075">
        <f t="shared" si="1"/>
        <v>5</v>
      </c>
      <c r="AT14" s="3075"/>
    </row>
    <row r="15" spans="1:46" ht="12" customHeight="1" thickBot="1" x14ac:dyDescent="0.25">
      <c r="A15" s="45"/>
      <c r="B15" s="2374"/>
      <c r="C15" s="3300"/>
      <c r="D15" s="69" t="s">
        <v>1695</v>
      </c>
      <c r="E15" s="2524">
        <v>5</v>
      </c>
      <c r="F15" s="75"/>
      <c r="G15" s="72">
        <f t="shared" si="5"/>
        <v>5</v>
      </c>
      <c r="H15" s="2531">
        <f>IF(G15&lt;1,0,VLOOKUP(G15,Tablas!$C$14:$D$33,2))</f>
        <v>0</v>
      </c>
      <c r="I15" s="2376"/>
      <c r="J15" s="3334" t="s">
        <v>1696</v>
      </c>
      <c r="K15" s="3335"/>
      <c r="L15" s="3336"/>
      <c r="M15" s="96"/>
      <c r="N15" s="3201" t="s">
        <v>1697</v>
      </c>
      <c r="O15" s="3201"/>
      <c r="P15" s="3201"/>
      <c r="Q15" s="3201"/>
      <c r="R15" s="2378"/>
      <c r="S15" s="2668"/>
      <c r="T15" s="2669"/>
      <c r="U15" s="2706"/>
      <c r="V15" s="3323" t="str">
        <f>IF(TipoDeCriatura="Natural",IF(AB14=0,"Sin tirada abierta",IF(AB14&gt;14,"Tirada abierta adicional","")),"")&amp;IF(TipoDeCriatura="Natural",IF(AB14&gt;19,", Núcleo trascendental",""),"")</f>
        <v/>
      </c>
      <c r="W15" s="3324"/>
      <c r="X15" s="3324"/>
      <c r="Y15" s="3324"/>
      <c r="Z15" s="3324"/>
      <c r="AA15" s="3324"/>
      <c r="AB15" s="3325"/>
      <c r="AC15" s="19"/>
      <c r="AD15" s="3351"/>
      <c r="AE15" s="3352"/>
      <c r="AF15" s="3352"/>
      <c r="AG15" s="3343"/>
      <c r="AH15" s="3343"/>
      <c r="AI15" s="2627" t="str">
        <f t="shared" si="2"/>
        <v/>
      </c>
      <c r="AJ15" s="1566" t="str">
        <f t="shared" si="3"/>
        <v/>
      </c>
      <c r="AK15" s="3003" t="str">
        <f t="shared" si="4"/>
        <v/>
      </c>
      <c r="AL15" s="1800"/>
      <c r="AM15" s="2701" t="str">
        <f t="shared" si="6"/>
        <v/>
      </c>
      <c r="AO15" s="3093" t="s">
        <v>1695</v>
      </c>
      <c r="AP15" s="3075">
        <f t="shared" si="0"/>
        <v>5</v>
      </c>
      <c r="AQ15" s="3075">
        <f>AP15+Tablas!G246-2*Tablas!G496+Tablas!J1209+Tablas!$K$1750+Personalización!$N$41</f>
        <v>5</v>
      </c>
      <c r="AR15" s="3075"/>
      <c r="AS15" s="3075">
        <f t="shared" si="1"/>
        <v>5</v>
      </c>
      <c r="AT15" s="3075"/>
    </row>
    <row r="16" spans="1:46" ht="12" customHeight="1" thickBot="1" x14ac:dyDescent="0.25">
      <c r="A16" s="45"/>
      <c r="B16" s="2374"/>
      <c r="C16" s="3300"/>
      <c r="D16" s="69" t="s">
        <v>1698</v>
      </c>
      <c r="E16" s="2524">
        <v>5</v>
      </c>
      <c r="F16" s="75"/>
      <c r="G16" s="72">
        <f t="shared" si="5"/>
        <v>5</v>
      </c>
      <c r="H16" s="2531">
        <f>IF(G16&lt;1,0,VLOOKUP(G16,Tablas!$C$14:$D$33,2))</f>
        <v>0</v>
      </c>
      <c r="I16" s="188"/>
      <c r="J16" s="3270">
        <f>MAX(1,MIN(20,IF(OR(MovimientodeVacío,Zen),AS20,IF(Inhumanidad,MIN(13,AS20),MIN(10,AS20)))))</f>
        <v>5</v>
      </c>
      <c r="K16" s="1809" t="s">
        <v>1699</v>
      </c>
      <c r="L16" s="2306">
        <f>MAX(Combate!G16-TRUNC(IF((H28-Combate!J16)/50&lt;0,0,(H28-Combate!J16)/50),0),0)+IF(AND(General!AJ32&gt;IF(G14=0,0,VLOOKUP(G14,Tabla_Fuerza,3)),General!AJ32&lt;IF(G14=0,0,VLOOKUP(G14,Tabla_Fuerza,4))),2,0)+IF(General!AJ32&gt;IF(G14=0,0,VLOOKUP(G14,Tabla_Fuerza,4)),5,0)</f>
        <v>0</v>
      </c>
      <c r="M16" s="96"/>
      <c r="N16" s="3271">
        <f>IF(OR(Tablas!H1260&gt;0,Tablas!H1267&gt;0,Y11="Ánima",Y11="Ánima, Elemental",Y11="No muerto, Espectro",Tablas!J1838=1),0,G12+O18+IF(Raza=0,0,VLOOKUP(Raza,Tablas!$J$109:$AA$129,18,FALSE))+3*Tablas!G332+6*Tablas!G333+9*Tablas!G334-Tablas!G526+2*Tablas!H1193)</f>
        <v>5</v>
      </c>
      <c r="O16" s="3271"/>
      <c r="P16" s="3329"/>
      <c r="Q16" s="3329"/>
      <c r="R16" s="2378"/>
      <c r="S16" s="2668"/>
      <c r="T16" s="2669"/>
      <c r="U16" s="2706"/>
      <c r="V16" s="3376"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377"/>
      <c r="X16" s="3377"/>
      <c r="Y16" s="3377"/>
      <c r="Z16" s="3377"/>
      <c r="AA16" s="3377"/>
      <c r="AB16" s="3378"/>
      <c r="AC16" s="67"/>
      <c r="AD16" s="3351"/>
      <c r="AE16" s="3352"/>
      <c r="AF16" s="3352"/>
      <c r="AG16" s="3343"/>
      <c r="AH16" s="3343"/>
      <c r="AI16" s="2627" t="str">
        <f t="shared" si="2"/>
        <v/>
      </c>
      <c r="AJ16" s="1566" t="str">
        <f t="shared" si="3"/>
        <v/>
      </c>
      <c r="AK16" s="3003" t="str">
        <f t="shared" si="4"/>
        <v/>
      </c>
      <c r="AL16" s="1800"/>
      <c r="AM16" s="2701" t="str">
        <f t="shared" si="6"/>
        <v/>
      </c>
      <c r="AO16" s="3093" t="s">
        <v>1698</v>
      </c>
      <c r="AP16" s="3075">
        <f t="shared" si="0"/>
        <v>5</v>
      </c>
      <c r="AQ16" s="3075">
        <f>AP16+Tablas!G247-2*Tablas!G497+Tablas!J1210</f>
        <v>5</v>
      </c>
      <c r="AR16" s="3075">
        <f>'Tablas psiquica'!$AH$72</f>
        <v>0</v>
      </c>
      <c r="AS16" s="3075">
        <f t="shared" si="1"/>
        <v>5</v>
      </c>
      <c r="AT16" s="3075"/>
    </row>
    <row r="17" spans="1:46" ht="12" customHeight="1" thickBot="1" x14ac:dyDescent="0.25">
      <c r="A17" s="45"/>
      <c r="B17" s="2223"/>
      <c r="C17" s="3300"/>
      <c r="D17" s="69" t="s">
        <v>1700</v>
      </c>
      <c r="E17" s="2524">
        <v>5</v>
      </c>
      <c r="F17" s="75"/>
      <c r="G17" s="72">
        <f t="shared" si="5"/>
        <v>5</v>
      </c>
      <c r="H17" s="2531">
        <f>IF(G17&lt;1,0,VLOOKUP(G17,Tablas!$C$14:$D$33,2))</f>
        <v>0</v>
      </c>
      <c r="I17" s="188"/>
      <c r="J17" s="3270"/>
      <c r="K17" s="3303" t="str">
        <f>IF(J16&lt;1,"",VLOOKUP(J16,TablaTipoMovimiento,2))</f>
        <v>20 m / asalto</v>
      </c>
      <c r="L17" s="3304"/>
      <c r="M17" s="104"/>
      <c r="N17" s="3271"/>
      <c r="O17" s="3271"/>
      <c r="P17" s="3329"/>
      <c r="Q17" s="3329"/>
      <c r="R17" s="2378"/>
      <c r="S17" s="2668"/>
      <c r="T17" s="2669"/>
      <c r="U17" s="2706"/>
      <c r="V17" s="3376"/>
      <c r="W17" s="3377"/>
      <c r="X17" s="3377"/>
      <c r="Y17" s="3377"/>
      <c r="Z17" s="3377"/>
      <c r="AA17" s="3377"/>
      <c r="AB17" s="3378"/>
      <c r="AC17" s="67"/>
      <c r="AD17" s="3351"/>
      <c r="AE17" s="3352"/>
      <c r="AF17" s="3352"/>
      <c r="AG17" s="3343"/>
      <c r="AH17" s="3343"/>
      <c r="AI17" s="2627" t="str">
        <f t="shared" si="2"/>
        <v/>
      </c>
      <c r="AJ17" s="1566" t="str">
        <f t="shared" si="3"/>
        <v/>
      </c>
      <c r="AK17" s="3003" t="str">
        <f t="shared" si="4"/>
        <v/>
      </c>
      <c r="AL17" s="1800"/>
      <c r="AM17" s="2701" t="str">
        <f t="shared" si="6"/>
        <v/>
      </c>
      <c r="AO17" s="3093" t="s">
        <v>1700</v>
      </c>
      <c r="AP17" s="3075">
        <f t="shared" si="0"/>
        <v>5</v>
      </c>
      <c r="AQ17" s="3075">
        <f>AP17+IF(Sheele!F5="No","0",-1)+Tablas!$G$248-2*Tablas!$G$498+Tablas!$J$1211+Tablas!$K$1737+Tablas!$K$1750+Personalización!$O$41</f>
        <v>5</v>
      </c>
      <c r="AR17" s="3075"/>
      <c r="AS17" s="3075">
        <f t="shared" si="1"/>
        <v>5</v>
      </c>
    </row>
    <row r="18" spans="1:46" ht="12" customHeight="1" thickBot="1" x14ac:dyDescent="0.25">
      <c r="A18" s="45"/>
      <c r="B18" s="1486"/>
      <c r="C18" s="3300"/>
      <c r="D18" s="84" t="s">
        <v>1701</v>
      </c>
      <c r="E18" s="2526">
        <v>5</v>
      </c>
      <c r="F18" s="86"/>
      <c r="G18" s="87">
        <f t="shared" si="5"/>
        <v>5</v>
      </c>
      <c r="H18" s="2527">
        <f>IF(G18&lt;1,0,VLOOKUP(G18,Tablas!$C$14:$D$33,2))</f>
        <v>0</v>
      </c>
      <c r="I18" s="96"/>
      <c r="J18" s="3268" t="s">
        <v>1688</v>
      </c>
      <c r="K18" s="3269"/>
      <c r="L18" s="2307"/>
      <c r="M18" s="188"/>
      <c r="N18" s="2530" t="s">
        <v>1688</v>
      </c>
      <c r="O18" s="90"/>
      <c r="P18" s="3329"/>
      <c r="Q18" s="3329"/>
      <c r="R18" s="2378"/>
      <c r="S18" s="2668"/>
      <c r="T18" s="2669"/>
      <c r="U18" s="2706"/>
      <c r="V18" s="3379"/>
      <c r="W18" s="3380"/>
      <c r="X18" s="3380"/>
      <c r="Y18" s="3380"/>
      <c r="Z18" s="3380"/>
      <c r="AA18" s="3380"/>
      <c r="AB18" s="3381"/>
      <c r="AC18" s="67"/>
      <c r="AD18" s="3351"/>
      <c r="AE18" s="3352"/>
      <c r="AF18" s="3352"/>
      <c r="AG18" s="3343"/>
      <c r="AH18" s="3343"/>
      <c r="AI18" s="2627" t="str">
        <f t="shared" si="2"/>
        <v/>
      </c>
      <c r="AJ18" s="1566" t="str">
        <f t="shared" si="3"/>
        <v/>
      </c>
      <c r="AK18" s="3003" t="str">
        <f t="shared" si="4"/>
        <v/>
      </c>
      <c r="AL18" s="1800"/>
      <c r="AM18" s="2701" t="str">
        <f t="shared" si="6"/>
        <v/>
      </c>
      <c r="AO18" s="3093" t="s">
        <v>1701</v>
      </c>
      <c r="AP18" s="3075">
        <f t="shared" si="0"/>
        <v>5</v>
      </c>
      <c r="AQ18" s="3075">
        <f>AP18+Tablas!G249-2*Tablas!G499+Tablas!J1212+Tablas!$K$1737+Tablas!$K$1750+Personalización!$P$41</f>
        <v>5</v>
      </c>
      <c r="AR18" s="3075"/>
      <c r="AS18" s="3075">
        <f t="shared" si="1"/>
        <v>5</v>
      </c>
      <c r="AT18" s="3087"/>
    </row>
    <row r="19" spans="1:46" ht="12" customHeight="1" thickBot="1" x14ac:dyDescent="0.25">
      <c r="A19" s="45"/>
      <c r="B19" s="2372"/>
      <c r="C19" s="3286"/>
      <c r="D19" s="3286"/>
      <c r="E19" s="3286"/>
      <c r="F19" s="3286"/>
      <c r="G19" s="3286"/>
      <c r="H19" s="2329" t="str">
        <f>IF(Combate!AF15=0,"",TRUNC(Combate!AF15/20,0))</f>
        <v/>
      </c>
      <c r="I19" s="2305"/>
      <c r="J19" s="67"/>
      <c r="K19" s="1774"/>
      <c r="L19" s="67"/>
      <c r="M19" s="162"/>
      <c r="N19" s="1563"/>
      <c r="O19" s="1563"/>
      <c r="P19" s="1563"/>
      <c r="Q19" s="1563"/>
      <c r="R19" s="1782"/>
      <c r="S19" s="2668"/>
      <c r="T19" s="2669"/>
      <c r="U19" s="2706"/>
      <c r="V19" s="67"/>
      <c r="W19" s="67"/>
      <c r="X19" s="67"/>
      <c r="Y19" s="67"/>
      <c r="Z19" s="67"/>
      <c r="AA19" s="67"/>
      <c r="AB19" s="67"/>
      <c r="AC19" s="67"/>
      <c r="AD19" s="3351"/>
      <c r="AE19" s="3352"/>
      <c r="AF19" s="3352"/>
      <c r="AG19" s="3343"/>
      <c r="AH19" s="3343"/>
      <c r="AI19" s="2627" t="str">
        <f t="shared" si="2"/>
        <v/>
      </c>
      <c r="AJ19" s="1566" t="str">
        <f t="shared" si="3"/>
        <v/>
      </c>
      <c r="AK19" s="3003" t="str">
        <f t="shared" si="4"/>
        <v/>
      </c>
      <c r="AL19" s="1800"/>
      <c r="AM19" s="2701" t="str">
        <f t="shared" si="6"/>
        <v/>
      </c>
      <c r="AO19" s="3093" t="s">
        <v>8823</v>
      </c>
      <c r="AP19" s="3075">
        <f>IF(G12=0,0,VLOOKUP(G12,Tabla_Regen,2))+HLOOKUP("Regeneración",Bonos_Raza_Base,2,FALSE)</f>
        <v>1</v>
      </c>
      <c r="AQ19" s="3075">
        <f>AP19+Tablas!G268*2+Tablas!G269*4+Tablas!G270*6+Tablas!P241</f>
        <v>1</v>
      </c>
      <c r="AR19" s="3098">
        <f>'Tablas psiquica'!AH74</f>
        <v>0</v>
      </c>
      <c r="AS19" s="3075">
        <f>MAX(IF(AQ19+AR19&gt;18,MAX(18,AQ19),AQ19+AR19),Tablas!S1384)</f>
        <v>1</v>
      </c>
      <c r="AT19" s="3087" t="s">
        <v>10011</v>
      </c>
    </row>
    <row r="20" spans="1:46" ht="12" customHeight="1" thickBot="1" x14ac:dyDescent="0.25">
      <c r="A20" s="45"/>
      <c r="B20" s="2372"/>
      <c r="C20" s="3168" t="s">
        <v>10139</v>
      </c>
      <c r="D20" s="3170"/>
      <c r="E20" s="3309" t="str">
        <f>INDEX(Tabla_Regen,MATCH(Regeneración_final,INDEX(Tabla_Regen,,2),0),6)</f>
        <v/>
      </c>
      <c r="F20" s="3310"/>
      <c r="G20" s="3310"/>
      <c r="H20" s="3310"/>
      <c r="I20" s="3310"/>
      <c r="J20" s="3311"/>
      <c r="K20" s="1774"/>
      <c r="L20" s="3297" t="s">
        <v>1704</v>
      </c>
      <c r="M20" s="3298"/>
      <c r="N20" s="3298"/>
      <c r="O20" s="3298"/>
      <c r="P20" s="3298"/>
      <c r="Q20" s="3299"/>
      <c r="R20" s="1782"/>
      <c r="S20" s="2668"/>
      <c r="T20" s="2669"/>
      <c r="U20" s="2706"/>
      <c r="V20" s="3201" t="s">
        <v>1705</v>
      </c>
      <c r="W20" s="3201"/>
      <c r="X20" s="3201"/>
      <c r="Y20" s="3201"/>
      <c r="Z20" s="3201"/>
      <c r="AA20" s="3201"/>
      <c r="AB20" s="3201"/>
      <c r="AC20" s="67"/>
      <c r="AD20" s="3351"/>
      <c r="AE20" s="3352"/>
      <c r="AF20" s="3352"/>
      <c r="AG20" s="3343"/>
      <c r="AH20" s="3343"/>
      <c r="AI20" s="2627" t="str">
        <f t="shared" si="2"/>
        <v/>
      </c>
      <c r="AJ20" s="1566" t="str">
        <f t="shared" si="3"/>
        <v/>
      </c>
      <c r="AK20" s="3003" t="str">
        <f t="shared" si="4"/>
        <v/>
      </c>
      <c r="AL20" s="1800"/>
      <c r="AM20" s="2701" t="str">
        <f t="shared" si="6"/>
        <v/>
      </c>
      <c r="AO20" s="3087" t="s">
        <v>8824</v>
      </c>
      <c r="AP20" s="3075">
        <f>IF(MovimientodeVacío,MAX(POD,AT11),AT11)+L18-L16</f>
        <v>5</v>
      </c>
      <c r="AQ20" s="3075">
        <f>AP20+Tablas!$S$1339-Combate!G16</f>
        <v>5</v>
      </c>
      <c r="AR20" s="3094">
        <f>'Tablas psiquica'!AH69</f>
        <v>0</v>
      </c>
      <c r="AS20" s="3075">
        <f>IF(AQ20&lt;10,MIN(10,AR20+AQ20)+TRUNC(MAX(0,(AR20+AQ20-10)/2,0)),AQ20+TRUNC(AR20/2,0))</f>
        <v>5</v>
      </c>
      <c r="AT20" s="1872"/>
    </row>
    <row r="21" spans="1:46" ht="12" customHeight="1" thickBot="1" x14ac:dyDescent="0.25">
      <c r="A21" s="45"/>
      <c r="B21" s="2372"/>
      <c r="C21" s="3171"/>
      <c r="D21" s="3173"/>
      <c r="E21" s="3312"/>
      <c r="F21" s="3313"/>
      <c r="G21" s="3313"/>
      <c r="H21" s="3313"/>
      <c r="I21" s="3313"/>
      <c r="J21" s="3314"/>
      <c r="K21" s="1774"/>
      <c r="L21" s="2529" t="s">
        <v>1708</v>
      </c>
      <c r="M21" s="3295" t="s">
        <v>1684</v>
      </c>
      <c r="N21" s="3295"/>
      <c r="O21" s="3374" t="s">
        <v>1709</v>
      </c>
      <c r="P21" s="3374"/>
      <c r="Q21" s="1564" t="s">
        <v>1658</v>
      </c>
      <c r="R21" s="1782"/>
      <c r="S21" s="2668"/>
      <c r="T21" s="2669"/>
      <c r="U21" s="2706"/>
      <c r="V21" s="3223" t="s">
        <v>1710</v>
      </c>
      <c r="W21" s="3223"/>
      <c r="X21" s="3223"/>
      <c r="Y21" s="3375" t="s">
        <v>1711</v>
      </c>
      <c r="Z21" s="3375"/>
      <c r="AA21" s="93" t="s">
        <v>1712</v>
      </c>
      <c r="AB21" s="25" t="s">
        <v>1686</v>
      </c>
      <c r="AC21" s="67"/>
      <c r="AD21" s="3351"/>
      <c r="AE21" s="3352"/>
      <c r="AF21" s="3352"/>
      <c r="AG21" s="3343"/>
      <c r="AH21" s="3343"/>
      <c r="AI21" s="2627" t="str">
        <f t="shared" si="2"/>
        <v/>
      </c>
      <c r="AJ21" s="1566" t="str">
        <f t="shared" si="3"/>
        <v/>
      </c>
      <c r="AK21" s="3003" t="str">
        <f t="shared" si="4"/>
        <v/>
      </c>
      <c r="AL21" s="1800"/>
      <c r="AM21" s="2701" t="str">
        <f t="shared" si="6"/>
        <v/>
      </c>
      <c r="AN21" s="3075"/>
      <c r="AO21" s="2702" t="s">
        <v>2236</v>
      </c>
      <c r="AP21" s="3075">
        <f>MAX(1,E12+E14-IF(Sexo="Mujer",1,0))+HLOOKUP(AO21,Bonos_Raza_Base,2,FALSE)</f>
        <v>10</v>
      </c>
      <c r="AQ21" s="3075">
        <f>Tablas!$J$1246</f>
        <v>0</v>
      </c>
      <c r="AS21" s="3008">
        <f>AP21+AQ21</f>
        <v>10</v>
      </c>
    </row>
    <row r="22" spans="1:46" ht="12" customHeight="1" thickBot="1" x14ac:dyDescent="0.25">
      <c r="A22" s="45"/>
      <c r="B22" s="2372"/>
      <c r="E22" s="67"/>
      <c r="K22" s="1774"/>
      <c r="L22" s="3348" t="s">
        <v>1713</v>
      </c>
      <c r="M22" s="3296" t="s">
        <v>1714</v>
      </c>
      <c r="N22" s="3296"/>
      <c r="O22" s="3294">
        <f>Combate!$U$17</f>
        <v>-5</v>
      </c>
      <c r="P22" s="3294"/>
      <c r="Q22" s="1565">
        <f>IF(Acrobacias_final="-","-",Acrobacias_final+O22)</f>
        <v>-35</v>
      </c>
      <c r="R22" s="1782"/>
      <c r="S22" s="2668"/>
      <c r="T22" s="2669"/>
      <c r="U22" s="2706"/>
      <c r="V22" s="3353" t="s">
        <v>1715</v>
      </c>
      <c r="W22" s="3353"/>
      <c r="X22" s="3354"/>
      <c r="Y22" s="3361" t="str">
        <f>IF(AA22=0,"",Raza)</f>
        <v/>
      </c>
      <c r="Z22" s="3362"/>
      <c r="AA22" s="2520">
        <f>IF(Raza=0,0,VLOOKUP(Raza,Tabla_Razas,7,FALSE))</f>
        <v>0</v>
      </c>
      <c r="AB22" s="95">
        <v>0</v>
      </c>
      <c r="AC22" s="67"/>
      <c r="AD22" s="3351"/>
      <c r="AE22" s="3352"/>
      <c r="AF22" s="3352"/>
      <c r="AG22" s="3343"/>
      <c r="AH22" s="3343"/>
      <c r="AI22" s="2627" t="str">
        <f t="shared" si="2"/>
        <v/>
      </c>
      <c r="AJ22" s="1566" t="str">
        <f t="shared" si="3"/>
        <v/>
      </c>
      <c r="AK22" s="3003" t="str">
        <f t="shared" si="4"/>
        <v/>
      </c>
      <c r="AL22" s="1800"/>
      <c r="AM22" s="2701" t="str">
        <f t="shared" si="6"/>
        <v/>
      </c>
      <c r="AN22" s="2702"/>
      <c r="AO22" s="2702"/>
      <c r="AP22" s="2702"/>
    </row>
    <row r="23" spans="1:46" ht="12" customHeight="1" thickBot="1" x14ac:dyDescent="0.25">
      <c r="A23" s="45"/>
      <c r="B23" s="2372"/>
      <c r="C23" s="3201" t="s">
        <v>1702</v>
      </c>
      <c r="D23" s="3201"/>
      <c r="E23" s="67"/>
      <c r="F23" s="3297" t="s">
        <v>1703</v>
      </c>
      <c r="G23" s="3298"/>
      <c r="H23" s="3298"/>
      <c r="I23" s="3298"/>
      <c r="J23" s="3299"/>
      <c r="K23" s="1774"/>
      <c r="L23" s="3349"/>
      <c r="M23" s="3276" t="s">
        <v>1716</v>
      </c>
      <c r="N23" s="3276"/>
      <c r="O23" s="3281">
        <f>Combate!$U$17</f>
        <v>-5</v>
      </c>
      <c r="P23" s="3281"/>
      <c r="Q23" s="1566">
        <f>IF(Atletismo_final="-","-",Atletismo_final+O23)</f>
        <v>-35</v>
      </c>
      <c r="R23" s="1782"/>
      <c r="S23" s="2668"/>
      <c r="T23" s="2669"/>
      <c r="U23" s="2706"/>
      <c r="V23" s="3353" t="s">
        <v>1717</v>
      </c>
      <c r="W23" s="3353"/>
      <c r="X23" s="3354"/>
      <c r="Y23" s="3363"/>
      <c r="Z23" s="3364"/>
      <c r="AA23" s="2520">
        <v>0</v>
      </c>
      <c r="AB23" s="95">
        <f>IF(Y23="PDs",VLOOKUP(Principal!$AB$13,Tablas!W27:X37,2),0)</f>
        <v>0</v>
      </c>
      <c r="AC23" s="67"/>
      <c r="AD23" s="3344"/>
      <c r="AE23" s="3345"/>
      <c r="AF23" s="3345"/>
      <c r="AG23" s="3346"/>
      <c r="AH23" s="3346"/>
      <c r="AI23" s="2628" t="str">
        <f t="shared" si="2"/>
        <v/>
      </c>
      <c r="AJ23" s="1567" t="str">
        <f t="shared" si="3"/>
        <v/>
      </c>
      <c r="AK23" s="3003" t="str">
        <f t="shared" si="4"/>
        <v/>
      </c>
      <c r="AL23" s="1800"/>
      <c r="AM23" s="2701" t="str">
        <f t="shared" si="6"/>
        <v/>
      </c>
      <c r="AN23" s="2702"/>
      <c r="AO23" s="2702"/>
      <c r="AP23" s="2702"/>
    </row>
    <row r="24" spans="1:46" ht="12" customHeight="1" thickBot="1" x14ac:dyDescent="0.25">
      <c r="A24" s="45"/>
      <c r="B24" s="2372"/>
      <c r="C24" s="91" t="s">
        <v>1674</v>
      </c>
      <c r="D24" s="92">
        <f>IF(Raza="Criatura",VLOOKUP(Tamaño,Tabla_CreaciónSeres,3),20)+IF(Nephilim="Nephilim Turak",-10,0)</f>
        <v>20</v>
      </c>
      <c r="E24" s="67"/>
      <c r="F24" s="3288" t="s">
        <v>1706</v>
      </c>
      <c r="G24" s="3289"/>
      <c r="H24" s="3290">
        <f>MAX(HA_final,HA_SinArmas_final)</f>
        <v>0</v>
      </c>
      <c r="I24" s="3301" t="s">
        <v>1707</v>
      </c>
      <c r="J24" s="3302"/>
      <c r="K24" s="1774"/>
      <c r="L24" s="3349"/>
      <c r="M24" s="3276" t="s">
        <v>1719</v>
      </c>
      <c r="N24" s="3276"/>
      <c r="O24" s="3281"/>
      <c r="P24" s="3281"/>
      <c r="Q24" s="1566">
        <f>IF(Montar_final="-","-",Montar_final+O24)</f>
        <v>-30</v>
      </c>
      <c r="R24" s="1782"/>
      <c r="S24" s="2668"/>
      <c r="T24" s="2669"/>
      <c r="U24" s="2705"/>
      <c r="V24" s="3353" t="s">
        <v>1720</v>
      </c>
      <c r="W24" s="3353"/>
      <c r="X24" s="3354"/>
      <c r="Y24" s="3359"/>
      <c r="Z24" s="3360"/>
      <c r="AA24" s="2520">
        <f>IF(Principal!Y24="No",0,IF(SUM(Tablas!P236:P261)&gt;0,1,0))</f>
        <v>0</v>
      </c>
      <c r="AB24" s="2523">
        <f>40*Tablas!P248+80*Tablas!P249+120*Tablas!P250</f>
        <v>0</v>
      </c>
      <c r="AC24" s="96"/>
      <c r="AD24" s="3365"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66"/>
      <c r="AF24" s="3366"/>
      <c r="AG24" s="3366"/>
      <c r="AH24" s="3366"/>
      <c r="AI24" s="3366"/>
      <c r="AJ24" s="3367"/>
      <c r="AK24" s="3003"/>
      <c r="AL24" s="1800"/>
      <c r="AM24" s="3087"/>
      <c r="AN24" s="2702"/>
      <c r="AO24" s="2702"/>
      <c r="AP24" s="2702"/>
    </row>
    <row r="25" spans="1:46" ht="12" customHeight="1" x14ac:dyDescent="0.2">
      <c r="A25" s="45"/>
      <c r="B25" s="2372"/>
      <c r="C25" s="94" t="s">
        <v>1682</v>
      </c>
      <c r="D25" s="2531">
        <f>Bono_Agi</f>
        <v>0</v>
      </c>
      <c r="E25" s="67"/>
      <c r="F25" s="3288"/>
      <c r="G25" s="3289"/>
      <c r="H25" s="3290"/>
      <c r="I25" s="3305" t="str">
        <f>IF(Combate!AF15=0,"",Combate!AF15)</f>
        <v/>
      </c>
      <c r="J25" s="3306"/>
      <c r="K25" s="1774"/>
      <c r="L25" s="3349"/>
      <c r="M25" s="3276" t="s">
        <v>1723</v>
      </c>
      <c r="N25" s="3276"/>
      <c r="O25" s="3281">
        <f>Combate!$J$17+MAX(MIN(-20*IF(OR(Combate!E12=0,Combate!B12="Natural"),0,1)-20*IF(OR(Combate!E13=0,Combate!B13="Natural"),0,1)-20*IF(OR(Combate!E14=0,Combate!B14="Natural"),0,1)+20,0),-40)</f>
        <v>-5</v>
      </c>
      <c r="P25" s="3281"/>
      <c r="Q25" s="1566">
        <f>IF(Nadar_final="-","-",Nadar_final+O25)</f>
        <v>-35</v>
      </c>
      <c r="R25" s="1782"/>
      <c r="S25" s="2668"/>
      <c r="T25" s="2669"/>
      <c r="U25" s="2705"/>
      <c r="V25" s="3372" t="s">
        <v>1724</v>
      </c>
      <c r="W25" s="3372"/>
      <c r="X25" s="3373"/>
      <c r="Y25" s="3359"/>
      <c r="Z25" s="3360"/>
      <c r="AA25" s="2151">
        <f>IF(Y25="Si",1,0)</f>
        <v>0</v>
      </c>
      <c r="AB25" s="98">
        <v>0</v>
      </c>
      <c r="AC25" s="96"/>
      <c r="AD25" s="3368"/>
      <c r="AE25" s="3369"/>
      <c r="AF25" s="3369"/>
      <c r="AG25" s="3369"/>
      <c r="AH25" s="3369"/>
      <c r="AI25" s="3369"/>
      <c r="AJ25" s="3370"/>
      <c r="AK25" s="3003"/>
      <c r="AL25" s="1800"/>
      <c r="AM25" s="3087"/>
      <c r="AN25" s="2702"/>
      <c r="AO25" s="2702"/>
      <c r="AP25" s="2702"/>
    </row>
    <row r="26" spans="1:46" ht="12" customHeight="1" x14ac:dyDescent="0.2">
      <c r="A26" s="45"/>
      <c r="B26" s="2372"/>
      <c r="C26" s="94" t="s">
        <v>1687</v>
      </c>
      <c r="D26" s="2531">
        <f>Bono_Des</f>
        <v>0</v>
      </c>
      <c r="E26" s="67"/>
      <c r="F26" s="3291" t="str">
        <f>IF(HP_final&gt;HE_final,"H. Parada:","H. Esquiva:")</f>
        <v>H. Esquiva:</v>
      </c>
      <c r="G26" s="3292"/>
      <c r="H26" s="3293">
        <f>MAX(HP_final,HE_final,HD_SinArmas_final)</f>
        <v>0</v>
      </c>
      <c r="I26" s="3305"/>
      <c r="J26" s="3306"/>
      <c r="K26" s="1774"/>
      <c r="L26" s="3349"/>
      <c r="M26" s="3276" t="s">
        <v>1726</v>
      </c>
      <c r="N26" s="3276"/>
      <c r="O26" s="3281">
        <f>Combate!$U$17</f>
        <v>-5</v>
      </c>
      <c r="P26" s="3281"/>
      <c r="Q26" s="1566">
        <f>IF(Trepar_final="-","-",Trepar_final+O26)</f>
        <v>-35</v>
      </c>
      <c r="R26" s="1782"/>
      <c r="S26" s="2668"/>
      <c r="T26" s="2669"/>
      <c r="U26" s="2705"/>
      <c r="V26" s="3355" t="s">
        <v>1727</v>
      </c>
      <c r="W26" s="3355"/>
      <c r="X26" s="3356"/>
      <c r="Y26" s="3357"/>
      <c r="Z26" s="3358"/>
      <c r="AA26" s="101">
        <f>ROUNDUP((Principal!$AB$26)/100,0)</f>
        <v>0</v>
      </c>
      <c r="AB26" s="2679"/>
      <c r="AC26" s="67"/>
      <c r="AD26" s="3368"/>
      <c r="AE26" s="3369"/>
      <c r="AF26" s="3369"/>
      <c r="AG26" s="3369"/>
      <c r="AH26" s="3369"/>
      <c r="AI26" s="3369"/>
      <c r="AJ26" s="3370"/>
      <c r="AK26" s="3003"/>
      <c r="AL26" s="1800"/>
      <c r="AM26" s="3087"/>
      <c r="AN26" s="2702"/>
      <c r="AO26" s="2702"/>
      <c r="AP26" s="2702"/>
    </row>
    <row r="27" spans="1:46" ht="12" customHeight="1" thickBot="1" x14ac:dyDescent="0.25">
      <c r="A27" s="45"/>
      <c r="B27" s="2372"/>
      <c r="C27" s="94" t="s">
        <v>1718</v>
      </c>
      <c r="D27" s="2531">
        <f>HLOOKUP("Turno",Bonos_Cat_Base,2,FALSE)</f>
        <v>0</v>
      </c>
      <c r="E27" s="67"/>
      <c r="F27" s="3291"/>
      <c r="G27" s="3292"/>
      <c r="H27" s="3293"/>
      <c r="I27" s="3305"/>
      <c r="J27" s="3306"/>
      <c r="K27" s="1774"/>
      <c r="L27" s="3349"/>
      <c r="M27" s="3276" t="s">
        <v>1729</v>
      </c>
      <c r="N27" s="3276"/>
      <c r="O27" s="3281">
        <f>Combate!$U$17</f>
        <v>-5</v>
      </c>
      <c r="P27" s="3281"/>
      <c r="Q27" s="1566">
        <f>IF(Saltar_final="-","-",Saltar_final+O27)</f>
        <v>-35</v>
      </c>
      <c r="R27" s="1782"/>
      <c r="S27" s="2668"/>
      <c r="T27" s="2669"/>
      <c r="U27" s="2705"/>
      <c r="V27" s="3382" t="s">
        <v>1730</v>
      </c>
      <c r="W27" s="3382"/>
      <c r="X27" s="3382"/>
      <c r="Y27" s="3382"/>
      <c r="Z27" s="3382"/>
      <c r="AA27" s="2521">
        <f>SUM(AA22:AA26)</f>
        <v>0</v>
      </c>
      <c r="AB27" s="2519">
        <f>SUM(AB22:AB26)+50*Tablas!G345+100*Tablas!G346+150*Tablas!G347</f>
        <v>0</v>
      </c>
      <c r="AC27" s="67"/>
      <c r="AD27" s="2601"/>
      <c r="AE27" s="3386" t="s">
        <v>1731</v>
      </c>
      <c r="AF27" s="3386"/>
      <c r="AG27" s="3386"/>
      <c r="AH27" s="3386"/>
      <c r="AI27" s="3386"/>
      <c r="AJ27" s="2602">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3003"/>
      <c r="AL27" s="1800"/>
      <c r="AM27" s="3087"/>
      <c r="AN27" s="2702"/>
      <c r="AO27" s="2702"/>
      <c r="AP27" s="2702"/>
    </row>
    <row r="28" spans="1:46" ht="12" customHeight="1" thickBot="1" x14ac:dyDescent="0.25">
      <c r="A28" s="45"/>
      <c r="B28" s="2372"/>
      <c r="C28" s="94" t="s">
        <v>1721</v>
      </c>
      <c r="D28" s="2531">
        <f>Combate!U17</f>
        <v>-5</v>
      </c>
      <c r="E28" s="67"/>
      <c r="F28" s="3265" t="s">
        <v>1722</v>
      </c>
      <c r="G28" s="3266"/>
      <c r="H28" s="3267">
        <f>LlevarArmadura_final</f>
        <v>0</v>
      </c>
      <c r="I28" s="3305"/>
      <c r="J28" s="3306"/>
      <c r="K28" s="1776"/>
      <c r="L28" s="3350"/>
      <c r="M28" s="3391" t="s">
        <v>7754</v>
      </c>
      <c r="N28" s="3391"/>
      <c r="O28" s="3371"/>
      <c r="P28" s="3371"/>
      <c r="Q28" s="1567">
        <f>IF(Pilotar_final="-","-",Pilotar_final+O28)</f>
        <v>-30</v>
      </c>
      <c r="R28" s="1782"/>
      <c r="S28" s="2668"/>
      <c r="T28" s="2669"/>
      <c r="U28" s="2705"/>
      <c r="V28" s="67"/>
      <c r="W28" s="102"/>
      <c r="X28" s="102"/>
      <c r="Y28" s="102"/>
      <c r="Z28" s="102"/>
      <c r="AA28" s="102"/>
      <c r="AB28" s="102"/>
      <c r="AC28" s="102"/>
      <c r="AD28" s="102"/>
      <c r="AE28" s="102"/>
      <c r="AF28" s="67"/>
      <c r="AG28" s="67"/>
      <c r="AH28" s="67"/>
      <c r="AI28" s="67"/>
      <c r="AJ28" s="67"/>
      <c r="AK28" s="3003"/>
      <c r="AL28" s="1800"/>
      <c r="AM28" s="3087"/>
      <c r="AN28" s="2702"/>
      <c r="AO28" s="2702"/>
      <c r="AP28" s="2702"/>
    </row>
    <row r="29" spans="1:46" ht="12" customHeight="1" thickBot="1" x14ac:dyDescent="0.25">
      <c r="A29" s="45"/>
      <c r="B29" s="2372"/>
      <c r="C29" s="94" t="s">
        <v>8847</v>
      </c>
      <c r="D29" s="2531">
        <f>20+Tablas!$S$1211</f>
        <v>20</v>
      </c>
      <c r="E29" s="67"/>
      <c r="F29" s="3265"/>
      <c r="G29" s="3266"/>
      <c r="H29" s="3267"/>
      <c r="I29" s="3307"/>
      <c r="J29" s="3308"/>
      <c r="K29" s="1774"/>
      <c r="L29" s="3349" t="s">
        <v>1732</v>
      </c>
      <c r="M29" s="3276" t="s">
        <v>1733</v>
      </c>
      <c r="N29" s="3276"/>
      <c r="O29" s="3281"/>
      <c r="P29" s="3281"/>
      <c r="Q29" s="1566">
        <f>IF(Estilo_final="-","-",Estilo_final+O29)</f>
        <v>-30</v>
      </c>
      <c r="R29" s="1782"/>
      <c r="S29" s="2668"/>
      <c r="T29" s="2669"/>
      <c r="U29" s="2705"/>
      <c r="V29" s="3201" t="s">
        <v>1736</v>
      </c>
      <c r="W29" s="3201"/>
      <c r="X29" s="3201"/>
      <c r="Y29" s="3201"/>
      <c r="Z29" s="3201"/>
      <c r="AA29" s="3201"/>
      <c r="AB29" s="3201"/>
      <c r="AC29" s="3201"/>
      <c r="AD29" s="3201"/>
      <c r="AE29" s="3201"/>
      <c r="AF29" s="3347" t="s">
        <v>1737</v>
      </c>
      <c r="AG29" s="3347"/>
      <c r="AH29" s="3347"/>
      <c r="AI29" s="3347"/>
      <c r="AJ29" s="3347"/>
      <c r="AK29" s="3003"/>
      <c r="AL29" s="1800"/>
      <c r="AM29" s="3085"/>
      <c r="AO29" s="2702"/>
      <c r="AP29" s="2702"/>
    </row>
    <row r="30" spans="1:46" ht="12" customHeight="1" x14ac:dyDescent="0.2">
      <c r="A30" s="45"/>
      <c r="B30" s="2372"/>
      <c r="C30" s="99" t="s">
        <v>1728</v>
      </c>
      <c r="D30" s="100"/>
      <c r="E30" s="67"/>
      <c r="F30" s="3272" t="str">
        <f>IF(Tablas!G519&gt;0,"Arma exclusiva:","Arma desarrollada:")</f>
        <v>Arma desarrollada:</v>
      </c>
      <c r="G30" s="3273"/>
      <c r="H30" s="3273"/>
      <c r="I30" s="3274" t="str">
        <f>IF(Tablas!H1385&gt;0,"Sin Pen. por Dolor",IF(Tablas!$G$525&gt;0,IF(OR(Tablas!$G$327&gt;0,Ki!$P$57="-"),"x1/2 Pen. por Cansancio","x2 Pen. por Dolor"),IF(Tablas!$G$526&gt;0,IF(OR(Tablas!$G$327&gt;0,Ki!$P$57="-"),"x1/2 Pen. por Dolor","x2 Pen. por Cansancio"),IF(AND(Tablas!$G$327&gt;0,Ki!$P$57="-"),"x1/3 Penalizadores",IF(OR(Tablas!$G$327&gt;0,Ki!$P$57="-"),"x1/2 Penalizadores","")))))</f>
        <v/>
      </c>
      <c r="J30" s="3275"/>
      <c r="K30" s="1774"/>
      <c r="L30" s="3349"/>
      <c r="M30" s="3276" t="s">
        <v>1735</v>
      </c>
      <c r="N30" s="3276"/>
      <c r="O30" s="3281"/>
      <c r="P30" s="3281"/>
      <c r="Q30" s="1566">
        <f>IF(Intimidar_final="-","-",Intimidar_final+O30)</f>
        <v>-30</v>
      </c>
      <c r="R30" s="1782"/>
      <c r="S30" s="2668"/>
      <c r="T30" s="2669"/>
      <c r="U30" s="2705"/>
      <c r="V30" s="3505" t="str">
        <f>IF(Raza="","",VLOOKUP(Raza,Tabla_Razas,20,FALSE))</f>
        <v/>
      </c>
      <c r="W30" s="3395"/>
      <c r="X30" s="3395"/>
      <c r="Y30" s="3395"/>
      <c r="Z30" s="3395"/>
      <c r="AA30" s="3395"/>
      <c r="AB30" s="3395"/>
      <c r="AC30" s="3395"/>
      <c r="AD30" s="3395"/>
      <c r="AE30" s="3506"/>
      <c r="AF30" s="3394" t="str">
        <f>Tablas!R262</f>
        <v/>
      </c>
      <c r="AG30" s="3395"/>
      <c r="AH30" s="3395"/>
      <c r="AI30" s="3395"/>
      <c r="AJ30" s="3396"/>
      <c r="AK30" s="3004">
        <f>IF($G$48=0,0,VLOOKUP($G$48,Tabla_LegadosSangre,7,FALSE))</f>
        <v>0</v>
      </c>
      <c r="AL30" s="1800"/>
      <c r="AM30" s="3099"/>
      <c r="AO30" s="2702"/>
      <c r="AP30" s="2702"/>
    </row>
    <row r="31" spans="1:46" ht="12" customHeight="1" thickBot="1" x14ac:dyDescent="0.25">
      <c r="A31" s="45"/>
      <c r="B31" s="2372"/>
      <c r="C31" s="3387" t="s">
        <v>1658</v>
      </c>
      <c r="D31" s="3388">
        <f>SUM(D24:D30)+25*Tablas!G308+45*Tablas!G309+60*Tablas!G310-30*Tablas!G520-50*Tablas!G521+IF(Ki!P40="-",10,0)+IF(Bono_ATA&lt;0,TRUNC(Bono_ATA/2,0),0)+IF(Raza="Nephilim Turak",-10)+IF(Raza="Turak",-20)+IF('Tablas psiquica'!$AF$71&gt;0,'Tablas psiquica'!$AF$71*INDEX('Tablas psiquica'!$V$71:$AE$71,MATCH('Tablas psiquica'!$AG$71,'Tablas psiquica'!$V$6:$AE$6,0)),0)</f>
        <v>35</v>
      </c>
      <c r="F31" s="3389" t="s">
        <v>2509</v>
      </c>
      <c r="G31" s="3390"/>
      <c r="H31" s="3390"/>
      <c r="I31" s="3274"/>
      <c r="J31" s="3275"/>
      <c r="K31" s="1774"/>
      <c r="L31" s="3349"/>
      <c r="M31" s="3276" t="s">
        <v>1738</v>
      </c>
      <c r="N31" s="3276"/>
      <c r="O31" s="3281"/>
      <c r="P31" s="3281"/>
      <c r="Q31" s="1566">
        <f>IF(Liderazgo_final="-","-",Liderazgo_final+O31)</f>
        <v>-30</v>
      </c>
      <c r="R31" s="1782"/>
      <c r="S31" s="2668"/>
      <c r="T31" s="2669"/>
      <c r="U31" s="2705"/>
      <c r="V31" s="3507"/>
      <c r="W31" s="3398"/>
      <c r="X31" s="3398"/>
      <c r="Y31" s="3398"/>
      <c r="Z31" s="3398"/>
      <c r="AA31" s="3398"/>
      <c r="AB31" s="3398"/>
      <c r="AC31" s="3398"/>
      <c r="AD31" s="3398"/>
      <c r="AE31" s="3508"/>
      <c r="AF31" s="3397"/>
      <c r="AG31" s="3398"/>
      <c r="AH31" s="3398"/>
      <c r="AI31" s="3398"/>
      <c r="AJ31" s="3399"/>
      <c r="AK31" s="3004"/>
      <c r="AL31" s="1800"/>
      <c r="AM31" s="2701" t="s">
        <v>8812</v>
      </c>
      <c r="AO31" s="2702"/>
      <c r="AP31" s="2702"/>
    </row>
    <row r="32" spans="1:46" ht="12" customHeight="1" thickBot="1" x14ac:dyDescent="0.25">
      <c r="A32" s="45"/>
      <c r="B32" s="2372"/>
      <c r="C32" s="3387"/>
      <c r="D32" s="3388"/>
      <c r="F32" s="3392" t="s">
        <v>1734</v>
      </c>
      <c r="G32" s="3393"/>
      <c r="H32" s="3393"/>
      <c r="I32" s="3393"/>
      <c r="J32" s="3101">
        <f>VLOOKUP(G13+G11,Tabla_NumAcciones,2)</f>
        <v>1</v>
      </c>
      <c r="K32" s="1774"/>
      <c r="L32" s="3349"/>
      <c r="M32" s="3276" t="s">
        <v>1740</v>
      </c>
      <c r="N32" s="3276"/>
      <c r="O32" s="3281"/>
      <c r="P32" s="3281"/>
      <c r="Q32" s="1566">
        <f>IF(Persuasión_final="-","-",Persuasión_final+O32)</f>
        <v>-30</v>
      </c>
      <c r="R32" s="1782"/>
      <c r="S32" s="2668"/>
      <c r="T32" s="2669"/>
      <c r="U32" s="2705"/>
      <c r="V32" s="3507"/>
      <c r="W32" s="3398"/>
      <c r="X32" s="3398"/>
      <c r="Y32" s="3398"/>
      <c r="Z32" s="3398"/>
      <c r="AA32" s="3398"/>
      <c r="AB32" s="3398"/>
      <c r="AC32" s="3398"/>
      <c r="AD32" s="3398"/>
      <c r="AE32" s="3508"/>
      <c r="AF32" s="3397"/>
      <c r="AG32" s="3398"/>
      <c r="AH32" s="3398"/>
      <c r="AI32" s="3398"/>
      <c r="AJ32" s="3399"/>
      <c r="AK32" s="3004"/>
      <c r="AL32" s="1800"/>
      <c r="AM32" s="3087" t="s">
        <v>8070</v>
      </c>
      <c r="AN32" s="2702" t="str">
        <f>IF(AND(Raza="Criatura",AB13&lt;30),"$AO$36","Lista_VentajasComun")</f>
        <v>Lista_VentajasComun</v>
      </c>
      <c r="AO32" s="2702"/>
      <c r="AP32" s="2702"/>
    </row>
    <row r="33" spans="1:51" ht="12" customHeight="1" thickBot="1" x14ac:dyDescent="0.25">
      <c r="A33" s="45"/>
      <c r="B33" s="2372"/>
      <c r="K33" s="1774"/>
      <c r="L33" s="3349"/>
      <c r="M33" s="3276" t="s">
        <v>1085</v>
      </c>
      <c r="N33" s="3276"/>
      <c r="O33" s="3281"/>
      <c r="P33" s="3281"/>
      <c r="Q33" s="1566">
        <f>IF(Comercio_final="-","-",Comercio_final+O33)</f>
        <v>-30</v>
      </c>
      <c r="R33" s="1782"/>
      <c r="S33" s="2668"/>
      <c r="T33" s="2669"/>
      <c r="U33" s="2705"/>
      <c r="V33" s="3507"/>
      <c r="W33" s="3398"/>
      <c r="X33" s="3398"/>
      <c r="Y33" s="3398"/>
      <c r="Z33" s="3398"/>
      <c r="AA33" s="3398"/>
      <c r="AB33" s="3398"/>
      <c r="AC33" s="3398"/>
      <c r="AD33" s="3398"/>
      <c r="AE33" s="3508"/>
      <c r="AF33" s="3397"/>
      <c r="AG33" s="3398"/>
      <c r="AH33" s="3398"/>
      <c r="AI33" s="3398"/>
      <c r="AJ33" s="3399"/>
      <c r="AK33" s="3004"/>
      <c r="AL33" s="1800"/>
      <c r="AM33" s="3087" t="s">
        <v>8071</v>
      </c>
      <c r="AN33" s="2702" t="str">
        <f>IF(AND(Raza="Criatura",AB13&lt;30),"$AO$36",IF($AN$38,"Lista_VentajasDonYPsi",IF($AN$36,"Lista_VentajasDon",IF($AN$37,"Lista_VentajasPsi","$AO$37"))))</f>
        <v>$AO$37</v>
      </c>
      <c r="AP33" s="2702"/>
    </row>
    <row r="34" spans="1:51" ht="12" customHeight="1" x14ac:dyDescent="0.2">
      <c r="A34" s="45"/>
      <c r="B34" s="2372"/>
      <c r="C34" s="3383" t="s">
        <v>1739</v>
      </c>
      <c r="D34" s="3384"/>
      <c r="E34" s="3384"/>
      <c r="F34" s="3384"/>
      <c r="G34" s="3384"/>
      <c r="H34" s="3384"/>
      <c r="I34" s="3385"/>
      <c r="J34" s="1887">
        <f>IF(Raza="Criatura",0,3)+TRUNC((PDs!S5+PDs!S7+PDs!S9+PDs!S11+PDs!S13)/2,0)-Tablas!C234+IF(Y23="PDs",0,IF($AB$13=0,0,VLOOKUP($AB$13,Tabla_Gnosis,3,FALSE)))</f>
        <v>3</v>
      </c>
      <c r="K34" s="1885"/>
      <c r="L34" s="3349"/>
      <c r="M34" s="3276" t="s">
        <v>1086</v>
      </c>
      <c r="N34" s="3276"/>
      <c r="O34" s="3280"/>
      <c r="P34" s="3280"/>
      <c r="Q34" s="1566">
        <f>IF(Callejeo_final="-","-",Callejeo_final+O34)</f>
        <v>-30</v>
      </c>
      <c r="R34" s="1782"/>
      <c r="S34" s="2668"/>
      <c r="T34" s="2669"/>
      <c r="U34" s="2705"/>
      <c r="V34" s="3507"/>
      <c r="W34" s="3398"/>
      <c r="X34" s="3398"/>
      <c r="Y34" s="3398"/>
      <c r="Z34" s="3398"/>
      <c r="AA34" s="3398"/>
      <c r="AB34" s="3398"/>
      <c r="AC34" s="3398"/>
      <c r="AD34" s="3398"/>
      <c r="AE34" s="3508"/>
      <c r="AF34" s="3400"/>
      <c r="AG34" s="3401"/>
      <c r="AH34" s="3401"/>
      <c r="AI34" s="3401"/>
      <c r="AJ34" s="3402"/>
      <c r="AK34" s="3004">
        <f>IF($G$48=0,0,VLOOKUP($G$48,Tabla_LegadosSangre,10,FALSE))</f>
        <v>0</v>
      </c>
      <c r="AL34" s="1800"/>
      <c r="AM34" s="3087" t="s">
        <v>8072</v>
      </c>
      <c r="AN34" s="2308" t="str">
        <f>IF(AND(Raza="Criatura",AB13&lt;30),"$AO$36","Lista_VentajasTrasfondo")</f>
        <v>Lista_VentajasTrasfondo</v>
      </c>
      <c r="AO34" s="2702"/>
      <c r="AP34" s="2702"/>
    </row>
    <row r="35" spans="1:51" ht="12" customHeight="1" thickBot="1" x14ac:dyDescent="0.25">
      <c r="A35" s="45"/>
      <c r="B35" s="2372"/>
      <c r="C35" s="3277"/>
      <c r="D35" s="3278"/>
      <c r="E35" s="3278"/>
      <c r="F35" s="3279"/>
      <c r="G35" s="3403"/>
      <c r="H35" s="3404"/>
      <c r="I35" s="3405"/>
      <c r="J35" s="3406"/>
      <c r="K35" s="1885"/>
      <c r="L35" s="3349"/>
      <c r="M35" s="3276" t="s">
        <v>1087</v>
      </c>
      <c r="N35" s="3276"/>
      <c r="O35" s="3280"/>
      <c r="P35" s="3280"/>
      <c r="Q35" s="1566">
        <f>IF(Etiqueta_final="-","-",Etiqueta_final+O35)</f>
        <v>-30</v>
      </c>
      <c r="R35" s="1782"/>
      <c r="S35" s="2668"/>
      <c r="T35" s="2669"/>
      <c r="U35" s="2705"/>
      <c r="V35" s="3509"/>
      <c r="W35" s="3510"/>
      <c r="X35" s="3510"/>
      <c r="Y35" s="3510"/>
      <c r="Z35" s="3510"/>
      <c r="AA35" s="3510"/>
      <c r="AB35" s="3510"/>
      <c r="AC35" s="3510"/>
      <c r="AD35" s="3510"/>
      <c r="AE35" s="3511"/>
      <c r="AF35" s="3407" t="str">
        <f>IF(ISNUMBER(SEARCH("Afinidad Elemental",AF30)),"+10 Daño base ataques elemento afín","")</f>
        <v/>
      </c>
      <c r="AG35" s="3407"/>
      <c r="AH35" s="3407"/>
      <c r="AI35" s="3407"/>
      <c r="AJ35" s="3407"/>
      <c r="AK35" s="3004">
        <f>IF($G$48=0,0,VLOOKUP($G$48,Tabla_LegadosSangre,13,FALSE))</f>
        <v>0</v>
      </c>
      <c r="AL35" s="1800"/>
      <c r="AM35" s="3087" t="s">
        <v>8073</v>
      </c>
      <c r="AN35" s="2702" t="str">
        <f>IF(AND(Raza="Criatura",AB13&lt;30),"$AO$36","Lista_LegadosSangre")</f>
        <v>Lista_LegadosSangre</v>
      </c>
      <c r="AO35" s="2702"/>
      <c r="AP35" s="2702"/>
    </row>
    <row r="36" spans="1:51" ht="12" customHeight="1" x14ac:dyDescent="0.2">
      <c r="A36" s="45"/>
      <c r="B36" s="2372"/>
      <c r="C36" s="3277"/>
      <c r="D36" s="3278"/>
      <c r="E36" s="3278"/>
      <c r="F36" s="3279"/>
      <c r="G36" s="3282"/>
      <c r="H36" s="3283"/>
      <c r="I36" s="3284"/>
      <c r="J36" s="3285"/>
      <c r="K36" s="1885"/>
      <c r="L36" s="3348" t="s">
        <v>1741</v>
      </c>
      <c r="M36" s="3296" t="s">
        <v>1742</v>
      </c>
      <c r="N36" s="3296"/>
      <c r="O36" s="3294">
        <f>IF(Combate!E15=0,0,VLOOKUP(Combate!E15,Tablas!$D$613:$Q$620,3))</f>
        <v>0</v>
      </c>
      <c r="P36" s="3294"/>
      <c r="Q36" s="1565">
        <f>IF(Advertir_final="-","-",Advertir_final+O36)</f>
        <v>-30</v>
      </c>
      <c r="R36" s="1782"/>
      <c r="S36" s="2668"/>
      <c r="T36" s="2669"/>
      <c r="U36" s="2705"/>
      <c r="V36" s="3168" t="s">
        <v>8671</v>
      </c>
      <c r="W36" s="3169"/>
      <c r="X36" s="3169"/>
      <c r="Y36" s="3169"/>
      <c r="Z36" s="3169"/>
      <c r="AA36" s="3169"/>
      <c r="AB36" s="3169"/>
      <c r="AC36" s="3169"/>
      <c r="AD36" s="3169"/>
      <c r="AE36" s="3169"/>
      <c r="AF36" s="3169"/>
      <c r="AG36" s="3169"/>
      <c r="AH36" s="3169"/>
      <c r="AI36" s="3169"/>
      <c r="AJ36" s="3170"/>
      <c r="AK36" s="3004">
        <f>IF($G$44=0,0,VLOOKUP($G$44,Tabla_LegadosSangre,7,FALSE))</f>
        <v>0</v>
      </c>
      <c r="AL36" s="1800"/>
      <c r="AM36" s="3087" t="s">
        <v>8074</v>
      </c>
      <c r="AN36" s="2702" t="b">
        <f>OR(ISNUMBER(SEARCH("Don",$C35&amp;$C36&amp;$C37&amp;$C38&amp;$C39&amp;$C40&amp;$C41&amp;$C42)),Tablas!H1194&gt;0)</f>
        <v>0</v>
      </c>
      <c r="AO36" s="2702" t="s">
        <v>10017</v>
      </c>
      <c r="AP36" s="2702"/>
    </row>
    <row r="37" spans="1:51" ht="12" customHeight="1" x14ac:dyDescent="0.2">
      <c r="A37" s="45"/>
      <c r="B37" s="2372"/>
      <c r="C37" s="3277"/>
      <c r="D37" s="3278"/>
      <c r="E37" s="3278"/>
      <c r="F37" s="3279"/>
      <c r="G37" s="3282"/>
      <c r="H37" s="3283"/>
      <c r="I37" s="3284"/>
      <c r="J37" s="3285"/>
      <c r="K37" s="1885"/>
      <c r="L37" s="3349"/>
      <c r="M37" s="3276" t="s">
        <v>1743</v>
      </c>
      <c r="N37" s="3276"/>
      <c r="O37" s="3281">
        <f>IF(Combate!E15=0,0,VLOOKUP(Combate!E15,Tablas!$D$613:$Q$620,3))</f>
        <v>0</v>
      </c>
      <c r="P37" s="3281"/>
      <c r="Q37" s="1566">
        <f>IF(Buscar_final="-","-",Buscar_final+O37)</f>
        <v>-30</v>
      </c>
      <c r="R37" s="1782"/>
      <c r="S37" s="2668"/>
      <c r="T37" s="2669"/>
      <c r="U37" s="2705"/>
      <c r="V37" s="3499" t="str">
        <f>IF(Nephilim="","",VLOOKUP(Nephilim,Tabla_Razas,20,FALSE))</f>
        <v/>
      </c>
      <c r="W37" s="3500"/>
      <c r="X37" s="3500"/>
      <c r="Y37" s="3500"/>
      <c r="Z37" s="3500"/>
      <c r="AA37" s="3500"/>
      <c r="AB37" s="3500"/>
      <c r="AC37" s="3500"/>
      <c r="AD37" s="3500"/>
      <c r="AE37" s="3500"/>
      <c r="AF37" s="3500"/>
      <c r="AG37" s="3500"/>
      <c r="AH37" s="3500"/>
      <c r="AI37" s="3500"/>
      <c r="AJ37" s="3501"/>
      <c r="AK37" s="3004">
        <f>IF($G$44=0,0,VLOOKUP($G$44,Tabla_LegadosSangre,10,FALSE))</f>
        <v>0</v>
      </c>
      <c r="AL37" s="1800"/>
      <c r="AM37" s="3087" t="s">
        <v>8075</v>
      </c>
      <c r="AN37" s="2702" t="b">
        <f>OR(ISNUMBER(SEARCH("psiquica",$C35&amp;$C36&amp;$C37&amp;$C38&amp;$C39&amp;$C40&amp;$C41&amp;$C42)),Tablas!H1195&gt;0,Tablas!H1196&gt;0)</f>
        <v>0</v>
      </c>
      <c r="AO37" s="2702" t="s">
        <v>8811</v>
      </c>
      <c r="AP37" s="2702"/>
    </row>
    <row r="38" spans="1:51" ht="12" customHeight="1" thickBot="1" x14ac:dyDescent="0.25">
      <c r="A38" s="45"/>
      <c r="B38" s="1486"/>
      <c r="C38" s="3277"/>
      <c r="D38" s="3278"/>
      <c r="E38" s="3278"/>
      <c r="F38" s="3279"/>
      <c r="G38" s="3282"/>
      <c r="H38" s="3283"/>
      <c r="I38" s="3284"/>
      <c r="J38" s="3285"/>
      <c r="K38" s="1885"/>
      <c r="L38" s="3350"/>
      <c r="M38" s="3391" t="s">
        <v>1744</v>
      </c>
      <c r="N38" s="3391"/>
      <c r="O38" s="3371"/>
      <c r="P38" s="3371"/>
      <c r="Q38" s="1567">
        <f>IF(Rastrear_final="-","-",Rastrear_final+O38)</f>
        <v>-30</v>
      </c>
      <c r="R38" s="1782"/>
      <c r="S38" s="2668"/>
      <c r="T38" s="2669"/>
      <c r="U38" s="2705"/>
      <c r="V38" s="3502"/>
      <c r="W38" s="3503"/>
      <c r="X38" s="3503"/>
      <c r="Y38" s="3503"/>
      <c r="Z38" s="3503"/>
      <c r="AA38" s="3503"/>
      <c r="AB38" s="3503"/>
      <c r="AC38" s="3503"/>
      <c r="AD38" s="3503"/>
      <c r="AE38" s="3503"/>
      <c r="AF38" s="3503"/>
      <c r="AG38" s="3503"/>
      <c r="AH38" s="3503"/>
      <c r="AI38" s="3503"/>
      <c r="AJ38" s="3504"/>
      <c r="AK38" s="1992"/>
      <c r="AL38" s="1800"/>
      <c r="AM38" s="3087" t="s">
        <v>8076</v>
      </c>
      <c r="AN38" s="2702" t="b">
        <f>AND($AN$37,$AN$36)</f>
        <v>0</v>
      </c>
      <c r="AO38" s="2702"/>
      <c r="AP38" s="2702"/>
    </row>
    <row r="39" spans="1:51" ht="12" customHeight="1" x14ac:dyDescent="0.2">
      <c r="A39" s="45"/>
      <c r="B39" s="1486"/>
      <c r="C39" s="3277"/>
      <c r="D39" s="3278"/>
      <c r="E39" s="3278"/>
      <c r="F39" s="3279"/>
      <c r="G39" s="3282"/>
      <c r="H39" s="3283"/>
      <c r="I39" s="3284"/>
      <c r="J39" s="3285"/>
      <c r="K39" s="1885"/>
      <c r="L39" s="3349" t="s">
        <v>1745</v>
      </c>
      <c r="M39" s="3276" t="s">
        <v>1746</v>
      </c>
      <c r="N39" s="3276"/>
      <c r="O39" s="3281"/>
      <c r="P39" s="3281"/>
      <c r="Q39" s="1566">
        <f>IF(Animales_final="-","-",Animales_final+O39)</f>
        <v>-30</v>
      </c>
      <c r="R39" s="1782"/>
      <c r="S39" s="2668"/>
      <c r="T39" s="2669"/>
      <c r="U39" s="2705"/>
      <c r="V39" s="105">
        <f>IF(Raza=0,0,VLOOKUP(Raza,Tabla_Razas,22,FALSE))</f>
        <v>0</v>
      </c>
      <c r="W39" s="105">
        <f>IF(Raza=0,0,VLOOKUP(Raza,Tabla_Razas,25,FALSE))</f>
        <v>0</v>
      </c>
      <c r="X39" s="2040">
        <f>IF(Raza=0,0,VLOOKUP(Raza,Tabla_Razas,28,FALSE))</f>
        <v>0</v>
      </c>
      <c r="Y39" s="2040">
        <f>IF(Raza=0,0,VLOOKUP(Raza,Tabla_Razas,31,FALSE))</f>
        <v>0</v>
      </c>
      <c r="Z39" s="2040">
        <f>IF(Raza=0,0,VLOOKUP(Raza,Tabla_Razas,34,FALSE))</f>
        <v>0</v>
      </c>
      <c r="AA39" s="2040">
        <f>IF(Raza=0,0,VLOOKUP(Raza,Tabla_Razas,37,FALSE))</f>
        <v>0</v>
      </c>
      <c r="AB39" s="2040">
        <f>IF(Raza=0,0,VLOOKUP(Raza,Tabla_Razas,40,FALSE))</f>
        <v>0</v>
      </c>
      <c r="AC39" s="2040">
        <f>IF(Raza=0,0,VLOOKUP(Raza,Tabla_Razas,43,FALSE))</f>
        <v>0</v>
      </c>
      <c r="AD39" s="2040">
        <f>IF(Raza=0,0,VLOOKUP(Raza,Tabla_Razas,46,FALSE))</f>
        <v>0</v>
      </c>
      <c r="AE39" s="2040">
        <f>IF(Raza=0,0,VLOOKUP(Raza,Tabla_Razas,49,FALSE))</f>
        <v>0</v>
      </c>
      <c r="AF39" s="2040">
        <f>IF(Raza=0,0,VLOOKUP(Raza,Tabla_Razas,52,FALSE))</f>
        <v>0</v>
      </c>
      <c r="AG39" s="2040">
        <f>IF(Raza=0,0,VLOOKUP(Raza,Tabla_Razas,55,FALSE))</f>
        <v>0</v>
      </c>
      <c r="AH39" s="1775"/>
      <c r="AI39" s="1775"/>
      <c r="AJ39" s="2039"/>
      <c r="AK39" s="1992"/>
      <c r="AL39" s="1800"/>
      <c r="AM39" s="3087"/>
      <c r="AN39" s="2702"/>
      <c r="AO39" s="2702"/>
      <c r="AP39" s="2702"/>
    </row>
    <row r="40" spans="1:51" ht="12" customHeight="1" x14ac:dyDescent="0.2">
      <c r="A40" s="45"/>
      <c r="B40" s="1486"/>
      <c r="C40" s="3277"/>
      <c r="D40" s="3278"/>
      <c r="E40" s="3278"/>
      <c r="F40" s="3279"/>
      <c r="G40" s="3282"/>
      <c r="H40" s="3283"/>
      <c r="I40" s="3284"/>
      <c r="J40" s="3285"/>
      <c r="K40" s="1885"/>
      <c r="L40" s="3349"/>
      <c r="M40" s="3276" t="s">
        <v>1747</v>
      </c>
      <c r="N40" s="3276"/>
      <c r="O40" s="3281"/>
      <c r="P40" s="3281"/>
      <c r="Q40" s="1566" t="str">
        <f>IF(Ciencia_final="-","-",Ciencia_final+O40)</f>
        <v>-</v>
      </c>
      <c r="R40" s="1782"/>
      <c r="S40" s="2668"/>
      <c r="T40" s="2669"/>
      <c r="U40" s="2705"/>
      <c r="V40" s="3517" t="s">
        <v>1749</v>
      </c>
      <c r="W40" s="3518"/>
      <c r="X40" s="3518"/>
      <c r="Y40" s="3518"/>
      <c r="Z40" s="3518"/>
      <c r="AA40" s="3518"/>
      <c r="AB40" s="3518"/>
      <c r="AC40" s="3518"/>
      <c r="AD40" s="3518"/>
      <c r="AE40" s="3518"/>
      <c r="AF40" s="3518"/>
      <c r="AG40" s="3519"/>
      <c r="AH40" s="3520" t="s">
        <v>1681</v>
      </c>
      <c r="AI40" s="3521"/>
      <c r="AJ40" s="2646">
        <f>IF(ISNUMBER(SUM(AJ42:AJ69)+AJ70),SUM(AJ42:AJ69)+AJ70,0)</f>
        <v>0</v>
      </c>
      <c r="AK40" s="3003"/>
      <c r="AL40" s="1800"/>
      <c r="AM40" s="3087"/>
      <c r="AN40" s="2702"/>
      <c r="AO40" s="2702"/>
      <c r="AP40" s="3100"/>
    </row>
    <row r="41" spans="1:51" ht="12" customHeight="1" x14ac:dyDescent="0.2">
      <c r="A41" s="45"/>
      <c r="B41" s="1486"/>
      <c r="C41" s="3277"/>
      <c r="D41" s="3278"/>
      <c r="E41" s="3278"/>
      <c r="F41" s="3279"/>
      <c r="G41" s="3282"/>
      <c r="H41" s="3283"/>
      <c r="I41" s="3284"/>
      <c r="J41" s="3285"/>
      <c r="K41" s="1885"/>
      <c r="L41" s="3349"/>
      <c r="M41" s="3276" t="s">
        <v>2993</v>
      </c>
      <c r="N41" s="3276"/>
      <c r="O41" s="3281"/>
      <c r="P41" s="3281"/>
      <c r="Q41" s="1566">
        <f>IF(Ley_final="-","-",Ley_final+O41)</f>
        <v>-30</v>
      </c>
      <c r="R41" s="1782"/>
      <c r="S41" s="2670"/>
      <c r="T41" s="2669"/>
      <c r="U41" s="2705"/>
      <c r="V41" s="3273" t="s">
        <v>10009</v>
      </c>
      <c r="W41" s="3273"/>
      <c r="X41" s="3273"/>
      <c r="Y41" s="3273"/>
      <c r="Z41" s="3273"/>
      <c r="AA41" s="3493"/>
      <c r="AB41" s="3513" t="s">
        <v>1752</v>
      </c>
      <c r="AC41" s="3514"/>
      <c r="AD41" s="3514"/>
      <c r="AE41" s="3515"/>
      <c r="AF41" s="3514" t="s">
        <v>8957</v>
      </c>
      <c r="AG41" s="3514"/>
      <c r="AH41" s="3516"/>
      <c r="AI41" s="2645" t="s">
        <v>1685</v>
      </c>
      <c r="AJ41" s="2505" t="s">
        <v>1686</v>
      </c>
      <c r="AK41" s="3003"/>
      <c r="AL41" s="1800"/>
      <c r="AM41" s="3087" t="s">
        <v>10007</v>
      </c>
      <c r="AN41" s="2702"/>
      <c r="AO41" s="2702" t="s">
        <v>10008</v>
      </c>
      <c r="AP41" s="3093"/>
    </row>
    <row r="42" spans="1:51" ht="12" customHeight="1" x14ac:dyDescent="0.2">
      <c r="A42" s="45"/>
      <c r="B42" s="1486"/>
      <c r="C42" s="3277"/>
      <c r="D42" s="3278"/>
      <c r="E42" s="3278"/>
      <c r="F42" s="3279"/>
      <c r="G42" s="3282"/>
      <c r="H42" s="3283"/>
      <c r="I42" s="3284"/>
      <c r="J42" s="3285"/>
      <c r="K42" s="1885"/>
      <c r="L42" s="3349"/>
      <c r="M42" s="3276" t="s">
        <v>1748</v>
      </c>
      <c r="N42" s="3276"/>
      <c r="O42" s="3281"/>
      <c r="P42" s="3281"/>
      <c r="Q42" s="1566">
        <f>IF(Herbolaria_final="-","-",Herbolaria_final+O42)</f>
        <v>-30</v>
      </c>
      <c r="R42" s="1782"/>
      <c r="S42" s="2670">
        <f>IF(V42="",MAX($S$41:S41)+1,0)</f>
        <v>1</v>
      </c>
      <c r="T42" s="2669">
        <f>IF(V42="",0,MAX($T$41:T41)+1)</f>
        <v>0</v>
      </c>
      <c r="U42" s="2706">
        <f>IF(V42="",Tablas!A1,V42&amp;1)</f>
        <v>1</v>
      </c>
      <c r="V42" s="3522"/>
      <c r="W42" s="3523"/>
      <c r="X42" s="3523"/>
      <c r="Y42" s="3523"/>
      <c r="Z42" s="3523"/>
      <c r="AA42" s="3523"/>
      <c r="AB42" s="3512"/>
      <c r="AC42" s="3496"/>
      <c r="AD42" s="3496"/>
      <c r="AE42" s="3496"/>
      <c r="AF42" s="3411"/>
      <c r="AG42" s="3411"/>
      <c r="AH42" s="3412"/>
      <c r="AI42" s="2482" t="str">
        <f>IF(AB42="","",VLOOKUP(AB42&amp;IF(AF42="",""," "&amp;AF42),Tabla_PodCriatura,2,FALSE))</f>
        <v/>
      </c>
      <c r="AJ42" s="2523"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3003" t="str">
        <f>SUBSTITUTE(IF(AB42="","",VLOOKUP(AB42,Tabla_Listas_PodHabMonstruo,3,FALSE)),".","")</f>
        <v/>
      </c>
      <c r="AL42" s="1800"/>
      <c r="AM42" s="3087" t="str">
        <f>AB42&amp;IF(AF42="",""," "&amp;AF42)</f>
        <v/>
      </c>
      <c r="AN42" s="2702"/>
      <c r="AO42" s="1695">
        <f>COUNTIF($AB$41:AB41,AB42&amp;"*")</f>
        <v>1</v>
      </c>
      <c r="AP42" s="3093"/>
      <c r="AQ42" s="3087" t="s">
        <v>8069</v>
      </c>
      <c r="AS42" s="3087" t="s">
        <v>8069</v>
      </c>
    </row>
    <row r="43" spans="1:51" ht="12" customHeight="1" x14ac:dyDescent="0.2">
      <c r="A43" s="45"/>
      <c r="B43" s="1486"/>
      <c r="C43" s="3410"/>
      <c r="D43" s="3411"/>
      <c r="E43" s="3411"/>
      <c r="F43" s="3412"/>
      <c r="G43" s="3420"/>
      <c r="H43" s="3421"/>
      <c r="I43" s="3421"/>
      <c r="J43" s="3422"/>
      <c r="K43" s="1885"/>
      <c r="L43" s="3349"/>
      <c r="M43" s="3276" t="s">
        <v>1750</v>
      </c>
      <c r="N43" s="3276"/>
      <c r="O43" s="3281"/>
      <c r="P43" s="3281"/>
      <c r="Q43" s="1566" t="str">
        <f>IF(Historia_final="-","-",Historia_final+O43)</f>
        <v>-</v>
      </c>
      <c r="R43" s="1782"/>
      <c r="S43" s="2670">
        <f>IF(V43="",MAX($S$41:S42)+1,0)</f>
        <v>2</v>
      </c>
      <c r="T43" s="2669">
        <f>IF(V43="",0,MAX($T$41:T42)+1)</f>
        <v>0</v>
      </c>
      <c r="U43" s="2706">
        <f>IF(V43="",Tablas!A2,IF(COUNTIF(V$42:V42,V43)&gt;0,V43&amp;COUNTIF(V$42:V42,V43)+1,V43&amp;1))</f>
        <v>2</v>
      </c>
      <c r="V43" s="3441"/>
      <c r="W43" s="3442"/>
      <c r="X43" s="3442"/>
      <c r="Y43" s="3442"/>
      <c r="Z43" s="3442"/>
      <c r="AA43" s="3442"/>
      <c r="AB43" s="3463"/>
      <c r="AC43" s="3464"/>
      <c r="AD43" s="3464"/>
      <c r="AE43" s="3464"/>
      <c r="AF43" s="3459"/>
      <c r="AG43" s="3459"/>
      <c r="AH43" s="3460"/>
      <c r="AI43" s="2483" t="str">
        <f t="shared" ref="AI43:AI69" si="7">IF(AB43="","",VLOOKUP(AB43&amp;IF(AF43="",""," "&amp;AF43),Tabla_PodCriatura,2,FALSE))</f>
        <v/>
      </c>
      <c r="AJ43" s="2523"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3003" t="str">
        <f>SUBSTITUTE(IF(AB43="","",VLOOKUP(AB43,Tabla_Listas_PodHabMonstruo,3,FALSE)),".","")</f>
        <v/>
      </c>
      <c r="AL43" s="1800"/>
      <c r="AM43" s="3087" t="str">
        <f t="shared" ref="AM43:AM69" si="8">AB43&amp;IF(AF43="",""," "&amp;AF43)</f>
        <v/>
      </c>
      <c r="AN43" s="2702"/>
      <c r="AO43" s="1695">
        <f>COUNTIF($AB$41:AB42,AB43&amp;"*")</f>
        <v>1</v>
      </c>
      <c r="AP43" s="3093"/>
      <c r="AQ43" s="3085" t="str">
        <f>IF(A48="","",VLOOKUP(A48,Tablas!$E$491:$J$557,6,FALSE))</f>
        <v/>
      </c>
      <c r="AS43" s="3085" t="str">
        <f>IF(C51="","",VLOOKUP(C51,Tablas!$E$491:$J$557,6,FALSE))</f>
        <v/>
      </c>
    </row>
    <row r="44" spans="1:51" ht="12" customHeight="1" x14ac:dyDescent="0.2">
      <c r="A44" s="45"/>
      <c r="B44" s="1486"/>
      <c r="C44" s="3277"/>
      <c r="D44" s="3278"/>
      <c r="E44" s="3278"/>
      <c r="F44" s="3278"/>
      <c r="G44" s="3490"/>
      <c r="H44" s="3491"/>
      <c r="I44" s="3491"/>
      <c r="J44" s="3492"/>
      <c r="K44" s="1777"/>
      <c r="L44" s="3349"/>
      <c r="M44" s="3276" t="s">
        <v>1088</v>
      </c>
      <c r="N44" s="3276"/>
      <c r="O44" s="3281"/>
      <c r="P44" s="3281"/>
      <c r="Q44" s="1566">
        <f>IF(Tactica_final="-","-",Tactica_final+O44)</f>
        <v>-30</v>
      </c>
      <c r="R44" s="1782"/>
      <c r="S44" s="2670">
        <f>IF(V44="",MAX($S$41:S43)+1,0)</f>
        <v>3</v>
      </c>
      <c r="T44" s="2669">
        <f>IF(V44="",0,MAX($T$41:T43)+1)</f>
        <v>0</v>
      </c>
      <c r="U44" s="2706">
        <f>IF(V44="",Tablas!A3,IF(COUNTIF(V$42:V43,V44)&gt;0,V44&amp;COUNTIF(V$42:V43,V44)+1,V44&amp;1))</f>
        <v>3</v>
      </c>
      <c r="V44" s="3441"/>
      <c r="W44" s="3442"/>
      <c r="X44" s="3442"/>
      <c r="Y44" s="3442"/>
      <c r="Z44" s="3442"/>
      <c r="AA44" s="3442"/>
      <c r="AB44" s="3463"/>
      <c r="AC44" s="3464"/>
      <c r="AD44" s="3464"/>
      <c r="AE44" s="3464"/>
      <c r="AF44" s="3278"/>
      <c r="AG44" s="3278"/>
      <c r="AH44" s="3279"/>
      <c r="AI44" s="2483" t="str">
        <f t="shared" si="7"/>
        <v/>
      </c>
      <c r="AJ44" s="2523"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3003" t="str">
        <f>SUBSTITUTE(IF(AB44="","",VLOOKUP(AB44,Tabla_Listas_PodHabMonstruo,3,FALSE)),".","")</f>
        <v/>
      </c>
      <c r="AL44" s="1800"/>
      <c r="AM44" s="3087" t="str">
        <f t="shared" si="8"/>
        <v/>
      </c>
      <c r="AN44" s="2702"/>
      <c r="AO44" s="1695">
        <f>COUNTIF($AB$41:AB43,AB44&amp;"*")</f>
        <v>1</v>
      </c>
      <c r="AP44" s="2702"/>
      <c r="AQ44" s="3085" t="str">
        <f>IF(A49="","",VLOOKUP(A49,Tablas!$E$491:$J$557,6,FALSE))</f>
        <v/>
      </c>
      <c r="AS44" s="3085" t="str">
        <f>IF(C52="","",VLOOKUP(C52,Tablas!$E$491:$J$557,6,FALSE))</f>
        <v/>
      </c>
      <c r="AY44" s="1872"/>
    </row>
    <row r="45" spans="1:51" ht="12" customHeight="1" x14ac:dyDescent="0.2">
      <c r="A45" s="45"/>
      <c r="B45" s="2372"/>
      <c r="C45" s="3277"/>
      <c r="D45" s="3278"/>
      <c r="E45" s="3278"/>
      <c r="F45" s="3278"/>
      <c r="G45" s="3490"/>
      <c r="H45" s="3491"/>
      <c r="I45" s="3491"/>
      <c r="J45" s="3492"/>
      <c r="K45" s="1777"/>
      <c r="L45" s="3349"/>
      <c r="M45" s="3276" t="s">
        <v>1753</v>
      </c>
      <c r="N45" s="3276"/>
      <c r="O45" s="3281"/>
      <c r="P45" s="3281"/>
      <c r="Q45" s="1566" t="str">
        <f>IF(Medicina_final="-","-",Medicina_final+O45)</f>
        <v>-</v>
      </c>
      <c r="R45" s="1782"/>
      <c r="S45" s="2670">
        <f>IF(V45="",MAX($S$41:S44)+1,0)</f>
        <v>4</v>
      </c>
      <c r="T45" s="2669">
        <f>IF(V45="",0,MAX($T$41:T44)+1)</f>
        <v>0</v>
      </c>
      <c r="U45" s="2706">
        <f>IF(V45="",Tablas!A4,IF(COUNTIF(V$42:V44,V45)&gt;0,V45&amp;COUNTIF(V$42:V44,V45)+1,V45&amp;1))</f>
        <v>4</v>
      </c>
      <c r="V45" s="3441"/>
      <c r="W45" s="3442"/>
      <c r="X45" s="3442"/>
      <c r="Y45" s="3442"/>
      <c r="Z45" s="3442"/>
      <c r="AA45" s="3442"/>
      <c r="AB45" s="3463"/>
      <c r="AC45" s="3464"/>
      <c r="AD45" s="3464"/>
      <c r="AE45" s="3464"/>
      <c r="AF45" s="3459"/>
      <c r="AG45" s="3459"/>
      <c r="AH45" s="3460"/>
      <c r="AI45" s="2483" t="str">
        <f t="shared" si="7"/>
        <v/>
      </c>
      <c r="AJ45" s="2523"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3003" t="str">
        <f t="shared" ref="AK45:AK69" si="9">IF(AB45="","",VLOOKUP(AB45,Tabla_Listas_PodHabMonstruo,3,FALSE))</f>
        <v/>
      </c>
      <c r="AL45" s="1800"/>
      <c r="AM45" s="3087" t="str">
        <f t="shared" si="8"/>
        <v/>
      </c>
      <c r="AN45" s="2702"/>
      <c r="AO45" s="1695">
        <f>COUNTIF($AB$41:AB44,AB45&amp;"*")</f>
        <v>1</v>
      </c>
      <c r="AP45" s="2702"/>
      <c r="AS45" s="3085" t="str">
        <f>IF(C53="","",VLOOKUP(C53,Tablas!$E$491:$J$557,6,FALSE))</f>
        <v/>
      </c>
      <c r="AY45" s="1872"/>
    </row>
    <row r="46" spans="1:51" ht="12" customHeight="1" x14ac:dyDescent="0.2">
      <c r="A46" s="45"/>
      <c r="B46" s="2372"/>
      <c r="C46" s="3277"/>
      <c r="D46" s="3278"/>
      <c r="E46" s="3278"/>
      <c r="F46" s="3278"/>
      <c r="G46" s="3487"/>
      <c r="H46" s="3488"/>
      <c r="I46" s="3488"/>
      <c r="J46" s="3489"/>
      <c r="K46" s="1777"/>
      <c r="L46" s="3349"/>
      <c r="M46" s="3276" t="s">
        <v>1754</v>
      </c>
      <c r="N46" s="3276"/>
      <c r="O46" s="3281"/>
      <c r="P46" s="3281"/>
      <c r="Q46" s="1566">
        <f>IF(Memorizar_final="-","-",Memorizar_final+O46)</f>
        <v>-30</v>
      </c>
      <c r="R46" s="1782"/>
      <c r="S46" s="2670">
        <f>IF(V46="",MAX($S$41:S45)+1,0)</f>
        <v>5</v>
      </c>
      <c r="T46" s="2669">
        <f>IF(V46="",0,MAX($T$41:T45)+1)</f>
        <v>0</v>
      </c>
      <c r="U46" s="2706">
        <f>IF(V46="",Tablas!A5,IF(COUNTIF(V$42:V45,V46)&gt;0,V46&amp;COUNTIF(V$42:V45,V46)+1,V46&amp;1))</f>
        <v>5</v>
      </c>
      <c r="V46" s="3441"/>
      <c r="W46" s="3442"/>
      <c r="X46" s="3442"/>
      <c r="Y46" s="3442"/>
      <c r="Z46" s="3442"/>
      <c r="AA46" s="3442"/>
      <c r="AB46" s="3463"/>
      <c r="AC46" s="3464"/>
      <c r="AD46" s="3464"/>
      <c r="AE46" s="3464"/>
      <c r="AF46" s="3459"/>
      <c r="AG46" s="3459"/>
      <c r="AH46" s="3460"/>
      <c r="AI46" s="2483" t="str">
        <f t="shared" si="7"/>
        <v/>
      </c>
      <c r="AJ46" s="2523"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3003" t="str">
        <f t="shared" si="9"/>
        <v/>
      </c>
      <c r="AL46" s="1800"/>
      <c r="AM46" s="3087" t="str">
        <f t="shared" si="8"/>
        <v/>
      </c>
      <c r="AN46" s="2702"/>
      <c r="AO46" s="2702"/>
      <c r="AP46" s="2702"/>
    </row>
    <row r="47" spans="1:51" ht="12" customHeight="1" x14ac:dyDescent="0.2">
      <c r="A47" s="45"/>
      <c r="B47" s="2372"/>
      <c r="C47" s="3277"/>
      <c r="D47" s="3278"/>
      <c r="E47" s="3278"/>
      <c r="F47" s="3278"/>
      <c r="G47" s="3420"/>
      <c r="H47" s="3421"/>
      <c r="I47" s="3421"/>
      <c r="J47" s="3422"/>
      <c r="K47" s="1775"/>
      <c r="L47" s="3349"/>
      <c r="M47" s="3276" t="s">
        <v>1755</v>
      </c>
      <c r="N47" s="3276"/>
      <c r="O47" s="3281"/>
      <c r="P47" s="3281"/>
      <c r="Q47" s="1566">
        <f>IF(Navegación_final="-","-",Navegación_final+O47)</f>
        <v>-30</v>
      </c>
      <c r="R47" s="1782"/>
      <c r="S47" s="2670">
        <f>IF(V47="",MAX($S$41:S46)+1,0)</f>
        <v>6</v>
      </c>
      <c r="T47" s="2669">
        <f>IF(V47="",0,MAX($T$41:T46)+1)</f>
        <v>0</v>
      </c>
      <c r="U47" s="2706">
        <f>IF(V47="",Tablas!A6,IF(COUNTIF(V$42:V46,V47)&gt;0,V47&amp;COUNTIF(V$42:V46,V47)+1,V47&amp;1))</f>
        <v>6</v>
      </c>
      <c r="V47" s="3441"/>
      <c r="W47" s="3442"/>
      <c r="X47" s="3442"/>
      <c r="Y47" s="3442"/>
      <c r="Z47" s="3442"/>
      <c r="AA47" s="3442"/>
      <c r="AB47" s="3463"/>
      <c r="AC47" s="3464"/>
      <c r="AD47" s="3464"/>
      <c r="AE47" s="3464"/>
      <c r="AF47" s="3459"/>
      <c r="AG47" s="3459"/>
      <c r="AH47" s="3460"/>
      <c r="AI47" s="2483" t="str">
        <f t="shared" si="7"/>
        <v/>
      </c>
      <c r="AJ47" s="2523"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3003" t="str">
        <f t="shared" si="9"/>
        <v/>
      </c>
      <c r="AL47" s="1800"/>
      <c r="AM47" s="3087" t="str">
        <f t="shared" si="8"/>
        <v/>
      </c>
      <c r="AN47" s="2703"/>
      <c r="AP47" s="2702"/>
    </row>
    <row r="48" spans="1:51" ht="12" customHeight="1" x14ac:dyDescent="0.2">
      <c r="A48" s="45"/>
      <c r="B48" s="2372"/>
      <c r="C48" s="3277"/>
      <c r="D48" s="3278"/>
      <c r="E48" s="3278"/>
      <c r="F48" s="3278"/>
      <c r="G48" s="3417"/>
      <c r="H48" s="3418"/>
      <c r="I48" s="3418"/>
      <c r="J48" s="3419"/>
      <c r="K48" s="1777"/>
      <c r="L48" s="3349"/>
      <c r="M48" s="3276" t="s">
        <v>1756</v>
      </c>
      <c r="N48" s="3276"/>
      <c r="O48" s="3281"/>
      <c r="P48" s="3281"/>
      <c r="Q48" s="1566">
        <f>IF(Ocultismo_final="-","-",Ocultismo_final+O48)</f>
        <v>-30</v>
      </c>
      <c r="R48" s="1782"/>
      <c r="S48" s="2670">
        <f>IF(V48="",MAX($S$41:S47)+1,0)</f>
        <v>7</v>
      </c>
      <c r="T48" s="2669">
        <f>IF(V48="",0,MAX($T$41:T47)+1)</f>
        <v>0</v>
      </c>
      <c r="U48" s="2706">
        <f>IF(V48="",Tablas!A7,IF(COUNTIF(V$42:V47,V48)&gt;0,V48&amp;COUNTIF(V$42:V47,V48)+1,V48&amp;1))</f>
        <v>7</v>
      </c>
      <c r="V48" s="3441"/>
      <c r="W48" s="3442"/>
      <c r="X48" s="3442"/>
      <c r="Y48" s="3442"/>
      <c r="Z48" s="3442"/>
      <c r="AA48" s="3442"/>
      <c r="AB48" s="3463"/>
      <c r="AC48" s="3464"/>
      <c r="AD48" s="3464"/>
      <c r="AE48" s="3464"/>
      <c r="AF48" s="3459"/>
      <c r="AG48" s="3459"/>
      <c r="AH48" s="3460"/>
      <c r="AI48" s="2483" t="str">
        <f t="shared" si="7"/>
        <v/>
      </c>
      <c r="AJ48" s="2523"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3003" t="str">
        <f t="shared" si="9"/>
        <v/>
      </c>
      <c r="AL48" s="1800"/>
      <c r="AM48" s="3087" t="str">
        <f t="shared" si="8"/>
        <v/>
      </c>
      <c r="AN48" s="2703"/>
      <c r="AP48" s="2702"/>
    </row>
    <row r="49" spans="1:51" ht="12" customHeight="1" x14ac:dyDescent="0.2">
      <c r="A49" s="45"/>
      <c r="B49" s="2372"/>
      <c r="C49" s="3408"/>
      <c r="D49" s="3409"/>
      <c r="E49" s="3409"/>
      <c r="F49" s="3409"/>
      <c r="G49" s="3417"/>
      <c r="H49" s="3418"/>
      <c r="I49" s="3418"/>
      <c r="J49" s="3419"/>
      <c r="K49" s="1774"/>
      <c r="L49" s="3349"/>
      <c r="M49" s="3276" t="s">
        <v>1757</v>
      </c>
      <c r="N49" s="3276"/>
      <c r="O49" s="3281"/>
      <c r="P49" s="3281"/>
      <c r="Q49" s="1566" t="str">
        <f>IF(Tasación_final="-","-",Tasación_final+O49)</f>
        <v>-</v>
      </c>
      <c r="R49" s="1782"/>
      <c r="S49" s="2670">
        <f>IF(V49="",MAX($S$41:S48)+1,0)</f>
        <v>8</v>
      </c>
      <c r="T49" s="2669">
        <f>IF(V49="",0,MAX($T$41:T48)+1)</f>
        <v>0</v>
      </c>
      <c r="U49" s="2706">
        <f>IF(V49="",Tablas!A8,IF(COUNTIF(V$42:V48,V49)&gt;0,V49&amp;COUNTIF(V$42:V48,V49)+1,V49&amp;1))</f>
        <v>8</v>
      </c>
      <c r="V49" s="3441"/>
      <c r="W49" s="3442"/>
      <c r="X49" s="3442"/>
      <c r="Y49" s="3442"/>
      <c r="Z49" s="3442"/>
      <c r="AA49" s="3442"/>
      <c r="AB49" s="3463"/>
      <c r="AC49" s="3464"/>
      <c r="AD49" s="3464"/>
      <c r="AE49" s="3464"/>
      <c r="AF49" s="3459"/>
      <c r="AG49" s="3459"/>
      <c r="AH49" s="3460"/>
      <c r="AI49" s="2483" t="str">
        <f t="shared" si="7"/>
        <v/>
      </c>
      <c r="AJ49" s="2523"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3003" t="str">
        <f t="shared" si="9"/>
        <v/>
      </c>
      <c r="AL49" s="1800"/>
      <c r="AM49" s="3087" t="str">
        <f t="shared" si="8"/>
        <v/>
      </c>
      <c r="AN49" s="2702"/>
      <c r="AP49" s="2702"/>
    </row>
    <row r="50" spans="1:51" ht="12" customHeight="1" x14ac:dyDescent="0.2">
      <c r="A50" s="45"/>
      <c r="B50" s="2372"/>
      <c r="C50" s="3413" t="s">
        <v>3301</v>
      </c>
      <c r="D50" s="3414"/>
      <c r="E50" s="3414"/>
      <c r="F50" s="3414"/>
      <c r="G50" s="3417"/>
      <c r="H50" s="3418"/>
      <c r="I50" s="3418"/>
      <c r="J50" s="3419"/>
      <c r="K50" s="1774"/>
      <c r="L50" s="3349"/>
      <c r="M50" s="3276" t="s">
        <v>1758</v>
      </c>
      <c r="N50" s="3276"/>
      <c r="O50" s="3281"/>
      <c r="P50" s="3281"/>
      <c r="Q50" s="1566" t="str">
        <f>IF(V.Mágica_final="-","-",V.Mágica_final+O50)</f>
        <v>-</v>
      </c>
      <c r="R50" s="1782"/>
      <c r="S50" s="2670">
        <f>IF(V50="",MAX($S$41:S49)+1,0)</f>
        <v>9</v>
      </c>
      <c r="T50" s="2669">
        <f>IF(V50="",0,MAX($T$41:T49)+1)</f>
        <v>0</v>
      </c>
      <c r="U50" s="2706">
        <f>IF(V50="",Tablas!A9,IF(COUNTIF(V$42:V49,V50)&gt;0,V50&amp;COUNTIF(V$42:V49,V50)+1,V50&amp;1))</f>
        <v>9</v>
      </c>
      <c r="V50" s="3441"/>
      <c r="W50" s="3442"/>
      <c r="X50" s="3442"/>
      <c r="Y50" s="3442"/>
      <c r="Z50" s="3442"/>
      <c r="AA50" s="3442"/>
      <c r="AB50" s="3463"/>
      <c r="AC50" s="3464"/>
      <c r="AD50" s="3464"/>
      <c r="AE50" s="3464"/>
      <c r="AF50" s="3459"/>
      <c r="AG50" s="3459"/>
      <c r="AH50" s="3460"/>
      <c r="AI50" s="2483" t="str">
        <f t="shared" si="7"/>
        <v/>
      </c>
      <c r="AJ50" s="2523"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3003" t="str">
        <f t="shared" si="9"/>
        <v/>
      </c>
      <c r="AL50" s="1800"/>
      <c r="AM50" s="3087" t="str">
        <f t="shared" si="8"/>
        <v/>
      </c>
      <c r="AN50" s="2702"/>
      <c r="AP50" s="2702"/>
    </row>
    <row r="51" spans="1:51" ht="12" customHeight="1" x14ac:dyDescent="0.2">
      <c r="A51" s="45"/>
      <c r="B51" s="2372"/>
      <c r="C51" s="3415"/>
      <c r="D51" s="3416"/>
      <c r="E51" s="3416"/>
      <c r="F51" s="3416"/>
      <c r="G51" s="3417"/>
      <c r="H51" s="3418"/>
      <c r="I51" s="3418"/>
      <c r="J51" s="3419"/>
      <c r="K51" s="1774"/>
      <c r="L51" s="3348" t="s">
        <v>1759</v>
      </c>
      <c r="M51" s="3296" t="s">
        <v>1760</v>
      </c>
      <c r="N51" s="3296"/>
      <c r="O51" s="3294"/>
      <c r="P51" s="3294"/>
      <c r="Q51" s="1565">
        <f>IF(Frialdad_final="-","-",Frialdad_final+O51)</f>
        <v>-30</v>
      </c>
      <c r="R51" s="1782"/>
      <c r="S51" s="2670">
        <f>IF(V51="",MAX($S$41:S50)+1,0)</f>
        <v>10</v>
      </c>
      <c r="T51" s="2669">
        <f>IF(V51="",0,MAX($T$41:T50)+1)</f>
        <v>0</v>
      </c>
      <c r="U51" s="2706">
        <f>IF(V51="",Tablas!A10,IF(COUNTIF(V$42:V50,V51)&gt;0,V51&amp;COUNTIF(V$42:V50,V51)+1,V51&amp;1))</f>
        <v>10</v>
      </c>
      <c r="V51" s="3441"/>
      <c r="W51" s="3442"/>
      <c r="X51" s="3442"/>
      <c r="Y51" s="3442"/>
      <c r="Z51" s="3442"/>
      <c r="AA51" s="3442"/>
      <c r="AB51" s="3463"/>
      <c r="AC51" s="3464"/>
      <c r="AD51" s="3464"/>
      <c r="AE51" s="3464"/>
      <c r="AF51" s="3459"/>
      <c r="AG51" s="3459"/>
      <c r="AH51" s="3460"/>
      <c r="AI51" s="2483" t="str">
        <f t="shared" si="7"/>
        <v/>
      </c>
      <c r="AJ51" s="2523"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3003" t="str">
        <f t="shared" si="9"/>
        <v/>
      </c>
      <c r="AL51" s="1800"/>
      <c r="AM51" s="3087" t="str">
        <f t="shared" si="8"/>
        <v/>
      </c>
      <c r="AN51" s="2702"/>
      <c r="AO51" s="2702"/>
      <c r="AP51" s="2702"/>
    </row>
    <row r="52" spans="1:51" ht="12" customHeight="1" x14ac:dyDescent="0.2">
      <c r="A52" s="45"/>
      <c r="B52" s="2372"/>
      <c r="C52" s="3423"/>
      <c r="D52" s="3424"/>
      <c r="E52" s="3424"/>
      <c r="F52" s="3424"/>
      <c r="G52" s="3417"/>
      <c r="H52" s="3418"/>
      <c r="I52" s="3418"/>
      <c r="J52" s="3419"/>
      <c r="K52" s="2148"/>
      <c r="L52" s="3349"/>
      <c r="M52" s="3276" t="s">
        <v>1761</v>
      </c>
      <c r="N52" s="3276"/>
      <c r="O52" s="3281">
        <f>Combate!$U$17</f>
        <v>-5</v>
      </c>
      <c r="P52" s="3281"/>
      <c r="Q52" s="1566">
        <f>IF(P.Fuerza_final="-","-",P.Fuerza_final+O52)</f>
        <v>-35</v>
      </c>
      <c r="R52" s="1782"/>
      <c r="S52" s="2670">
        <f>IF(V52="",MAX($S$41:S51)+1,0)</f>
        <v>11</v>
      </c>
      <c r="T52" s="2669">
        <f>IF(V52="",0,MAX($T$41:T51)+1)</f>
        <v>0</v>
      </c>
      <c r="U52" s="2706">
        <f>IF(V52="",Tablas!A11,IF(COUNTIF(V$42:V51,V52)&gt;0,V52&amp;COUNTIF(V$42:V51,V52)+1,V52&amp;1))</f>
        <v>11</v>
      </c>
      <c r="V52" s="3441"/>
      <c r="W52" s="3442"/>
      <c r="X52" s="3442"/>
      <c r="Y52" s="3442"/>
      <c r="Z52" s="3442"/>
      <c r="AA52" s="3442"/>
      <c r="AB52" s="3463"/>
      <c r="AC52" s="3464"/>
      <c r="AD52" s="3464"/>
      <c r="AE52" s="3464"/>
      <c r="AF52" s="3459"/>
      <c r="AG52" s="3459"/>
      <c r="AH52" s="3460"/>
      <c r="AI52" s="2483" t="str">
        <f t="shared" si="7"/>
        <v/>
      </c>
      <c r="AJ52" s="2523"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3003" t="str">
        <f t="shared" si="9"/>
        <v/>
      </c>
      <c r="AL52" s="1800"/>
      <c r="AM52" s="3087" t="str">
        <f t="shared" si="8"/>
        <v/>
      </c>
      <c r="AN52" s="2702"/>
      <c r="AO52" s="2702"/>
      <c r="AP52" s="2702"/>
    </row>
    <row r="53" spans="1:51" ht="12" customHeight="1" thickBot="1" x14ac:dyDescent="0.25">
      <c r="A53" s="45"/>
      <c r="B53" s="2372"/>
      <c r="C53" s="3433"/>
      <c r="D53" s="3434"/>
      <c r="E53" s="3434"/>
      <c r="F53" s="3434"/>
      <c r="G53" s="3435"/>
      <c r="H53" s="3436"/>
      <c r="I53" s="3436"/>
      <c r="J53" s="3437"/>
      <c r="K53" s="2148"/>
      <c r="L53" s="3350"/>
      <c r="M53" s="3391" t="s">
        <v>1764</v>
      </c>
      <c r="N53" s="3391"/>
      <c r="O53" s="3371"/>
      <c r="P53" s="3371"/>
      <c r="Q53" s="1567">
        <f>IF(Res.Dolor_final="-","-",Res.Dolor_final+O53)</f>
        <v>-30</v>
      </c>
      <c r="R53" s="1782"/>
      <c r="S53" s="2670">
        <f>IF(V53="",MAX($S$41:S52)+1,0)</f>
        <v>12</v>
      </c>
      <c r="T53" s="2669">
        <f>IF(V53="",0,MAX($T$41:T52)+1)</f>
        <v>0</v>
      </c>
      <c r="U53" s="2706">
        <f>IF(V53="",Tablas!A12,IF(COUNTIF(V$42:V52,V53)&gt;0,V53&amp;COUNTIF(V$42:V52,V53)+1,V53&amp;1))</f>
        <v>12</v>
      </c>
      <c r="V53" s="3441"/>
      <c r="W53" s="3442"/>
      <c r="X53" s="3442"/>
      <c r="Y53" s="3442"/>
      <c r="Z53" s="3442"/>
      <c r="AA53" s="3442"/>
      <c r="AB53" s="3463"/>
      <c r="AC53" s="3464"/>
      <c r="AD53" s="3464"/>
      <c r="AE53" s="3464"/>
      <c r="AF53" s="3459"/>
      <c r="AG53" s="3459"/>
      <c r="AH53" s="3460"/>
      <c r="AI53" s="2483" t="str">
        <f t="shared" si="7"/>
        <v/>
      </c>
      <c r="AJ53" s="2523"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3003" t="str">
        <f t="shared" si="9"/>
        <v/>
      </c>
      <c r="AL53" s="1800"/>
      <c r="AM53" s="3087" t="str">
        <f t="shared" si="8"/>
        <v/>
      </c>
    </row>
    <row r="54" spans="1:51" ht="12" customHeight="1" x14ac:dyDescent="0.2">
      <c r="A54" s="45"/>
      <c r="B54" s="2372"/>
      <c r="C54" s="3426" t="str">
        <f>IF(COUNTIF(Principal!$AS$43:$AS$45,"Trasfondo")&gt;0,"PC exclusivos trasfondo","")</f>
        <v/>
      </c>
      <c r="D54" s="3426"/>
      <c r="E54" s="3426"/>
      <c r="F54" s="2328">
        <f>-Tablas!$F$234</f>
        <v>0</v>
      </c>
      <c r="G54" s="3427" t="str">
        <f>IF(AND(COUNTIF(Principal!$AS$43:$AS$45,"Don")&gt;0,COUNTIF(Principal!$AS$43:$AS$45,"Psiquicos")&gt;0),"PC exclusivos Don/Psíquicos",IF(COUNTIF(Principal!$AS$43:$AS$45,"Don")&gt;0,"PC exclusivos Don",IF(COUNTIF(Principal!$AS$43:$AS$45,"Psiquicos")&gt;0,"PC exclusivos Psíquica","")))</f>
        <v/>
      </c>
      <c r="H54" s="3428"/>
      <c r="I54" s="3428"/>
      <c r="J54" s="1886">
        <f>-Tablas!E234</f>
        <v>0</v>
      </c>
      <c r="K54" s="1774"/>
      <c r="L54" s="3349" t="s">
        <v>1767</v>
      </c>
      <c r="M54" s="3276" t="s">
        <v>1768</v>
      </c>
      <c r="N54" s="3276"/>
      <c r="O54" s="3281"/>
      <c r="P54" s="3281"/>
      <c r="Q54" s="1566">
        <f>IF(Cerrajería_final="-","-",Cerrajería_final+O54)</f>
        <v>-30</v>
      </c>
      <c r="R54" s="1782"/>
      <c r="S54" s="2670">
        <f>IF(V54="",MAX($S$41:S53)+1,0)</f>
        <v>13</v>
      </c>
      <c r="T54" s="2669">
        <f>IF(V54="",0,MAX($T$41:T53)+1)</f>
        <v>0</v>
      </c>
      <c r="U54" s="2706">
        <f>IF(V54="",Tablas!A13,IF(COUNTIF(V$42:V53,V54)&gt;0,V54&amp;COUNTIF(V$42:V53,V54)+1,V54&amp;1))</f>
        <v>13</v>
      </c>
      <c r="V54" s="3441"/>
      <c r="W54" s="3442"/>
      <c r="X54" s="3442"/>
      <c r="Y54" s="3442"/>
      <c r="Z54" s="3442"/>
      <c r="AA54" s="3442"/>
      <c r="AB54" s="3463"/>
      <c r="AC54" s="3464"/>
      <c r="AD54" s="3464"/>
      <c r="AE54" s="3464"/>
      <c r="AF54" s="3459"/>
      <c r="AG54" s="3459"/>
      <c r="AH54" s="3460"/>
      <c r="AI54" s="2483" t="str">
        <f t="shared" si="7"/>
        <v/>
      </c>
      <c r="AJ54" s="2523"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3003" t="str">
        <f t="shared" si="9"/>
        <v/>
      </c>
      <c r="AL54" s="1800"/>
      <c r="AM54" s="3087" t="str">
        <f t="shared" si="8"/>
        <v/>
      </c>
    </row>
    <row r="55" spans="1:51" ht="12" customHeight="1" thickBot="1" x14ac:dyDescent="0.25">
      <c r="A55" s="45"/>
      <c r="B55" s="2372"/>
      <c r="K55" s="1774"/>
      <c r="L55" s="3349"/>
      <c r="M55" s="3276" t="s">
        <v>1770</v>
      </c>
      <c r="N55" s="3276"/>
      <c r="O55" s="3281"/>
      <c r="P55" s="3281"/>
      <c r="Q55" s="1566">
        <f>IF(Disfraz_final="-","-",Disfraz_final+O55)</f>
        <v>-30</v>
      </c>
      <c r="R55" s="1782"/>
      <c r="S55" s="2670">
        <f>IF(V55="",MAX($S$41:S54)+1,0)</f>
        <v>14</v>
      </c>
      <c r="T55" s="2669">
        <f>IF(V55="",0,MAX($T$41:T54)+1)</f>
        <v>0</v>
      </c>
      <c r="U55" s="2706">
        <f>IF(V55="",Tablas!A14,IF(COUNTIF(V$42:V54,V55)&gt;0,V55&amp;COUNTIF(V$42:V54,V55)+1,V55&amp;1))</f>
        <v>14</v>
      </c>
      <c r="V55" s="3441"/>
      <c r="W55" s="3442"/>
      <c r="X55" s="3442"/>
      <c r="Y55" s="3442"/>
      <c r="Z55" s="3442"/>
      <c r="AA55" s="3442"/>
      <c r="AB55" s="3463"/>
      <c r="AC55" s="3464"/>
      <c r="AD55" s="3464"/>
      <c r="AE55" s="3464"/>
      <c r="AF55" s="3459"/>
      <c r="AG55" s="3459"/>
      <c r="AH55" s="3460"/>
      <c r="AI55" s="2483" t="str">
        <f t="shared" si="7"/>
        <v/>
      </c>
      <c r="AJ55" s="2523"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3003" t="str">
        <f t="shared" si="9"/>
        <v/>
      </c>
      <c r="AL55" s="1800"/>
      <c r="AM55" s="3087" t="str">
        <f t="shared" si="8"/>
        <v/>
      </c>
    </row>
    <row r="56" spans="1:51" ht="12" customHeight="1" x14ac:dyDescent="0.2">
      <c r="A56" s="45"/>
      <c r="B56" s="2372"/>
      <c r="C56" s="3438" t="s">
        <v>1762</v>
      </c>
      <c r="D56" s="3207"/>
      <c r="E56" s="3207"/>
      <c r="F56" s="2522" t="s">
        <v>1674</v>
      </c>
      <c r="G56" s="2522" t="s">
        <v>1676</v>
      </c>
      <c r="H56" s="2522" t="s">
        <v>1763</v>
      </c>
      <c r="I56" s="2522" t="s">
        <v>1728</v>
      </c>
      <c r="J56" s="21" t="s">
        <v>1658</v>
      </c>
      <c r="K56" s="1774"/>
      <c r="L56" s="3349"/>
      <c r="M56" s="3276" t="s">
        <v>1772</v>
      </c>
      <c r="N56" s="3276"/>
      <c r="O56" s="3281">
        <f>Combate!$U$17</f>
        <v>-5</v>
      </c>
      <c r="P56" s="3281"/>
      <c r="Q56" s="1566">
        <f>IF(Ocultarse_final="-","-",Ocultarse_final+O56)</f>
        <v>-35</v>
      </c>
      <c r="R56" s="1782"/>
      <c r="S56" s="2670">
        <f>IF(V56="",MAX($S$41:S55)+1,0)</f>
        <v>15</v>
      </c>
      <c r="T56" s="2669">
        <f>IF(V56="",0,MAX($T$41:T55)+1)</f>
        <v>0</v>
      </c>
      <c r="U56" s="2706">
        <f>IF(V56="",Tablas!A15,IF(COUNTIF(V$42:V55,V56)&gt;0,V56&amp;COUNTIF(V$42:V55,V56)+1,V56&amp;1))</f>
        <v>15</v>
      </c>
      <c r="V56" s="3441"/>
      <c r="W56" s="3442"/>
      <c r="X56" s="3442"/>
      <c r="Y56" s="3442"/>
      <c r="Z56" s="3442"/>
      <c r="AA56" s="3442"/>
      <c r="AB56" s="3463"/>
      <c r="AC56" s="3464"/>
      <c r="AD56" s="3464"/>
      <c r="AE56" s="3464"/>
      <c r="AF56" s="3459"/>
      <c r="AG56" s="3459"/>
      <c r="AH56" s="3460"/>
      <c r="AI56" s="2483" t="str">
        <f t="shared" si="7"/>
        <v/>
      </c>
      <c r="AJ56" s="2523"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3003" t="str">
        <f t="shared" si="9"/>
        <v/>
      </c>
      <c r="AL56" s="1800"/>
      <c r="AM56" s="3087" t="str">
        <f t="shared" si="8"/>
        <v/>
      </c>
    </row>
    <row r="57" spans="1:51" ht="12" customHeight="1" x14ac:dyDescent="0.2">
      <c r="A57" s="45"/>
      <c r="B57" s="2372"/>
      <c r="C57" s="3439"/>
      <c r="D57" s="3430" t="s">
        <v>1765</v>
      </c>
      <c r="E57" s="3430"/>
      <c r="F57" s="2513">
        <f>IF(SUM(PDs!$S$5:$S$14)=0,20,25+(SUM(PDs!$S$5:$S$14)*5))</f>
        <v>20</v>
      </c>
      <c r="G57" s="2513" t="s">
        <v>1766</v>
      </c>
      <c r="H57" s="2513" t="s">
        <v>1766</v>
      </c>
      <c r="I57" s="107"/>
      <c r="J57" s="95">
        <f>F57+I57</f>
        <v>20</v>
      </c>
      <c r="K57" s="2148"/>
      <c r="L57" s="3349"/>
      <c r="M57" s="3276" t="s">
        <v>1774</v>
      </c>
      <c r="N57" s="3276"/>
      <c r="O57" s="3281"/>
      <c r="P57" s="3281"/>
      <c r="Q57" s="1566">
        <f>IF(Robo_final="-","-",Robo_final+O57)</f>
        <v>-30</v>
      </c>
      <c r="R57" s="1782"/>
      <c r="S57" s="2670">
        <f>IF(V57="",MAX($S$41:S56)+1,0)</f>
        <v>16</v>
      </c>
      <c r="T57" s="2669">
        <f>IF(V57="",0,MAX($T$41:T56)+1)</f>
        <v>0</v>
      </c>
      <c r="U57" s="2706">
        <f>IF(V57="",Tablas!A16,IF(COUNTIF(V$42:V56,V57)&gt;0,V57&amp;COUNTIF(V$42:V56,V57)+1,V57&amp;1))</f>
        <v>16</v>
      </c>
      <c r="V57" s="3441"/>
      <c r="W57" s="3442"/>
      <c r="X57" s="3442"/>
      <c r="Y57" s="3442"/>
      <c r="Z57" s="3442"/>
      <c r="AA57" s="3442"/>
      <c r="AB57" s="3463"/>
      <c r="AC57" s="3464"/>
      <c r="AD57" s="3464"/>
      <c r="AE57" s="3464"/>
      <c r="AF57" s="3459"/>
      <c r="AG57" s="3459"/>
      <c r="AH57" s="3460"/>
      <c r="AI57" s="2483" t="str">
        <f t="shared" si="7"/>
        <v/>
      </c>
      <c r="AJ57" s="2523"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3003" t="str">
        <f t="shared" si="9"/>
        <v/>
      </c>
      <c r="AL57" s="1800"/>
      <c r="AM57" s="3087" t="str">
        <f t="shared" si="8"/>
        <v/>
      </c>
    </row>
    <row r="58" spans="1:51" ht="12" customHeight="1" x14ac:dyDescent="0.2">
      <c r="A58" s="45"/>
      <c r="B58" s="2372"/>
      <c r="C58" s="3439"/>
      <c r="D58" s="3430" t="s">
        <v>1769</v>
      </c>
      <c r="E58" s="3430"/>
      <c r="F58" s="2513">
        <f>$F$57</f>
        <v>20</v>
      </c>
      <c r="G58" s="2513">
        <f>$H$12</f>
        <v>0</v>
      </c>
      <c r="H58" s="2513">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7"/>
      <c r="J58" s="95">
        <f>TRUNC((SUM(F58:I58)+IF(Dominiofísico,10,0)+IF(CuerpodeVacío,20,0)+Tablas!$G$259*25+Tablas!$G$260*50)*IF(Tablas!$G$507&gt;0,0.5,1),0)+10*Tablas!$P$242+Tablas!$K$1705+Tablas!$K$1771+Tablas!$S$1356+'Tablas psiquica'!$AH$73</f>
        <v>20</v>
      </c>
      <c r="K58" s="1774"/>
      <c r="L58" s="3349"/>
      <c r="M58" s="3276" t="s">
        <v>1776</v>
      </c>
      <c r="N58" s="3276"/>
      <c r="O58" s="3281">
        <f>MIN(MAX(Combate!J17-Combate!J16+Principal!H28,Combate!J17),TRUNC(Combate!J17/2,0))+MAX(MIN(-20*IF(OR(Combate!E12=0,Combate!B12="Natural"),0,1)-20*IF(OR(Combate!E13=0,Combate!B13="Natural"),0,1)-20*IF(OR(Combate!E14=0,Combate!B14="Natural"),0,1)+20,0),-40)</f>
        <v>-5</v>
      </c>
      <c r="P58" s="3281"/>
      <c r="Q58" s="1566">
        <f>IF(Sigilo_final="-","-",Sigilo_final+O58)</f>
        <v>-35</v>
      </c>
      <c r="R58" s="1782"/>
      <c r="S58" s="2670">
        <f>IF(V58="",MAX($S$41:S57)+1,0)</f>
        <v>17</v>
      </c>
      <c r="T58" s="2669">
        <f>IF(V58="",0,MAX($T$41:T57)+1)</f>
        <v>0</v>
      </c>
      <c r="U58" s="2706">
        <f>IF(V58="",Tablas!A17,IF(COUNTIF(V$42:V57,V58)&gt;0,V58&amp;COUNTIF(V$42:V57,V58)+1,V58&amp;1))</f>
        <v>17</v>
      </c>
      <c r="V58" s="3441"/>
      <c r="W58" s="3442"/>
      <c r="X58" s="3442"/>
      <c r="Y58" s="3442"/>
      <c r="Z58" s="3442"/>
      <c r="AA58" s="3442"/>
      <c r="AB58" s="3463"/>
      <c r="AC58" s="3464"/>
      <c r="AD58" s="3464"/>
      <c r="AE58" s="3464"/>
      <c r="AF58" s="3459"/>
      <c r="AG58" s="3459"/>
      <c r="AH58" s="3460"/>
      <c r="AI58" s="2483" t="str">
        <f t="shared" si="7"/>
        <v/>
      </c>
      <c r="AJ58" s="2523"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3003" t="str">
        <f t="shared" si="9"/>
        <v/>
      </c>
      <c r="AL58" s="1800"/>
      <c r="AM58" s="3087" t="str">
        <f t="shared" si="8"/>
        <v/>
      </c>
    </row>
    <row r="59" spans="1:51" ht="12" customHeight="1" x14ac:dyDescent="0.2">
      <c r="A59" s="45"/>
      <c r="B59" s="2372"/>
      <c r="C59" s="3439"/>
      <c r="D59" s="3430" t="s">
        <v>1771</v>
      </c>
      <c r="E59" s="3430"/>
      <c r="F59" s="2513">
        <f>$F$57</f>
        <v>20</v>
      </c>
      <c r="G59" s="2513">
        <f>$H$12</f>
        <v>0</v>
      </c>
      <c r="H59" s="2513">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7"/>
      <c r="J59" s="95">
        <f>TRUNC((SUM(F59:I59)+IF(CuerpodeVacío,20,0)+Tablas!$G$259*25+Tablas!$G$260*50+Tablas!$K$1705+Tablas!S1357+Tablas!$K$1705)*IF(Tablas!$G$501&gt;0,0.5,1),0)</f>
        <v>20</v>
      </c>
      <c r="K59" s="1774"/>
      <c r="L59" s="3349"/>
      <c r="M59" s="3276" t="s">
        <v>1778</v>
      </c>
      <c r="N59" s="3276"/>
      <c r="O59" s="3281"/>
      <c r="P59" s="3281"/>
      <c r="Q59" s="1566">
        <f>IF(Trampería_final="-","-",Trampería_final+O59)</f>
        <v>-30</v>
      </c>
      <c r="R59" s="1782"/>
      <c r="S59" s="2670">
        <f>IF(V59="",MAX($S$41:S58)+1,0)</f>
        <v>18</v>
      </c>
      <c r="T59" s="2669">
        <f>IF(V59="",0,MAX($T$41:T58)+1)</f>
        <v>0</v>
      </c>
      <c r="U59" s="2706">
        <f>IF(V59="",Tablas!A18,IF(COUNTIF(V$42:V58,V59)&gt;0,V59&amp;COUNTIF(V$42:V58,V59)+1,V59&amp;1))</f>
        <v>18</v>
      </c>
      <c r="V59" s="3441"/>
      <c r="W59" s="3442"/>
      <c r="X59" s="3442"/>
      <c r="Y59" s="3442"/>
      <c r="Z59" s="3442"/>
      <c r="AA59" s="3442"/>
      <c r="AB59" s="3463"/>
      <c r="AC59" s="3464"/>
      <c r="AD59" s="3464"/>
      <c r="AE59" s="3464"/>
      <c r="AF59" s="3459"/>
      <c r="AG59" s="3459"/>
      <c r="AH59" s="3460"/>
      <c r="AI59" s="2483" t="str">
        <f t="shared" si="7"/>
        <v/>
      </c>
      <c r="AJ59" s="2523"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3003" t="str">
        <f t="shared" si="9"/>
        <v/>
      </c>
      <c r="AL59" s="1800"/>
      <c r="AM59" s="3087" t="str">
        <f t="shared" si="8"/>
        <v/>
      </c>
    </row>
    <row r="60" spans="1:51" ht="12" customHeight="1" x14ac:dyDescent="0.2">
      <c r="A60" s="45"/>
      <c r="B60" s="2372"/>
      <c r="C60" s="3439"/>
      <c r="D60" s="3430" t="s">
        <v>1773</v>
      </c>
      <c r="E60" s="3430"/>
      <c r="F60" s="2513">
        <f>$F$57</f>
        <v>20</v>
      </c>
      <c r="G60" s="2513">
        <f>$H$12</f>
        <v>0</v>
      </c>
      <c r="H60" s="2513">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7"/>
      <c r="J60" s="95">
        <f>TRUNC((SUM(F60:I60)+IF(CuerpodeVacío,20,0)+Tablas!$G$259*25+Tablas!$G$260*50+20*Tablas!$P$255)*IF(Tablas!$G$502&gt;0,0.5,1),0)+Tablas!$K$1705+Tablas!S1358+Tablas!K1705</f>
        <v>20</v>
      </c>
      <c r="K60" s="1774"/>
      <c r="L60" s="3349"/>
      <c r="M60" s="3276" t="s">
        <v>1779</v>
      </c>
      <c r="N60" s="3276"/>
      <c r="O60" s="3281"/>
      <c r="P60" s="3281"/>
      <c r="Q60" s="1566">
        <f>IF(Venenos_final="-","-",Venenos_final+O60)</f>
        <v>-30</v>
      </c>
      <c r="R60" s="1782"/>
      <c r="S60" s="2670">
        <f>IF(V60="",MAX($S$41:S59)+1,0)</f>
        <v>19</v>
      </c>
      <c r="T60" s="2669">
        <f>IF(V60="",0,MAX($T$41:T59)+1)</f>
        <v>0</v>
      </c>
      <c r="U60" s="2706">
        <f>IF(V60="",Tablas!A19,IF(COUNTIF(V$42:V59,V60)&gt;0,V60&amp;COUNTIF(V$42:V59,V60)+1,V60&amp;1))</f>
        <v>19</v>
      </c>
      <c r="V60" s="3441"/>
      <c r="W60" s="3442"/>
      <c r="X60" s="3442"/>
      <c r="Y60" s="3442"/>
      <c r="Z60" s="3442"/>
      <c r="AA60" s="3442"/>
      <c r="AB60" s="3463"/>
      <c r="AC60" s="3464"/>
      <c r="AD60" s="3464"/>
      <c r="AE60" s="3464"/>
      <c r="AF60" s="3459"/>
      <c r="AG60" s="3459"/>
      <c r="AH60" s="3460"/>
      <c r="AI60" s="2483" t="str">
        <f t="shared" si="7"/>
        <v/>
      </c>
      <c r="AJ60" s="2523"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3003" t="str">
        <f t="shared" si="9"/>
        <v/>
      </c>
      <c r="AL60" s="1800"/>
      <c r="AM60" s="3087" t="str">
        <f t="shared" si="8"/>
        <v/>
      </c>
    </row>
    <row r="61" spans="1:51" ht="12" customHeight="1" x14ac:dyDescent="0.2">
      <c r="A61" s="45"/>
      <c r="B61" s="2372"/>
      <c r="C61" s="3439"/>
      <c r="D61" s="3430" t="s">
        <v>1775</v>
      </c>
      <c r="E61" s="3430"/>
      <c r="F61" s="2513">
        <f>$F$57</f>
        <v>20</v>
      </c>
      <c r="G61" s="2513">
        <f>H17</f>
        <v>0</v>
      </c>
      <c r="H61" s="2513">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7"/>
      <c r="J61" s="95">
        <f>TRUNC((SUM(F61:I61)+IF(CuerpodeVacío,20,0)+Tablas!$G$273*10+Tablas!$G$261*25+Tablas!$G$262*50)*IF(Tablas!G504&gt;0,0.5,1),0)+Tablas!$K$1705+Tablas!S1374+Tablas!$K$1705</f>
        <v>20</v>
      </c>
      <c r="K61" s="1774"/>
      <c r="L61" s="3348" t="s">
        <v>1780</v>
      </c>
      <c r="M61" s="3296" t="s">
        <v>1781</v>
      </c>
      <c r="N61" s="3296"/>
      <c r="O61" s="3294"/>
      <c r="P61" s="3294"/>
      <c r="Q61" s="1565">
        <f>IF(Arte_final="-","-",Arte_final+O61)</f>
        <v>-30</v>
      </c>
      <c r="R61" s="1782"/>
      <c r="S61" s="2670">
        <f>IF(V61="",MAX($S$41:S60)+1,0)</f>
        <v>20</v>
      </c>
      <c r="T61" s="2669">
        <f>IF(V61="",0,MAX($T$41:T60)+1)</f>
        <v>0</v>
      </c>
      <c r="U61" s="2706">
        <f>IF(V61="",Tablas!A20,IF(COUNTIF(V$42:V60,V61)&gt;0,V61&amp;COUNTIF(V$42:V60,V61)+1,V61&amp;1))</f>
        <v>20</v>
      </c>
      <c r="V61" s="3441"/>
      <c r="W61" s="3442"/>
      <c r="X61" s="3442"/>
      <c r="Y61" s="3442"/>
      <c r="Z61" s="3442"/>
      <c r="AA61" s="3442"/>
      <c r="AB61" s="3463"/>
      <c r="AC61" s="3464"/>
      <c r="AD61" s="3464"/>
      <c r="AE61" s="3464"/>
      <c r="AF61" s="3459"/>
      <c r="AG61" s="3459"/>
      <c r="AH61" s="3460"/>
      <c r="AI61" s="2483" t="str">
        <f t="shared" si="7"/>
        <v/>
      </c>
      <c r="AJ61" s="2523"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3003" t="str">
        <f t="shared" si="9"/>
        <v/>
      </c>
      <c r="AL61" s="1800"/>
      <c r="AM61" s="3087" t="str">
        <f t="shared" si="8"/>
        <v/>
      </c>
    </row>
    <row r="62" spans="1:51" ht="12" customHeight="1" x14ac:dyDescent="0.2">
      <c r="A62" s="45"/>
      <c r="B62" s="2372"/>
      <c r="C62" s="3439"/>
      <c r="D62" s="3431" t="s">
        <v>1777</v>
      </c>
      <c r="E62" s="3431"/>
      <c r="F62" s="2513">
        <f>$F$57</f>
        <v>20</v>
      </c>
      <c r="G62" s="108">
        <f>H18</f>
        <v>0</v>
      </c>
      <c r="H62"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9"/>
      <c r="J62" s="2677">
        <f>SUM(F62:I62)+IF(CuerpodeVacío,20,0)+Tablas!$G$263*25+Tablas!$G$264*50+Tablas!$K$1705+Tablas!$S$1364+Tablas!$K$1705+'Tablas psiquica'!AH8</f>
        <v>20</v>
      </c>
      <c r="K62" s="1774"/>
      <c r="L62" s="3349"/>
      <c r="M62" s="3276" t="s">
        <v>1782</v>
      </c>
      <c r="N62" s="3276"/>
      <c r="O62" s="3281">
        <f>Combate!$U$17</f>
        <v>-5</v>
      </c>
      <c r="P62" s="3281"/>
      <c r="Q62" s="1566">
        <f>IF(Baile_final="-","-",Baile_final+O62)</f>
        <v>-35</v>
      </c>
      <c r="R62" s="1782"/>
      <c r="S62" s="2670">
        <f>IF(V62="",MAX($S$41:S61)+1,0)</f>
        <v>21</v>
      </c>
      <c r="T62" s="2669">
        <f>IF(V62="",0,MAX($T$41:T61)+1)</f>
        <v>0</v>
      </c>
      <c r="U62" s="2706">
        <f>IF(V62="",Tablas!A21,IF(COUNTIF(V$42:V61,V62)&gt;0,V62&amp;COUNTIF(V$42:V61,V62)+1,V62&amp;1))</f>
        <v>21</v>
      </c>
      <c r="V62" s="3441"/>
      <c r="W62" s="3442"/>
      <c r="X62" s="3442"/>
      <c r="Y62" s="3442"/>
      <c r="Z62" s="3442"/>
      <c r="AA62" s="3442"/>
      <c r="AB62" s="3463"/>
      <c r="AC62" s="3464"/>
      <c r="AD62" s="3464"/>
      <c r="AE62" s="3464"/>
      <c r="AF62" s="3459"/>
      <c r="AG62" s="3459"/>
      <c r="AH62" s="3460"/>
      <c r="AI62" s="2483" t="str">
        <f t="shared" si="7"/>
        <v/>
      </c>
      <c r="AJ62" s="2523"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3003" t="str">
        <f t="shared" si="9"/>
        <v/>
      </c>
      <c r="AL62" s="1800"/>
      <c r="AM62" s="3087" t="str">
        <f t="shared" si="8"/>
        <v/>
      </c>
    </row>
    <row r="63" spans="1:51" ht="12" customHeight="1" x14ac:dyDescent="0.2">
      <c r="A63" s="45"/>
      <c r="B63" s="2372"/>
      <c r="C63" s="3439"/>
      <c r="D63" s="2512" t="s">
        <v>1688</v>
      </c>
      <c r="E63" s="3432"/>
      <c r="F63" s="3432"/>
      <c r="G63" s="3432"/>
      <c r="H63" s="3432"/>
      <c r="I63" s="3432"/>
      <c r="J63" s="3432"/>
      <c r="K63" s="1774"/>
      <c r="L63" s="3349"/>
      <c r="M63" s="3276" t="s">
        <v>1783</v>
      </c>
      <c r="N63" s="3276"/>
      <c r="O63" s="3281"/>
      <c r="P63" s="3281"/>
      <c r="Q63" s="1566" t="str">
        <f>IF(Forja_final="-","-",Forja_final+O63)</f>
        <v>-</v>
      </c>
      <c r="R63" s="1782"/>
      <c r="S63" s="2670">
        <f>IF(V63="",MAX($S$41:S62)+1,0)</f>
        <v>22</v>
      </c>
      <c r="T63" s="2669">
        <f>IF(V63="",0,MAX($T$41:T62)+1)</f>
        <v>0</v>
      </c>
      <c r="U63" s="2706">
        <f>IF(V63="",Tablas!A22,IF(COUNTIF(V$42:V62,V63)&gt;0,V63&amp;COUNTIF(V$42:V62,V63)+1,V63&amp;1))</f>
        <v>22</v>
      </c>
      <c r="V63" s="3441"/>
      <c r="W63" s="3442"/>
      <c r="X63" s="3442"/>
      <c r="Y63" s="3442"/>
      <c r="Z63" s="3442"/>
      <c r="AA63" s="3442"/>
      <c r="AB63" s="3463"/>
      <c r="AC63" s="3464"/>
      <c r="AD63" s="3464"/>
      <c r="AE63" s="3464"/>
      <c r="AF63" s="3459"/>
      <c r="AG63" s="3459"/>
      <c r="AH63" s="3460"/>
      <c r="AI63" s="2483" t="str">
        <f t="shared" si="7"/>
        <v/>
      </c>
      <c r="AJ63" s="2523"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3003" t="str">
        <f t="shared" si="9"/>
        <v/>
      </c>
      <c r="AL63" s="1800"/>
      <c r="AM63" s="3087" t="str">
        <f t="shared" si="8"/>
        <v/>
      </c>
      <c r="AW63" s="3050"/>
      <c r="AX63" s="1872"/>
      <c r="AY63" s="1872"/>
    </row>
    <row r="64" spans="1:51" ht="12" customHeight="1" x14ac:dyDescent="0.2">
      <c r="A64" s="45"/>
      <c r="B64" s="2372"/>
      <c r="C64" s="3439"/>
      <c r="D64" s="56"/>
      <c r="E64" s="3432"/>
      <c r="F64" s="3432"/>
      <c r="G64" s="3432"/>
      <c r="H64" s="3432"/>
      <c r="I64" s="3432"/>
      <c r="J64" s="3432"/>
      <c r="K64" s="1774"/>
      <c r="L64" s="3349"/>
      <c r="M64" s="3276" t="s">
        <v>1082</v>
      </c>
      <c r="N64" s="3276"/>
      <c r="O64" s="3281"/>
      <c r="P64" s="3281"/>
      <c r="Q64" s="1566" t="str">
        <f>IF(Runas_final="-","-",Runas_final+O64)</f>
        <v>-</v>
      </c>
      <c r="R64" s="1782"/>
      <c r="S64" s="2670">
        <f>IF(V64="",MAX($S$41:S63)+1,0)</f>
        <v>23</v>
      </c>
      <c r="T64" s="2669">
        <f>IF(V64="",0,MAX($T$41:T63)+1)</f>
        <v>0</v>
      </c>
      <c r="U64" s="2706">
        <f>IF(V64="",Tablas!A23,IF(COUNTIF(V$42:V63,V64)&gt;0,V64&amp;COUNTIF(V$42:V63,V64)+1,V64&amp;1))</f>
        <v>23</v>
      </c>
      <c r="V64" s="3441"/>
      <c r="W64" s="3442"/>
      <c r="X64" s="3442"/>
      <c r="Y64" s="3442"/>
      <c r="Z64" s="3442"/>
      <c r="AA64" s="3442"/>
      <c r="AB64" s="3463"/>
      <c r="AC64" s="3464"/>
      <c r="AD64" s="3464"/>
      <c r="AE64" s="3464"/>
      <c r="AF64" s="3459"/>
      <c r="AG64" s="3459"/>
      <c r="AH64" s="3460"/>
      <c r="AI64" s="2483" t="str">
        <f t="shared" si="7"/>
        <v/>
      </c>
      <c r="AJ64" s="2523"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3003" t="str">
        <f t="shared" si="9"/>
        <v/>
      </c>
      <c r="AL64" s="1800"/>
      <c r="AM64" s="3087" t="str">
        <f t="shared" si="8"/>
        <v/>
      </c>
      <c r="AW64" s="3050"/>
      <c r="AX64" s="1872"/>
      <c r="AY64" s="1872"/>
    </row>
    <row r="65" spans="1:59" ht="12" customHeight="1" thickBot="1" x14ac:dyDescent="0.25">
      <c r="A65" s="45"/>
      <c r="B65" s="2372"/>
      <c r="C65" s="3440"/>
      <c r="D65" s="3425"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
      </c>
      <c r="E65" s="3425"/>
      <c r="F65" s="3425"/>
      <c r="G65" s="3425"/>
      <c r="H65" s="3425"/>
      <c r="I65" s="3425"/>
      <c r="J65" s="3425"/>
      <c r="K65" s="1774"/>
      <c r="L65" s="3349"/>
      <c r="M65" s="3276" t="s">
        <v>1083</v>
      </c>
      <c r="N65" s="3276"/>
      <c r="O65" s="3281"/>
      <c r="P65" s="3281"/>
      <c r="Q65" s="1566" t="str">
        <f>IF(Alquimia_final="-","-",Alquimia_final+O65)</f>
        <v>-</v>
      </c>
      <c r="R65" s="1782"/>
      <c r="S65" s="2670">
        <f>IF(V65="",MAX($S$41:S64)+1,0)</f>
        <v>24</v>
      </c>
      <c r="T65" s="2669">
        <f>IF(V65="",0,MAX($T$41:T64)+1)</f>
        <v>0</v>
      </c>
      <c r="U65" s="2706">
        <f>IF(V65="",Tablas!A24,IF(COUNTIF(V$42:V64,V65)&gt;0,V65&amp;COUNTIF(V$42:V64,V65)+1,V65&amp;1))</f>
        <v>24</v>
      </c>
      <c r="V65" s="3441"/>
      <c r="W65" s="3442"/>
      <c r="X65" s="3442"/>
      <c r="Y65" s="3442"/>
      <c r="Z65" s="3442"/>
      <c r="AA65" s="3442"/>
      <c r="AB65" s="3463"/>
      <c r="AC65" s="3464"/>
      <c r="AD65" s="3464"/>
      <c r="AE65" s="3464"/>
      <c r="AF65" s="3459"/>
      <c r="AG65" s="3459"/>
      <c r="AH65" s="3460"/>
      <c r="AI65" s="2483" t="str">
        <f t="shared" si="7"/>
        <v/>
      </c>
      <c r="AJ65" s="2523"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3003" t="str">
        <f t="shared" si="9"/>
        <v/>
      </c>
      <c r="AL65" s="1800"/>
      <c r="AM65" s="3087" t="str">
        <f t="shared" si="8"/>
        <v/>
      </c>
      <c r="AW65" s="3050"/>
      <c r="AX65" s="1872"/>
      <c r="AY65" s="1872"/>
      <c r="AZ65" s="3001"/>
      <c r="BA65" s="3001"/>
      <c r="BB65" s="3002"/>
      <c r="BC65" s="3002"/>
      <c r="BD65" s="2963"/>
      <c r="BE65" s="2963"/>
      <c r="BF65" s="2963"/>
      <c r="BG65" s="2963"/>
    </row>
    <row r="66" spans="1:59" ht="12" customHeight="1" thickBot="1" x14ac:dyDescent="0.25">
      <c r="A66" s="45"/>
      <c r="B66" s="2372"/>
      <c r="F66" s="67"/>
      <c r="K66" s="1774"/>
      <c r="L66" s="3349"/>
      <c r="M66" s="3276" t="s">
        <v>1084</v>
      </c>
      <c r="N66" s="3276"/>
      <c r="O66" s="3281"/>
      <c r="P66" s="3281"/>
      <c r="Q66" s="1566" t="str">
        <f>IF(Animismo_final="-","-",Animismo_final+O66)</f>
        <v>-</v>
      </c>
      <c r="R66" s="1782"/>
      <c r="S66" s="2670">
        <f>IF(V66="",MAX($S$41:S65)+1,0)</f>
        <v>25</v>
      </c>
      <c r="T66" s="2669">
        <f>IF(V66="",0,MAX($T$41:T65)+1)</f>
        <v>0</v>
      </c>
      <c r="U66" s="2706">
        <f>IF(V66="",Tablas!A25,IF(COUNTIF(V$42:V65,V66)&gt;0,V66&amp;COUNTIF(V$42:V65,V66)+1,V66&amp;1))</f>
        <v>25</v>
      </c>
      <c r="V66" s="3441"/>
      <c r="W66" s="3442"/>
      <c r="X66" s="3442"/>
      <c r="Y66" s="3442"/>
      <c r="Z66" s="3442"/>
      <c r="AA66" s="3442"/>
      <c r="AB66" s="3463"/>
      <c r="AC66" s="3464"/>
      <c r="AD66" s="3464"/>
      <c r="AE66" s="3464"/>
      <c r="AF66" s="3459"/>
      <c r="AG66" s="3459"/>
      <c r="AH66" s="3460"/>
      <c r="AI66" s="2483" t="str">
        <f t="shared" si="7"/>
        <v/>
      </c>
      <c r="AJ66" s="2523"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3003" t="str">
        <f t="shared" si="9"/>
        <v/>
      </c>
      <c r="AL66" s="1800"/>
      <c r="AM66" s="3087" t="str">
        <f t="shared" si="8"/>
        <v/>
      </c>
      <c r="AW66" s="3050"/>
      <c r="AX66" s="1872"/>
      <c r="AY66" s="1872"/>
      <c r="AZ66" s="3001"/>
      <c r="BA66" s="3001"/>
      <c r="BB66" s="3002"/>
      <c r="BC66" s="3002"/>
      <c r="BD66" s="2963"/>
      <c r="BE66" s="2963"/>
      <c r="BF66" s="2963"/>
      <c r="BG66" s="2963"/>
    </row>
    <row r="67" spans="1:59" ht="12" customHeight="1" thickBot="1" x14ac:dyDescent="0.25">
      <c r="A67" s="45"/>
      <c r="B67" s="2372"/>
      <c r="C67" s="3469" t="s">
        <v>1785</v>
      </c>
      <c r="D67" s="3469"/>
      <c r="E67" s="110">
        <f>IF(INT=0,0,VLOOKUP(INT,Tabla_Idiomas,2))</f>
        <v>1</v>
      </c>
      <c r="F67" s="67"/>
      <c r="G67" s="3470" t="s">
        <v>1786</v>
      </c>
      <c r="H67" s="3471"/>
      <c r="I67" s="3471"/>
      <c r="J67" s="3472"/>
      <c r="K67" s="1774"/>
      <c r="L67" s="3349"/>
      <c r="M67" s="3276" t="s">
        <v>1784</v>
      </c>
      <c r="N67" s="3276"/>
      <c r="O67" s="3281"/>
      <c r="P67" s="3281"/>
      <c r="Q67" s="1566" t="str">
        <f>IF(Música_final="-","-",Música_final+O67)</f>
        <v>-</v>
      </c>
      <c r="R67" s="1782"/>
      <c r="S67" s="2670">
        <f>IF(V67="",MAX($S$41:S66)+1,0)</f>
        <v>26</v>
      </c>
      <c r="T67" s="2669">
        <f>IF(V67="",0,MAX($T$41:T66)+1)</f>
        <v>0</v>
      </c>
      <c r="U67" s="2706">
        <f>IF(V67="",Tablas!A26,IF(COUNTIF(V$42:V66,V67)&gt;0,V67&amp;COUNTIF(V$42:V66,V67)+1,V67&amp;1))</f>
        <v>26</v>
      </c>
      <c r="V67" s="3441"/>
      <c r="W67" s="3442"/>
      <c r="X67" s="3442"/>
      <c r="Y67" s="3442"/>
      <c r="Z67" s="3442"/>
      <c r="AA67" s="3442"/>
      <c r="AB67" s="3463"/>
      <c r="AC67" s="3464"/>
      <c r="AD67" s="3464"/>
      <c r="AE67" s="3464"/>
      <c r="AF67" s="3459"/>
      <c r="AG67" s="3459"/>
      <c r="AH67" s="3460"/>
      <c r="AI67" s="2483" t="str">
        <f t="shared" si="7"/>
        <v/>
      </c>
      <c r="AJ67" s="2523"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3003" t="str">
        <f t="shared" si="9"/>
        <v/>
      </c>
      <c r="AL67" s="1800"/>
      <c r="AM67" s="3087" t="str">
        <f t="shared" si="8"/>
        <v/>
      </c>
      <c r="AW67" s="3050"/>
      <c r="AX67" s="1872"/>
      <c r="AY67" s="1872"/>
      <c r="AZ67" s="3001"/>
      <c r="BA67" s="3001"/>
      <c r="BB67" s="3002"/>
      <c r="BC67" s="3002"/>
      <c r="BD67" s="2963"/>
      <c r="BE67" s="2963"/>
      <c r="BF67" s="2963"/>
      <c r="BG67" s="2963"/>
    </row>
    <row r="68" spans="1:59" ht="12" customHeight="1" x14ac:dyDescent="0.2">
      <c r="A68" s="45"/>
      <c r="B68" s="2372"/>
      <c r="C68" s="91" t="s">
        <v>1674</v>
      </c>
      <c r="D68" s="3475"/>
      <c r="E68" s="3475"/>
      <c r="F68" s="67"/>
      <c r="G68" s="3478"/>
      <c r="H68" s="3479"/>
      <c r="I68" s="3479"/>
      <c r="J68" s="3480"/>
      <c r="K68" s="1774"/>
      <c r="L68" s="3349"/>
      <c r="M68" s="3276" t="s">
        <v>1787</v>
      </c>
      <c r="N68" s="3276"/>
      <c r="O68" s="3281"/>
      <c r="P68" s="3281"/>
      <c r="Q68" s="1566">
        <f>IF(T.Manos_final="-","-",T.Manos_final+O68)</f>
        <v>-30</v>
      </c>
      <c r="R68" s="1782"/>
      <c r="S68" s="2670">
        <f>IF(V68="",MAX($S$41:S67)+1,0)</f>
        <v>27</v>
      </c>
      <c r="T68" s="2669">
        <f>IF(V68="",0,MAX($T$41:T67)+1)</f>
        <v>0</v>
      </c>
      <c r="U68" s="2706">
        <f>IF(V68="",Tablas!A27,IF(COUNTIF(V$42:V67,V68)&gt;0,V68&amp;COUNTIF(V$42:V67,V68)+1,V68&amp;1))</f>
        <v>27</v>
      </c>
      <c r="V68" s="3441"/>
      <c r="W68" s="3442"/>
      <c r="X68" s="3442"/>
      <c r="Y68" s="3442"/>
      <c r="Z68" s="3442"/>
      <c r="AA68" s="3442"/>
      <c r="AB68" s="3463"/>
      <c r="AC68" s="3464"/>
      <c r="AD68" s="3464"/>
      <c r="AE68" s="3464"/>
      <c r="AF68" s="3459"/>
      <c r="AG68" s="3459"/>
      <c r="AH68" s="3460"/>
      <c r="AI68" s="2483" t="str">
        <f t="shared" si="7"/>
        <v/>
      </c>
      <c r="AJ68" s="2523"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3003" t="str">
        <f t="shared" si="9"/>
        <v/>
      </c>
      <c r="AL68" s="1800"/>
      <c r="AM68" s="3087" t="str">
        <f t="shared" si="8"/>
        <v/>
      </c>
      <c r="AW68" s="3050"/>
      <c r="AX68" s="1872"/>
      <c r="AY68" s="1872"/>
      <c r="AZ68" s="3001"/>
      <c r="BA68" s="3001"/>
      <c r="BB68" s="3002"/>
      <c r="BC68" s="3002"/>
      <c r="BD68" s="2963"/>
      <c r="BE68" s="2963"/>
      <c r="BF68" s="2963"/>
      <c r="BG68" s="2963"/>
    </row>
    <row r="69" spans="1:59" ht="12" customHeight="1" x14ac:dyDescent="0.2">
      <c r="A69" s="45"/>
      <c r="B69" s="2372"/>
      <c r="C69" s="111" t="s">
        <v>1789</v>
      </c>
      <c r="D69" s="3429"/>
      <c r="E69" s="3429"/>
      <c r="F69" s="67"/>
      <c r="G69" s="3481"/>
      <c r="H69" s="3482"/>
      <c r="I69" s="3482"/>
      <c r="J69" s="3483"/>
      <c r="K69" s="1774"/>
      <c r="L69" s="3349"/>
      <c r="M69" s="3276" t="s">
        <v>7755</v>
      </c>
      <c r="N69" s="3276"/>
      <c r="O69" s="3281"/>
      <c r="P69" s="3281"/>
      <c r="Q69" s="1566" t="str">
        <f>IF(Caligrafíaritual_final="-","-",Caligrafíaritual_final+O69)</f>
        <v>-</v>
      </c>
      <c r="R69" s="1782"/>
      <c r="S69" s="2670">
        <f>IF(V69="",MAX($S$41:S68)+1,0)</f>
        <v>28</v>
      </c>
      <c r="T69" s="2669">
        <f>IF(V69="",0,MAX($T$41:T68)+1)</f>
        <v>0</v>
      </c>
      <c r="U69" s="2706">
        <f>IF(V69="",Tablas!A28,IF(COUNTIF(V$42:V68,V69)&gt;0,V69&amp;COUNTIF(V$42:V68,V69)+1,V69&amp;1))</f>
        <v>28</v>
      </c>
      <c r="V69" s="3447"/>
      <c r="W69" s="3448"/>
      <c r="X69" s="3448"/>
      <c r="Y69" s="3448"/>
      <c r="Z69" s="3448"/>
      <c r="AA69" s="3448"/>
      <c r="AB69" s="3497"/>
      <c r="AC69" s="3498"/>
      <c r="AD69" s="3498"/>
      <c r="AE69" s="3498"/>
      <c r="AF69" s="3461"/>
      <c r="AG69" s="3461"/>
      <c r="AH69" s="3462"/>
      <c r="AI69" s="2626" t="str">
        <f t="shared" si="7"/>
        <v/>
      </c>
      <c r="AJ69" s="2523"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3003" t="str">
        <f t="shared" si="9"/>
        <v/>
      </c>
      <c r="AL69" s="1800"/>
      <c r="AM69" s="3087" t="str">
        <f t="shared" si="8"/>
        <v/>
      </c>
      <c r="AW69" s="3050"/>
      <c r="AX69" s="1872"/>
      <c r="AY69" s="1872"/>
      <c r="AZ69" s="3001"/>
      <c r="BA69" s="3001"/>
      <c r="BB69" s="3002"/>
      <c r="BC69" s="3002"/>
      <c r="BD69" s="2963"/>
      <c r="BE69" s="2963"/>
      <c r="BF69" s="2963"/>
      <c r="BG69" s="2963"/>
    </row>
    <row r="70" spans="1:59" ht="12" customHeight="1" x14ac:dyDescent="0.2">
      <c r="A70" s="45"/>
      <c r="B70" s="2372"/>
      <c r="C70" s="94" t="s">
        <v>1790</v>
      </c>
      <c r="D70" s="3429"/>
      <c r="E70" s="3429"/>
      <c r="F70" s="67"/>
      <c r="G70" s="3481"/>
      <c r="H70" s="3482"/>
      <c r="I70" s="3482"/>
      <c r="J70" s="3483"/>
      <c r="K70" s="1778"/>
      <c r="L70" s="3349"/>
      <c r="M70" s="3276" t="s">
        <v>7756</v>
      </c>
      <c r="N70" s="3276"/>
      <c r="O70" s="3281"/>
      <c r="P70" s="3281"/>
      <c r="Q70" s="1566">
        <f>IF(Orfebrería_final="-","-",Orfebrería_final+O70)</f>
        <v>-30</v>
      </c>
      <c r="R70" s="2377"/>
      <c r="S70" s="2668"/>
      <c r="T70" s="2669"/>
      <c r="U70" s="2705"/>
      <c r="V70" s="3449"/>
      <c r="W70" s="3450"/>
      <c r="X70" s="3450"/>
      <c r="Y70" s="3450"/>
      <c r="Z70" s="3450"/>
      <c r="AA70" s="3450"/>
      <c r="AB70" s="3453"/>
      <c r="AC70" s="3454"/>
      <c r="AD70" s="3454"/>
      <c r="AE70" s="3454"/>
      <c r="AF70" s="3454"/>
      <c r="AG70" s="3454"/>
      <c r="AH70" s="3455"/>
      <c r="AI70" s="3445"/>
      <c r="AJ70" s="3443"/>
      <c r="AK70" s="3003"/>
      <c r="AL70" s="1800"/>
      <c r="AW70" s="3050"/>
      <c r="AX70" s="1872"/>
      <c r="AY70" s="1872"/>
      <c r="AZ70" s="3001"/>
      <c r="BA70" s="3001"/>
      <c r="BB70" s="3002"/>
      <c r="BC70" s="3002"/>
      <c r="BD70" s="2963"/>
      <c r="BE70" s="2963"/>
      <c r="BF70" s="2963"/>
      <c r="BG70" s="2963"/>
    </row>
    <row r="71" spans="1:59" ht="12" customHeight="1" x14ac:dyDescent="0.2">
      <c r="A71" s="45"/>
      <c r="B71" s="2372"/>
      <c r="C71" s="94" t="s">
        <v>1791</v>
      </c>
      <c r="D71" s="3429"/>
      <c r="E71" s="3429"/>
      <c r="F71" s="67"/>
      <c r="G71" s="3481"/>
      <c r="H71" s="3482"/>
      <c r="I71" s="3482"/>
      <c r="J71" s="3483"/>
      <c r="K71" s="1778"/>
      <c r="L71" s="3349"/>
      <c r="M71" s="3276" t="s">
        <v>7757</v>
      </c>
      <c r="N71" s="3276"/>
      <c r="O71" s="3281"/>
      <c r="P71" s="3281"/>
      <c r="Q71" s="1566" t="str">
        <f>IF(Confección_final="-","-",Confección_final+O71)</f>
        <v>-</v>
      </c>
      <c r="R71" s="2377"/>
      <c r="S71" s="2668"/>
      <c r="T71" s="2669"/>
      <c r="U71" s="2705"/>
      <c r="V71" s="3451"/>
      <c r="W71" s="3452"/>
      <c r="X71" s="3452"/>
      <c r="Y71" s="3452"/>
      <c r="Z71" s="3452"/>
      <c r="AA71" s="3452"/>
      <c r="AB71" s="3456"/>
      <c r="AC71" s="3457"/>
      <c r="AD71" s="3457"/>
      <c r="AE71" s="3457"/>
      <c r="AF71" s="3457"/>
      <c r="AG71" s="3457"/>
      <c r="AH71" s="3458"/>
      <c r="AI71" s="3446"/>
      <c r="AJ71" s="3444"/>
      <c r="AK71" s="3003"/>
      <c r="AL71" s="1800"/>
      <c r="AW71" s="3050"/>
      <c r="AX71" s="1872"/>
      <c r="AY71" s="1872"/>
      <c r="AZ71" s="3001"/>
      <c r="BA71" s="3001"/>
      <c r="BB71" s="3002"/>
      <c r="BC71" s="3002"/>
      <c r="BD71" s="2963"/>
      <c r="BE71" s="2963"/>
      <c r="BF71" s="2963"/>
      <c r="BG71" s="2963"/>
    </row>
    <row r="72" spans="1:59" ht="12" customHeight="1" thickBot="1" x14ac:dyDescent="0.25">
      <c r="A72" s="45"/>
      <c r="B72" s="2372"/>
      <c r="C72" s="94" t="s">
        <v>1792</v>
      </c>
      <c r="D72" s="3429"/>
      <c r="E72" s="3429"/>
      <c r="F72" s="63"/>
      <c r="G72" s="3481"/>
      <c r="H72" s="3482"/>
      <c r="I72" s="3482"/>
      <c r="J72" s="3483"/>
      <c r="K72" s="1774"/>
      <c r="L72" s="3350"/>
      <c r="M72" s="3477" t="s">
        <v>7758</v>
      </c>
      <c r="N72" s="3477"/>
      <c r="O72" s="3371"/>
      <c r="P72" s="3371"/>
      <c r="Q72" s="1567" t="str">
        <f>IF(Conf.marionetas_final="-","-",Conf.marionetas_final+O72)</f>
        <v>-</v>
      </c>
      <c r="R72" s="1782"/>
      <c r="S72" s="2668"/>
      <c r="T72" s="2669"/>
      <c r="U72" s="2705"/>
      <c r="V72" s="3465" t="str">
        <f>IF(SUM(AJ42:AJ69)&gt;PDs!T5/2,"Exceso de PDs en Poderes","")</f>
        <v/>
      </c>
      <c r="W72" s="3465"/>
      <c r="X72" s="3465"/>
      <c r="Y72" s="3465"/>
      <c r="Z72" s="3465"/>
      <c r="AA72" s="3465"/>
      <c r="AB72" s="3465"/>
      <c r="AC72" s="3465"/>
      <c r="AD72" s="3465"/>
      <c r="AE72" s="3465"/>
      <c r="AF72" s="3465"/>
      <c r="AG72" s="3465"/>
      <c r="AH72" s="3465"/>
      <c r="AI72" s="3465"/>
      <c r="AJ72" s="3465"/>
      <c r="AK72" s="3003"/>
      <c r="AL72" s="1800"/>
      <c r="AW72" s="3050"/>
      <c r="AX72" s="1872"/>
      <c r="AY72" s="1872"/>
      <c r="AZ72" s="3001"/>
      <c r="BA72" s="3001"/>
      <c r="BB72" s="3002"/>
      <c r="BC72" s="3002"/>
      <c r="BD72" s="2963"/>
      <c r="BE72" s="2963"/>
      <c r="BF72" s="2963"/>
      <c r="BG72" s="2963"/>
    </row>
    <row r="73" spans="1:59" ht="12" customHeight="1" x14ac:dyDescent="0.2">
      <c r="A73" s="45"/>
      <c r="B73" s="2372"/>
      <c r="C73" s="94" t="s">
        <v>1793</v>
      </c>
      <c r="D73" s="3429"/>
      <c r="E73" s="3429"/>
      <c r="F73" s="63"/>
      <c r="G73" s="3481"/>
      <c r="H73" s="3482"/>
      <c r="I73" s="3482"/>
      <c r="J73" s="3483"/>
      <c r="K73" s="1774"/>
      <c r="L73" s="3349" t="s">
        <v>1788</v>
      </c>
      <c r="M73" s="3276" t="str">
        <f>IF(PDs!E177="","-",PDs!E177)</f>
        <v>-</v>
      </c>
      <c r="N73" s="3276"/>
      <c r="O73" s="3281"/>
      <c r="P73" s="3281"/>
      <c r="Q73" s="1566" t="str">
        <f>IF(PDs!AA177="-","-",PDs!AA177+O73)</f>
        <v>-</v>
      </c>
      <c r="R73" s="1782"/>
      <c r="S73" s="2668"/>
      <c r="T73" s="2669"/>
      <c r="U73" s="2705"/>
      <c r="V73" s="67"/>
      <c r="W73" s="67"/>
      <c r="X73" s="67"/>
      <c r="Y73" s="67"/>
      <c r="Z73" s="67"/>
      <c r="AA73" s="67"/>
      <c r="AB73" s="67"/>
      <c r="AC73" s="67"/>
      <c r="AD73" s="67"/>
      <c r="AE73" s="67"/>
      <c r="AF73" s="67"/>
      <c r="AG73" s="67"/>
      <c r="AH73" s="67"/>
      <c r="AI73" s="67"/>
      <c r="AJ73" s="67"/>
      <c r="AK73" s="3003"/>
      <c r="AL73" s="1800"/>
      <c r="AW73" s="3050"/>
      <c r="AX73" s="1872"/>
      <c r="AY73" s="1872"/>
      <c r="AZ73" s="3001"/>
      <c r="BA73" s="3001"/>
      <c r="BB73" s="3002"/>
      <c r="BC73" s="3002"/>
      <c r="BD73" s="2963"/>
      <c r="BE73" s="2963"/>
      <c r="BF73" s="2963"/>
      <c r="BG73" s="2963"/>
    </row>
    <row r="74" spans="1:59" ht="12" customHeight="1" x14ac:dyDescent="0.2">
      <c r="A74" s="45"/>
      <c r="B74" s="2372"/>
      <c r="C74" s="94" t="s">
        <v>1794</v>
      </c>
      <c r="D74" s="3429"/>
      <c r="E74" s="3429"/>
      <c r="F74" s="63"/>
      <c r="G74" s="3481"/>
      <c r="H74" s="3482"/>
      <c r="I74" s="3482"/>
      <c r="J74" s="3483"/>
      <c r="K74" s="1774"/>
      <c r="L74" s="3349"/>
      <c r="M74" s="3276" t="str">
        <f>IF(PDs!E178="","-",PDs!E178)</f>
        <v>-</v>
      </c>
      <c r="N74" s="3276"/>
      <c r="O74" s="3281"/>
      <c r="P74" s="3281"/>
      <c r="Q74" s="1566" t="str">
        <f>IF(PDs!AA178="-","-",PDs!AA178+O74)</f>
        <v>-</v>
      </c>
      <c r="R74" s="1782"/>
      <c r="S74" s="2668"/>
      <c r="T74" s="2669"/>
      <c r="U74" s="2705"/>
      <c r="V74" s="67"/>
      <c r="W74" s="67"/>
      <c r="X74" s="67"/>
      <c r="Y74" s="67"/>
      <c r="Z74" s="67"/>
      <c r="AA74" s="67"/>
      <c r="AB74" s="67"/>
      <c r="AC74" s="67"/>
      <c r="AD74" s="67"/>
      <c r="AE74" s="67"/>
      <c r="AF74" s="67"/>
      <c r="AG74" s="67"/>
      <c r="AH74" s="67"/>
      <c r="AI74" s="67"/>
      <c r="AJ74" s="67"/>
      <c r="AK74" s="3003"/>
      <c r="AL74" s="1800"/>
    </row>
    <row r="75" spans="1:59" ht="12" customHeight="1" thickBot="1" x14ac:dyDescent="0.25">
      <c r="A75" s="45"/>
      <c r="B75" s="2372"/>
      <c r="C75" s="94" t="s">
        <v>1796</v>
      </c>
      <c r="D75" s="3429"/>
      <c r="E75" s="3429"/>
      <c r="F75" s="63"/>
      <c r="G75" s="3484"/>
      <c r="H75" s="3485"/>
      <c r="I75" s="3485"/>
      <c r="J75" s="3486"/>
      <c r="K75" s="1774"/>
      <c r="L75" s="3349"/>
      <c r="M75" s="3276" t="str">
        <f>IF(PDs!E179="","-",PDs!E179)</f>
        <v>-</v>
      </c>
      <c r="N75" s="3276"/>
      <c r="O75" s="3281"/>
      <c r="P75" s="3281"/>
      <c r="Q75" s="1566" t="str">
        <f>IF(PDs!AA179="-","-",PDs!AA179+O75)</f>
        <v>-</v>
      </c>
      <c r="R75" s="1782"/>
      <c r="S75" s="2668"/>
      <c r="T75" s="2669"/>
      <c r="U75" s="2705"/>
      <c r="V75" s="67"/>
      <c r="W75" s="67"/>
      <c r="X75" s="67"/>
      <c r="Y75" s="67"/>
      <c r="Z75" s="67"/>
      <c r="AA75" s="67"/>
      <c r="AB75" s="67"/>
      <c r="AC75" s="67"/>
      <c r="AD75" s="67"/>
      <c r="AE75" s="67"/>
      <c r="AF75" s="67"/>
      <c r="AG75" s="67"/>
      <c r="AH75" s="67"/>
      <c r="AI75" s="67"/>
      <c r="AJ75" s="67"/>
      <c r="AK75" s="3003"/>
      <c r="AL75" s="1800"/>
    </row>
    <row r="76" spans="1:59" ht="12" customHeight="1" x14ac:dyDescent="0.2">
      <c r="A76" s="45"/>
      <c r="B76" s="2372"/>
      <c r="C76" s="94" t="s">
        <v>1797</v>
      </c>
      <c r="D76" s="3429"/>
      <c r="E76" s="3429"/>
      <c r="F76" s="63"/>
      <c r="G76" s="3476" t="s">
        <v>1795</v>
      </c>
      <c r="H76" s="3476"/>
      <c r="I76" s="3476"/>
      <c r="J76" s="3106" t="str">
        <f>IF(TipoDeCriatura="Natural",IF(AB14&gt;19,9,IF(AB14&gt;14,6,IF(AB14&gt;9,3,0))),"")</f>
        <v/>
      </c>
      <c r="K76" s="1774"/>
      <c r="L76" s="3349"/>
      <c r="M76" s="3276" t="str">
        <f>IF(PDs!E180="","-",PDs!E180)</f>
        <v>-</v>
      </c>
      <c r="N76" s="3276"/>
      <c r="O76" s="3281"/>
      <c r="P76" s="3281"/>
      <c r="Q76" s="1566" t="str">
        <f>IF(PDs!AA180="-","-",PDs!AA180+O76)</f>
        <v>-</v>
      </c>
      <c r="R76" s="1782"/>
      <c r="S76" s="2668"/>
      <c r="T76" s="2669"/>
      <c r="U76" s="2705"/>
      <c r="V76" s="67"/>
      <c r="W76" s="67"/>
      <c r="X76" s="67"/>
      <c r="Y76" s="67"/>
      <c r="Z76" s="67"/>
      <c r="AA76" s="67"/>
      <c r="AB76" s="67"/>
      <c r="AC76" s="67"/>
      <c r="AD76" s="67"/>
      <c r="AE76" s="67"/>
      <c r="AF76" s="67"/>
      <c r="AG76" s="67"/>
      <c r="AH76" s="67"/>
      <c r="AI76" s="67"/>
      <c r="AJ76" s="67"/>
      <c r="AK76" s="3003"/>
      <c r="AL76" s="1800"/>
    </row>
    <row r="77" spans="1:59" ht="12" customHeight="1" thickBot="1" x14ac:dyDescent="0.25">
      <c r="A77" s="45"/>
      <c r="B77" s="2372"/>
      <c r="C77" s="113" t="s">
        <v>1798</v>
      </c>
      <c r="D77" s="3468"/>
      <c r="E77" s="3468"/>
      <c r="F77" s="63"/>
      <c r="G77" s="3467" t="s">
        <v>8668</v>
      </c>
      <c r="H77" s="3467"/>
      <c r="I77" s="3467"/>
      <c r="J77" s="24"/>
      <c r="K77" s="1774"/>
      <c r="L77" s="3473"/>
      <c r="M77" s="3474" t="str">
        <f>IF(PDs!E181="","-",PDs!E181)</f>
        <v>-</v>
      </c>
      <c r="N77" s="3474"/>
      <c r="O77" s="3466"/>
      <c r="P77" s="3466"/>
      <c r="Q77" s="1568" t="str">
        <f>IF(PDs!AA181="-","-",PDs!AA181+O77)</f>
        <v>-</v>
      </c>
      <c r="R77" s="1782"/>
      <c r="S77" s="2668"/>
      <c r="T77" s="2669"/>
      <c r="U77" s="2705"/>
      <c r="V77" s="67"/>
      <c r="W77" s="67"/>
      <c r="X77" s="67"/>
      <c r="Y77" s="67"/>
      <c r="Z77" s="67"/>
      <c r="AA77" s="67"/>
      <c r="AB77" s="67"/>
      <c r="AC77" s="67"/>
      <c r="AD77" s="67"/>
      <c r="AE77" s="67"/>
      <c r="AF77" s="67"/>
      <c r="AG77" s="67"/>
      <c r="AH77" s="67"/>
      <c r="AI77" s="67"/>
      <c r="AJ77" s="67"/>
      <c r="AK77" s="3003"/>
      <c r="AL77" s="1800"/>
    </row>
    <row r="78" spans="1:59" ht="12" customHeight="1" thickBot="1" x14ac:dyDescent="0.25">
      <c r="A78" s="45"/>
      <c r="B78" s="2375"/>
      <c r="C78" s="1784"/>
      <c r="D78" s="1784"/>
      <c r="E78" s="1784"/>
      <c r="F78" s="1784"/>
      <c r="G78" s="1784"/>
      <c r="H78" s="1784"/>
      <c r="I78" s="1784"/>
      <c r="J78" s="1784"/>
      <c r="K78" s="1785"/>
      <c r="L78" s="1784"/>
      <c r="M78" s="1784"/>
      <c r="N78" s="1784"/>
      <c r="O78" s="1784"/>
      <c r="P78" s="1784"/>
      <c r="Q78" s="1784"/>
      <c r="R78" s="1786"/>
      <c r="S78" s="2668"/>
      <c r="T78" s="2669"/>
      <c r="U78" s="2707"/>
      <c r="V78" s="2680"/>
      <c r="W78" s="2680"/>
      <c r="X78" s="2680"/>
      <c r="Y78" s="2680"/>
      <c r="Z78" s="2680"/>
      <c r="AA78" s="2680"/>
      <c r="AB78" s="2680"/>
      <c r="AC78" s="2680"/>
      <c r="AD78" s="2680"/>
      <c r="AE78" s="2680"/>
      <c r="AF78" s="2680"/>
      <c r="AG78" s="2680"/>
      <c r="AH78" s="2680"/>
      <c r="AI78" s="2680"/>
      <c r="AJ78" s="2680"/>
      <c r="AK78" s="3005"/>
      <c r="AL78" s="1800"/>
    </row>
    <row r="79" spans="1:59" ht="12" customHeight="1" x14ac:dyDescent="0.2">
      <c r="A79" s="45"/>
      <c r="B79" s="53"/>
      <c r="C79" s="46"/>
      <c r="D79" s="46"/>
      <c r="E79" s="46"/>
      <c r="F79" s="46"/>
      <c r="G79" s="46"/>
      <c r="H79" s="46"/>
      <c r="I79" s="46"/>
      <c r="J79" s="46"/>
      <c r="K79" s="1771"/>
      <c r="L79" s="46"/>
      <c r="M79" s="46"/>
      <c r="N79" s="46"/>
      <c r="O79" s="46"/>
      <c r="P79" s="46"/>
      <c r="Q79" s="46"/>
      <c r="R79" s="2462"/>
      <c r="S79" s="2670"/>
      <c r="T79" s="2669"/>
      <c r="U79" s="4"/>
      <c r="V79" s="4"/>
      <c r="W79" s="4"/>
      <c r="X79" s="4"/>
      <c r="Y79" s="4"/>
      <c r="Z79" s="4"/>
      <c r="AA79" s="4"/>
      <c r="AB79" s="4"/>
      <c r="AC79" s="4"/>
      <c r="AD79" s="4"/>
      <c r="AE79" s="4"/>
      <c r="AF79" s="4"/>
      <c r="AG79" s="4"/>
      <c r="AH79" s="4"/>
      <c r="AI79" s="4"/>
      <c r="AJ79" s="4"/>
      <c r="AK79" s="1800"/>
      <c r="AL79" s="1800"/>
    </row>
  </sheetData>
  <sheetProtection selectLockedCells="1"/>
  <mergeCells count="398">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AD11:AF11"/>
    <mergeCell ref="AG11:AH11"/>
    <mergeCell ref="AD12:AF12"/>
    <mergeCell ref="AG12:AH12"/>
    <mergeCell ref="AD13:AF13"/>
    <mergeCell ref="AG13:AH13"/>
    <mergeCell ref="AD14:AF14"/>
    <mergeCell ref="AG14:AH14"/>
    <mergeCell ref="AD15:AF15"/>
    <mergeCell ref="AG15:AH15"/>
    <mergeCell ref="M37:N37"/>
    <mergeCell ref="V47:AA47"/>
    <mergeCell ref="V51:AA51"/>
    <mergeCell ref="V54:AA54"/>
    <mergeCell ref="V44:AA44"/>
    <mergeCell ref="M45:N45"/>
    <mergeCell ref="V45:AA45"/>
    <mergeCell ref="V43:AA43"/>
    <mergeCell ref="V41:AA41"/>
    <mergeCell ref="V48:AA48"/>
    <mergeCell ref="M49:N49"/>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47:F47"/>
    <mergeCell ref="C49:F49"/>
    <mergeCell ref="C43:F43"/>
    <mergeCell ref="C44:F44"/>
    <mergeCell ref="C50:F50"/>
    <mergeCell ref="C51:F51"/>
    <mergeCell ref="G52:J52"/>
    <mergeCell ref="G47:J47"/>
    <mergeCell ref="C52:F52"/>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F28:G29"/>
    <mergeCell ref="H28:H29"/>
    <mergeCell ref="J18:K1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s>
  <phoneticPr fontId="9" type="noConversion"/>
  <conditionalFormatting sqref="C41:C42 D46:F47 C49:F49 C39:F39 D40:F41">
    <cfRule type="expression" dxfId="838" priority="58" stopIfTrue="1">
      <formula>NA()</formula>
    </cfRule>
    <cfRule type="expression" dxfId="837" priority="59" stopIfTrue="1">
      <formula>NA()</formula>
    </cfRule>
  </conditionalFormatting>
  <conditionalFormatting sqref="F35">
    <cfRule type="expression" dxfId="836" priority="60" stopIfTrue="1">
      <formula>A39=1</formula>
    </cfRule>
    <cfRule type="expression" dxfId="835" priority="61" stopIfTrue="1">
      <formula>A39</formula>
    </cfRule>
  </conditionalFormatting>
  <conditionalFormatting sqref="D111:G116">
    <cfRule type="cellIs" dxfId="834" priority="62" stopIfTrue="1" operator="equal">
      <formula>0</formula>
    </cfRule>
    <cfRule type="expression" dxfId="833" priority="63" stopIfTrue="1">
      <formula>NA()</formula>
    </cfRule>
    <cfRule type="expression" dxfId="832" priority="64" stopIfTrue="1">
      <formula>NA()</formula>
    </cfRule>
  </conditionalFormatting>
  <conditionalFormatting sqref="C111:C116">
    <cfRule type="cellIs" dxfId="831" priority="65" stopIfTrue="1" operator="equal">
      <formula>0</formula>
    </cfRule>
    <cfRule type="expression" dxfId="830" priority="66" stopIfTrue="1">
      <formula>F1=1</formula>
    </cfRule>
    <cfRule type="expression" dxfId="829" priority="67" stopIfTrue="1">
      <formula>F1=2</formula>
    </cfRule>
  </conditionalFormatting>
  <conditionalFormatting sqref="AF35:AJ35">
    <cfRule type="expression" dxfId="828" priority="70" stopIfTrue="1">
      <formula>F1=1</formula>
    </cfRule>
    <cfRule type="expression" dxfId="827" priority="71" stopIfTrue="1">
      <formula>F1=2</formula>
    </cfRule>
  </conditionalFormatting>
  <conditionalFormatting sqref="AF30">
    <cfRule type="expression" dxfId="826" priority="72" stopIfTrue="1">
      <formula>F1=1</formula>
    </cfRule>
    <cfRule type="expression" dxfId="825" priority="73" stopIfTrue="1">
      <formula>F1=2</formula>
    </cfRule>
    <cfRule type="cellIs" dxfId="824" priority="74" stopIfTrue="1" operator="equal">
      <formula>0</formula>
    </cfRule>
  </conditionalFormatting>
  <conditionalFormatting sqref="AI42 AI12:AI23">
    <cfRule type="cellIs" dxfId="823" priority="75" stopIfTrue="1" operator="greaterThan">
      <formula>$AB$13</formula>
    </cfRule>
  </conditionalFormatting>
  <conditionalFormatting sqref="J34">
    <cfRule type="cellIs" dxfId="822" priority="79" stopIfTrue="1" operator="lessThan">
      <formula>0</formula>
    </cfRule>
  </conditionalFormatting>
  <conditionalFormatting sqref="V30">
    <cfRule type="expression" dxfId="821" priority="90" stopIfTrue="1">
      <formula>$V$39=1</formula>
    </cfRule>
    <cfRule type="expression" dxfId="820" priority="91" stopIfTrue="1">
      <formula>$V$39=2</formula>
    </cfRule>
    <cfRule type="cellIs" dxfId="819" priority="92" stopIfTrue="1" operator="equal">
      <formula>0</formula>
    </cfRule>
  </conditionalFormatting>
  <conditionalFormatting sqref="D35:E35">
    <cfRule type="expression" dxfId="818" priority="126" stopIfTrue="1">
      <formula>NA()</formula>
    </cfRule>
    <cfRule type="expression" dxfId="817" priority="127" stopIfTrue="1">
      <formula>NA()</formula>
    </cfRule>
  </conditionalFormatting>
  <conditionalFormatting sqref="C35">
    <cfRule type="expression" dxfId="816" priority="128" stopIfTrue="1">
      <formula>NA()</formula>
    </cfRule>
    <cfRule type="expression" dxfId="815" priority="129" stopIfTrue="1">
      <formula>NA()</formula>
    </cfRule>
  </conditionalFormatting>
  <conditionalFormatting sqref="D36:F36">
    <cfRule type="expression" dxfId="814" priority="130" stopIfTrue="1">
      <formula>NA()</formula>
    </cfRule>
    <cfRule type="expression" dxfId="813" priority="131" stopIfTrue="1">
      <formula>NA()</formula>
    </cfRule>
  </conditionalFormatting>
  <conditionalFormatting sqref="C36">
    <cfRule type="expression" dxfId="812" priority="132" stopIfTrue="1">
      <formula>NA()</formula>
    </cfRule>
    <cfRule type="expression" dxfId="811" priority="133" stopIfTrue="1">
      <formula>NA()</formula>
    </cfRule>
  </conditionalFormatting>
  <conditionalFormatting sqref="C40">
    <cfRule type="expression" dxfId="810" priority="134" stopIfTrue="1">
      <formula>NA()</formula>
    </cfRule>
    <cfRule type="expression" dxfId="809" priority="135" stopIfTrue="1">
      <formula>NA()</formula>
    </cfRule>
  </conditionalFormatting>
  <conditionalFormatting sqref="D38:F38">
    <cfRule type="expression" dxfId="808" priority="136" stopIfTrue="1">
      <formula>NA()</formula>
    </cfRule>
    <cfRule type="expression" dxfId="807" priority="137" stopIfTrue="1">
      <formula>NA()</formula>
    </cfRule>
  </conditionalFormatting>
  <conditionalFormatting sqref="C37:C38">
    <cfRule type="expression" dxfId="806" priority="138" stopIfTrue="1">
      <formula>NA()</formula>
    </cfRule>
    <cfRule type="expression" dxfId="805" priority="139" stopIfTrue="1">
      <formula>NA()</formula>
    </cfRule>
  </conditionalFormatting>
  <conditionalFormatting sqref="D37:F37">
    <cfRule type="expression" dxfId="804" priority="140" stopIfTrue="1">
      <formula>NA()</formula>
    </cfRule>
    <cfRule type="expression" dxfId="803" priority="141" stopIfTrue="1">
      <formula>NA()</formula>
    </cfRule>
  </conditionalFormatting>
  <conditionalFormatting sqref="AI70">
    <cfRule type="cellIs" dxfId="802" priority="158" stopIfTrue="1" operator="greaterThan">
      <formula>$AB$13</formula>
    </cfRule>
  </conditionalFormatting>
  <conditionalFormatting sqref="V69">
    <cfRule type="cellIs" dxfId="801" priority="159" stopIfTrue="1" operator="equal">
      <formula>"Armas naturales"</formula>
    </cfRule>
  </conditionalFormatting>
  <conditionalFormatting sqref="C46">
    <cfRule type="expression" dxfId="800" priority="42" stopIfTrue="1">
      <formula>NA()</formula>
    </cfRule>
    <cfRule type="expression" dxfId="799" priority="43" stopIfTrue="1">
      <formula>NA()</formula>
    </cfRule>
  </conditionalFormatting>
  <conditionalFormatting sqref="D43:F43">
    <cfRule type="expression" dxfId="798" priority="46" stopIfTrue="1">
      <formula>NA()</formula>
    </cfRule>
    <cfRule type="expression" dxfId="797" priority="47" stopIfTrue="1">
      <formula>NA()</formula>
    </cfRule>
  </conditionalFormatting>
  <conditionalFormatting sqref="C43">
    <cfRule type="expression" dxfId="796" priority="48" stopIfTrue="1">
      <formula>NA()</formula>
    </cfRule>
    <cfRule type="expression" dxfId="795" priority="49" stopIfTrue="1">
      <formula>NA()</formula>
    </cfRule>
  </conditionalFormatting>
  <conditionalFormatting sqref="C47">
    <cfRule type="expression" dxfId="794" priority="50" stopIfTrue="1">
      <formula>NA()</formula>
    </cfRule>
    <cfRule type="expression" dxfId="793" priority="51" stopIfTrue="1">
      <formula>NA()</formula>
    </cfRule>
  </conditionalFormatting>
  <conditionalFormatting sqref="D45:F45">
    <cfRule type="expression" dxfId="792" priority="52" stopIfTrue="1">
      <formula>NA()</formula>
    </cfRule>
    <cfRule type="expression" dxfId="791" priority="53" stopIfTrue="1">
      <formula>NA()</formula>
    </cfRule>
  </conditionalFormatting>
  <conditionalFormatting sqref="C44:C45">
    <cfRule type="expression" dxfId="790" priority="54" stopIfTrue="1">
      <formula>NA()</formula>
    </cfRule>
    <cfRule type="expression" dxfId="789" priority="55" stopIfTrue="1">
      <formula>NA()</formula>
    </cfRule>
  </conditionalFormatting>
  <conditionalFormatting sqref="D44:F44">
    <cfRule type="expression" dxfId="788" priority="56" stopIfTrue="1">
      <formula>NA()</formula>
    </cfRule>
    <cfRule type="expression" dxfId="787" priority="57" stopIfTrue="1">
      <formula>NA()</formula>
    </cfRule>
  </conditionalFormatting>
  <conditionalFormatting sqref="C49:F49 C43:F47">
    <cfRule type="expression" dxfId="786" priority="1742">
      <formula>AND(NOT($AN$36),NOT($AN$37))</formula>
    </cfRule>
  </conditionalFormatting>
  <conditionalFormatting sqref="D48:F48">
    <cfRule type="expression" dxfId="785" priority="30" stopIfTrue="1">
      <formula>NA()</formula>
    </cfRule>
    <cfRule type="expression" dxfId="784" priority="31" stopIfTrue="1">
      <formula>NA()</formula>
    </cfRule>
  </conditionalFormatting>
  <conditionalFormatting sqref="C48">
    <cfRule type="expression" dxfId="783" priority="28" stopIfTrue="1">
      <formula>NA()</formula>
    </cfRule>
    <cfRule type="expression" dxfId="782" priority="29" stopIfTrue="1">
      <formula>NA()</formula>
    </cfRule>
  </conditionalFormatting>
  <conditionalFormatting sqref="C48:F48">
    <cfRule type="expression" dxfId="781" priority="32">
      <formula>AND(NOT($AN$36),NOT($AN$37))</formula>
    </cfRule>
  </conditionalFormatting>
  <conditionalFormatting sqref="J54 F54">
    <cfRule type="cellIs" dxfId="780" priority="27" operator="greaterThan">
      <formula>0</formula>
    </cfRule>
  </conditionalFormatting>
  <conditionalFormatting sqref="G54:J54">
    <cfRule type="expression" dxfId="779" priority="26">
      <formula>$J$54&lt;=0</formula>
    </cfRule>
  </conditionalFormatting>
  <conditionalFormatting sqref="C54:F54">
    <cfRule type="expression" dxfId="778" priority="25">
      <formula>$F$54&lt;=0</formula>
    </cfRule>
  </conditionalFormatting>
  <conditionalFormatting sqref="F54">
    <cfRule type="expression" dxfId="777" priority="20">
      <formula>$F$54&gt;0</formula>
    </cfRule>
    <cfRule type="expression" dxfId="776" priority="24">
      <formula>AND($C$54="",$G$54="")</formula>
    </cfRule>
  </conditionalFormatting>
  <conditionalFormatting sqref="Y23:Z23">
    <cfRule type="expression" dxfId="775" priority="23">
      <formula>$AB$13&lt;30</formula>
    </cfRule>
  </conditionalFormatting>
  <conditionalFormatting sqref="E12">
    <cfRule type="expression" dxfId="774" priority="2" stopIfTrue="1">
      <formula>OR(TipoDeCriatura="Ánima",TipoDeCriatura="Ánima, Elemental",TipoDeCriatura="No muerto, Espectro")</formula>
    </cfRule>
    <cfRule type="expression" dxfId="773" priority="2281" stopIfTrue="1">
      <formula>$D$12="-"</formula>
    </cfRule>
  </conditionalFormatting>
  <conditionalFormatting sqref="E17">
    <cfRule type="expression" dxfId="772" priority="2290" stopIfTrue="1">
      <formula>AND(OR($K$7="Ánima",$K$7="Ánima, Elemental",$K$7="No muerto, Espectro"),NOT($E$12=$E$17))</formula>
    </cfRule>
  </conditionalFormatting>
  <conditionalFormatting sqref="G54:I54">
    <cfRule type="expression" dxfId="771" priority="19">
      <formula>$J$54&gt;0</formula>
    </cfRule>
  </conditionalFormatting>
  <conditionalFormatting sqref="AI43:AI69">
    <cfRule type="cellIs" dxfId="770" priority="12" stopIfTrue="1" operator="greaterThan">
      <formula>$AB$13</formula>
    </cfRule>
  </conditionalFormatting>
  <conditionalFormatting sqref="AD13:AD23">
    <cfRule type="expression" dxfId="769" priority="7" stopIfTrue="1">
      <formula>H2=1</formula>
    </cfRule>
    <cfRule type="expression" dxfId="768" priority="8" stopIfTrue="1">
      <formula>H2=2</formula>
    </cfRule>
  </conditionalFormatting>
  <conditionalFormatting sqref="AB42:AE69">
    <cfRule type="expression" dxfId="767" priority="4767">
      <formula>AND($AK42&lt;&gt;"",$AF42="")</formula>
    </cfRule>
  </conditionalFormatting>
  <conditionalFormatting sqref="AB42:AH69">
    <cfRule type="expression" dxfId="766" priority="6">
      <formula>$AB42=""</formula>
    </cfRule>
  </conditionalFormatting>
  <conditionalFormatting sqref="AD12:AF23">
    <cfRule type="expression" dxfId="765" priority="5">
      <formula>AND($AK12&lt;&gt;"",$AG12="")</formula>
    </cfRule>
  </conditionalFormatting>
  <conditionalFormatting sqref="AG12:AH23">
    <cfRule type="expression" dxfId="764" priority="3">
      <formula>$AD12=""</formula>
    </cfRule>
  </conditionalFormatting>
  <conditionalFormatting sqref="E11:E14">
    <cfRule type="cellIs" dxfId="763" priority="4809" stopIfTrue="1" operator="greaterThan">
      <formula>$T$2</formula>
    </cfRule>
  </conditionalFormatting>
  <conditionalFormatting sqref="E15:E18">
    <cfRule type="cellIs" dxfId="762" priority="4810" operator="greaterThan">
      <formula>$T$3</formula>
    </cfRule>
  </conditionalFormatting>
  <conditionalFormatting sqref="AI42:AJ71 AI12:AJ23">
    <cfRule type="expression" dxfId="761" priority="1" stopIfTrue="1">
      <formula>NOT(ISNUMBER($AI12))</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3" stopIfTrue="1" id="{50C68A5E-1934-4EC2-949A-2493F9DF9D73}">
            <xm:f>AND(General!$F$23="Criatura",NOT(Tablas!$C$234=Tablas!$H$250))</xm:f>
            <x14:dxf>
              <font>
                <b/>
                <i/>
                <color rgb="FFFF0000"/>
              </font>
            </x14:dxf>
          </x14:cfRule>
          <xm:sqref>J34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zoomScaleSheetLayoutView="25" workbookViewId="0">
      <selection activeCell="J11" sqref="J11"/>
    </sheetView>
  </sheetViews>
  <sheetFormatPr defaultColWidth="5.7109375" defaultRowHeight="12" customHeight="1" x14ac:dyDescent="0.2"/>
  <cols>
    <col min="1" max="1" width="1.7109375" style="44" customWidth="1"/>
    <col min="2" max="2" width="3" style="2390"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695" customWidth="1"/>
    <col min="29" max="29" width="1.140625" style="1695" customWidth="1"/>
    <col min="30" max="30" width="3.140625" style="2701" customWidth="1"/>
    <col min="31" max="31" width="3.140625" style="3008" customWidth="1"/>
    <col min="32" max="32" width="3.140625" style="3070" customWidth="1"/>
    <col min="33" max="33" width="3.140625" style="3008" customWidth="1"/>
    <col min="34" max="34" width="3.140625" style="3071" customWidth="1"/>
    <col min="35" max="37" width="3.140625" style="3008" customWidth="1"/>
    <col min="38" max="42" width="3.140625" style="1888" customWidth="1"/>
    <col min="43" max="46" width="3.140625" style="1695" customWidth="1"/>
    <col min="47" max="57" width="5.7109375" style="1695"/>
    <col min="58" max="16384" width="5.7109375" style="43"/>
  </cols>
  <sheetData>
    <row r="1" spans="1:37" ht="12" customHeight="1" thickBot="1" x14ac:dyDescent="0.25">
      <c r="A1" s="1870"/>
      <c r="B1" s="2398"/>
      <c r="C1" s="45"/>
      <c r="D1" s="45"/>
      <c r="E1" s="45"/>
      <c r="F1" s="45"/>
      <c r="G1" s="45"/>
      <c r="H1" s="45"/>
      <c r="I1" s="45"/>
      <c r="J1" s="45"/>
      <c r="K1" s="45"/>
      <c r="L1" s="45"/>
      <c r="M1" s="45"/>
      <c r="N1" s="45"/>
      <c r="O1" s="45"/>
      <c r="P1" s="45"/>
      <c r="Q1" s="45"/>
      <c r="R1" s="45"/>
      <c r="S1" s="45"/>
      <c r="T1" s="45"/>
      <c r="U1" s="17"/>
      <c r="V1" s="115"/>
      <c r="W1" s="115"/>
      <c r="X1" s="115"/>
      <c r="Y1" s="115"/>
      <c r="Z1" s="115"/>
      <c r="AA1" s="115"/>
      <c r="AB1" s="3069"/>
      <c r="AC1" s="1694"/>
    </row>
    <row r="2" spans="1:37" ht="12" customHeight="1" x14ac:dyDescent="0.2">
      <c r="A2" s="1870"/>
      <c r="B2" s="2143"/>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3072"/>
      <c r="AC2" s="2403"/>
      <c r="AH2" s="3073"/>
      <c r="AI2" s="3074"/>
      <c r="AJ2" s="3075"/>
      <c r="AK2" s="3075"/>
    </row>
    <row r="3" spans="1:37" ht="12" customHeight="1" thickBot="1" x14ac:dyDescent="0.25">
      <c r="A3" s="1870"/>
      <c r="B3" s="2144"/>
      <c r="AB3" s="2942"/>
      <c r="AC3" s="2403"/>
    </row>
    <row r="4" spans="1:37" ht="12" customHeight="1" x14ac:dyDescent="0.2">
      <c r="A4" s="1870"/>
      <c r="B4" s="2144"/>
      <c r="C4" s="3727"/>
      <c r="D4" s="3728"/>
      <c r="E4" s="3728"/>
      <c r="F4" s="3728"/>
      <c r="G4" s="3728"/>
      <c r="H4" s="3728"/>
      <c r="I4" s="1575"/>
      <c r="J4" s="1575"/>
      <c r="K4" s="1575"/>
      <c r="L4" s="1576"/>
      <c r="M4" s="1577"/>
      <c r="O4" s="3717" t="s">
        <v>1799</v>
      </c>
      <c r="P4" s="3860" t="s">
        <v>1800</v>
      </c>
      <c r="Q4" s="3861"/>
      <c r="R4" s="3862"/>
      <c r="S4" s="2980" t="s">
        <v>1712</v>
      </c>
      <c r="T4" s="2981" t="s">
        <v>1674</v>
      </c>
      <c r="V4" s="3847" t="s">
        <v>10074</v>
      </c>
      <c r="W4" s="3848"/>
      <c r="X4" s="3848"/>
      <c r="Y4" s="3848"/>
      <c r="Z4" s="3848"/>
      <c r="AA4" s="3849"/>
      <c r="AB4" s="3076"/>
      <c r="AC4" s="2403"/>
    </row>
    <row r="5" spans="1:37" ht="12" customHeight="1" x14ac:dyDescent="0.2">
      <c r="A5" s="1870"/>
      <c r="B5" s="2144"/>
      <c r="C5" s="3729"/>
      <c r="D5" s="3184"/>
      <c r="E5" s="3184"/>
      <c r="F5" s="3184"/>
      <c r="G5" s="3184"/>
      <c r="H5" s="3184"/>
      <c r="I5" s="12"/>
      <c r="J5" s="12"/>
      <c r="K5" s="12"/>
      <c r="L5" s="56"/>
      <c r="M5" s="1578"/>
      <c r="O5" s="3718"/>
      <c r="P5" s="3733"/>
      <c r="Q5" s="3734"/>
      <c r="R5" s="3735"/>
      <c r="S5" s="3751"/>
      <c r="T5" s="3749">
        <f>IF($S$5&gt;0,(500+100*$S$5),400)</f>
        <v>400</v>
      </c>
      <c r="V5" s="3850"/>
      <c r="W5" s="3851"/>
      <c r="X5" s="3851"/>
      <c r="Y5" s="3851"/>
      <c r="Z5" s="3851"/>
      <c r="AA5" s="3852"/>
      <c r="AB5" s="3077"/>
      <c r="AC5" s="2403"/>
      <c r="AE5" s="2701"/>
    </row>
    <row r="6" spans="1:37" ht="12" customHeight="1" x14ac:dyDescent="0.2">
      <c r="A6" s="1870"/>
      <c r="B6" s="2144"/>
      <c r="C6" s="3729"/>
      <c r="D6" s="3184"/>
      <c r="E6" s="3184"/>
      <c r="F6" s="3184"/>
      <c r="G6" s="3184"/>
      <c r="H6" s="3184"/>
      <c r="I6" s="3745" t="s">
        <v>1625</v>
      </c>
      <c r="J6" s="3745"/>
      <c r="K6" s="2966" t="str">
        <f>IF(OR(General!$G$22="",General!$G$22=0),"",General!$G$22)</f>
        <v/>
      </c>
      <c r="L6" s="356"/>
      <c r="M6" s="1578"/>
      <c r="O6" s="3718"/>
      <c r="P6" s="3736"/>
      <c r="Q6" s="3737"/>
      <c r="R6" s="3738"/>
      <c r="S6" s="3752"/>
      <c r="T6" s="3750"/>
      <c r="V6" s="3853" t="s">
        <v>10071</v>
      </c>
      <c r="W6" s="3854"/>
      <c r="X6" s="3854"/>
      <c r="Y6" s="2977" t="s">
        <v>1801</v>
      </c>
      <c r="Z6" s="2978" t="s">
        <v>10072</v>
      </c>
      <c r="AA6" s="2979" t="s">
        <v>10073</v>
      </c>
      <c r="AB6" s="2942"/>
      <c r="AC6" s="2403"/>
    </row>
    <row r="7" spans="1:37" ht="12" customHeight="1" x14ac:dyDescent="0.2">
      <c r="A7" s="1870"/>
      <c r="B7" s="2144"/>
      <c r="C7" s="3729"/>
      <c r="D7" s="3184"/>
      <c r="E7" s="3184"/>
      <c r="F7" s="3184"/>
      <c r="G7" s="3184"/>
      <c r="H7" s="3184"/>
      <c r="I7" s="3746" t="s">
        <v>1626</v>
      </c>
      <c r="J7" s="3746"/>
      <c r="K7" s="2894" t="str">
        <f>Principal!$L$5</f>
        <v/>
      </c>
      <c r="L7" s="1574"/>
      <c r="M7" s="1578"/>
      <c r="O7" s="3718"/>
      <c r="P7" s="3739"/>
      <c r="Q7" s="3740"/>
      <c r="R7" s="3741"/>
      <c r="S7" s="3755"/>
      <c r="T7" s="3863">
        <f>IF($S$7&gt;0,(100*$S$7),0)</f>
        <v>0</v>
      </c>
      <c r="V7" s="3884" t="str">
        <f>IF(AND(Categoría_1&lt;&gt;"",Categoría_2&lt;&gt;""),Categoría_1&amp;" a "&amp;Categoría_2,"-")</f>
        <v>-</v>
      </c>
      <c r="W7" s="3604"/>
      <c r="X7" s="3604"/>
      <c r="Y7" s="3864">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855"/>
      <c r="AA7" s="3856"/>
      <c r="AB7" s="3078"/>
      <c r="AC7" s="2403"/>
    </row>
    <row r="8" spans="1:37" ht="12" customHeight="1" x14ac:dyDescent="0.2">
      <c r="A8" s="1870"/>
      <c r="B8" s="2144"/>
      <c r="C8" s="3729"/>
      <c r="D8" s="3184"/>
      <c r="E8" s="3184"/>
      <c r="F8" s="3184"/>
      <c r="G8" s="3184"/>
      <c r="H8" s="3184"/>
      <c r="I8" s="2965" t="s">
        <v>1627</v>
      </c>
      <c r="J8" s="56"/>
      <c r="K8" s="2967" t="str">
        <f>Principal!$P$5</f>
        <v>0</v>
      </c>
      <c r="L8" s="56"/>
      <c r="M8" s="1578"/>
      <c r="O8" s="3718"/>
      <c r="P8" s="3739"/>
      <c r="Q8" s="3740"/>
      <c r="R8" s="3741"/>
      <c r="S8" s="3755"/>
      <c r="T8" s="3863"/>
      <c r="V8" s="3884"/>
      <c r="W8" s="3604"/>
      <c r="X8" s="3604"/>
      <c r="Y8" s="3864"/>
      <c r="Z8" s="3855"/>
      <c r="AA8" s="3856"/>
      <c r="AB8" s="3078"/>
      <c r="AC8" s="2403"/>
    </row>
    <row r="9" spans="1:37" ht="12" customHeight="1" x14ac:dyDescent="0.2">
      <c r="A9" s="1870"/>
      <c r="B9" s="2144"/>
      <c r="C9" s="3729"/>
      <c r="D9" s="3184"/>
      <c r="E9" s="3184"/>
      <c r="F9" s="3184"/>
      <c r="G9" s="3184"/>
      <c r="H9" s="3184"/>
      <c r="I9" s="3746" t="s">
        <v>1670</v>
      </c>
      <c r="J9" s="3746"/>
      <c r="K9" s="1539">
        <f>Tamaño</f>
        <v>10</v>
      </c>
      <c r="L9" s="2894" t="str">
        <f>Principal!M6</f>
        <v>Medio</v>
      </c>
      <c r="M9" s="2969"/>
      <c r="O9" s="3718"/>
      <c r="P9" s="3736"/>
      <c r="Q9" s="3737"/>
      <c r="R9" s="3738"/>
      <c r="S9" s="3753"/>
      <c r="T9" s="3724">
        <f>IF($S$9&gt;0,(100*$S$9),0)</f>
        <v>0</v>
      </c>
      <c r="V9" s="3885" t="str">
        <f>IF(AND(Categoría_2&lt;&gt;"",Categoría_3&lt;&gt;""),Categoría_2&amp;" a "&amp;Categoría_3,"-")</f>
        <v>-</v>
      </c>
      <c r="W9" s="3886"/>
      <c r="X9" s="3886"/>
      <c r="Y9" s="3832">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834"/>
      <c r="AA9" s="3836"/>
      <c r="AB9" s="3078"/>
      <c r="AC9" s="2403"/>
    </row>
    <row r="10" spans="1:37" ht="12" customHeight="1" x14ac:dyDescent="0.2">
      <c r="A10" s="1870"/>
      <c r="B10" s="2144"/>
      <c r="C10" s="3729"/>
      <c r="D10" s="3184"/>
      <c r="E10" s="3184"/>
      <c r="F10" s="3184"/>
      <c r="G10" s="3184"/>
      <c r="H10" s="3184"/>
      <c r="I10" s="58" t="s">
        <v>1672</v>
      </c>
      <c r="J10" s="2965" t="str">
        <f>Principal!K7</f>
        <v xml:space="preserve"> 10</v>
      </c>
      <c r="K10" s="2968"/>
      <c r="L10" s="2968"/>
      <c r="M10" s="2969"/>
      <c r="O10" s="3718"/>
      <c r="P10" s="3736"/>
      <c r="Q10" s="3737"/>
      <c r="R10" s="3738"/>
      <c r="S10" s="3753"/>
      <c r="T10" s="3724"/>
      <c r="V10" s="3885"/>
      <c r="W10" s="3886"/>
      <c r="X10" s="3886"/>
      <c r="Y10" s="3832"/>
      <c r="Z10" s="3834"/>
      <c r="AA10" s="3836"/>
      <c r="AB10" s="3078"/>
      <c r="AC10" s="2403"/>
    </row>
    <row r="11" spans="1:37" ht="12" customHeight="1" x14ac:dyDescent="0.2">
      <c r="A11" s="1870"/>
      <c r="B11" s="2144"/>
      <c r="C11" s="3729"/>
      <c r="D11" s="3184"/>
      <c r="E11" s="3184"/>
      <c r="F11" s="3184"/>
      <c r="G11" s="3184"/>
      <c r="H11" s="3184"/>
      <c r="I11" s="58"/>
      <c r="J11" s="2968"/>
      <c r="K11" s="2968"/>
      <c r="L11" s="2968"/>
      <c r="M11" s="2969"/>
      <c r="O11" s="3718"/>
      <c r="P11" s="3739"/>
      <c r="Q11" s="3740"/>
      <c r="R11" s="3741"/>
      <c r="S11" s="3726"/>
      <c r="T11" s="3723">
        <f>IF($S$11&gt;0,(100*$S$11),0)</f>
        <v>0</v>
      </c>
      <c r="V11" s="3884" t="str">
        <f>IF(AND(Categoría_3&lt;&gt;"",Categoría_4&lt;&gt;""),Categoría_3&amp;" a "&amp;Categoría_4,"-")</f>
        <v>-</v>
      </c>
      <c r="W11" s="3604"/>
      <c r="X11" s="3604"/>
      <c r="Y11" s="3864">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855"/>
      <c r="AA11" s="3856"/>
      <c r="AB11" s="2942"/>
      <c r="AC11" s="2403"/>
    </row>
    <row r="12" spans="1:37" ht="12" customHeight="1" x14ac:dyDescent="0.2">
      <c r="A12" s="1870"/>
      <c r="B12" s="2144"/>
      <c r="C12" s="3730"/>
      <c r="D12" s="3731"/>
      <c r="E12" s="3731"/>
      <c r="F12" s="3731"/>
      <c r="G12" s="3731"/>
      <c r="H12" s="3731"/>
      <c r="I12" s="1579"/>
      <c r="J12" s="1579"/>
      <c r="K12" s="1580"/>
      <c r="L12" s="1580"/>
      <c r="M12" s="1581"/>
      <c r="O12" s="3718"/>
      <c r="P12" s="3739"/>
      <c r="Q12" s="3740"/>
      <c r="R12" s="3741"/>
      <c r="S12" s="3726"/>
      <c r="T12" s="3723"/>
      <c r="V12" s="3884"/>
      <c r="W12" s="3604"/>
      <c r="X12" s="3604"/>
      <c r="Y12" s="3864"/>
      <c r="Z12" s="3855"/>
      <c r="AA12" s="3856"/>
      <c r="AB12" s="2942"/>
      <c r="AC12" s="2403"/>
    </row>
    <row r="13" spans="1:37" ht="12" customHeight="1" x14ac:dyDescent="0.2">
      <c r="A13" s="1870"/>
      <c r="B13" s="2144"/>
      <c r="C13" s="3824" t="s">
        <v>1802</v>
      </c>
      <c r="D13" s="3825"/>
      <c r="E13" s="3825"/>
      <c r="F13" s="3825"/>
      <c r="G13" s="3825"/>
      <c r="H13" s="3825"/>
      <c r="I13" s="3825"/>
      <c r="J13" s="3825"/>
      <c r="K13" s="3825"/>
      <c r="L13" s="3825"/>
      <c r="M13" s="3826"/>
      <c r="O13" s="3718"/>
      <c r="P13" s="3736"/>
      <c r="Q13" s="3737"/>
      <c r="R13" s="3738"/>
      <c r="S13" s="3753"/>
      <c r="T13" s="3724">
        <f>IF($S$13&gt;0,(100*$S$13),0)</f>
        <v>0</v>
      </c>
      <c r="V13" s="3885" t="str">
        <f>IF(AND(Categoría_4&lt;&gt;"",Categoría_5&lt;&gt;""),Categoría_4&amp;" a "&amp;Categoría_5,"-")</f>
        <v>-</v>
      </c>
      <c r="W13" s="3886"/>
      <c r="X13" s="3886"/>
      <c r="Y13" s="3832">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834"/>
      <c r="AA13" s="3836"/>
      <c r="AB13" s="3079" t="str">
        <f>IF(Principal!AD18=0,"",VLOOKUP(Principal!AD18,Tabla_HabEsenciales,5,FALSE))</f>
        <v/>
      </c>
      <c r="AC13" s="2403"/>
    </row>
    <row r="14" spans="1:37" ht="12" customHeight="1" thickBot="1" x14ac:dyDescent="0.25">
      <c r="A14" s="1870"/>
      <c r="B14" s="2144"/>
      <c r="C14" s="3827"/>
      <c r="D14" s="3222"/>
      <c r="E14" s="3222"/>
      <c r="F14" s="3222"/>
      <c r="G14" s="3222"/>
      <c r="H14" s="3222"/>
      <c r="I14" s="3222"/>
      <c r="J14" s="3222"/>
      <c r="K14" s="3222"/>
      <c r="L14" s="3222"/>
      <c r="M14" s="3828"/>
      <c r="O14" s="3718"/>
      <c r="P14" s="3742"/>
      <c r="Q14" s="3743"/>
      <c r="R14" s="3744"/>
      <c r="S14" s="3754"/>
      <c r="T14" s="3725"/>
      <c r="V14" s="3887"/>
      <c r="W14" s="3888"/>
      <c r="X14" s="3888"/>
      <c r="Y14" s="3833"/>
      <c r="Z14" s="3835"/>
      <c r="AA14" s="3837"/>
      <c r="AB14" s="3079" t="str">
        <f>IF(Principal!AD19=0,"",VLOOKUP(Principal!AD19,Tabla_HabEsenciales,5,FALSE))</f>
        <v/>
      </c>
      <c r="AC14" s="3080"/>
    </row>
    <row r="15" spans="1:37" ht="12" customHeight="1" thickBot="1" x14ac:dyDescent="0.25">
      <c r="A15" s="1870"/>
      <c r="B15" s="2144"/>
      <c r="C15" s="3827"/>
      <c r="D15" s="3222"/>
      <c r="E15" s="3222"/>
      <c r="F15" s="3222"/>
      <c r="G15" s="3222"/>
      <c r="H15" s="3222"/>
      <c r="I15" s="3222"/>
      <c r="J15" s="3222"/>
      <c r="K15" s="3222"/>
      <c r="L15" s="3222"/>
      <c r="M15" s="3828"/>
      <c r="O15" s="3718"/>
      <c r="P15" s="3857" t="s">
        <v>1803</v>
      </c>
      <c r="Q15" s="3858"/>
      <c r="R15" s="3865">
        <f>SUM(S5:S14)</f>
        <v>0</v>
      </c>
      <c r="S15" s="3838" t="s">
        <v>1686</v>
      </c>
      <c r="T15" s="3747">
        <f>SUM(T5:T14)</f>
        <v>400</v>
      </c>
      <c r="V15" s="2975"/>
      <c r="W15" s="2976"/>
      <c r="X15" s="2975"/>
      <c r="Y15" s="2975"/>
      <c r="Z15" s="2976"/>
      <c r="AA15" s="2975"/>
      <c r="AB15" s="3079" t="str">
        <f>IF(Principal!AD20=0,"",VLOOKUP(Principal!AD20,Tabla_HabEsenciales,5,FALSE))</f>
        <v/>
      </c>
      <c r="AC15" s="3080"/>
    </row>
    <row r="16" spans="1:37" ht="12" customHeight="1" thickBot="1" x14ac:dyDescent="0.25">
      <c r="A16" s="1870"/>
      <c r="B16" s="2144"/>
      <c r="C16" s="3829"/>
      <c r="D16" s="3830"/>
      <c r="E16" s="3830"/>
      <c r="F16" s="3830"/>
      <c r="G16" s="3830"/>
      <c r="H16" s="3830"/>
      <c r="I16" s="3830"/>
      <c r="J16" s="3830"/>
      <c r="K16" s="3830"/>
      <c r="L16" s="3830"/>
      <c r="M16" s="3831"/>
      <c r="O16" s="3719"/>
      <c r="P16" s="3859"/>
      <c r="Q16" s="3575"/>
      <c r="R16" s="3866"/>
      <c r="S16" s="3839"/>
      <c r="T16" s="3748"/>
      <c r="V16" s="2990"/>
      <c r="W16" s="3881" t="s">
        <v>10080</v>
      </c>
      <c r="X16" s="3882"/>
      <c r="Y16" s="3882"/>
      <c r="Z16" s="3883"/>
      <c r="AA16" s="2985">
        <f>MAX(Principal!AJ10+Principal!AJ40-Principal!$AB$27,0)</f>
        <v>0</v>
      </c>
      <c r="AB16" s="3079" t="str">
        <f>IF(Principal!AD21=0,"",VLOOKUP(Principal!AD21,Tabla_HabEsenciales,5,FALSE))</f>
        <v/>
      </c>
      <c r="AC16" s="3080"/>
    </row>
    <row r="17" spans="1:31" ht="12" customHeight="1" x14ac:dyDescent="0.2">
      <c r="A17" s="1870"/>
      <c r="B17" s="2144"/>
      <c r="V17" s="2617"/>
      <c r="W17" s="2982" t="s">
        <v>10075</v>
      </c>
      <c r="X17" s="2983" t="s">
        <v>10076</v>
      </c>
      <c r="Y17" s="2983" t="s">
        <v>10077</v>
      </c>
      <c r="Z17" s="2983" t="s">
        <v>10078</v>
      </c>
      <c r="AA17" s="2984" t="s">
        <v>10079</v>
      </c>
      <c r="AB17" s="3079" t="str">
        <f>IF(Principal!AD22=0,"",VLOOKUP(Principal!AD22,Tabla_HabEsenciales,5,FALSE))</f>
        <v/>
      </c>
      <c r="AC17" s="3080"/>
    </row>
    <row r="18" spans="1:31" ht="12" customHeight="1" thickBot="1" x14ac:dyDescent="0.25">
      <c r="A18" s="1870"/>
      <c r="B18" s="2144"/>
      <c r="W18" s="2991">
        <f>IF(Principal!AB13&lt;25,PDs!AA16,MAX(0,PDs!AA16-PDs!X18-PDs!Y18-PDs!Z18-PDs!AA18))</f>
        <v>0</v>
      </c>
      <c r="X18" s="2988"/>
      <c r="Y18" s="2988"/>
      <c r="Z18" s="2988"/>
      <c r="AA18" s="2989"/>
      <c r="AB18" s="3079" t="str">
        <f>IF(Principal!AD23=0,"",VLOOKUP(Principal!AD23,Tabla_HabEsenciales,5,FALSE))</f>
        <v/>
      </c>
      <c r="AC18" s="3081"/>
    </row>
    <row r="19" spans="1:31" ht="12" customHeight="1" x14ac:dyDescent="0.2">
      <c r="A19" s="1870"/>
      <c r="B19" s="2144"/>
      <c r="C19" s="67"/>
      <c r="D19" s="67"/>
      <c r="E19" s="67"/>
      <c r="F19" s="67"/>
      <c r="I19" s="67"/>
      <c r="J19" s="67"/>
      <c r="K19" s="67"/>
      <c r="L19" s="3620" t="str">
        <f>IF(Categoría_1=0,"",Categoría_1)</f>
        <v/>
      </c>
      <c r="M19" s="3621"/>
      <c r="N19" s="3612" t="str">
        <f>IF(Categoría_2=0,"",Categoría_2)</f>
        <v/>
      </c>
      <c r="O19" s="3621"/>
      <c r="P19" s="3612" t="str">
        <f>IF(Categoría_3=0,"",Categoría_3)</f>
        <v/>
      </c>
      <c r="Q19" s="3621"/>
      <c r="R19" s="3612" t="str">
        <f>IF(Categoría_4=0,"",Categoría_4)</f>
        <v/>
      </c>
      <c r="S19" s="3621"/>
      <c r="T19" s="3612" t="str">
        <f>IF(Categoría_5=0,"",Categoría_5)</f>
        <v/>
      </c>
      <c r="U19" s="3613"/>
      <c r="V19" s="67"/>
      <c r="AB19" s="3078"/>
      <c r="AC19" s="3082"/>
    </row>
    <row r="20" spans="1:31" ht="12" customHeight="1" thickBot="1" x14ac:dyDescent="0.25">
      <c r="A20" s="1870"/>
      <c r="B20" s="2144"/>
      <c r="C20" s="67"/>
      <c r="D20" s="67"/>
      <c r="E20" s="67"/>
      <c r="F20" s="67"/>
      <c r="I20" s="67"/>
      <c r="J20" s="67"/>
      <c r="K20" s="67"/>
      <c r="L20" s="3720"/>
      <c r="M20" s="3721"/>
      <c r="N20" s="3722"/>
      <c r="O20" s="3721"/>
      <c r="P20" s="3722"/>
      <c r="Q20" s="3721"/>
      <c r="R20" s="3722"/>
      <c r="S20" s="3721"/>
      <c r="T20" s="3722"/>
      <c r="U20" s="3732"/>
      <c r="V20" s="67"/>
      <c r="W20" s="67"/>
      <c r="X20" s="67"/>
      <c r="Y20" s="67"/>
      <c r="Z20" s="67"/>
      <c r="AA20" s="67"/>
      <c r="AB20" s="3078"/>
      <c r="AC20" s="3080"/>
    </row>
    <row r="21" spans="1:31" ht="12" customHeight="1" thickBot="1" x14ac:dyDescent="0.25">
      <c r="A21" s="1870"/>
      <c r="B21" s="2144"/>
      <c r="C21" s="3589" t="s">
        <v>1703</v>
      </c>
      <c r="D21" s="1582" t="s">
        <v>1708</v>
      </c>
      <c r="E21" s="3704" t="s">
        <v>1684</v>
      </c>
      <c r="F21" s="3705"/>
      <c r="G21" s="3705"/>
      <c r="H21" s="3705"/>
      <c r="I21" s="3705"/>
      <c r="J21" s="3705"/>
      <c r="K21" s="3706"/>
      <c r="L21" s="1583" t="s">
        <v>1801</v>
      </c>
      <c r="M21" s="1584" t="s">
        <v>1686</v>
      </c>
      <c r="N21" s="1583" t="s">
        <v>1801</v>
      </c>
      <c r="O21" s="1584" t="s">
        <v>1686</v>
      </c>
      <c r="P21" s="1583" t="s">
        <v>1801</v>
      </c>
      <c r="Q21" s="1584" t="s">
        <v>1686</v>
      </c>
      <c r="R21" s="1583" t="s">
        <v>1801</v>
      </c>
      <c r="S21" s="1584" t="s">
        <v>1686</v>
      </c>
      <c r="T21" s="1583" t="s">
        <v>1801</v>
      </c>
      <c r="U21" s="1584" t="s">
        <v>1686</v>
      </c>
      <c r="V21" s="1583" t="s">
        <v>1674</v>
      </c>
      <c r="W21" s="1583" t="s">
        <v>1676</v>
      </c>
      <c r="X21" s="3602" t="s">
        <v>1800</v>
      </c>
      <c r="Y21" s="3602"/>
      <c r="Z21" s="1583" t="s">
        <v>1728</v>
      </c>
      <c r="AA21" s="1585" t="s">
        <v>1658</v>
      </c>
      <c r="AB21" s="3078"/>
      <c r="AC21" s="3080"/>
      <c r="AE21" s="2701"/>
    </row>
    <row r="22" spans="1:31" ht="12" customHeight="1" x14ac:dyDescent="0.2">
      <c r="A22" s="1870"/>
      <c r="B22" s="2144"/>
      <c r="C22" s="3590"/>
      <c r="D22" s="3773" t="s">
        <v>1674</v>
      </c>
      <c r="E22" s="3707" t="s">
        <v>1804</v>
      </c>
      <c r="F22" s="3317"/>
      <c r="G22" s="3317"/>
      <c r="H22" s="3317"/>
      <c r="I22" s="3317"/>
      <c r="J22" s="3317"/>
      <c r="K22" s="3708"/>
      <c r="L22" s="1600">
        <f>IF(Categoría_1=0,0,VLOOKUP(Categoría_1,Tabla_Categorías,MATCH("Coste"&amp;$E22,Name_Tabla_Cat,FALSE),FALSE))</f>
        <v>0</v>
      </c>
      <c r="M22" s="1601"/>
      <c r="N22" s="1602">
        <f>IF(Categoría_2=0,0,VLOOKUP(Categoría_2,Tabla_Categorías,MATCH("Coste"&amp;$E22,Name_Tabla_Cat,FALSE),FALSE))</f>
        <v>0</v>
      </c>
      <c r="O22" s="1603"/>
      <c r="P22" s="1602">
        <f>IF(Categoría_3=0,0,VLOOKUP(Categoría_3,Tabla_Categorías,MATCH("Coste"&amp;$E22,Name_Tabla_Cat,FALSE),FALSE))</f>
        <v>0</v>
      </c>
      <c r="Q22" s="1603"/>
      <c r="R22" s="1602">
        <f>IF(Categoría_4=0,0,VLOOKUP(Categoría_4,Tabla_Categorías,MATCH("Coste"&amp;$E22,Name_Tabla_Cat,FALSE),FALSE))</f>
        <v>0</v>
      </c>
      <c r="S22" s="1603"/>
      <c r="T22" s="1602">
        <f>IF(Categoría_5=0,0,VLOOKUP(Categoría_5,Tabla_Categorías,MATCH("Coste"&amp;$E22,Name_Tabla_Cat,FALSE),FALSE))</f>
        <v>0</v>
      </c>
      <c r="U22" s="1603"/>
      <c r="V22" s="1600">
        <f>IF(L22=0,0,TRUNC(M22/L22,0))+IF(N22=0,0,TRUNC(O22/N22,0))+IF(P22=0,0,TRUNC(Q22/P22,0))+IF(R22=0,0,TRUNC(S22/R22,0))+IF(T22=0,0,TRUNC(U22/T22,0))</f>
        <v>0</v>
      </c>
      <c r="W22" s="1602">
        <f>Bono_Des</f>
        <v>0</v>
      </c>
      <c r="X22" s="3716">
        <f>MIN(50,HLOOKUP($E22,Bonos_Cat_Base,2,FALSE)+5*Nivel_Total*Tablas!$G$357)</f>
        <v>0</v>
      </c>
      <c r="Y22" s="3716"/>
      <c r="Z22" s="2864"/>
      <c r="AA22" s="1604">
        <f>Z22+X22+V22+W22+Bono_ATA</f>
        <v>0</v>
      </c>
      <c r="AB22" s="3078"/>
      <c r="AC22" s="3080"/>
      <c r="AD22" s="2701" t="s">
        <v>8834</v>
      </c>
    </row>
    <row r="23" spans="1:31" ht="12" customHeight="1" x14ac:dyDescent="0.2">
      <c r="A23" s="1870"/>
      <c r="B23" s="2144"/>
      <c r="C23" s="3590"/>
      <c r="D23" s="3687"/>
      <c r="E23" s="3709" t="s">
        <v>1805</v>
      </c>
      <c r="F23" s="3710"/>
      <c r="G23" s="3710"/>
      <c r="H23" s="3710"/>
      <c r="I23" s="3710"/>
      <c r="J23" s="3710"/>
      <c r="K23" s="3711"/>
      <c r="L23" s="132">
        <f>IF(Categoría_1=0,0,VLOOKUP(Categoría_1,Tabla_Categorías,MATCH("Coste"&amp;$E23,Name_Tabla_Cat,FALSE),FALSE))</f>
        <v>0</v>
      </c>
      <c r="M23" s="133"/>
      <c r="N23" s="1541">
        <f>IF(Categoría_2=0,0,VLOOKUP(Categoría_2,Tabla_Categorías,MATCH("Coste"&amp;$E23,Name_Tabla_Cat,FALSE),FALSE))</f>
        <v>0</v>
      </c>
      <c r="O23" s="1544"/>
      <c r="P23" s="1541">
        <f>IF(Categoría_3=0,0,VLOOKUP(Categoría_3,Tabla_Categorías,MATCH("Coste"&amp;$E23,Name_Tabla_Cat,FALSE),FALSE))</f>
        <v>0</v>
      </c>
      <c r="Q23" s="1544"/>
      <c r="R23" s="1541">
        <f>IF(Categoría_4=0,0,VLOOKUP(Categoría_4,Tabla_Categorías,MATCH("Coste"&amp;$E23,Name_Tabla_Cat,FALSE),FALSE))</f>
        <v>0</v>
      </c>
      <c r="S23" s="1544"/>
      <c r="T23" s="1541">
        <f>IF(Categoría_5=0,0,VLOOKUP(Categoría_5,Tabla_Categorías,MATCH("Coste"&amp;$E23,Name_Tabla_Cat,FALSE),FALSE))</f>
        <v>0</v>
      </c>
      <c r="U23" s="1544"/>
      <c r="V23" s="132">
        <f>IF(L23=0,0,TRUNC(M23/L23,0))+IF(N23=0,0,TRUNC(O23/N23,0))+IF(P23=0,0,TRUNC(Q23/P23,0))+IF(R23=0,0,TRUNC(S23/R23,0))+IF(T23=0,0,TRUNC(U23/T23,0))</f>
        <v>0</v>
      </c>
      <c r="W23" s="1541">
        <f>Bono_Des</f>
        <v>0</v>
      </c>
      <c r="X23" s="3604">
        <f>MIN(50,HLOOKUP($E23,Bonos_Cat_Base,2,FALSE)+5*Nivel_Total*Tablas!$G$358)</f>
        <v>0</v>
      </c>
      <c r="Y23" s="3604"/>
      <c r="Z23" s="2857"/>
      <c r="AA23" s="1605">
        <f>W23+X23+V23+Z23+Bono_ATA</f>
        <v>0</v>
      </c>
      <c r="AB23" s="3078"/>
      <c r="AC23" s="3080"/>
      <c r="AD23" s="2701">
        <f>MAX(HP_final,HE_final)</f>
        <v>0</v>
      </c>
    </row>
    <row r="24" spans="1:31" ht="12" customHeight="1" x14ac:dyDescent="0.2">
      <c r="A24" s="1870"/>
      <c r="B24" s="2144"/>
      <c r="C24" s="3590"/>
      <c r="D24" s="3687"/>
      <c r="E24" s="3712" t="s">
        <v>1806</v>
      </c>
      <c r="F24" s="3276"/>
      <c r="G24" s="3276"/>
      <c r="H24" s="3276"/>
      <c r="I24" s="3276"/>
      <c r="J24" s="3276"/>
      <c r="K24" s="3713"/>
      <c r="L24" s="127">
        <f>IF(Categoría_1=0,0,VLOOKUP(Categoría_1,Tabla_Categorías,MATCH("Coste"&amp;$E24,Name_Tabla_Cat,FALSE),FALSE))</f>
        <v>0</v>
      </c>
      <c r="M24" s="128"/>
      <c r="N24" s="1546">
        <f>IF(Categoría_2=0,0,VLOOKUP(Categoría_2,Tabla_Categorías,MATCH("Coste"&amp;$E24,Name_Tabla_Cat,FALSE),FALSE))</f>
        <v>0</v>
      </c>
      <c r="O24" s="1545"/>
      <c r="P24" s="1546">
        <f>IF(Categoría_3=0,0,VLOOKUP(Categoría_3,Tabla_Categorías,MATCH("Coste"&amp;$E24,Name_Tabla_Cat,FALSE),FALSE))</f>
        <v>0</v>
      </c>
      <c r="Q24" s="1545"/>
      <c r="R24" s="1546">
        <f>IF(Categoría_4=0,0,VLOOKUP(Categoría_4,Tabla_Categorías,MATCH("Coste"&amp;$E24,Name_Tabla_Cat,FALSE),FALSE))</f>
        <v>0</v>
      </c>
      <c r="S24" s="1545"/>
      <c r="T24" s="1546">
        <f>IF(Categoría_5=0,0,VLOOKUP(Categoría_5,Tabla_Categorías,MATCH("Coste"&amp;$E24,Name_Tabla_Cat,FALSE),FALSE))</f>
        <v>0</v>
      </c>
      <c r="U24" s="1545"/>
      <c r="V24" s="127">
        <f>IF(L24=0,0,TRUNC(M24/L24,0))+IF(N24=0,0,TRUNC(O24/N24,0))+IF(P24=0,0,TRUNC(Q24/P24,0))+IF(R24=0,0,TRUNC(S24/R24,0))+IF(T24=0,0,TRUNC(U24/T24,0))</f>
        <v>0</v>
      </c>
      <c r="W24" s="1546">
        <f>Bono_Agi</f>
        <v>0</v>
      </c>
      <c r="X24" s="3603">
        <f>MIN(50,HLOOKUP($E24,Bonos_Cat_Base,2,FALSE)+5*Nivel_Total*Tablas!$G$359)</f>
        <v>0</v>
      </c>
      <c r="Y24" s="3603"/>
      <c r="Z24" s="2859"/>
      <c r="AA24" s="1606">
        <f>V24+W24+X24+Z24+Bono_ATA</f>
        <v>0</v>
      </c>
      <c r="AB24" s="3078"/>
      <c r="AC24" s="3080"/>
    </row>
    <row r="25" spans="1:31" ht="12" customHeight="1" x14ac:dyDescent="0.2">
      <c r="A25" s="1870"/>
      <c r="B25" s="2144"/>
      <c r="C25" s="3590"/>
      <c r="D25" s="3687"/>
      <c r="E25" s="3709" t="s">
        <v>1807</v>
      </c>
      <c r="F25" s="3710"/>
      <c r="G25" s="3710"/>
      <c r="H25" s="3710"/>
      <c r="I25" s="3710"/>
      <c r="J25" s="3710"/>
      <c r="K25" s="3711"/>
      <c r="L25" s="132">
        <f>IF(Categoría_1=0,0,VLOOKUP(Categoría_1,Tabla_Categorías,MATCH("Coste"&amp;$E25,Name_Tabla_Cat,FALSE),FALSE))</f>
        <v>0</v>
      </c>
      <c r="M25" s="133"/>
      <c r="N25" s="1541">
        <f>IF(Categoría_2=0,0,VLOOKUP(Categoría_2,Tabla_Categorías,MATCH("Coste"&amp;$E25,Name_Tabla_Cat,FALSE),FALSE))</f>
        <v>0</v>
      </c>
      <c r="O25" s="1544"/>
      <c r="P25" s="1541">
        <f>IF(Categoría_3=0,0,VLOOKUP(Categoría_3,Tabla_Categorías,MATCH("Coste"&amp;$E25,Name_Tabla_Cat,FALSE),FALSE))</f>
        <v>0</v>
      </c>
      <c r="Q25" s="1544"/>
      <c r="R25" s="1541">
        <f>IF(Categoría_4=0,0,VLOOKUP(Categoría_4,Tabla_Categorías,MATCH("Coste"&amp;$E25,Name_Tabla_Cat,FALSE),FALSE))</f>
        <v>0</v>
      </c>
      <c r="S25" s="1544"/>
      <c r="T25" s="1541">
        <f>IF(Categoría_5=0,0,VLOOKUP(Categoría_5,Tabla_Categorías,MATCH("Coste"&amp;$E25,Name_Tabla_Cat,FALSE),FALSE))</f>
        <v>0</v>
      </c>
      <c r="U25" s="1544"/>
      <c r="V25" s="132">
        <f>IF(L25=0,0,TRUNC(M25/L25,0))+IF(N25=0,0,TRUNC(O25/N25,0))+IF(P25=0,0,TRUNC(Q25/P25,0))+IF(R25=0,0,TRUNC(S25/R25,0))+IF(T25=0,0,TRUNC(U25/T25,0))</f>
        <v>0</v>
      </c>
      <c r="W25" s="1541">
        <f>Bono_Fue+Nivel_Total*(5*Tablas!$G$361+10*Tablas!$G$362+15*Tablas!$G$363)</f>
        <v>0</v>
      </c>
      <c r="X25" s="3694">
        <f>HLOOKUP($E25,Bonos_Cat_Base,2,FALSE)</f>
        <v>0</v>
      </c>
      <c r="Y25" s="3694">
        <f>HLOOKUP($E25,Bonos_Cat_Base,2,FALSE)</f>
        <v>0</v>
      </c>
      <c r="Z25" s="2857"/>
      <c r="AA25" s="1607">
        <f>V25+W25+X25+Z25</f>
        <v>0</v>
      </c>
      <c r="AB25" s="3078"/>
      <c r="AC25" s="3080"/>
    </row>
    <row r="26" spans="1:31" ht="12" customHeight="1" x14ac:dyDescent="0.2">
      <c r="A26" s="1870"/>
      <c r="B26" s="2144"/>
      <c r="C26" s="3590"/>
      <c r="D26" s="3774"/>
      <c r="E26" s="3714"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Defensa",""),IF(OR(maxHA&gt;50+maxHD,maxHD&gt;50+maxHA),"Desequilibrio Ataque/Defensa excesivo","")))</f>
        <v/>
      </c>
      <c r="F26" s="3715"/>
      <c r="G26" s="3715"/>
      <c r="H26" s="3715"/>
      <c r="I26" s="3715"/>
      <c r="J26" s="3715"/>
      <c r="K26" s="3715"/>
      <c r="L26" s="3715"/>
      <c r="M26" s="3715"/>
      <c r="N26" s="3715"/>
      <c r="O26" s="3715"/>
      <c r="P26" s="3715"/>
      <c r="Q26" s="3715"/>
      <c r="R26" s="3715"/>
      <c r="S26" s="3715"/>
      <c r="T26" s="3715"/>
      <c r="U26" s="3715"/>
      <c r="V26" s="3715"/>
      <c r="W26" s="3715"/>
      <c r="X26" s="3715"/>
      <c r="Y26" s="3715"/>
      <c r="Z26" s="3715"/>
      <c r="AA26" s="1608" t="str">
        <f>IF((M22+M23+M24+O22+O23+O24+Q22+Q23+Q24+S22+S23+S24+U22+U23+U24)&gt;(($T$5+$T$7+$T$9+$T$11+$T$13)/2),($T$5+$T$7+$T$9+$T$11+$T$13)/2,"")</f>
        <v/>
      </c>
      <c r="AB26" s="3078"/>
      <c r="AC26" s="3080"/>
    </row>
    <row r="27" spans="1:31" ht="12" customHeight="1" x14ac:dyDescent="0.2">
      <c r="A27" s="1870"/>
      <c r="B27" s="2144"/>
      <c r="C27" s="3590"/>
      <c r="D27" s="3686" t="s">
        <v>1808</v>
      </c>
      <c r="E27" s="3759" t="s">
        <v>1682</v>
      </c>
      <c r="F27" s="3760"/>
      <c r="G27" s="3760"/>
      <c r="H27" s="3760"/>
      <c r="I27" s="3760"/>
      <c r="J27" s="3760"/>
      <c r="K27" s="3761"/>
      <c r="L27" s="1586">
        <f t="shared" ref="L27:L32" si="0">IF(Categoría_1=0,0,VLOOKUP(Categoría_1,Tabla_Categorías,MATCH("CosteKi",Name_Tabla_Cat,FALSE),FALSE))</f>
        <v>0</v>
      </c>
      <c r="M27" s="1587"/>
      <c r="N27" s="1586">
        <f t="shared" ref="N27:N32" si="1">IF(Categoría_2=0,0,VLOOKUP(Categoría_2,Tabla_Categorías,MATCH("CosteKi",Name_Tabla_Cat,FALSE),FALSE))</f>
        <v>0</v>
      </c>
      <c r="O27" s="1587"/>
      <c r="P27" s="1586">
        <f t="shared" ref="P27:P32" si="2">IF(Categoría_3=0,0,VLOOKUP(Categoría_3,Tabla_Categorías,MATCH("CosteKi",Name_Tabla_Cat,FALSE),FALSE))</f>
        <v>0</v>
      </c>
      <c r="Q27" s="1587"/>
      <c r="R27" s="1586">
        <f t="shared" ref="R27:R32" si="3">IF(Categoría_4=0,0,VLOOKUP(Categoría_4,Tabla_Categorías,MATCH("CosteKi",Name_Tabla_Cat,FALSE),FALSE))</f>
        <v>0</v>
      </c>
      <c r="S27" s="1587"/>
      <c r="T27" s="1547">
        <f t="shared" ref="T27:T32" si="4">IF(Categoría_5=0,0,VLOOKUP(Categoría_5,Tabla_Categorías,MATCH("CosteKi",Name_Tabla_Cat,FALSE),FALSE))</f>
        <v>0</v>
      </c>
      <c r="U27" s="1588"/>
      <c r="V27" s="1196">
        <f t="shared" ref="V27:V38" si="5">IF(L27=0,0,TRUNC(M27/L27,0))+IF(N27=0,0,TRUNC(O27/N27,0))+IF(P27=0,0,TRUNC(Q27/P27,0))+IF(R27=0,0,TRUNC(S27/R27,0))+IF(T27=0,0,TRUNC(U27/T27,0))</f>
        <v>0</v>
      </c>
      <c r="W27" s="1547">
        <f>AGI+IF(AGI-10&gt;0,AGI-10,0)</f>
        <v>5</v>
      </c>
      <c r="X27" s="3895" t="s">
        <v>1766</v>
      </c>
      <c r="Y27" s="3895"/>
      <c r="Z27" s="2865"/>
      <c r="AA27" s="1609">
        <f t="shared" ref="AA27:AA32" si="6">W27+V27+Z27</f>
        <v>5</v>
      </c>
      <c r="AB27" s="3078"/>
      <c r="AC27" s="3080"/>
    </row>
    <row r="28" spans="1:31" ht="12" customHeight="1" x14ac:dyDescent="0.2">
      <c r="A28" s="1870"/>
      <c r="B28" s="2144"/>
      <c r="C28" s="3590"/>
      <c r="D28" s="3687"/>
      <c r="E28" s="3709" t="s">
        <v>1809</v>
      </c>
      <c r="F28" s="3710"/>
      <c r="G28" s="3710"/>
      <c r="H28" s="3710"/>
      <c r="I28" s="3710"/>
      <c r="J28" s="3710"/>
      <c r="K28" s="3711"/>
      <c r="L28" s="132">
        <f t="shared" si="0"/>
        <v>0</v>
      </c>
      <c r="M28" s="1544"/>
      <c r="N28" s="132">
        <f t="shared" si="1"/>
        <v>0</v>
      </c>
      <c r="O28" s="1544"/>
      <c r="P28" s="132">
        <f t="shared" si="2"/>
        <v>0</v>
      </c>
      <c r="Q28" s="1544"/>
      <c r="R28" s="132">
        <f t="shared" si="3"/>
        <v>0</v>
      </c>
      <c r="S28" s="1544"/>
      <c r="T28" s="1541">
        <f t="shared" si="4"/>
        <v>0</v>
      </c>
      <c r="U28" s="137"/>
      <c r="V28" s="1197">
        <f t="shared" si="5"/>
        <v>0</v>
      </c>
      <c r="W28" s="1548">
        <f>CON+IF(CON-10&gt;0,CON-10,0)</f>
        <v>5</v>
      </c>
      <c r="X28" s="3604" t="s">
        <v>1766</v>
      </c>
      <c r="Y28" s="3604"/>
      <c r="Z28" s="2862"/>
      <c r="AA28" s="1610">
        <f t="shared" si="6"/>
        <v>5</v>
      </c>
      <c r="AB28" s="3078"/>
      <c r="AC28" s="3080"/>
    </row>
    <row r="29" spans="1:31" ht="12" customHeight="1" x14ac:dyDescent="0.2">
      <c r="A29" s="1870"/>
      <c r="B29" s="2144"/>
      <c r="C29" s="3590"/>
      <c r="D29" s="3687"/>
      <c r="E29" s="3712" t="s">
        <v>1687</v>
      </c>
      <c r="F29" s="3276"/>
      <c r="G29" s="3276"/>
      <c r="H29" s="3276"/>
      <c r="I29" s="3276"/>
      <c r="J29" s="3276"/>
      <c r="K29" s="3713"/>
      <c r="L29" s="127">
        <f t="shared" si="0"/>
        <v>0</v>
      </c>
      <c r="M29" s="1545"/>
      <c r="N29" s="127">
        <f t="shared" si="1"/>
        <v>0</v>
      </c>
      <c r="O29" s="1545"/>
      <c r="P29" s="127">
        <f t="shared" si="2"/>
        <v>0</v>
      </c>
      <c r="Q29" s="1545"/>
      <c r="R29" s="127">
        <f t="shared" si="3"/>
        <v>0</v>
      </c>
      <c r="S29" s="1545"/>
      <c r="T29" s="1546">
        <f t="shared" si="4"/>
        <v>0</v>
      </c>
      <c r="U29" s="70"/>
      <c r="V29" s="1198">
        <f t="shared" si="5"/>
        <v>0</v>
      </c>
      <c r="W29" s="1549">
        <f>DES+IF(DES-10&gt;0,DES-10,0)</f>
        <v>5</v>
      </c>
      <c r="X29" s="3603" t="s">
        <v>1766</v>
      </c>
      <c r="Y29" s="3603"/>
      <c r="Z29" s="2861"/>
      <c r="AA29" s="1611">
        <f t="shared" si="6"/>
        <v>5</v>
      </c>
      <c r="AB29" s="3078"/>
      <c r="AC29" s="3080"/>
    </row>
    <row r="30" spans="1:31" ht="12" customHeight="1" x14ac:dyDescent="0.2">
      <c r="A30" s="1870"/>
      <c r="B30" s="2144"/>
      <c r="C30" s="3590"/>
      <c r="D30" s="3687"/>
      <c r="E30" s="3709" t="s">
        <v>1692</v>
      </c>
      <c r="F30" s="3710"/>
      <c r="G30" s="3710"/>
      <c r="H30" s="3710"/>
      <c r="I30" s="3710"/>
      <c r="J30" s="3710"/>
      <c r="K30" s="3711"/>
      <c r="L30" s="132">
        <f t="shared" si="0"/>
        <v>0</v>
      </c>
      <c r="M30" s="1544"/>
      <c r="N30" s="132">
        <f t="shared" si="1"/>
        <v>0</v>
      </c>
      <c r="O30" s="1544"/>
      <c r="P30" s="132">
        <f t="shared" si="2"/>
        <v>0</v>
      </c>
      <c r="Q30" s="1544"/>
      <c r="R30" s="132">
        <f t="shared" si="3"/>
        <v>0</v>
      </c>
      <c r="S30" s="1544"/>
      <c r="T30" s="1541">
        <f t="shared" si="4"/>
        <v>0</v>
      </c>
      <c r="U30" s="137"/>
      <c r="V30" s="1197">
        <f t="shared" si="5"/>
        <v>0</v>
      </c>
      <c r="W30" s="1548">
        <f>FUE+IF(FUE-10&gt;0,FUE-10,0)</f>
        <v>5</v>
      </c>
      <c r="X30" s="3604" t="s">
        <v>1766</v>
      </c>
      <c r="Y30" s="3604"/>
      <c r="Z30" s="2862"/>
      <c r="AA30" s="1610">
        <f t="shared" si="6"/>
        <v>5</v>
      </c>
      <c r="AB30" s="3078"/>
      <c r="AC30" s="3080"/>
    </row>
    <row r="31" spans="1:31" ht="12" customHeight="1" x14ac:dyDescent="0.2">
      <c r="A31" s="1870"/>
      <c r="B31" s="2144"/>
      <c r="C31" s="3590"/>
      <c r="D31" s="3687"/>
      <c r="E31" s="3712" t="s">
        <v>1700</v>
      </c>
      <c r="F31" s="3276"/>
      <c r="G31" s="3276"/>
      <c r="H31" s="3276"/>
      <c r="I31" s="3276"/>
      <c r="J31" s="3276"/>
      <c r="K31" s="3713"/>
      <c r="L31" s="127">
        <f t="shared" si="0"/>
        <v>0</v>
      </c>
      <c r="M31" s="1545"/>
      <c r="N31" s="127">
        <f t="shared" si="1"/>
        <v>0</v>
      </c>
      <c r="O31" s="1545"/>
      <c r="P31" s="127">
        <f t="shared" si="2"/>
        <v>0</v>
      </c>
      <c r="Q31" s="1545"/>
      <c r="R31" s="127">
        <f t="shared" si="3"/>
        <v>0</v>
      </c>
      <c r="S31" s="1545"/>
      <c r="T31" s="1546">
        <f t="shared" si="4"/>
        <v>0</v>
      </c>
      <c r="U31" s="70"/>
      <c r="V31" s="1198">
        <f t="shared" si="5"/>
        <v>0</v>
      </c>
      <c r="W31" s="1549">
        <f>POD+IF(POD-10&gt;0,POD-10,0)</f>
        <v>5</v>
      </c>
      <c r="X31" s="3603" t="s">
        <v>1766</v>
      </c>
      <c r="Y31" s="3603"/>
      <c r="Z31" s="2861"/>
      <c r="AA31" s="1611">
        <f t="shared" si="6"/>
        <v>5</v>
      </c>
      <c r="AB31" s="3078"/>
      <c r="AC31" s="3080"/>
    </row>
    <row r="32" spans="1:31" ht="12" customHeight="1" x14ac:dyDescent="0.2">
      <c r="A32" s="1870"/>
      <c r="B32" s="2144"/>
      <c r="C32" s="3590"/>
      <c r="D32" s="3687"/>
      <c r="E32" s="3709" t="s">
        <v>1701</v>
      </c>
      <c r="F32" s="3710"/>
      <c r="G32" s="3710"/>
      <c r="H32" s="3710"/>
      <c r="I32" s="3710"/>
      <c r="J32" s="3710"/>
      <c r="K32" s="3711"/>
      <c r="L32" s="139">
        <f t="shared" si="0"/>
        <v>0</v>
      </c>
      <c r="M32" s="140"/>
      <c r="N32" s="139">
        <f t="shared" si="1"/>
        <v>0</v>
      </c>
      <c r="O32" s="140"/>
      <c r="P32" s="139">
        <f t="shared" si="2"/>
        <v>0</v>
      </c>
      <c r="Q32" s="140"/>
      <c r="R32" s="139">
        <f t="shared" si="3"/>
        <v>0</v>
      </c>
      <c r="S32" s="140"/>
      <c r="T32" s="141">
        <f t="shared" si="4"/>
        <v>0</v>
      </c>
      <c r="U32" s="142"/>
      <c r="V32" s="1199">
        <f t="shared" si="5"/>
        <v>0</v>
      </c>
      <c r="W32" s="1195">
        <f>VOL+IF(VOL-10&gt;0,VOL-10,0)</f>
        <v>5</v>
      </c>
      <c r="X32" s="3694" t="s">
        <v>1766</v>
      </c>
      <c r="Y32" s="3694"/>
      <c r="Z32" s="2866"/>
      <c r="AA32" s="1612">
        <f t="shared" si="6"/>
        <v>5</v>
      </c>
      <c r="AB32" s="2942"/>
      <c r="AC32" s="1694"/>
    </row>
    <row r="33" spans="1:60" ht="12" customHeight="1" x14ac:dyDescent="0.2">
      <c r="A33" s="1870"/>
      <c r="B33" s="2144"/>
      <c r="C33" s="3590"/>
      <c r="D33" s="3775" t="s">
        <v>1810</v>
      </c>
      <c r="E33" s="3759" t="s">
        <v>1682</v>
      </c>
      <c r="F33" s="3760"/>
      <c r="G33" s="3760"/>
      <c r="H33" s="3760"/>
      <c r="I33" s="3760"/>
      <c r="J33" s="3760"/>
      <c r="K33" s="3772"/>
      <c r="L33" s="144">
        <f t="shared" ref="L33:L38" si="7">IF(Categoría_1=0,0,VLOOKUP(Categoría_1,Tabla_Categorías,MATCH("CosteAcumKi",Name_Tabla_Cat,FALSE),FALSE))</f>
        <v>0</v>
      </c>
      <c r="M33" s="1561"/>
      <c r="N33" s="143">
        <f t="shared" ref="N33:N38" si="8">IF(Categoría_2=0,0,VLOOKUP(Categoría_2,Tabla_Categorías,MATCH("CosteAcumKi",Name_Tabla_Cat,FALSE),FALSE))</f>
        <v>0</v>
      </c>
      <c r="O33" s="1561"/>
      <c r="P33" s="143">
        <f t="shared" ref="P33:P38" si="9">IF(Categoría_3=0,0,VLOOKUP(Categoría_3,Tabla_Categorías,MATCH("CosteAcumKi",Name_Tabla_Cat,FALSE),FALSE))</f>
        <v>0</v>
      </c>
      <c r="Q33" s="1561"/>
      <c r="R33" s="143">
        <f t="shared" ref="R33:R38" si="10">IF(Categoría_4=0,0,VLOOKUP(Categoría_4,Tabla_Categorías,MATCH("CosteAcumKi",Name_Tabla_Cat,FALSE),FALSE))</f>
        <v>0</v>
      </c>
      <c r="S33" s="1561"/>
      <c r="T33" s="144">
        <f t="shared" ref="T33:T38" si="11">IF(Categoría_5=0,0,VLOOKUP(Categoría_5,Tabla_Categorías,MATCH("CosteAcumKi",Name_Tabla_Cat,FALSE),FALSE))</f>
        <v>0</v>
      </c>
      <c r="U33" s="145"/>
      <c r="V33" s="1200">
        <f t="shared" si="5"/>
        <v>0</v>
      </c>
      <c r="W33" s="531">
        <f>IF(AGI=0,0,VLOOKUP(AGI,Tabla_Acum,2))</f>
        <v>1</v>
      </c>
      <c r="X33" s="3695" t="s">
        <v>1766</v>
      </c>
      <c r="Y33" s="3695"/>
      <c r="Z33" s="2865"/>
      <c r="AA33" s="1613">
        <f t="shared" ref="AA33:AA38" si="12">W33+V33+Z33+IF(Bono_ATA&lt;0,TRUNC(Bono_ATA/20,0),0)</f>
        <v>1</v>
      </c>
      <c r="AB33" s="2942"/>
      <c r="AC33" s="1694"/>
    </row>
    <row r="34" spans="1:60" ht="12" customHeight="1" x14ac:dyDescent="0.2">
      <c r="A34" s="1870"/>
      <c r="B34" s="2144"/>
      <c r="C34" s="3590"/>
      <c r="D34" s="3687"/>
      <c r="E34" s="3709" t="s">
        <v>1809</v>
      </c>
      <c r="F34" s="3710"/>
      <c r="G34" s="3710"/>
      <c r="H34" s="3710"/>
      <c r="I34" s="3710"/>
      <c r="J34" s="3710"/>
      <c r="K34" s="3762"/>
      <c r="L34" s="1541">
        <f t="shared" si="7"/>
        <v>0</v>
      </c>
      <c r="M34" s="1544"/>
      <c r="N34" s="132">
        <f t="shared" si="8"/>
        <v>0</v>
      </c>
      <c r="O34" s="1544"/>
      <c r="P34" s="132">
        <f t="shared" si="9"/>
        <v>0</v>
      </c>
      <c r="Q34" s="1544"/>
      <c r="R34" s="132">
        <f t="shared" si="10"/>
        <v>0</v>
      </c>
      <c r="S34" s="1544"/>
      <c r="T34" s="1541">
        <f t="shared" si="11"/>
        <v>0</v>
      </c>
      <c r="U34" s="137"/>
      <c r="V34" s="1197">
        <f t="shared" si="5"/>
        <v>0</v>
      </c>
      <c r="W34" s="1548">
        <f>IF(CON=0,0,VLOOKUP(CON,Tabla_Acum,2))</f>
        <v>1</v>
      </c>
      <c r="X34" s="3604" t="s">
        <v>1766</v>
      </c>
      <c r="Y34" s="3604"/>
      <c r="Z34" s="2862"/>
      <c r="AA34" s="1610">
        <f t="shared" si="12"/>
        <v>1</v>
      </c>
      <c r="AB34" s="2942"/>
      <c r="AC34" s="1694"/>
    </row>
    <row r="35" spans="1:60" ht="12" customHeight="1" x14ac:dyDescent="0.2">
      <c r="A35" s="1870"/>
      <c r="B35" s="2144"/>
      <c r="C35" s="3590"/>
      <c r="D35" s="3687"/>
      <c r="E35" s="3712" t="s">
        <v>1687</v>
      </c>
      <c r="F35" s="3276"/>
      <c r="G35" s="3276"/>
      <c r="H35" s="3276"/>
      <c r="I35" s="3276"/>
      <c r="J35" s="3276"/>
      <c r="K35" s="3763"/>
      <c r="L35" s="1546">
        <f t="shared" si="7"/>
        <v>0</v>
      </c>
      <c r="M35" s="1545"/>
      <c r="N35" s="127">
        <f t="shared" si="8"/>
        <v>0</v>
      </c>
      <c r="O35" s="1545"/>
      <c r="P35" s="127">
        <f t="shared" si="9"/>
        <v>0</v>
      </c>
      <c r="Q35" s="1545"/>
      <c r="R35" s="127">
        <f t="shared" si="10"/>
        <v>0</v>
      </c>
      <c r="S35" s="1545"/>
      <c r="T35" s="1546">
        <f t="shared" si="11"/>
        <v>0</v>
      </c>
      <c r="U35" s="70"/>
      <c r="V35" s="1198">
        <f t="shared" si="5"/>
        <v>0</v>
      </c>
      <c r="W35" s="1549">
        <f>IF(DES=0,0,VLOOKUP(DES,Tabla_Acum,2))</f>
        <v>1</v>
      </c>
      <c r="X35" s="3603" t="s">
        <v>1766</v>
      </c>
      <c r="Y35" s="3603"/>
      <c r="Z35" s="2861"/>
      <c r="AA35" s="1611">
        <f t="shared" si="12"/>
        <v>1</v>
      </c>
      <c r="AB35" s="2942"/>
      <c r="AC35" s="1694"/>
    </row>
    <row r="36" spans="1:60" ht="12" customHeight="1" x14ac:dyDescent="0.2">
      <c r="A36" s="1870"/>
      <c r="B36" s="2144"/>
      <c r="C36" s="3590"/>
      <c r="D36" s="3687"/>
      <c r="E36" s="3709" t="s">
        <v>1692</v>
      </c>
      <c r="F36" s="3710"/>
      <c r="G36" s="3710"/>
      <c r="H36" s="3710"/>
      <c r="I36" s="3710"/>
      <c r="J36" s="3710"/>
      <c r="K36" s="3762"/>
      <c r="L36" s="1541">
        <f t="shared" si="7"/>
        <v>0</v>
      </c>
      <c r="M36" s="1544"/>
      <c r="N36" s="132">
        <f t="shared" si="8"/>
        <v>0</v>
      </c>
      <c r="O36" s="1544"/>
      <c r="P36" s="132">
        <f t="shared" si="9"/>
        <v>0</v>
      </c>
      <c r="Q36" s="1544"/>
      <c r="R36" s="132">
        <f t="shared" si="10"/>
        <v>0</v>
      </c>
      <c r="S36" s="1544"/>
      <c r="T36" s="1541">
        <f t="shared" si="11"/>
        <v>0</v>
      </c>
      <c r="U36" s="137"/>
      <c r="V36" s="1197">
        <f t="shared" si="5"/>
        <v>0</v>
      </c>
      <c r="W36" s="1548">
        <f>IF(FUE=0,0,VLOOKUP(FUE,Tabla_Acum,2))</f>
        <v>1</v>
      </c>
      <c r="X36" s="3604" t="s">
        <v>1766</v>
      </c>
      <c r="Y36" s="3604"/>
      <c r="Z36" s="2862"/>
      <c r="AA36" s="1610">
        <f t="shared" si="12"/>
        <v>1</v>
      </c>
      <c r="AB36" s="2942"/>
      <c r="AC36" s="1694"/>
      <c r="BB36" s="2943"/>
      <c r="BC36" s="2943"/>
      <c r="BD36" s="1890"/>
      <c r="BE36" s="1890"/>
      <c r="BF36" s="146"/>
      <c r="BG36" s="146"/>
      <c r="BH36" s="146"/>
    </row>
    <row r="37" spans="1:60" ht="12" customHeight="1" x14ac:dyDescent="0.2">
      <c r="A37" s="1870"/>
      <c r="B37" s="2144"/>
      <c r="C37" s="3590"/>
      <c r="D37" s="3687"/>
      <c r="E37" s="3712" t="s">
        <v>1700</v>
      </c>
      <c r="F37" s="3276"/>
      <c r="G37" s="3276"/>
      <c r="H37" s="3276"/>
      <c r="I37" s="3276"/>
      <c r="J37" s="3276"/>
      <c r="K37" s="3763"/>
      <c r="L37" s="1546">
        <f t="shared" si="7"/>
        <v>0</v>
      </c>
      <c r="M37" s="1545"/>
      <c r="N37" s="127">
        <f t="shared" si="8"/>
        <v>0</v>
      </c>
      <c r="O37" s="1545"/>
      <c r="P37" s="127">
        <f t="shared" si="9"/>
        <v>0</v>
      </c>
      <c r="Q37" s="1545"/>
      <c r="R37" s="127">
        <f t="shared" si="10"/>
        <v>0</v>
      </c>
      <c r="S37" s="1545"/>
      <c r="T37" s="1546">
        <f t="shared" si="11"/>
        <v>0</v>
      </c>
      <c r="U37" s="70"/>
      <c r="V37" s="1198">
        <f t="shared" si="5"/>
        <v>0</v>
      </c>
      <c r="W37" s="1549">
        <f>IF(POD=0,0,VLOOKUP(POD,Tabla_Acum,2))</f>
        <v>1</v>
      </c>
      <c r="X37" s="3603" t="s">
        <v>1766</v>
      </c>
      <c r="Y37" s="3603"/>
      <c r="Z37" s="2861"/>
      <c r="AA37" s="1611">
        <f t="shared" si="12"/>
        <v>1</v>
      </c>
      <c r="AB37" s="2942"/>
      <c r="AC37" s="1694"/>
      <c r="BB37" s="1775"/>
      <c r="BC37" s="1775"/>
      <c r="BD37" s="1775"/>
      <c r="BE37" s="1775"/>
      <c r="BF37" s="67"/>
      <c r="BG37" s="67"/>
      <c r="BH37" s="67"/>
    </row>
    <row r="38" spans="1:60" ht="12" customHeight="1" x14ac:dyDescent="0.2">
      <c r="A38" s="1870"/>
      <c r="B38" s="2144"/>
      <c r="C38" s="3590"/>
      <c r="D38" s="3776"/>
      <c r="E38" s="3764" t="s">
        <v>1701</v>
      </c>
      <c r="F38" s="3765"/>
      <c r="G38" s="3765"/>
      <c r="H38" s="3765"/>
      <c r="I38" s="3765"/>
      <c r="J38" s="3765"/>
      <c r="K38" s="3766"/>
      <c r="L38" s="141">
        <f t="shared" si="7"/>
        <v>0</v>
      </c>
      <c r="M38" s="140"/>
      <c r="N38" s="139">
        <f t="shared" si="8"/>
        <v>0</v>
      </c>
      <c r="O38" s="140"/>
      <c r="P38" s="139">
        <f t="shared" si="9"/>
        <v>0</v>
      </c>
      <c r="Q38" s="140"/>
      <c r="R38" s="139">
        <f t="shared" si="10"/>
        <v>0</v>
      </c>
      <c r="S38" s="140"/>
      <c r="T38" s="141">
        <f t="shared" si="11"/>
        <v>0</v>
      </c>
      <c r="U38" s="142"/>
      <c r="V38" s="1199">
        <f t="shared" si="5"/>
        <v>0</v>
      </c>
      <c r="W38" s="1201">
        <f>IF(VOL=0,0,VLOOKUP(VOL,Tabla_Acum,2))</f>
        <v>1</v>
      </c>
      <c r="X38" s="3777" t="s">
        <v>1766</v>
      </c>
      <c r="Y38" s="3777"/>
      <c r="Z38" s="2866"/>
      <c r="AA38" s="1612">
        <f t="shared" si="12"/>
        <v>1</v>
      </c>
      <c r="AB38" s="2942"/>
      <c r="AC38" s="1694"/>
      <c r="BB38" s="1775"/>
      <c r="BC38" s="1775"/>
      <c r="BD38" s="1775"/>
      <c r="BE38" s="1775"/>
      <c r="BF38" s="67"/>
      <c r="BG38" s="67"/>
      <c r="BH38" s="67"/>
    </row>
    <row r="39" spans="1:60" ht="12" customHeight="1" x14ac:dyDescent="0.2">
      <c r="A39" s="1870"/>
      <c r="B39" s="2144"/>
      <c r="C39" s="3590"/>
      <c r="D39" s="1614" t="s">
        <v>1811</v>
      </c>
      <c r="E39" s="3767" t="s">
        <v>1812</v>
      </c>
      <c r="F39" s="3768"/>
      <c r="G39" s="3768"/>
      <c r="H39" s="3768"/>
      <c r="I39" s="3768"/>
      <c r="J39" s="3768"/>
      <c r="K39" s="3769"/>
      <c r="L39" s="150">
        <v>5</v>
      </c>
      <c r="M39" s="149"/>
      <c r="N39" s="148">
        <v>5</v>
      </c>
      <c r="O39" s="149"/>
      <c r="P39" s="148">
        <v>5</v>
      </c>
      <c r="Q39" s="149"/>
      <c r="R39" s="148">
        <v>5</v>
      </c>
      <c r="S39" s="149"/>
      <c r="T39" s="150">
        <v>5</v>
      </c>
      <c r="U39" s="81"/>
      <c r="V39" s="1202">
        <f>(IF(L39=0,0,TRUNC(M39/L39,0))+IF(N39=0,0,TRUNC(O39/N39,0))+IF(P39=0,0,TRUNC(Q39/P39,0))+IF(R39=0,0,TRUNC(S39/R39,0))+IF(T39=0,0,TRUNC(U39/T39,0)))*5</f>
        <v>0</v>
      </c>
      <c r="W39" s="1203">
        <f>SUM(Combate!AQ31:AQ49)+Tablas!G329*40+Tablas!G330*80+Tablas!G331*120</f>
        <v>0</v>
      </c>
      <c r="X39" s="3778">
        <f>HLOOKUP($E39,Bonos_Cat_Base,2,FALSE)</f>
        <v>0</v>
      </c>
      <c r="Y39" s="3778">
        <f>HLOOKUP($E39,Bonos_Cat_Base,2,FALSE)</f>
        <v>0</v>
      </c>
      <c r="Z39" s="2867"/>
      <c r="AA39" s="1615">
        <f>Z39+X39+W39+V39</f>
        <v>0</v>
      </c>
      <c r="AB39" s="2942"/>
      <c r="AC39" s="1694"/>
      <c r="BB39" s="1775"/>
      <c r="BC39" s="1775"/>
      <c r="BD39" s="1775"/>
      <c r="BE39" s="1775"/>
      <c r="BF39" s="67"/>
      <c r="BG39" s="67"/>
      <c r="BH39" s="67"/>
    </row>
    <row r="40" spans="1:60" ht="12" customHeight="1" x14ac:dyDescent="0.2">
      <c r="A40" s="1870"/>
      <c r="B40" s="2144"/>
      <c r="C40" s="3590"/>
      <c r="D40" s="3686" t="s">
        <v>1813</v>
      </c>
      <c r="E40" s="3770"/>
      <c r="F40" s="3663"/>
      <c r="G40" s="3663"/>
      <c r="H40" s="3663"/>
      <c r="I40" s="3663"/>
      <c r="J40" s="3663"/>
      <c r="K40" s="3664"/>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700" t="str">
        <f t="shared" ref="V40:V41" si="13">IF(E40=0,"",VLOOKUP(E40,Tabla_TablasArmas,3,FALSE))</f>
        <v/>
      </c>
      <c r="W40" s="3701"/>
      <c r="X40" s="3701"/>
      <c r="Y40" s="3781"/>
      <c r="Z40" s="3781"/>
      <c r="AA40" s="3782"/>
      <c r="AB40" s="2942"/>
      <c r="AC40" s="1694"/>
      <c r="AD40" s="2701" t="str">
        <f>IF($E40="Tabla de tipología","Lista_Tipologías",IF($E40="Tabla de armas arquetípicas","Lista_ArmasArquetipo",IF($E40="Tabla de armas improvisadas","","Lista_Armas")))</f>
        <v>Lista_Armas</v>
      </c>
      <c r="AF40" s="3071"/>
      <c r="AG40" s="3071"/>
      <c r="BB40" s="1775"/>
      <c r="BC40" s="1775"/>
      <c r="BD40" s="1775"/>
      <c r="BE40" s="1775"/>
      <c r="BF40" s="67"/>
      <c r="BG40" s="67"/>
      <c r="BH40" s="67"/>
    </row>
    <row r="41" spans="1:60" ht="12" customHeight="1" x14ac:dyDescent="0.2">
      <c r="A41" s="1870"/>
      <c r="B41" s="2144"/>
      <c r="C41" s="3590"/>
      <c r="D41" s="3687"/>
      <c r="E41" s="3771"/>
      <c r="F41" s="3625"/>
      <c r="G41" s="3625"/>
      <c r="H41" s="3625"/>
      <c r="I41" s="3625"/>
      <c r="J41" s="3625"/>
      <c r="K41" s="3626"/>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45"/>
      <c r="R41" s="127">
        <f>IF($E41=0,0,TRUNC(IF(Categoría_4="Maestro de armas",0.5,1)*VLOOKUP($E41,Tablas!$X$575:$Y$580,2,FALSE),0))</f>
        <v>0</v>
      </c>
      <c r="S41" s="1545"/>
      <c r="T41" s="127">
        <f>IF($E41=0,0,TRUNC(IF(Categoría_5="Maestro de armas",0.5,1)*VLOOKUP($E41,Tablas!$X$575:$Y$580,2,FALSE),0))</f>
        <v>0</v>
      </c>
      <c r="U41" s="70"/>
      <c r="V41" s="3702" t="str">
        <f t="shared" si="13"/>
        <v/>
      </c>
      <c r="W41" s="3703"/>
      <c r="X41" s="3703"/>
      <c r="Y41" s="3783"/>
      <c r="Z41" s="3783"/>
      <c r="AA41" s="3784"/>
      <c r="AB41" s="2942"/>
      <c r="AC41" s="1694"/>
      <c r="AD41" s="2701" t="str">
        <f t="shared" ref="AD41:AD45" si="14">IF($E41="Tabla de tipología","Lista_Tipologías",IF($E41="Tabla de armas arquetípicas","Lista_ArmasArquetipo",IF($E41="Tabla de armas improvisadas","","Lista_Armas")))</f>
        <v>Lista_Armas</v>
      </c>
      <c r="BB41" s="1775"/>
      <c r="BC41" s="1775"/>
      <c r="BD41" s="1775"/>
      <c r="BE41" s="1775"/>
      <c r="BF41" s="67"/>
      <c r="BG41" s="67"/>
      <c r="BH41" s="67"/>
    </row>
    <row r="42" spans="1:60" ht="12" customHeight="1" x14ac:dyDescent="0.2">
      <c r="A42" s="1870"/>
      <c r="B42" s="2144"/>
      <c r="C42" s="3590"/>
      <c r="D42" s="3687"/>
      <c r="E42" s="3770"/>
      <c r="F42" s="3663"/>
      <c r="G42" s="3663"/>
      <c r="H42" s="3663"/>
      <c r="I42" s="3663"/>
      <c r="J42" s="3663"/>
      <c r="K42" s="3664"/>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44"/>
      <c r="R42" s="132">
        <f>IF($E42=0,0,TRUNC(IF(Categoría_4="Maestro de armas",0.5,1)*VLOOKUP($E42,Tablas!$X$575:$Y$580,2,FALSE),0))</f>
        <v>0</v>
      </c>
      <c r="S42" s="1544"/>
      <c r="T42" s="132">
        <f>IF($E42=0,0,TRUNC(IF(Categoría_5="Maestro de armas",0.5,1)*VLOOKUP($E42,Tablas!$X$575:$Y$580,2,FALSE),0))</f>
        <v>0</v>
      </c>
      <c r="U42" s="137"/>
      <c r="V42" s="3700" t="str">
        <f t="shared" ref="V42" si="15">IF(E42=0,"",VLOOKUP(E42,Tabla_TablasArmas,3,FALSE))</f>
        <v/>
      </c>
      <c r="W42" s="3701"/>
      <c r="X42" s="3701"/>
      <c r="Y42" s="3781"/>
      <c r="Z42" s="3781"/>
      <c r="AA42" s="3782"/>
      <c r="AB42" s="2942"/>
      <c r="AC42" s="1694"/>
      <c r="AD42" s="2701" t="str">
        <f t="shared" si="14"/>
        <v>Lista_Armas</v>
      </c>
      <c r="BB42" s="1775"/>
      <c r="BC42" s="1775"/>
      <c r="BD42" s="1775"/>
      <c r="BE42" s="1775"/>
      <c r="BF42" s="67"/>
      <c r="BG42" s="67"/>
      <c r="BH42" s="67"/>
    </row>
    <row r="43" spans="1:60" ht="12" customHeight="1" x14ac:dyDescent="0.2">
      <c r="A43" s="1870"/>
      <c r="B43" s="2144"/>
      <c r="C43" s="3590"/>
      <c r="D43" s="3687"/>
      <c r="E43" s="3771"/>
      <c r="F43" s="3625"/>
      <c r="G43" s="3625"/>
      <c r="H43" s="3625"/>
      <c r="I43" s="3625"/>
      <c r="J43" s="3625"/>
      <c r="K43" s="3626"/>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45"/>
      <c r="R43" s="127">
        <f>IF($E43=0,0,TRUNC(IF(Categoría_4="Maestro de armas",0.5,1)*VLOOKUP($E43,Tablas!$X$575:$Y$580,2,FALSE),0))</f>
        <v>0</v>
      </c>
      <c r="S43" s="1545"/>
      <c r="T43" s="127">
        <f>IF($E43=0,0,TRUNC(IF(Categoría_5="Maestro de armas",0.5,1)*VLOOKUP($E43,Tablas!$X$575:$Y$580,2,FALSE),0))</f>
        <v>0</v>
      </c>
      <c r="U43" s="70"/>
      <c r="V43" s="3702" t="str">
        <f t="shared" ref="V43:V45" si="16">IF(E43=0,"",VLOOKUP(E43,Tabla_TablasArmas,3,FALSE))</f>
        <v/>
      </c>
      <c r="W43" s="3703"/>
      <c r="X43" s="3703"/>
      <c r="Y43" s="3783"/>
      <c r="Z43" s="3783"/>
      <c r="AA43" s="3784"/>
      <c r="AB43" s="2942"/>
      <c r="AC43" s="1694"/>
      <c r="AD43" s="2701" t="str">
        <f t="shared" si="14"/>
        <v>Lista_Armas</v>
      </c>
      <c r="BB43" s="2308"/>
      <c r="BC43" s="2308"/>
      <c r="BD43" s="2308"/>
      <c r="BE43" s="2308"/>
      <c r="BF43" s="80"/>
      <c r="BG43" s="80"/>
      <c r="BH43" s="80"/>
    </row>
    <row r="44" spans="1:60" ht="12" customHeight="1" x14ac:dyDescent="0.2">
      <c r="A44" s="1870"/>
      <c r="B44" s="2144"/>
      <c r="C44" s="3590"/>
      <c r="D44" s="3687"/>
      <c r="E44" s="3770"/>
      <c r="F44" s="3663"/>
      <c r="G44" s="3663"/>
      <c r="H44" s="3663"/>
      <c r="I44" s="3663"/>
      <c r="J44" s="3663"/>
      <c r="K44" s="3664"/>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44"/>
      <c r="R44" s="132">
        <f>IF($E44=0,0,TRUNC(IF(Categoría_4="Maestro de armas",0.5,1)*VLOOKUP($E44,Tablas!$X$575:$Y$580,2,FALSE),0))</f>
        <v>0</v>
      </c>
      <c r="S44" s="1544"/>
      <c r="T44" s="132">
        <f>IF($E44=0,0,TRUNC(IF(Categoría_5="Maestro de armas",0.5,1)*VLOOKUP($E44,Tablas!$X$575:$Y$580,2,FALSE),0))</f>
        <v>0</v>
      </c>
      <c r="U44" s="137"/>
      <c r="V44" s="3700" t="str">
        <f t="shared" si="16"/>
        <v/>
      </c>
      <c r="W44" s="3701"/>
      <c r="X44" s="3701"/>
      <c r="Y44" s="3781"/>
      <c r="Z44" s="3781"/>
      <c r="AA44" s="3782"/>
      <c r="AB44" s="2942"/>
      <c r="AC44" s="1694"/>
      <c r="AD44" s="2701" t="str">
        <f t="shared" si="14"/>
        <v>Lista_Armas</v>
      </c>
      <c r="BB44" s="2308"/>
      <c r="BC44" s="2308"/>
      <c r="BD44" s="2308"/>
      <c r="BE44" s="2308"/>
      <c r="BF44" s="80"/>
      <c r="BG44" s="80"/>
      <c r="BH44" s="80"/>
    </row>
    <row r="45" spans="1:60" ht="12" customHeight="1" x14ac:dyDescent="0.2">
      <c r="A45" s="1870"/>
      <c r="B45" s="2144"/>
      <c r="C45" s="3590"/>
      <c r="D45" s="3774"/>
      <c r="E45" s="3771"/>
      <c r="F45" s="3625"/>
      <c r="G45" s="3625"/>
      <c r="H45" s="3625"/>
      <c r="I45" s="3625"/>
      <c r="J45" s="3625"/>
      <c r="K45" s="3626"/>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45"/>
      <c r="R45" s="127">
        <f>IF($E45=0,0,TRUNC(IF(Categoría_4="Maestro de armas",0.5,1)*VLOOKUP($E45,Tablas!$X$575:$Y$580,2,FALSE),0))</f>
        <v>0</v>
      </c>
      <c r="S45" s="1545"/>
      <c r="T45" s="127">
        <f>IF($E45=0,0,TRUNC(IF(Categoría_5="Maestro de armas",0.5,1)*VLOOKUP($E45,Tablas!$X$575:$Y$580,2,FALSE),0))</f>
        <v>0</v>
      </c>
      <c r="U45" s="70"/>
      <c r="V45" s="3779" t="str">
        <f t="shared" si="16"/>
        <v/>
      </c>
      <c r="W45" s="3780"/>
      <c r="X45" s="3780"/>
      <c r="Y45" s="3785"/>
      <c r="Z45" s="3785"/>
      <c r="AA45" s="3786"/>
      <c r="AB45" s="2942"/>
      <c r="AC45" s="1694"/>
      <c r="AD45" s="2701" t="str">
        <f t="shared" si="14"/>
        <v>Lista_Armas</v>
      </c>
      <c r="BB45" s="2308"/>
      <c r="BC45" s="2308"/>
      <c r="BD45" s="2308"/>
      <c r="BE45" s="2308"/>
      <c r="BF45" s="80"/>
      <c r="BG45" s="80"/>
      <c r="BH45" s="80"/>
    </row>
    <row r="46" spans="1:60" ht="12" customHeight="1" x14ac:dyDescent="0.2">
      <c r="A46" s="1870"/>
      <c r="B46" s="2144"/>
      <c r="C46" s="3590"/>
      <c r="D46" s="3756" t="s">
        <v>1814</v>
      </c>
      <c r="E46" s="3659"/>
      <c r="F46" s="3660"/>
      <c r="G46" s="3660"/>
      <c r="H46" s="3660"/>
      <c r="I46" s="3660"/>
      <c r="J46" s="3660"/>
      <c r="K46" s="3661"/>
      <c r="L46" s="1591" t="str">
        <f t="shared" ref="L46:L55" si="17">IF($E46=0,"",TRUNC(IF(Categoría_1="Maestro de armas",0.5,1)*VLOOKUP($E46,Tabla_Tabla_Estilos,2,FALSE),0))</f>
        <v/>
      </c>
      <c r="M46" s="1592"/>
      <c r="N46" s="1591">
        <f t="shared" ref="N46:N55" si="18">IF($E46=0,0,TRUNC(IF(Categoría_2="Maestro de armas",0.5,1)*VLOOKUP($E46,Tabla_Tabla_Estilos,2,FALSE),0))</f>
        <v>0</v>
      </c>
      <c r="O46" s="1592"/>
      <c r="P46" s="1591">
        <f t="shared" ref="P46:P55" si="19">IF($E46=0,0,TRUNC(IF(Categoría_3="Maestro de armas",0.5,1)*VLOOKUP($E46,Tabla_Tabla_Estilos,2,FALSE),0))</f>
        <v>0</v>
      </c>
      <c r="Q46" s="1592"/>
      <c r="R46" s="1591">
        <f t="shared" ref="R46:R55" si="20">IF($E46=0,0,TRUNC(IF(Categoría_4="Maestro de armas",0.5,1)*VLOOKUP($E46,Tabla_Tabla_Estilos,2,FALSE),0))</f>
        <v>0</v>
      </c>
      <c r="S46" s="1592"/>
      <c r="T46" s="1591">
        <f t="shared" ref="T46:T55" si="21">IF($E46=0,0,TRUNC(IF(Categoría_5="Maestro de armas",0.5,1)*VLOOKUP($E46,Tabla_Tabla_Estilos,2,FALSE),0))</f>
        <v>0</v>
      </c>
      <c r="U46" s="1593"/>
      <c r="V46" s="3696" t="str">
        <f t="shared" ref="V46:V55" si="22">IF($E46="","",VLOOKUP($E46,Tabla_Tabla_Estilos,3,FALSE))</f>
        <v/>
      </c>
      <c r="W46" s="3696"/>
      <c r="X46" s="3696"/>
      <c r="Y46" s="3696"/>
      <c r="Z46" s="3696"/>
      <c r="AA46" s="3697"/>
      <c r="AB46" s="2942"/>
      <c r="AC46" s="1694"/>
      <c r="BB46" s="2308"/>
      <c r="BC46" s="2308"/>
      <c r="BD46" s="2308"/>
      <c r="BE46" s="2308"/>
      <c r="BF46" s="80"/>
      <c r="BG46" s="80"/>
      <c r="BH46" s="80"/>
    </row>
    <row r="47" spans="1:60" ht="12" customHeight="1" x14ac:dyDescent="0.2">
      <c r="A47" s="1870"/>
      <c r="B47" s="2144"/>
      <c r="C47" s="3590"/>
      <c r="D47" s="3757"/>
      <c r="E47" s="3624"/>
      <c r="F47" s="3625"/>
      <c r="G47" s="3625"/>
      <c r="H47" s="3625"/>
      <c r="I47" s="3625"/>
      <c r="J47" s="3625"/>
      <c r="K47" s="3626"/>
      <c r="L47" s="127" t="str">
        <f t="shared" si="17"/>
        <v/>
      </c>
      <c r="M47" s="1545"/>
      <c r="N47" s="127">
        <f t="shared" si="18"/>
        <v>0</v>
      </c>
      <c r="O47" s="1545"/>
      <c r="P47" s="127">
        <f t="shared" si="19"/>
        <v>0</v>
      </c>
      <c r="Q47" s="1545"/>
      <c r="R47" s="127">
        <f t="shared" si="20"/>
        <v>0</v>
      </c>
      <c r="S47" s="1545"/>
      <c r="T47" s="127">
        <f t="shared" si="21"/>
        <v>0</v>
      </c>
      <c r="U47" s="1594"/>
      <c r="V47" s="3670" t="str">
        <f t="shared" si="22"/>
        <v/>
      </c>
      <c r="W47" s="3670"/>
      <c r="X47" s="3670"/>
      <c r="Y47" s="3670"/>
      <c r="Z47" s="3670"/>
      <c r="AA47" s="3671"/>
      <c r="AB47" s="2942"/>
      <c r="AC47" s="1694"/>
      <c r="BB47" s="2308"/>
      <c r="BC47" s="2308"/>
      <c r="BD47" s="2308"/>
      <c r="BE47" s="2308"/>
      <c r="BF47" s="80"/>
      <c r="BG47" s="80"/>
      <c r="BH47" s="80"/>
    </row>
    <row r="48" spans="1:60" ht="12" customHeight="1" x14ac:dyDescent="0.2">
      <c r="A48" s="1870"/>
      <c r="B48" s="2144"/>
      <c r="C48" s="3590"/>
      <c r="D48" s="3757"/>
      <c r="E48" s="3662"/>
      <c r="F48" s="3663"/>
      <c r="G48" s="3663"/>
      <c r="H48" s="3663"/>
      <c r="I48" s="3663"/>
      <c r="J48" s="3663"/>
      <c r="K48" s="3664"/>
      <c r="L48" s="132" t="str">
        <f t="shared" si="17"/>
        <v/>
      </c>
      <c r="M48" s="1544"/>
      <c r="N48" s="132">
        <f t="shared" si="18"/>
        <v>0</v>
      </c>
      <c r="O48" s="1544"/>
      <c r="P48" s="132">
        <f t="shared" si="19"/>
        <v>0</v>
      </c>
      <c r="Q48" s="1544"/>
      <c r="R48" s="132">
        <f t="shared" si="20"/>
        <v>0</v>
      </c>
      <c r="S48" s="1544"/>
      <c r="T48" s="132">
        <f t="shared" si="21"/>
        <v>0</v>
      </c>
      <c r="U48" s="1595"/>
      <c r="V48" s="3667" t="str">
        <f t="shared" si="22"/>
        <v/>
      </c>
      <c r="W48" s="3667"/>
      <c r="X48" s="3667"/>
      <c r="Y48" s="3667"/>
      <c r="Z48" s="3667"/>
      <c r="AA48" s="3668"/>
      <c r="AB48" s="2942"/>
      <c r="AC48" s="1694"/>
      <c r="BB48" s="2308"/>
      <c r="BC48" s="2308"/>
      <c r="BD48" s="2308"/>
      <c r="BE48" s="2308"/>
      <c r="BF48" s="80"/>
      <c r="BG48" s="80"/>
      <c r="BH48" s="80"/>
    </row>
    <row r="49" spans="1:65" ht="12" customHeight="1" x14ac:dyDescent="0.2">
      <c r="A49" s="1870"/>
      <c r="B49" s="2144"/>
      <c r="C49" s="3590"/>
      <c r="D49" s="3757"/>
      <c r="E49" s="3624"/>
      <c r="F49" s="3625"/>
      <c r="G49" s="3625"/>
      <c r="H49" s="3625"/>
      <c r="I49" s="3625"/>
      <c r="J49" s="3625"/>
      <c r="K49" s="3626"/>
      <c r="L49" s="127" t="str">
        <f t="shared" si="17"/>
        <v/>
      </c>
      <c r="M49" s="1545"/>
      <c r="N49" s="127">
        <f t="shared" si="18"/>
        <v>0</v>
      </c>
      <c r="O49" s="1545"/>
      <c r="P49" s="127">
        <f t="shared" si="19"/>
        <v>0</v>
      </c>
      <c r="Q49" s="1545"/>
      <c r="R49" s="127">
        <f t="shared" si="20"/>
        <v>0</v>
      </c>
      <c r="S49" s="1545"/>
      <c r="T49" s="127">
        <f t="shared" si="21"/>
        <v>0</v>
      </c>
      <c r="U49" s="1594"/>
      <c r="V49" s="3670" t="str">
        <f t="shared" si="22"/>
        <v/>
      </c>
      <c r="W49" s="3670"/>
      <c r="X49" s="3670"/>
      <c r="Y49" s="3670"/>
      <c r="Z49" s="3670"/>
      <c r="AA49" s="3671"/>
      <c r="AB49" s="2942"/>
      <c r="AC49" s="1694"/>
    </row>
    <row r="50" spans="1:65" ht="12" customHeight="1" x14ac:dyDescent="0.2">
      <c r="A50" s="1870"/>
      <c r="B50" s="2144"/>
      <c r="C50" s="3590"/>
      <c r="D50" s="3757"/>
      <c r="E50" s="3662"/>
      <c r="F50" s="3663"/>
      <c r="G50" s="3663"/>
      <c r="H50" s="3663"/>
      <c r="I50" s="3663"/>
      <c r="J50" s="3663"/>
      <c r="K50" s="3664"/>
      <c r="L50" s="132" t="str">
        <f t="shared" si="17"/>
        <v/>
      </c>
      <c r="M50" s="1544"/>
      <c r="N50" s="132">
        <f t="shared" si="18"/>
        <v>0</v>
      </c>
      <c r="O50" s="1544"/>
      <c r="P50" s="132">
        <f t="shared" si="19"/>
        <v>0</v>
      </c>
      <c r="Q50" s="1544"/>
      <c r="R50" s="132">
        <f t="shared" si="20"/>
        <v>0</v>
      </c>
      <c r="S50" s="1544"/>
      <c r="T50" s="132">
        <f t="shared" si="21"/>
        <v>0</v>
      </c>
      <c r="U50" s="1595"/>
      <c r="V50" s="3667" t="str">
        <f t="shared" si="22"/>
        <v/>
      </c>
      <c r="W50" s="3667"/>
      <c r="X50" s="3667"/>
      <c r="Y50" s="3667"/>
      <c r="Z50" s="3667"/>
      <c r="AA50" s="3668"/>
      <c r="AB50" s="2942"/>
      <c r="AC50" s="1694"/>
      <c r="AD50" s="2701" t="str">
        <f>IF(PDs!$AD75=0,"",IF(PDs!$V75="FALTAN REQUISITOS",PDs!$V75,VLOOKUP(X50,Tabla_AM_Armas,9,FALSE)))</f>
        <v/>
      </c>
    </row>
    <row r="51" spans="1:65" ht="12" customHeight="1" x14ac:dyDescent="0.2">
      <c r="A51" s="1870"/>
      <c r="B51" s="2144"/>
      <c r="C51" s="3590"/>
      <c r="D51" s="3757"/>
      <c r="E51" s="3624"/>
      <c r="F51" s="3625"/>
      <c r="G51" s="3625"/>
      <c r="H51" s="3625"/>
      <c r="I51" s="3625"/>
      <c r="J51" s="3625"/>
      <c r="K51" s="3626"/>
      <c r="L51" s="127" t="str">
        <f t="shared" si="17"/>
        <v/>
      </c>
      <c r="M51" s="1545"/>
      <c r="N51" s="127">
        <f t="shared" si="18"/>
        <v>0</v>
      </c>
      <c r="O51" s="1545"/>
      <c r="P51" s="127">
        <f t="shared" si="19"/>
        <v>0</v>
      </c>
      <c r="Q51" s="1545"/>
      <c r="R51" s="127">
        <f t="shared" si="20"/>
        <v>0</v>
      </c>
      <c r="S51" s="1545"/>
      <c r="T51" s="127">
        <f t="shared" si="21"/>
        <v>0</v>
      </c>
      <c r="U51" s="1594"/>
      <c r="V51" s="3670" t="str">
        <f t="shared" si="22"/>
        <v/>
      </c>
      <c r="W51" s="3670"/>
      <c r="X51" s="3670"/>
      <c r="Y51" s="3670"/>
      <c r="Z51" s="3670"/>
      <c r="AA51" s="3671"/>
      <c r="AB51" s="2942"/>
      <c r="AC51" s="1694"/>
      <c r="AD51" s="2701" t="str">
        <f>IF(PDs!$AD76=0,"",IF(PDs!$V76="FALTAN REQUISITOS",PDs!$V76,VLOOKUP(X51,Tabla_AM_Armas,9,FALSE)))</f>
        <v/>
      </c>
    </row>
    <row r="52" spans="1:65" ht="12" customHeight="1" x14ac:dyDescent="0.2">
      <c r="A52" s="1870"/>
      <c r="B52" s="2144"/>
      <c r="C52" s="3590"/>
      <c r="D52" s="3757"/>
      <c r="E52" s="3662"/>
      <c r="F52" s="3663"/>
      <c r="G52" s="3663"/>
      <c r="H52" s="3663"/>
      <c r="I52" s="3663"/>
      <c r="J52" s="3663"/>
      <c r="K52" s="3664"/>
      <c r="L52" s="132" t="str">
        <f t="shared" si="17"/>
        <v/>
      </c>
      <c r="M52" s="155"/>
      <c r="N52" s="132">
        <f t="shared" si="18"/>
        <v>0</v>
      </c>
      <c r="O52" s="155"/>
      <c r="P52" s="132">
        <f t="shared" si="19"/>
        <v>0</v>
      </c>
      <c r="Q52" s="155"/>
      <c r="R52" s="132">
        <f t="shared" si="20"/>
        <v>0</v>
      </c>
      <c r="S52" s="155"/>
      <c r="T52" s="132">
        <f t="shared" si="21"/>
        <v>0</v>
      </c>
      <c r="U52" s="1596"/>
      <c r="V52" s="3667" t="str">
        <f t="shared" si="22"/>
        <v/>
      </c>
      <c r="W52" s="3667"/>
      <c r="X52" s="3667"/>
      <c r="Y52" s="3667"/>
      <c r="Z52" s="3667"/>
      <c r="AA52" s="3668"/>
      <c r="AB52" s="2942"/>
      <c r="AC52" s="1694"/>
      <c r="AD52" s="2701" t="str">
        <f>IF(PDs!$AD77=0,"",IF(PDs!$V77="FALTAN REQUISITOS",PDs!$V77,VLOOKUP(X52,Tabla_AM_Armas,9,FALSE)))</f>
        <v/>
      </c>
    </row>
    <row r="53" spans="1:65" ht="12" customHeight="1" x14ac:dyDescent="0.2">
      <c r="A53" s="1870"/>
      <c r="B53" s="2144"/>
      <c r="C53" s="3590"/>
      <c r="D53" s="3757"/>
      <c r="E53" s="3624"/>
      <c r="F53" s="3625"/>
      <c r="G53" s="3625"/>
      <c r="H53" s="3625"/>
      <c r="I53" s="3625"/>
      <c r="J53" s="3625"/>
      <c r="K53" s="3626"/>
      <c r="L53" s="127" t="str">
        <f t="shared" si="17"/>
        <v/>
      </c>
      <c r="M53" s="156"/>
      <c r="N53" s="127">
        <f t="shared" si="18"/>
        <v>0</v>
      </c>
      <c r="O53" s="156"/>
      <c r="P53" s="127">
        <f t="shared" si="19"/>
        <v>0</v>
      </c>
      <c r="Q53" s="156"/>
      <c r="R53" s="127">
        <f t="shared" si="20"/>
        <v>0</v>
      </c>
      <c r="S53" s="156"/>
      <c r="T53" s="127">
        <f t="shared" si="21"/>
        <v>0</v>
      </c>
      <c r="U53" s="1597"/>
      <c r="V53" s="3670" t="str">
        <f t="shared" si="22"/>
        <v/>
      </c>
      <c r="W53" s="3670"/>
      <c r="X53" s="3670"/>
      <c r="Y53" s="3670"/>
      <c r="Z53" s="3670"/>
      <c r="AA53" s="3671"/>
      <c r="AB53" s="2942"/>
      <c r="AC53" s="1694"/>
    </row>
    <row r="54" spans="1:65" ht="12" customHeight="1" x14ac:dyDescent="0.2">
      <c r="A54" s="1870"/>
      <c r="B54" s="2144"/>
      <c r="C54" s="3590"/>
      <c r="D54" s="3757"/>
      <c r="E54" s="3662"/>
      <c r="F54" s="3663"/>
      <c r="G54" s="3663"/>
      <c r="H54" s="3663"/>
      <c r="I54" s="3663"/>
      <c r="J54" s="3663"/>
      <c r="K54" s="3664"/>
      <c r="L54" s="132" t="str">
        <f t="shared" si="17"/>
        <v/>
      </c>
      <c r="M54" s="155"/>
      <c r="N54" s="132">
        <f t="shared" si="18"/>
        <v>0</v>
      </c>
      <c r="O54" s="155"/>
      <c r="P54" s="132">
        <f t="shared" si="19"/>
        <v>0</v>
      </c>
      <c r="Q54" s="155"/>
      <c r="R54" s="132">
        <f t="shared" si="20"/>
        <v>0</v>
      </c>
      <c r="S54" s="155"/>
      <c r="T54" s="132">
        <f t="shared" si="21"/>
        <v>0</v>
      </c>
      <c r="U54" s="1596"/>
      <c r="V54" s="3667" t="str">
        <f t="shared" si="22"/>
        <v/>
      </c>
      <c r="W54" s="3667"/>
      <c r="X54" s="3667"/>
      <c r="Y54" s="3667"/>
      <c r="Z54" s="3667"/>
      <c r="AA54" s="3668"/>
      <c r="AB54" s="2942"/>
      <c r="AC54" s="1694"/>
      <c r="BB54" s="1775"/>
      <c r="BC54" s="1775"/>
      <c r="BD54" s="1775"/>
      <c r="BE54" s="1775"/>
      <c r="BF54" s="67"/>
      <c r="BG54" s="67"/>
      <c r="BH54" s="67"/>
      <c r="BI54" s="67"/>
    </row>
    <row r="55" spans="1:65" ht="12" customHeight="1" x14ac:dyDescent="0.2">
      <c r="A55" s="1870"/>
      <c r="B55" s="2144"/>
      <c r="C55" s="3590"/>
      <c r="D55" s="3758"/>
      <c r="E55" s="3672"/>
      <c r="F55" s="3673"/>
      <c r="G55" s="3673"/>
      <c r="H55" s="3673"/>
      <c r="I55" s="3673"/>
      <c r="J55" s="3673"/>
      <c r="K55" s="3674"/>
      <c r="L55" s="1589" t="str">
        <f t="shared" si="17"/>
        <v/>
      </c>
      <c r="M55" s="1598"/>
      <c r="N55" s="1589">
        <f t="shared" si="18"/>
        <v>0</v>
      </c>
      <c r="O55" s="1598"/>
      <c r="P55" s="1589">
        <f t="shared" si="19"/>
        <v>0</v>
      </c>
      <c r="Q55" s="1598"/>
      <c r="R55" s="1589">
        <f t="shared" si="20"/>
        <v>0</v>
      </c>
      <c r="S55" s="1598"/>
      <c r="T55" s="1589">
        <f t="shared" si="21"/>
        <v>0</v>
      </c>
      <c r="U55" s="1599"/>
      <c r="V55" s="3698" t="str">
        <f t="shared" si="22"/>
        <v/>
      </c>
      <c r="W55" s="3698"/>
      <c r="X55" s="3698"/>
      <c r="Y55" s="3698"/>
      <c r="Z55" s="3698"/>
      <c r="AA55" s="3699"/>
      <c r="AB55" s="2942"/>
      <c r="AC55" s="1694"/>
      <c r="AE55" s="3070"/>
      <c r="BB55" s="1775"/>
      <c r="BC55" s="1775"/>
      <c r="BD55" s="1775"/>
      <c r="BE55" s="1775"/>
      <c r="BF55" s="67"/>
      <c r="BG55" s="67"/>
      <c r="BH55" s="67"/>
      <c r="BI55" s="67"/>
    </row>
    <row r="56" spans="1:65" ht="12" customHeight="1" x14ac:dyDescent="0.2">
      <c r="A56" s="1870"/>
      <c r="B56" s="2144"/>
      <c r="C56" s="3590"/>
      <c r="D56" s="3756" t="s">
        <v>1815</v>
      </c>
      <c r="E56" s="3819"/>
      <c r="F56" s="3820"/>
      <c r="G56" s="3820"/>
      <c r="H56" s="3820"/>
      <c r="I56" s="3821"/>
      <c r="J56" s="3817"/>
      <c r="K56" s="3818"/>
      <c r="L56" s="2196" t="str">
        <f t="shared" ref="L56:L74" si="23">IF($AD56=0,"",IF(Categoría_1="Tao",IF(VLOOKUP($AD56,Tabla_ArtesMarciales,19,FALSE)&lt;20,5,IF(VLOOKUP($AD56,Tabla_ArtesMarciales,19,FALSE)&gt;30,20,10)),VLOOKUP($AD56,Tabla_ArtesMarciales,19,FALSE)))</f>
        <v/>
      </c>
      <c r="M56" s="1544"/>
      <c r="N56" s="132" t="str">
        <f t="shared" ref="N56:N74" si="24">IF($AD56=0,"",IF(Categoría_2="Tao",IF(VLOOKUP($AD56,Tabla_ArtesMarciales,19,FALSE)&lt;20,5,IF(VLOOKUP($AD56,Tabla_ArtesMarciales,19,FALSE)&gt;30,20,10)),VLOOKUP($AD56,Tabla_ArtesMarciales,19,FALSE)))</f>
        <v/>
      </c>
      <c r="O56" s="1544"/>
      <c r="P56" s="132" t="str">
        <f t="shared" ref="P56:P74" si="25">IF($AD56=0,"",IF(Categoría_3="Tao",IF(VLOOKUP($AD56,Tabla_ArtesMarciales,19,FALSE)&lt;20,5,IF(VLOOKUP($AD56,Tabla_ArtesMarciales,19,FALSE)&gt;30,20,10)),VLOOKUP($AD56,Tabla_ArtesMarciales,19,FALSE)))</f>
        <v/>
      </c>
      <c r="Q56" s="2525"/>
      <c r="R56" s="132" t="str">
        <f t="shared" ref="R56:R74" si="26">IF($AD56=0,"",IF(Categoría_4="Tao",IF(VLOOKUP($AD56,Tabla_ArtesMarciales,19,FALSE)&lt;20,5,IF(VLOOKUP($AD56,Tabla_ArtesMarciales,19,FALSE)&gt;30,20,10)),VLOOKUP($AD56,Tabla_ArtesMarciales,19,FALSE)))</f>
        <v/>
      </c>
      <c r="S56" s="2525"/>
      <c r="T56" s="132" t="str">
        <f t="shared" ref="T56:T74" si="27">IF($AD56=0,"",IF(Categoría_5="Tao",IF(VLOOKUP($AD56,Tabla_ArtesMarciales,19,FALSE)&lt;20,5,IF(VLOOKUP($AD56,Tabla_ArtesMarciales,19,FALSE)&gt;30,20,10)),VLOOKUP($AD56,Tabla_ArtesMarciales,19,FALSE)))</f>
        <v/>
      </c>
      <c r="U56" s="2525"/>
      <c r="V56" s="3896" t="str">
        <f t="shared" ref="V56:V74" si="28">IF($AD56=0,"",IF(VLOOKUP($AD56,Tabla_ArtesMarciales,21,FALSE)="-",VLOOKUP($AD56,Tabla_ArtesMarciales,9,FALSE),"FALTAN REQUISITOS"))</f>
        <v/>
      </c>
      <c r="W56" s="3696"/>
      <c r="X56" s="3696"/>
      <c r="Y56" s="3696"/>
      <c r="Z56" s="3696"/>
      <c r="AA56" s="3697"/>
      <c r="AB56" s="2942"/>
      <c r="AC56" s="1694"/>
      <c r="AD56" s="2701">
        <f>IF(OR(E56="",J56=""),,E56&amp;" ("&amp;J56&amp;")")</f>
        <v>0</v>
      </c>
      <c r="AE56" s="3008">
        <f>IF(ISNUMBER(MATCH(E56,Tablas!$AC$804:$AC$822,0)),"Grado_AM_Básicas",IF(ISNUMBER(MATCH(E56,Tablas!$AC$823:$AC$840,0)),"Grado_AM_Avanzadas",))</f>
        <v>0</v>
      </c>
      <c r="BB56" s="1775"/>
      <c r="BC56" s="1775"/>
      <c r="BD56" s="1775"/>
      <c r="BE56" s="1775"/>
      <c r="BF56" s="67"/>
      <c r="BG56" s="67"/>
      <c r="BH56" s="67"/>
      <c r="BI56" s="67"/>
    </row>
    <row r="57" spans="1:65" ht="12" customHeight="1" x14ac:dyDescent="0.2">
      <c r="A57" s="1870"/>
      <c r="B57" s="2144"/>
      <c r="C57" s="3590"/>
      <c r="D57" s="3757"/>
      <c r="E57" s="3799"/>
      <c r="F57" s="3800"/>
      <c r="G57" s="3800"/>
      <c r="H57" s="3800"/>
      <c r="I57" s="3801"/>
      <c r="J57" s="3822"/>
      <c r="K57" s="3823"/>
      <c r="L57" s="2197" t="str">
        <f t="shared" si="23"/>
        <v/>
      </c>
      <c r="M57" s="1545"/>
      <c r="N57" s="127" t="str">
        <f t="shared" si="24"/>
        <v/>
      </c>
      <c r="O57" s="1545"/>
      <c r="P57" s="127" t="str">
        <f t="shared" si="25"/>
        <v/>
      </c>
      <c r="Q57" s="1545"/>
      <c r="R57" s="127" t="str">
        <f t="shared" si="26"/>
        <v/>
      </c>
      <c r="S57" s="1545"/>
      <c r="T57" s="127" t="str">
        <f t="shared" si="27"/>
        <v/>
      </c>
      <c r="U57" s="1545"/>
      <c r="V57" s="3669" t="str">
        <f t="shared" si="28"/>
        <v/>
      </c>
      <c r="W57" s="3670"/>
      <c r="X57" s="3670"/>
      <c r="Y57" s="3670"/>
      <c r="Z57" s="3670"/>
      <c r="AA57" s="3671"/>
      <c r="AB57" s="2942"/>
      <c r="AC57" s="1694"/>
      <c r="AD57" s="2701">
        <f t="shared" ref="AD57:AD58" si="29">IF(OR(E57="",J57=""),,E57&amp;" ("&amp;J57&amp;")")</f>
        <v>0</v>
      </c>
      <c r="AE57" s="3008">
        <f>IF(ISNUMBER(MATCH(E57,Tablas!$AC$804:$AC$822,0)),"Grado_AM_Básicas",IF(ISNUMBER(MATCH(E57,Tablas!$AC$823:$AC$840,0)),"Grado_AM_Avanzadas",))</f>
        <v>0</v>
      </c>
      <c r="BB57" s="1775"/>
      <c r="BC57" s="1775"/>
      <c r="BD57" s="1775"/>
      <c r="BE57" s="1775"/>
      <c r="BF57" s="67"/>
      <c r="BG57" s="67"/>
      <c r="BH57" s="67"/>
      <c r="BI57" s="67"/>
    </row>
    <row r="58" spans="1:65" ht="12" customHeight="1" x14ac:dyDescent="0.2">
      <c r="A58" s="1870"/>
      <c r="B58" s="2144"/>
      <c r="C58" s="3590"/>
      <c r="D58" s="3757"/>
      <c r="E58" s="3805"/>
      <c r="F58" s="3806"/>
      <c r="G58" s="3806"/>
      <c r="H58" s="3806"/>
      <c r="I58" s="3807"/>
      <c r="J58" s="3808"/>
      <c r="K58" s="3809"/>
      <c r="L58" s="2196" t="str">
        <f t="shared" si="23"/>
        <v/>
      </c>
      <c r="M58" s="1544"/>
      <c r="N58" s="132" t="str">
        <f t="shared" si="24"/>
        <v/>
      </c>
      <c r="O58" s="1544"/>
      <c r="P58" s="132" t="str">
        <f t="shared" si="25"/>
        <v/>
      </c>
      <c r="Q58" s="1544"/>
      <c r="R58" s="132" t="str">
        <f t="shared" si="26"/>
        <v/>
      </c>
      <c r="S58" s="1544"/>
      <c r="T58" s="132" t="str">
        <f t="shared" si="27"/>
        <v/>
      </c>
      <c r="U58" s="1544"/>
      <c r="V58" s="3666" t="str">
        <f t="shared" si="28"/>
        <v/>
      </c>
      <c r="W58" s="3667"/>
      <c r="X58" s="3667"/>
      <c r="Y58" s="3667"/>
      <c r="Z58" s="3667"/>
      <c r="AA58" s="3668"/>
      <c r="AB58" s="2942"/>
      <c r="AC58" s="1694"/>
      <c r="AD58" s="2701">
        <f t="shared" si="29"/>
        <v>0</v>
      </c>
      <c r="AE58" s="3008">
        <f>IF(ISNUMBER(MATCH(E58,Tablas!$AC$804:$AC$822,0)),"Grado_AM_Básicas",IF(ISNUMBER(MATCH(E58,Tablas!$AC$823:$AC$840,0)),"Grado_AM_Avanzadas",))</f>
        <v>0</v>
      </c>
      <c r="BB58" s="1775"/>
      <c r="BC58" s="1775"/>
      <c r="BD58" s="1775"/>
      <c r="BE58" s="1775"/>
      <c r="BF58" s="67"/>
      <c r="BG58" s="67"/>
      <c r="BH58" s="67"/>
      <c r="BI58" s="67"/>
    </row>
    <row r="59" spans="1:65" ht="12" customHeight="1" x14ac:dyDescent="0.2">
      <c r="A59" s="1870"/>
      <c r="B59" s="2144"/>
      <c r="C59" s="3590"/>
      <c r="D59" s="3757"/>
      <c r="E59" s="3799"/>
      <c r="F59" s="3800"/>
      <c r="G59" s="3800"/>
      <c r="H59" s="3800"/>
      <c r="I59" s="3801"/>
      <c r="J59" s="3822"/>
      <c r="K59" s="3823"/>
      <c r="L59" s="2197" t="str">
        <f t="shared" si="23"/>
        <v/>
      </c>
      <c r="M59" s="1545"/>
      <c r="N59" s="127" t="str">
        <f t="shared" si="24"/>
        <v/>
      </c>
      <c r="O59" s="1545"/>
      <c r="P59" s="127" t="str">
        <f t="shared" si="25"/>
        <v/>
      </c>
      <c r="Q59" s="1545"/>
      <c r="R59" s="127" t="str">
        <f t="shared" si="26"/>
        <v/>
      </c>
      <c r="S59" s="1545"/>
      <c r="T59" s="127" t="str">
        <f t="shared" si="27"/>
        <v/>
      </c>
      <c r="U59" s="1545"/>
      <c r="V59" s="3669" t="str">
        <f t="shared" si="28"/>
        <v/>
      </c>
      <c r="W59" s="3670"/>
      <c r="X59" s="3670"/>
      <c r="Y59" s="3670"/>
      <c r="Z59" s="3670"/>
      <c r="AA59" s="3671"/>
      <c r="AB59" s="2942"/>
      <c r="AC59" s="1694"/>
      <c r="AD59" s="2701">
        <f t="shared" ref="AD59:AD74" si="30">IF(OR(E59="",J59=""),,E59&amp;" ("&amp;J59&amp;")")</f>
        <v>0</v>
      </c>
      <c r="AE59" s="3008">
        <f>IF(ISNUMBER(MATCH(E59,Tablas!$AC$804:$AC$822,0)),"Grado_AM_Básicas",IF(ISNUMBER(MATCH(E59,Tablas!$AC$823:$AC$840,0)),"Grado_AM_Avanzadas",))</f>
        <v>0</v>
      </c>
      <c r="BB59" s="1889"/>
      <c r="BC59" s="2944"/>
      <c r="BD59" s="1889"/>
      <c r="BE59" s="1889"/>
      <c r="BF59" s="157"/>
      <c r="BG59" s="157"/>
      <c r="BH59" s="157"/>
      <c r="BI59" s="157"/>
      <c r="BJ59" s="157"/>
      <c r="BK59" s="157"/>
      <c r="BL59" s="157"/>
      <c r="BM59" s="157"/>
    </row>
    <row r="60" spans="1:65" ht="12" customHeight="1" x14ac:dyDescent="0.2">
      <c r="A60" s="1870"/>
      <c r="B60" s="2144"/>
      <c r="C60" s="3590"/>
      <c r="D60" s="3757"/>
      <c r="E60" s="3805"/>
      <c r="F60" s="3806"/>
      <c r="G60" s="3806"/>
      <c r="H60" s="3806"/>
      <c r="I60" s="3807"/>
      <c r="J60" s="3808"/>
      <c r="K60" s="3809"/>
      <c r="L60" s="2196" t="str">
        <f t="shared" si="23"/>
        <v/>
      </c>
      <c r="M60" s="1544"/>
      <c r="N60" s="132" t="str">
        <f t="shared" si="24"/>
        <v/>
      </c>
      <c r="O60" s="1544"/>
      <c r="P60" s="132" t="str">
        <f t="shared" si="25"/>
        <v/>
      </c>
      <c r="Q60" s="1544"/>
      <c r="R60" s="132" t="str">
        <f t="shared" si="26"/>
        <v/>
      </c>
      <c r="S60" s="1544"/>
      <c r="T60" s="132" t="str">
        <f t="shared" si="27"/>
        <v/>
      </c>
      <c r="U60" s="1544"/>
      <c r="V60" s="3666" t="str">
        <f t="shared" si="28"/>
        <v/>
      </c>
      <c r="W60" s="3667"/>
      <c r="X60" s="3667"/>
      <c r="Y60" s="3667"/>
      <c r="Z60" s="3667"/>
      <c r="AA60" s="3668"/>
      <c r="AB60" s="2942"/>
      <c r="AC60" s="1694"/>
      <c r="AD60" s="2701">
        <f t="shared" si="30"/>
        <v>0</v>
      </c>
      <c r="AE60" s="3008">
        <f>IF(ISNUMBER(MATCH(E60,Tablas!$AC$804:$AC$822,0)),"Grado_AM_Básicas",IF(ISNUMBER(MATCH(E60,Tablas!$AC$823:$AC$840,0)),"Grado_AM_Avanzadas",))</f>
        <v>0</v>
      </c>
      <c r="BB60" s="1889"/>
      <c r="BC60" s="1889"/>
      <c r="BD60" s="1889"/>
      <c r="BE60" s="1889"/>
      <c r="BF60" s="157"/>
      <c r="BG60" s="157"/>
      <c r="BH60" s="157"/>
      <c r="BI60" s="157"/>
      <c r="BJ60" s="157"/>
      <c r="BK60" s="157"/>
      <c r="BL60" s="157"/>
      <c r="BM60" s="157"/>
    </row>
    <row r="61" spans="1:65" ht="12" customHeight="1" x14ac:dyDescent="0.2">
      <c r="A61" s="1870"/>
      <c r="B61" s="2144"/>
      <c r="C61" s="3590"/>
      <c r="D61" s="3757"/>
      <c r="E61" s="3799"/>
      <c r="F61" s="3800"/>
      <c r="G61" s="3800"/>
      <c r="H61" s="3800"/>
      <c r="I61" s="3801"/>
      <c r="J61" s="3822"/>
      <c r="K61" s="3823"/>
      <c r="L61" s="2197" t="str">
        <f t="shared" si="23"/>
        <v/>
      </c>
      <c r="M61" s="1545"/>
      <c r="N61" s="127" t="str">
        <f t="shared" si="24"/>
        <v/>
      </c>
      <c r="O61" s="1545"/>
      <c r="P61" s="127" t="str">
        <f t="shared" si="25"/>
        <v/>
      </c>
      <c r="Q61" s="1545"/>
      <c r="R61" s="127" t="str">
        <f t="shared" si="26"/>
        <v/>
      </c>
      <c r="S61" s="1545"/>
      <c r="T61" s="127" t="str">
        <f t="shared" si="27"/>
        <v/>
      </c>
      <c r="U61" s="1545"/>
      <c r="V61" s="3669" t="str">
        <f t="shared" si="28"/>
        <v/>
      </c>
      <c r="W61" s="3670"/>
      <c r="X61" s="3670"/>
      <c r="Y61" s="3670"/>
      <c r="Z61" s="3670"/>
      <c r="AA61" s="3671"/>
      <c r="AB61" s="3079"/>
      <c r="AC61" s="3083"/>
      <c r="AD61" s="2701">
        <f t="shared" si="30"/>
        <v>0</v>
      </c>
      <c r="AE61" s="3008">
        <f>IF(ISNUMBER(MATCH(E61,Tablas!$AC$804:$AC$822,0)),"Grado_AM_Básicas",IF(ISNUMBER(MATCH(E61,Tablas!$AC$823:$AC$840,0)),"Grado_AM_Avanzadas",))</f>
        <v>0</v>
      </c>
      <c r="BB61" s="1889"/>
      <c r="BC61" s="1889"/>
      <c r="BD61" s="1889"/>
      <c r="BE61" s="1889"/>
      <c r="BF61" s="157"/>
      <c r="BG61" s="157"/>
      <c r="BH61" s="157"/>
      <c r="BI61" s="157"/>
      <c r="BJ61" s="157"/>
      <c r="BK61" s="157"/>
      <c r="BL61" s="157"/>
      <c r="BM61" s="157"/>
    </row>
    <row r="62" spans="1:65" ht="12" customHeight="1" x14ac:dyDescent="0.2">
      <c r="A62" s="1870"/>
      <c r="B62" s="2144"/>
      <c r="C62" s="3590"/>
      <c r="D62" s="3757"/>
      <c r="E62" s="3805"/>
      <c r="F62" s="3806"/>
      <c r="G62" s="3806"/>
      <c r="H62" s="3806"/>
      <c r="I62" s="3807"/>
      <c r="J62" s="3808"/>
      <c r="K62" s="3809"/>
      <c r="L62" s="2196" t="str">
        <f t="shared" si="23"/>
        <v/>
      </c>
      <c r="M62" s="1544"/>
      <c r="N62" s="132" t="str">
        <f t="shared" si="24"/>
        <v/>
      </c>
      <c r="O62" s="1544"/>
      <c r="P62" s="132" t="str">
        <f t="shared" si="25"/>
        <v/>
      </c>
      <c r="Q62" s="1544"/>
      <c r="R62" s="132" t="str">
        <f t="shared" si="26"/>
        <v/>
      </c>
      <c r="S62" s="1544"/>
      <c r="T62" s="132" t="str">
        <f t="shared" si="27"/>
        <v/>
      </c>
      <c r="U62" s="1544"/>
      <c r="V62" s="3666" t="str">
        <f t="shared" si="28"/>
        <v/>
      </c>
      <c r="W62" s="3667"/>
      <c r="X62" s="3667"/>
      <c r="Y62" s="3667"/>
      <c r="Z62" s="3667"/>
      <c r="AA62" s="3668"/>
      <c r="AB62" s="2942"/>
      <c r="AC62" s="1694"/>
      <c r="AD62" s="2701">
        <f>IF(OR(E62="",J62=""),,E62&amp;" ("&amp;J62&amp;")")</f>
        <v>0</v>
      </c>
      <c r="AE62" s="3008">
        <f>IF(ISNUMBER(MATCH(E62,Tablas!$AC$804:$AC$822,0)),"Grado_AM_Básicas",IF(ISNUMBER(MATCH(E62,Tablas!$AC$823:$AC$840,0)),"Grado_AM_Avanzadas",))</f>
        <v>0</v>
      </c>
      <c r="BB62" s="2945"/>
      <c r="BC62" s="2945"/>
      <c r="BD62" s="1889"/>
      <c r="BE62" s="1889"/>
      <c r="BF62" s="157"/>
      <c r="BG62" s="157"/>
      <c r="BH62" s="157"/>
      <c r="BI62" s="157"/>
      <c r="BJ62" s="157"/>
      <c r="BK62" s="157"/>
      <c r="BL62" s="157"/>
      <c r="BM62" s="157"/>
    </row>
    <row r="63" spans="1:65" ht="12" customHeight="1" x14ac:dyDescent="0.2">
      <c r="A63" s="1870"/>
      <c r="B63" s="2144"/>
      <c r="C63" s="3590"/>
      <c r="D63" s="3757"/>
      <c r="E63" s="3799"/>
      <c r="F63" s="3800"/>
      <c r="G63" s="3800"/>
      <c r="H63" s="3800"/>
      <c r="I63" s="3801"/>
      <c r="J63" s="3822"/>
      <c r="K63" s="3823"/>
      <c r="L63" s="2197" t="str">
        <f t="shared" si="23"/>
        <v/>
      </c>
      <c r="M63" s="1545"/>
      <c r="N63" s="127" t="str">
        <f t="shared" si="24"/>
        <v/>
      </c>
      <c r="O63" s="1545"/>
      <c r="P63" s="127" t="str">
        <f t="shared" si="25"/>
        <v/>
      </c>
      <c r="Q63" s="1545"/>
      <c r="R63" s="127" t="str">
        <f t="shared" si="26"/>
        <v/>
      </c>
      <c r="S63" s="1545"/>
      <c r="T63" s="127" t="str">
        <f t="shared" si="27"/>
        <v/>
      </c>
      <c r="U63" s="1545"/>
      <c r="V63" s="3669" t="str">
        <f t="shared" si="28"/>
        <v/>
      </c>
      <c r="W63" s="3670"/>
      <c r="X63" s="3670"/>
      <c r="Y63" s="3670"/>
      <c r="Z63" s="3670"/>
      <c r="AA63" s="3671"/>
      <c r="AB63" s="3084"/>
      <c r="AC63" s="1696"/>
      <c r="AD63" s="2701">
        <f t="shared" si="30"/>
        <v>0</v>
      </c>
      <c r="AE63" s="3008">
        <f>IF(ISNUMBER(MATCH(E63,Tablas!$AC$804:$AC$822,0)),"Grado_AM_Básicas",IF(ISNUMBER(MATCH(E63,Tablas!$AC$823:$AC$840,0)),"Grado_AM_Avanzadas",))</f>
        <v>0</v>
      </c>
      <c r="BB63" s="1889"/>
      <c r="BC63" s="2944"/>
      <c r="BD63" s="1889"/>
      <c r="BE63" s="1889"/>
      <c r="BF63" s="157"/>
      <c r="BG63" s="157"/>
      <c r="BH63" s="157"/>
      <c r="BI63" s="157"/>
      <c r="BJ63" s="157"/>
      <c r="BK63" s="157"/>
      <c r="BL63" s="157"/>
      <c r="BM63" s="157"/>
    </row>
    <row r="64" spans="1:65" ht="12" customHeight="1" x14ac:dyDescent="0.2">
      <c r="A64" s="1870"/>
      <c r="B64" s="2144"/>
      <c r="C64" s="3590"/>
      <c r="D64" s="3757"/>
      <c r="E64" s="3805"/>
      <c r="F64" s="3806"/>
      <c r="G64" s="3806"/>
      <c r="H64" s="3806"/>
      <c r="I64" s="3807"/>
      <c r="J64" s="3808"/>
      <c r="K64" s="3809"/>
      <c r="L64" s="2196" t="str">
        <f t="shared" si="23"/>
        <v/>
      </c>
      <c r="M64" s="1544"/>
      <c r="N64" s="132" t="str">
        <f t="shared" si="24"/>
        <v/>
      </c>
      <c r="O64" s="1544"/>
      <c r="P64" s="132" t="str">
        <f t="shared" si="25"/>
        <v/>
      </c>
      <c r="Q64" s="1544"/>
      <c r="R64" s="132" t="str">
        <f t="shared" si="26"/>
        <v/>
      </c>
      <c r="S64" s="1544"/>
      <c r="T64" s="132" t="str">
        <f t="shared" si="27"/>
        <v/>
      </c>
      <c r="U64" s="1544"/>
      <c r="V64" s="3666" t="str">
        <f t="shared" si="28"/>
        <v/>
      </c>
      <c r="W64" s="3667"/>
      <c r="X64" s="3667"/>
      <c r="Y64" s="3667"/>
      <c r="Z64" s="3667"/>
      <c r="AA64" s="3668"/>
      <c r="AB64" s="3084"/>
      <c r="AC64" s="1696"/>
      <c r="AD64" s="2701">
        <f t="shared" si="30"/>
        <v>0</v>
      </c>
      <c r="AE64" s="3008">
        <f>IF(ISNUMBER(MATCH(E64,Tablas!$AC$804:$AC$822,0)),"Grado_AM_Básicas",IF(ISNUMBER(MATCH(E64,Tablas!$AC$823:$AC$840,0)),"Grado_AM_Avanzadas",))</f>
        <v>0</v>
      </c>
      <c r="BB64" s="1889"/>
      <c r="BC64" s="1889"/>
      <c r="BD64" s="1889"/>
      <c r="BE64" s="1889"/>
      <c r="BF64" s="157"/>
      <c r="BG64" s="157"/>
      <c r="BH64" s="157"/>
      <c r="BI64" s="157"/>
      <c r="BJ64" s="157"/>
      <c r="BK64" s="157"/>
      <c r="BL64" s="157"/>
      <c r="BM64" s="157"/>
    </row>
    <row r="65" spans="1:57" ht="12" customHeight="1" x14ac:dyDescent="0.2">
      <c r="A65" s="1870"/>
      <c r="B65" s="2144"/>
      <c r="C65" s="3590"/>
      <c r="D65" s="3757"/>
      <c r="E65" s="3799"/>
      <c r="F65" s="3800"/>
      <c r="G65" s="3800"/>
      <c r="H65" s="3800"/>
      <c r="I65" s="3801"/>
      <c r="J65" s="3822"/>
      <c r="K65" s="3823"/>
      <c r="L65" s="2197" t="str">
        <f t="shared" si="23"/>
        <v/>
      </c>
      <c r="M65" s="1545"/>
      <c r="N65" s="127" t="str">
        <f t="shared" si="24"/>
        <v/>
      </c>
      <c r="O65" s="1545"/>
      <c r="P65" s="127" t="str">
        <f t="shared" si="25"/>
        <v/>
      </c>
      <c r="Q65" s="1545"/>
      <c r="R65" s="127" t="str">
        <f t="shared" si="26"/>
        <v/>
      </c>
      <c r="S65" s="1545"/>
      <c r="T65" s="127" t="str">
        <f t="shared" si="27"/>
        <v/>
      </c>
      <c r="U65" s="1545"/>
      <c r="V65" s="3669" t="str">
        <f t="shared" si="28"/>
        <v/>
      </c>
      <c r="W65" s="3670"/>
      <c r="X65" s="3670"/>
      <c r="Y65" s="3670"/>
      <c r="Z65" s="3670"/>
      <c r="AA65" s="3671"/>
      <c r="AB65" s="3084"/>
      <c r="AC65" s="1696"/>
      <c r="AD65" s="2701">
        <f t="shared" si="30"/>
        <v>0</v>
      </c>
      <c r="AE65" s="3008">
        <f>IF(ISNUMBER(MATCH(E65,Tablas!$AC$804:$AC$822,0)),"Grado_AM_Básicas",IF(ISNUMBER(MATCH(E65,Tablas!$AC$823:$AC$840,0)),"Grado_AM_Avanzadas",))</f>
        <v>0</v>
      </c>
    </row>
    <row r="66" spans="1:57" ht="12" customHeight="1" x14ac:dyDescent="0.2">
      <c r="A66" s="1870"/>
      <c r="B66" s="2144"/>
      <c r="C66" s="3590"/>
      <c r="D66" s="3757"/>
      <c r="E66" s="3805"/>
      <c r="F66" s="3806"/>
      <c r="G66" s="3806"/>
      <c r="H66" s="3806"/>
      <c r="I66" s="3807"/>
      <c r="J66" s="3808"/>
      <c r="K66" s="3809"/>
      <c r="L66" s="2196" t="str">
        <f t="shared" si="23"/>
        <v/>
      </c>
      <c r="M66" s="1544"/>
      <c r="N66" s="132" t="str">
        <f t="shared" si="24"/>
        <v/>
      </c>
      <c r="O66" s="1544"/>
      <c r="P66" s="132" t="str">
        <f t="shared" si="25"/>
        <v/>
      </c>
      <c r="Q66" s="1544"/>
      <c r="R66" s="132" t="str">
        <f t="shared" si="26"/>
        <v/>
      </c>
      <c r="S66" s="1544"/>
      <c r="T66" s="132" t="str">
        <f t="shared" si="27"/>
        <v/>
      </c>
      <c r="U66" s="1544"/>
      <c r="V66" s="3666" t="str">
        <f t="shared" si="28"/>
        <v/>
      </c>
      <c r="W66" s="3667"/>
      <c r="X66" s="3667"/>
      <c r="Y66" s="3667"/>
      <c r="Z66" s="3667"/>
      <c r="AA66" s="3668"/>
      <c r="AB66" s="3084"/>
      <c r="AC66" s="1696"/>
      <c r="AD66" s="2701">
        <f t="shared" si="30"/>
        <v>0</v>
      </c>
      <c r="AE66" s="3008">
        <f>IF(ISNUMBER(MATCH(E66,Tablas!$AC$804:$AC$822,0)),"Grado_AM_Básicas",IF(ISNUMBER(MATCH(E66,Tablas!$AC$823:$AC$840,0)),"Grado_AM_Avanzadas",))</f>
        <v>0</v>
      </c>
    </row>
    <row r="67" spans="1:57" ht="12" customHeight="1" x14ac:dyDescent="0.2">
      <c r="A67" s="1870"/>
      <c r="B67" s="2144"/>
      <c r="C67" s="3590"/>
      <c r="D67" s="3757"/>
      <c r="E67" s="3799"/>
      <c r="F67" s="3800"/>
      <c r="G67" s="3800"/>
      <c r="H67" s="3800"/>
      <c r="I67" s="3801"/>
      <c r="J67" s="3822"/>
      <c r="K67" s="3823"/>
      <c r="L67" s="2197" t="str">
        <f t="shared" si="23"/>
        <v/>
      </c>
      <c r="M67" s="1545"/>
      <c r="N67" s="127" t="str">
        <f t="shared" si="24"/>
        <v/>
      </c>
      <c r="O67" s="1545"/>
      <c r="P67" s="127" t="str">
        <f t="shared" si="25"/>
        <v/>
      </c>
      <c r="Q67" s="1545"/>
      <c r="R67" s="127" t="str">
        <f t="shared" si="26"/>
        <v/>
      </c>
      <c r="S67" s="1545"/>
      <c r="T67" s="127" t="str">
        <f t="shared" si="27"/>
        <v/>
      </c>
      <c r="U67" s="1545"/>
      <c r="V67" s="3669" t="str">
        <f t="shared" si="28"/>
        <v/>
      </c>
      <c r="W67" s="3670"/>
      <c r="X67" s="3670"/>
      <c r="Y67" s="3670"/>
      <c r="Z67" s="3670"/>
      <c r="AA67" s="3671"/>
      <c r="AB67" s="3084"/>
      <c r="AC67" s="1696"/>
      <c r="AD67" s="2701">
        <f t="shared" si="30"/>
        <v>0</v>
      </c>
      <c r="AE67" s="3008">
        <f>IF(ISNUMBER(MATCH(E67,Tablas!$AC$804:$AC$822,0)),"Grado_AM_Básicas",IF(ISNUMBER(MATCH(E67,Tablas!$AC$823:$AC$840,0)),"Grado_AM_Avanzadas",))</f>
        <v>0</v>
      </c>
    </row>
    <row r="68" spans="1:57" ht="12" customHeight="1" x14ac:dyDescent="0.2">
      <c r="A68" s="1870"/>
      <c r="B68" s="2144"/>
      <c r="C68" s="3590"/>
      <c r="D68" s="3757"/>
      <c r="E68" s="3805"/>
      <c r="F68" s="3806"/>
      <c r="G68" s="3806"/>
      <c r="H68" s="3806"/>
      <c r="I68" s="3807"/>
      <c r="J68" s="3808"/>
      <c r="K68" s="3809"/>
      <c r="L68" s="2196" t="str">
        <f t="shared" si="23"/>
        <v/>
      </c>
      <c r="M68" s="1544"/>
      <c r="N68" s="132" t="str">
        <f t="shared" si="24"/>
        <v/>
      </c>
      <c r="O68" s="1544"/>
      <c r="P68" s="132" t="str">
        <f t="shared" si="25"/>
        <v/>
      </c>
      <c r="Q68" s="1544"/>
      <c r="R68" s="132" t="str">
        <f t="shared" si="26"/>
        <v/>
      </c>
      <c r="S68" s="1544"/>
      <c r="T68" s="132" t="str">
        <f t="shared" si="27"/>
        <v/>
      </c>
      <c r="U68" s="1544"/>
      <c r="V68" s="3666" t="str">
        <f t="shared" si="28"/>
        <v/>
      </c>
      <c r="W68" s="3667"/>
      <c r="X68" s="3667"/>
      <c r="Y68" s="3667"/>
      <c r="Z68" s="3667"/>
      <c r="AA68" s="3668"/>
      <c r="AB68" s="3084"/>
      <c r="AC68" s="1696"/>
      <c r="AD68" s="2701">
        <f t="shared" si="30"/>
        <v>0</v>
      </c>
      <c r="AE68" s="3008">
        <f>IF(ISNUMBER(MATCH(E68,Tablas!$AC$804:$AC$822,0)),"Grado_AM_Básicas",IF(ISNUMBER(MATCH(E68,Tablas!$AC$823:$AC$840,0)),"Grado_AM_Avanzadas",))</f>
        <v>0</v>
      </c>
    </row>
    <row r="69" spans="1:57" s="23" customFormat="1" ht="12" customHeight="1" x14ac:dyDescent="0.2">
      <c r="A69" s="1870"/>
      <c r="B69" s="2144"/>
      <c r="C69" s="3590"/>
      <c r="D69" s="3757"/>
      <c r="E69" s="3799"/>
      <c r="F69" s="3800"/>
      <c r="G69" s="3800"/>
      <c r="H69" s="3800"/>
      <c r="I69" s="3801"/>
      <c r="J69" s="3822"/>
      <c r="K69" s="3823"/>
      <c r="L69" s="2197" t="str">
        <f t="shared" si="23"/>
        <v/>
      </c>
      <c r="M69" s="1545"/>
      <c r="N69" s="127" t="str">
        <f t="shared" si="24"/>
        <v/>
      </c>
      <c r="O69" s="1545"/>
      <c r="P69" s="127" t="str">
        <f t="shared" si="25"/>
        <v/>
      </c>
      <c r="Q69" s="1545"/>
      <c r="R69" s="127" t="str">
        <f t="shared" si="26"/>
        <v/>
      </c>
      <c r="S69" s="1545"/>
      <c r="T69" s="127" t="str">
        <f t="shared" si="27"/>
        <v/>
      </c>
      <c r="U69" s="1545"/>
      <c r="V69" s="3669" t="str">
        <f t="shared" si="28"/>
        <v/>
      </c>
      <c r="W69" s="3670"/>
      <c r="X69" s="3670"/>
      <c r="Y69" s="3670"/>
      <c r="Z69" s="3670"/>
      <c r="AA69" s="3671"/>
      <c r="AB69" s="3084"/>
      <c r="AC69" s="1696"/>
      <c r="AD69" s="2701">
        <f t="shared" si="30"/>
        <v>0</v>
      </c>
      <c r="AE69" s="3008">
        <f>IF(ISNUMBER(MATCH(E69,Tablas!$AC$804:$AC$822,0)),"Grado_AM_Básicas",IF(ISNUMBER(MATCH(E69,Tablas!$AC$823:$AC$840,0)),"Grado_AM_Avanzadas",))</f>
        <v>0</v>
      </c>
      <c r="AF69" s="3070"/>
      <c r="AG69" s="3008"/>
      <c r="AH69" s="3071"/>
      <c r="AI69" s="3008"/>
      <c r="AJ69" s="3008"/>
      <c r="AK69" s="3008"/>
      <c r="AL69" s="1888"/>
      <c r="AM69" s="1888"/>
      <c r="AN69" s="1888"/>
      <c r="AO69" s="2701"/>
      <c r="AP69" s="1888"/>
      <c r="AQ69" s="1695"/>
      <c r="AR69" s="1695"/>
      <c r="AS69" s="1695"/>
      <c r="AT69" s="1695"/>
      <c r="AU69" s="1695"/>
      <c r="AV69" s="1695"/>
      <c r="AW69" s="1695"/>
      <c r="AX69" s="1695"/>
      <c r="AY69" s="1695"/>
      <c r="AZ69" s="1695"/>
      <c r="BA69" s="1888"/>
      <c r="BB69" s="1888"/>
      <c r="BC69" s="1888"/>
      <c r="BD69" s="1888"/>
      <c r="BE69" s="1888"/>
    </row>
    <row r="70" spans="1:57" s="23" customFormat="1" ht="12" customHeight="1" x14ac:dyDescent="0.2">
      <c r="A70" s="5"/>
      <c r="B70" s="2399"/>
      <c r="C70" s="3590"/>
      <c r="D70" s="3757"/>
      <c r="E70" s="3805"/>
      <c r="F70" s="3806"/>
      <c r="G70" s="3806"/>
      <c r="H70" s="3806"/>
      <c r="I70" s="3807"/>
      <c r="J70" s="3808"/>
      <c r="K70" s="3809"/>
      <c r="L70" s="2196" t="str">
        <f t="shared" si="23"/>
        <v/>
      </c>
      <c r="M70" s="1544"/>
      <c r="N70" s="132" t="str">
        <f t="shared" si="24"/>
        <v/>
      </c>
      <c r="O70" s="1544"/>
      <c r="P70" s="132" t="str">
        <f t="shared" si="25"/>
        <v/>
      </c>
      <c r="Q70" s="1544"/>
      <c r="R70" s="132" t="str">
        <f t="shared" si="26"/>
        <v/>
      </c>
      <c r="S70" s="1544"/>
      <c r="T70" s="132" t="str">
        <f t="shared" si="27"/>
        <v/>
      </c>
      <c r="U70" s="1544"/>
      <c r="V70" s="3666" t="str">
        <f t="shared" si="28"/>
        <v/>
      </c>
      <c r="W70" s="3667"/>
      <c r="X70" s="3667"/>
      <c r="Y70" s="3667"/>
      <c r="Z70" s="3667"/>
      <c r="AA70" s="3668"/>
      <c r="AB70" s="3084"/>
      <c r="AC70" s="1696"/>
      <c r="AD70" s="2701">
        <f t="shared" si="30"/>
        <v>0</v>
      </c>
      <c r="AE70" s="3008">
        <f>IF(ISNUMBER(MATCH(E70,Tablas!$AC$804:$AC$822,0)),"Grado_AM_Básicas",IF(ISNUMBER(MATCH(E70,Tablas!$AC$823:$AC$840,0)),"Grado_AM_Avanzadas",))</f>
        <v>0</v>
      </c>
      <c r="AF70" s="3070"/>
      <c r="AG70" s="3008"/>
      <c r="AH70" s="3071"/>
      <c r="AI70" s="3008"/>
      <c r="AJ70" s="3008"/>
      <c r="AK70" s="3008"/>
      <c r="AL70" s="1888"/>
      <c r="AM70" s="1888"/>
      <c r="AN70" s="1888"/>
      <c r="AO70" s="2701"/>
      <c r="AP70" s="1888"/>
      <c r="AQ70" s="1888"/>
      <c r="AR70" s="1888"/>
      <c r="AS70" s="1888"/>
      <c r="AT70" s="1888"/>
      <c r="AU70" s="1888"/>
      <c r="AV70" s="1888"/>
      <c r="AW70" s="1888"/>
      <c r="AX70" s="1888"/>
      <c r="AY70" s="1888"/>
      <c r="AZ70" s="1888"/>
      <c r="BA70" s="1888"/>
      <c r="BB70" s="1888"/>
      <c r="BC70" s="1888"/>
      <c r="BD70" s="1888"/>
      <c r="BE70" s="1888"/>
    </row>
    <row r="71" spans="1:57" s="23" customFormat="1" ht="12" customHeight="1" x14ac:dyDescent="0.2">
      <c r="A71" s="5"/>
      <c r="B71" s="2399"/>
      <c r="C71" s="3590"/>
      <c r="D71" s="3757"/>
      <c r="E71" s="3799"/>
      <c r="F71" s="3800"/>
      <c r="G71" s="3800"/>
      <c r="H71" s="3800"/>
      <c r="I71" s="3801"/>
      <c r="J71" s="3822"/>
      <c r="K71" s="3823"/>
      <c r="L71" s="2197" t="str">
        <f t="shared" si="23"/>
        <v/>
      </c>
      <c r="M71" s="1545"/>
      <c r="N71" s="1546" t="str">
        <f t="shared" si="24"/>
        <v/>
      </c>
      <c r="O71" s="1545"/>
      <c r="P71" s="1546" t="str">
        <f t="shared" si="25"/>
        <v/>
      </c>
      <c r="Q71" s="1545"/>
      <c r="R71" s="1546" t="str">
        <f t="shared" si="26"/>
        <v/>
      </c>
      <c r="S71" s="1545"/>
      <c r="T71" s="1546" t="str">
        <f t="shared" si="27"/>
        <v/>
      </c>
      <c r="U71" s="1545"/>
      <c r="V71" s="3669" t="str">
        <f t="shared" si="28"/>
        <v/>
      </c>
      <c r="W71" s="3670"/>
      <c r="X71" s="3670"/>
      <c r="Y71" s="3670"/>
      <c r="Z71" s="3670"/>
      <c r="AA71" s="3671"/>
      <c r="AB71" s="3084"/>
      <c r="AC71" s="1696"/>
      <c r="AD71" s="2701">
        <f t="shared" si="30"/>
        <v>0</v>
      </c>
      <c r="AE71" s="3008">
        <f>IF(ISNUMBER(MATCH(E71,Tablas!$AC$804:$AC$822,0)),"Grado_AM_Básicas",IF(ISNUMBER(MATCH(E71,Tablas!$AC$823:$AC$840,0)),"Grado_AM_Avanzadas",))</f>
        <v>0</v>
      </c>
      <c r="AF71" s="3070"/>
      <c r="AG71" s="3008"/>
      <c r="AH71" s="3071"/>
      <c r="AI71" s="3008"/>
      <c r="AJ71" s="3008"/>
      <c r="AK71" s="3008"/>
      <c r="AL71" s="1888"/>
      <c r="AM71" s="1888"/>
      <c r="AN71" s="1888"/>
      <c r="AO71" s="1888"/>
      <c r="AP71" s="1888"/>
      <c r="AQ71" s="1888"/>
      <c r="AR71" s="1888"/>
      <c r="AS71" s="1888"/>
      <c r="AT71" s="1888"/>
      <c r="AU71" s="1888"/>
      <c r="AV71" s="1888"/>
      <c r="AW71" s="1888"/>
      <c r="AX71" s="1888"/>
      <c r="AY71" s="1888"/>
      <c r="AZ71" s="1888"/>
      <c r="BA71" s="1888"/>
      <c r="BB71" s="1888"/>
      <c r="BC71" s="1888"/>
      <c r="BD71" s="1888"/>
      <c r="BE71" s="1888"/>
    </row>
    <row r="72" spans="1:57" s="23" customFormat="1" ht="12" customHeight="1" x14ac:dyDescent="0.2">
      <c r="A72" s="5"/>
      <c r="B72" s="2399"/>
      <c r="C72" s="3590"/>
      <c r="D72" s="3757"/>
      <c r="E72" s="3805"/>
      <c r="F72" s="3806"/>
      <c r="G72" s="3806"/>
      <c r="H72" s="3806"/>
      <c r="I72" s="3807"/>
      <c r="J72" s="3808"/>
      <c r="K72" s="3809"/>
      <c r="L72" s="2196" t="str">
        <f t="shared" si="23"/>
        <v/>
      </c>
      <c r="M72" s="1544"/>
      <c r="N72" s="1541" t="str">
        <f t="shared" si="24"/>
        <v/>
      </c>
      <c r="O72" s="1544"/>
      <c r="P72" s="1541" t="str">
        <f t="shared" si="25"/>
        <v/>
      </c>
      <c r="Q72" s="1544"/>
      <c r="R72" s="1541" t="str">
        <f t="shared" si="26"/>
        <v/>
      </c>
      <c r="S72" s="1544"/>
      <c r="T72" s="1541" t="str">
        <f t="shared" si="27"/>
        <v/>
      </c>
      <c r="U72" s="1544"/>
      <c r="V72" s="3666" t="str">
        <f t="shared" si="28"/>
        <v/>
      </c>
      <c r="W72" s="3667"/>
      <c r="X72" s="3667"/>
      <c r="Y72" s="3667"/>
      <c r="Z72" s="3667"/>
      <c r="AA72" s="3668"/>
      <c r="AB72" s="3084"/>
      <c r="AC72" s="1696"/>
      <c r="AD72" s="2701">
        <f t="shared" si="30"/>
        <v>0</v>
      </c>
      <c r="AE72" s="3008">
        <f>IF(ISNUMBER(MATCH(E72,Tablas!$AC$804:$AC$822,0)),"Grado_AM_Básicas",IF(ISNUMBER(MATCH(E72,Tablas!$AC$823:$AC$840,0)),"Grado_AM_Avanzadas",))</f>
        <v>0</v>
      </c>
      <c r="AF72" s="3070"/>
      <c r="AG72" s="3008"/>
      <c r="AH72" s="3071"/>
      <c r="AI72" s="3008"/>
      <c r="AJ72" s="3008"/>
      <c r="AK72" s="3008"/>
      <c r="AL72" s="1888"/>
      <c r="AM72" s="1888"/>
      <c r="AN72" s="1888"/>
      <c r="AO72" s="1888"/>
      <c r="AP72" s="1888"/>
      <c r="AQ72" s="1888"/>
      <c r="AR72" s="1888"/>
      <c r="AS72" s="1888"/>
      <c r="AT72" s="1888"/>
      <c r="AU72" s="1888"/>
      <c r="AV72" s="1888"/>
      <c r="AW72" s="1888"/>
      <c r="AX72" s="1888"/>
      <c r="AY72" s="1888"/>
      <c r="AZ72" s="1888"/>
      <c r="BA72" s="1888"/>
      <c r="BB72" s="1888"/>
      <c r="BC72" s="1888"/>
      <c r="BD72" s="1888"/>
      <c r="BE72" s="1888"/>
    </row>
    <row r="73" spans="1:57" s="23" customFormat="1" ht="12" customHeight="1" x14ac:dyDescent="0.2">
      <c r="A73" s="5"/>
      <c r="B73" s="2399"/>
      <c r="C73" s="3590"/>
      <c r="D73" s="3757"/>
      <c r="E73" s="3799"/>
      <c r="F73" s="3800"/>
      <c r="G73" s="3800"/>
      <c r="H73" s="3800"/>
      <c r="I73" s="3801"/>
      <c r="J73" s="3822"/>
      <c r="K73" s="3823"/>
      <c r="L73" s="2197" t="str">
        <f t="shared" si="23"/>
        <v/>
      </c>
      <c r="M73" s="1545"/>
      <c r="N73" s="1546" t="str">
        <f t="shared" si="24"/>
        <v/>
      </c>
      <c r="O73" s="1545"/>
      <c r="P73" s="1546" t="str">
        <f t="shared" si="25"/>
        <v/>
      </c>
      <c r="Q73" s="1545"/>
      <c r="R73" s="1546" t="str">
        <f t="shared" si="26"/>
        <v/>
      </c>
      <c r="S73" s="1545"/>
      <c r="T73" s="1546" t="str">
        <f t="shared" si="27"/>
        <v/>
      </c>
      <c r="U73" s="1545"/>
      <c r="V73" s="3669" t="str">
        <f t="shared" si="28"/>
        <v/>
      </c>
      <c r="W73" s="3670"/>
      <c r="X73" s="3670"/>
      <c r="Y73" s="3670"/>
      <c r="Z73" s="3670"/>
      <c r="AA73" s="3671"/>
      <c r="AB73" s="3084"/>
      <c r="AC73" s="1696"/>
      <c r="AD73" s="2701">
        <f t="shared" si="30"/>
        <v>0</v>
      </c>
      <c r="AE73" s="3008">
        <f>IF(ISNUMBER(MATCH(E73,Tablas!$AC$804:$AC$822,0)),"Grado_AM_Básicas",IF(ISNUMBER(MATCH(E73,Tablas!$AC$823:$AC$840,0)),"Grado_AM_Avanzadas",))</f>
        <v>0</v>
      </c>
      <c r="AF73" s="3070"/>
      <c r="AG73" s="3008"/>
      <c r="AH73" s="3071"/>
      <c r="AI73" s="3008"/>
      <c r="AJ73" s="3008"/>
      <c r="AK73" s="3008"/>
      <c r="AL73" s="1888"/>
      <c r="AM73" s="1888"/>
      <c r="AN73" s="1888"/>
      <c r="AO73" s="1888"/>
      <c r="AP73" s="1888"/>
      <c r="AQ73" s="1888"/>
      <c r="AR73" s="1888"/>
      <c r="AS73" s="1888"/>
      <c r="AT73" s="1888"/>
      <c r="AU73" s="1888"/>
      <c r="AV73" s="1888"/>
      <c r="AW73" s="1888"/>
      <c r="AX73" s="1888"/>
      <c r="AY73" s="1888"/>
      <c r="AZ73" s="1888"/>
      <c r="BA73" s="1888"/>
      <c r="BB73" s="1888"/>
      <c r="BC73" s="1888"/>
      <c r="BD73" s="1888"/>
      <c r="BE73" s="1888"/>
    </row>
    <row r="74" spans="1:57" s="23" customFormat="1" ht="12" customHeight="1" x14ac:dyDescent="0.2">
      <c r="A74" s="5"/>
      <c r="B74" s="2399"/>
      <c r="C74" s="3590"/>
      <c r="D74" s="3757"/>
      <c r="E74" s="3841"/>
      <c r="F74" s="3842"/>
      <c r="G74" s="3842"/>
      <c r="H74" s="3842"/>
      <c r="I74" s="3843"/>
      <c r="J74" s="3844"/>
      <c r="K74" s="3845"/>
      <c r="L74" s="2196" t="str">
        <f t="shared" si="23"/>
        <v/>
      </c>
      <c r="M74" s="1544"/>
      <c r="N74" s="1541" t="str">
        <f t="shared" si="24"/>
        <v/>
      </c>
      <c r="O74" s="1544"/>
      <c r="P74" s="1541" t="str">
        <f t="shared" si="25"/>
        <v/>
      </c>
      <c r="Q74" s="1544"/>
      <c r="R74" s="1541" t="str">
        <f t="shared" si="26"/>
        <v/>
      </c>
      <c r="S74" s="1544"/>
      <c r="T74" s="1541" t="str">
        <f t="shared" si="27"/>
        <v/>
      </c>
      <c r="U74" s="1544"/>
      <c r="V74" s="3666" t="str">
        <f t="shared" si="28"/>
        <v/>
      </c>
      <c r="W74" s="3667"/>
      <c r="X74" s="3667"/>
      <c r="Y74" s="3667"/>
      <c r="Z74" s="3667"/>
      <c r="AA74" s="3668"/>
      <c r="AB74" s="3084"/>
      <c r="AC74" s="1696"/>
      <c r="AD74" s="2701">
        <f t="shared" si="30"/>
        <v>0</v>
      </c>
      <c r="AE74" s="3008">
        <f>IF(ISNUMBER(MATCH(E74,Tablas!$AC$804:$AC$822,0)),"Grado_AM_Básicas",IF(ISNUMBER(MATCH(E74,Tablas!$AC$823:$AC$840,0)),"Grado_AM_Avanzadas",))</f>
        <v>0</v>
      </c>
      <c r="AF74" s="3070"/>
      <c r="AG74" s="3008"/>
      <c r="AH74" s="3071"/>
      <c r="AI74" s="3008"/>
      <c r="AJ74" s="3008"/>
      <c r="AK74" s="3008"/>
      <c r="AL74" s="1888"/>
      <c r="AM74" s="1888"/>
      <c r="AN74" s="1888"/>
      <c r="AO74" s="1888"/>
      <c r="AP74" s="1888"/>
      <c r="AQ74" s="1888"/>
      <c r="AR74" s="1888"/>
      <c r="AS74" s="1888"/>
      <c r="AT74" s="1888"/>
      <c r="AU74" s="1888"/>
      <c r="AV74" s="1888"/>
      <c r="AW74" s="1888"/>
      <c r="AX74" s="1888"/>
      <c r="AY74" s="1888"/>
      <c r="AZ74" s="1888"/>
      <c r="BA74" s="1888"/>
      <c r="BB74" s="1888"/>
      <c r="BC74" s="1888"/>
      <c r="BD74" s="1888"/>
      <c r="BE74" s="1888"/>
    </row>
    <row r="75" spans="1:57" s="23" customFormat="1" ht="12" customHeight="1" x14ac:dyDescent="0.2">
      <c r="A75" s="5"/>
      <c r="B75" s="2399"/>
      <c r="C75" s="3590"/>
      <c r="D75" s="3757"/>
      <c r="E75" s="3624"/>
      <c r="F75" s="3625"/>
      <c r="G75" s="3625"/>
      <c r="H75" s="3625"/>
      <c r="I75" s="3625"/>
      <c r="J75" s="3625"/>
      <c r="K75" s="3626"/>
      <c r="L75" s="1586">
        <f>IF($E75=0,0,TRUNC(IF(Categoría_1="Tao",0.5,1)*VLOOKUP($E75,Tabla_AM_Armas,2,FALSE),0))</f>
        <v>0</v>
      </c>
      <c r="M75" s="1587"/>
      <c r="N75" s="1586">
        <f>IF($E75=0,0,TRUNC(IF(Categoría_2="Tao",0.5,1)*VLOOKUP($E75,Tabla_AM_Armas,2,FALSE),0))</f>
        <v>0</v>
      </c>
      <c r="O75" s="1587"/>
      <c r="P75" s="1586">
        <f>IF($E75=0,0,TRUNC(IF(Categoría_3="Tao",0.5,1)*VLOOKUP($E75,Tabla_AM_Armas,2,FALSE),0))</f>
        <v>0</v>
      </c>
      <c r="Q75" s="1587"/>
      <c r="R75" s="1586">
        <f>IF($E75=0,0,TRUNC(IF(Categoría_4="Tao",0.5,1)*VLOOKUP($E75,Tabla_AM_Armas,2,FALSE),0))</f>
        <v>0</v>
      </c>
      <c r="S75" s="1587"/>
      <c r="T75" s="1586">
        <f>IF($E75=0,0,TRUNC(IF(Categoría_5="Tao",0.5,1)*VLOOKUP($E75,Tabla_AM_Armas,2,FALSE),0))</f>
        <v>0</v>
      </c>
      <c r="U75" s="1587"/>
      <c r="V75" s="3675" t="str">
        <f>IF(E75=0,"",IF(VLOOKUP(E75,Tabla_AM_Armas,4,FALSE)="-","-","FALTAN REQUISITOS"))</f>
        <v/>
      </c>
      <c r="W75" s="3676"/>
      <c r="X75" s="3676"/>
      <c r="Y75" s="3676"/>
      <c r="Z75" s="3676"/>
      <c r="AA75" s="3677"/>
      <c r="AB75" s="3084"/>
      <c r="AC75" s="1696"/>
      <c r="AD75" s="3085"/>
      <c r="AE75" s="3008"/>
      <c r="AF75" s="3070"/>
      <c r="AG75" s="3008"/>
      <c r="AH75" s="3071"/>
      <c r="AI75" s="3008"/>
      <c r="AJ75" s="3008"/>
      <c r="AK75" s="3008"/>
      <c r="AL75" s="1888"/>
      <c r="AM75" s="1888"/>
      <c r="AN75" s="1888"/>
      <c r="AO75" s="2701"/>
      <c r="AP75" s="1888"/>
      <c r="AQ75" s="1888"/>
      <c r="AR75" s="1888"/>
      <c r="AS75" s="1888"/>
      <c r="AT75" s="1888"/>
      <c r="AU75" s="1888"/>
      <c r="AV75" s="1888"/>
      <c r="AW75" s="1888"/>
      <c r="AX75" s="1888"/>
      <c r="AY75" s="1888"/>
      <c r="AZ75" s="1888"/>
      <c r="BA75" s="1888"/>
      <c r="BB75" s="1888"/>
      <c r="BC75" s="1888"/>
      <c r="BD75" s="1888"/>
      <c r="BE75" s="1888"/>
    </row>
    <row r="76" spans="1:57" s="23" customFormat="1" ht="12" customHeight="1" x14ac:dyDescent="0.2">
      <c r="A76" s="5"/>
      <c r="B76" s="2399"/>
      <c r="C76" s="3590"/>
      <c r="D76" s="3757"/>
      <c r="E76" s="3662"/>
      <c r="F76" s="3663"/>
      <c r="G76" s="3663"/>
      <c r="H76" s="3663"/>
      <c r="I76" s="3663"/>
      <c r="J76" s="3663"/>
      <c r="K76" s="3664"/>
      <c r="L76" s="132">
        <f>IF($E76=0,0,TRUNC(IF(Categoría_1="Tao",0.5,1)*VLOOKUP($E76,Tabla_AM_Armas,2,FALSE),0))</f>
        <v>0</v>
      </c>
      <c r="M76" s="1544"/>
      <c r="N76" s="132">
        <f>IF($E76=0,0,TRUNC(IF(Categoría_2="Tao",0.5,1)*VLOOKUP($E76,Tabla_AM_Armas,2,FALSE),0))</f>
        <v>0</v>
      </c>
      <c r="O76" s="1544"/>
      <c r="P76" s="132">
        <f>IF($E76=0,0,TRUNC(IF(Categoría_3="Tao",0.5,1)*VLOOKUP($E76,Tabla_AM_Armas,2,FALSE),0))</f>
        <v>0</v>
      </c>
      <c r="Q76" s="1544"/>
      <c r="R76" s="132">
        <f>IF($E76=0,0,TRUNC(IF(Categoría_4="Tao",0.5,1)*VLOOKUP($E76,Tabla_AM_Armas,2,FALSE),0))</f>
        <v>0</v>
      </c>
      <c r="S76" s="1544"/>
      <c r="T76" s="132">
        <f>IF($E76=0,0,TRUNC(IF(Categoría_5="Tao",0.5,1)*VLOOKUP($E76,Tabla_AM_Armas,2,FALSE),0))</f>
        <v>0</v>
      </c>
      <c r="U76" s="1544"/>
      <c r="V76" s="3678" t="str">
        <f>IF(E76=0,"",IF(VLOOKUP(E76,Tabla_AM_Armas,4,FALSE)="-","-","FALTAN REQUISITOS"))</f>
        <v/>
      </c>
      <c r="W76" s="3679"/>
      <c r="X76" s="3679"/>
      <c r="Y76" s="3679"/>
      <c r="Z76" s="3679"/>
      <c r="AA76" s="3680"/>
      <c r="AB76" s="3084"/>
      <c r="AC76" s="1696"/>
      <c r="AD76" s="3085"/>
      <c r="AE76" s="3008"/>
      <c r="AF76" s="3070"/>
      <c r="AG76" s="3008"/>
      <c r="AH76" s="3071"/>
      <c r="AI76" s="3008"/>
      <c r="AJ76" s="3008"/>
      <c r="AK76" s="3008"/>
      <c r="AL76" s="1888"/>
      <c r="AM76" s="1888"/>
      <c r="AN76" s="1888"/>
      <c r="AO76" s="2701"/>
      <c r="AP76" s="1888"/>
      <c r="AQ76" s="1888"/>
      <c r="AR76" s="1888"/>
      <c r="AS76" s="1888"/>
      <c r="AT76" s="1888"/>
      <c r="AU76" s="1888"/>
      <c r="AV76" s="1888"/>
      <c r="AW76" s="1888"/>
      <c r="AX76" s="1888"/>
      <c r="AY76" s="1888"/>
      <c r="AZ76" s="1888"/>
      <c r="BA76" s="1888"/>
      <c r="BB76" s="1888"/>
      <c r="BC76" s="1888"/>
      <c r="BD76" s="1888"/>
      <c r="BE76" s="1888"/>
    </row>
    <row r="77" spans="1:57" s="23" customFormat="1" ht="12" customHeight="1" x14ac:dyDescent="0.2">
      <c r="A77" s="5"/>
      <c r="B77" s="2399"/>
      <c r="C77" s="3590"/>
      <c r="D77" s="3758"/>
      <c r="E77" s="3672"/>
      <c r="F77" s="3673"/>
      <c r="G77" s="3673"/>
      <c r="H77" s="3673"/>
      <c r="I77" s="3673"/>
      <c r="J77" s="3673"/>
      <c r="K77" s="3674"/>
      <c r="L77" s="1589">
        <f>IF($E77=0,0,TRUNC(IF(Categoría_1="Tao",0.5,1)*VLOOKUP($E77,Tabla_AM_Armas,2,FALSE),0))</f>
        <v>0</v>
      </c>
      <c r="M77" s="1590"/>
      <c r="N77" s="1589">
        <f>IF($E77=0,0,TRUNC(IF(Categoría_2="Tao",0.5,1)*VLOOKUP($E77,Tabla_AM_Armas,2,FALSE),0))</f>
        <v>0</v>
      </c>
      <c r="O77" s="1590"/>
      <c r="P77" s="1589">
        <f>IF($E77=0,0,TRUNC(IF(Categoría_3="Tao",0.5,1)*VLOOKUP($E77,Tabla_AM_Armas,2,FALSE),0))</f>
        <v>0</v>
      </c>
      <c r="Q77" s="1590"/>
      <c r="R77" s="1589">
        <f>IF($E77=0,0,TRUNC(IF(Categoría_4="Tao",0.5,1)*VLOOKUP($E77,Tabla_AM_Armas,2,FALSE),0))</f>
        <v>0</v>
      </c>
      <c r="S77" s="1590"/>
      <c r="T77" s="1589">
        <f>IF($E77=0,0,TRUNC(IF(Categoría_5="Tao",0.5,1)*VLOOKUP($E77,Tabla_AM_Armas,2,FALSE),0))</f>
        <v>0</v>
      </c>
      <c r="U77" s="1590"/>
      <c r="V77" s="3681" t="str">
        <f>IF(E77=0,"",IF(VLOOKUP(E77,Tabla_AM_Armas,4,FALSE)="-","-","FALTAN REQUISITOS"))</f>
        <v/>
      </c>
      <c r="W77" s="3682"/>
      <c r="X77" s="3682"/>
      <c r="Y77" s="3682"/>
      <c r="Z77" s="3682"/>
      <c r="AA77" s="3683"/>
      <c r="AB77" s="3084"/>
      <c r="AC77" s="1696"/>
      <c r="AD77" s="3085"/>
      <c r="AE77" s="3008"/>
      <c r="AF77" s="3070"/>
      <c r="AG77" s="3008"/>
      <c r="AH77" s="3071"/>
      <c r="AI77" s="3008"/>
      <c r="AJ77" s="3008"/>
      <c r="AK77" s="3008"/>
      <c r="AL77" s="1888"/>
      <c r="AM77" s="1888"/>
      <c r="AN77" s="1888"/>
      <c r="AO77" s="2701"/>
      <c r="AP77" s="1888"/>
      <c r="AQ77" s="1888"/>
      <c r="AR77" s="1888"/>
      <c r="AS77" s="1888"/>
      <c r="AT77" s="1888"/>
      <c r="AU77" s="1888"/>
      <c r="AV77" s="1888"/>
      <c r="AW77" s="1888"/>
      <c r="AX77" s="1888"/>
      <c r="AY77" s="1888"/>
      <c r="AZ77" s="1888"/>
      <c r="BA77" s="1888"/>
      <c r="BB77" s="1888"/>
      <c r="BC77" s="1888"/>
      <c r="BD77" s="1888"/>
      <c r="BE77" s="1888"/>
    </row>
    <row r="78" spans="1:57" s="23" customFormat="1" ht="12" customHeight="1" x14ac:dyDescent="0.2">
      <c r="A78" s="5"/>
      <c r="B78" s="2399"/>
      <c r="C78" s="3590"/>
      <c r="D78" s="3686" t="s">
        <v>1816</v>
      </c>
      <c r="E78" s="3688"/>
      <c r="F78" s="3689"/>
      <c r="G78" s="3689"/>
      <c r="H78" s="3689"/>
      <c r="I78" s="3689"/>
      <c r="J78" s="3689"/>
      <c r="K78" s="3690"/>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44"/>
      <c r="V78" s="3787" t="str">
        <f>IF(E78=0,"",IF(VLOOKUP(E78,Tabla_ArsMagnus,5,FALSE)="-","Ver Descripción","FALTAN REQUISITOS"))</f>
        <v/>
      </c>
      <c r="W78" s="3788"/>
      <c r="X78" s="3788"/>
      <c r="Y78" s="3788"/>
      <c r="Z78" s="159" t="s">
        <v>1817</v>
      </c>
      <c r="AA78" s="1616">
        <f>IF(E78=0,0,VLOOKUP(E78,Tabla_ArsMagnus,3,FALSE))</f>
        <v>0</v>
      </c>
      <c r="AB78" s="3084"/>
      <c r="AC78" s="1696"/>
      <c r="AD78" s="2701"/>
      <c r="AE78" s="3008"/>
      <c r="AF78" s="3070"/>
      <c r="AG78" s="3008"/>
      <c r="AH78" s="3071"/>
      <c r="AI78" s="3008"/>
      <c r="AJ78" s="3008"/>
      <c r="AK78" s="3008"/>
      <c r="AL78" s="1888"/>
      <c r="AM78" s="1888"/>
      <c r="AN78" s="1888"/>
      <c r="AO78" s="2701"/>
      <c r="AP78" s="1888"/>
      <c r="AQ78" s="1888"/>
      <c r="AR78" s="1888"/>
      <c r="AS78" s="1888"/>
      <c r="AT78" s="1888"/>
      <c r="AU78" s="1888"/>
      <c r="AV78" s="1888"/>
      <c r="AW78" s="1888"/>
      <c r="AX78" s="1888"/>
      <c r="AY78" s="1888"/>
      <c r="AZ78" s="1888"/>
      <c r="BA78" s="1888"/>
      <c r="BB78" s="1888"/>
      <c r="BC78" s="1888"/>
      <c r="BD78" s="1888"/>
      <c r="BE78" s="1888"/>
    </row>
    <row r="79" spans="1:57" s="23" customFormat="1" ht="12" customHeight="1" x14ac:dyDescent="0.2">
      <c r="A79" s="5"/>
      <c r="B79" s="2399"/>
      <c r="C79" s="3590"/>
      <c r="D79" s="3687"/>
      <c r="E79" s="3691"/>
      <c r="F79" s="3692"/>
      <c r="G79" s="3692"/>
      <c r="H79" s="3692"/>
      <c r="I79" s="3692"/>
      <c r="J79" s="3692"/>
      <c r="K79" s="3693"/>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45"/>
      <c r="V79" s="3789" t="str">
        <f>IF(E79=0,"",IF(VLOOKUP(E79,Tabla_ArsMagnus,5,FALSE)="-","Ver Descripción","FALTAN REQUISITOS"))</f>
        <v/>
      </c>
      <c r="W79" s="3790"/>
      <c r="X79" s="3790"/>
      <c r="Y79" s="3790"/>
      <c r="Z79" s="158" t="s">
        <v>1817</v>
      </c>
      <c r="AA79" s="1617">
        <f>IF(E79=0,0,VLOOKUP(E79,Tabla_ArsMagnus,3,FALSE))</f>
        <v>0</v>
      </c>
      <c r="AB79" s="3084"/>
      <c r="AC79" s="1696"/>
      <c r="AD79" s="2701"/>
      <c r="AE79" s="3008"/>
      <c r="AF79" s="3070"/>
      <c r="AG79" s="3008"/>
      <c r="AH79" s="3071"/>
      <c r="AI79" s="3008"/>
      <c r="AJ79" s="3008"/>
      <c r="AK79" s="3008"/>
      <c r="AL79" s="1888"/>
      <c r="AM79" s="1888"/>
      <c r="AN79" s="1888"/>
      <c r="AO79" s="1888"/>
      <c r="AP79" s="1888"/>
      <c r="AQ79" s="1888"/>
      <c r="AR79" s="1888"/>
      <c r="AS79" s="1888"/>
      <c r="AT79" s="1888"/>
      <c r="AU79" s="1888"/>
      <c r="AV79" s="1888"/>
      <c r="AW79" s="1888"/>
      <c r="AX79" s="1888"/>
      <c r="AY79" s="1888"/>
      <c r="AZ79" s="1888"/>
      <c r="BA79" s="1888"/>
      <c r="BB79" s="1888"/>
      <c r="BC79" s="1888"/>
      <c r="BD79" s="1888"/>
      <c r="BE79" s="1888"/>
    </row>
    <row r="80" spans="1:57" s="23" customFormat="1" ht="12" customHeight="1" x14ac:dyDescent="0.2">
      <c r="A80" s="5"/>
      <c r="B80" s="2399"/>
      <c r="C80" s="3590"/>
      <c r="D80" s="3687"/>
      <c r="E80" s="3688"/>
      <c r="F80" s="3689"/>
      <c r="G80" s="3689"/>
      <c r="H80" s="3689"/>
      <c r="I80" s="3689"/>
      <c r="J80" s="3689"/>
      <c r="K80" s="3690"/>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44"/>
      <c r="V80" s="3787" t="str">
        <f>IF(E80=0,"",IF(VLOOKUP(E80,Tabla_ArsMagnus,5,FALSE)="-","Ver Descripción","FALTAN REQUISITOS"))</f>
        <v/>
      </c>
      <c r="W80" s="3788"/>
      <c r="X80" s="3788"/>
      <c r="Y80" s="3788"/>
      <c r="Z80" s="159" t="s">
        <v>1817</v>
      </c>
      <c r="AA80" s="1616">
        <f>IF(E80=0,0,VLOOKUP(E80,Tabla_ArsMagnus,3,FALSE))</f>
        <v>0</v>
      </c>
      <c r="AB80" s="3084"/>
      <c r="AC80" s="1696"/>
      <c r="AD80" s="2701"/>
      <c r="AE80" s="3008"/>
      <c r="AF80" s="3070"/>
      <c r="AG80" s="3008"/>
      <c r="AH80" s="3071"/>
      <c r="AI80" s="3008"/>
      <c r="AJ80" s="3008"/>
      <c r="AK80" s="3008"/>
      <c r="AL80" s="1888"/>
      <c r="AM80" s="1888"/>
      <c r="AN80" s="1888"/>
      <c r="AO80" s="1888"/>
      <c r="AP80" s="1888"/>
      <c r="AQ80" s="1888"/>
      <c r="AR80" s="1888"/>
      <c r="AS80" s="1888"/>
      <c r="AT80" s="1888"/>
      <c r="AU80" s="1888"/>
      <c r="AV80" s="1888"/>
      <c r="AW80" s="1888"/>
      <c r="AX80" s="1888"/>
      <c r="AY80" s="1888"/>
      <c r="AZ80" s="1888"/>
      <c r="BA80" s="1888"/>
      <c r="BB80" s="1888"/>
      <c r="BC80" s="1888"/>
      <c r="BD80" s="1888"/>
      <c r="BE80" s="1888"/>
    </row>
    <row r="81" spans="1:57" s="23" customFormat="1" ht="12" customHeight="1" x14ac:dyDescent="0.2">
      <c r="A81" s="5"/>
      <c r="B81" s="2399"/>
      <c r="C81" s="3590"/>
      <c r="D81" s="3687"/>
      <c r="E81" s="3691"/>
      <c r="F81" s="3692"/>
      <c r="G81" s="3692"/>
      <c r="H81" s="3692"/>
      <c r="I81" s="3692"/>
      <c r="J81" s="3692"/>
      <c r="K81" s="3693"/>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45"/>
      <c r="V81" s="3789" t="str">
        <f>IF(E81=0,"",IF(VLOOKUP(E81,Tabla_ArsMagnus,5,FALSE)="-","Ver Descripción","FALTAN REQUISITOS"))</f>
        <v/>
      </c>
      <c r="W81" s="3790"/>
      <c r="X81" s="3790"/>
      <c r="Y81" s="3790"/>
      <c r="Z81" s="158" t="s">
        <v>1817</v>
      </c>
      <c r="AA81" s="1617">
        <f>IF(E81=0,0,VLOOKUP(E81,Tabla_ArsMagnus,3,FALSE))</f>
        <v>0</v>
      </c>
      <c r="AB81" s="3084"/>
      <c r="AC81" s="1696"/>
      <c r="AD81" s="2701"/>
      <c r="AE81" s="3008"/>
      <c r="AF81" s="3070"/>
      <c r="AG81" s="3008"/>
      <c r="AH81" s="3071"/>
      <c r="AI81" s="3008"/>
      <c r="AJ81" s="3008"/>
      <c r="AK81" s="3008"/>
      <c r="AL81" s="1888"/>
      <c r="AM81" s="1888"/>
      <c r="AN81" s="1888"/>
      <c r="AO81" s="1888"/>
      <c r="AP81" s="1888"/>
      <c r="AQ81" s="1888"/>
      <c r="AR81" s="1888"/>
      <c r="AS81" s="1888"/>
      <c r="AT81" s="1888"/>
      <c r="AU81" s="1888"/>
      <c r="AV81" s="1888"/>
      <c r="AW81" s="1888"/>
      <c r="AX81" s="1888"/>
      <c r="AY81" s="1888"/>
      <c r="AZ81" s="1888"/>
      <c r="BA81" s="1888"/>
      <c r="BB81" s="1888"/>
      <c r="BC81" s="1888"/>
      <c r="BD81" s="1888"/>
      <c r="BE81" s="1888"/>
    </row>
    <row r="82" spans="1:57" s="23" customFormat="1" ht="12" customHeight="1" thickBot="1" x14ac:dyDescent="0.25">
      <c r="A82" s="5"/>
      <c r="B82" s="2399"/>
      <c r="C82" s="3590"/>
      <c r="D82" s="3687"/>
      <c r="E82" s="3688"/>
      <c r="F82" s="3689"/>
      <c r="G82" s="3689"/>
      <c r="H82" s="3689"/>
      <c r="I82" s="3689"/>
      <c r="J82" s="3689"/>
      <c r="K82" s="3690"/>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44"/>
      <c r="V82" s="3787" t="str">
        <f>IF(E82=0,"",IF(VLOOKUP(E82,Tabla_ArsMagnus,5,FALSE)="-","Ver Descripción","FALTAN REQUISITOS"))</f>
        <v/>
      </c>
      <c r="W82" s="3788"/>
      <c r="X82" s="3788"/>
      <c r="Y82" s="3788"/>
      <c r="Z82" s="159" t="s">
        <v>1817</v>
      </c>
      <c r="AA82" s="1616">
        <f>IF(E82=0,0,VLOOKUP(E82,Tabla_ArsMagnus,3,FALSE))</f>
        <v>0</v>
      </c>
      <c r="AB82" s="3084"/>
      <c r="AC82" s="1696"/>
      <c r="AD82" s="2701"/>
      <c r="AE82" s="3008"/>
      <c r="AF82" s="3070"/>
      <c r="AG82" s="3008"/>
      <c r="AH82" s="3071"/>
      <c r="AI82" s="3008"/>
      <c r="AJ82" s="3008"/>
      <c r="AK82" s="3008"/>
      <c r="AL82" s="1888"/>
      <c r="AM82" s="1888"/>
      <c r="AN82" s="1888"/>
      <c r="AO82" s="1888"/>
      <c r="AP82" s="1888"/>
      <c r="AQ82" s="1888"/>
      <c r="AR82" s="1888"/>
      <c r="AS82" s="1888"/>
      <c r="AT82" s="1888"/>
      <c r="AU82" s="1888"/>
      <c r="AV82" s="1888"/>
      <c r="AW82" s="1888"/>
      <c r="AX82" s="1888"/>
      <c r="AY82" s="1888"/>
      <c r="AZ82" s="1888"/>
      <c r="BA82" s="1888"/>
      <c r="BB82" s="1888"/>
      <c r="BC82" s="1888"/>
      <c r="BD82" s="1888"/>
      <c r="BE82" s="1888"/>
    </row>
    <row r="83" spans="1:57" s="23" customFormat="1" ht="12" customHeight="1" x14ac:dyDescent="0.2">
      <c r="A83" s="5"/>
      <c r="B83" s="2399"/>
      <c r="C83" s="3590"/>
      <c r="D83" s="3635" t="s">
        <v>1818</v>
      </c>
      <c r="E83" s="3636"/>
      <c r="F83" s="3636"/>
      <c r="G83" s="3636"/>
      <c r="H83" s="3636"/>
      <c r="I83" s="3636"/>
      <c r="J83" s="3636"/>
      <c r="K83" s="3684"/>
      <c r="L83" s="3568">
        <f>T$5*IF(Categoría_1=0,0.5,VLOOKUP(Categoría_1,Tabla_Categorías,6,FALSE))</f>
        <v>200</v>
      </c>
      <c r="M83" s="3583">
        <f>SUM(M27:M82)+SUM(M22:M25)</f>
        <v>0</v>
      </c>
      <c r="N83" s="3568">
        <f>SUM(T$5:T$7)*IF(Categoría_2=0,0,VLOOKUP(Categoría_2,Tabla_Categorías,6,FALSE))</f>
        <v>0</v>
      </c>
      <c r="O83" s="3583">
        <f>(SUM(O27:O82)+SUM(O22:O25)+M83)*IF(Categoría_2=0,0,1)</f>
        <v>0</v>
      </c>
      <c r="P83" s="3568">
        <f>SUM(T$5:T$9)*IF(Categoría_3=0,0,VLOOKUP(Categoría_3,Tabla_Categorías,6,FALSE))</f>
        <v>0</v>
      </c>
      <c r="Q83" s="3572">
        <f>(SUM(Q27:Q82)+SUM(Q22:Q25)+O83)*IF(Categoría_3=0,0,1)</f>
        <v>0</v>
      </c>
      <c r="R83" s="3568">
        <f>SUM(T$5:T$11)*IF(Categoría_4=0,0,VLOOKUP(Categoría_4,Tabla_Categorías,6,FALSE))</f>
        <v>0</v>
      </c>
      <c r="S83" s="3583">
        <f>(SUM(S27:S82)+SUM(S22:S25)+Q83)*IF(Categoría_4=0,0,1)</f>
        <v>0</v>
      </c>
      <c r="T83" s="3568">
        <f>SUM(T$5:T$13)*IF(Categoría_5=0,0,VLOOKUP(Categoría_5,Tabla_Categorías,6,FALSE))</f>
        <v>0</v>
      </c>
      <c r="U83" s="3583">
        <f>(SUM(U27:U82)+SUM(U22:U25)+S83)*IF(Categoría_5=0,0,1)</f>
        <v>0</v>
      </c>
      <c r="V83" s="3606" t="str">
        <f>IF(M39+O39+Q39+S39+U39&gt;0.1*$Z$189,"Exceso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607"/>
      <c r="X83" s="3607"/>
      <c r="Y83" s="3607"/>
      <c r="Z83" s="3607"/>
      <c r="AA83" s="3608"/>
      <c r="AB83" s="3084"/>
      <c r="AC83" s="1696"/>
      <c r="AD83" s="2701"/>
      <c r="AE83" s="3008"/>
      <c r="AF83" s="3070"/>
      <c r="AG83" s="3008"/>
      <c r="AH83" s="3071"/>
      <c r="AI83" s="3008"/>
      <c r="AJ83" s="3008"/>
      <c r="AK83" s="3008"/>
      <c r="AL83" s="1888"/>
      <c r="AM83" s="1888"/>
      <c r="AN83" s="1888"/>
      <c r="AO83" s="1888"/>
      <c r="AP83" s="1888"/>
      <c r="AQ83" s="1888"/>
      <c r="AR83" s="1888"/>
      <c r="AS83" s="1888"/>
      <c r="AT83" s="1888"/>
      <c r="AU83" s="1888"/>
      <c r="AV83" s="1888"/>
      <c r="AW83" s="1888"/>
      <c r="AX83" s="1888"/>
      <c r="AY83" s="1888"/>
      <c r="AZ83" s="1888"/>
      <c r="BA83" s="1888"/>
      <c r="BB83" s="1888"/>
      <c r="BC83" s="1888"/>
      <c r="BD83" s="1888"/>
      <c r="BE83" s="1888"/>
    </row>
    <row r="84" spans="1:57" s="23" customFormat="1" ht="12" customHeight="1" thickBot="1" x14ac:dyDescent="0.25">
      <c r="A84" s="5"/>
      <c r="B84" s="2399"/>
      <c r="C84" s="3591"/>
      <c r="D84" s="3638"/>
      <c r="E84" s="3639"/>
      <c r="F84" s="3639"/>
      <c r="G84" s="3639"/>
      <c r="H84" s="3639"/>
      <c r="I84" s="3639"/>
      <c r="J84" s="3639"/>
      <c r="K84" s="3685"/>
      <c r="L84" s="3569"/>
      <c r="M84" s="3584"/>
      <c r="N84" s="3569"/>
      <c r="O84" s="3584"/>
      <c r="P84" s="3569"/>
      <c r="Q84" s="3575"/>
      <c r="R84" s="3569"/>
      <c r="S84" s="3584"/>
      <c r="T84" s="3569"/>
      <c r="U84" s="3584"/>
      <c r="V84" s="3609"/>
      <c r="W84" s="3610"/>
      <c r="X84" s="3610"/>
      <c r="Y84" s="3610"/>
      <c r="Z84" s="3610"/>
      <c r="AA84" s="3611"/>
      <c r="AB84" s="3084"/>
      <c r="AC84" s="1696"/>
      <c r="AD84" s="2701"/>
      <c r="AE84" s="3008"/>
      <c r="AF84" s="3070"/>
      <c r="AG84" s="3008"/>
      <c r="AH84" s="3071"/>
      <c r="AI84" s="3008"/>
      <c r="AJ84" s="3008"/>
      <c r="AK84" s="3008"/>
      <c r="AL84" s="1888"/>
      <c r="AM84" s="1888"/>
      <c r="AN84" s="1888"/>
      <c r="AO84" s="1888"/>
      <c r="AP84" s="1888"/>
      <c r="AQ84" s="1888"/>
      <c r="AR84" s="1888"/>
      <c r="AS84" s="1888"/>
      <c r="AT84" s="1888"/>
      <c r="AU84" s="1888"/>
      <c r="AV84" s="1888"/>
      <c r="AW84" s="1888"/>
      <c r="AX84" s="1888"/>
      <c r="AY84" s="1888"/>
      <c r="AZ84" s="1888"/>
      <c r="BA84" s="1888"/>
      <c r="BB84" s="1888"/>
      <c r="BC84" s="1888"/>
      <c r="BD84" s="1888"/>
      <c r="BE84" s="1888"/>
    </row>
    <row r="85" spans="1:57" s="23" customFormat="1" ht="12" customHeight="1" x14ac:dyDescent="0.2">
      <c r="A85" s="5"/>
      <c r="B85" s="2399"/>
      <c r="C85" s="19"/>
      <c r="D85" s="19"/>
      <c r="E85" s="19"/>
      <c r="F85" s="19"/>
      <c r="I85" s="19"/>
      <c r="J85" s="19"/>
      <c r="K85" s="19"/>
      <c r="L85" s="19"/>
      <c r="M85" s="19"/>
      <c r="N85" s="19"/>
      <c r="O85" s="19"/>
      <c r="P85" s="19"/>
      <c r="Q85" s="19"/>
      <c r="R85" s="19"/>
      <c r="S85" s="19"/>
      <c r="T85" s="19"/>
      <c r="U85" s="19"/>
      <c r="V85" s="19"/>
      <c r="W85" s="19"/>
      <c r="X85" s="19"/>
      <c r="Y85" s="19"/>
      <c r="Z85" s="19"/>
      <c r="AA85" s="19"/>
      <c r="AB85" s="3084"/>
      <c r="AC85" s="1696"/>
      <c r="AD85" s="2701"/>
      <c r="AE85" s="3008"/>
      <c r="AF85" s="3070"/>
      <c r="AG85" s="3008"/>
      <c r="AH85" s="3071"/>
      <c r="AI85" s="3008"/>
      <c r="AJ85" s="3008"/>
      <c r="AK85" s="3008"/>
      <c r="AL85" s="1888"/>
      <c r="AM85" s="1888"/>
      <c r="AN85" s="1888"/>
      <c r="AO85" s="1888"/>
      <c r="AP85" s="1888"/>
      <c r="AQ85" s="1888"/>
      <c r="AR85" s="1888"/>
      <c r="AS85" s="1888"/>
      <c r="AT85" s="1888"/>
      <c r="AU85" s="1888"/>
      <c r="AV85" s="1888"/>
      <c r="AW85" s="1888"/>
      <c r="AX85" s="1888"/>
      <c r="AY85" s="1888"/>
      <c r="AZ85" s="1888"/>
      <c r="BA85" s="1888"/>
      <c r="BB85" s="1888"/>
      <c r="BC85" s="1888"/>
      <c r="BD85" s="1888"/>
      <c r="BE85" s="1888"/>
    </row>
    <row r="86" spans="1:57" s="23" customFormat="1" ht="12" customHeight="1" thickBot="1" x14ac:dyDescent="0.25">
      <c r="A86" s="5"/>
      <c r="B86" s="2399"/>
      <c r="C86" s="19"/>
      <c r="D86" s="19"/>
      <c r="E86" s="19"/>
      <c r="F86" s="19"/>
      <c r="I86" s="19"/>
      <c r="J86" s="19"/>
      <c r="K86" s="19"/>
      <c r="L86" s="19"/>
      <c r="M86" s="19"/>
      <c r="N86" s="19"/>
      <c r="O86" s="19"/>
      <c r="P86" s="19"/>
      <c r="Q86" s="19"/>
      <c r="R86" s="19"/>
      <c r="S86" s="19"/>
      <c r="T86" s="19"/>
      <c r="U86" s="19"/>
      <c r="V86" s="19"/>
      <c r="W86" s="19"/>
      <c r="X86" s="19"/>
      <c r="Y86" s="19"/>
      <c r="Z86" s="19"/>
      <c r="AA86" s="19"/>
      <c r="AB86" s="3084"/>
      <c r="AC86" s="1696"/>
      <c r="AD86" s="2701"/>
      <c r="AE86" s="3008"/>
      <c r="AF86" s="3070"/>
      <c r="AG86" s="3008"/>
      <c r="AH86" s="3071"/>
      <c r="AI86" s="3008"/>
      <c r="AJ86" s="3008"/>
      <c r="AK86" s="3008"/>
      <c r="AL86" s="1888"/>
      <c r="AM86" s="1888"/>
      <c r="AN86" s="1888"/>
      <c r="AO86" s="1888"/>
      <c r="AP86" s="1888"/>
      <c r="AQ86" s="1888"/>
      <c r="AR86" s="1888"/>
      <c r="AS86" s="1888"/>
      <c r="AT86" s="1888"/>
      <c r="AU86" s="1888"/>
      <c r="AV86" s="1888"/>
      <c r="AW86" s="1888"/>
      <c r="AX86" s="1888"/>
      <c r="AY86" s="1888"/>
      <c r="AZ86" s="1888"/>
      <c r="BA86" s="1888"/>
      <c r="BB86" s="1888"/>
      <c r="BC86" s="1888"/>
      <c r="BD86" s="1888"/>
      <c r="BE86" s="1888"/>
    </row>
    <row r="87" spans="1:57" s="23" customFormat="1" ht="12" customHeight="1" x14ac:dyDescent="0.2">
      <c r="A87" s="5"/>
      <c r="B87" s="2399"/>
      <c r="C87" s="161"/>
      <c r="D87" s="161"/>
      <c r="E87" s="161"/>
      <c r="F87" s="161"/>
      <c r="I87" s="161"/>
      <c r="J87" s="161"/>
      <c r="K87" s="161"/>
      <c r="L87" s="3620" t="str">
        <f>IF(Categoría_1=0,"",Categoría_1)</f>
        <v/>
      </c>
      <c r="M87" s="3621"/>
      <c r="N87" s="3612" t="str">
        <f>IF(Categoría_2=0,"",Categoría_2)</f>
        <v/>
      </c>
      <c r="O87" s="3621"/>
      <c r="P87" s="3612" t="str">
        <f>IF(Categoría_3=0,"",Categoría_3)</f>
        <v/>
      </c>
      <c r="Q87" s="3621"/>
      <c r="R87" s="3612" t="str">
        <f>IF(Categoría_4=0,"",Categoría_4)</f>
        <v/>
      </c>
      <c r="S87" s="3621"/>
      <c r="T87" s="3612" t="str">
        <f>IF(Categoría_5=0,"",Categoría_5)</f>
        <v/>
      </c>
      <c r="U87" s="3613"/>
      <c r="V87" s="162"/>
      <c r="W87" s="162"/>
      <c r="X87" s="162"/>
      <c r="Y87" s="162"/>
      <c r="Z87" s="162"/>
      <c r="AA87" s="162"/>
      <c r="AB87" s="3084"/>
      <c r="AC87" s="1696"/>
      <c r="AD87" s="2701"/>
      <c r="AE87" s="3008"/>
      <c r="AF87" s="3070"/>
      <c r="AG87" s="3008"/>
      <c r="AH87" s="3071"/>
      <c r="AI87" s="3008"/>
      <c r="AJ87" s="3008"/>
      <c r="AK87" s="3008"/>
      <c r="AL87" s="1888"/>
      <c r="AM87" s="1888"/>
      <c r="AN87" s="1888"/>
      <c r="AO87" s="2701"/>
      <c r="AP87" s="1888"/>
      <c r="AQ87" s="1888"/>
      <c r="AR87" s="1888"/>
      <c r="AS87" s="1888"/>
      <c r="AT87" s="1888"/>
      <c r="AU87" s="1888"/>
      <c r="AV87" s="1888"/>
      <c r="AW87" s="1888"/>
      <c r="AX87" s="1888"/>
      <c r="AY87" s="1888"/>
      <c r="AZ87" s="1888"/>
      <c r="BA87" s="1888"/>
      <c r="BB87" s="1888"/>
      <c r="BC87" s="1888"/>
      <c r="BD87" s="1888"/>
      <c r="BE87" s="1888"/>
    </row>
    <row r="88" spans="1:57" s="23" customFormat="1" ht="12" customHeight="1" thickBot="1" x14ac:dyDescent="0.25">
      <c r="A88" s="5"/>
      <c r="B88" s="2399"/>
      <c r="C88" s="163"/>
      <c r="D88" s="161"/>
      <c r="E88" s="161"/>
      <c r="F88" s="161"/>
      <c r="I88" s="161"/>
      <c r="J88" s="161"/>
      <c r="K88" s="161"/>
      <c r="L88" s="3846"/>
      <c r="M88" s="3811"/>
      <c r="N88" s="3810"/>
      <c r="O88" s="3811"/>
      <c r="P88" s="3810"/>
      <c r="Q88" s="3811"/>
      <c r="R88" s="3810"/>
      <c r="S88" s="3811"/>
      <c r="T88" s="3810"/>
      <c r="U88" s="3813"/>
      <c r="V88" s="162"/>
      <c r="W88" s="162"/>
      <c r="X88" s="162"/>
      <c r="Y88" s="162"/>
      <c r="Z88" s="162"/>
      <c r="AA88" s="162"/>
      <c r="AB88" s="3084"/>
      <c r="AC88" s="1696"/>
      <c r="AD88" s="2701"/>
      <c r="AE88" s="3008"/>
      <c r="AF88" s="3070"/>
      <c r="AG88" s="3008"/>
      <c r="AH88" s="3071"/>
      <c r="AI88" s="3008"/>
      <c r="AJ88" s="3008"/>
      <c r="AK88" s="3008"/>
      <c r="AL88" s="1888"/>
      <c r="AM88" s="1888"/>
      <c r="AN88" s="1888"/>
      <c r="AO88" s="2701"/>
      <c r="AP88" s="1888"/>
      <c r="AQ88" s="1888"/>
      <c r="AR88" s="1888"/>
      <c r="AS88" s="1888"/>
      <c r="AT88" s="1888"/>
      <c r="AU88" s="1888"/>
      <c r="AV88" s="1888"/>
      <c r="AW88" s="1888"/>
      <c r="AX88" s="1888"/>
      <c r="AY88" s="1888"/>
      <c r="AZ88" s="1888"/>
      <c r="BA88" s="1888"/>
      <c r="BB88" s="1888"/>
      <c r="BC88" s="1888"/>
      <c r="BD88" s="1888"/>
      <c r="BE88" s="1888"/>
    </row>
    <row r="89" spans="1:57" s="23" customFormat="1" ht="12" customHeight="1" thickBot="1" x14ac:dyDescent="0.25">
      <c r="A89" s="5"/>
      <c r="B89" s="2399"/>
      <c r="C89" s="3589" t="s">
        <v>1819</v>
      </c>
      <c r="D89" s="1582" t="s">
        <v>1708</v>
      </c>
      <c r="E89" s="3797" t="s">
        <v>1684</v>
      </c>
      <c r="F89" s="3602"/>
      <c r="G89" s="3602"/>
      <c r="H89" s="3602"/>
      <c r="I89" s="3602"/>
      <c r="J89" s="3602"/>
      <c r="K89" s="3798"/>
      <c r="L89" s="1583" t="s">
        <v>1801</v>
      </c>
      <c r="M89" s="1584" t="s">
        <v>1686</v>
      </c>
      <c r="N89" s="1583" t="s">
        <v>1801</v>
      </c>
      <c r="O89" s="1584" t="s">
        <v>1686</v>
      </c>
      <c r="P89" s="1583" t="s">
        <v>1801</v>
      </c>
      <c r="Q89" s="1584" t="s">
        <v>1686</v>
      </c>
      <c r="R89" s="1583" t="s">
        <v>1801</v>
      </c>
      <c r="S89" s="1584" t="s">
        <v>1686</v>
      </c>
      <c r="T89" s="1583" t="s">
        <v>1801</v>
      </c>
      <c r="U89" s="1584" t="s">
        <v>1686</v>
      </c>
      <c r="V89" s="1583" t="s">
        <v>1674</v>
      </c>
      <c r="W89" s="1583" t="s">
        <v>1676</v>
      </c>
      <c r="X89" s="3602" t="s">
        <v>1800</v>
      </c>
      <c r="Y89" s="3602"/>
      <c r="Z89" s="1583" t="s">
        <v>1728</v>
      </c>
      <c r="AA89" s="1585" t="s">
        <v>1658</v>
      </c>
      <c r="AB89" s="3084"/>
      <c r="AC89" s="1696"/>
      <c r="AD89" s="2701"/>
      <c r="AE89" s="2701"/>
      <c r="AF89" s="3070"/>
      <c r="AG89" s="3008"/>
      <c r="AH89" s="3071"/>
      <c r="AI89" s="3008"/>
      <c r="AJ89" s="3008"/>
      <c r="AK89" s="3008"/>
      <c r="AL89" s="1888"/>
      <c r="AM89" s="1888"/>
      <c r="AN89" s="1888"/>
      <c r="AO89" s="2701"/>
      <c r="AP89" s="1888"/>
      <c r="AQ89" s="1888"/>
      <c r="AR89" s="1888"/>
      <c r="AS89" s="1888"/>
      <c r="AT89" s="1888"/>
      <c r="AU89" s="1888"/>
      <c r="AV89" s="1888"/>
      <c r="AW89" s="1888"/>
      <c r="AX89" s="1888"/>
      <c r="AY89" s="1888"/>
      <c r="AZ89" s="1888"/>
      <c r="BA89" s="1888"/>
      <c r="BB89" s="1888"/>
      <c r="BC89" s="1888"/>
      <c r="BD89" s="1888"/>
      <c r="BE89" s="1888"/>
    </row>
    <row r="90" spans="1:57" s="23" customFormat="1" ht="12" customHeight="1" x14ac:dyDescent="0.2">
      <c r="A90" s="5"/>
      <c r="B90" s="2399"/>
      <c r="C90" s="3601"/>
      <c r="D90" s="3791" t="s">
        <v>1674</v>
      </c>
      <c r="E90" s="3712" t="s">
        <v>1820</v>
      </c>
      <c r="F90" s="3276"/>
      <c r="G90" s="3276"/>
      <c r="H90" s="3276"/>
      <c r="I90" s="3276"/>
      <c r="J90" s="3276"/>
      <c r="K90" s="3713"/>
      <c r="L90" s="127">
        <f>IF(Categoría_1=0,0,VLOOKUP(Categoría_1,Tabla_Categorías,MATCH("Coste"&amp;$E90,Name_Tabla_Cat,FALSE),FALSE))</f>
        <v>0</v>
      </c>
      <c r="M90" s="1545"/>
      <c r="N90" s="127">
        <f>IF(Categoría_2=0,0,VLOOKUP(Categoría_2,Tabla_Categorías,MATCH("Coste"&amp;$E90,Name_Tabla_Cat,FALSE),FALSE))</f>
        <v>0</v>
      </c>
      <c r="O90" s="1545"/>
      <c r="P90" s="127">
        <f>IF(Categoría_3=0,0,VLOOKUP(Categoría_3,Tabla_Categorías,MATCH("Coste"&amp;$E90,Name_Tabla_Cat,FALSE),FALSE))</f>
        <v>0</v>
      </c>
      <c r="Q90" s="1545"/>
      <c r="R90" s="127">
        <f>IF(Categoría_4=0,0,VLOOKUP(Categoría_4,Tabla_Categorías,MATCH("Coste"&amp;$E90,Name_Tabla_Cat,FALSE),FALSE))</f>
        <v>0</v>
      </c>
      <c r="S90" s="1545"/>
      <c r="T90" s="127">
        <f>IF(Categoría_5=0,0,VLOOKUP(Categoría_5,Tabla_Categorías,MATCH("Coste"&amp;$E90,Name_Tabla_Cat,FALSE),FALSE))</f>
        <v>0</v>
      </c>
      <c r="U90" s="1545"/>
      <c r="V90" s="127">
        <f>5*(IF(L90=0,0,TRUNC(M90/L90,0))+IF(N90=0,0,TRUNC(O90/N90,0))+IF(P90=0,0,TRUNC(Q90/P90,0))+IF(R90=0,0,TRUNC(S90/R90,0))+IF(T90=0,0,TRUNC(U90/T90,0)))</f>
        <v>0</v>
      </c>
      <c r="W90" s="1546">
        <f>IF(POD=0,0,VLOOKUP(POD,Tabla_ValoresBase,2))+Nivel_Total*(50*Tablas!G434+100*Tablas!G435+150*Tablas!G436)</f>
        <v>70</v>
      </c>
      <c r="X90" s="3603">
        <f>HLOOKUP($E90,Bonos_Cat_Base,2,FALSE)</f>
        <v>0</v>
      </c>
      <c r="Y90" s="3603">
        <f>HLOOKUP($E90,Bonos_Cat_Base,2,FALSE)</f>
        <v>0</v>
      </c>
      <c r="Z90" s="2859"/>
      <c r="AA90" s="131">
        <f>Z90+X90+V90+W90</f>
        <v>70</v>
      </c>
      <c r="AB90" s="3084"/>
      <c r="AC90" s="1696"/>
      <c r="AD90" s="2701"/>
      <c r="AE90" s="3008"/>
      <c r="AF90" s="3070"/>
      <c r="AG90" s="3008"/>
      <c r="AH90" s="3071"/>
      <c r="AI90" s="3008"/>
      <c r="AJ90" s="3008"/>
      <c r="AK90" s="3008"/>
      <c r="AL90" s="1888"/>
      <c r="AM90" s="1888"/>
      <c r="AN90" s="1888"/>
      <c r="AO90" s="2701"/>
      <c r="AP90" s="1888"/>
      <c r="AQ90" s="1888"/>
      <c r="AR90" s="1888"/>
      <c r="AS90" s="1888"/>
      <c r="AT90" s="1888"/>
      <c r="AU90" s="1888"/>
      <c r="AV90" s="1888"/>
      <c r="AW90" s="1888"/>
      <c r="AX90" s="1888"/>
      <c r="AY90" s="1888"/>
      <c r="AZ90" s="1888"/>
      <c r="BA90" s="1888"/>
      <c r="BB90" s="1888"/>
      <c r="BC90" s="1888"/>
      <c r="BD90" s="1888"/>
      <c r="BE90" s="1888"/>
    </row>
    <row r="91" spans="1:57" s="23" customFormat="1" ht="12" customHeight="1" x14ac:dyDescent="0.2">
      <c r="A91" s="5"/>
      <c r="B91" s="2399"/>
      <c r="C91" s="3601"/>
      <c r="D91" s="3791"/>
      <c r="E91" s="3709" t="s">
        <v>1821</v>
      </c>
      <c r="F91" s="3710"/>
      <c r="G91" s="3710"/>
      <c r="H91" s="3710"/>
      <c r="I91" s="3710"/>
      <c r="J91" s="3710"/>
      <c r="K91" s="3711"/>
      <c r="L91" s="132">
        <f>IF(Categoría_1=0,0,VLOOKUP(Categoría_1,Tabla_Categorías,MATCH("Coste"&amp;$E91,Name_Tabla_Cat,FALSE),FALSE))</f>
        <v>0</v>
      </c>
      <c r="M91" s="1544"/>
      <c r="N91" s="132">
        <f>IF(Categoría_2=0,0,VLOOKUP(Categoría_2,Tabla_Categorías,MATCH("Coste"&amp;$E91,Name_Tabla_Cat,FALSE),FALSE))</f>
        <v>0</v>
      </c>
      <c r="O91" s="1544"/>
      <c r="P91" s="132">
        <f>IF(Categoría_3=0,0,VLOOKUP(Categoría_3,Tabla_Categorías,MATCH("Coste"&amp;$E91,Name_Tabla_Cat,FALSE),FALSE))</f>
        <v>0</v>
      </c>
      <c r="Q91" s="1544"/>
      <c r="R91" s="132">
        <f>IF(Categoría_4=0,0,VLOOKUP(Categoría_4,Tabla_Categorías,MATCH("Coste"&amp;$E91,Name_Tabla_Cat,FALSE),FALSE))</f>
        <v>0</v>
      </c>
      <c r="S91" s="1544"/>
      <c r="T91" s="132">
        <f>IF(Categoría_5=0,0,VLOOKUP(Categoría_5,Tabla_Categorías,MATCH("Coste"&amp;$E91,Name_Tabla_Cat,FALSE),FALSE))</f>
        <v>0</v>
      </c>
      <c r="U91" s="1544"/>
      <c r="V91" s="132">
        <f>(IF(L91=0,0,TRUNC((M91/L91),0))+IF(N91=0,0,TRUNC((O91/N91),0))+IF(P91=0,0,TRUNC((Q91/P91),0))+IF(R91=0,0,TRUNC((S91/R91),0))+IF(T91=0,0,TRUNC((U91/T91),0)))*W91</f>
        <v>0</v>
      </c>
      <c r="W91" s="1541">
        <f>IF(POD=0,0,VLOOKUP(POD,TablaValoresBase,3))</f>
        <v>5</v>
      </c>
      <c r="X91" s="3604" t="s">
        <v>1766</v>
      </c>
      <c r="Y91" s="3604"/>
      <c r="Z91" s="2857"/>
      <c r="AA91" s="134">
        <f>Z91+W91+V91+IF(Bono_ATA&lt;0,TRUNC((Bono_ATA-Combate!U16)/2,0),0)</f>
        <v>5</v>
      </c>
      <c r="AB91" s="3084"/>
      <c r="AC91" s="1696"/>
      <c r="AD91" s="2701"/>
      <c r="AE91" s="3008"/>
      <c r="AF91" s="3070"/>
      <c r="AG91" s="3008"/>
      <c r="AH91" s="3071"/>
      <c r="AI91" s="3008"/>
      <c r="AJ91" s="3008"/>
      <c r="AK91" s="3008"/>
      <c r="AL91" s="1888"/>
      <c r="AM91" s="1888"/>
      <c r="AN91" s="1888"/>
      <c r="AO91" s="2701"/>
      <c r="AP91" s="1888"/>
      <c r="AQ91" s="1888"/>
      <c r="AR91" s="1888"/>
      <c r="AS91" s="1888"/>
      <c r="AT91" s="1888"/>
      <c r="AU91" s="1888"/>
      <c r="AV91" s="1888"/>
      <c r="AW91" s="1888"/>
      <c r="AX91" s="1888"/>
      <c r="AY91" s="1888"/>
      <c r="AZ91" s="1888"/>
      <c r="BA91" s="1888"/>
      <c r="BB91" s="1888"/>
      <c r="BC91" s="1888"/>
      <c r="BD91" s="1888"/>
      <c r="BE91" s="1888"/>
    </row>
    <row r="92" spans="1:57" s="23" customFormat="1" ht="12" customHeight="1" x14ac:dyDescent="0.2">
      <c r="A92" s="5"/>
      <c r="B92" s="2399"/>
      <c r="C92" s="3601"/>
      <c r="D92" s="3791"/>
      <c r="E92" s="3712" t="s">
        <v>1822</v>
      </c>
      <c r="F92" s="3276"/>
      <c r="G92" s="3276"/>
      <c r="H92" s="3276"/>
      <c r="I92" s="3276"/>
      <c r="J92" s="3276"/>
      <c r="K92" s="3713"/>
      <c r="L92" s="127">
        <f>L$91/2</f>
        <v>0</v>
      </c>
      <c r="M92" s="1545"/>
      <c r="N92" s="127">
        <f>N$91/2</f>
        <v>0</v>
      </c>
      <c r="O92" s="1545"/>
      <c r="P92" s="127">
        <f>P$91/2</f>
        <v>0</v>
      </c>
      <c r="Q92" s="1545"/>
      <c r="R92" s="127">
        <f>R$91/2</f>
        <v>0</v>
      </c>
      <c r="S92" s="1545"/>
      <c r="T92" s="127">
        <f>T$91/2</f>
        <v>0</v>
      </c>
      <c r="U92" s="1545"/>
      <c r="V92" s="1546">
        <f>(IF(L92=0,0,TRUNC((M92/L92),0))+IF(N92=0,0,TRUNC((O92/N92),0))+IF(P92=0,0,TRUNC((Q92/P92),0))+IF(R92=0,0,TRUNC((S92/R92),0))+IF(T92=0,0,TRUNC((U92/T92),0)))*W91</f>
        <v>0</v>
      </c>
      <c r="W92" s="1546">
        <f>$AA$91+10*(Metamagia!$R$59+Metamagia!$X$63+Metamagia!$X$48)</f>
        <v>5</v>
      </c>
      <c r="X92" s="3603" t="s">
        <v>1766</v>
      </c>
      <c r="Y92" s="3603"/>
      <c r="Z92" s="2858"/>
      <c r="AA92" s="131">
        <f>W92+V92+Z92</f>
        <v>5</v>
      </c>
      <c r="AB92" s="3084"/>
      <c r="AC92" s="1696"/>
      <c r="AD92" s="2701"/>
      <c r="AE92" s="3008"/>
      <c r="AF92" s="3070"/>
      <c r="AG92" s="3008"/>
      <c r="AH92" s="3071"/>
      <c r="AI92" s="3008"/>
      <c r="AJ92" s="3008"/>
      <c r="AK92" s="3008"/>
      <c r="AL92" s="1888"/>
      <c r="AM92" s="1888"/>
      <c r="AN92" s="1888"/>
      <c r="AO92" s="2701"/>
      <c r="AP92" s="1888"/>
      <c r="AQ92" s="1888"/>
      <c r="AR92" s="1888"/>
      <c r="AS92" s="1888"/>
      <c r="AT92" s="1888"/>
      <c r="AU92" s="1888"/>
      <c r="AV92" s="1888"/>
      <c r="AW92" s="1888"/>
      <c r="AX92" s="1888"/>
      <c r="AY92" s="1888"/>
      <c r="AZ92" s="1888"/>
      <c r="BA92" s="1888"/>
      <c r="BB92" s="1888"/>
      <c r="BC92" s="1888"/>
      <c r="BD92" s="1888"/>
      <c r="BE92" s="1888"/>
    </row>
    <row r="93" spans="1:57" s="23" customFormat="1" ht="12" customHeight="1" x14ac:dyDescent="0.2">
      <c r="A93" s="5"/>
      <c r="B93" s="2399"/>
      <c r="C93" s="3601"/>
      <c r="D93" s="3791"/>
      <c r="E93" s="3709" t="s">
        <v>1823</v>
      </c>
      <c r="F93" s="3710"/>
      <c r="G93" s="3710"/>
      <c r="H93" s="3710"/>
      <c r="I93" s="3710"/>
      <c r="J93" s="3710"/>
      <c r="K93" s="3711"/>
      <c r="L93" s="132">
        <f>IF(Categoría_1=0,0,VLOOKUP(Categoría_1,Tabla_Categorías,MATCH("Coste"&amp;$E93,Name_Tabla_Cat,FALSE),FALSE))</f>
        <v>0</v>
      </c>
      <c r="M93" s="1544"/>
      <c r="N93" s="132">
        <f>IF(Categoría_2=0,0,VLOOKUP(Categoría_2,Tabla_Categorías,MATCH("Coste"&amp;$E93,Name_Tabla_Cat,FALSE),FALSE))</f>
        <v>0</v>
      </c>
      <c r="O93" s="1544"/>
      <c r="P93" s="132">
        <f>IF(Categoría_3=0,0,VLOOKUP(Categoría_3,Tabla_Categorías,MATCH("Coste"&amp;$E93,Name_Tabla_Cat,FALSE),FALSE))</f>
        <v>0</v>
      </c>
      <c r="Q93" s="1544"/>
      <c r="R93" s="132">
        <f>IF(Categoría_4=0,0,VLOOKUP(Categoría_4,Tabla_Categorías,MATCH("Coste"&amp;$E93,Name_Tabla_Cat,FALSE),FALSE))</f>
        <v>0</v>
      </c>
      <c r="S93" s="1544"/>
      <c r="T93" s="132">
        <f>IF(Categoría_5=0,0,VLOOKUP(Categoría_5,Tabla_Categorías,MATCH("Coste"&amp;$E93,Name_Tabla_Cat,FALSE),FALSE))</f>
        <v>0</v>
      </c>
      <c r="U93" s="1544"/>
      <c r="V93" s="132">
        <f>IF(L93=0,0,TRUNC(M93/L93,0))+IF(N93=0,0,TRUNC(O93/N93,0))+IF(P93=0,0,TRUNC(Q93/P93,0))+IF(R93=0,0,TRUNC(S93/R93,0))+IF(T93=0,0,TRUNC(U93/T93,0))</f>
        <v>0</v>
      </c>
      <c r="W93" s="1541">
        <f>Bono_Des</f>
        <v>0</v>
      </c>
      <c r="X93" s="3604" t="s">
        <v>1766</v>
      </c>
      <c r="Y93" s="3604"/>
      <c r="Z93" s="2857"/>
      <c r="AA93" s="134">
        <f>Z93+V93+W93+Bono_ATA-Combate!U16</f>
        <v>0</v>
      </c>
      <c r="AB93" s="3084"/>
      <c r="AC93" s="1696"/>
      <c r="AD93" s="2701"/>
      <c r="AE93" s="3008"/>
      <c r="AF93" s="3070"/>
      <c r="AG93" s="3008"/>
      <c r="AH93" s="3071"/>
      <c r="AI93" s="3008"/>
      <c r="AJ93" s="3008"/>
      <c r="AK93" s="3008"/>
      <c r="AL93" s="1888"/>
      <c r="AM93" s="1888"/>
      <c r="AN93" s="1888"/>
      <c r="AO93" s="2701"/>
      <c r="AP93" s="1888"/>
      <c r="AQ93" s="1888"/>
      <c r="AR93" s="1888"/>
      <c r="AS93" s="1888"/>
      <c r="AT93" s="1888"/>
      <c r="AU93" s="1888"/>
      <c r="AV93" s="1888"/>
      <c r="AW93" s="1888"/>
      <c r="AX93" s="1888"/>
      <c r="AY93" s="1888"/>
      <c r="AZ93" s="1888"/>
      <c r="BA93" s="1888"/>
      <c r="BB93" s="1888"/>
      <c r="BC93" s="1888"/>
      <c r="BD93" s="1888"/>
      <c r="BE93" s="1888"/>
    </row>
    <row r="94" spans="1:57" s="23" customFormat="1" ht="12" customHeight="1" x14ac:dyDescent="0.2">
      <c r="A94" s="5"/>
      <c r="B94" s="2399"/>
      <c r="C94" s="3601"/>
      <c r="D94" s="3792"/>
      <c r="E94" s="3712" t="s">
        <v>1824</v>
      </c>
      <c r="F94" s="3276"/>
      <c r="G94" s="3276"/>
      <c r="H94" s="3276"/>
      <c r="I94" s="3276"/>
      <c r="J94" s="3276"/>
      <c r="K94" s="3713"/>
      <c r="L94" s="127">
        <v>5</v>
      </c>
      <c r="M94" s="1545"/>
      <c r="N94" s="127">
        <v>5</v>
      </c>
      <c r="O94" s="1545"/>
      <c r="P94" s="127">
        <v>5</v>
      </c>
      <c r="Q94" s="1545"/>
      <c r="R94" s="127">
        <v>5</v>
      </c>
      <c r="S94" s="1545"/>
      <c r="T94" s="127">
        <v>5</v>
      </c>
      <c r="U94" s="1545"/>
      <c r="V94" s="136">
        <f>(IF(L94=0,0,TRUNC(M94/L94,0))+IF(N94=0,0,TRUNC(O94/N94,0))+IF(P94=0,0,TRUNC(Q94/P94,0))+IF(R94=0,0,TRUNC(S94/R94,0))+IF(T94=0,0,TRUNC(U94/T94,0)))*5</f>
        <v>0</v>
      </c>
      <c r="W94" s="1546">
        <f>IF(INT=0,0,VLOOKUP(INT-Principal!$F$15,Tabla_NivelMagia,2))</f>
        <v>0</v>
      </c>
      <c r="X94" s="3603">
        <f>IF(Tablas!G442&gt;0,5*Nivel_Total,0)</f>
        <v>0</v>
      </c>
      <c r="Y94" s="3603"/>
      <c r="Z94" s="2859"/>
      <c r="AA94" s="165">
        <f>Z94+V94+W94+X94</f>
        <v>0</v>
      </c>
      <c r="AB94" s="3084"/>
      <c r="AC94" s="1696"/>
      <c r="AD94" s="2701"/>
      <c r="AE94" s="3008"/>
      <c r="AF94" s="3070"/>
      <c r="AG94" s="3008"/>
      <c r="AH94" s="3071"/>
      <c r="AI94" s="3008"/>
      <c r="AJ94" s="3008"/>
      <c r="AK94" s="3008"/>
      <c r="AL94" s="1888"/>
      <c r="AM94" s="1888"/>
      <c r="AN94" s="1888"/>
      <c r="AO94" s="2701"/>
      <c r="AP94" s="1888"/>
      <c r="AQ94" s="1888"/>
      <c r="AR94" s="1888"/>
      <c r="AS94" s="1888"/>
      <c r="AT94" s="1888"/>
      <c r="AU94" s="1888"/>
      <c r="AV94" s="1888"/>
      <c r="AW94" s="1888"/>
      <c r="AX94" s="1888"/>
      <c r="AY94" s="1888"/>
      <c r="AZ94" s="1888"/>
      <c r="BA94" s="1888"/>
      <c r="BB94" s="1888"/>
      <c r="BC94" s="1888"/>
      <c r="BD94" s="1888"/>
      <c r="BE94" s="1888"/>
    </row>
    <row r="95" spans="1:57" s="23" customFormat="1" ht="12" customHeight="1" x14ac:dyDescent="0.2">
      <c r="A95" s="5"/>
      <c r="B95" s="2399"/>
      <c r="C95" s="3601"/>
      <c r="D95" s="3647" t="s">
        <v>1825</v>
      </c>
      <c r="E95" s="3802" t="s">
        <v>1826</v>
      </c>
      <c r="F95" s="3803"/>
      <c r="G95" s="3803"/>
      <c r="H95" s="3803"/>
      <c r="I95" s="3803"/>
      <c r="J95" s="3803"/>
      <c r="K95" s="3804"/>
      <c r="L95" s="1618">
        <f>IF(Categoría_1=0,0,VLOOKUP(Categoría_1,Tabla_Categorías,MATCH("Coste"&amp;$E95,Name_Tabla_Cat,FALSE),FALSE))</f>
        <v>0</v>
      </c>
      <c r="M95" s="1619"/>
      <c r="N95" s="1618">
        <f>IF(Categoría_2=0,0,VLOOKUP(Categoría_2,Tabla_Categorías,MATCH("Coste"&amp;$E95,Name_Tabla_Cat,FALSE),FALSE))</f>
        <v>0</v>
      </c>
      <c r="O95" s="1619"/>
      <c r="P95" s="1618">
        <f>IF(Categoría_3=0,0,VLOOKUP(Categoría_3,Tabla_Categorías,MATCH("Coste"&amp;$E95,Name_Tabla_Cat,FALSE),FALSE))</f>
        <v>0</v>
      </c>
      <c r="Q95" s="1619"/>
      <c r="R95" s="1618">
        <f>IF(Categoría_4=0,0,VLOOKUP(Categoría_4,Tabla_Categorías,MATCH("Coste"&amp;$E95,Name_Tabla_Cat,FALSE),FALSE))</f>
        <v>0</v>
      </c>
      <c r="S95" s="1619"/>
      <c r="T95" s="1618">
        <f>IF(Categoría_5=0,0,VLOOKUP(Categoría_5,Tabla_Categorías,MATCH("Coste"&amp;$E95,Name_Tabla_Cat,FALSE),FALSE))</f>
        <v>0</v>
      </c>
      <c r="U95" s="1497"/>
      <c r="V95" s="1591">
        <f>IF(L95=0,0,TRUNC(M95/L95,0))+IF(N95=0,0,TRUNC(O95/N95,0))+IF(P95=0,0,TRUNC(Q95/P95,0))+IF(R95=0,0,TRUNC(S95/R95,0))+IF(T95=0,0,TRUNC(U95/T95,0))</f>
        <v>0</v>
      </c>
      <c r="W95" s="1620">
        <f>Bono_Pod</f>
        <v>0</v>
      </c>
      <c r="X95" s="3605">
        <f t="shared" ref="X95:Y98" si="31">HLOOKUP($E95,Bonos_Cat_Base,2,FALSE)</f>
        <v>0</v>
      </c>
      <c r="Y95" s="3605">
        <f t="shared" si="31"/>
        <v>0</v>
      </c>
      <c r="Z95" s="2860"/>
      <c r="AA95" s="166">
        <f>Z95+X95+V95+W95+IF(Bono_ATA&lt;0,Bono_ATA,0)+IF(Raza="Devah",10,0)+IF(Nephilim="Nephilim Devah",10,0)</f>
        <v>0</v>
      </c>
      <c r="AB95" s="3084"/>
      <c r="AC95" s="1696"/>
      <c r="AD95" s="2701"/>
      <c r="AE95" s="3008"/>
      <c r="AF95" s="3070"/>
      <c r="AG95" s="3008"/>
      <c r="AH95" s="3071"/>
      <c r="AI95" s="3008"/>
      <c r="AJ95" s="3008"/>
      <c r="AK95" s="3008"/>
      <c r="AL95" s="1888"/>
      <c r="AM95" s="1888"/>
      <c r="AN95" s="1888"/>
      <c r="AO95" s="2701"/>
      <c r="AP95" s="1888"/>
      <c r="AQ95" s="1888"/>
      <c r="AR95" s="1888"/>
      <c r="AS95" s="1888"/>
      <c r="AT95" s="1888"/>
      <c r="AU95" s="1888"/>
      <c r="AV95" s="1888"/>
      <c r="AW95" s="1888"/>
      <c r="AX95" s="1888"/>
      <c r="AY95" s="1888"/>
      <c r="AZ95" s="1888"/>
      <c r="BA95" s="1888"/>
      <c r="BB95" s="1888"/>
      <c r="BC95" s="1888"/>
      <c r="BD95" s="1888"/>
      <c r="BE95" s="1888"/>
    </row>
    <row r="96" spans="1:57" s="23" customFormat="1" ht="12" customHeight="1" x14ac:dyDescent="0.2">
      <c r="A96" s="5"/>
      <c r="B96" s="2399"/>
      <c r="C96" s="3601"/>
      <c r="D96" s="3648"/>
      <c r="E96" s="3526" t="s">
        <v>8551</v>
      </c>
      <c r="F96" s="3527"/>
      <c r="G96" s="3527"/>
      <c r="H96" s="3527"/>
      <c r="I96" s="3527"/>
      <c r="J96" s="3527"/>
      <c r="K96" s="3653"/>
      <c r="L96" s="136">
        <f>IF(Categoría_1=0,0,VLOOKUP(Categoría_1,Tabla_Categorías,MATCH("Coste"&amp;$E96,Name_Tabla_Cat,FALSE),FALSE))</f>
        <v>0</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37"/>
      <c r="V96" s="127">
        <f>IF(L96=0,0,TRUNC(M96/L96,0))+IF(N96=0,0,TRUNC(O96/N96,0))+IF(P96=0,0,TRUNC(Q96/P96,0))+IF(R96=0,0,TRUNC(S96/R96,0))+IF(T96=0,0,TRUNC(U96/T96,0))</f>
        <v>0</v>
      </c>
      <c r="W96" s="1549">
        <f>Bono_Vol</f>
        <v>0</v>
      </c>
      <c r="X96" s="3893">
        <f t="shared" si="31"/>
        <v>0</v>
      </c>
      <c r="Y96" s="3893">
        <f t="shared" si="31"/>
        <v>0</v>
      </c>
      <c r="Z96" s="2861"/>
      <c r="AA96" s="1540">
        <f>Z96+X96+V96+W96+IF(Bono_ATA&lt;0,Bono_ATA,0)+IF(Raza="Devah",10,0)+Tablas!$K$1743</f>
        <v>0</v>
      </c>
      <c r="AB96" s="3084"/>
      <c r="AC96" s="1696"/>
      <c r="AD96" s="2701"/>
      <c r="AE96" s="3008"/>
      <c r="AF96" s="3070"/>
      <c r="AG96" s="3008"/>
      <c r="AH96" s="3086"/>
      <c r="AI96" s="3008"/>
      <c r="AJ96" s="3008"/>
      <c r="AK96" s="3008"/>
      <c r="AL96" s="1888"/>
      <c r="AM96" s="1888"/>
      <c r="AN96" s="1888"/>
      <c r="AO96" s="2701"/>
      <c r="AP96" s="1888"/>
      <c r="AQ96" s="1888"/>
      <c r="AR96" s="1888"/>
      <c r="AS96" s="1888"/>
      <c r="AT96" s="1888"/>
      <c r="AU96" s="1888"/>
      <c r="AV96" s="1888"/>
      <c r="AW96" s="1888"/>
      <c r="AX96" s="1888"/>
      <c r="AY96" s="1888"/>
      <c r="AZ96" s="1888"/>
      <c r="BA96" s="1888"/>
      <c r="BB96" s="1888"/>
      <c r="BC96" s="1888"/>
      <c r="BD96" s="1888"/>
      <c r="BE96" s="1888"/>
    </row>
    <row r="97" spans="1:63" s="23" customFormat="1" ht="12" customHeight="1" x14ac:dyDescent="0.2">
      <c r="A97" s="5"/>
      <c r="B97" s="2399"/>
      <c r="C97" s="3601"/>
      <c r="D97" s="3648"/>
      <c r="E97" s="3528" t="s">
        <v>651</v>
      </c>
      <c r="F97" s="3529"/>
      <c r="G97" s="3529"/>
      <c r="H97" s="3529"/>
      <c r="I97" s="3529"/>
      <c r="J97" s="3529"/>
      <c r="K97" s="3655"/>
      <c r="L97" s="138">
        <f>IF(Categoría_1=0,0,VLOOKUP(Categoría_1,Tabla_Categorías,MATCH("Coste"&amp;$E97,Name_Tabla_Cat,FALSE),FALSE))</f>
        <v>0</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48">
        <f>Bono_Pod</f>
        <v>0</v>
      </c>
      <c r="X97" s="3894">
        <f t="shared" si="31"/>
        <v>0</v>
      </c>
      <c r="Y97" s="3894">
        <f t="shared" si="31"/>
        <v>0</v>
      </c>
      <c r="Z97" s="2862"/>
      <c r="AA97" s="1543">
        <f>Z97+X97+V97+W97+IF(Bono_ATA&lt;0,Bono_ATA,0)+IF(Raza="Devah",10,0)</f>
        <v>0</v>
      </c>
      <c r="AB97" s="3084"/>
      <c r="AC97" s="1696"/>
      <c r="AD97" s="2701"/>
      <c r="AE97" s="3008"/>
      <c r="AF97" s="3070"/>
      <c r="AG97" s="3008"/>
      <c r="AH97" s="3071"/>
      <c r="AI97" s="3008"/>
      <c r="AJ97" s="3008"/>
      <c r="AK97" s="3008"/>
      <c r="AL97" s="1888"/>
      <c r="AM97" s="1888"/>
      <c r="AN97" s="1888"/>
      <c r="AO97" s="2701"/>
      <c r="AP97" s="1888"/>
      <c r="AQ97" s="1888"/>
      <c r="AR97" s="1888"/>
      <c r="AS97" s="1888"/>
      <c r="AT97" s="1888"/>
      <c r="AU97" s="1888"/>
      <c r="AV97" s="1888"/>
      <c r="AW97" s="1888"/>
      <c r="AX97" s="1888"/>
      <c r="AY97" s="1888"/>
      <c r="AZ97" s="1888"/>
      <c r="BA97" s="1888"/>
      <c r="BB97" s="1888"/>
      <c r="BC97" s="1888"/>
      <c r="BD97" s="1888"/>
      <c r="BE97" s="1888"/>
    </row>
    <row r="98" spans="1:63" s="23" customFormat="1" ht="12" customHeight="1" x14ac:dyDescent="0.2">
      <c r="A98" s="5"/>
      <c r="B98" s="2399"/>
      <c r="C98" s="3601"/>
      <c r="D98" s="3793"/>
      <c r="E98" s="3534" t="s">
        <v>1829</v>
      </c>
      <c r="F98" s="3535"/>
      <c r="G98" s="3535"/>
      <c r="H98" s="3535"/>
      <c r="I98" s="3535"/>
      <c r="J98" s="3535"/>
      <c r="K98" s="3796"/>
      <c r="L98" s="1621">
        <f>IF(Categoría_1=0,0,VLOOKUP(Categoría_1,Tabla_Categorías,MATCH("Coste"&amp;$E98,Name_Tabla_Cat,FALSE),FALSE))</f>
        <v>0</v>
      </c>
      <c r="M98" s="1622"/>
      <c r="N98" s="1621">
        <f>IF(Categoría_2=0,0,VLOOKUP(Categoría_2,Tabla_Categorías,MATCH("Coste"&amp;$E98,Name_Tabla_Cat,FALSE),FALSE))</f>
        <v>0</v>
      </c>
      <c r="O98" s="1622"/>
      <c r="P98" s="1621">
        <f>IF(Categoría_3=0,0,VLOOKUP(Categoría_3,Tabla_Categorías,MATCH("Coste"&amp;$E98,Name_Tabla_Cat,FALSE),FALSE))</f>
        <v>0</v>
      </c>
      <c r="Q98" s="1622"/>
      <c r="R98" s="1621">
        <f>IF(Categoría_4=0,0,VLOOKUP(Categoría_4,Tabla_Categorías,MATCH("Coste"&amp;$E98,Name_Tabla_Cat,FALSE),FALSE))</f>
        <v>0</v>
      </c>
      <c r="S98" s="1622"/>
      <c r="T98" s="1621">
        <f>IF(Categoría_5=0,0,VLOOKUP(Categoría_5,Tabla_Categorías,MATCH("Coste"&amp;$E98,Name_Tabla_Cat,FALSE),FALSE))</f>
        <v>0</v>
      </c>
      <c r="U98" s="1495"/>
      <c r="V98" s="1589">
        <f>IF(L98=0,0,TRUNC(M98/L98,0))+IF(N98=0,0,TRUNC(O98/N98,0))+IF(P98=0,0,TRUNC(Q98/P98,0))+IF(R98=0,0,TRUNC(S98/R98,0))+IF(T98=0,0,TRUNC(U98/T98,0))</f>
        <v>0</v>
      </c>
      <c r="W98" s="1550">
        <f>Bono_Pod</f>
        <v>0</v>
      </c>
      <c r="X98" s="3814">
        <f t="shared" si="31"/>
        <v>0</v>
      </c>
      <c r="Y98" s="3814">
        <f t="shared" si="31"/>
        <v>0</v>
      </c>
      <c r="Z98" s="2863"/>
      <c r="AA98" s="170">
        <f>Z98+X98+V98+W98+IF(Bono_ATA&lt;0,Bono_ATA,0)+IF(Raza="Devah",10,0)+IF(Nephilim="Nephilim Devah",10,0)</f>
        <v>0</v>
      </c>
      <c r="AB98" s="3084"/>
      <c r="AC98" s="1696"/>
      <c r="AD98" s="2701"/>
      <c r="AE98" s="3008"/>
      <c r="AF98" s="3070"/>
      <c r="AG98" s="3008"/>
      <c r="AH98" s="3071"/>
      <c r="AI98" s="3008"/>
      <c r="AJ98" s="3008"/>
      <c r="AK98" s="3008"/>
      <c r="AL98" s="1888"/>
      <c r="AM98" s="1888"/>
      <c r="AN98" s="1888"/>
      <c r="AO98" s="2701"/>
      <c r="AP98" s="1888"/>
      <c r="AQ98" s="1888"/>
      <c r="AR98" s="1888"/>
      <c r="AS98" s="1888"/>
      <c r="AT98" s="1888"/>
      <c r="AU98" s="1888"/>
      <c r="AV98" s="1888"/>
      <c r="AW98" s="1888"/>
      <c r="AX98" s="1888"/>
      <c r="AY98" s="1888"/>
      <c r="AZ98" s="1888"/>
      <c r="BA98" s="1888"/>
      <c r="BB98" s="1888"/>
      <c r="BC98" s="1888"/>
      <c r="BD98" s="1888"/>
      <c r="BE98" s="1888"/>
    </row>
    <row r="99" spans="1:63" s="23" customFormat="1" ht="12" customHeight="1" x14ac:dyDescent="0.2">
      <c r="A99" s="5"/>
      <c r="B99" s="2399"/>
      <c r="C99" s="3601"/>
      <c r="D99" s="3794" t="s">
        <v>1830</v>
      </c>
      <c r="E99" s="3770"/>
      <c r="F99" s="3663"/>
      <c r="G99" s="3663"/>
      <c r="H99" s="3663"/>
      <c r="I99" s="3663"/>
      <c r="J99" s="3663"/>
      <c r="K99" s="3664"/>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678">
        <f>IF($E99=0,0,VLOOKUP($E99,Tabla_TablasSobrenat,3))</f>
        <v>0</v>
      </c>
      <c r="W99" s="3679">
        <f t="shared" ref="W99:AA100" si="32">IF($E99=0,0,VLOOKUP($E99,Tabla_TablasSobrenat,2))</f>
        <v>0</v>
      </c>
      <c r="X99" s="3679">
        <f t="shared" si="32"/>
        <v>0</v>
      </c>
      <c r="Y99" s="3679">
        <f t="shared" si="32"/>
        <v>0</v>
      </c>
      <c r="Z99" s="3679">
        <f t="shared" si="32"/>
        <v>0</v>
      </c>
      <c r="AA99" s="3889">
        <f t="shared" si="32"/>
        <v>0</v>
      </c>
      <c r="AB99" s="3084"/>
      <c r="AC99" s="1696"/>
      <c r="AD99" s="2701"/>
      <c r="AE99" s="3008"/>
      <c r="AF99" s="3070"/>
      <c r="AG99" s="3008"/>
      <c r="AH99" s="3071"/>
      <c r="AI99" s="3008"/>
      <c r="AJ99" s="3008"/>
      <c r="AK99" s="3008"/>
      <c r="AL99" s="1888"/>
      <c r="AM99" s="1888"/>
      <c r="AN99" s="1888"/>
      <c r="AO99" s="2701"/>
      <c r="AP99" s="1888"/>
      <c r="AQ99" s="1888"/>
      <c r="AR99" s="1888"/>
      <c r="AS99" s="1888"/>
      <c r="AT99" s="1888"/>
      <c r="AU99" s="1888"/>
      <c r="AV99" s="1888"/>
      <c r="AW99" s="1888"/>
      <c r="AX99" s="1888"/>
      <c r="AY99" s="1888"/>
      <c r="AZ99" s="1888"/>
      <c r="BA99" s="1888"/>
      <c r="BB99" s="1888"/>
      <c r="BC99" s="1888"/>
      <c r="BD99" s="1888"/>
      <c r="BE99" s="1888"/>
    </row>
    <row r="100" spans="1:63" s="23" customFormat="1" ht="12" customHeight="1" thickBot="1" x14ac:dyDescent="0.25">
      <c r="A100" s="5"/>
      <c r="B100" s="2399"/>
      <c r="C100" s="3601"/>
      <c r="D100" s="3795"/>
      <c r="E100" s="3771"/>
      <c r="F100" s="3625"/>
      <c r="G100" s="3625"/>
      <c r="H100" s="3625"/>
      <c r="I100" s="3625"/>
      <c r="J100" s="3625"/>
      <c r="K100" s="3626"/>
      <c r="L100" s="127">
        <f>IF($E100=0,0,VLOOKUP($E100,Tabla_TablasSobrenat,2))</f>
        <v>0</v>
      </c>
      <c r="M100" s="1545"/>
      <c r="N100" s="127">
        <f>IF($E100=0,0,VLOOKUP($E100,Tabla_TablasSobrenat,2))</f>
        <v>0</v>
      </c>
      <c r="O100" s="1545"/>
      <c r="P100" s="127">
        <f>IF($E100=0,0,VLOOKUP($E100,Tabla_TablasSobrenat,2))</f>
        <v>0</v>
      </c>
      <c r="Q100" s="1545"/>
      <c r="R100" s="127">
        <f>IF($E100=0,0,VLOOKUP($E100,Tabla_TablasSobrenat,2))</f>
        <v>0</v>
      </c>
      <c r="S100" s="1545"/>
      <c r="T100" s="127">
        <f>IF($E100=0,0,VLOOKUP($E100,Tabla_TablasSobrenat,2))</f>
        <v>0</v>
      </c>
      <c r="U100" s="1562"/>
      <c r="V100" s="3890">
        <f>IF($E100=0,0,VLOOKUP($E100,Tabla_TablasSobrenat,3))</f>
        <v>0</v>
      </c>
      <c r="W100" s="3891">
        <f t="shared" si="32"/>
        <v>0</v>
      </c>
      <c r="X100" s="3891">
        <f t="shared" si="32"/>
        <v>0</v>
      </c>
      <c r="Y100" s="3891">
        <f t="shared" si="32"/>
        <v>0</v>
      </c>
      <c r="Z100" s="3891">
        <f t="shared" si="32"/>
        <v>0</v>
      </c>
      <c r="AA100" s="3892">
        <f t="shared" si="32"/>
        <v>0</v>
      </c>
      <c r="AB100" s="3084"/>
      <c r="AC100" s="1696"/>
      <c r="AD100" s="2701"/>
      <c r="AE100" s="3008"/>
      <c r="AF100" s="3070"/>
      <c r="AG100" s="3008"/>
      <c r="AH100" s="3071"/>
      <c r="AI100" s="3008"/>
      <c r="AJ100" s="3008"/>
      <c r="AK100" s="3008"/>
      <c r="AL100" s="1888"/>
      <c r="AM100" s="1888"/>
      <c r="AN100" s="1888"/>
      <c r="AO100" s="2701"/>
      <c r="AP100" s="1888"/>
      <c r="AQ100" s="1888"/>
      <c r="AR100" s="1888"/>
      <c r="AS100" s="1888"/>
      <c r="AT100" s="1888"/>
      <c r="AU100" s="1888"/>
      <c r="AV100" s="1888"/>
      <c r="AW100" s="1888"/>
      <c r="AX100" s="1888"/>
      <c r="AY100" s="1888"/>
      <c r="AZ100" s="1888"/>
      <c r="BA100" s="1888"/>
      <c r="BB100" s="1888"/>
      <c r="BC100" s="1888"/>
      <c r="BD100" s="1888"/>
      <c r="BE100" s="1888"/>
    </row>
    <row r="101" spans="1:63" s="23" customFormat="1" ht="12" customHeight="1" x14ac:dyDescent="0.2">
      <c r="A101" s="1868"/>
      <c r="B101" s="2145"/>
      <c r="C101" s="3590"/>
      <c r="D101" s="3635" t="s">
        <v>1831</v>
      </c>
      <c r="E101" s="3636"/>
      <c r="F101" s="3636"/>
      <c r="G101" s="3636"/>
      <c r="H101" s="3636"/>
      <c r="I101" s="3636"/>
      <c r="J101" s="3636"/>
      <c r="K101" s="3637"/>
      <c r="L101" s="3568">
        <f>T$5*IF(Categoría_1=0,0.5,VLOOKUP(Categoría_1,Tabla_Categorías,7,FALSE))</f>
        <v>200</v>
      </c>
      <c r="M101" s="3583">
        <f>SUM(M90:M100)</f>
        <v>0</v>
      </c>
      <c r="N101" s="3568">
        <f>SUM(T$5:T$8)*IF(Categoría_2=0,0,VLOOKUP(Categoría_2,Tabla_Categorías,7,FALSE))</f>
        <v>0</v>
      </c>
      <c r="O101" s="3583">
        <f>(SUM(O90:O100)+M101)*IF(Categoría_2=0,0,1)</f>
        <v>0</v>
      </c>
      <c r="P101" s="3568">
        <f>SUM(T$5:T$10)*IF(Categoría_3=0,0,VLOOKUP(Categoría_3,Tabla_Categorías,7,FALSE))</f>
        <v>0</v>
      </c>
      <c r="Q101" s="3572">
        <f>(SUM(Q90:Q100)+O101)*IF(Categoría_3=0,0,1)</f>
        <v>0</v>
      </c>
      <c r="R101" s="3568">
        <f>SUM(T$5:T$11)*IF(Categoría_4=0,0,VLOOKUP(Categoría_4,Tabla_Categorías,7,FALSE))</f>
        <v>0</v>
      </c>
      <c r="S101" s="3583">
        <f>(SUM(S90:S100)+Q101)*IF(Categoría_4=0,0,1)</f>
        <v>0</v>
      </c>
      <c r="T101" s="3633">
        <f>SUM(T$5:T$13)*IF(Categoría_5=0,0,VLOOKUP(Categoría_5,Tabla_Categorías,7,FALSE))</f>
        <v>0</v>
      </c>
      <c r="U101" s="3897">
        <f>(SUM(U90:U100)+S101)*IF(Categoría_5=0,0,1)</f>
        <v>0</v>
      </c>
      <c r="V101" s="3641" t="str">
        <f>IF(OR(M93&gt;L101/2,O93&gt;N101/2,Q93&gt;P101/2,S93&gt;R101/2,U93&gt;T101/2),"Exceso en Proyección Mágica",IF(M94+O94+Q94+S94+U94&gt;0.1*$Z$189,"Exceso de PDs en Nivel de Magia",IF(OR(M101&gt;L101,O101&gt;N101,Q101&gt;P101,S101&gt;R101,U101&gt;T101),"Exceso de PDs en Habilidades Místicas","")))</f>
        <v/>
      </c>
      <c r="W101" s="3642"/>
      <c r="X101" s="3642"/>
      <c r="Y101" s="3642"/>
      <c r="Z101" s="3642"/>
      <c r="AA101" s="3643"/>
      <c r="AB101" s="2942"/>
      <c r="AC101" s="1694"/>
      <c r="AD101" s="2701"/>
      <c r="AE101" s="3008"/>
      <c r="AF101" s="3070"/>
      <c r="AG101" s="3008"/>
      <c r="AH101" s="3071"/>
      <c r="AI101" s="3008"/>
      <c r="AJ101" s="3008"/>
      <c r="AK101" s="3008"/>
      <c r="AL101" s="1888"/>
      <c r="AM101" s="1888"/>
      <c r="AN101" s="1888"/>
      <c r="AO101" s="2701"/>
      <c r="AP101" s="1888"/>
      <c r="AQ101" s="1888"/>
      <c r="AR101" s="1888"/>
      <c r="AS101" s="1888"/>
      <c r="AT101" s="1888"/>
      <c r="AU101" s="1888"/>
      <c r="AV101" s="1888"/>
      <c r="AW101" s="1888"/>
      <c r="AX101" s="1888"/>
      <c r="AY101" s="1888"/>
      <c r="AZ101" s="1888"/>
      <c r="BA101" s="1888"/>
      <c r="BB101" s="1888"/>
      <c r="BC101" s="1888"/>
      <c r="BD101" s="1888"/>
      <c r="BE101" s="1888"/>
    </row>
    <row r="102" spans="1:63" s="23" customFormat="1" ht="12" customHeight="1" thickBot="1" x14ac:dyDescent="0.25">
      <c r="A102" s="1868"/>
      <c r="B102" s="2145"/>
      <c r="C102" s="3591"/>
      <c r="D102" s="3638"/>
      <c r="E102" s="3639"/>
      <c r="F102" s="3639"/>
      <c r="G102" s="3639"/>
      <c r="H102" s="3639"/>
      <c r="I102" s="3639"/>
      <c r="J102" s="3639"/>
      <c r="K102" s="3640"/>
      <c r="L102" s="3569"/>
      <c r="M102" s="3584"/>
      <c r="N102" s="3569"/>
      <c r="O102" s="3584"/>
      <c r="P102" s="3569"/>
      <c r="Q102" s="3575"/>
      <c r="R102" s="3569"/>
      <c r="S102" s="3584"/>
      <c r="T102" s="3634"/>
      <c r="U102" s="3898"/>
      <c r="V102" s="3644"/>
      <c r="W102" s="3645"/>
      <c r="X102" s="3645"/>
      <c r="Y102" s="3645"/>
      <c r="Z102" s="3645"/>
      <c r="AA102" s="3646"/>
      <c r="AB102" s="2942"/>
      <c r="AC102" s="1694"/>
      <c r="AD102" s="2701"/>
      <c r="AE102" s="3008"/>
      <c r="AF102" s="3070"/>
      <c r="AG102" s="3008"/>
      <c r="AH102" s="3071"/>
      <c r="AI102" s="3008"/>
      <c r="AJ102" s="3008"/>
      <c r="AK102" s="3008"/>
      <c r="AL102" s="1888"/>
      <c r="AM102" s="1888"/>
      <c r="AN102" s="1888"/>
      <c r="AO102" s="2701"/>
      <c r="AP102" s="1888"/>
      <c r="AQ102" s="1888"/>
      <c r="AR102" s="1888"/>
      <c r="AS102" s="1888"/>
      <c r="AT102" s="1888"/>
      <c r="AU102" s="1888"/>
      <c r="AV102" s="1888"/>
      <c r="AW102" s="1888"/>
      <c r="AX102" s="1888"/>
      <c r="AY102" s="1888"/>
      <c r="AZ102" s="1888"/>
      <c r="BA102" s="1888"/>
      <c r="BB102" s="1888"/>
      <c r="BC102" s="1888"/>
      <c r="BD102" s="1888"/>
      <c r="BE102" s="1888"/>
    </row>
    <row r="103" spans="1:63" s="23" customFormat="1" ht="12" customHeight="1" x14ac:dyDescent="0.2">
      <c r="A103" s="1868"/>
      <c r="B103" s="2145"/>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2942"/>
      <c r="AC103" s="1694"/>
      <c r="AD103" s="2701"/>
      <c r="AE103" s="3008"/>
      <c r="AF103" s="3070"/>
      <c r="AG103" s="3008"/>
      <c r="AH103" s="3071"/>
      <c r="AI103" s="3008"/>
      <c r="AJ103" s="3008"/>
      <c r="AK103" s="3008"/>
      <c r="AL103" s="1888"/>
      <c r="AM103" s="1888"/>
      <c r="AN103" s="1888"/>
      <c r="AO103" s="2701"/>
      <c r="AP103" s="1888"/>
      <c r="AQ103" s="1888"/>
      <c r="AR103" s="1888"/>
      <c r="AS103" s="1888"/>
      <c r="AT103" s="1888"/>
      <c r="AU103" s="1888"/>
      <c r="AV103" s="1888"/>
      <c r="AW103" s="1888"/>
      <c r="AX103" s="1888"/>
      <c r="AY103" s="1888"/>
      <c r="AZ103" s="1888"/>
      <c r="BA103" s="1888"/>
      <c r="BB103" s="1888"/>
      <c r="BC103" s="1888"/>
      <c r="BD103" s="1888"/>
      <c r="BE103" s="1888"/>
    </row>
    <row r="104" spans="1:63" s="23" customFormat="1" ht="12" customHeight="1" thickBot="1" x14ac:dyDescent="0.25">
      <c r="A104" s="1868"/>
      <c r="B104" s="2145"/>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2942"/>
      <c r="AC104" s="1694"/>
      <c r="AD104" s="2701"/>
      <c r="AE104" s="3008"/>
      <c r="AF104" s="3070"/>
      <c r="AG104" s="3008"/>
      <c r="AH104" s="3071"/>
      <c r="AI104" s="3008"/>
      <c r="AJ104" s="3008"/>
      <c r="AK104" s="3008"/>
      <c r="AL104" s="1888"/>
      <c r="AM104" s="1888"/>
      <c r="AN104" s="1888"/>
      <c r="AO104" s="2701"/>
      <c r="AP104" s="1888"/>
      <c r="AQ104" s="1888"/>
      <c r="AR104" s="1888"/>
      <c r="AS104" s="1888"/>
      <c r="AT104" s="1888"/>
      <c r="AU104" s="1888"/>
      <c r="AV104" s="1888"/>
      <c r="AW104" s="1888"/>
      <c r="AX104" s="1888"/>
      <c r="AY104" s="1888"/>
      <c r="AZ104" s="1888"/>
      <c r="BA104" s="1888"/>
      <c r="BB104" s="1888"/>
      <c r="BC104" s="1888"/>
      <c r="BD104" s="1888"/>
      <c r="BE104" s="1888"/>
    </row>
    <row r="105" spans="1:63" s="23" customFormat="1" ht="12" customHeight="1" x14ac:dyDescent="0.2">
      <c r="A105" s="1868"/>
      <c r="B105" s="2145"/>
      <c r="C105" s="67"/>
      <c r="D105" s="67"/>
      <c r="E105" s="67"/>
      <c r="F105" s="67"/>
      <c r="I105" s="67"/>
      <c r="J105" s="67"/>
      <c r="K105" s="67"/>
      <c r="L105" s="3620" t="str">
        <f>IF(Categoría_1=0,"",Categoría_1)</f>
        <v/>
      </c>
      <c r="M105" s="3621"/>
      <c r="N105" s="3612" t="str">
        <f>IF(Categoría_2=0,"",Categoría_2)</f>
        <v/>
      </c>
      <c r="O105" s="3621"/>
      <c r="P105" s="3612" t="str">
        <f>IF(Categoría_3=0,"",Categoría_3)</f>
        <v/>
      </c>
      <c r="Q105" s="3621"/>
      <c r="R105" s="3612" t="str">
        <f>IF(Categoría_4=0,"",Categoría_4)</f>
        <v/>
      </c>
      <c r="S105" s="3621"/>
      <c r="T105" s="3612" t="str">
        <f>IF(Categoría_5=0,"",Categoría_5)</f>
        <v/>
      </c>
      <c r="U105" s="3613"/>
      <c r="V105" s="67"/>
      <c r="W105" s="67"/>
      <c r="X105" s="67"/>
      <c r="Y105" s="67"/>
      <c r="Z105" s="67"/>
      <c r="AA105" s="67"/>
      <c r="AB105" s="2942"/>
      <c r="AC105" s="1694"/>
      <c r="AD105" s="2701"/>
      <c r="AE105" s="3008"/>
      <c r="AF105" s="3070"/>
      <c r="AG105" s="3008"/>
      <c r="AH105" s="3071"/>
      <c r="AI105" s="3008"/>
      <c r="AJ105" s="3008"/>
      <c r="AK105" s="3008"/>
      <c r="AL105" s="1888"/>
      <c r="AM105" s="1888"/>
      <c r="AN105" s="1888"/>
      <c r="AO105" s="2701"/>
      <c r="AP105" s="1888"/>
      <c r="AQ105" s="1888"/>
      <c r="AR105" s="1888"/>
      <c r="AS105" s="1888"/>
      <c r="AT105" s="1888"/>
      <c r="AU105" s="1888"/>
      <c r="AV105" s="1888"/>
      <c r="AW105" s="1888"/>
      <c r="AX105" s="1888"/>
      <c r="AY105" s="1888"/>
      <c r="AZ105" s="1695"/>
      <c r="BA105" s="1695"/>
      <c r="BB105" s="1695"/>
      <c r="BC105" s="1695"/>
      <c r="BD105" s="1695"/>
      <c r="BE105" s="1695"/>
      <c r="BF105" s="43"/>
      <c r="BG105" s="43"/>
      <c r="BH105" s="43"/>
      <c r="BI105" s="174"/>
      <c r="BJ105" s="43"/>
      <c r="BK105" s="43"/>
    </row>
    <row r="106" spans="1:63" s="23" customFormat="1" ht="12" customHeight="1" thickBot="1" x14ac:dyDescent="0.25">
      <c r="A106" s="1868"/>
      <c r="B106" s="2145"/>
      <c r="C106" s="67"/>
      <c r="D106" s="67"/>
      <c r="E106" s="67"/>
      <c r="F106" s="67"/>
      <c r="I106" s="67"/>
      <c r="J106" s="67"/>
      <c r="K106" s="67"/>
      <c r="L106" s="3622"/>
      <c r="M106" s="3623"/>
      <c r="N106" s="3614"/>
      <c r="O106" s="3623"/>
      <c r="P106" s="3614"/>
      <c r="Q106" s="3623"/>
      <c r="R106" s="3614"/>
      <c r="S106" s="3623"/>
      <c r="T106" s="3614"/>
      <c r="U106" s="3615"/>
      <c r="V106" s="67"/>
      <c r="W106" s="67"/>
      <c r="X106" s="67"/>
      <c r="Y106" s="67"/>
      <c r="Z106" s="67"/>
      <c r="AA106" s="67"/>
      <c r="AB106" s="2942"/>
      <c r="AC106" s="1694"/>
      <c r="AD106" s="2701"/>
      <c r="AE106" s="3008"/>
      <c r="AF106" s="3070"/>
      <c r="AG106" s="3008"/>
      <c r="AH106" s="3071"/>
      <c r="AI106" s="3008"/>
      <c r="AJ106" s="3008"/>
      <c r="AK106" s="3008"/>
      <c r="AL106" s="1888"/>
      <c r="AM106" s="1888"/>
      <c r="AN106" s="1888"/>
      <c r="AO106" s="2701"/>
      <c r="AP106" s="1888"/>
      <c r="AQ106" s="1888"/>
      <c r="AR106" s="1888"/>
      <c r="AS106" s="1888"/>
      <c r="AT106" s="1888"/>
      <c r="AU106" s="1888"/>
      <c r="AV106" s="1888"/>
      <c r="AW106" s="1888"/>
      <c r="AX106" s="1888"/>
      <c r="AY106" s="1888"/>
      <c r="AZ106" s="1695"/>
      <c r="BA106" s="1695"/>
      <c r="BB106" s="1888"/>
      <c r="BC106" s="1888"/>
      <c r="BD106" s="1888"/>
      <c r="BE106" s="1888"/>
    </row>
    <row r="107" spans="1:63" ht="12" customHeight="1" thickBot="1" x14ac:dyDescent="0.25">
      <c r="A107" s="1868"/>
      <c r="B107" s="2145"/>
      <c r="C107" s="3600" t="s">
        <v>1832</v>
      </c>
      <c r="D107" s="1542" t="s">
        <v>1708</v>
      </c>
      <c r="E107" s="3649" t="s">
        <v>1684</v>
      </c>
      <c r="F107" s="3650"/>
      <c r="G107" s="3650"/>
      <c r="H107" s="3650"/>
      <c r="I107" s="3650"/>
      <c r="J107" s="3650"/>
      <c r="K107" s="3651"/>
      <c r="L107" s="1542" t="s">
        <v>1801</v>
      </c>
      <c r="M107" s="125" t="s">
        <v>1686</v>
      </c>
      <c r="N107" s="1542" t="s">
        <v>1801</v>
      </c>
      <c r="O107" s="125" t="s">
        <v>1686</v>
      </c>
      <c r="P107" s="1542" t="s">
        <v>1801</v>
      </c>
      <c r="Q107" s="125" t="s">
        <v>1686</v>
      </c>
      <c r="R107" s="1542" t="s">
        <v>1801</v>
      </c>
      <c r="S107" s="125" t="s">
        <v>1686</v>
      </c>
      <c r="T107" s="1542" t="s">
        <v>1801</v>
      </c>
      <c r="U107" s="125" t="s">
        <v>1686</v>
      </c>
      <c r="V107" s="1542" t="s">
        <v>1674</v>
      </c>
      <c r="W107" s="1542" t="s">
        <v>1676</v>
      </c>
      <c r="X107" s="3665" t="s">
        <v>1800</v>
      </c>
      <c r="Y107" s="3665"/>
      <c r="Z107" s="1542" t="s">
        <v>1728</v>
      </c>
      <c r="AA107" s="126" t="s">
        <v>1658</v>
      </c>
      <c r="AB107" s="2942"/>
      <c r="AC107" s="1694"/>
      <c r="AE107" s="2701"/>
      <c r="AO107" s="2701"/>
    </row>
    <row r="108" spans="1:63" ht="12" customHeight="1" x14ac:dyDescent="0.2">
      <c r="A108" s="1868"/>
      <c r="B108" s="2145"/>
      <c r="C108" s="3601"/>
      <c r="D108" s="3618" t="s">
        <v>1674</v>
      </c>
      <c r="E108" s="3652" t="s">
        <v>1833</v>
      </c>
      <c r="F108" s="3527"/>
      <c r="G108" s="3527"/>
      <c r="H108" s="3527"/>
      <c r="I108" s="3527"/>
      <c r="J108" s="3527"/>
      <c r="K108" s="3653"/>
      <c r="L108" s="136">
        <f>IF(Categoría_1=0,0,VLOOKUP(Categoría_1,Tabla_Categorías,MATCH("Coste"&amp;$E108,Name_Tabla_Cat,FALSE),FALSE))</f>
        <v>0</v>
      </c>
      <c r="M108" s="1545"/>
      <c r="N108" s="136">
        <f>IF(Categoría_2=0,0,VLOOKUP(Categoría_2,Tabla_Categorías,MATCH("Coste"&amp;$E108,Name_Tabla_Cat,FALSE),FALSE))</f>
        <v>0</v>
      </c>
      <c r="O108" s="1545"/>
      <c r="P108" s="136">
        <f>IF(Categoría_3=0,0,VLOOKUP(Categoría_3,Tabla_Categorías,MATCH("Coste"&amp;$E108,Name_Tabla_Cat,FALSE),FALSE))</f>
        <v>0</v>
      </c>
      <c r="Q108" s="1545"/>
      <c r="R108" s="136">
        <f>IF(Categoría_4=0,0,VLOOKUP(Categoría_4,Tabla_Categorías,MATCH("Coste"&amp;$E108,Name_Tabla_Cat,FALSE),FALSE))</f>
        <v>0</v>
      </c>
      <c r="S108" s="1545"/>
      <c r="T108" s="136">
        <f>IF(Categoría_5=0,0,VLOOKUP(Categoría_5,Tabla_Categorías,MATCH("Coste"&amp;$E108,Name_Tabla_Cat,FALSE),FALSE))</f>
        <v>0</v>
      </c>
      <c r="U108" s="1545"/>
      <c r="V108" s="127">
        <f>IF(L108=0,0,TRUNC(M108/L108,0))+IF(N108=0,0,TRUNC(O108/N108,0))+IF(P108=0,0,TRUNC(Q108/P108,0))+IF(R108=0,0,TRUNC(S108/R108,0))+IF(T108=0,0,TRUNC(U108/T108,0))</f>
        <v>0</v>
      </c>
      <c r="W108" s="1551" t="s">
        <v>1766</v>
      </c>
      <c r="X108" s="3616">
        <f>ROUNDUP(HLOOKUP($E108,Bonos_Cat_Base,2,FALSE),0)</f>
        <v>0</v>
      </c>
      <c r="Y108" s="3616"/>
      <c r="Z108" s="2868"/>
      <c r="AA108" s="164">
        <f>V108+Z108+X108</f>
        <v>0</v>
      </c>
      <c r="AB108" s="2942"/>
      <c r="AC108" s="1694"/>
      <c r="AO108" s="2701"/>
    </row>
    <row r="109" spans="1:63" ht="12" customHeight="1" x14ac:dyDescent="0.2">
      <c r="A109" s="1868"/>
      <c r="B109" s="2145"/>
      <c r="C109" s="3601"/>
      <c r="D109" s="3619"/>
      <c r="E109" s="3654" t="s">
        <v>1834</v>
      </c>
      <c r="F109" s="3529"/>
      <c r="G109" s="3529"/>
      <c r="H109" s="3529"/>
      <c r="I109" s="3529"/>
      <c r="J109" s="3529"/>
      <c r="K109" s="3655"/>
      <c r="L109" s="138">
        <f>IF(Categoría_1=0,0,VLOOKUP(Categoría_1,Tabla_Categorías,MATCH("Coste"&amp;$E109,Name_Tabla_Cat,FALSE),FALSE))</f>
        <v>0</v>
      </c>
      <c r="M109" s="1544"/>
      <c r="N109" s="138">
        <f>IF(Categoría_2=0,0,VLOOKUP(Categoría_2,Tabla_Categorías,MATCH("Coste"&amp;$E109,Name_Tabla_Cat,FALSE),FALSE))</f>
        <v>0</v>
      </c>
      <c r="O109" s="1544"/>
      <c r="P109" s="138">
        <f>IF(Categoría_3=0,0,VLOOKUP(Categoría_3,Tabla_Categorías,MATCH("Coste"&amp;$E109,Name_Tabla_Cat,FALSE),FALSE))</f>
        <v>0</v>
      </c>
      <c r="Q109" s="1544"/>
      <c r="R109" s="138">
        <f>IF(Categoría_4=0,0,VLOOKUP(Categoría_4,Tabla_Categorías,MATCH("Coste"&amp;$E109,Name_Tabla_Cat,FALSE),FALSE))</f>
        <v>0</v>
      </c>
      <c r="S109" s="1544"/>
      <c r="T109" s="138">
        <f>IF(Categoría_5=0,0,VLOOKUP(Categoría_5,Tabla_Categorías,MATCH("Coste"&amp;$E109,Name_Tabla_Cat,FALSE),FALSE))</f>
        <v>0</v>
      </c>
      <c r="U109" s="1544"/>
      <c r="V109" s="132">
        <f>IF(L109=0,0,TRUNC(M109/L109,0))+IF(N109=0,0,TRUNC(O109/N109,0))+IF(P109=0,0,TRUNC(Q109/P109,0))+IF(R109=0,0,TRUNC(S109/R109,0))+IF(T109=0,0,TRUNC(U109/T109,0))</f>
        <v>0</v>
      </c>
      <c r="W109" s="147">
        <f>Bono_Des</f>
        <v>0</v>
      </c>
      <c r="X109" s="3617" t="s">
        <v>1766</v>
      </c>
      <c r="Y109" s="3617"/>
      <c r="Z109" s="2869"/>
      <c r="AA109" s="135">
        <f>V109+W109+Z109+Bono_ATA-Combate!U16</f>
        <v>0</v>
      </c>
      <c r="AB109" s="2942"/>
      <c r="AC109" s="1694"/>
      <c r="AO109" s="2701"/>
    </row>
    <row r="110" spans="1:63" ht="12" customHeight="1" x14ac:dyDescent="0.2">
      <c r="A110" s="1868"/>
      <c r="B110" s="2145"/>
      <c r="C110" s="3601"/>
      <c r="D110" s="1623" t="s">
        <v>1830</v>
      </c>
      <c r="E110" s="3656"/>
      <c r="F110" s="3657"/>
      <c r="G110" s="3657"/>
      <c r="H110" s="3657"/>
      <c r="I110" s="3657"/>
      <c r="J110" s="3657"/>
      <c r="K110" s="3658"/>
      <c r="L110" s="1624">
        <f>IF($E110=0,0,VLOOKUP($E110,Tabla_TablasSobrenat,2))</f>
        <v>0</v>
      </c>
      <c r="M110" s="1625"/>
      <c r="N110" s="349">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627" t="str">
        <f>IF($E110=0,"",VLOOKUP($E110,Tabla_TablasSobrenat,3))</f>
        <v/>
      </c>
      <c r="W110" s="3628">
        <f>IF($E110=0,0,VLOOKUP($E110,Tabla_TablasSobrenat,2))</f>
        <v>0</v>
      </c>
      <c r="X110" s="3628">
        <f>IF($E110=0,0,VLOOKUP($E110,Tabla_TablasSobrenat,2))</f>
        <v>0</v>
      </c>
      <c r="Y110" s="3628">
        <f>IF($E110=0,0,VLOOKUP($E110,Tabla_TablasSobrenat,2))</f>
        <v>0</v>
      </c>
      <c r="Z110" s="3628">
        <f>IF($E110=0,0,VLOOKUP($E110,Tabla_TablasSobrenat,2))</f>
        <v>0</v>
      </c>
      <c r="AA110" s="3629">
        <f>IF($E110=0,0,VLOOKUP($E110,Tabla_TablasSobrenat,2))</f>
        <v>0</v>
      </c>
      <c r="AB110" s="2942"/>
      <c r="AC110" s="1694"/>
      <c r="AO110" s="2701"/>
    </row>
    <row r="111" spans="1:63" ht="12" customHeight="1" x14ac:dyDescent="0.2">
      <c r="A111" s="1868"/>
      <c r="B111" s="2145"/>
      <c r="C111" s="3601"/>
      <c r="D111" s="3647" t="s">
        <v>1835</v>
      </c>
      <c r="E111" s="3659"/>
      <c r="F111" s="3660"/>
      <c r="G111" s="3660"/>
      <c r="H111" s="3660"/>
      <c r="I111" s="3660"/>
      <c r="J111" s="3660"/>
      <c r="K111" s="3661"/>
      <c r="L111" s="1626">
        <f>IF(E111=0,0,VLOOKUP(E111,Tablas!$D$1092:$R$1107,2,FALSE))</f>
        <v>0</v>
      </c>
      <c r="M111" s="1627"/>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630" t="str">
        <f>IF(E111=0,"",VLOOKUP(E111,Tablas!$D$1092:$R$1107,4,FALSE))</f>
        <v/>
      </c>
      <c r="W111" s="3631"/>
      <c r="X111" s="3631"/>
      <c r="Y111" s="3631"/>
      <c r="Z111" s="3631"/>
      <c r="AA111" s="3632"/>
      <c r="AB111" s="2942"/>
      <c r="AC111" s="1694"/>
      <c r="AO111" s="2701"/>
    </row>
    <row r="112" spans="1:63" ht="12" customHeight="1" x14ac:dyDescent="0.2">
      <c r="A112" s="1868"/>
      <c r="B112" s="2145"/>
      <c r="C112" s="3601"/>
      <c r="D112" s="3648"/>
      <c r="E112" s="3624"/>
      <c r="F112" s="3625"/>
      <c r="G112" s="3625"/>
      <c r="H112" s="3625"/>
      <c r="I112" s="3625"/>
      <c r="J112" s="3625"/>
      <c r="K112" s="3626"/>
      <c r="L112" s="1546">
        <f>IF(E112=0,0,VLOOKUP(E112,Tablas!$D$1092:$R$1107,3,FALSE))</f>
        <v>0</v>
      </c>
      <c r="M112" s="1597"/>
      <c r="N112" s="1546">
        <f>IF(E112=0,0,VLOOKUP(E112,Tablas!$D$1092:$R$1107,3,FALSE))</f>
        <v>0</v>
      </c>
      <c r="O112" s="156"/>
      <c r="P112" s="1546">
        <f>IF(E112=0,0,VLOOKUP(E112,Tablas!$D$1092:$R$1107,3,FALSE))</f>
        <v>0</v>
      </c>
      <c r="Q112" s="156"/>
      <c r="R112" s="1546">
        <f>IF(E112=0,0,VLOOKUP(E112,Tablas!$D$1092:$R$1107,3,FALSE))</f>
        <v>0</v>
      </c>
      <c r="S112" s="156"/>
      <c r="T112" s="1546">
        <f>IF(E112=0,0,VLOOKUP(E112,Tablas!$D$1092:$R$1107,3,FALSE))</f>
        <v>0</v>
      </c>
      <c r="U112" s="156"/>
      <c r="V112" s="3597" t="str">
        <f>IF(E112=0,"",VLOOKUP(E112,Tablas!$D$1092:$R$1107,4,FALSE))</f>
        <v/>
      </c>
      <c r="W112" s="3598"/>
      <c r="X112" s="3598"/>
      <c r="Y112" s="3598"/>
      <c r="Z112" s="3598"/>
      <c r="AA112" s="3599"/>
      <c r="AB112" s="2942"/>
      <c r="AC112" s="1694"/>
      <c r="AO112" s="2701"/>
    </row>
    <row r="113" spans="1:46" ht="12" customHeight="1" x14ac:dyDescent="0.2">
      <c r="A113" s="1868"/>
      <c r="B113" s="2145"/>
      <c r="C113" s="3601"/>
      <c r="D113" s="3648"/>
      <c r="E113" s="3662"/>
      <c r="F113" s="3663"/>
      <c r="G113" s="3663"/>
      <c r="H113" s="3663"/>
      <c r="I113" s="3663"/>
      <c r="J113" s="3663"/>
      <c r="K113" s="3664"/>
      <c r="L113" s="1541">
        <f>IF(E113=0,0,VLOOKUP(E113,Tablas!$D$1092:$R$1107,3,FALSE))</f>
        <v>0</v>
      </c>
      <c r="M113" s="1596"/>
      <c r="N113" s="1541">
        <f>IF(E113=0,0,VLOOKUP(E113,Tablas!$D$1092:$R$1107,3,FALSE))</f>
        <v>0</v>
      </c>
      <c r="O113" s="155"/>
      <c r="P113" s="1541">
        <f>IF(E113=0,0,VLOOKUP(E113,Tablas!$D$1092:$R$1107,3,FALSE))</f>
        <v>0</v>
      </c>
      <c r="Q113" s="155"/>
      <c r="R113" s="1541">
        <f>IF(E113=0,0,VLOOKUP(E113,Tablas!$D$1092:$R$1107,3,FALSE))</f>
        <v>0</v>
      </c>
      <c r="S113" s="155"/>
      <c r="T113" s="1541">
        <f>IF(E113=0,0,VLOOKUP(E113,Tablas!$D$1092:$R$1107,3,FALSE))</f>
        <v>0</v>
      </c>
      <c r="U113" s="155"/>
      <c r="V113" s="3594" t="str">
        <f>IF(E113=0,"",VLOOKUP(E113,Tablas!$D$1092:$R$1107,4,FALSE))</f>
        <v/>
      </c>
      <c r="W113" s="3595"/>
      <c r="X113" s="3595"/>
      <c r="Y113" s="3595"/>
      <c r="Z113" s="3595"/>
      <c r="AA113" s="3596"/>
      <c r="AB113" s="2942"/>
      <c r="AC113" s="1694"/>
      <c r="AO113" s="2701"/>
    </row>
    <row r="114" spans="1:46" ht="12" customHeight="1" x14ac:dyDescent="0.2">
      <c r="A114" s="1868"/>
      <c r="B114" s="2145"/>
      <c r="C114" s="3601"/>
      <c r="D114" s="3648"/>
      <c r="E114" s="3624"/>
      <c r="F114" s="3625"/>
      <c r="G114" s="3625"/>
      <c r="H114" s="3625"/>
      <c r="I114" s="3625"/>
      <c r="J114" s="3625"/>
      <c r="K114" s="3626"/>
      <c r="L114" s="1546">
        <f>IF(E114=0,0,VLOOKUP(E114,Tablas!$D$1092:$R$1107,3,FALSE))</f>
        <v>0</v>
      </c>
      <c r="M114" s="1597"/>
      <c r="N114" s="1546">
        <f>IF(E114=0,0,VLOOKUP(E114,Tablas!$D$1092:$R$1107,3,FALSE))</f>
        <v>0</v>
      </c>
      <c r="O114" s="156"/>
      <c r="P114" s="1546">
        <f>IF(E114=0,0,VLOOKUP(E114,Tablas!$D$1092:$R$1107,3,FALSE))</f>
        <v>0</v>
      </c>
      <c r="Q114" s="156"/>
      <c r="R114" s="1546">
        <f>IF(E114=0,0,VLOOKUP(E114,Tablas!$D$1092:$R$1107,3,FALSE))</f>
        <v>0</v>
      </c>
      <c r="S114" s="156"/>
      <c r="T114" s="1546">
        <f>IF(E114=0,0,VLOOKUP(E114,Tablas!$D$1092:$R$1107,3,FALSE))</f>
        <v>0</v>
      </c>
      <c r="U114" s="156"/>
      <c r="V114" s="3597" t="str">
        <f>IF(E114=0,"",VLOOKUP(E114,Tablas!$D$1092:$R$1107,4,FALSE))</f>
        <v/>
      </c>
      <c r="W114" s="3598"/>
      <c r="X114" s="3598"/>
      <c r="Y114" s="3598"/>
      <c r="Z114" s="3598"/>
      <c r="AA114" s="3599"/>
      <c r="AB114" s="2942"/>
      <c r="AC114" s="1694"/>
      <c r="AO114" s="2701"/>
    </row>
    <row r="115" spans="1:46" ht="12" customHeight="1" x14ac:dyDescent="0.2">
      <c r="A115" s="1868"/>
      <c r="B115" s="2145"/>
      <c r="C115" s="3601"/>
      <c r="D115" s="3648"/>
      <c r="E115" s="3662"/>
      <c r="F115" s="3663"/>
      <c r="G115" s="3663"/>
      <c r="H115" s="3663"/>
      <c r="I115" s="3663"/>
      <c r="J115" s="3663"/>
      <c r="K115" s="3664"/>
      <c r="L115" s="1541">
        <f>IF(E115=0,0,VLOOKUP(E115,Tablas!$D$1092:$R$1107,3,FALSE))</f>
        <v>0</v>
      </c>
      <c r="M115" s="1596"/>
      <c r="N115" s="1541">
        <f>IF(E115=0,0,VLOOKUP(E115,Tablas!$D$1092:$R$1107,3,FALSE))</f>
        <v>0</v>
      </c>
      <c r="O115" s="155"/>
      <c r="P115" s="1541">
        <f>IF(E115=0,0,VLOOKUP(E115,Tablas!$D$1092:$R$1107,3,FALSE))</f>
        <v>0</v>
      </c>
      <c r="Q115" s="155"/>
      <c r="R115" s="1541">
        <f>IF(E115=0,0,VLOOKUP(E115,Tablas!$D$1092:$R$1107,3,FALSE))</f>
        <v>0</v>
      </c>
      <c r="S115" s="155"/>
      <c r="T115" s="1541">
        <f>IF(E115=0,0,VLOOKUP(E115,Tablas!$D$1092:$R$1107,3,FALSE))</f>
        <v>0</v>
      </c>
      <c r="U115" s="155"/>
      <c r="V115" s="3594" t="str">
        <f>IF(E115=0,"",VLOOKUP(E115,Tablas!$D$1092:$R$1107,4,FALSE))</f>
        <v/>
      </c>
      <c r="W115" s="3595"/>
      <c r="X115" s="3595"/>
      <c r="Y115" s="3595"/>
      <c r="Z115" s="3595"/>
      <c r="AA115" s="3596"/>
      <c r="AB115" s="2942"/>
      <c r="AC115" s="1694"/>
      <c r="AH115" s="3086"/>
      <c r="AO115" s="2701"/>
    </row>
    <row r="116" spans="1:46" ht="12" customHeight="1" thickBot="1" x14ac:dyDescent="0.25">
      <c r="A116" s="1868"/>
      <c r="B116" s="2145"/>
      <c r="C116" s="3601"/>
      <c r="D116" s="3648"/>
      <c r="E116" s="3624"/>
      <c r="F116" s="3625"/>
      <c r="G116" s="3625"/>
      <c r="H116" s="3625"/>
      <c r="I116" s="3625"/>
      <c r="J116" s="3625"/>
      <c r="K116" s="3626"/>
      <c r="L116" s="1546">
        <f>IF(E116=0,0,VLOOKUP(E116,Tablas!$D$1092:$R$1107,3,FALSE))</f>
        <v>0</v>
      </c>
      <c r="M116" s="1597"/>
      <c r="N116" s="1546">
        <f>IF(E116=0,0,VLOOKUP(E116,Tablas!$D$1092:$R$1107,3,FALSE))</f>
        <v>0</v>
      </c>
      <c r="O116" s="156"/>
      <c r="P116" s="1546">
        <f>IF(E116=0,0,VLOOKUP(E116,Tablas!$D$1092:$R$1107,3,FALSE))</f>
        <v>0</v>
      </c>
      <c r="Q116" s="156"/>
      <c r="R116" s="1546">
        <f>IF(E116=0,0,VLOOKUP(E116,Tablas!$D$1092:$R$1107,3,FALSE))</f>
        <v>0</v>
      </c>
      <c r="S116" s="156"/>
      <c r="T116" s="1546">
        <f>IF(E116=0,0,VLOOKUP(E116,Tablas!$D$1092:$R$1107,3,FALSE))</f>
        <v>0</v>
      </c>
      <c r="U116" s="156"/>
      <c r="V116" s="3597" t="str">
        <f>IF(E116=0,"",VLOOKUP(E116,Tablas!$D$1092:$R$1107,4,FALSE))</f>
        <v/>
      </c>
      <c r="W116" s="3598"/>
      <c r="X116" s="3598"/>
      <c r="Y116" s="3598"/>
      <c r="Z116" s="3598"/>
      <c r="AA116" s="3599"/>
      <c r="AB116" s="2942"/>
      <c r="AC116" s="1694"/>
      <c r="AO116" s="2701"/>
    </row>
    <row r="117" spans="1:46" ht="12" customHeight="1" x14ac:dyDescent="0.2">
      <c r="A117" s="1868"/>
      <c r="B117" s="2145"/>
      <c r="C117" s="3590"/>
      <c r="D117" s="3570" t="s">
        <v>1836</v>
      </c>
      <c r="E117" s="3571"/>
      <c r="F117" s="3571"/>
      <c r="G117" s="3571"/>
      <c r="H117" s="3571"/>
      <c r="I117" s="3571"/>
      <c r="J117" s="3571"/>
      <c r="K117" s="3572"/>
      <c r="L117" s="3568">
        <f>T$5*IF(Categoría_1=0,0.5,VLOOKUP(Categoría_1,Tabla_Categorías,8,FALSE))</f>
        <v>200</v>
      </c>
      <c r="M117" s="3583">
        <f>SUM(M108:M116)</f>
        <v>0</v>
      </c>
      <c r="N117" s="3568">
        <f>SUM(T$5:T$7)*IF(Categoría_2=0,0,VLOOKUP(Categoría_2,Tabla_Categorías,8,FALSE))</f>
        <v>0</v>
      </c>
      <c r="O117" s="3583">
        <f>(SUM(O108:O116)+M117)*IF(Categoría_2=0,0,1)</f>
        <v>0</v>
      </c>
      <c r="P117" s="3568">
        <f>SUM(T$5:T$9)*IF(Categoría_3=0,0,VLOOKUP(Categoría_3,Tabla_Categorías,8,FALSE))</f>
        <v>0</v>
      </c>
      <c r="Q117" s="3572">
        <f>(SUM(Q108:Q116)+O117)*IF(Categoría_3=0,0,1)</f>
        <v>0</v>
      </c>
      <c r="R117" s="3568">
        <f>SUM(T$5:T$11)*IF(Categoría_4=0,0,VLOOKUP(Categoría_4,Tabla_Categorías,8,FALSE))</f>
        <v>0</v>
      </c>
      <c r="S117" s="3583">
        <f>(SUM(S108:S116)+Q117)*IF(Categoría_4=0,0,1)</f>
        <v>0</v>
      </c>
      <c r="T117" s="3568">
        <f>SUM(T$5:T$13)*IF(Categoría_5=0,0,VLOOKUP(Categoría_5,Tabla_Categorías,8,FALSE))</f>
        <v>0</v>
      </c>
      <c r="U117" s="3583">
        <f>(SUM(U108:U116)+S117)*IF(Categoría_5=0,0,1)</f>
        <v>0</v>
      </c>
      <c r="V117" s="3606" t="str">
        <f>IF(OR(M109&gt;L117/2,O109&gt;N117/2,Q109&gt;P117/2,S109&gt;R117/2,U109&gt;T117/2),"Exceso en Proyección Psíquica",IF(OR(M117&gt;L117,O117&gt;N117,Q117&gt;P117,S117&gt;R117,U117&gt;T117),"Exceso de PDs en Habilidades Psíquicas",""))</f>
        <v/>
      </c>
      <c r="W117" s="3607"/>
      <c r="X117" s="3607"/>
      <c r="Y117" s="3607"/>
      <c r="Z117" s="3607"/>
      <c r="AA117" s="3608"/>
      <c r="AB117" s="2942"/>
      <c r="AC117" s="1694"/>
      <c r="AO117" s="2701"/>
    </row>
    <row r="118" spans="1:46" ht="12" customHeight="1" thickBot="1" x14ac:dyDescent="0.25">
      <c r="A118" s="1868"/>
      <c r="B118" s="2145"/>
      <c r="C118" s="3591"/>
      <c r="D118" s="3573"/>
      <c r="E118" s="3574"/>
      <c r="F118" s="3574"/>
      <c r="G118" s="3574"/>
      <c r="H118" s="3574"/>
      <c r="I118" s="3574"/>
      <c r="J118" s="3574"/>
      <c r="K118" s="3575"/>
      <c r="L118" s="3569"/>
      <c r="M118" s="3584"/>
      <c r="N118" s="3569"/>
      <c r="O118" s="3584"/>
      <c r="P118" s="3569"/>
      <c r="Q118" s="3575"/>
      <c r="R118" s="3569"/>
      <c r="S118" s="3584"/>
      <c r="T118" s="3569"/>
      <c r="U118" s="3584"/>
      <c r="V118" s="3609"/>
      <c r="W118" s="3610"/>
      <c r="X118" s="3610"/>
      <c r="Y118" s="3610"/>
      <c r="Z118" s="3610"/>
      <c r="AA118" s="3611"/>
      <c r="AB118" s="2942"/>
      <c r="AC118" s="1694"/>
      <c r="AE118" s="3087" t="str">
        <f>IF(Tablas!N136="","","Tablas!$M$31:$M$32")</f>
        <v/>
      </c>
      <c r="AO118" s="2701"/>
    </row>
    <row r="119" spans="1:46" ht="12" customHeight="1" x14ac:dyDescent="0.2">
      <c r="A119" s="1868"/>
      <c r="B119" s="2145"/>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2942"/>
      <c r="AC119" s="1694"/>
    </row>
    <row r="120" spans="1:46" ht="12" customHeight="1" thickBot="1" x14ac:dyDescent="0.25">
      <c r="A120" s="1868"/>
      <c r="B120" s="2400"/>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3088"/>
      <c r="AC120" s="2946"/>
    </row>
    <row r="121" spans="1:46" ht="12" customHeight="1" thickBot="1" x14ac:dyDescent="0.25">
      <c r="A121" s="1868"/>
      <c r="B121" s="2401"/>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3069"/>
      <c r="AC121" s="2946"/>
    </row>
    <row r="122" spans="1:46" ht="12" customHeight="1" thickBot="1" x14ac:dyDescent="0.25">
      <c r="A122" s="1868"/>
      <c r="B122" s="2145"/>
      <c r="AB122" s="2942"/>
      <c r="AC122" s="2946"/>
    </row>
    <row r="123" spans="1:46" ht="12" customHeight="1" thickBot="1" x14ac:dyDescent="0.25">
      <c r="A123" s="1871"/>
      <c r="B123" s="2145"/>
      <c r="C123" s="44"/>
      <c r="D123" s="44"/>
      <c r="E123" s="44"/>
      <c r="F123" s="44"/>
      <c r="G123" s="44"/>
      <c r="H123" s="44"/>
      <c r="I123" s="157"/>
      <c r="J123" s="3548" t="str">
        <f>IF(Categoría_1=0,"",Categoría_1)</f>
        <v/>
      </c>
      <c r="K123" s="3546"/>
      <c r="L123" s="3542" t="str">
        <f>IF(Categoría_2=0,"",Categoría_2)</f>
        <v/>
      </c>
      <c r="M123" s="3546"/>
      <c r="N123" s="3542" t="str">
        <f>IF(Categoría_3=0,"",Categoría_3)</f>
        <v/>
      </c>
      <c r="O123" s="3546"/>
      <c r="P123" s="3542" t="str">
        <f>IF(Categoría_4=0,"",Categoría_4)</f>
        <v/>
      </c>
      <c r="Q123" s="3546"/>
      <c r="R123" s="3542" t="str">
        <f>IF(Categoría_5=0,"",Categoría_5)</f>
        <v/>
      </c>
      <c r="S123" s="3543"/>
      <c r="T123" s="157"/>
      <c r="U123" s="157"/>
      <c r="V123" s="157"/>
      <c r="W123" s="67"/>
      <c r="X123" s="67"/>
      <c r="Y123" s="157"/>
      <c r="Z123" s="157"/>
      <c r="AA123" s="157"/>
      <c r="AB123" s="2942"/>
      <c r="AC123" s="1694"/>
      <c r="AE123" s="3070" t="s">
        <v>8549</v>
      </c>
      <c r="AF123" s="2702" t="b">
        <f>IF(Tablas!G480&gt;0,TRUE,IF(Personalización!G22="Si",TRUE,FALSE))</f>
        <v>0</v>
      </c>
    </row>
    <row r="124" spans="1:46" ht="12" customHeight="1" thickBot="1" x14ac:dyDescent="0.25">
      <c r="A124" s="1869"/>
      <c r="B124" s="2145"/>
      <c r="C124" s="157"/>
      <c r="D124" s="157"/>
      <c r="E124" s="157"/>
      <c r="F124" s="157"/>
      <c r="I124" s="157"/>
      <c r="J124" s="3549"/>
      <c r="K124" s="3547"/>
      <c r="L124" s="3544"/>
      <c r="M124" s="3547"/>
      <c r="N124" s="3544"/>
      <c r="O124" s="3547"/>
      <c r="P124" s="3544"/>
      <c r="Q124" s="3547"/>
      <c r="R124" s="3544"/>
      <c r="S124" s="3545"/>
      <c r="T124" s="157"/>
      <c r="U124" s="157"/>
      <c r="V124" s="157"/>
      <c r="W124" s="3540" t="s">
        <v>1848</v>
      </c>
      <c r="X124" s="3541"/>
      <c r="Y124" s="157"/>
      <c r="Z124" s="157"/>
      <c r="AA124" s="157"/>
      <c r="AB124" s="2942"/>
      <c r="AC124" s="1694"/>
      <c r="AE124" s="3840" t="s">
        <v>2897</v>
      </c>
      <c r="AF124" s="3840"/>
      <c r="AG124" s="3840"/>
      <c r="AH124" s="3840"/>
      <c r="AI124" s="3840"/>
      <c r="AJ124" s="3840"/>
      <c r="AL124" s="3840" t="s">
        <v>8920</v>
      </c>
      <c r="AM124" s="3840"/>
      <c r="AN124" s="3840"/>
      <c r="AO124" s="3840"/>
      <c r="AP124" s="3840"/>
      <c r="AQ124" s="3840"/>
      <c r="AR124" s="3840"/>
      <c r="AS124" s="3840"/>
      <c r="AT124" s="3840"/>
    </row>
    <row r="125" spans="1:46" ht="12" customHeight="1" thickBot="1" x14ac:dyDescent="0.25">
      <c r="A125" s="1869"/>
      <c r="B125" s="2145"/>
      <c r="C125" s="3589" t="s">
        <v>1704</v>
      </c>
      <c r="D125" s="1644" t="s">
        <v>1708</v>
      </c>
      <c r="E125" s="3815" t="s">
        <v>1684</v>
      </c>
      <c r="F125" s="3650"/>
      <c r="G125" s="3650"/>
      <c r="H125" s="3816"/>
      <c r="I125" s="2074" t="s">
        <v>7759</v>
      </c>
      <c r="J125" s="1602" t="s">
        <v>1801</v>
      </c>
      <c r="K125" s="1645" t="s">
        <v>1686</v>
      </c>
      <c r="L125" s="1602" t="s">
        <v>1801</v>
      </c>
      <c r="M125" s="1646" t="s">
        <v>1686</v>
      </c>
      <c r="N125" s="1647" t="s">
        <v>1801</v>
      </c>
      <c r="O125" s="1645" t="s">
        <v>1686</v>
      </c>
      <c r="P125" s="1602" t="s">
        <v>1801</v>
      </c>
      <c r="Q125" s="1646" t="s">
        <v>1686</v>
      </c>
      <c r="R125" s="1647" t="s">
        <v>1801</v>
      </c>
      <c r="S125" s="1645" t="s">
        <v>1686</v>
      </c>
      <c r="T125" s="1602" t="s">
        <v>1674</v>
      </c>
      <c r="U125" s="1602" t="s">
        <v>1297</v>
      </c>
      <c r="V125" s="1602" t="s">
        <v>1718</v>
      </c>
      <c r="W125" s="1514" t="s">
        <v>1849</v>
      </c>
      <c r="X125" s="1515" t="s">
        <v>1850</v>
      </c>
      <c r="Y125" s="1602" t="s">
        <v>1851</v>
      </c>
      <c r="Z125" s="1602" t="s">
        <v>1728</v>
      </c>
      <c r="AA125" s="1648" t="s">
        <v>1658</v>
      </c>
      <c r="AB125" s="2942"/>
      <c r="AC125" s="1694"/>
      <c r="AD125" s="2701" t="s">
        <v>8548</v>
      </c>
      <c r="AE125" s="2701" t="s">
        <v>8550</v>
      </c>
      <c r="AF125" s="2701" t="s">
        <v>8059</v>
      </c>
      <c r="AG125" s="2701" t="s">
        <v>8060</v>
      </c>
      <c r="AH125" s="3071" t="s">
        <v>1788</v>
      </c>
      <c r="AI125" s="2701" t="s">
        <v>7878</v>
      </c>
      <c r="AJ125" s="2701" t="s">
        <v>7862</v>
      </c>
      <c r="AL125" s="1888" t="s">
        <v>8841</v>
      </c>
      <c r="AN125" s="1888" t="s">
        <v>8839</v>
      </c>
      <c r="AP125" s="1888" t="s">
        <v>8840</v>
      </c>
      <c r="AR125" s="1888" t="s">
        <v>8843</v>
      </c>
      <c r="AT125" s="1888" t="s">
        <v>8842</v>
      </c>
    </row>
    <row r="126" spans="1:46" ht="12" customHeight="1" x14ac:dyDescent="0.2">
      <c r="A126" s="1869"/>
      <c r="B126" s="2145" t="str">
        <f>D126</f>
        <v>Atléticas</v>
      </c>
      <c r="C126" s="3590"/>
      <c r="D126" s="3525" t="s">
        <v>1713</v>
      </c>
      <c r="E126" s="3592" t="s">
        <v>1714</v>
      </c>
      <c r="F126" s="3593"/>
      <c r="G126" s="3593"/>
      <c r="H126" s="2078" t="s">
        <v>1682</v>
      </c>
      <c r="I126" s="2063"/>
      <c r="J126" s="1524">
        <f>IF(ISNA(AL126),0,MAX(MIN(AL126-VLOOKUP("Apto en campo: "&amp;$B126,Tabla_Ventajas,3,FALSE)-Tablas!$O269-2*Tablas!$Q269-3*Tablas!$S269,3),1))</f>
        <v>0</v>
      </c>
      <c r="K126" s="1523"/>
      <c r="L126" s="1524">
        <f>IF(ISNA(AN126),0,MAX(MIN(AN126-VLOOKUP("Apto en campo: "&amp;$B126,Tabla_Ventajas,3,FALSE)-Tablas!$O269-2*Tablas!$Q269-3*Tablas!$S269,3),1))</f>
        <v>0</v>
      </c>
      <c r="M126" s="1525"/>
      <c r="N126" s="1522">
        <f>IF(ISNA(AP126),0,MAX(MIN(AP126-VLOOKUP("Apto en campo: "&amp;$B126,Tabla_Ventajas,3,FALSE)-Tablas!$O269-2*Tablas!$Q269-3*Tablas!$S269,3),1))</f>
        <v>0</v>
      </c>
      <c r="O126" s="1523"/>
      <c r="P126" s="1524">
        <f>IF(ISNA(AR126),0,MAX(MIN(AR126-VLOOKUP("Apto en campo: "&amp;$B126,Tabla_Ventajas,3,FALSE)-Tablas!$O269-2*Tablas!$Q269-3*Tablas!$S269,3),1))</f>
        <v>0</v>
      </c>
      <c r="Q126" s="1525"/>
      <c r="R126" s="1522">
        <f>IF(ISNA(AT126),0,MAX(MIN(AT126-VLOOKUP("Apto en campo: "&amp;$B126,Tabla_Ventajas,3,FALSE)-Tablas!$O269-2*Tablas!$Q269-3*Tablas!$S269,3),1))</f>
        <v>0</v>
      </c>
      <c r="S126" s="1523"/>
      <c r="T126" s="1526">
        <f t="shared" ref="T126:T143" si="33">IF(J126=0,0,TRUNC(K126/J126,0))+IF(L126=0,0,TRUNC(M126/L126,0))+IF(N126=0,0,TRUNC(O126/N126,0))+IF(P126=0,0,TRUNC(Q126/P126,0))+IF(R126=0,0,TRUNC(S126/R126,0))</f>
        <v>0</v>
      </c>
      <c r="U126" s="1526">
        <f t="shared" ref="U126:U157" si="34">MIN(VLOOKUP($H126,Tabla_Características,5)*(1+W126)+10*Con.TodasMaterias+10*X126,100)</f>
        <v>0</v>
      </c>
      <c r="V126" s="1526">
        <f>IF(ISNA(HLOOKUP($E126,Bonos_Cat_Base,2,FALSE)),0,HLOOKUP($E126,Bonos_Cat_Base,2,FALSE))+Tablas!$Z269*Nivel_Total+10*Y126</f>
        <v>0</v>
      </c>
      <c r="W126" s="1527"/>
      <c r="X126" s="1523"/>
      <c r="Y126" s="1525"/>
      <c r="Z126" s="2870"/>
      <c r="AA126" s="1528">
        <f>IF(AND(T126&lt;5,Tablas!G$303=0),-30,0)+T126+U126+V126+Z126+IF(I126="",0,40)+Bono_ATA+AD126+AF126</f>
        <v>-30</v>
      </c>
      <c r="AB126" s="3076">
        <f t="shared" ref="AB126:AB157" si="35">IF(AA126="-",0,IF(AA126&gt;VLOOKUP(Nivel_Total,Tabla_LímiteSecundarias,2),1,0))</f>
        <v>0</v>
      </c>
      <c r="AC126" s="1694"/>
      <c r="AD126" s="3089">
        <f>'Tablas psiquica'!AH66+'Tablas psiquica'!AH68</f>
        <v>0</v>
      </c>
      <c r="AE126" s="3008"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3070">
        <f>IF(AF$123,IF(OR(Region="",ClaseSocial="",Personalización!$AN$21),0,IF(OR(AND(AI126,AJ126),AND(NOT(AI126),NOT(AJ126))),LEFT(AG126,2)+LEFT(AH126,2),0)),0)</f>
        <v>0</v>
      </c>
      <c r="AG126" s="2701" t="e">
        <f>HLOOKUP(Region&amp;ClaseSocial,Tabla_RaicesCulturales,Tablas!F142,FALSE)</f>
        <v>#N/A</v>
      </c>
      <c r="AH126" s="3008">
        <f>IF(AND(E126="Historia",Personalización!$E$26="Historia (Local)"),20&amp;" "&amp;Personalización!$E$26,IF(OR(E126=Personalización!$E$25,E126=Personalización!$E$26),VLOOKUP(E126,Tablas!$L$136:$M$137,2,FALSE),0))</f>
        <v>0</v>
      </c>
      <c r="AI126" s="3008" t="b">
        <f t="shared" ref="AI126:AI143" si="36">OR(ISNUMBER(FIND("(",AG126)),ISNUMBER(FIND("(",AH126)))</f>
        <v>0</v>
      </c>
      <c r="AJ126" s="3008" t="b">
        <f t="shared" ref="AJ126:AJ143" si="37">AND(NOT(I126=""),OR(ISNUMBER(SEARCH(I126,AG126)),ISNUMBER(SEARCH(I126,AH126))))</f>
        <v>0</v>
      </c>
      <c r="AL126" s="1888" t="e">
        <f t="shared" ref="AL126:AL157" si="38">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1888" t="e">
        <f t="shared" ref="AN126:AN157" si="39">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88" t="e">
        <f t="shared" ref="AP126:AP157" si="40">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88" t="e">
        <f t="shared" ref="AR126:AR157" si="41">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88" t="e">
        <f t="shared" ref="AT126:AT157" si="42">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869"/>
      <c r="B127" s="2145" t="str">
        <f>B126</f>
        <v>Atléticas</v>
      </c>
      <c r="C127" s="3590"/>
      <c r="D127" s="3349"/>
      <c r="E127" s="3528" t="s">
        <v>1716</v>
      </c>
      <c r="F127" s="3529"/>
      <c r="G127" s="3529"/>
      <c r="H127" s="2079" t="s">
        <v>1682</v>
      </c>
      <c r="I127" s="2064"/>
      <c r="J127" s="183">
        <f>IF(ISNA(AL127),0,MAX(MIN(AL127-VLOOKUP("Apto en campo: "&amp;$B127,Tabla_Ventajas,3,FALSE)-Tablas!$O270-2*Tablas!$Q270-3*Tablas!$S270,3),1))</f>
        <v>0</v>
      </c>
      <c r="K127" s="1501"/>
      <c r="L127" s="183">
        <f>IF(ISNA(AN127),0,MAX(MIN(AN127-VLOOKUP("Apto en campo: "&amp;$B127,Tabla_Ventajas,3,FALSE)-Tablas!$O270-2*Tablas!$Q270-3*Tablas!$S270,3),1))</f>
        <v>0</v>
      </c>
      <c r="M127" s="169"/>
      <c r="N127" s="1197">
        <f>IF(ISNA(AP127),0,MAX(MIN(AP127-VLOOKUP("Apto en campo: "&amp;$B127,Tabla_Ventajas,3,FALSE)-Tablas!$O270-2*Tablas!$Q270-3*Tablas!$S270,3),1))</f>
        <v>0</v>
      </c>
      <c r="O127" s="1501"/>
      <c r="P127" s="183">
        <f>IF(ISNA(AR127),0,MAX(MIN(AR127-VLOOKUP("Apto en campo: "&amp;$B127,Tabla_Ventajas,3,FALSE)-Tablas!$O270-2*Tablas!$Q270-3*Tablas!$S270,3),1))</f>
        <v>0</v>
      </c>
      <c r="Q127" s="169"/>
      <c r="R127" s="1197">
        <f>IF(ISNA(AT127),0,MAX(MIN(AT127-VLOOKUP("Apto en campo: "&amp;$B127,Tabla_Ventajas,3,FALSE)-Tablas!$O270-2*Tablas!$Q270-3*Tablas!$S270,3),1))</f>
        <v>0</v>
      </c>
      <c r="S127" s="1501"/>
      <c r="T127" s="1509">
        <f t="shared" si="33"/>
        <v>0</v>
      </c>
      <c r="U127" s="1509">
        <f t="shared" si="34"/>
        <v>0</v>
      </c>
      <c r="V127" s="1509">
        <f>IF(ISNA(HLOOKUP($E127,Bonos_Cat_Base,2,FALSE)),0,HLOOKUP($E127,Bonos_Cat_Base,2,FALSE))+Tablas!$Z270*Nivel_Total+10*Y127</f>
        <v>0</v>
      </c>
      <c r="W127" s="1517"/>
      <c r="X127" s="1501"/>
      <c r="Y127" s="169"/>
      <c r="Z127" s="2871"/>
      <c r="AA127" s="1529">
        <f>IF(AND(T127&lt;5,Tablas!G$303=0),-30,0)+T127+U127+V127+Z127+IF(I127="",0,40)+Bono_ATA+AD127+AF127</f>
        <v>-30</v>
      </c>
      <c r="AB127" s="3076">
        <f t="shared" si="35"/>
        <v>0</v>
      </c>
      <c r="AC127" s="1694"/>
      <c r="AD127" s="3090">
        <f>'Tablas psiquica'!$AH$68</f>
        <v>0</v>
      </c>
      <c r="AE127" s="3008"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3070">
        <f>IF(AF$123,IF(OR(Region="",ClaseSocial="",Personalización!$AN$21),0,IF(OR(AND(AI127,AJ127),AND(NOT(AI127),NOT(AJ127))),LEFT(AG127,2)+LEFT(AH127,2),0)),0)</f>
        <v>0</v>
      </c>
      <c r="AG127" s="2701" t="e">
        <f>HLOOKUP(Region&amp;ClaseSocial,Tabla_RaicesCulturales,Tablas!F143,FALSE)</f>
        <v>#N/A</v>
      </c>
      <c r="AH127" s="3008">
        <f>IF(AND(E127="Historia",Personalización!$E$26="Historia (Local)"),20&amp;" "&amp;Personalización!$E$26,IF(OR(E127=Personalización!$E$25,E127=Personalización!$E$26),VLOOKUP(E127,Tablas!$L$136:$M$137,2,FALSE),0))</f>
        <v>0</v>
      </c>
      <c r="AI127" s="3008" t="b">
        <f t="shared" si="36"/>
        <v>0</v>
      </c>
      <c r="AJ127" s="3008" t="b">
        <f t="shared" si="37"/>
        <v>0</v>
      </c>
      <c r="AL127" s="1888" t="e">
        <f t="shared" si="38"/>
        <v>#N/A</v>
      </c>
      <c r="AN127" s="1888" t="e">
        <f t="shared" si="39"/>
        <v>#N/A</v>
      </c>
      <c r="AP127" s="1888" t="e">
        <f t="shared" si="40"/>
        <v>#N/A</v>
      </c>
      <c r="AR127" s="1888" t="e">
        <f t="shared" si="41"/>
        <v>#N/A</v>
      </c>
      <c r="AT127" s="1888" t="e">
        <f t="shared" si="42"/>
        <v>#N/A</v>
      </c>
    </row>
    <row r="128" spans="1:46" ht="12" customHeight="1" x14ac:dyDescent="0.2">
      <c r="A128" s="1869"/>
      <c r="B128" s="2145" t="str">
        <f t="shared" ref="B128:B132" si="43">B127</f>
        <v>Atléticas</v>
      </c>
      <c r="C128" s="3590"/>
      <c r="D128" s="3349"/>
      <c r="E128" s="3526" t="s">
        <v>1719</v>
      </c>
      <c r="F128" s="3527"/>
      <c r="G128" s="3527"/>
      <c r="H128" s="2080" t="s">
        <v>1682</v>
      </c>
      <c r="I128" s="2065"/>
      <c r="J128" s="184">
        <f>IF(ISNA(AL128),0,MAX(MIN(AL128-VLOOKUP("Apto en campo: "&amp;$B128,Tabla_Ventajas,3,FALSE)-Tablas!$O271-2*Tablas!$Q271-3*Tablas!$S271,3),1))</f>
        <v>0</v>
      </c>
      <c r="K128" s="1502"/>
      <c r="L128" s="184">
        <f>IF(ISNA(AN128),0,MAX(MIN(AN128-VLOOKUP("Apto en campo: "&amp;$B128,Tabla_Ventajas,3,FALSE)-Tablas!$O271-2*Tablas!$Q271-3*Tablas!$S271,3),1))</f>
        <v>0</v>
      </c>
      <c r="M128" s="1537"/>
      <c r="N128" s="1198">
        <f>IF(ISNA(AP128),0,MAX(MIN(AP128-VLOOKUP("Apto en campo: "&amp;$B128,Tabla_Ventajas,3,FALSE)-Tablas!$O271-2*Tablas!$Q271-3*Tablas!$S271,3),1))</f>
        <v>0</v>
      </c>
      <c r="O128" s="1502"/>
      <c r="P128" s="184">
        <f>IF(ISNA(AR128),0,MAX(MIN(AR128-VLOOKUP("Apto en campo: "&amp;$B128,Tabla_Ventajas,3,FALSE)-Tablas!$O271-2*Tablas!$Q271-3*Tablas!$S271,3),1))</f>
        <v>0</v>
      </c>
      <c r="Q128" s="1537"/>
      <c r="R128" s="1198">
        <f>IF(ISNA(AT128),0,MAX(MIN(AT128-VLOOKUP("Apto en campo: "&amp;$B128,Tabla_Ventajas,3,FALSE)-Tablas!$O271-2*Tablas!$Q271-3*Tablas!$S271,3),1))</f>
        <v>0</v>
      </c>
      <c r="S128" s="1502"/>
      <c r="T128" s="1510">
        <f t="shared" si="33"/>
        <v>0</v>
      </c>
      <c r="U128" s="1510">
        <f t="shared" si="34"/>
        <v>0</v>
      </c>
      <c r="V128" s="1510">
        <f>IF(ISNA(HLOOKUP($E128,Bonos_Cat_Base,2,FALSE)),0,HLOOKUP($E128,Bonos_Cat_Base,2,FALSE))+Tablas!$Z271*Nivel_Total+10*Y128</f>
        <v>0</v>
      </c>
      <c r="W128" s="1518"/>
      <c r="X128" s="1502"/>
      <c r="Y128" s="1537"/>
      <c r="Z128" s="2872"/>
      <c r="AA128" s="1530">
        <f>IF(AND(T128&lt;5,Tablas!G$303=0),-30,0)+T128+U128+V128+Z128+IF(I128="",0,40)+Bono_ATA+AD128+AF128</f>
        <v>-30</v>
      </c>
      <c r="AB128" s="3076">
        <f t="shared" si="35"/>
        <v>0</v>
      </c>
      <c r="AC128" s="1694"/>
      <c r="AD128" s="3090">
        <f>'Tablas psiquica'!$AH$68</f>
        <v>0</v>
      </c>
      <c r="AE128" s="3008"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3070">
        <f>IF(AF$123,IF(OR(Region="",ClaseSocial="",Personalización!$AN$21),0,IF(OR(AND(AI128,AJ128),AND(NOT(AI128),NOT(AJ128))),LEFT(AG128,2)+LEFT(AH128,2),0)),0)</f>
        <v>0</v>
      </c>
      <c r="AG128" s="2701" t="e">
        <f>HLOOKUP(Region&amp;ClaseSocial,Tabla_RaicesCulturales,Tablas!F144,FALSE)</f>
        <v>#N/A</v>
      </c>
      <c r="AH128" s="3008">
        <f>IF(AND(E128="Historia",Personalización!$E$26="Historia (Local)"),20&amp;" "&amp;Personalización!$E$26,IF(OR(E128=Personalización!$E$25,E128=Personalización!$E$26),VLOOKUP(E128,Tablas!$L$136:$M$137,2,FALSE),0))</f>
        <v>0</v>
      </c>
      <c r="AI128" s="3008" t="b">
        <f t="shared" si="36"/>
        <v>0</v>
      </c>
      <c r="AJ128" s="3008" t="b">
        <f t="shared" si="37"/>
        <v>0</v>
      </c>
      <c r="AL128" s="1888" t="e">
        <f t="shared" si="38"/>
        <v>#N/A</v>
      </c>
      <c r="AN128" s="1888" t="e">
        <f t="shared" si="39"/>
        <v>#N/A</v>
      </c>
      <c r="AP128" s="1888" t="e">
        <f t="shared" si="40"/>
        <v>#N/A</v>
      </c>
      <c r="AR128" s="1888" t="e">
        <f t="shared" si="41"/>
        <v>#N/A</v>
      </c>
      <c r="AT128" s="1888" t="e">
        <f t="shared" si="42"/>
        <v>#N/A</v>
      </c>
    </row>
    <row r="129" spans="1:46" ht="12" customHeight="1" x14ac:dyDescent="0.2">
      <c r="A129" s="1869"/>
      <c r="B129" s="2145" t="str">
        <f t="shared" si="43"/>
        <v>Atléticas</v>
      </c>
      <c r="C129" s="3590"/>
      <c r="D129" s="3349"/>
      <c r="E129" s="3528" t="s">
        <v>1723</v>
      </c>
      <c r="F129" s="3529"/>
      <c r="G129" s="3529"/>
      <c r="H129" s="2079" t="s">
        <v>1682</v>
      </c>
      <c r="I129" s="2064"/>
      <c r="J129" s="183">
        <f>IF(ISNA(AL129),0,MAX(MIN(AL129-VLOOKUP("Apto en campo: "&amp;$B129,Tabla_Ventajas,3,FALSE)-Tablas!$O272-2*Tablas!$Q272-3*Tablas!$S272,3),1))</f>
        <v>0</v>
      </c>
      <c r="K129" s="1501"/>
      <c r="L129" s="183">
        <f>IF(ISNA(AN129),0,MAX(MIN(AN129-VLOOKUP("Apto en campo: "&amp;$B129,Tabla_Ventajas,3,FALSE)-Tablas!$O272-2*Tablas!$Q272-3*Tablas!$S272,3),1))</f>
        <v>0</v>
      </c>
      <c r="M129" s="169"/>
      <c r="N129" s="1197">
        <f>IF(ISNA(AP129),0,MAX(MIN(AP129-VLOOKUP("Apto en campo: "&amp;$B129,Tabla_Ventajas,3,FALSE)-Tablas!$O272-2*Tablas!$Q272-3*Tablas!$S272,3),1))</f>
        <v>0</v>
      </c>
      <c r="O129" s="1501"/>
      <c r="P129" s="183">
        <f>IF(ISNA(AR129),0,MAX(MIN(AR129-VLOOKUP("Apto en campo: "&amp;$B129,Tabla_Ventajas,3,FALSE)-Tablas!$O272-2*Tablas!$Q272-3*Tablas!$S272,3),1))</f>
        <v>0</v>
      </c>
      <c r="Q129" s="169"/>
      <c r="R129" s="1197">
        <f>IF(ISNA(AT129),0,MAX(MIN(AT129-VLOOKUP("Apto en campo: "&amp;$B129,Tabla_Ventajas,3,FALSE)-Tablas!$O272-2*Tablas!$Q272-3*Tablas!$S272,3),1))</f>
        <v>0</v>
      </c>
      <c r="S129" s="1501"/>
      <c r="T129" s="1509">
        <f t="shared" si="33"/>
        <v>0</v>
      </c>
      <c r="U129" s="1509">
        <f t="shared" si="34"/>
        <v>0</v>
      </c>
      <c r="V129" s="1509">
        <f>IF(ISNA(HLOOKUP($E129,Bonos_Cat_Base,2,FALSE)),0,HLOOKUP($E129,Bonos_Cat_Base,2,FALSE))+Tablas!$Z272*Nivel_Total+10*Y129</f>
        <v>0</v>
      </c>
      <c r="W129" s="1517"/>
      <c r="X129" s="1501"/>
      <c r="Y129" s="169"/>
      <c r="Z129" s="2871"/>
      <c r="AA129" s="1529">
        <f>IF(AND(T129&lt;5,Tablas!G$303=0),-30,0)+T129+U129+V129+Z129+IF(I129="",0,40)+Bono_ATA+AD129+AF129</f>
        <v>-30</v>
      </c>
      <c r="AB129" s="3076">
        <f t="shared" si="35"/>
        <v>0</v>
      </c>
      <c r="AC129" s="1694"/>
      <c r="AD129" s="3090">
        <f>'Tablas psiquica'!$AH$68</f>
        <v>0</v>
      </c>
      <c r="AE129" s="3008"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3070">
        <f>IF(AF$123,IF(OR(Region="",ClaseSocial="",Personalización!$AN$21),0,IF(OR(AND(AI129,AJ129),AND(NOT(AI129),NOT(AJ129))),LEFT(AG129,2)+LEFT(AH129,2),0)),0)</f>
        <v>0</v>
      </c>
      <c r="AG129" s="2701" t="e">
        <f>HLOOKUP(Region&amp;ClaseSocial,Tabla_RaicesCulturales,Tablas!F145,FALSE)</f>
        <v>#N/A</v>
      </c>
      <c r="AH129" s="3008">
        <f>IF(AND(E129="Historia",Personalización!$E$26="Historia (Local)"),20&amp;" "&amp;Personalización!$E$26,IF(OR(E129=Personalización!$E$25,E129=Personalización!$E$26),VLOOKUP(E129,Tablas!$L$136:$M$137,2,FALSE),0))</f>
        <v>0</v>
      </c>
      <c r="AI129" s="3008" t="b">
        <f t="shared" si="36"/>
        <v>0</v>
      </c>
      <c r="AJ129" s="3008" t="b">
        <f t="shared" si="37"/>
        <v>0</v>
      </c>
      <c r="AL129" s="1888" t="e">
        <f t="shared" si="38"/>
        <v>#N/A</v>
      </c>
      <c r="AN129" s="1888" t="e">
        <f t="shared" si="39"/>
        <v>#N/A</v>
      </c>
      <c r="AP129" s="1888" t="e">
        <f t="shared" si="40"/>
        <v>#N/A</v>
      </c>
      <c r="AR129" s="1888" t="e">
        <f t="shared" si="41"/>
        <v>#N/A</v>
      </c>
      <c r="AT129" s="1888" t="e">
        <f t="shared" si="42"/>
        <v>#N/A</v>
      </c>
    </row>
    <row r="130" spans="1:46" ht="12" customHeight="1" x14ac:dyDescent="0.2">
      <c r="A130" s="1869"/>
      <c r="B130" s="2145" t="str">
        <f t="shared" si="43"/>
        <v>Atléticas</v>
      </c>
      <c r="C130" s="3590"/>
      <c r="D130" s="3349"/>
      <c r="E130" s="3526" t="s">
        <v>1726</v>
      </c>
      <c r="F130" s="3527"/>
      <c r="G130" s="3527"/>
      <c r="H130" s="2080" t="s">
        <v>1682</v>
      </c>
      <c r="I130" s="2065"/>
      <c r="J130" s="184">
        <f>IF(ISNA(AL130),0,MAX(MIN(AL130-VLOOKUP("Apto en campo: "&amp;$B130,Tabla_Ventajas,3,FALSE)-Tablas!$O273-2*Tablas!$Q273-3*Tablas!$S273,3),1))</f>
        <v>0</v>
      </c>
      <c r="K130" s="1502"/>
      <c r="L130" s="184">
        <f>IF(ISNA(AN130),0,MAX(MIN(AN130-VLOOKUP("Apto en campo: "&amp;$B130,Tabla_Ventajas,3,FALSE)-Tablas!$O273-2*Tablas!$Q273-3*Tablas!$S273,3),1))</f>
        <v>0</v>
      </c>
      <c r="M130" s="1537"/>
      <c r="N130" s="1198">
        <f>IF(ISNA(AP130),0,MAX(MIN(AP130-VLOOKUP("Apto en campo: "&amp;$B130,Tabla_Ventajas,3,FALSE)-Tablas!$O273-2*Tablas!$Q273-3*Tablas!$S273,3),1))</f>
        <v>0</v>
      </c>
      <c r="O130" s="1502"/>
      <c r="P130" s="184">
        <f>IF(ISNA(AR130),0,MAX(MIN(AR130-VLOOKUP("Apto en campo: "&amp;$B130,Tabla_Ventajas,3,FALSE)-Tablas!$O273-2*Tablas!$Q273-3*Tablas!$S273,3),1))</f>
        <v>0</v>
      </c>
      <c r="Q130" s="1537"/>
      <c r="R130" s="1198">
        <f>IF(ISNA(AT130),0,MAX(MIN(AT130-VLOOKUP("Apto en campo: "&amp;$B130,Tabla_Ventajas,3,FALSE)-Tablas!$O273-2*Tablas!$Q273-3*Tablas!$S273,3),1))</f>
        <v>0</v>
      </c>
      <c r="S130" s="1502"/>
      <c r="T130" s="1510">
        <f t="shared" si="33"/>
        <v>0</v>
      </c>
      <c r="U130" s="1510">
        <f t="shared" si="34"/>
        <v>0</v>
      </c>
      <c r="V130" s="1510">
        <f>IF(ISNA(HLOOKUP($E130,Bonos_Cat_Base,2,FALSE)),0,HLOOKUP($E130,Bonos_Cat_Base,2,FALSE))+Tablas!$Z273*Nivel_Total+10*Y130</f>
        <v>0</v>
      </c>
      <c r="W130" s="1518"/>
      <c r="X130" s="1502"/>
      <c r="Y130" s="1537"/>
      <c r="Z130" s="2872"/>
      <c r="AA130" s="1530">
        <f>IF(AND(T130&lt;5,Tablas!G$303=0),-30,0)+T130+U130+V130+Z130+IF(I130="",0,40)+Bono_ATA+AD130+AF130</f>
        <v>-30</v>
      </c>
      <c r="AB130" s="3076">
        <f t="shared" si="35"/>
        <v>0</v>
      </c>
      <c r="AC130" s="1694"/>
      <c r="AD130" s="3090">
        <f>'Tablas psiquica'!$AH$68</f>
        <v>0</v>
      </c>
      <c r="AE130" s="3008"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3070">
        <f>IF(AF$123,IF(OR(Region="",ClaseSocial="",Personalización!$AN$21),0,IF(OR(AND(AI130,AJ130),AND(NOT(AI130),NOT(AJ130))),LEFT(AG130,2)+LEFT(AH130,2),0)),0)</f>
        <v>0</v>
      </c>
      <c r="AG130" s="2701" t="e">
        <f>HLOOKUP(Region&amp;ClaseSocial,Tabla_RaicesCulturales,Tablas!F146,FALSE)</f>
        <v>#N/A</v>
      </c>
      <c r="AH130" s="3008">
        <f>IF(AND(E130="Historia",Personalización!$E$26="Historia (Local)"),20&amp;" "&amp;Personalización!$E$26,IF(OR(E130=Personalización!$E$25,E130=Personalización!$E$26),VLOOKUP(E130,Tablas!$L$136:$M$137,2,FALSE),0))</f>
        <v>0</v>
      </c>
      <c r="AI130" s="3008" t="b">
        <f t="shared" si="36"/>
        <v>0</v>
      </c>
      <c r="AJ130" s="3008" t="b">
        <f t="shared" si="37"/>
        <v>0</v>
      </c>
      <c r="AL130" s="1888" t="e">
        <f t="shared" si="38"/>
        <v>#N/A</v>
      </c>
      <c r="AN130" s="1888" t="e">
        <f t="shared" si="39"/>
        <v>#N/A</v>
      </c>
      <c r="AP130" s="1888" t="e">
        <f t="shared" si="40"/>
        <v>#N/A</v>
      </c>
      <c r="AR130" s="1888" t="e">
        <f t="shared" si="41"/>
        <v>#N/A</v>
      </c>
      <c r="AT130" s="1888" t="e">
        <f t="shared" si="42"/>
        <v>#N/A</v>
      </c>
    </row>
    <row r="131" spans="1:46" ht="12" customHeight="1" x14ac:dyDescent="0.2">
      <c r="A131" s="1869"/>
      <c r="B131" s="2145" t="str">
        <f t="shared" si="43"/>
        <v>Atléticas</v>
      </c>
      <c r="C131" s="3590"/>
      <c r="D131" s="3349"/>
      <c r="E131" s="3528" t="s">
        <v>1729</v>
      </c>
      <c r="F131" s="3529"/>
      <c r="G131" s="3529"/>
      <c r="H131" s="2079" t="s">
        <v>1692</v>
      </c>
      <c r="I131" s="2064"/>
      <c r="J131" s="183">
        <f>IF(ISNA(AL131),0,MAX(MIN(AL131-VLOOKUP("Apto en campo: "&amp;$B131,Tabla_Ventajas,3,FALSE)-Tablas!$O274-2*Tablas!$Q274-3*Tablas!$S274,3),1))</f>
        <v>0</v>
      </c>
      <c r="K131" s="1501"/>
      <c r="L131" s="183">
        <f>IF(ISNA(AN131),0,MAX(MIN(AN131-VLOOKUP("Apto en campo: "&amp;$B131,Tabla_Ventajas,3,FALSE)-Tablas!$O274-2*Tablas!$Q274-3*Tablas!$S274,3),1))</f>
        <v>0</v>
      </c>
      <c r="M131" s="169"/>
      <c r="N131" s="1197">
        <f>IF(ISNA(AP131),0,MAX(MIN(AP131-VLOOKUP("Apto en campo: "&amp;$B131,Tabla_Ventajas,3,FALSE)-Tablas!$O274-2*Tablas!$Q274-3*Tablas!$S274,3),1))</f>
        <v>0</v>
      </c>
      <c r="O131" s="1501"/>
      <c r="P131" s="183">
        <f>IF(ISNA(AR131),0,MAX(MIN(AR131-VLOOKUP("Apto en campo: "&amp;$B131,Tabla_Ventajas,3,FALSE)-Tablas!$O274-2*Tablas!$Q274-3*Tablas!$S274,3),1))</f>
        <v>0</v>
      </c>
      <c r="Q131" s="169"/>
      <c r="R131" s="1197">
        <f>IF(ISNA(AT131),0,MAX(MIN(AT131-VLOOKUP("Apto en campo: "&amp;$B131,Tabla_Ventajas,3,FALSE)-Tablas!$O274-2*Tablas!$Q274-3*Tablas!$S274,3),1))</f>
        <v>0</v>
      </c>
      <c r="S131" s="1501"/>
      <c r="T131" s="1509">
        <f t="shared" si="33"/>
        <v>0</v>
      </c>
      <c r="U131" s="1509">
        <f t="shared" si="34"/>
        <v>0</v>
      </c>
      <c r="V131" s="1509">
        <f>IF(ISNA(HLOOKUP($E131,Bonos_Cat_Base,2,FALSE)),0,HLOOKUP($E131,Bonos_Cat_Base,2,FALSE))+Tablas!$Z274*Nivel_Total+10*Y131</f>
        <v>0</v>
      </c>
      <c r="W131" s="1517"/>
      <c r="X131" s="1501"/>
      <c r="Y131" s="169"/>
      <c r="Z131" s="2871"/>
      <c r="AA131" s="1529">
        <f>IF(AND(T131&lt;5,Tablas!G$303=0),-30,0)+T131+U131+V131+Z131+IF(I131="",0,40)+Bono_ATA+AD131+AF131</f>
        <v>-30</v>
      </c>
      <c r="AB131" s="3076">
        <f t="shared" si="35"/>
        <v>0</v>
      </c>
      <c r="AC131" s="1694"/>
      <c r="AD131" s="3090">
        <f>'Tablas psiquica'!AH65+'Tablas psiquica'!$AH$68</f>
        <v>0</v>
      </c>
      <c r="AE131" s="3008"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3070">
        <f>IF(AF$123,IF(OR(Region="",ClaseSocial="",Personalización!$AN$21),0,IF(OR(AND(AI131,AJ131),AND(NOT(AI131),NOT(AJ131))),LEFT(AG131,2)+LEFT(AH131,2),0)),0)</f>
        <v>0</v>
      </c>
      <c r="AG131" s="2701" t="e">
        <f>HLOOKUP(Region&amp;ClaseSocial,Tabla_RaicesCulturales,Tablas!F147,FALSE)</f>
        <v>#N/A</v>
      </c>
      <c r="AH131" s="3008">
        <f>IF(AND(E131="Historia",Personalización!$E$26="Historia (Local)"),20&amp;" "&amp;Personalización!$E$26,IF(OR(E131=Personalización!$E$25,E131=Personalización!$E$26),VLOOKUP(E131,Tablas!$L$136:$M$137,2,FALSE),0))</f>
        <v>0</v>
      </c>
      <c r="AI131" s="3008" t="b">
        <f t="shared" si="36"/>
        <v>0</v>
      </c>
      <c r="AJ131" s="3008" t="b">
        <f t="shared" si="37"/>
        <v>0</v>
      </c>
      <c r="AL131" s="1888" t="e">
        <f t="shared" si="38"/>
        <v>#N/A</v>
      </c>
      <c r="AN131" s="1888" t="e">
        <f t="shared" si="39"/>
        <v>#N/A</v>
      </c>
      <c r="AP131" s="1888" t="e">
        <f t="shared" si="40"/>
        <v>#N/A</v>
      </c>
      <c r="AR131" s="1888" t="e">
        <f t="shared" si="41"/>
        <v>#N/A</v>
      </c>
      <c r="AT131" s="1888" t="e">
        <f t="shared" si="42"/>
        <v>#N/A</v>
      </c>
    </row>
    <row r="132" spans="1:46" ht="12" customHeight="1" x14ac:dyDescent="0.2">
      <c r="A132" s="1869"/>
      <c r="B132" s="2145" t="str">
        <f t="shared" si="43"/>
        <v>Atléticas</v>
      </c>
      <c r="C132" s="3590"/>
      <c r="D132" s="3349"/>
      <c r="E132" s="3526" t="s">
        <v>7754</v>
      </c>
      <c r="F132" s="3527"/>
      <c r="G132" s="3527"/>
      <c r="H132" s="2080" t="s">
        <v>1687</v>
      </c>
      <c r="I132" s="1670"/>
      <c r="J132" s="184">
        <f>IF(ISNA(AL132),0,MAX(MIN(AL132-VLOOKUP("Apto en campo: "&amp;$B132,Tabla_Ventajas,3,FALSE)-Tablas!$O275-2*Tablas!$Q275-3*Tablas!$S275,3),1))</f>
        <v>0</v>
      </c>
      <c r="K132" s="1502"/>
      <c r="L132" s="184">
        <f>IF(ISNA(AN132),0,MAX(MIN(AN132-VLOOKUP("Apto en campo: "&amp;$B132,Tabla_Ventajas,3,FALSE)-Tablas!$O275-2*Tablas!$Q275-3*Tablas!$S275,3),1))</f>
        <v>0</v>
      </c>
      <c r="M132" s="1537"/>
      <c r="N132" s="1198">
        <f>IF(ISNA(AP132),0,MAX(MIN(AP132-VLOOKUP("Apto en campo: "&amp;$B132,Tabla_Ventajas,3,FALSE)-Tablas!$O275-2*Tablas!$Q275-3*Tablas!$S275,3),1))</f>
        <v>0</v>
      </c>
      <c r="O132" s="1502"/>
      <c r="P132" s="184">
        <f>IF(ISNA(AR132),0,MAX(MIN(AR132-VLOOKUP("Apto en campo: "&amp;$B132,Tabla_Ventajas,3,FALSE)-Tablas!$O275-2*Tablas!$Q275-3*Tablas!$S275,3),1))</f>
        <v>0</v>
      </c>
      <c r="Q132" s="1537"/>
      <c r="R132" s="1198">
        <f>IF(ISNA(AT132),0,MAX(MIN(AT132-VLOOKUP("Apto en campo: "&amp;$B132,Tabla_Ventajas,3,FALSE)-Tablas!$O275-2*Tablas!$Q275-3*Tablas!$S275,3),1))</f>
        <v>0</v>
      </c>
      <c r="S132" s="1502"/>
      <c r="T132" s="1510">
        <f t="shared" si="33"/>
        <v>0</v>
      </c>
      <c r="U132" s="1510">
        <f t="shared" si="34"/>
        <v>0</v>
      </c>
      <c r="V132" s="1510">
        <f>IF(ISNA(HLOOKUP($E132,Bonos_Cat_Base,2,FALSE)),0,HLOOKUP($E132,Bonos_Cat_Base,2,FALSE))+Tablas!$Z275*Nivel_Total+10*Y132</f>
        <v>0</v>
      </c>
      <c r="W132" s="1518"/>
      <c r="X132" s="1502"/>
      <c r="Y132" s="1537"/>
      <c r="Z132" s="2872"/>
      <c r="AA132" s="1530">
        <f>IF(AND(T132&lt;5,Tablas!G$303=0),-30,0)+T132+U132+V132+Z132+IF(I132="",0,40)+Bono_ATA+AD132+AF132</f>
        <v>-30</v>
      </c>
      <c r="AB132" s="3076">
        <f t="shared" si="35"/>
        <v>0</v>
      </c>
      <c r="AC132" s="1694"/>
      <c r="AD132" s="3090">
        <f>'Tablas psiquica'!$AH$68</f>
        <v>0</v>
      </c>
      <c r="AE132" s="3008"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3070">
        <f>IF(AF$123,IF(OR(Region="",ClaseSocial="",Personalización!$AN$21),0,IF(OR(AND(AI132,AJ132),AND(NOT(AI132),NOT(AJ132))),LEFT(AG132,2)+LEFT(AH132,2),0)),0)</f>
        <v>0</v>
      </c>
      <c r="AG132" s="2701" t="e">
        <f>HLOOKUP(Region&amp;ClaseSocial,Tabla_RaicesCulturales,Tablas!F148,FALSE)</f>
        <v>#N/A</v>
      </c>
      <c r="AH132" s="3008">
        <f>IF(AND(E132="Historia",Personalización!$E$26="Historia (Local)"),20&amp;" "&amp;Personalización!$E$26,IF(OR(E132=Personalización!$E$25,E132=Personalización!$E$26),VLOOKUP(E132,Tablas!$L$136:$M$137,2,FALSE),0))</f>
        <v>0</v>
      </c>
      <c r="AI132" s="3008" t="b">
        <f t="shared" si="36"/>
        <v>0</v>
      </c>
      <c r="AJ132" s="3008" t="b">
        <f t="shared" si="37"/>
        <v>0</v>
      </c>
      <c r="AL132" s="1888" t="e">
        <f t="shared" si="38"/>
        <v>#N/A</v>
      </c>
      <c r="AN132" s="1888" t="e">
        <f t="shared" si="39"/>
        <v>#N/A</v>
      </c>
      <c r="AP132" s="1888" t="e">
        <f t="shared" si="40"/>
        <v>#N/A</v>
      </c>
      <c r="AR132" s="1888" t="e">
        <f t="shared" si="41"/>
        <v>#N/A</v>
      </c>
      <c r="AT132" s="1888" t="e">
        <f t="shared" si="42"/>
        <v>#N/A</v>
      </c>
    </row>
    <row r="133" spans="1:46" ht="12" customHeight="1" x14ac:dyDescent="0.2">
      <c r="A133" s="1869"/>
      <c r="B133" s="2145" t="str">
        <f>D133</f>
        <v>Sociales</v>
      </c>
      <c r="C133" s="3590"/>
      <c r="D133" s="3524" t="s">
        <v>1732</v>
      </c>
      <c r="E133" s="3802" t="s">
        <v>1733</v>
      </c>
      <c r="F133" s="3803"/>
      <c r="G133" s="3803"/>
      <c r="H133" s="2081" t="s">
        <v>1700</v>
      </c>
      <c r="I133" s="2066"/>
      <c r="J133" s="1496">
        <f>IF(ISNA(AL133),0,MAX(MIN(AL133-VLOOKUP("Apto en campo: "&amp;$B133,Tabla_Ventajas,3,FALSE)-Tablas!$O276-2*Tablas!$Q276-3*Tablas!$S276,3),1))</f>
        <v>0</v>
      </c>
      <c r="K133" s="1506"/>
      <c r="L133" s="1496">
        <f>IF(ISNA(AN133),0,MAX(MIN(AN133-VLOOKUP("Apto en campo: "&amp;$B133,Tabla_Ventajas,3,FALSE)-Tablas!$O276-2*Tablas!$Q276-3*Tablas!$S276,3),1))</f>
        <v>0</v>
      </c>
      <c r="M133" s="1497"/>
      <c r="N133" s="1505">
        <f>IF(ISNA(AP133),0,MAX(MIN(AP133-VLOOKUP("Apto en campo: "&amp;$B133,Tabla_Ventajas,3,FALSE)-Tablas!$O276-2*Tablas!$Q276-3*Tablas!$S276,3),1))</f>
        <v>0</v>
      </c>
      <c r="O133" s="1506"/>
      <c r="P133" s="1496">
        <f>IF(ISNA(AR133),0,MAX(MIN(AR133-VLOOKUP("Apto en campo: "&amp;$B133,Tabla_Ventajas,3,FALSE)-Tablas!$O276-2*Tablas!$Q276-3*Tablas!$S276,3),1))</f>
        <v>0</v>
      </c>
      <c r="Q133" s="1497"/>
      <c r="R133" s="1505">
        <f>IF(ISNA(AT133),0,MAX(MIN(AT133-VLOOKUP("Apto en campo: "&amp;$B133,Tabla_Ventajas,3,FALSE)-Tablas!$O276-2*Tablas!$Q276-3*Tablas!$S276,3),1))</f>
        <v>0</v>
      </c>
      <c r="S133" s="1506"/>
      <c r="T133" s="1512">
        <f t="shared" si="33"/>
        <v>0</v>
      </c>
      <c r="U133" s="1512">
        <f t="shared" si="34"/>
        <v>0</v>
      </c>
      <c r="V133" s="1512">
        <f>IF(ISNA(HLOOKUP($E133,Bonos_Cat_Base,2,FALSE)),0,HLOOKUP($E133,Bonos_Cat_Base,2,FALSE))+Tablas!$Z276*Nivel_Total+10*Y133</f>
        <v>0</v>
      </c>
      <c r="W133" s="1520"/>
      <c r="X133" s="1506"/>
      <c r="Y133" s="1497"/>
      <c r="Z133" s="2873"/>
      <c r="AA133" s="1532">
        <f>IF(AND(T133&lt;5,Tablas!G$303=0),-30,0)+T133+U133+V133+Z133+IF(I133="",0,40)+Bono_ATA-Combate!U16+AD133+AF133</f>
        <v>-30</v>
      </c>
      <c r="AB133" s="3076">
        <f t="shared" si="35"/>
        <v>0</v>
      </c>
      <c r="AC133" s="1694"/>
      <c r="AD133" s="2701">
        <f>Tablas!$K$1833</f>
        <v>0</v>
      </c>
      <c r="AE133" s="3008"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3070">
        <f>IF(AF$123,IF(OR(Region="",ClaseSocial="",Personalización!$AN$21),0,IF(OR(AND(AI133,AJ133),AND(NOT(AI133),NOT(AJ133))),LEFT(AG133,2)+LEFT(AH133,2),0)),0)</f>
        <v>0</v>
      </c>
      <c r="AG133" s="2701" t="e">
        <f>HLOOKUP(Region&amp;ClaseSocial,Tabla_RaicesCulturales,Tablas!F149,FALSE)</f>
        <v>#N/A</v>
      </c>
      <c r="AH133" s="3008">
        <f>IF(AND(E133="Historia",Personalización!$E$26="Historia (Local)"),20&amp;" "&amp;Personalización!$E$26,IF(OR(E133=Personalización!$E$25,E133=Personalización!$E$26),VLOOKUP(E133,Tablas!$L$136:$M$137,2,FALSE),0))</f>
        <v>0</v>
      </c>
      <c r="AI133" s="3008" t="b">
        <f t="shared" si="36"/>
        <v>0</v>
      </c>
      <c r="AJ133" s="3008" t="b">
        <f t="shared" si="37"/>
        <v>0</v>
      </c>
      <c r="AL133" s="1888" t="e">
        <f t="shared" si="38"/>
        <v>#N/A</v>
      </c>
      <c r="AN133" s="1888" t="e">
        <f t="shared" si="39"/>
        <v>#N/A</v>
      </c>
      <c r="AP133" s="1888" t="e">
        <f t="shared" si="40"/>
        <v>#N/A</v>
      </c>
      <c r="AR133" s="1888" t="e">
        <f t="shared" si="41"/>
        <v>#N/A</v>
      </c>
      <c r="AT133" s="1888" t="e">
        <f t="shared" si="42"/>
        <v>#N/A</v>
      </c>
    </row>
    <row r="134" spans="1:46" ht="12" customHeight="1" x14ac:dyDescent="0.2">
      <c r="A134" s="1869"/>
      <c r="B134" s="2145" t="str">
        <f>B133</f>
        <v>Sociales</v>
      </c>
      <c r="C134" s="3590"/>
      <c r="D134" s="3349"/>
      <c r="E134" s="3526" t="s">
        <v>1735</v>
      </c>
      <c r="F134" s="3527"/>
      <c r="G134" s="3527"/>
      <c r="H134" s="2080" t="s">
        <v>1701</v>
      </c>
      <c r="I134" s="2065"/>
      <c r="J134" s="184">
        <f>IF(ISNA(AL134),0,MAX(MIN(AL134-VLOOKUP("Apto en campo: "&amp;$B134,Tabla_Ventajas,3,FALSE)-Tablas!$O277-2*Tablas!$Q277-3*Tablas!$S277,3),1))</f>
        <v>0</v>
      </c>
      <c r="K134" s="1502"/>
      <c r="L134" s="184">
        <f>IF(ISNA(AN134),0,MAX(MIN(AN134-VLOOKUP("Apto en campo: "&amp;$B134,Tabla_Ventajas,3,FALSE)-Tablas!$O277-2*Tablas!$Q277-3*Tablas!$S277,3),1))</f>
        <v>0</v>
      </c>
      <c r="M134" s="1537"/>
      <c r="N134" s="1198">
        <f>IF(ISNA(AP134),0,MAX(MIN(AP134-VLOOKUP("Apto en campo: "&amp;$B134,Tabla_Ventajas,3,FALSE)-Tablas!$O277-2*Tablas!$Q277-3*Tablas!$S277,3),1))</f>
        <v>0</v>
      </c>
      <c r="O134" s="1502"/>
      <c r="P134" s="184">
        <f>IF(ISNA(AR134),0,MAX(MIN(AR134-VLOOKUP("Apto en campo: "&amp;$B134,Tabla_Ventajas,3,FALSE)-Tablas!$O277-2*Tablas!$Q277-3*Tablas!$S277,3),1))</f>
        <v>0</v>
      </c>
      <c r="Q134" s="1537"/>
      <c r="R134" s="1198">
        <f>IF(ISNA(AT134),0,MAX(MIN(AT134-VLOOKUP("Apto en campo: "&amp;$B134,Tabla_Ventajas,3,FALSE)-Tablas!$O277-2*Tablas!$Q277-3*Tablas!$S277,3),1))</f>
        <v>0</v>
      </c>
      <c r="S134" s="1502"/>
      <c r="T134" s="1510">
        <f t="shared" si="33"/>
        <v>0</v>
      </c>
      <c r="U134" s="1510">
        <f t="shared" si="34"/>
        <v>0</v>
      </c>
      <c r="V134" s="1510">
        <f>IF(ISNA(HLOOKUP($E134,Bonos_Cat_Base,2,FALSE)),0,HLOOKUP($E134,Bonos_Cat_Base,2,FALSE))+Tablas!$Z277*Nivel_Total+10*Y134</f>
        <v>0</v>
      </c>
      <c r="W134" s="1518"/>
      <c r="X134" s="1502"/>
      <c r="Y134" s="1537"/>
      <c r="Z134" s="2872"/>
      <c r="AA134" s="1530">
        <f>IF(AND(T134&lt;5,Tablas!G$303=0),-30,0)+T134+U134+V134+Z134+IF(I134="",0,40)+Bono_ATA-Combate!U16+AD134+AF134</f>
        <v>-30</v>
      </c>
      <c r="AB134" s="3076">
        <f t="shared" si="35"/>
        <v>0</v>
      </c>
      <c r="AC134" s="1694"/>
      <c r="AD134" s="2701">
        <f>Tablas!$K$1797</f>
        <v>0</v>
      </c>
      <c r="AE134" s="3008"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3070">
        <f>IF(AF$123,IF(OR(Region="",ClaseSocial="",Personalización!$AN$21),0,IF(OR(AND(AI134,AJ134),AND(NOT(AI134),NOT(AJ134))),LEFT(AG134,2)+LEFT(AH134,2),0)),0)</f>
        <v>0</v>
      </c>
      <c r="AG134" s="2701" t="e">
        <f>HLOOKUP(Region&amp;ClaseSocial,Tabla_RaicesCulturales,Tablas!F150,FALSE)</f>
        <v>#N/A</v>
      </c>
      <c r="AH134" s="3008">
        <f>IF(AND(E134="Historia",Personalización!$E$26="Historia (Local)"),20&amp;" "&amp;Personalización!$E$26,IF(OR(E134=Personalización!$E$25,E134=Personalización!$E$26),VLOOKUP(E134,Tablas!$L$136:$M$137,2,FALSE),0))</f>
        <v>0</v>
      </c>
      <c r="AI134" s="3008" t="b">
        <f t="shared" si="36"/>
        <v>0</v>
      </c>
      <c r="AJ134" s="3008" t="b">
        <f t="shared" si="37"/>
        <v>0</v>
      </c>
      <c r="AL134" s="1888" t="e">
        <f t="shared" si="38"/>
        <v>#N/A</v>
      </c>
      <c r="AN134" s="1888" t="e">
        <f t="shared" si="39"/>
        <v>#N/A</v>
      </c>
      <c r="AP134" s="1888" t="e">
        <f t="shared" si="40"/>
        <v>#N/A</v>
      </c>
      <c r="AR134" s="1888" t="e">
        <f t="shared" si="41"/>
        <v>#N/A</v>
      </c>
      <c r="AT134" s="1888" t="e">
        <f t="shared" si="42"/>
        <v>#N/A</v>
      </c>
    </row>
    <row r="135" spans="1:46" ht="12" customHeight="1" x14ac:dyDescent="0.2">
      <c r="A135" s="1869"/>
      <c r="B135" s="2145" t="str">
        <f t="shared" ref="B135:B139" si="44">B134</f>
        <v>Sociales</v>
      </c>
      <c r="C135" s="3590"/>
      <c r="D135" s="3349"/>
      <c r="E135" s="3528" t="s">
        <v>1738</v>
      </c>
      <c r="F135" s="3529"/>
      <c r="G135" s="3529"/>
      <c r="H135" s="2079" t="s">
        <v>1700</v>
      </c>
      <c r="I135" s="2064"/>
      <c r="J135" s="183">
        <f>IF(ISNA(AL135),0,MAX(MIN(AL135-VLOOKUP("Apto en campo: "&amp;$B135,Tabla_Ventajas,3,FALSE)-Tablas!$O278-2*Tablas!$Q278-3*Tablas!$S278,3),1))</f>
        <v>0</v>
      </c>
      <c r="K135" s="1501"/>
      <c r="L135" s="183">
        <f>IF(ISNA(AN135),0,MAX(MIN(AN135-VLOOKUP("Apto en campo: "&amp;$B135,Tabla_Ventajas,3,FALSE)-Tablas!$O278-2*Tablas!$Q278-3*Tablas!$S278,3),1))</f>
        <v>0</v>
      </c>
      <c r="M135" s="169"/>
      <c r="N135" s="1197">
        <f>IF(ISNA(AP135),0,MAX(MIN(AP135-VLOOKUP("Apto en campo: "&amp;$B135,Tabla_Ventajas,3,FALSE)-Tablas!$O278-2*Tablas!$Q278-3*Tablas!$S278,3),1))</f>
        <v>0</v>
      </c>
      <c r="O135" s="1501"/>
      <c r="P135" s="183">
        <f>IF(ISNA(AR135),0,MAX(MIN(AR135-VLOOKUP("Apto en campo: "&amp;$B135,Tabla_Ventajas,3,FALSE)-Tablas!$O278-2*Tablas!$Q278-3*Tablas!$S278,3),1))</f>
        <v>0</v>
      </c>
      <c r="Q135" s="169"/>
      <c r="R135" s="1197">
        <f>IF(ISNA(AT135),0,MAX(MIN(AT135-VLOOKUP("Apto en campo: "&amp;$B135,Tabla_Ventajas,3,FALSE)-Tablas!$O278-2*Tablas!$Q278-3*Tablas!$S278,3),1))</f>
        <v>0</v>
      </c>
      <c r="S135" s="1501"/>
      <c r="T135" s="1509">
        <f t="shared" si="33"/>
        <v>0</v>
      </c>
      <c r="U135" s="1509">
        <f t="shared" si="34"/>
        <v>0</v>
      </c>
      <c r="V135" s="1509">
        <f>IF(ISNA(HLOOKUP($E135,Bonos_Cat_Base,2,FALSE)),0,HLOOKUP($E135,Bonos_Cat_Base,2,FALSE))+Tablas!$Z278*Nivel_Total+10*Y135</f>
        <v>0</v>
      </c>
      <c r="W135" s="1517"/>
      <c r="X135" s="1501"/>
      <c r="Y135" s="169"/>
      <c r="Z135" s="2871"/>
      <c r="AA135" s="1529">
        <f>IF(AND(T135&lt;5,Tablas!G$303=0),-30,0)+T135+U135+V135+Z135+IF(I135="",0,40)+Bono_ATA-Combate!U16+AD135+AF135</f>
        <v>-30</v>
      </c>
      <c r="AB135" s="3076">
        <f t="shared" si="35"/>
        <v>0</v>
      </c>
      <c r="AC135" s="1694"/>
      <c r="AD135" s="2701">
        <f>Tablas!$K$1742+Tablas!$K$1808</f>
        <v>0</v>
      </c>
      <c r="AE135" s="3008"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3070">
        <f>IF(AF$123,IF(OR(Region="",ClaseSocial="",Personalización!$AN$21),0,IF(OR(AND(AI135,AJ135),AND(NOT(AI135),NOT(AJ135))),LEFT(AG135,2)+LEFT(AH135,2),0)),0)</f>
        <v>0</v>
      </c>
      <c r="AG135" s="2701" t="e">
        <f>HLOOKUP(Region&amp;ClaseSocial,Tabla_RaicesCulturales,Tablas!F151,FALSE)</f>
        <v>#N/A</v>
      </c>
      <c r="AH135" s="3008">
        <f>IF(AND(E135="Historia",Personalización!$E$26="Historia (Local)"),20&amp;" "&amp;Personalización!$E$26,IF(OR(E135=Personalización!$E$25,E135=Personalización!$E$26),VLOOKUP(E135,Tablas!$L$136:$M$137,2,FALSE),0))</f>
        <v>0</v>
      </c>
      <c r="AI135" s="3008" t="b">
        <f t="shared" si="36"/>
        <v>0</v>
      </c>
      <c r="AJ135" s="3008" t="b">
        <f t="shared" si="37"/>
        <v>0</v>
      </c>
      <c r="AL135" s="1888" t="e">
        <f t="shared" si="38"/>
        <v>#N/A</v>
      </c>
      <c r="AN135" s="1888" t="e">
        <f t="shared" si="39"/>
        <v>#N/A</v>
      </c>
      <c r="AP135" s="1888" t="e">
        <f t="shared" si="40"/>
        <v>#N/A</v>
      </c>
      <c r="AR135" s="1888" t="e">
        <f t="shared" si="41"/>
        <v>#N/A</v>
      </c>
      <c r="AT135" s="1888" t="e">
        <f t="shared" si="42"/>
        <v>#N/A</v>
      </c>
    </row>
    <row r="136" spans="1:46" ht="12" customHeight="1" x14ac:dyDescent="0.2">
      <c r="A136" s="1869"/>
      <c r="B136" s="2145" t="str">
        <f t="shared" si="44"/>
        <v>Sociales</v>
      </c>
      <c r="C136" s="3590"/>
      <c r="D136" s="3349"/>
      <c r="E136" s="3526" t="s">
        <v>1740</v>
      </c>
      <c r="F136" s="3527"/>
      <c r="G136" s="3527"/>
      <c r="H136" s="2080" t="s">
        <v>1695</v>
      </c>
      <c r="I136" s="2065"/>
      <c r="J136" s="184">
        <f>IF(ISNA(AL136),0,MAX(MIN(AL136-VLOOKUP("Apto en campo: "&amp;$B136,Tabla_Ventajas,3,FALSE)-Tablas!$O279-2*Tablas!$Q279-3*Tablas!$S279,3),1))</f>
        <v>0</v>
      </c>
      <c r="K136" s="1502"/>
      <c r="L136" s="184">
        <f>IF(ISNA(AN136),0,MAX(MIN(AN136-VLOOKUP("Apto en campo: "&amp;$B136,Tabla_Ventajas,3,FALSE)-Tablas!$O279-2*Tablas!$Q279-3*Tablas!$S279,3),1))</f>
        <v>0</v>
      </c>
      <c r="M136" s="1537"/>
      <c r="N136" s="1198">
        <f>IF(ISNA(AP136),0,MAX(MIN(AP136-VLOOKUP("Apto en campo: "&amp;$B136,Tabla_Ventajas,3,FALSE)-Tablas!$O279-2*Tablas!$Q279-3*Tablas!$S279,3),1))</f>
        <v>0</v>
      </c>
      <c r="O136" s="1502"/>
      <c r="P136" s="184">
        <f>IF(ISNA(AR136),0,MAX(MIN(AR136-VLOOKUP("Apto en campo: "&amp;$B136,Tabla_Ventajas,3,FALSE)-Tablas!$O279-2*Tablas!$Q279-3*Tablas!$S279,3),1))</f>
        <v>0</v>
      </c>
      <c r="Q136" s="1537"/>
      <c r="R136" s="1198">
        <f>IF(ISNA(AT136),0,MAX(MIN(AT136-VLOOKUP("Apto en campo: "&amp;$B136,Tabla_Ventajas,3,FALSE)-Tablas!$O279-2*Tablas!$Q279-3*Tablas!$S279,3),1))</f>
        <v>0</v>
      </c>
      <c r="S136" s="1502"/>
      <c r="T136" s="1510">
        <f t="shared" si="33"/>
        <v>0</v>
      </c>
      <c r="U136" s="1510">
        <f t="shared" si="34"/>
        <v>0</v>
      </c>
      <c r="V136" s="1510">
        <f>IF(ISNA(HLOOKUP($E136,Bonos_Cat_Base,2,FALSE)),0,HLOOKUP($E136,Bonos_Cat_Base,2,FALSE))+Tablas!$Z279*Nivel_Total+10*Y136</f>
        <v>0</v>
      </c>
      <c r="W136" s="1518"/>
      <c r="X136" s="1502"/>
      <c r="Y136" s="1537"/>
      <c r="Z136" s="2872"/>
      <c r="AA136" s="1530">
        <f>IF(AND(T136&lt;5,Tablas!G$303=0),-30,0)+T136+U136+V136+Z136+IF(I136="",0,40)+Bono_ATA-Combate!U16+AD136+AF136</f>
        <v>-30</v>
      </c>
      <c r="AB136" s="3076">
        <f t="shared" si="35"/>
        <v>0</v>
      </c>
      <c r="AC136" s="1694"/>
      <c r="AD136" s="2701">
        <f>Tablas!$K$1742</f>
        <v>0</v>
      </c>
      <c r="AE136" s="3008"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3070">
        <f>IF(AF$123,IF(OR(Region="",ClaseSocial="",Personalización!$AN$21),0,IF(OR(AND(AI136,AJ136),AND(NOT(AI136),NOT(AJ136))),LEFT(AG136,2)+LEFT(AH136,2),0)),0)</f>
        <v>0</v>
      </c>
      <c r="AG136" s="2701" t="e">
        <f>HLOOKUP(Region&amp;ClaseSocial,Tabla_RaicesCulturales,Tablas!F152,FALSE)</f>
        <v>#N/A</v>
      </c>
      <c r="AH136" s="3008">
        <f>IF(AND(E136="Historia",Personalización!$E$26="Historia (Local)"),20&amp;" "&amp;Personalización!$E$26,IF(OR(E136=Personalización!$E$25,E136=Personalización!$E$26),VLOOKUP(E136,Tablas!$L$136:$M$137,2,FALSE),0))</f>
        <v>0</v>
      </c>
      <c r="AI136" s="3008" t="b">
        <f t="shared" si="36"/>
        <v>0</v>
      </c>
      <c r="AJ136" s="3008" t="b">
        <f t="shared" si="37"/>
        <v>0</v>
      </c>
      <c r="AL136" s="1888" t="e">
        <f t="shared" si="38"/>
        <v>#N/A</v>
      </c>
      <c r="AN136" s="1888" t="e">
        <f t="shared" si="39"/>
        <v>#N/A</v>
      </c>
      <c r="AP136" s="1888" t="e">
        <f t="shared" si="40"/>
        <v>#N/A</v>
      </c>
      <c r="AR136" s="1888" t="e">
        <f t="shared" si="41"/>
        <v>#N/A</v>
      </c>
      <c r="AT136" s="1888" t="e">
        <f t="shared" si="42"/>
        <v>#N/A</v>
      </c>
    </row>
    <row r="137" spans="1:46" ht="12" customHeight="1" x14ac:dyDescent="0.2">
      <c r="A137" s="1869"/>
      <c r="B137" s="2145" t="str">
        <f t="shared" si="44"/>
        <v>Sociales</v>
      </c>
      <c r="C137" s="3590"/>
      <c r="D137" s="3349"/>
      <c r="E137" s="3528" t="s">
        <v>1085</v>
      </c>
      <c r="F137" s="3529"/>
      <c r="G137" s="3529"/>
      <c r="H137" s="2079" t="s">
        <v>1695</v>
      </c>
      <c r="I137" s="1669"/>
      <c r="J137" s="183">
        <f>IF(ISNA(AL137),0,MAX(MIN(AL137-VLOOKUP("Apto en campo: "&amp;$B137,Tabla_Ventajas,3,FALSE)-Tablas!$O280-2*Tablas!$Q280-3*Tablas!$S280,3),1))</f>
        <v>0</v>
      </c>
      <c r="K137" s="1501"/>
      <c r="L137" s="183">
        <f>IF(ISNA(AN137),0,MAX(MIN(AN137-VLOOKUP("Apto en campo: "&amp;$B137,Tabla_Ventajas,3,FALSE)-Tablas!$O280-2*Tablas!$Q280-3*Tablas!$S280,3),1))</f>
        <v>0</v>
      </c>
      <c r="M137" s="169"/>
      <c r="N137" s="1197">
        <f>IF(ISNA(AP137),0,MAX(MIN(AP137-VLOOKUP("Apto en campo: "&amp;$B137,Tabla_Ventajas,3,FALSE)-Tablas!$O280-2*Tablas!$Q280-3*Tablas!$S280,3),1))</f>
        <v>0</v>
      </c>
      <c r="O137" s="1501"/>
      <c r="P137" s="183">
        <f>IF(ISNA(AR137),0,MAX(MIN(AR137-VLOOKUP("Apto en campo: "&amp;$B137,Tabla_Ventajas,3,FALSE)-Tablas!$O280-2*Tablas!$Q280-3*Tablas!$S280,3),1))</f>
        <v>0</v>
      </c>
      <c r="Q137" s="169"/>
      <c r="R137" s="1197">
        <f>IF(ISNA(AT137),0,MAX(MIN(AT137-VLOOKUP("Apto en campo: "&amp;$B137,Tabla_Ventajas,3,FALSE)-Tablas!$O280-2*Tablas!$Q280-3*Tablas!$S280,3),1))</f>
        <v>0</v>
      </c>
      <c r="S137" s="1501"/>
      <c r="T137" s="1509">
        <f t="shared" si="33"/>
        <v>0</v>
      </c>
      <c r="U137" s="1509">
        <f t="shared" si="34"/>
        <v>0</v>
      </c>
      <c r="V137" s="1509">
        <f>IF(ISNA(HLOOKUP($E137,Bonos_Cat_Base,2,FALSE)),0,HLOOKUP($E137,Bonos_Cat_Base,2,FALSE))+Tablas!$Z280*Nivel_Total+10*Y137</f>
        <v>0</v>
      </c>
      <c r="W137" s="1517"/>
      <c r="X137" s="1501"/>
      <c r="Y137" s="169"/>
      <c r="Z137" s="2871"/>
      <c r="AA137" s="1529">
        <f>IF(AND(T137&lt;5,Tablas!G$303=0),-30,0)+T137+U137+V137+Z137+IF(I137="",0,40)+Bono_ATA-Combate!U16+AD137+AF137</f>
        <v>-30</v>
      </c>
      <c r="AB137" s="3076">
        <f t="shared" si="35"/>
        <v>0</v>
      </c>
      <c r="AC137" s="1694"/>
      <c r="AE137" s="3008"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3070">
        <f>IF(AF$123,IF(OR(Region="",ClaseSocial="",Personalización!$AN$21),0,IF(OR(AND(AI137,AJ137),AND(NOT(AI137),NOT(AJ137))),LEFT(AG137,2)+LEFT(AH137,2),0)),0)</f>
        <v>0</v>
      </c>
      <c r="AG137" s="2701" t="e">
        <f>HLOOKUP(Region&amp;ClaseSocial,Tabla_RaicesCulturales,Tablas!F153,FALSE)</f>
        <v>#N/A</v>
      </c>
      <c r="AH137" s="3008">
        <f>IF(AND(E137="Historia",Personalización!$E$26="Historia (Local)"),20&amp;" "&amp;Personalización!$E$26,IF(OR(E137=Personalización!$E$25,E137=Personalización!$E$26),VLOOKUP(E137,Tablas!$L$136:$M$137,2,FALSE),0))</f>
        <v>0</v>
      </c>
      <c r="AI137" s="3008" t="b">
        <f t="shared" si="36"/>
        <v>0</v>
      </c>
      <c r="AJ137" s="3008" t="b">
        <f t="shared" si="37"/>
        <v>0</v>
      </c>
      <c r="AL137" s="1888" t="e">
        <f t="shared" si="38"/>
        <v>#N/A</v>
      </c>
      <c r="AN137" s="1888" t="e">
        <f t="shared" si="39"/>
        <v>#N/A</v>
      </c>
      <c r="AP137" s="1888" t="e">
        <f t="shared" si="40"/>
        <v>#N/A</v>
      </c>
      <c r="AR137" s="1888" t="e">
        <f t="shared" si="41"/>
        <v>#N/A</v>
      </c>
      <c r="AT137" s="1888" t="e">
        <f t="shared" si="42"/>
        <v>#N/A</v>
      </c>
    </row>
    <row r="138" spans="1:46" ht="12" customHeight="1" x14ac:dyDescent="0.2">
      <c r="A138" s="1869"/>
      <c r="B138" s="2145" t="str">
        <f t="shared" si="44"/>
        <v>Sociales</v>
      </c>
      <c r="C138" s="3590"/>
      <c r="D138" s="3349"/>
      <c r="E138" s="3526" t="s">
        <v>1086</v>
      </c>
      <c r="F138" s="3527"/>
      <c r="G138" s="3527"/>
      <c r="H138" s="2080" t="s">
        <v>1695</v>
      </c>
      <c r="I138" s="2065"/>
      <c r="J138" s="184">
        <f>IF(ISNA(AL138),0,MAX(MIN(AL138-VLOOKUP("Apto en campo: "&amp;$B138,Tabla_Ventajas,3,FALSE)-Tablas!$O281-2*Tablas!$Q281-3*Tablas!$S281,3),1))</f>
        <v>0</v>
      </c>
      <c r="K138" s="1502"/>
      <c r="L138" s="184">
        <f>IF(ISNA(AN138),0,MAX(MIN(AN138-VLOOKUP("Apto en campo: "&amp;$B138,Tabla_Ventajas,3,FALSE)-Tablas!$O281-2*Tablas!$Q281-3*Tablas!$S281,3),1))</f>
        <v>0</v>
      </c>
      <c r="M138" s="1537"/>
      <c r="N138" s="1198">
        <f>IF(ISNA(AP138),0,MAX(MIN(AP138-VLOOKUP("Apto en campo: "&amp;$B138,Tabla_Ventajas,3,FALSE)-Tablas!$O281-2*Tablas!$Q281-3*Tablas!$S281,3),1))</f>
        <v>0</v>
      </c>
      <c r="O138" s="1502"/>
      <c r="P138" s="184">
        <f>IF(ISNA(AR138),0,MAX(MIN(AR138-VLOOKUP("Apto en campo: "&amp;$B138,Tabla_Ventajas,3,FALSE)-Tablas!$O281-2*Tablas!$Q281-3*Tablas!$S281,3),1))</f>
        <v>0</v>
      </c>
      <c r="Q138" s="1537"/>
      <c r="R138" s="1198">
        <f>IF(ISNA(AT138),0,MAX(MIN(AT138-VLOOKUP("Apto en campo: "&amp;$B138,Tabla_Ventajas,3,FALSE)-Tablas!$O281-2*Tablas!$Q281-3*Tablas!$S281,3),1))</f>
        <v>0</v>
      </c>
      <c r="S138" s="1502"/>
      <c r="T138" s="1510">
        <f t="shared" si="33"/>
        <v>0</v>
      </c>
      <c r="U138" s="1510">
        <f t="shared" si="34"/>
        <v>0</v>
      </c>
      <c r="V138" s="1510">
        <f>IF(ISNA(HLOOKUP($E138,Bonos_Cat_Base,2,FALSE)),0,HLOOKUP($E138,Bonos_Cat_Base,2,FALSE))+Tablas!$Z281*Nivel_Total+10*Y138</f>
        <v>0</v>
      </c>
      <c r="W138" s="1518"/>
      <c r="X138" s="1502"/>
      <c r="Y138" s="1537"/>
      <c r="Z138" s="2872"/>
      <c r="AA138" s="1530">
        <f>IF(AND(T138&lt;5,Tablas!G$303=0),-30,0)+T138+U138+V138+Z138+IF(I138="",0,40)+Bono_ATA-Combate!U16+AD138+AF138</f>
        <v>-30</v>
      </c>
      <c r="AB138" s="3076">
        <f t="shared" si="35"/>
        <v>0</v>
      </c>
      <c r="AC138" s="1694"/>
      <c r="AE138" s="3008"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3070">
        <f>IF(AF$123,IF(OR(Region="",ClaseSocial="",Personalización!$AN$21),0,IF(OR(AND(AI138,AJ138),AND(NOT(AI138),NOT(AJ138))),LEFT(AG138,2)+LEFT(AH138,2),0)),0)</f>
        <v>0</v>
      </c>
      <c r="AG138" s="2701" t="e">
        <f>HLOOKUP(Region&amp;ClaseSocial,Tabla_RaicesCulturales,Tablas!F154,FALSE)</f>
        <v>#N/A</v>
      </c>
      <c r="AH138" s="3008">
        <f>IF(AND(E138="Historia",Personalización!$E$26="Historia (Local)"),20&amp;" "&amp;Personalización!$E$26,IF(OR(E138=Personalización!$E$25,E138=Personalización!$E$26),VLOOKUP(E138,Tablas!$L$136:$M$137,2,FALSE),0))</f>
        <v>0</v>
      </c>
      <c r="AI138" s="3008" t="b">
        <f t="shared" si="36"/>
        <v>0</v>
      </c>
      <c r="AJ138" s="3008" t="b">
        <f t="shared" si="37"/>
        <v>0</v>
      </c>
      <c r="AL138" s="1888" t="e">
        <f t="shared" si="38"/>
        <v>#N/A</v>
      </c>
      <c r="AN138" s="1888" t="e">
        <f t="shared" si="39"/>
        <v>#N/A</v>
      </c>
      <c r="AP138" s="1888" t="e">
        <f t="shared" si="40"/>
        <v>#N/A</v>
      </c>
      <c r="AR138" s="1888" t="e">
        <f t="shared" si="41"/>
        <v>#N/A</v>
      </c>
      <c r="AT138" s="1888" t="e">
        <f t="shared" si="42"/>
        <v>#N/A</v>
      </c>
    </row>
    <row r="139" spans="1:46" ht="12" customHeight="1" x14ac:dyDescent="0.2">
      <c r="A139" s="1869"/>
      <c r="B139" s="2145" t="str">
        <f t="shared" si="44"/>
        <v>Sociales</v>
      </c>
      <c r="C139" s="3590"/>
      <c r="D139" s="3350"/>
      <c r="E139" s="3530" t="s">
        <v>1087</v>
      </c>
      <c r="F139" s="3531"/>
      <c r="G139" s="3531"/>
      <c r="H139" s="2082" t="s">
        <v>1695</v>
      </c>
      <c r="I139" s="2067"/>
      <c r="J139" s="1201">
        <f>IF(ISNA(AL139),0,MAX(MIN(AL139-VLOOKUP("Apto en campo: "&amp;$B139,Tabla_Ventajas,3,FALSE)-Tablas!$O282-2*Tablas!$Q282-3*Tablas!$S282,3),1))</f>
        <v>0</v>
      </c>
      <c r="K139" s="1507"/>
      <c r="L139" s="1201">
        <f>IF(ISNA(AN139),0,MAX(MIN(AN139-VLOOKUP("Apto en campo: "&amp;$B139,Tabla_Ventajas,3,FALSE)-Tablas!$O282-2*Tablas!$Q282-3*Tablas!$S282,3),1))</f>
        <v>0</v>
      </c>
      <c r="M139" s="1498"/>
      <c r="N139" s="1199">
        <f>IF(ISNA(AP139),0,MAX(MIN(AP139-VLOOKUP("Apto en campo: "&amp;$B139,Tabla_Ventajas,3,FALSE)-Tablas!$O282-2*Tablas!$Q282-3*Tablas!$S282,3),1))</f>
        <v>0</v>
      </c>
      <c r="O139" s="1507"/>
      <c r="P139" s="1201">
        <f>IF(ISNA(AR139),0,MAX(MIN(AR139-VLOOKUP("Apto en campo: "&amp;$B139,Tabla_Ventajas,3,FALSE)-Tablas!$O282-2*Tablas!$Q282-3*Tablas!$S282,3),1))</f>
        <v>0</v>
      </c>
      <c r="Q139" s="1498"/>
      <c r="R139" s="1199">
        <f>IF(ISNA(AT139),0,MAX(MIN(AT139-VLOOKUP("Apto en campo: "&amp;$B139,Tabla_Ventajas,3,FALSE)-Tablas!$O282-2*Tablas!$Q282-3*Tablas!$S282,3),1))</f>
        <v>0</v>
      </c>
      <c r="S139" s="1507"/>
      <c r="T139" s="1513">
        <f t="shared" si="33"/>
        <v>0</v>
      </c>
      <c r="U139" s="1513">
        <f t="shared" si="34"/>
        <v>0</v>
      </c>
      <c r="V139" s="1513">
        <f>IF(ISNA(HLOOKUP($E139,Bonos_Cat_Base,2,FALSE)),0,HLOOKUP($E139,Bonos_Cat_Base,2,FALSE))+Tablas!$Z282*Nivel_Total+10*Y139</f>
        <v>0</v>
      </c>
      <c r="W139" s="1521"/>
      <c r="X139" s="1507"/>
      <c r="Y139" s="1498"/>
      <c r="Z139" s="2874"/>
      <c r="AA139" s="1533">
        <f>IF(AND(T139&lt;5,Tablas!G$303=0),-30,0)+T139+U139+V139+Z139+IF(I139="",0,40)+Bono_ATA-Combate!U16+AD139+AF139</f>
        <v>-30</v>
      </c>
      <c r="AB139" s="3076">
        <f t="shared" si="35"/>
        <v>0</v>
      </c>
      <c r="AC139" s="1694"/>
      <c r="AE139" s="3008"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3070">
        <f>IF(AF$123,IF(OR(Region="",ClaseSocial="",Personalización!$AN$21),0,IF(OR(AND(AI139,AJ139),AND(NOT(AI139),NOT(AJ139))),LEFT(AG139,2)+LEFT(AH139,2),0)),0)</f>
        <v>0</v>
      </c>
      <c r="AG139" s="2701" t="e">
        <f>HLOOKUP(Region&amp;ClaseSocial,Tabla_RaicesCulturales,Tablas!F155,FALSE)</f>
        <v>#N/A</v>
      </c>
      <c r="AH139" s="3008">
        <f>IF(AND(E139="Historia",Personalización!$E$26="Historia (Local)"),20&amp;" "&amp;Personalización!$E$26,IF(OR(E139=Personalización!$E$25,E139=Personalización!$E$26),VLOOKUP(E139,Tablas!$L$136:$M$137,2,FALSE),0))</f>
        <v>0</v>
      </c>
      <c r="AI139" s="3008" t="b">
        <f t="shared" si="36"/>
        <v>0</v>
      </c>
      <c r="AJ139" s="3008" t="b">
        <f t="shared" si="37"/>
        <v>0</v>
      </c>
      <c r="AL139" s="1888" t="e">
        <f t="shared" si="38"/>
        <v>#N/A</v>
      </c>
      <c r="AN139" s="1888" t="e">
        <f t="shared" si="39"/>
        <v>#N/A</v>
      </c>
      <c r="AP139" s="1888" t="e">
        <f t="shared" si="40"/>
        <v>#N/A</v>
      </c>
      <c r="AR139" s="1888" t="e">
        <f t="shared" si="41"/>
        <v>#N/A</v>
      </c>
      <c r="AT139" s="1888" t="e">
        <f t="shared" si="42"/>
        <v>#N/A</v>
      </c>
    </row>
    <row r="140" spans="1:46" ht="12" customHeight="1" x14ac:dyDescent="0.2">
      <c r="A140" s="1869"/>
      <c r="B140" s="2145" t="str">
        <f>"Perceptivas"</f>
        <v>Perceptivas</v>
      </c>
      <c r="C140" s="3590"/>
      <c r="D140" s="3349" t="s">
        <v>8695</v>
      </c>
      <c r="E140" s="3526" t="s">
        <v>1742</v>
      </c>
      <c r="F140" s="3527"/>
      <c r="G140" s="3527"/>
      <c r="H140" s="2080" t="s">
        <v>1698</v>
      </c>
      <c r="I140" s="2065"/>
      <c r="J140" s="184">
        <f>IF(ISNA(AL140),0,MAX(MIN(AL140-VLOOKUP("Apto en campo: "&amp;$B140,Tabla_Ventajas,3,FALSE)-Tablas!$O283-2*Tablas!$Q283-3*Tablas!$S283,3),1))</f>
        <v>0</v>
      </c>
      <c r="K140" s="1502"/>
      <c r="L140" s="184">
        <f>IF(ISNA(AN140),0,MAX(MIN(AN140-VLOOKUP("Apto en campo: "&amp;$B140,Tabla_Ventajas,3,FALSE)-Tablas!$O283-2*Tablas!$Q283-3*Tablas!$S283,3),1))</f>
        <v>0</v>
      </c>
      <c r="M140" s="1537"/>
      <c r="N140" s="1198">
        <f>IF(ISNA(AP140),0,MAX(MIN(AP140-VLOOKUP("Apto en campo: "&amp;$B140,Tabla_Ventajas,3,FALSE)-Tablas!$O283-2*Tablas!$Q283-3*Tablas!$S283,3),1))</f>
        <v>0</v>
      </c>
      <c r="O140" s="1502"/>
      <c r="P140" s="184">
        <f>IF(ISNA(AR140),0,MAX(MIN(AR140-VLOOKUP("Apto en campo: "&amp;$B140,Tabla_Ventajas,3,FALSE)-Tablas!$O283-2*Tablas!$Q283-3*Tablas!$S283,3),1))</f>
        <v>0</v>
      </c>
      <c r="Q140" s="1537"/>
      <c r="R140" s="1198">
        <f>IF(ISNA(AT140),0,MAX(MIN(AT140-VLOOKUP("Apto en campo: "&amp;$B140,Tabla_Ventajas,3,FALSE)-Tablas!$O283-2*Tablas!$Q283-3*Tablas!$S283,3),1))</f>
        <v>0</v>
      </c>
      <c r="S140" s="1502"/>
      <c r="T140" s="1510">
        <f t="shared" si="33"/>
        <v>0</v>
      </c>
      <c r="U140" s="1510">
        <f t="shared" si="34"/>
        <v>0</v>
      </c>
      <c r="V140" s="1510">
        <f>IF(ISNA(HLOOKUP($E140,Bonos_Cat_Base,2,FALSE)),0,HLOOKUP($E140,Bonos_Cat_Base,2,FALSE))+Tablas!$Z283*Nivel_Total+10*Y140</f>
        <v>0</v>
      </c>
      <c r="W140" s="1518"/>
      <c r="X140" s="1502"/>
      <c r="Y140" s="1537"/>
      <c r="Z140" s="2872"/>
      <c r="AA140" s="1530">
        <f>IF(AND(T140&lt;5,Tablas!G$303=0),-30,0)+T140+U140+V140+Z140+IF(I140="",0,40)+Bono_ATA-Combate!U16+AD140+AF140</f>
        <v>-30</v>
      </c>
      <c r="AB140" s="3076">
        <f t="shared" si="35"/>
        <v>0</v>
      </c>
      <c r="AC140" s="1694"/>
      <c r="AD140" s="2701">
        <f>IF(Raza="Tuan Dalyr",80,50)*Tablas!G271+IF(Raza="Turak",IF(COUNTIF(Cercanía_Dragón,"Descomunales")&gt;0,1,0),0)</f>
        <v>0</v>
      </c>
      <c r="AE140" s="3008"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3070">
        <f>IF(AF$123,IF(OR(Region="",ClaseSocial="",Personalización!$AN$21),0,IF(OR(AND(AI140,AJ140),AND(NOT(AI140),NOT(AJ140))),LEFT(AG140,2)+LEFT(AH140,2),0)),0)</f>
        <v>0</v>
      </c>
      <c r="AG140" s="2701" t="e">
        <f>HLOOKUP(Region&amp;ClaseSocial,Tabla_RaicesCulturales,Tablas!F156,FALSE)</f>
        <v>#N/A</v>
      </c>
      <c r="AH140" s="3008">
        <f>IF(AND(E140="Historia",Personalización!$E$26="Historia (Local)"),20&amp;" "&amp;Personalización!$E$26,IF(OR(E140=Personalización!$E$25,E140=Personalización!$E$26),VLOOKUP(E140,Tablas!$L$136:$M$137,2,FALSE),0))</f>
        <v>0</v>
      </c>
      <c r="AI140" s="3008" t="b">
        <f t="shared" si="36"/>
        <v>0</v>
      </c>
      <c r="AJ140" s="3008" t="b">
        <f t="shared" si="37"/>
        <v>0</v>
      </c>
      <c r="AL140" s="1888" t="e">
        <f t="shared" si="38"/>
        <v>#N/A</v>
      </c>
      <c r="AN140" s="1888" t="e">
        <f t="shared" si="39"/>
        <v>#N/A</v>
      </c>
      <c r="AP140" s="1888" t="e">
        <f t="shared" si="40"/>
        <v>#N/A</v>
      </c>
      <c r="AR140" s="1888" t="e">
        <f t="shared" si="41"/>
        <v>#N/A</v>
      </c>
      <c r="AT140" s="1888" t="e">
        <f t="shared" si="42"/>
        <v>#N/A</v>
      </c>
    </row>
    <row r="141" spans="1:46" ht="12" customHeight="1" x14ac:dyDescent="0.2">
      <c r="A141" s="1869"/>
      <c r="B141" s="2145" t="str">
        <f>B140</f>
        <v>Perceptivas</v>
      </c>
      <c r="C141" s="3590"/>
      <c r="D141" s="3349"/>
      <c r="E141" s="3528" t="s">
        <v>1743</v>
      </c>
      <c r="F141" s="3529"/>
      <c r="G141" s="3529"/>
      <c r="H141" s="2079" t="s">
        <v>1698</v>
      </c>
      <c r="I141" s="2064"/>
      <c r="J141" s="183">
        <f>IF(ISNA(AL141),0,MAX(MIN(AL141-VLOOKUP("Apto en campo: "&amp;$B141,Tabla_Ventajas,3,FALSE)-Tablas!$O284-2*Tablas!$Q284-3*Tablas!$S284,3),1))</f>
        <v>0</v>
      </c>
      <c r="K141" s="1501"/>
      <c r="L141" s="183">
        <f>IF(ISNA(AN141),0,MAX(MIN(AN141-VLOOKUP("Apto en campo: "&amp;$B141,Tabla_Ventajas,3,FALSE)-Tablas!$O284-2*Tablas!$Q284-3*Tablas!$S284,3),1))</f>
        <v>0</v>
      </c>
      <c r="M141" s="169"/>
      <c r="N141" s="1197">
        <f>IF(ISNA(AP141),0,MAX(MIN(AP141-VLOOKUP("Apto en campo: "&amp;$B141,Tabla_Ventajas,3,FALSE)-Tablas!$O284-2*Tablas!$Q284-3*Tablas!$S284,3),1))</f>
        <v>0</v>
      </c>
      <c r="O141" s="1501"/>
      <c r="P141" s="183">
        <f>IF(ISNA(AR141),0,MAX(MIN(AR141-VLOOKUP("Apto en campo: "&amp;$B141,Tabla_Ventajas,3,FALSE)-Tablas!$O284-2*Tablas!$Q284-3*Tablas!$S284,3),1))</f>
        <v>0</v>
      </c>
      <c r="Q141" s="169"/>
      <c r="R141" s="1197">
        <f>IF(ISNA(AT141),0,MAX(MIN(AT141-VLOOKUP("Apto en campo: "&amp;$B141,Tabla_Ventajas,3,FALSE)-Tablas!$O284-2*Tablas!$Q284-3*Tablas!$S284,3),1))</f>
        <v>0</v>
      </c>
      <c r="S141" s="1501"/>
      <c r="T141" s="1509">
        <f t="shared" si="33"/>
        <v>0</v>
      </c>
      <c r="U141" s="1509">
        <f t="shared" si="34"/>
        <v>0</v>
      </c>
      <c r="V141" s="1509">
        <f>IF(ISNA(HLOOKUP($E141,Bonos_Cat_Base,2,FALSE)),0,HLOOKUP($E141,Bonos_Cat_Base,2,FALSE))+Tablas!$Z284*Nivel_Total+10*Y141</f>
        <v>0</v>
      </c>
      <c r="W141" s="1517"/>
      <c r="X141" s="1501"/>
      <c r="Y141" s="169"/>
      <c r="Z141" s="2871"/>
      <c r="AA141" s="1529">
        <f>IF(AND(T141&lt;5,Tablas!G$303=0),-30,0)+T141+U141+V141+Z141+IF(I141="",0,40)+Bono_ATA-Combate!U16+AD141+AF141</f>
        <v>-30</v>
      </c>
      <c r="AB141" s="3076">
        <f t="shared" si="35"/>
        <v>0</v>
      </c>
      <c r="AC141" s="1694"/>
      <c r="AD141" s="2701">
        <f>IF(Raza="Tuan Dalyr",80,50)*Tablas!G271</f>
        <v>0</v>
      </c>
      <c r="AE141" s="3008"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3070">
        <f>IF(AF$123,IF(OR(Region="",ClaseSocial="",Personalización!$AN$21),0,IF(OR(AND(AI141,AJ141),AND(NOT(AI141),NOT(AJ141))),LEFT(AG141,2)+LEFT(AH141,2),0)),0)</f>
        <v>0</v>
      </c>
      <c r="AG141" s="2701" t="e">
        <f>HLOOKUP(Region&amp;ClaseSocial,Tabla_RaicesCulturales,Tablas!F157,FALSE)</f>
        <v>#N/A</v>
      </c>
      <c r="AH141" s="3008">
        <f>IF(AND(E141="Historia",Personalización!$E$26="Historia (Local)"),20&amp;" "&amp;Personalización!$E$26,IF(OR(E141=Personalización!$E$25,E141=Personalización!$E$26),VLOOKUP(E141,Tablas!$L$136:$M$137,2,FALSE),0))</f>
        <v>0</v>
      </c>
      <c r="AI141" s="3008" t="b">
        <f t="shared" si="36"/>
        <v>0</v>
      </c>
      <c r="AJ141" s="3008" t="b">
        <f t="shared" si="37"/>
        <v>0</v>
      </c>
      <c r="AL141" s="1888" t="e">
        <f t="shared" si="38"/>
        <v>#N/A</v>
      </c>
      <c r="AN141" s="1888" t="e">
        <f t="shared" si="39"/>
        <v>#N/A</v>
      </c>
      <c r="AP141" s="1888" t="e">
        <f t="shared" si="40"/>
        <v>#N/A</v>
      </c>
      <c r="AR141" s="1888" t="e">
        <f t="shared" si="41"/>
        <v>#N/A</v>
      </c>
      <c r="AT141" s="1888" t="e">
        <f t="shared" si="42"/>
        <v>#N/A</v>
      </c>
    </row>
    <row r="142" spans="1:46" ht="12" customHeight="1" x14ac:dyDescent="0.2">
      <c r="A142" s="1869"/>
      <c r="B142" s="2145" t="str">
        <f>B141</f>
        <v>Perceptivas</v>
      </c>
      <c r="C142" s="3590"/>
      <c r="D142" s="3349"/>
      <c r="E142" s="3526" t="s">
        <v>1744</v>
      </c>
      <c r="F142" s="3527"/>
      <c r="G142" s="3527"/>
      <c r="H142" s="2080" t="s">
        <v>1698</v>
      </c>
      <c r="I142" s="2065"/>
      <c r="J142" s="184">
        <f>IF(ISNA(AL142),0,MAX(MIN(AL142-VLOOKUP("Apto en campo: "&amp;$B142,Tabla_Ventajas,3,FALSE)-Tablas!$O285-2*Tablas!$Q285-3*Tablas!$S285,3),1))</f>
        <v>0</v>
      </c>
      <c r="K142" s="1502"/>
      <c r="L142" s="184">
        <f>IF(ISNA(AN142),0,MAX(MIN(AN142-VLOOKUP("Apto en campo: "&amp;$B142,Tabla_Ventajas,3,FALSE)-Tablas!$O285-2*Tablas!$Q285-3*Tablas!$S285,3),1))</f>
        <v>0</v>
      </c>
      <c r="M142" s="1537"/>
      <c r="N142" s="1198">
        <f>IF(ISNA(AP142),0,MAX(MIN(AP142-VLOOKUP("Apto en campo: "&amp;$B142,Tabla_Ventajas,3,FALSE)-Tablas!$O285-2*Tablas!$Q285-3*Tablas!$S285,3),1))</f>
        <v>0</v>
      </c>
      <c r="O142" s="1502"/>
      <c r="P142" s="184">
        <f>IF(ISNA(AR142),0,MAX(MIN(AR142-VLOOKUP("Apto en campo: "&amp;$B142,Tabla_Ventajas,3,FALSE)-Tablas!$O285-2*Tablas!$Q285-3*Tablas!$S285,3),1))</f>
        <v>0</v>
      </c>
      <c r="Q142" s="1537"/>
      <c r="R142" s="1198">
        <f>IF(ISNA(AT142),0,MAX(MIN(AT142-VLOOKUP("Apto en campo: "&amp;$B142,Tabla_Ventajas,3,FALSE)-Tablas!$O285-2*Tablas!$Q285-3*Tablas!$S285,3),1))</f>
        <v>0</v>
      </c>
      <c r="S142" s="1502"/>
      <c r="T142" s="1510">
        <f t="shared" si="33"/>
        <v>0</v>
      </c>
      <c r="U142" s="1510">
        <f t="shared" si="34"/>
        <v>0</v>
      </c>
      <c r="V142" s="1510">
        <f>IF(ISNA(HLOOKUP($E142,Bonos_Cat_Base,2,FALSE)),0,HLOOKUP($E142,Bonos_Cat_Base,2,FALSE))+Tablas!$Z285*Nivel_Total+10*Y142</f>
        <v>0</v>
      </c>
      <c r="W142" s="1518"/>
      <c r="X142" s="1502"/>
      <c r="Y142" s="1537"/>
      <c r="Z142" s="2872"/>
      <c r="AA142" s="1530">
        <f>IF(AND(T142&lt;5,Tablas!G$303=0),-30,0)+T142+U142+V142+Z142+IF(I142="",0,40)+Bono_ATA-Combate!U16+AD142+AF142</f>
        <v>-30</v>
      </c>
      <c r="AB142" s="3076">
        <f t="shared" si="35"/>
        <v>0</v>
      </c>
      <c r="AC142" s="1694"/>
      <c r="AE142" s="3008"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3070">
        <f>IF(AF$123,IF(OR(Region="",ClaseSocial="",Personalización!$AN$21),0,IF(OR(AND(AI142,AJ142),AND(NOT(AI142),NOT(AJ142))),LEFT(AG142,2)+LEFT(AH142,2),0)),0)</f>
        <v>0</v>
      </c>
      <c r="AG142" s="2701" t="e">
        <f>HLOOKUP(Region&amp;ClaseSocial,Tabla_RaicesCulturales,Tablas!F158,FALSE)</f>
        <v>#N/A</v>
      </c>
      <c r="AH142" s="3008">
        <f>IF(AND(E142="Historia",Personalización!$E$26="Historia (Local)"),20&amp;" "&amp;Personalización!$E$26,IF(OR(E142=Personalización!$E$25,E142=Personalización!$E$26),VLOOKUP(E142,Tablas!$L$136:$M$137,2,FALSE),0))</f>
        <v>0</v>
      </c>
      <c r="AI142" s="3008" t="b">
        <f t="shared" si="36"/>
        <v>0</v>
      </c>
      <c r="AJ142" s="3008" t="b">
        <f t="shared" si="37"/>
        <v>0</v>
      </c>
      <c r="AL142" s="1888" t="e">
        <f t="shared" si="38"/>
        <v>#N/A</v>
      </c>
      <c r="AN142" s="1888" t="e">
        <f t="shared" si="39"/>
        <v>#N/A</v>
      </c>
      <c r="AP142" s="1888" t="e">
        <f t="shared" si="40"/>
        <v>#N/A</v>
      </c>
      <c r="AR142" s="1888" t="e">
        <f t="shared" si="41"/>
        <v>#N/A</v>
      </c>
      <c r="AT142" s="1888" t="e">
        <f t="shared" si="42"/>
        <v>#N/A</v>
      </c>
    </row>
    <row r="143" spans="1:46" ht="12" customHeight="1" x14ac:dyDescent="0.2">
      <c r="A143" s="1869"/>
      <c r="B143" s="2145" t="str">
        <f>D143</f>
        <v>Intelectuales</v>
      </c>
      <c r="C143" s="3590"/>
      <c r="D143" s="3524" t="s">
        <v>1745</v>
      </c>
      <c r="E143" s="3802" t="s">
        <v>1746</v>
      </c>
      <c r="F143" s="3803"/>
      <c r="G143" s="3803"/>
      <c r="H143" s="2081" t="s">
        <v>1695</v>
      </c>
      <c r="I143" s="1671"/>
      <c r="J143" s="1496">
        <f>IF(ISNA(AL143),0,MAX(MIN(AL143-VLOOKUP("Apto en campo: "&amp;$B143,Tabla_Ventajas,3,FALSE)-Tablas!$O286-2*Tablas!$Q286-3*Tablas!$S286,3),1))</f>
        <v>0</v>
      </c>
      <c r="K143" s="1506"/>
      <c r="L143" s="1496">
        <f>IF(ISNA(AN143),0,MAX(MIN(AN143-VLOOKUP("Apto en campo: "&amp;$B143,Tabla_Ventajas,3,FALSE)-Tablas!$O286-2*Tablas!$Q286-3*Tablas!$S286,3),1))</f>
        <v>0</v>
      </c>
      <c r="M143" s="1497"/>
      <c r="N143" s="1505">
        <f>IF(ISNA(AP143),0,MAX(MIN(AP143-VLOOKUP("Apto en campo: "&amp;$B143,Tabla_Ventajas,3,FALSE)-Tablas!$O286-2*Tablas!$Q286-3*Tablas!$S286,3),1))</f>
        <v>0</v>
      </c>
      <c r="O143" s="1506"/>
      <c r="P143" s="1496">
        <f>IF(ISNA(AR143),0,MAX(MIN(AR143-VLOOKUP("Apto en campo: "&amp;$B143,Tabla_Ventajas,3,FALSE)-Tablas!$O286-2*Tablas!$Q286-3*Tablas!$S286,3),1))</f>
        <v>0</v>
      </c>
      <c r="Q143" s="1497"/>
      <c r="R143" s="1505">
        <f>IF(ISNA(AT143),0,MAX(MIN(AT143-VLOOKUP("Apto en campo: "&amp;$B143,Tabla_Ventajas,3,FALSE)-Tablas!$O286-2*Tablas!$Q286-3*Tablas!$S286,3),1))</f>
        <v>0</v>
      </c>
      <c r="S143" s="1506"/>
      <c r="T143" s="1512">
        <f t="shared" si="33"/>
        <v>0</v>
      </c>
      <c r="U143" s="1512">
        <f t="shared" si="34"/>
        <v>0</v>
      </c>
      <c r="V143" s="1512">
        <f>IF(ISNA(HLOOKUP($E143,Bonos_Cat_Base,2,FALSE)),0,HLOOKUP($E143,Bonos_Cat_Base,2,FALSE))+Tablas!$Z286*Nivel_Total+10*Y143</f>
        <v>0</v>
      </c>
      <c r="W143" s="1520"/>
      <c r="X143" s="1506"/>
      <c r="Y143" s="1497"/>
      <c r="Z143" s="2873"/>
      <c r="AA143" s="1532">
        <f>IF(AND(T143&lt;5,Tablas!G$303=0),-30,0)+T143+U143+V143+Z143+IF(I143="",0,40)+Bono_ATA-Combate!U16+AD143+AF143</f>
        <v>-30</v>
      </c>
      <c r="AB143" s="3076">
        <f t="shared" si="35"/>
        <v>0</v>
      </c>
      <c r="AC143" s="1694"/>
      <c r="AD143" s="2701">
        <f>Tablas!$K$1746+Tablas!$K$1783</f>
        <v>0</v>
      </c>
      <c r="AE143" s="3008"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3070">
        <f>IF(AF$123,IF(OR(Region="",ClaseSocial="",Personalización!$AN$21),0,IF(OR(AND(AI143,AJ143),AND(NOT(AI143),NOT(AJ143))),LEFT(AG143,2)+LEFT(AH143,2),0)),0)</f>
        <v>0</v>
      </c>
      <c r="AG143" s="2701" t="e">
        <f>HLOOKUP(Region&amp;ClaseSocial,Tabla_RaicesCulturales,Tablas!F159,FALSE)</f>
        <v>#N/A</v>
      </c>
      <c r="AH143" s="3008">
        <f>IF(AND(E143="Historia",Personalización!$E$26="Historia (Local)"),20&amp;" "&amp;Personalización!$E$26,IF(OR(E143=Personalización!$E$25,E143=Personalización!$E$26),VLOOKUP(E143,Tablas!$L$136:$M$137,2,FALSE),0))</f>
        <v>0</v>
      </c>
      <c r="AI143" s="3008" t="b">
        <f t="shared" si="36"/>
        <v>0</v>
      </c>
      <c r="AJ143" s="3008" t="b">
        <f t="shared" si="37"/>
        <v>0</v>
      </c>
      <c r="AL143" s="1888" t="e">
        <f t="shared" si="38"/>
        <v>#N/A</v>
      </c>
      <c r="AN143" s="1888" t="e">
        <f t="shared" si="39"/>
        <v>#N/A</v>
      </c>
      <c r="AP143" s="1888" t="e">
        <f t="shared" si="40"/>
        <v>#N/A</v>
      </c>
      <c r="AR143" s="1888" t="e">
        <f t="shared" si="41"/>
        <v>#N/A</v>
      </c>
      <c r="AT143" s="1888" t="e">
        <f t="shared" si="42"/>
        <v>#N/A</v>
      </c>
    </row>
    <row r="144" spans="1:46" ht="12" customHeight="1" x14ac:dyDescent="0.2">
      <c r="A144" s="1869"/>
      <c r="B144" s="2145" t="str">
        <f t="shared" ref="B144:B154" si="45">B143</f>
        <v>Intelectuales</v>
      </c>
      <c r="C144" s="3590"/>
      <c r="D144" s="3349"/>
      <c r="E144" s="3526" t="s">
        <v>1747</v>
      </c>
      <c r="F144" s="3527"/>
      <c r="G144" s="3527"/>
      <c r="H144" s="2080" t="s">
        <v>1695</v>
      </c>
      <c r="I144" s="1670"/>
      <c r="J144" s="184">
        <f>IF(ISNA(AL144),0,MAX(MIN(AL144-VLOOKUP("Apto en campo: "&amp;$B144,Tabla_Ventajas,3,FALSE)-Tablas!$O287-2*Tablas!$Q287-3*Tablas!$S287,3),1))</f>
        <v>0</v>
      </c>
      <c r="K144" s="1502"/>
      <c r="L144" s="184">
        <f>IF(ISNA(AN144),0,MAX(MIN(AN144-VLOOKUP("Apto en campo: "&amp;$B144,Tabla_Ventajas,3,FALSE)-Tablas!$O287-2*Tablas!$Q287-3*Tablas!$S287,3),1))</f>
        <v>0</v>
      </c>
      <c r="M144" s="1537"/>
      <c r="N144" s="1198">
        <f>IF(ISNA(AP144),0,MAX(MIN(AP144-VLOOKUP("Apto en campo: "&amp;$B144,Tabla_Ventajas,3,FALSE)-Tablas!$O287-2*Tablas!$Q287-3*Tablas!$S287,3),1))</f>
        <v>0</v>
      </c>
      <c r="O144" s="1502"/>
      <c r="P144" s="184">
        <f>IF(ISNA(AR144),0,MAX(MIN(AR144-VLOOKUP("Apto en campo: "&amp;$B144,Tabla_Ventajas,3,FALSE)-Tablas!$O287-2*Tablas!$Q287-3*Tablas!$S287,3),1))</f>
        <v>0</v>
      </c>
      <c r="Q144" s="1537"/>
      <c r="R144" s="1198">
        <f>IF(ISNA(AT144),0,MAX(MIN(AT144-VLOOKUP("Apto en campo: "&amp;$B144,Tabla_Ventajas,3,FALSE)-Tablas!$O287-2*Tablas!$Q287-3*Tablas!$S287,3),1))</f>
        <v>0</v>
      </c>
      <c r="S144" s="1502"/>
      <c r="T144" s="1510">
        <f t="shared" ref="T144:T157" si="46">IF(J144=0,0,TRUNC(K144/J144,0))+IF(L144=0,0,TRUNC(M144/L144,0))+IF(N144=0,0,TRUNC(O144/N144,0))+IF(P144=0,0,TRUNC(Q144/P144,0))+IF(R144=0,0,TRUNC(S144/R144,0))</f>
        <v>0</v>
      </c>
      <c r="U144" s="1510">
        <f t="shared" si="34"/>
        <v>0</v>
      </c>
      <c r="V144" s="1510">
        <f>IF(ISNA(HLOOKUP($E144,Bonos_Cat_Base,2,FALSE)),0,HLOOKUP($E144,Bonos_Cat_Base,2,FALSE))+Tablas!$Z287*Nivel_Total+10*Y144</f>
        <v>0</v>
      </c>
      <c r="W144" s="1518"/>
      <c r="X144" s="1502"/>
      <c r="Y144" s="1537"/>
      <c r="Z144" s="2872"/>
      <c r="AA144" s="1530" t="str">
        <f>IF(AND(T144&lt;5,Tablas!G$303=0),"-",T144+U144+V144+Z144+IF(I144="",0,40)+Bono_ATA-Combate!U16+AD144+AF144)</f>
        <v>-</v>
      </c>
      <c r="AB144" s="3076">
        <f t="shared" si="35"/>
        <v>0</v>
      </c>
      <c r="AC144" s="1694"/>
      <c r="AD144" s="2701">
        <f>Tablas!$K$1746+Tablas!$K$1835</f>
        <v>0</v>
      </c>
      <c r="AE144" s="3008"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3070">
        <f>IF(AF$123,IF(OR(Region="",ClaseSocial="",Personalización!$AN$21),0,IF(OR(AND(AI144,AJ144),AND(NOT(AI144),NOT(AJ144))),LEFT(AG144,2)+LEFT(AH144,2),0)),0)</f>
        <v>0</v>
      </c>
      <c r="AG144" s="2701" t="e">
        <f>HLOOKUP(Region&amp;ClaseSocial,Tabla_RaicesCulturales,Tablas!F160,FALSE)</f>
        <v>#N/A</v>
      </c>
      <c r="AH144" s="3008">
        <f>IF(AND(E144="Historia",Personalización!$E$26="Historia (Local)"),20&amp;" "&amp;Personalización!$E$26,IF(OR(E144=Personalización!$E$25,E144=Personalización!$E$26),VLOOKUP(E144,Tablas!$L$136:$M$137,2,FALSE),0))</f>
        <v>0</v>
      </c>
      <c r="AI144" s="3008" t="b">
        <f t="shared" ref="AI144:AI157" si="47">OR(ISNUMBER(FIND("(",AG144)),ISNUMBER(FIND("(",AH144)))</f>
        <v>0</v>
      </c>
      <c r="AJ144" s="3008" t="b">
        <f t="shared" ref="AJ144:AJ157" si="48">AND(NOT(I144=""),OR(ISNUMBER(SEARCH(I144,AG144)),ISNUMBER(SEARCH(I144,AH144))))</f>
        <v>0</v>
      </c>
      <c r="AL144" s="1888" t="e">
        <f t="shared" si="38"/>
        <v>#N/A</v>
      </c>
      <c r="AN144" s="1888" t="e">
        <f t="shared" si="39"/>
        <v>#N/A</v>
      </c>
      <c r="AP144" s="1888" t="e">
        <f t="shared" si="40"/>
        <v>#N/A</v>
      </c>
      <c r="AR144" s="1888" t="e">
        <f t="shared" si="41"/>
        <v>#N/A</v>
      </c>
      <c r="AT144" s="1888" t="e">
        <f t="shared" si="42"/>
        <v>#N/A</v>
      </c>
    </row>
    <row r="145" spans="1:46" ht="12" customHeight="1" x14ac:dyDescent="0.2">
      <c r="A145" s="1869"/>
      <c r="B145" s="2145" t="str">
        <f t="shared" si="45"/>
        <v>Intelectuales</v>
      </c>
      <c r="C145" s="3590"/>
      <c r="D145" s="3349"/>
      <c r="E145" s="3528" t="s">
        <v>2993</v>
      </c>
      <c r="F145" s="3529"/>
      <c r="G145" s="3529"/>
      <c r="H145" s="2079" t="s">
        <v>1695</v>
      </c>
      <c r="I145" s="2064"/>
      <c r="J145" s="183">
        <f>IF(ISNA(AL145),0,MAX(MIN(AL145-VLOOKUP("Apto en campo: "&amp;$B145,Tabla_Ventajas,3,FALSE)-Tablas!$O288-2*Tablas!$Q288-3*Tablas!$S288,3),1))</f>
        <v>0</v>
      </c>
      <c r="K145" s="1501"/>
      <c r="L145" s="183">
        <f>IF(ISNA(AN145),0,MAX(MIN(AN145-VLOOKUP("Apto en campo: "&amp;$B145,Tabla_Ventajas,3,FALSE)-Tablas!$O288-2*Tablas!$Q288-3*Tablas!$S288,3),1))</f>
        <v>0</v>
      </c>
      <c r="M145" s="169"/>
      <c r="N145" s="1197">
        <f>IF(ISNA(AP145),0,MAX(MIN(AP145-VLOOKUP("Apto en campo: "&amp;$B145,Tabla_Ventajas,3,FALSE)-Tablas!$O288-2*Tablas!$Q288-3*Tablas!$S288,3),1))</f>
        <v>0</v>
      </c>
      <c r="O145" s="1501"/>
      <c r="P145" s="183">
        <f>IF(ISNA(AR145),0,MAX(MIN(AR145-VLOOKUP("Apto en campo: "&amp;$B145,Tabla_Ventajas,3,FALSE)-Tablas!$O288-2*Tablas!$Q288-3*Tablas!$S288,3),1))</f>
        <v>0</v>
      </c>
      <c r="Q145" s="169"/>
      <c r="R145" s="1197">
        <f>IF(ISNA(AT145),0,MAX(MIN(AT145-VLOOKUP("Apto en campo: "&amp;$B145,Tabla_Ventajas,3,FALSE)-Tablas!$O288-2*Tablas!$Q288-3*Tablas!$S288,3),1))</f>
        <v>0</v>
      </c>
      <c r="S145" s="1501"/>
      <c r="T145" s="1509">
        <f t="shared" si="46"/>
        <v>0</v>
      </c>
      <c r="U145" s="1509">
        <f t="shared" si="34"/>
        <v>0</v>
      </c>
      <c r="V145" s="1509">
        <f>IF(ISNA(HLOOKUP($E145,Bonos_Cat_Base,2,FALSE)),0,HLOOKUP($E145,Bonos_Cat_Base,2,FALSE))+Tablas!$Z288*Nivel_Total+10*Y145</f>
        <v>0</v>
      </c>
      <c r="W145" s="1517"/>
      <c r="X145" s="1501"/>
      <c r="Y145" s="169"/>
      <c r="Z145" s="2871"/>
      <c r="AA145" s="1529">
        <f>IF(AND(T145&lt;5,Tablas!G$303=0),-30,0)+T145+U145+V145+Z145+IF(I145="",0,40)+Bono_ATA-Combate!U16+AD145+AF145</f>
        <v>-30</v>
      </c>
      <c r="AB145" s="3076">
        <f t="shared" si="35"/>
        <v>0</v>
      </c>
      <c r="AC145" s="1694"/>
      <c r="AD145" s="2701">
        <f>Tablas!$K$1746</f>
        <v>0</v>
      </c>
      <c r="AE145" s="3008"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3070">
        <f>IF(AF$123,IF(OR(Region="",ClaseSocial="",Personalización!$AN$21),0,IF(OR(AND(AI145,AJ145),AND(NOT(AI145),NOT(AJ145))),LEFT(AG145,2)+LEFT(AH145,2),0)),0)</f>
        <v>0</v>
      </c>
      <c r="AG145" s="2701" t="e">
        <f>HLOOKUP(Region&amp;ClaseSocial,Tabla_RaicesCulturales,Tablas!F161,FALSE)</f>
        <v>#N/A</v>
      </c>
      <c r="AH145" s="3008">
        <f>IF(AND(E145="Historia",Personalización!$E$26="Historia (Local)"),20&amp;" "&amp;Personalización!$E$26,IF(OR(E145=Personalización!$E$25,E145=Personalización!$E$26),VLOOKUP(E145,Tablas!$L$136:$M$137,2,FALSE),0))</f>
        <v>0</v>
      </c>
      <c r="AI145" s="3008" t="b">
        <f t="shared" si="47"/>
        <v>0</v>
      </c>
      <c r="AJ145" s="3008" t="b">
        <f t="shared" si="48"/>
        <v>0</v>
      </c>
      <c r="AL145" s="1888" t="e">
        <f t="shared" si="38"/>
        <v>#N/A</v>
      </c>
      <c r="AN145" s="1888" t="e">
        <f t="shared" si="39"/>
        <v>#N/A</v>
      </c>
      <c r="AP145" s="1888" t="e">
        <f t="shared" si="40"/>
        <v>#N/A</v>
      </c>
      <c r="AR145" s="1888" t="e">
        <f t="shared" si="41"/>
        <v>#N/A</v>
      </c>
      <c r="AT145" s="1888" t="e">
        <f t="shared" si="42"/>
        <v>#N/A</v>
      </c>
    </row>
    <row r="146" spans="1:46" ht="12" customHeight="1" x14ac:dyDescent="0.2">
      <c r="A146" s="1869"/>
      <c r="B146" s="2145" t="str">
        <f t="shared" si="45"/>
        <v>Intelectuales</v>
      </c>
      <c r="C146" s="3590"/>
      <c r="D146" s="3349"/>
      <c r="E146" s="3526" t="s">
        <v>1748</v>
      </c>
      <c r="F146" s="3527"/>
      <c r="G146" s="3527"/>
      <c r="H146" s="2080" t="s">
        <v>1695</v>
      </c>
      <c r="I146" s="2065"/>
      <c r="J146" s="184">
        <f>IF(ISNA(AL146),0,MAX(MIN(AL146-VLOOKUP("Apto en campo: "&amp;$B146,Tabla_Ventajas,3,FALSE)-Tablas!$O289-2*Tablas!$Q289-3*Tablas!$S289,3),1))</f>
        <v>0</v>
      </c>
      <c r="K146" s="1502"/>
      <c r="L146" s="184">
        <f>IF(ISNA(AN146),0,MAX(MIN(AN146-VLOOKUP("Apto en campo: "&amp;$B146,Tabla_Ventajas,3,FALSE)-Tablas!$O289-2*Tablas!$Q289-3*Tablas!$S289,3),1))</f>
        <v>0</v>
      </c>
      <c r="M146" s="1537"/>
      <c r="N146" s="1198">
        <f>IF(ISNA(AP146),0,MAX(MIN(AP146-VLOOKUP("Apto en campo: "&amp;$B146,Tabla_Ventajas,3,FALSE)-Tablas!$O289-2*Tablas!$Q289-3*Tablas!$S289,3),1))</f>
        <v>0</v>
      </c>
      <c r="O146" s="1502"/>
      <c r="P146" s="184">
        <f>IF(ISNA(AR146),0,MAX(MIN(AR146-VLOOKUP("Apto en campo: "&amp;$B146,Tabla_Ventajas,3,FALSE)-Tablas!$O289-2*Tablas!$Q289-3*Tablas!$S289,3),1))</f>
        <v>0</v>
      </c>
      <c r="Q146" s="1537"/>
      <c r="R146" s="1198">
        <f>IF(ISNA(AT146),0,MAX(MIN(AT146-VLOOKUP("Apto en campo: "&amp;$B146,Tabla_Ventajas,3,FALSE)-Tablas!$O289-2*Tablas!$Q289-3*Tablas!$S289,3),1))</f>
        <v>0</v>
      </c>
      <c r="S146" s="1502"/>
      <c r="T146" s="1510">
        <f t="shared" si="46"/>
        <v>0</v>
      </c>
      <c r="U146" s="1510">
        <f t="shared" si="34"/>
        <v>0</v>
      </c>
      <c r="V146" s="1510">
        <f>IF(ISNA(HLOOKUP($E146,Bonos_Cat_Base,2,FALSE)),0,HLOOKUP($E146,Bonos_Cat_Base,2,FALSE))+Tablas!$Z289*Nivel_Total+10*Y146</f>
        <v>0</v>
      </c>
      <c r="W146" s="1518"/>
      <c r="X146" s="1502"/>
      <c r="Y146" s="1537"/>
      <c r="Z146" s="2872"/>
      <c r="AA146" s="1530">
        <f>IF(AND(T146&lt;5,Tablas!G$303=0),-30,0)+T146+U146+V146+Z146+IF(I146="",0,40)+Bono_ATA-Combate!U16+AD146+AF146</f>
        <v>-30</v>
      </c>
      <c r="AB146" s="3076">
        <f t="shared" si="35"/>
        <v>0</v>
      </c>
      <c r="AC146" s="1694"/>
      <c r="AD146" s="2701">
        <f>Tablas!$K$1746+Tablas!$K1782</f>
        <v>0</v>
      </c>
      <c r="AE146" s="3008"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3070">
        <f>IF(AF$123,IF(OR(Region="",ClaseSocial="",Personalización!$AN$21),0,IF(OR(AND(AI146,AJ146),AND(NOT(AI146),NOT(AJ146))),LEFT(AG146,2)+LEFT(AH146,2),0)),0)</f>
        <v>0</v>
      </c>
      <c r="AG146" s="2701" t="e">
        <f>HLOOKUP(Region&amp;ClaseSocial,Tabla_RaicesCulturales,Tablas!F162,FALSE)</f>
        <v>#N/A</v>
      </c>
      <c r="AH146" s="3008">
        <f>IF(AND(E146="Historia",Personalización!$E$26="Historia (Local)"),20&amp;" "&amp;Personalización!$E$26,IF(OR(E146=Personalización!$E$25,E146=Personalización!$E$26),VLOOKUP(E146,Tablas!$L$136:$M$137,2,FALSE),0))</f>
        <v>0</v>
      </c>
      <c r="AI146" s="3008" t="b">
        <f t="shared" si="47"/>
        <v>0</v>
      </c>
      <c r="AJ146" s="3008" t="b">
        <f t="shared" si="48"/>
        <v>0</v>
      </c>
      <c r="AL146" s="1888" t="e">
        <f t="shared" si="38"/>
        <v>#N/A</v>
      </c>
      <c r="AN146" s="1888" t="e">
        <f t="shared" si="39"/>
        <v>#N/A</v>
      </c>
      <c r="AP146" s="1888" t="e">
        <f t="shared" si="40"/>
        <v>#N/A</v>
      </c>
      <c r="AR146" s="1888" t="e">
        <f t="shared" si="41"/>
        <v>#N/A</v>
      </c>
      <c r="AT146" s="1888" t="e">
        <f t="shared" si="42"/>
        <v>#N/A</v>
      </c>
    </row>
    <row r="147" spans="1:46" ht="12" customHeight="1" x14ac:dyDescent="0.2">
      <c r="A147" s="1869"/>
      <c r="B147" s="2145" t="str">
        <f t="shared" si="45"/>
        <v>Intelectuales</v>
      </c>
      <c r="C147" s="3590"/>
      <c r="D147" s="3349"/>
      <c r="E147" s="3528" t="s">
        <v>1750</v>
      </c>
      <c r="F147" s="3529"/>
      <c r="G147" s="3529"/>
      <c r="H147" s="2079" t="s">
        <v>1695</v>
      </c>
      <c r="I147" s="1669"/>
      <c r="J147" s="183">
        <f>IF(ISNA(AL147),0,MAX(MIN(AL147-VLOOKUP("Apto en campo: "&amp;$B147,Tabla_Ventajas,3,FALSE)-Tablas!$O290-2*Tablas!$Q290-3*Tablas!$S290,3),1))</f>
        <v>0</v>
      </c>
      <c r="K147" s="1501"/>
      <c r="L147" s="183">
        <f>IF(ISNA(AN147),0,MAX(MIN(AN147-VLOOKUP("Apto en campo: "&amp;$B147,Tabla_Ventajas,3,FALSE)-Tablas!$O290-2*Tablas!$Q290-3*Tablas!$S290,3),1))</f>
        <v>0</v>
      </c>
      <c r="M147" s="169"/>
      <c r="N147" s="1197">
        <f>IF(ISNA(AP147),0,MAX(MIN(AP147-VLOOKUP("Apto en campo: "&amp;$B147,Tabla_Ventajas,3,FALSE)-Tablas!$O290-2*Tablas!$Q290-3*Tablas!$S290,3),1))</f>
        <v>0</v>
      </c>
      <c r="O147" s="1501"/>
      <c r="P147" s="183">
        <f>IF(ISNA(AR147),0,MAX(MIN(AR147-VLOOKUP("Apto en campo: "&amp;$B147,Tabla_Ventajas,3,FALSE)-Tablas!$O290-2*Tablas!$Q290-3*Tablas!$S290,3),1))</f>
        <v>0</v>
      </c>
      <c r="Q147" s="169"/>
      <c r="R147" s="1197">
        <f>IF(ISNA(AT147),0,MAX(MIN(AT147-VLOOKUP("Apto en campo: "&amp;$B147,Tabla_Ventajas,3,FALSE)-Tablas!$O290-2*Tablas!$Q290-3*Tablas!$S290,3),1))</f>
        <v>0</v>
      </c>
      <c r="S147" s="1501"/>
      <c r="T147" s="1509">
        <f t="shared" si="46"/>
        <v>0</v>
      </c>
      <c r="U147" s="1509">
        <f t="shared" si="34"/>
        <v>0</v>
      </c>
      <c r="V147" s="1509">
        <f>IF(ISNA(HLOOKUP($E147,Bonos_Cat_Base,2,FALSE)),0,HLOOKUP($E147,Bonos_Cat_Base,2,FALSE))+Tablas!$Z290*Nivel_Total+10*Y147</f>
        <v>0</v>
      </c>
      <c r="W147" s="1517"/>
      <c r="X147" s="1501"/>
      <c r="Y147" s="169"/>
      <c r="Z147" s="2871"/>
      <c r="AA147" s="1529" t="str">
        <f>IF(AND(T147&lt;5,Tablas!G$303=0),"-",T147+U147+V147+Z147+IF(I147="",0,40)+Bono_ATA-Combate!U16+AD147+AF147)</f>
        <v>-</v>
      </c>
      <c r="AB147" s="3076">
        <f t="shared" si="35"/>
        <v>0</v>
      </c>
      <c r="AC147" s="1694"/>
      <c r="AD147" s="2701">
        <f>Tablas!$K$1746</f>
        <v>0</v>
      </c>
      <c r="AE147" s="3008"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3070">
        <f>IF(AF$123,IF(OR(Region="",ClaseSocial="",Personalización!$AN$21),0,IF(OR(AND(AI147,AJ147),AND(NOT(AI147),NOT(AJ147))),LEFT(AG147,2)+LEFT(AH147,2),0)),0)</f>
        <v>0</v>
      </c>
      <c r="AG147" s="2701" t="e">
        <f>HLOOKUP(Region&amp;ClaseSocial,Tabla_RaicesCulturales,Tablas!F163,FALSE)</f>
        <v>#N/A</v>
      </c>
      <c r="AH147" s="3008">
        <f>IF(AND(E147="Historia",Personalización!$E$26="Historia (Local)"),20&amp;" "&amp;Personalización!$E$26,IF(OR(E147=Personalización!$E$25,E147=Personalización!$E$26),VLOOKUP(E147,Tablas!$L$136:$M$137,2,FALSE),0))</f>
        <v>0</v>
      </c>
      <c r="AI147" s="3008" t="b">
        <f t="shared" si="47"/>
        <v>0</v>
      </c>
      <c r="AJ147" s="3008" t="b">
        <f t="shared" si="48"/>
        <v>0</v>
      </c>
      <c r="AL147" s="1888" t="e">
        <f t="shared" si="38"/>
        <v>#N/A</v>
      </c>
      <c r="AN147" s="1888" t="e">
        <f t="shared" si="39"/>
        <v>#N/A</v>
      </c>
      <c r="AP147" s="1888" t="e">
        <f t="shared" si="40"/>
        <v>#N/A</v>
      </c>
      <c r="AR147" s="1888" t="e">
        <f t="shared" si="41"/>
        <v>#N/A</v>
      </c>
      <c r="AT147" s="1888" t="e">
        <f t="shared" si="42"/>
        <v>#N/A</v>
      </c>
    </row>
    <row r="148" spans="1:46" ht="12" customHeight="1" x14ac:dyDescent="0.2">
      <c r="A148" s="1869"/>
      <c r="B148" s="2145" t="str">
        <f t="shared" si="45"/>
        <v>Intelectuales</v>
      </c>
      <c r="C148" s="3590"/>
      <c r="D148" s="3349"/>
      <c r="E148" s="3526" t="s">
        <v>1088</v>
      </c>
      <c r="F148" s="3527"/>
      <c r="G148" s="3527"/>
      <c r="H148" s="2080" t="s">
        <v>1695</v>
      </c>
      <c r="I148" s="2065"/>
      <c r="J148" s="184">
        <f>IF(ISNA(AL148),0,MAX(MIN(AL148-VLOOKUP("Apto en campo: "&amp;$B148,Tabla_Ventajas,3,FALSE)-Tablas!$O291-2*Tablas!$Q291-3*Tablas!$S291,3),1))</f>
        <v>0</v>
      </c>
      <c r="K148" s="1502"/>
      <c r="L148" s="184">
        <f>IF(ISNA(AN148),0,MAX(MIN(AN148-VLOOKUP("Apto en campo: "&amp;$B148,Tabla_Ventajas,3,FALSE)-Tablas!$O291-2*Tablas!$Q291-3*Tablas!$S291,3),1))</f>
        <v>0</v>
      </c>
      <c r="M148" s="1537"/>
      <c r="N148" s="1198">
        <f>IF(ISNA(AP148),0,MAX(MIN(AP148-VLOOKUP("Apto en campo: "&amp;$B148,Tabla_Ventajas,3,FALSE)-Tablas!$O291-2*Tablas!$Q291-3*Tablas!$S291,3),1))</f>
        <v>0</v>
      </c>
      <c r="O148" s="1502"/>
      <c r="P148" s="184">
        <f>IF(ISNA(AR148),0,MAX(MIN(AR148-VLOOKUP("Apto en campo: "&amp;$B148,Tabla_Ventajas,3,FALSE)-Tablas!$O291-2*Tablas!$Q291-3*Tablas!$S291,3),1))</f>
        <v>0</v>
      </c>
      <c r="Q148" s="1537"/>
      <c r="R148" s="1198">
        <f>IF(ISNA(AT148),0,MAX(MIN(AT148-VLOOKUP("Apto en campo: "&amp;$B148,Tabla_Ventajas,3,FALSE)-Tablas!$O291-2*Tablas!$Q291-3*Tablas!$S291,3),1))</f>
        <v>0</v>
      </c>
      <c r="S148" s="1502"/>
      <c r="T148" s="1510">
        <f t="shared" si="46"/>
        <v>0</v>
      </c>
      <c r="U148" s="1510">
        <f t="shared" si="34"/>
        <v>0</v>
      </c>
      <c r="V148" s="1510">
        <f>IF(ISNA(HLOOKUP($E148,Bonos_Cat_Base,2,FALSE)),0,HLOOKUP($E148,Bonos_Cat_Base,2,FALSE))+Tablas!$Z291*Nivel_Total+10*Y148</f>
        <v>0</v>
      </c>
      <c r="W148" s="1518"/>
      <c r="X148" s="1502"/>
      <c r="Y148" s="1537"/>
      <c r="Z148" s="2872"/>
      <c r="AA148" s="1530">
        <f>IF(AND(T148&lt;5,Tablas!G$303=0),-30,0)+T148+U148+V148+Z148+IF(I148="",0,40)+Bono_ATA-Combate!U16+AD148+AF148</f>
        <v>-30</v>
      </c>
      <c r="AB148" s="3076">
        <f t="shared" si="35"/>
        <v>0</v>
      </c>
      <c r="AC148" s="1694"/>
      <c r="AD148" s="2701">
        <f>Tablas!$K$1746</f>
        <v>0</v>
      </c>
      <c r="AE148" s="3008"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3070">
        <f>IF(AF$123,IF(OR(Region="",ClaseSocial="",Personalización!$AN$21),0,IF(OR(AND(AI148,AJ148),AND(NOT(AI148),NOT(AJ148))),LEFT(AG148,2)+LEFT(AH148,2),0)),0)</f>
        <v>0</v>
      </c>
      <c r="AG148" s="2701" t="e">
        <f>HLOOKUP(Region&amp;ClaseSocial,Tabla_RaicesCulturales,Tablas!F164,FALSE)</f>
        <v>#N/A</v>
      </c>
      <c r="AH148" s="3008">
        <f>IF(AND(E148="Historia",Personalización!$E$26="Historia (Local)"),20&amp;" "&amp;Personalización!$E$26,IF(OR(E148=Personalización!$E$25,E148=Personalización!$E$26),VLOOKUP(E148,Tablas!$L$136:$M$137,2,FALSE),0))</f>
        <v>0</v>
      </c>
      <c r="AI148" s="3008" t="b">
        <f t="shared" si="47"/>
        <v>0</v>
      </c>
      <c r="AJ148" s="3008" t="b">
        <f t="shared" si="48"/>
        <v>0</v>
      </c>
      <c r="AL148" s="1888" t="e">
        <f t="shared" si="38"/>
        <v>#N/A</v>
      </c>
      <c r="AN148" s="1888" t="e">
        <f t="shared" si="39"/>
        <v>#N/A</v>
      </c>
      <c r="AP148" s="1888" t="e">
        <f t="shared" si="40"/>
        <v>#N/A</v>
      </c>
      <c r="AR148" s="1888" t="e">
        <f t="shared" si="41"/>
        <v>#N/A</v>
      </c>
      <c r="AT148" s="1888" t="e">
        <f t="shared" si="42"/>
        <v>#N/A</v>
      </c>
    </row>
    <row r="149" spans="1:46" ht="12" customHeight="1" x14ac:dyDescent="0.2">
      <c r="A149" s="1868"/>
      <c r="B149" s="2145" t="str">
        <f t="shared" si="45"/>
        <v>Intelectuales</v>
      </c>
      <c r="C149" s="3590"/>
      <c r="D149" s="3349"/>
      <c r="E149" s="3528" t="s">
        <v>1753</v>
      </c>
      <c r="F149" s="3529"/>
      <c r="G149" s="3529"/>
      <c r="H149" s="2079" t="s">
        <v>1695</v>
      </c>
      <c r="I149" s="1669"/>
      <c r="J149" s="183">
        <f>IF(ISNA(AL149),0,MAX(MIN(AL149-VLOOKUP("Apto en campo: "&amp;$B149,Tabla_Ventajas,3,FALSE)-Tablas!$O292-2*Tablas!$Q292-3*Tablas!$S292,3),1))</f>
        <v>0</v>
      </c>
      <c r="K149" s="1501"/>
      <c r="L149" s="183">
        <f>IF(ISNA(AN149),0,MAX(MIN(AN149-VLOOKUP("Apto en campo: "&amp;$B149,Tabla_Ventajas,3,FALSE)-Tablas!$O292-2*Tablas!$Q292-3*Tablas!$S292,3),1))</f>
        <v>0</v>
      </c>
      <c r="M149" s="169"/>
      <c r="N149" s="1197">
        <f>IF(ISNA(AP149),0,MAX(MIN(AP149-VLOOKUP("Apto en campo: "&amp;$B149,Tabla_Ventajas,3,FALSE)-Tablas!$O292-2*Tablas!$Q292-3*Tablas!$S292,3),1))</f>
        <v>0</v>
      </c>
      <c r="O149" s="1501"/>
      <c r="P149" s="183">
        <f>IF(ISNA(AR149),0,MAX(MIN(AR149-VLOOKUP("Apto en campo: "&amp;$B149,Tabla_Ventajas,3,FALSE)-Tablas!$O292-2*Tablas!$Q292-3*Tablas!$S292,3),1))</f>
        <v>0</v>
      </c>
      <c r="Q149" s="169"/>
      <c r="R149" s="1197">
        <f>IF(ISNA(AT149),0,MAX(MIN(AT149-VLOOKUP("Apto en campo: "&amp;$B149,Tabla_Ventajas,3,FALSE)-Tablas!$O292-2*Tablas!$Q292-3*Tablas!$S292,3),1))</f>
        <v>0</v>
      </c>
      <c r="S149" s="1501"/>
      <c r="T149" s="1509">
        <f t="shared" si="46"/>
        <v>0</v>
      </c>
      <c r="U149" s="1509">
        <f t="shared" si="34"/>
        <v>0</v>
      </c>
      <c r="V149" s="1509">
        <f>IF(ISNA(HLOOKUP($E149,Bonos_Cat_Base,2,FALSE)),0,HLOOKUP($E149,Bonos_Cat_Base,2,FALSE))+Tablas!$Z292*Nivel_Total+10*Y149</f>
        <v>0</v>
      </c>
      <c r="W149" s="1517"/>
      <c r="X149" s="1501"/>
      <c r="Y149" s="169"/>
      <c r="Z149" s="2871"/>
      <c r="AA149" s="1529" t="str">
        <f>IF(AND(T149&lt;5,Tablas!G$303=0),"-",T149+U149+V149+Z149+IF(I149="",0,40)+Bono_ATA-Combate!U16+AD149+AF149)</f>
        <v>-</v>
      </c>
      <c r="AB149" s="3076">
        <f t="shared" si="35"/>
        <v>0</v>
      </c>
      <c r="AC149" s="1694"/>
      <c r="AD149" s="2701">
        <f>Tablas!$K$1746</f>
        <v>0</v>
      </c>
      <c r="AE149" s="3008"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3070">
        <f>IF(AF$123,IF(OR(Region="",ClaseSocial="",Personalización!$AN$21),0,IF(OR(AND(AI149,AJ149),AND(NOT(AI149),NOT(AJ149))),LEFT(AG149,2)+LEFT(AH149,2),0)),0)</f>
        <v>0</v>
      </c>
      <c r="AG149" s="2701" t="e">
        <f>HLOOKUP(Region&amp;ClaseSocial,Tabla_RaicesCulturales,Tablas!F165,FALSE)</f>
        <v>#N/A</v>
      </c>
      <c r="AH149" s="3008">
        <f>IF(AND(E149="Historia",Personalización!$E$26="Historia (Local)"),20&amp;" "&amp;Personalización!$E$26,IF(OR(E149=Personalización!$E$25,E149=Personalización!$E$26),VLOOKUP(E149,Tablas!$L$136:$M$137,2,FALSE),0))</f>
        <v>0</v>
      </c>
      <c r="AI149" s="3008" t="b">
        <f t="shared" si="47"/>
        <v>0</v>
      </c>
      <c r="AJ149" s="3008" t="b">
        <f t="shared" si="48"/>
        <v>0</v>
      </c>
      <c r="AL149" s="1888" t="e">
        <f t="shared" si="38"/>
        <v>#N/A</v>
      </c>
      <c r="AN149" s="1888" t="e">
        <f t="shared" si="39"/>
        <v>#N/A</v>
      </c>
      <c r="AP149" s="1888" t="e">
        <f t="shared" si="40"/>
        <v>#N/A</v>
      </c>
      <c r="AR149" s="1888" t="e">
        <f t="shared" si="41"/>
        <v>#N/A</v>
      </c>
      <c r="AT149" s="1888" t="e">
        <f t="shared" si="42"/>
        <v>#N/A</v>
      </c>
    </row>
    <row r="150" spans="1:46" ht="12" customHeight="1" x14ac:dyDescent="0.2">
      <c r="A150" s="1868"/>
      <c r="B150" s="2145" t="str">
        <f t="shared" si="45"/>
        <v>Intelectuales</v>
      </c>
      <c r="C150" s="3590"/>
      <c r="D150" s="3349"/>
      <c r="E150" s="3526" t="s">
        <v>1754</v>
      </c>
      <c r="F150" s="3527"/>
      <c r="G150" s="3527"/>
      <c r="H150" s="2080" t="s">
        <v>1695</v>
      </c>
      <c r="I150" s="2065"/>
      <c r="J150" s="184">
        <f>IF(ISNA(AL150),0,MAX(MIN(AL150-VLOOKUP("Apto en campo: "&amp;$B150,Tabla_Ventajas,3,FALSE)-Tablas!$O293-2*Tablas!$Q293-3*Tablas!$S293,3),1))</f>
        <v>0</v>
      </c>
      <c r="K150" s="1502"/>
      <c r="L150" s="184">
        <f>IF(ISNA(AN150),0,MAX(MIN(AN150-VLOOKUP("Apto en campo: "&amp;$B150,Tabla_Ventajas,3,FALSE)-Tablas!$O293-2*Tablas!$Q293-3*Tablas!$S293,3),1))</f>
        <v>0</v>
      </c>
      <c r="M150" s="1537"/>
      <c r="N150" s="1198">
        <f>IF(ISNA(AP150),0,MAX(MIN(AP150-VLOOKUP("Apto en campo: "&amp;$B150,Tabla_Ventajas,3,FALSE)-Tablas!$O293-2*Tablas!$Q293-3*Tablas!$S293,3),1))</f>
        <v>0</v>
      </c>
      <c r="O150" s="1502"/>
      <c r="P150" s="184">
        <f>IF(ISNA(AR150),0,MAX(MIN(AR150-VLOOKUP("Apto en campo: "&amp;$B150,Tabla_Ventajas,3,FALSE)-Tablas!$O293-2*Tablas!$Q293-3*Tablas!$S293,3),1))</f>
        <v>0</v>
      </c>
      <c r="Q150" s="1537"/>
      <c r="R150" s="1198">
        <f>IF(ISNA(AT150),0,MAX(MIN(AT150-VLOOKUP("Apto en campo: "&amp;$B150,Tabla_Ventajas,3,FALSE)-Tablas!$O293-2*Tablas!$Q293-3*Tablas!$S293,3),1))</f>
        <v>0</v>
      </c>
      <c r="S150" s="1502"/>
      <c r="T150" s="1510">
        <f t="shared" si="46"/>
        <v>0</v>
      </c>
      <c r="U150" s="1510">
        <f t="shared" si="34"/>
        <v>0</v>
      </c>
      <c r="V150" s="1510">
        <f>IF(ISNA(HLOOKUP($E150,Bonos_Cat_Base,2,FALSE)),0,HLOOKUP($E150,Bonos_Cat_Base,2,FALSE))+Tablas!$Z293*Nivel_Total+10*Y150</f>
        <v>0</v>
      </c>
      <c r="W150" s="1518"/>
      <c r="X150" s="1502"/>
      <c r="Y150" s="1537"/>
      <c r="Z150" s="2872"/>
      <c r="AA150" s="1530">
        <f>IF(AND(T150&lt;5,Tablas!G$303=0),-30,0)+T150+U150+V150+Z150+IF(I150="",0,40)+Bono_ATA-Combate!U16+AD150+AF150</f>
        <v>-30</v>
      </c>
      <c r="AB150" s="3076">
        <f t="shared" si="35"/>
        <v>0</v>
      </c>
      <c r="AC150" s="1694"/>
      <c r="AD150" s="2701">
        <f>Tablas!$K$1746</f>
        <v>0</v>
      </c>
      <c r="AE150" s="3008"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3070">
        <f>IF(AF$123,IF(OR(Region="",ClaseSocial="",Personalización!$AN$21),0,IF(OR(AND(AI150,AJ150),AND(NOT(AI150),NOT(AJ150))),LEFT(AG150,2)+LEFT(AH150,2),0)),0)</f>
        <v>0</v>
      </c>
      <c r="AG150" s="2701" t="e">
        <f>HLOOKUP(Region&amp;ClaseSocial,Tabla_RaicesCulturales,Tablas!F166,FALSE)</f>
        <v>#N/A</v>
      </c>
      <c r="AH150" s="3008">
        <f>IF(AND(E150="Historia",Personalización!$E$26="Historia (Local)"),20&amp;" "&amp;Personalización!$E$26,IF(OR(E150=Personalización!$E$25,E150=Personalización!$E$26),VLOOKUP(E150,Tablas!$L$136:$M$137,2,FALSE),0))</f>
        <v>0</v>
      </c>
      <c r="AI150" s="3008" t="b">
        <f t="shared" si="47"/>
        <v>0</v>
      </c>
      <c r="AJ150" s="3008" t="b">
        <f t="shared" si="48"/>
        <v>0</v>
      </c>
      <c r="AL150" s="1888" t="e">
        <f t="shared" si="38"/>
        <v>#N/A</v>
      </c>
      <c r="AN150" s="1888" t="e">
        <f t="shared" si="39"/>
        <v>#N/A</v>
      </c>
      <c r="AP150" s="1888" t="e">
        <f t="shared" si="40"/>
        <v>#N/A</v>
      </c>
      <c r="AR150" s="1888" t="e">
        <f t="shared" si="41"/>
        <v>#N/A</v>
      </c>
      <c r="AT150" s="1888" t="e">
        <f t="shared" si="42"/>
        <v>#N/A</v>
      </c>
    </row>
    <row r="151" spans="1:46" ht="12" customHeight="1" x14ac:dyDescent="0.2">
      <c r="A151" s="1868"/>
      <c r="B151" s="2145" t="str">
        <f t="shared" si="45"/>
        <v>Intelectuales</v>
      </c>
      <c r="C151" s="3590"/>
      <c r="D151" s="3349"/>
      <c r="E151" s="3528" t="s">
        <v>1755</v>
      </c>
      <c r="F151" s="3529"/>
      <c r="G151" s="3529"/>
      <c r="H151" s="2079" t="s">
        <v>1695</v>
      </c>
      <c r="I151" s="2064"/>
      <c r="J151" s="183">
        <f>IF(ISNA(AL151),0,MAX(MIN(AL151-VLOOKUP("Apto en campo: "&amp;$B151,Tabla_Ventajas,3,FALSE)-Tablas!$O294-2*Tablas!$Q294-3*Tablas!$S294,3),1))</f>
        <v>0</v>
      </c>
      <c r="K151" s="1501"/>
      <c r="L151" s="183">
        <f>IF(ISNA(AN151),0,MAX(MIN(AN151-VLOOKUP("Apto en campo: "&amp;$B151,Tabla_Ventajas,3,FALSE)-Tablas!$O294-2*Tablas!$Q294-3*Tablas!$S294,3),1))</f>
        <v>0</v>
      </c>
      <c r="M151" s="169"/>
      <c r="N151" s="1197">
        <f>IF(ISNA(AP151),0,MAX(MIN(AP151-VLOOKUP("Apto en campo: "&amp;$B151,Tabla_Ventajas,3,FALSE)-Tablas!$O294-2*Tablas!$Q294-3*Tablas!$S294,3),1))</f>
        <v>0</v>
      </c>
      <c r="O151" s="1501"/>
      <c r="P151" s="183">
        <f>IF(ISNA(AR151),0,MAX(MIN(AR151-VLOOKUP("Apto en campo: "&amp;$B151,Tabla_Ventajas,3,FALSE)-Tablas!$O294-2*Tablas!$Q294-3*Tablas!$S294,3),1))</f>
        <v>0</v>
      </c>
      <c r="Q151" s="169"/>
      <c r="R151" s="1197">
        <f>IF(ISNA(AT151),0,MAX(MIN(AT151-VLOOKUP("Apto en campo: "&amp;$B151,Tabla_Ventajas,3,FALSE)-Tablas!$O294-2*Tablas!$Q294-3*Tablas!$S294,3),1))</f>
        <v>0</v>
      </c>
      <c r="S151" s="1501"/>
      <c r="T151" s="1509">
        <f t="shared" si="46"/>
        <v>0</v>
      </c>
      <c r="U151" s="1509">
        <f t="shared" si="34"/>
        <v>0</v>
      </c>
      <c r="V151" s="1509">
        <f>IF(ISNA(HLOOKUP($E151,Bonos_Cat_Base,2,FALSE)),0,HLOOKUP($E151,Bonos_Cat_Base,2,FALSE))+Tablas!$Z294*Nivel_Total+10*Y151</f>
        <v>0</v>
      </c>
      <c r="W151" s="1517"/>
      <c r="X151" s="1501"/>
      <c r="Y151" s="169"/>
      <c r="Z151" s="2871"/>
      <c r="AA151" s="1529">
        <f>IF(AND(T151&lt;5,Tablas!G$303=0),-30,0)+T151+U151+V151+Z151+IF(I151="",0,40)+Bono_ATA-Combate!U16+AD151+AF151</f>
        <v>-30</v>
      </c>
      <c r="AB151" s="3076">
        <f t="shared" si="35"/>
        <v>0</v>
      </c>
      <c r="AC151" s="1694"/>
      <c r="AD151" s="2701">
        <f>Tablas!$K$1746</f>
        <v>0</v>
      </c>
      <c r="AE151" s="3008"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3070">
        <f>IF(AF$123,IF(OR(Region="",ClaseSocial="",Personalización!$AN$21),0,IF(OR(AND(AI151,AJ151),AND(NOT(AI151),NOT(AJ151))),LEFT(AG151,2)+LEFT(AH151,2),0)),0)</f>
        <v>0</v>
      </c>
      <c r="AG151" s="2701" t="e">
        <f>HLOOKUP(Region&amp;ClaseSocial,Tabla_RaicesCulturales,Tablas!F167,FALSE)</f>
        <v>#N/A</v>
      </c>
      <c r="AH151" s="3008">
        <f>IF(AND(E151="Historia",Personalización!$E$26="Historia (Local)"),20&amp;" "&amp;Personalización!$E$26,IF(OR(E151=Personalización!$E$25,E151=Personalización!$E$26),VLOOKUP(E151,Tablas!$L$136:$M$137,2,FALSE),0))</f>
        <v>0</v>
      </c>
      <c r="AI151" s="3008" t="b">
        <f t="shared" si="47"/>
        <v>0</v>
      </c>
      <c r="AJ151" s="3008" t="b">
        <f t="shared" si="48"/>
        <v>0</v>
      </c>
      <c r="AL151" s="1888" t="e">
        <f t="shared" si="38"/>
        <v>#N/A</v>
      </c>
      <c r="AN151" s="1888" t="e">
        <f t="shared" si="39"/>
        <v>#N/A</v>
      </c>
      <c r="AP151" s="1888" t="e">
        <f t="shared" si="40"/>
        <v>#N/A</v>
      </c>
      <c r="AR151" s="1888" t="e">
        <f t="shared" si="41"/>
        <v>#N/A</v>
      </c>
      <c r="AT151" s="1888" t="e">
        <f t="shared" si="42"/>
        <v>#N/A</v>
      </c>
    </row>
    <row r="152" spans="1:46" ht="12" customHeight="1" x14ac:dyDescent="0.2">
      <c r="A152" s="1868"/>
      <c r="B152" s="2145" t="str">
        <f t="shared" si="45"/>
        <v>Intelectuales</v>
      </c>
      <c r="C152" s="3590"/>
      <c r="D152" s="3349"/>
      <c r="E152" s="3526" t="s">
        <v>1756</v>
      </c>
      <c r="F152" s="3527"/>
      <c r="G152" s="3527"/>
      <c r="H152" s="2080" t="s">
        <v>1695</v>
      </c>
      <c r="I152" s="1670"/>
      <c r="J152" s="184">
        <f>IF(ISNA(AL152),0,MAX(MIN(AL152-VLOOKUP("Apto en campo: "&amp;$B152,Tabla_Ventajas,3,FALSE)-Tablas!$O295-2*Tablas!$Q295-3*Tablas!$S295,3),1))</f>
        <v>0</v>
      </c>
      <c r="K152" s="1502"/>
      <c r="L152" s="184">
        <f>IF(ISNA(AN152),0,MAX(MIN(AN152-VLOOKUP("Apto en campo: "&amp;$B152,Tabla_Ventajas,3,FALSE)-Tablas!$O295-2*Tablas!$Q295-3*Tablas!$S295,3),1))</f>
        <v>0</v>
      </c>
      <c r="M152" s="1537"/>
      <c r="N152" s="1198">
        <f>IF(ISNA(AP152),0,MAX(MIN(AP152-VLOOKUP("Apto en campo: "&amp;$B152,Tabla_Ventajas,3,FALSE)-Tablas!$O295-2*Tablas!$Q295-3*Tablas!$S295,3),1))</f>
        <v>0</v>
      </c>
      <c r="O152" s="1502"/>
      <c r="P152" s="184">
        <f>IF(ISNA(AR152),0,MAX(MIN(AR152-VLOOKUP("Apto en campo: "&amp;$B152,Tabla_Ventajas,3,FALSE)-Tablas!$O295-2*Tablas!$Q295-3*Tablas!$S295,3),1))</f>
        <v>0</v>
      </c>
      <c r="Q152" s="1537"/>
      <c r="R152" s="1198">
        <f>IF(ISNA(AT152),0,MAX(MIN(AT152-VLOOKUP("Apto en campo: "&amp;$B152,Tabla_Ventajas,3,FALSE)-Tablas!$O295-2*Tablas!$Q295-3*Tablas!$S295,3),1))</f>
        <v>0</v>
      </c>
      <c r="S152" s="1502"/>
      <c r="T152" s="1510">
        <f t="shared" si="46"/>
        <v>0</v>
      </c>
      <c r="U152" s="1510">
        <f t="shared" si="34"/>
        <v>0</v>
      </c>
      <c r="V152" s="1510">
        <f>IF(ISNA(HLOOKUP($E152,Bonos_Cat_Base,2,FALSE)),0,HLOOKUP($E152,Bonos_Cat_Base,2,FALSE))+Tablas!$Z295*Nivel_Total+10*Y152</f>
        <v>0</v>
      </c>
      <c r="W152" s="1518"/>
      <c r="X152" s="1502"/>
      <c r="Y152" s="1537"/>
      <c r="Z152" s="2872"/>
      <c r="AA152" s="1530">
        <f>IF(AND(T152&lt;5,Tablas!G$303=0),-30,0)+T152+U152+V152+Z152+IF(I152="",0,40)+Bono_ATA-Combate!U16+AD152+AF152</f>
        <v>-30</v>
      </c>
      <c r="AB152" s="3076">
        <f t="shared" si="35"/>
        <v>0</v>
      </c>
      <c r="AC152" s="1694"/>
      <c r="AD152" s="2701">
        <f>Tablas!$K$1746+Tablas!$K$1796</f>
        <v>0</v>
      </c>
      <c r="AE152" s="3008"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3070">
        <f>IF(AF$123,IF(OR(Region="",ClaseSocial="",Personalización!$AN$21),0,IF(OR(AND(AI152,AJ152),AND(NOT(AI152),NOT(AJ152))),LEFT(AG152,2)+LEFT(AH152,2),0)),0)</f>
        <v>0</v>
      </c>
      <c r="AG152" s="2701" t="e">
        <f>HLOOKUP(Region&amp;ClaseSocial,Tabla_RaicesCulturales,Tablas!F168,FALSE)</f>
        <v>#N/A</v>
      </c>
      <c r="AH152" s="3008">
        <f>IF(AND(E152="Historia",Personalización!$E$26="Historia (Local)"),20&amp;" "&amp;Personalización!$E$26,IF(OR(E152=Personalización!$E$25,E152=Personalización!$E$26),VLOOKUP(E152,Tablas!$L$136:$M$137,2,FALSE),0))</f>
        <v>0</v>
      </c>
      <c r="AI152" s="3008" t="b">
        <f t="shared" si="47"/>
        <v>0</v>
      </c>
      <c r="AJ152" s="3008" t="b">
        <f t="shared" si="48"/>
        <v>0</v>
      </c>
      <c r="AL152" s="1888" t="e">
        <f t="shared" si="38"/>
        <v>#N/A</v>
      </c>
      <c r="AN152" s="1888" t="e">
        <f t="shared" si="39"/>
        <v>#N/A</v>
      </c>
      <c r="AP152" s="1888" t="e">
        <f t="shared" si="40"/>
        <v>#N/A</v>
      </c>
      <c r="AR152" s="1888" t="e">
        <f t="shared" si="41"/>
        <v>#N/A</v>
      </c>
      <c r="AT152" s="1888" t="e">
        <f t="shared" si="42"/>
        <v>#N/A</v>
      </c>
    </row>
    <row r="153" spans="1:46" ht="12" customHeight="1" x14ac:dyDescent="0.2">
      <c r="A153" s="1868"/>
      <c r="B153" s="2145" t="str">
        <f t="shared" si="45"/>
        <v>Intelectuales</v>
      </c>
      <c r="C153" s="3590"/>
      <c r="D153" s="3349"/>
      <c r="E153" s="3528" t="s">
        <v>1757</v>
      </c>
      <c r="F153" s="3529"/>
      <c r="G153" s="3529"/>
      <c r="H153" s="2079" t="s">
        <v>1695</v>
      </c>
      <c r="I153" s="2064"/>
      <c r="J153" s="183">
        <f>IF(ISNA(AL153),0,MAX(MIN(AL153-VLOOKUP("Apto en campo: "&amp;$B153,Tabla_Ventajas,3,FALSE)-Tablas!$O296-2*Tablas!$Q296-3*Tablas!$S296,3),1))</f>
        <v>0</v>
      </c>
      <c r="K153" s="1501"/>
      <c r="L153" s="183">
        <f>IF(ISNA(AN153),0,MAX(MIN(AN153-VLOOKUP("Apto en campo: "&amp;$B153,Tabla_Ventajas,3,FALSE)-Tablas!$O296-2*Tablas!$Q296-3*Tablas!$S296,3),1))</f>
        <v>0</v>
      </c>
      <c r="M153" s="169"/>
      <c r="N153" s="1197">
        <f>IF(ISNA(AP153),0,MAX(MIN(AP153-VLOOKUP("Apto en campo: "&amp;$B153,Tabla_Ventajas,3,FALSE)-Tablas!$O296-2*Tablas!$Q296-3*Tablas!$S296,3),1))</f>
        <v>0</v>
      </c>
      <c r="O153" s="1501"/>
      <c r="P153" s="183">
        <f>IF(ISNA(AR153),0,MAX(MIN(AR153-VLOOKUP("Apto en campo: "&amp;$B153,Tabla_Ventajas,3,FALSE)-Tablas!$O296-2*Tablas!$Q296-3*Tablas!$S296,3),1))</f>
        <v>0</v>
      </c>
      <c r="Q153" s="169"/>
      <c r="R153" s="1197">
        <f>IF(ISNA(AT153),0,MAX(MIN(AT153-VLOOKUP("Apto en campo: "&amp;$B153,Tabla_Ventajas,3,FALSE)-Tablas!$O296-2*Tablas!$Q296-3*Tablas!$S296,3),1))</f>
        <v>0</v>
      </c>
      <c r="S153" s="1501"/>
      <c r="T153" s="1509">
        <f t="shared" si="46"/>
        <v>0</v>
      </c>
      <c r="U153" s="1509">
        <f t="shared" si="34"/>
        <v>0</v>
      </c>
      <c r="V153" s="1509">
        <f>IF(ISNA(HLOOKUP($E153,Bonos_Cat_Base,2,FALSE)),0,HLOOKUP($E153,Bonos_Cat_Base,2,FALSE))+Tablas!$Z296*Nivel_Total+10*Y153</f>
        <v>0</v>
      </c>
      <c r="W153" s="1517"/>
      <c r="X153" s="1501"/>
      <c r="Y153" s="169"/>
      <c r="Z153" s="2871"/>
      <c r="AA153" s="1529" t="str">
        <f>IF(AND(T153&lt;5,Tablas!G$303=0),"-",T153+U153+V153+Z153+IF(I153="",0,40)+Bono_ATA-Combate!U16+AD153+AF153)</f>
        <v>-</v>
      </c>
      <c r="AB153" s="3076">
        <f t="shared" si="35"/>
        <v>0</v>
      </c>
      <c r="AC153" s="1694"/>
      <c r="AD153" s="2701">
        <f>Tablas!$K$1746</f>
        <v>0</v>
      </c>
      <c r="AE153" s="3008"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3070">
        <f>IF(AF$123,IF(OR(Region="",ClaseSocial="",Personalización!$AN$21),0,IF(OR(AND(AI153,AJ153),AND(NOT(AI153),NOT(AJ153))),LEFT(AG153,2)+LEFT(AH153,2),0)),0)</f>
        <v>0</v>
      </c>
      <c r="AG153" s="2701" t="e">
        <f>HLOOKUP(Region&amp;ClaseSocial,Tabla_RaicesCulturales,Tablas!F169,FALSE)</f>
        <v>#N/A</v>
      </c>
      <c r="AH153" s="3008">
        <f>IF(AND(E153="Historia",Personalización!$E$26="Historia (Local)"),20&amp;" "&amp;Personalización!$E$26,IF(OR(E153=Personalización!$E$25,E153=Personalización!$E$26),VLOOKUP(E153,Tablas!$L$136:$M$137,2,FALSE),0))</f>
        <v>0</v>
      </c>
      <c r="AI153" s="3008" t="b">
        <f t="shared" si="47"/>
        <v>0</v>
      </c>
      <c r="AJ153" s="3008" t="b">
        <f t="shared" si="48"/>
        <v>0</v>
      </c>
      <c r="AL153" s="1888" t="e">
        <f t="shared" si="38"/>
        <v>#N/A</v>
      </c>
      <c r="AN153" s="1888" t="e">
        <f t="shared" si="39"/>
        <v>#N/A</v>
      </c>
      <c r="AP153" s="1888" t="e">
        <f t="shared" si="40"/>
        <v>#N/A</v>
      </c>
      <c r="AR153" s="1888" t="e">
        <f t="shared" si="41"/>
        <v>#N/A</v>
      </c>
      <c r="AT153" s="1888" t="e">
        <f t="shared" si="42"/>
        <v>#N/A</v>
      </c>
    </row>
    <row r="154" spans="1:46" ht="12" customHeight="1" x14ac:dyDescent="0.2">
      <c r="A154" s="1868"/>
      <c r="B154" s="2145" t="str">
        <f t="shared" si="45"/>
        <v>Intelectuales</v>
      </c>
      <c r="C154" s="3590"/>
      <c r="D154" s="3350"/>
      <c r="E154" s="3534" t="s">
        <v>1758</v>
      </c>
      <c r="F154" s="3535"/>
      <c r="G154" s="3535"/>
      <c r="H154" s="2083" t="s">
        <v>1700</v>
      </c>
      <c r="I154" s="2068"/>
      <c r="J154" s="1494">
        <f>IF(ISNA(AL154),0,MAX(MIN(AL154-VLOOKUP("Apto en campo: "&amp;$B154,Tabla_Ventajas,3,FALSE)-Tablas!$O297-2*Tablas!$Q297-3*Tablas!$S297,3),1))</f>
        <v>0</v>
      </c>
      <c r="K154" s="1504"/>
      <c r="L154" s="1494">
        <f>IF(ISNA(AN154),0,MAX(MIN(AN154-VLOOKUP("Apto en campo: "&amp;$B154,Tabla_Ventajas,3,FALSE)-Tablas!$O297-2*Tablas!$Q297-3*Tablas!$S297,3),1))</f>
        <v>0</v>
      </c>
      <c r="M154" s="1495"/>
      <c r="N154" s="1503">
        <f>IF(ISNA(AP154),0,MAX(MIN(AP154-VLOOKUP("Apto en campo: "&amp;$B154,Tabla_Ventajas,3,FALSE)-Tablas!$O297-2*Tablas!$Q297-3*Tablas!$S297,3),1))</f>
        <v>0</v>
      </c>
      <c r="O154" s="1504"/>
      <c r="P154" s="1494">
        <f>IF(ISNA(AR154),0,MAX(MIN(AR154-VLOOKUP("Apto en campo: "&amp;$B154,Tabla_Ventajas,3,FALSE)-Tablas!$O297-2*Tablas!$Q297-3*Tablas!$S297,3),1))</f>
        <v>0</v>
      </c>
      <c r="Q154" s="1495"/>
      <c r="R154" s="1503">
        <f>IF(ISNA(AT154),0,MAX(MIN(AT154-VLOOKUP("Apto en campo: "&amp;$B154,Tabla_Ventajas,3,FALSE)-Tablas!$O297-2*Tablas!$Q297-3*Tablas!$S297,3),1))</f>
        <v>0</v>
      </c>
      <c r="S154" s="1504"/>
      <c r="T154" s="1511">
        <f t="shared" si="46"/>
        <v>0</v>
      </c>
      <c r="U154" s="1511">
        <f t="shared" si="34"/>
        <v>0</v>
      </c>
      <c r="V154" s="1511">
        <f>IF(ISNA(HLOOKUP($E154,Bonos_Cat_Base,2,FALSE)),0,HLOOKUP($E154,Bonos_Cat_Base,2,FALSE))+Tablas!$Z297*Nivel_Total+10*Y154</f>
        <v>0</v>
      </c>
      <c r="W154" s="1519"/>
      <c r="X154" s="1504"/>
      <c r="Y154" s="1495"/>
      <c r="Z154" s="2875"/>
      <c r="AA154" s="1531" t="str">
        <f>IF(AND(T154&lt;5,Tablas!G$303=0),"-",T154+U154+V154+Z154+IF(I154="",0,40)+Bono_ATA-Combate!U16+AD154+AF154)</f>
        <v>-</v>
      </c>
      <c r="AB154" s="3076">
        <f t="shared" si="35"/>
        <v>0</v>
      </c>
      <c r="AC154" s="1694"/>
      <c r="AD154" s="2701">
        <f>Tablas!$K$1746</f>
        <v>0</v>
      </c>
      <c r="AE154" s="3008"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3070">
        <f>IF(AF$123,IF(OR(Region="",ClaseSocial="",Personalización!$AN$21),0,IF(OR(AND(AI154,AJ154),AND(NOT(AI154),NOT(AJ154))),LEFT(AG154,2)+LEFT(AH154,2),0)),0)</f>
        <v>0</v>
      </c>
      <c r="AG154" s="2701" t="e">
        <f>HLOOKUP(Region&amp;ClaseSocial,Tabla_RaicesCulturales,Tablas!F170,FALSE)</f>
        <v>#N/A</v>
      </c>
      <c r="AH154" s="3008">
        <f>IF(AND(E154="Historia",Personalización!$E$26="Historia (Local)"),20&amp;" "&amp;Personalización!$E$26,IF(OR(E154=Personalización!$E$25,E154=Personalización!$E$26),VLOOKUP(E154,Tablas!$L$136:$M$137,2,FALSE),0))</f>
        <v>0</v>
      </c>
      <c r="AI154" s="3008" t="b">
        <f t="shared" si="47"/>
        <v>0</v>
      </c>
      <c r="AJ154" s="3008" t="b">
        <f t="shared" si="48"/>
        <v>0</v>
      </c>
      <c r="AL154" s="1888" t="e">
        <f t="shared" si="38"/>
        <v>#N/A</v>
      </c>
      <c r="AN154" s="1888" t="e">
        <f t="shared" si="39"/>
        <v>#N/A</v>
      </c>
      <c r="AP154" s="1888" t="e">
        <f t="shared" si="40"/>
        <v>#N/A</v>
      </c>
      <c r="AR154" s="1888" t="e">
        <f t="shared" si="41"/>
        <v>#N/A</v>
      </c>
      <c r="AT154" s="1888" t="e">
        <f t="shared" si="42"/>
        <v>#N/A</v>
      </c>
    </row>
    <row r="155" spans="1:46" ht="12" customHeight="1" x14ac:dyDescent="0.2">
      <c r="A155" s="1868"/>
      <c r="B155" s="2145" t="str">
        <f>D155</f>
        <v>Vigor</v>
      </c>
      <c r="C155" s="3590"/>
      <c r="D155" s="3349" t="s">
        <v>1759</v>
      </c>
      <c r="E155" s="3528" t="s">
        <v>1760</v>
      </c>
      <c r="F155" s="3529"/>
      <c r="G155" s="3529"/>
      <c r="H155" s="2079" t="s">
        <v>1701</v>
      </c>
      <c r="I155" s="2064"/>
      <c r="J155" s="183">
        <f>IF(ISNA(AL155),0,MAX(MIN(AL155-VLOOKUP("Apto en campo: "&amp;$B155,Tabla_Ventajas,3,FALSE)-Tablas!$O298-2*Tablas!$Q298-3*Tablas!$S298,3),1))</f>
        <v>0</v>
      </c>
      <c r="K155" s="1501"/>
      <c r="L155" s="183">
        <f>IF(ISNA(AN155),0,MAX(MIN(AN155-VLOOKUP("Apto en campo: "&amp;$B155,Tabla_Ventajas,3,FALSE)-Tablas!$O298-2*Tablas!$Q298-3*Tablas!$S298,3),1))</f>
        <v>0</v>
      </c>
      <c r="M155" s="169"/>
      <c r="N155" s="1197">
        <f>IF(ISNA(AP155),0,MAX(MIN(AP155-VLOOKUP("Apto en campo: "&amp;$B155,Tabla_Ventajas,3,FALSE)-Tablas!$O298-2*Tablas!$Q298-3*Tablas!$S298,3),1))</f>
        <v>0</v>
      </c>
      <c r="O155" s="1501"/>
      <c r="P155" s="183">
        <f>IF(ISNA(AR155),0,MAX(MIN(AR155-VLOOKUP("Apto en campo: "&amp;$B155,Tabla_Ventajas,3,FALSE)-Tablas!$O298-2*Tablas!$Q298-3*Tablas!$S298,3),1))</f>
        <v>0</v>
      </c>
      <c r="Q155" s="169"/>
      <c r="R155" s="1197">
        <f>IF(ISNA(AT155),0,MAX(MIN(AT155-VLOOKUP("Apto en campo: "&amp;$B155,Tabla_Ventajas,3,FALSE)-Tablas!$O298-2*Tablas!$Q298-3*Tablas!$S298,3),1))</f>
        <v>0</v>
      </c>
      <c r="S155" s="1501"/>
      <c r="T155" s="1509">
        <f t="shared" si="46"/>
        <v>0</v>
      </c>
      <c r="U155" s="1509">
        <f t="shared" si="34"/>
        <v>0</v>
      </c>
      <c r="V155" s="1509">
        <f>IF(ISNA(HLOOKUP($E155,Bonos_Cat_Base,2,FALSE)),0,HLOOKUP($E155,Bonos_Cat_Base,2,FALSE))+Tablas!$Z298*Nivel_Total+10*Y155</f>
        <v>0</v>
      </c>
      <c r="W155" s="1517"/>
      <c r="X155" s="1501"/>
      <c r="Y155" s="169"/>
      <c r="Z155" s="2871"/>
      <c r="AA155" s="1529">
        <f>IF(AND(T155&lt;5,Tablas!G$303=0),-30,0)+T155+U155+V155+Z155+IF(I155="",0,40)+Bono_ATA-Combate!U16+AD155+AF155</f>
        <v>-30</v>
      </c>
      <c r="AB155" s="3076">
        <f t="shared" si="35"/>
        <v>0</v>
      </c>
      <c r="AC155" s="1694"/>
      <c r="AD155" s="2701">
        <f>Tablas!$K$1809+Tablas!$K$1871</f>
        <v>0</v>
      </c>
      <c r="AE155" s="3008"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3070">
        <f>IF(AF$123,IF(OR(Region="",ClaseSocial="",Personalización!$AN$21),0,IF(OR(AND(AI155,AJ155),AND(NOT(AI155),NOT(AJ155))),LEFT(AG155,2)+LEFT(AH155,2),0)),0)</f>
        <v>0</v>
      </c>
      <c r="AG155" s="2701" t="e">
        <f>HLOOKUP(Region&amp;ClaseSocial,Tabla_RaicesCulturales,Tablas!F171,FALSE)</f>
        <v>#N/A</v>
      </c>
      <c r="AH155" s="3008">
        <f>IF(AND(E155="Historia",Personalización!$E$26="Historia (Local)"),20&amp;" "&amp;Personalización!$E$26,IF(OR(E155=Personalización!$E$25,E155=Personalización!$E$26),VLOOKUP(E155,Tablas!$L$136:$M$137,2,FALSE),0))</f>
        <v>0</v>
      </c>
      <c r="AI155" s="3008" t="b">
        <f t="shared" si="47"/>
        <v>0</v>
      </c>
      <c r="AJ155" s="3008" t="b">
        <f t="shared" si="48"/>
        <v>0</v>
      </c>
      <c r="AL155" s="1888" t="e">
        <f t="shared" si="38"/>
        <v>#N/A</v>
      </c>
      <c r="AN155" s="1888" t="e">
        <f t="shared" si="39"/>
        <v>#N/A</v>
      </c>
      <c r="AP155" s="1888" t="e">
        <f t="shared" si="40"/>
        <v>#N/A</v>
      </c>
      <c r="AR155" s="1888" t="e">
        <f t="shared" si="41"/>
        <v>#N/A</v>
      </c>
      <c r="AT155" s="1888" t="e">
        <f t="shared" si="42"/>
        <v>#N/A</v>
      </c>
    </row>
    <row r="156" spans="1:46" ht="12" customHeight="1" x14ac:dyDescent="0.2">
      <c r="A156" s="1868"/>
      <c r="B156" s="2145" t="str">
        <f>B155</f>
        <v>Vigor</v>
      </c>
      <c r="C156" s="3590"/>
      <c r="D156" s="3349"/>
      <c r="E156" s="3526" t="s">
        <v>1761</v>
      </c>
      <c r="F156" s="3527"/>
      <c r="G156" s="3527"/>
      <c r="H156" s="2080" t="s">
        <v>1692</v>
      </c>
      <c r="I156" s="2065"/>
      <c r="J156" s="184">
        <f>IF(ISNA(AL156),0,MAX(MIN(AL156-VLOOKUP("Apto en campo: "&amp;$B156,Tabla_Ventajas,3,FALSE)-Tablas!$O299-2*Tablas!$Q299-3*Tablas!$S299,3),1))</f>
        <v>0</v>
      </c>
      <c r="K156" s="1502"/>
      <c r="L156" s="184">
        <f>IF(ISNA(AN156),0,MAX(MIN(AN156-VLOOKUP("Apto en campo: "&amp;$B156,Tabla_Ventajas,3,FALSE)-Tablas!$O299-2*Tablas!$Q299-3*Tablas!$S299,3),1))</f>
        <v>0</v>
      </c>
      <c r="M156" s="1537"/>
      <c r="N156" s="1198">
        <f>IF(ISNA(AP156),0,MAX(MIN(AP156-VLOOKUP("Apto en campo: "&amp;$B156,Tabla_Ventajas,3,FALSE)-Tablas!$O299-2*Tablas!$Q299-3*Tablas!$S299,3),1))</f>
        <v>0</v>
      </c>
      <c r="O156" s="1502"/>
      <c r="P156" s="184">
        <f>IF(ISNA(AR156),0,MAX(MIN(AR156-VLOOKUP("Apto en campo: "&amp;$B156,Tabla_Ventajas,3,FALSE)-Tablas!$O299-2*Tablas!$Q299-3*Tablas!$S299,3),1))</f>
        <v>0</v>
      </c>
      <c r="Q156" s="1537"/>
      <c r="R156" s="1198">
        <f>IF(ISNA(AT156),0,MAX(MIN(AT156-VLOOKUP("Apto en campo: "&amp;$B156,Tabla_Ventajas,3,FALSE)-Tablas!$O299-2*Tablas!$Q299-3*Tablas!$S299,3),1))</f>
        <v>0</v>
      </c>
      <c r="S156" s="1502"/>
      <c r="T156" s="1510">
        <f t="shared" si="46"/>
        <v>0</v>
      </c>
      <c r="U156" s="1510">
        <f t="shared" si="34"/>
        <v>0</v>
      </c>
      <c r="V156" s="1510">
        <f>IF(ISNA(HLOOKUP($E156,Bonos_Cat_Base,2,FALSE)),0,HLOOKUP($E156,Bonos_Cat_Base,2,FALSE))+Tablas!$Z299*Nivel_Total+10*Y156</f>
        <v>0</v>
      </c>
      <c r="W156" s="1518"/>
      <c r="X156" s="1502"/>
      <c r="Y156" s="1537"/>
      <c r="Z156" s="2872"/>
      <c r="AA156" s="1530">
        <f>IF(AND(T156&lt;5,Tablas!G$303=0),-30,0)+T156+U156+V156+Z156+IF(I156="",0,40)+Bono_ATA+AD156+AF156</f>
        <v>-30</v>
      </c>
      <c r="AB156" s="3076">
        <f t="shared" si="35"/>
        <v>0</v>
      </c>
      <c r="AC156" s="1694"/>
      <c r="AE156" s="3008"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3070">
        <f>IF(AF$123,IF(OR(Region="",ClaseSocial="",Personalización!$AN$21),0,IF(OR(AND(AI156,AJ156),AND(NOT(AI156),NOT(AJ156))),LEFT(AG156,2)+LEFT(AH156,2),0)),0)</f>
        <v>0</v>
      </c>
      <c r="AG156" s="2701" t="e">
        <f>HLOOKUP(Region&amp;ClaseSocial,Tabla_RaicesCulturales,Tablas!F172,FALSE)</f>
        <v>#N/A</v>
      </c>
      <c r="AH156" s="3008">
        <f>IF(AND(E156="Historia",Personalización!$E$26="Historia (Local)"),20&amp;" "&amp;Personalización!$E$26,IF(OR(E156=Personalización!$E$25,E156=Personalización!$E$26),VLOOKUP(E156,Tablas!$L$136:$M$137,2,FALSE),0))</f>
        <v>0</v>
      </c>
      <c r="AI156" s="3008" t="b">
        <f t="shared" si="47"/>
        <v>0</v>
      </c>
      <c r="AJ156" s="3008" t="b">
        <f t="shared" si="48"/>
        <v>0</v>
      </c>
      <c r="AL156" s="1888" t="e">
        <f t="shared" si="38"/>
        <v>#N/A</v>
      </c>
      <c r="AN156" s="1888" t="e">
        <f t="shared" si="39"/>
        <v>#N/A</v>
      </c>
      <c r="AP156" s="1888" t="e">
        <f t="shared" si="40"/>
        <v>#N/A</v>
      </c>
      <c r="AR156" s="1888" t="e">
        <f t="shared" si="41"/>
        <v>#N/A</v>
      </c>
      <c r="AT156" s="1888" t="e">
        <f t="shared" si="42"/>
        <v>#N/A</v>
      </c>
    </row>
    <row r="157" spans="1:46" ht="12" customHeight="1" x14ac:dyDescent="0.2">
      <c r="A157" s="1868"/>
      <c r="B157" s="2145" t="str">
        <f>B156</f>
        <v>Vigor</v>
      </c>
      <c r="C157" s="3590"/>
      <c r="D157" s="3349"/>
      <c r="E157" s="3528" t="s">
        <v>1764</v>
      </c>
      <c r="F157" s="3529"/>
      <c r="G157" s="3529"/>
      <c r="H157" s="2079" t="s">
        <v>1701</v>
      </c>
      <c r="I157" s="2064"/>
      <c r="J157" s="183">
        <f>IF(ISNA(AL157),0,MAX(MIN(AL157-VLOOKUP("Apto en campo: "&amp;$B157,Tabla_Ventajas,3,FALSE)-Tablas!$O300-2*Tablas!$Q300-3*Tablas!$S300,3),1))</f>
        <v>0</v>
      </c>
      <c r="K157" s="1501"/>
      <c r="L157" s="183">
        <f>IF(ISNA(AN157),0,MAX(MIN(AN157-VLOOKUP("Apto en campo: "&amp;$B157,Tabla_Ventajas,3,FALSE)-Tablas!$O300-2*Tablas!$Q300-3*Tablas!$S300,3),1))</f>
        <v>0</v>
      </c>
      <c r="M157" s="169"/>
      <c r="N157" s="1197">
        <f>IF(ISNA(AP157),0,MAX(MIN(AP157-VLOOKUP("Apto en campo: "&amp;$B157,Tabla_Ventajas,3,FALSE)-Tablas!$O300-2*Tablas!$Q300-3*Tablas!$S300,3),1))</f>
        <v>0</v>
      </c>
      <c r="O157" s="1501"/>
      <c r="P157" s="183">
        <f>IF(ISNA(AR157),0,MAX(MIN(AR157-VLOOKUP("Apto en campo: "&amp;$B157,Tabla_Ventajas,3,FALSE)-Tablas!$O300-2*Tablas!$Q300-3*Tablas!$S300,3),1))</f>
        <v>0</v>
      </c>
      <c r="Q157" s="169"/>
      <c r="R157" s="1197">
        <f>IF(ISNA(AT157),0,MAX(MIN(AT157-VLOOKUP("Apto en campo: "&amp;$B157,Tabla_Ventajas,3,FALSE)-Tablas!$O300-2*Tablas!$Q300-3*Tablas!$S300,3),1))</f>
        <v>0</v>
      </c>
      <c r="S157" s="1501"/>
      <c r="T157" s="1509">
        <f t="shared" si="46"/>
        <v>0</v>
      </c>
      <c r="U157" s="1509">
        <f t="shared" si="34"/>
        <v>0</v>
      </c>
      <c r="V157" s="1509">
        <f>IF(ISNA(HLOOKUP($E157,Bonos_Cat_Base,2,FALSE)),0,HLOOKUP($E157,Bonos_Cat_Base,2,FALSE))+Tablas!$Z300*Nivel_Total+10*Y157</f>
        <v>0</v>
      </c>
      <c r="W157" s="1517"/>
      <c r="X157" s="1501"/>
      <c r="Y157" s="169"/>
      <c r="Z157" s="2871"/>
      <c r="AA157" s="1529">
        <f>IF(AND(T157&lt;5,Tablas!G$303=0),-30,0)+T157+U157+V157+Z157+IF(I157="",0,40)+Bono_ATA-Combate!U16+AD157+AF157</f>
        <v>-30</v>
      </c>
      <c r="AB157" s="3076">
        <f t="shared" si="35"/>
        <v>0</v>
      </c>
      <c r="AC157" s="1694"/>
      <c r="AD157" s="2701">
        <f>Tablas!$K$1871</f>
        <v>0</v>
      </c>
      <c r="AE157" s="3008"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3070">
        <f>IF(AF$123,IF(OR(Region="",ClaseSocial="",Personalización!$AN$21),0,IF(OR(AND(AI157,AJ157),AND(NOT(AI157),NOT(AJ157))),LEFT(AG157,2)+LEFT(AH157,2),0)),0)</f>
        <v>0</v>
      </c>
      <c r="AG157" s="2701" t="e">
        <f>HLOOKUP(Region&amp;ClaseSocial,Tabla_RaicesCulturales,Tablas!F173,FALSE)</f>
        <v>#N/A</v>
      </c>
      <c r="AH157" s="3008">
        <f>IF(AND(E157="Historia",Personalización!$E$26="Historia (Local)"),20&amp;" "&amp;Personalización!$E$26,IF(OR(E157=Personalización!$E$25,E157=Personalización!$E$26),VLOOKUP(E157,Tablas!$L$136:$M$137,2,FALSE),0))</f>
        <v>0</v>
      </c>
      <c r="AI157" s="3008" t="b">
        <f t="shared" si="47"/>
        <v>0</v>
      </c>
      <c r="AJ157" s="3008" t="b">
        <f t="shared" si="48"/>
        <v>0</v>
      </c>
      <c r="AL157" s="1888" t="e">
        <f t="shared" si="38"/>
        <v>#N/A</v>
      </c>
      <c r="AN157" s="1888" t="e">
        <f t="shared" si="39"/>
        <v>#N/A</v>
      </c>
      <c r="AP157" s="1888" t="e">
        <f t="shared" si="40"/>
        <v>#N/A</v>
      </c>
      <c r="AR157" s="1888" t="e">
        <f t="shared" si="41"/>
        <v>#N/A</v>
      </c>
      <c r="AT157" s="1888" t="e">
        <f t="shared" si="42"/>
        <v>#N/A</v>
      </c>
    </row>
    <row r="158" spans="1:46" ht="12" customHeight="1" x14ac:dyDescent="0.2">
      <c r="A158" s="1868"/>
      <c r="B158" s="2145" t="str">
        <f>D158</f>
        <v>Subterfugio</v>
      </c>
      <c r="C158" s="3590"/>
      <c r="D158" s="3524" t="s">
        <v>1767</v>
      </c>
      <c r="E158" s="3812" t="s">
        <v>1768</v>
      </c>
      <c r="F158" s="3760"/>
      <c r="G158" s="3760"/>
      <c r="H158" s="2084" t="s">
        <v>1687</v>
      </c>
      <c r="I158" s="2069"/>
      <c r="J158" s="1499">
        <f>IF(ISNA(AL158),0,MAX(MIN(AL158-VLOOKUP("Apto en campo: "&amp;$B158,Tabla_Ventajas,3,FALSE)-Tablas!$O301-2*Tablas!$Q301-3*Tablas!$S301,3),1))</f>
        <v>0</v>
      </c>
      <c r="K158" s="1500"/>
      <c r="L158" s="1499">
        <f>IF(ISNA(AN158),0,MAX(MIN(AN158-VLOOKUP("Apto en campo: "&amp;$B158,Tabla_Ventajas,3,FALSE)-Tablas!$O301-2*Tablas!$Q301-3*Tablas!$S301,3),1))</f>
        <v>0</v>
      </c>
      <c r="M158" s="1493"/>
      <c r="N158" s="1196">
        <f>IF(ISNA(AP158),0,MAX(MIN(AP158-VLOOKUP("Apto en campo: "&amp;$B158,Tabla_Ventajas,3,FALSE)-Tablas!$O301-2*Tablas!$Q301-3*Tablas!$S301,3),1))</f>
        <v>0</v>
      </c>
      <c r="O158" s="1500"/>
      <c r="P158" s="1499">
        <f>IF(ISNA(AR158),0,MAX(MIN(AR158-VLOOKUP("Apto en campo: "&amp;$B158,Tabla_Ventajas,3,FALSE)-Tablas!$O301-2*Tablas!$Q301-3*Tablas!$S301,3),1))</f>
        <v>0</v>
      </c>
      <c r="Q158" s="1493"/>
      <c r="R158" s="1196">
        <f>IF(ISNA(AT158),0,MAX(MIN(AT158-VLOOKUP("Apto en campo: "&amp;$B158,Tabla_Ventajas,3,FALSE)-Tablas!$O301-2*Tablas!$Q301-3*Tablas!$S301,3),1))</f>
        <v>0</v>
      </c>
      <c r="S158" s="1500"/>
      <c r="T158" s="1508">
        <f t="shared" ref="T158:T181" si="49">IF(J158=0,0,TRUNC(K158/J158,0))+IF(L158=0,0,TRUNC(M158/L158,0))+IF(N158=0,0,TRUNC(O158/N158,0))+IF(P158=0,0,TRUNC(Q158/P158,0))+IF(R158=0,0,TRUNC(S158/R158,0))</f>
        <v>0</v>
      </c>
      <c r="U158" s="1508">
        <f t="shared" ref="U158:U176" si="50">MIN(VLOOKUP($H158,Tabla_Características,5)*(1+W158)+10*Con.TodasMaterias+10*X158,100)</f>
        <v>0</v>
      </c>
      <c r="V158" s="1508">
        <f>IF(ISNA(HLOOKUP($E158,Bonos_Cat_Base,2,FALSE)),0,HLOOKUP($E158,Bonos_Cat_Base,2,FALSE))+Tablas!$Z301*Nivel_Total+10*Y158</f>
        <v>0</v>
      </c>
      <c r="W158" s="1516"/>
      <c r="X158" s="1500"/>
      <c r="Y158" s="1493"/>
      <c r="Z158" s="2876"/>
      <c r="AA158" s="1534">
        <f>IF(AND(T158&lt;5,Tablas!G$303=0),-30,0)+T158+U158+V158+Z158+IF(I158="",0,40)+Bono_ATA+AD158+AF158</f>
        <v>-30</v>
      </c>
      <c r="AB158" s="3076">
        <f t="shared" ref="AB158:AB181" si="51">IF(AA158="-",0,IF(AA158&gt;VLOOKUP(Nivel_Total,Tabla_LímiteSecundarias,2),1,0))</f>
        <v>0</v>
      </c>
      <c r="AC158" s="1694"/>
      <c r="AE158" s="3008"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3070">
        <f>IF(AF$123,IF(OR(Region="",ClaseSocial="",Personalización!$AN$21),0,IF(OR(AND(AI158,AJ158),AND(NOT(AI158),NOT(AJ158))),LEFT(AG158,2)+LEFT(AH158,2),0)),0)</f>
        <v>0</v>
      </c>
      <c r="AG158" s="2701" t="e">
        <f>HLOOKUP(Region&amp;ClaseSocial,Tabla_RaicesCulturales,Tablas!F174,FALSE)</f>
        <v>#N/A</v>
      </c>
      <c r="AH158" s="3008">
        <f>IF(AND(E158="Historia",Personalización!$E$26="Historia (Local)"),20&amp;" "&amp;Personalización!$E$26,IF(OR(E158=Personalización!$E$25,E158=Personalización!$E$26),VLOOKUP(E158,Tablas!$L$136:$M$137,2,FALSE),0))</f>
        <v>0</v>
      </c>
      <c r="AI158" s="3008" t="b">
        <f t="shared" ref="AI158:AI176" si="52">OR(ISNUMBER(FIND("(",AG158)),ISNUMBER(FIND("(",AH158)))</f>
        <v>0</v>
      </c>
      <c r="AJ158" s="3008" t="b">
        <f t="shared" ref="AJ158:AJ176" si="53">AND(NOT(I158=""),OR(ISNUMBER(SEARCH(I158,AG158)),ISNUMBER(SEARCH(I158,AH158))))</f>
        <v>0</v>
      </c>
      <c r="AL158" s="1888" t="e">
        <f t="shared" ref="AL158:AL176" si="54">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1888" t="e">
        <f t="shared" ref="AN158:AN176" si="55">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88" t="e">
        <f t="shared" ref="AP158:AP176" si="56">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88" t="e">
        <f t="shared" ref="AR158:AR176" si="57">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88" t="e">
        <f t="shared" ref="AT158:AT176" si="58">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868"/>
      <c r="B159" s="2145" t="str">
        <f t="shared" ref="B159:B164" si="59">B158</f>
        <v>Subterfugio</v>
      </c>
      <c r="C159" s="3590"/>
      <c r="D159" s="3349"/>
      <c r="E159" s="3528" t="s">
        <v>1770</v>
      </c>
      <c r="F159" s="3529"/>
      <c r="G159" s="3529"/>
      <c r="H159" s="2079" t="s">
        <v>1687</v>
      </c>
      <c r="I159" s="2064"/>
      <c r="J159" s="183">
        <f>IF(ISNA(AL159),0,MAX(MIN(AL159-VLOOKUP("Apto en campo: "&amp;$B159,Tabla_Ventajas,3,FALSE)-Tablas!$O302-2*Tablas!$Q302-3*Tablas!$S302,3),1))</f>
        <v>0</v>
      </c>
      <c r="K159" s="1501"/>
      <c r="L159" s="183">
        <f>IF(ISNA(AN159),0,MAX(MIN(AN159-VLOOKUP("Apto en campo: "&amp;$B159,Tabla_Ventajas,3,FALSE)-Tablas!$O302-2*Tablas!$Q302-3*Tablas!$S302,3),1))</f>
        <v>0</v>
      </c>
      <c r="M159" s="169"/>
      <c r="N159" s="1197">
        <f>IF(ISNA(AP159),0,MAX(MIN(AP159-VLOOKUP("Apto en campo: "&amp;$B159,Tabla_Ventajas,3,FALSE)-Tablas!$O302-2*Tablas!$Q302-3*Tablas!$S302,3),1))</f>
        <v>0</v>
      </c>
      <c r="O159" s="1501"/>
      <c r="P159" s="183">
        <f>IF(ISNA(AR159),0,MAX(MIN(AR159-VLOOKUP("Apto en campo: "&amp;$B159,Tabla_Ventajas,3,FALSE)-Tablas!$O302-2*Tablas!$Q302-3*Tablas!$S302,3),1))</f>
        <v>0</v>
      </c>
      <c r="Q159" s="169"/>
      <c r="R159" s="1197">
        <f>IF(ISNA(AT159),0,MAX(MIN(AT159-VLOOKUP("Apto en campo: "&amp;$B159,Tabla_Ventajas,3,FALSE)-Tablas!$O302-2*Tablas!$Q302-3*Tablas!$S302,3),1))</f>
        <v>0</v>
      </c>
      <c r="S159" s="1501"/>
      <c r="T159" s="1509">
        <f t="shared" si="49"/>
        <v>0</v>
      </c>
      <c r="U159" s="1509">
        <f t="shared" si="50"/>
        <v>0</v>
      </c>
      <c r="V159" s="1509">
        <f>IF(ISNA(HLOOKUP($E159,Bonos_Cat_Base,2,FALSE)),0,HLOOKUP($E159,Bonos_Cat_Base,2,FALSE))+Tablas!$Z302*Nivel_Total+10*Y159</f>
        <v>0</v>
      </c>
      <c r="W159" s="1517"/>
      <c r="X159" s="1501"/>
      <c r="Y159" s="169"/>
      <c r="Z159" s="2871"/>
      <c r="AA159" s="1529">
        <f>IF(AND(T159&lt;5,Tablas!G$303=0),-30,0)+T159+U159+V159+Z159+IF(I159="",0,40)+Bono_ATA+AD159+AF159</f>
        <v>-30</v>
      </c>
      <c r="AB159" s="3076">
        <f t="shared" si="51"/>
        <v>0</v>
      </c>
      <c r="AC159" s="1694"/>
      <c r="AE159" s="3008"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3070">
        <f>IF(AF$123,IF(OR(Region="",ClaseSocial="",Personalización!$AN$21),0,IF(OR(AND(AI159,AJ159),AND(NOT(AI159),NOT(AJ159))),LEFT(AG159,2)+LEFT(AH159,2),0)),0)</f>
        <v>0</v>
      </c>
      <c r="AG159" s="2701" t="e">
        <f>HLOOKUP(Region&amp;ClaseSocial,Tabla_RaicesCulturales,Tablas!F175,FALSE)</f>
        <v>#N/A</v>
      </c>
      <c r="AH159" s="3008">
        <f>IF(AND(E159="Historia",Personalización!$E$26="Historia (Local)"),20&amp;" "&amp;Personalización!$E$26,IF(OR(E159=Personalización!$E$25,E159=Personalización!$E$26),VLOOKUP(E159,Tablas!$L$136:$M$137,2,FALSE),0))</f>
        <v>0</v>
      </c>
      <c r="AI159" s="3008" t="b">
        <f t="shared" si="52"/>
        <v>0</v>
      </c>
      <c r="AJ159" s="3008" t="b">
        <f t="shared" si="53"/>
        <v>0</v>
      </c>
      <c r="AL159" s="1888" t="e">
        <f t="shared" si="54"/>
        <v>#N/A</v>
      </c>
      <c r="AN159" s="1888" t="e">
        <f t="shared" si="55"/>
        <v>#N/A</v>
      </c>
      <c r="AP159" s="1888" t="e">
        <f t="shared" si="56"/>
        <v>#N/A</v>
      </c>
      <c r="AR159" s="1888" t="e">
        <f t="shared" si="57"/>
        <v>#N/A</v>
      </c>
      <c r="AT159" s="1888" t="e">
        <f t="shared" si="58"/>
        <v>#N/A</v>
      </c>
    </row>
    <row r="160" spans="1:46" ht="12" customHeight="1" x14ac:dyDescent="0.2">
      <c r="A160" s="1868"/>
      <c r="B160" s="2145" t="str">
        <f t="shared" si="59"/>
        <v>Subterfugio</v>
      </c>
      <c r="C160" s="3590"/>
      <c r="D160" s="3349"/>
      <c r="E160" s="3526" t="s">
        <v>1772</v>
      </c>
      <c r="F160" s="3527"/>
      <c r="G160" s="3527"/>
      <c r="H160" s="2080" t="s">
        <v>1698</v>
      </c>
      <c r="I160" s="2065"/>
      <c r="J160" s="184">
        <f>IF(ISNA(AL160),0,MAX(MIN(AL160-VLOOKUP("Apto en campo: "&amp;$B160,Tabla_Ventajas,3,FALSE)-Tablas!$O303-2*Tablas!$Q303-3*Tablas!$S303,3),1))</f>
        <v>0</v>
      </c>
      <c r="K160" s="1502"/>
      <c r="L160" s="184">
        <f>IF(ISNA(AN160),0,MAX(MIN(AN160-VLOOKUP("Apto en campo: "&amp;$B160,Tabla_Ventajas,3,FALSE)-Tablas!$O303-2*Tablas!$Q303-3*Tablas!$S303,3),1))</f>
        <v>0</v>
      </c>
      <c r="M160" s="1537"/>
      <c r="N160" s="1198">
        <f>IF(ISNA(AP160),0,MAX(MIN(AP160-VLOOKUP("Apto en campo: "&amp;$B160,Tabla_Ventajas,3,FALSE)-Tablas!$O303-2*Tablas!$Q303-3*Tablas!$S303,3),1))</f>
        <v>0</v>
      </c>
      <c r="O160" s="1502"/>
      <c r="P160" s="184">
        <f>IF(ISNA(AR160),0,MAX(MIN(AR160-VLOOKUP("Apto en campo: "&amp;$B160,Tabla_Ventajas,3,FALSE)-Tablas!$O303-2*Tablas!$Q303-3*Tablas!$S303,3),1))</f>
        <v>0</v>
      </c>
      <c r="Q160" s="1537"/>
      <c r="R160" s="1198">
        <f>IF(ISNA(AT160),0,MAX(MIN(AT160-VLOOKUP("Apto en campo: "&amp;$B160,Tabla_Ventajas,3,FALSE)-Tablas!$O303-2*Tablas!$Q303-3*Tablas!$S303,3),1))</f>
        <v>0</v>
      </c>
      <c r="S160" s="1502"/>
      <c r="T160" s="1510">
        <f t="shared" si="49"/>
        <v>0</v>
      </c>
      <c r="U160" s="1510">
        <f t="shared" si="50"/>
        <v>0</v>
      </c>
      <c r="V160" s="1510">
        <f>IF(ISNA(HLOOKUP($E160,Bonos_Cat_Base,2,FALSE)),0,HLOOKUP($E160,Bonos_Cat_Base,2,FALSE))+Tablas!$Z303*Nivel_Total+10*Y160</f>
        <v>0</v>
      </c>
      <c r="W160" s="1518"/>
      <c r="X160" s="1502"/>
      <c r="Y160" s="1537"/>
      <c r="Z160" s="2872"/>
      <c r="AA160" s="1530">
        <f>IF(AND(T160&lt;5,Tablas!G$303=0),-30,0)+T160+U160+V160+Z160+IF(I160="",0,40)+Bono_ATA-Combate!U16+AD160+AF160</f>
        <v>-30</v>
      </c>
      <c r="AB160" s="3076">
        <f t="shared" si="51"/>
        <v>0</v>
      </c>
      <c r="AC160" s="1694"/>
      <c r="AE160" s="3008"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3070">
        <f>IF(AF$123,IF(OR(Region="",ClaseSocial="",Personalización!$AN$21),0,IF(OR(AND(AI160,AJ160),AND(NOT(AI160),NOT(AJ160))),LEFT(AG160,2)+LEFT(AH160,2),0)),0)</f>
        <v>0</v>
      </c>
      <c r="AG160" s="2701" t="e">
        <f>HLOOKUP(Region&amp;ClaseSocial,Tabla_RaicesCulturales,Tablas!F176,FALSE)</f>
        <v>#N/A</v>
      </c>
      <c r="AH160" s="3008">
        <f>IF(AND(E160="Historia",Personalización!$E$26="Historia (Local)"),20&amp;" "&amp;Personalización!$E$26,IF(OR(E160=Personalización!$E$25,E160=Personalización!$E$26),VLOOKUP(E160,Tablas!$L$136:$M$137,2,FALSE),0))</f>
        <v>0</v>
      </c>
      <c r="AI160" s="3008" t="b">
        <f t="shared" si="52"/>
        <v>0</v>
      </c>
      <c r="AJ160" s="3008" t="b">
        <f t="shared" si="53"/>
        <v>0</v>
      </c>
      <c r="AL160" s="1888" t="e">
        <f t="shared" si="54"/>
        <v>#N/A</v>
      </c>
      <c r="AN160" s="1888" t="e">
        <f t="shared" si="55"/>
        <v>#N/A</v>
      </c>
      <c r="AP160" s="1888" t="e">
        <f t="shared" si="56"/>
        <v>#N/A</v>
      </c>
      <c r="AR160" s="1888" t="e">
        <f t="shared" si="57"/>
        <v>#N/A</v>
      </c>
      <c r="AT160" s="1888" t="e">
        <f t="shared" si="58"/>
        <v>#N/A</v>
      </c>
    </row>
    <row r="161" spans="1:46" ht="12" customHeight="1" x14ac:dyDescent="0.2">
      <c r="A161" s="1868"/>
      <c r="B161" s="2145" t="str">
        <f t="shared" si="59"/>
        <v>Subterfugio</v>
      </c>
      <c r="C161" s="3590"/>
      <c r="D161" s="3349"/>
      <c r="E161" s="3528" t="s">
        <v>1774</v>
      </c>
      <c r="F161" s="3529"/>
      <c r="G161" s="3529"/>
      <c r="H161" s="2079" t="s">
        <v>1687</v>
      </c>
      <c r="I161" s="2064"/>
      <c r="J161" s="183">
        <f>IF(ISNA(AL161),0,MAX(MIN(AL161-VLOOKUP("Apto en campo: "&amp;$B161,Tabla_Ventajas,3,FALSE)-Tablas!$O304-2*Tablas!$Q304-3*Tablas!$S304,3),1))</f>
        <v>0</v>
      </c>
      <c r="K161" s="1501"/>
      <c r="L161" s="183">
        <f>IF(ISNA(AN161),0,MAX(MIN(AN161-VLOOKUP("Apto en campo: "&amp;$B161,Tabla_Ventajas,3,FALSE)-Tablas!$O304-2*Tablas!$Q304-3*Tablas!$S304,3),1))</f>
        <v>0</v>
      </c>
      <c r="M161" s="169"/>
      <c r="N161" s="1197">
        <f>IF(ISNA(AP161),0,MAX(MIN(AP161-VLOOKUP("Apto en campo: "&amp;$B161,Tabla_Ventajas,3,FALSE)-Tablas!$O304-2*Tablas!$Q304-3*Tablas!$S304,3),1))</f>
        <v>0</v>
      </c>
      <c r="O161" s="1501"/>
      <c r="P161" s="183">
        <f>IF(ISNA(AR161),0,MAX(MIN(AR161-VLOOKUP("Apto en campo: "&amp;$B161,Tabla_Ventajas,3,FALSE)-Tablas!$O304-2*Tablas!$Q304-3*Tablas!$S304,3),1))</f>
        <v>0</v>
      </c>
      <c r="Q161" s="169"/>
      <c r="R161" s="1197">
        <f>IF(ISNA(AT161),0,MAX(MIN(AT161-VLOOKUP("Apto en campo: "&amp;$B161,Tabla_Ventajas,3,FALSE)-Tablas!$O304-2*Tablas!$Q304-3*Tablas!$S304,3),1))</f>
        <v>0</v>
      </c>
      <c r="S161" s="1501"/>
      <c r="T161" s="1509">
        <f t="shared" si="49"/>
        <v>0</v>
      </c>
      <c r="U161" s="1509">
        <f t="shared" si="50"/>
        <v>0</v>
      </c>
      <c r="V161" s="1509">
        <f>IF(ISNA(HLOOKUP($E161,Bonos_Cat_Base,2,FALSE)),0,HLOOKUP($E161,Bonos_Cat_Base,2,FALSE))+Tablas!$Z304*Nivel_Total+10*Y161</f>
        <v>0</v>
      </c>
      <c r="W161" s="1517"/>
      <c r="X161" s="1501"/>
      <c r="Y161" s="169"/>
      <c r="Z161" s="2871"/>
      <c r="AA161" s="1529">
        <f>IF(AND(T161&lt;5,Tablas!G$303=0),-30,0)+T161+U161+V161+Z161+IF(I161="",0,40)+Bono_ATA+AD161+AF161</f>
        <v>-30</v>
      </c>
      <c r="AB161" s="3076">
        <f t="shared" si="51"/>
        <v>0</v>
      </c>
      <c r="AC161" s="1694"/>
      <c r="AE161" s="3008"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3070">
        <f>IF(AF$123,IF(OR(Region="",ClaseSocial="",Personalización!$AN$21),0,IF(OR(AND(AI161,AJ161),AND(NOT(AI161),NOT(AJ161))),LEFT(AG161,2)+LEFT(AH161,2),0)),0)</f>
        <v>0</v>
      </c>
      <c r="AG161" s="2701" t="e">
        <f>HLOOKUP(Region&amp;ClaseSocial,Tabla_RaicesCulturales,Tablas!F177,FALSE)</f>
        <v>#N/A</v>
      </c>
      <c r="AH161" s="3008">
        <f>IF(AND(E161="Historia",Personalización!$E$26="Historia (Local)"),20&amp;" "&amp;Personalización!$E$26,IF(OR(E161=Personalización!$E$25,E161=Personalización!$E$26),VLOOKUP(E161,Tablas!$L$136:$M$137,2,FALSE),0))</f>
        <v>0</v>
      </c>
      <c r="AI161" s="3008" t="b">
        <f t="shared" si="52"/>
        <v>0</v>
      </c>
      <c r="AJ161" s="3008" t="b">
        <f t="shared" si="53"/>
        <v>0</v>
      </c>
      <c r="AL161" s="1888" t="e">
        <f t="shared" si="54"/>
        <v>#N/A</v>
      </c>
      <c r="AN161" s="1888" t="e">
        <f t="shared" si="55"/>
        <v>#N/A</v>
      </c>
      <c r="AP161" s="1888" t="e">
        <f t="shared" si="56"/>
        <v>#N/A</v>
      </c>
      <c r="AR161" s="1888" t="e">
        <f t="shared" si="57"/>
        <v>#N/A</v>
      </c>
      <c r="AT161" s="1888" t="e">
        <f t="shared" si="58"/>
        <v>#N/A</v>
      </c>
    </row>
    <row r="162" spans="1:46" ht="12" customHeight="1" x14ac:dyDescent="0.2">
      <c r="A162" s="1868"/>
      <c r="B162" s="2145" t="str">
        <f t="shared" si="59"/>
        <v>Subterfugio</v>
      </c>
      <c r="C162" s="3590"/>
      <c r="D162" s="3349"/>
      <c r="E162" s="3526" t="s">
        <v>1776</v>
      </c>
      <c r="F162" s="3527"/>
      <c r="G162" s="3527"/>
      <c r="H162" s="2080" t="s">
        <v>1682</v>
      </c>
      <c r="I162" s="2065"/>
      <c r="J162" s="184">
        <f>IF(ISNA(AL162),0,MAX(MIN(AL162-VLOOKUP("Apto en campo: "&amp;$B162,Tabla_Ventajas,3,FALSE)-Tablas!$O305-2*Tablas!$Q305-3*Tablas!$S305,3),1))</f>
        <v>0</v>
      </c>
      <c r="K162" s="1502"/>
      <c r="L162" s="184">
        <f>IF(ISNA(AN162),0,MAX(MIN(AN162-VLOOKUP("Apto en campo: "&amp;$B162,Tabla_Ventajas,3,FALSE)-Tablas!$O305-2*Tablas!$Q305-3*Tablas!$S305,3),1))</f>
        <v>0</v>
      </c>
      <c r="M162" s="1537"/>
      <c r="N162" s="1198">
        <f>IF(ISNA(AP162),0,MAX(MIN(AP162-VLOOKUP("Apto en campo: "&amp;$B162,Tabla_Ventajas,3,FALSE)-Tablas!$O305-2*Tablas!$Q305-3*Tablas!$S305,3),1))</f>
        <v>0</v>
      </c>
      <c r="O162" s="1502"/>
      <c r="P162" s="184">
        <f>IF(ISNA(AR162),0,MAX(MIN(AR162-VLOOKUP("Apto en campo: "&amp;$B162,Tabla_Ventajas,3,FALSE)-Tablas!$O305-2*Tablas!$Q305-3*Tablas!$S305,3),1))</f>
        <v>0</v>
      </c>
      <c r="Q162" s="1537"/>
      <c r="R162" s="1198">
        <f>IF(ISNA(AT162),0,MAX(MIN(AT162-VLOOKUP("Apto en campo: "&amp;$B162,Tabla_Ventajas,3,FALSE)-Tablas!$O305-2*Tablas!$Q305-3*Tablas!$S305,3),1))</f>
        <v>0</v>
      </c>
      <c r="S162" s="1502"/>
      <c r="T162" s="1510">
        <f t="shared" si="49"/>
        <v>0</v>
      </c>
      <c r="U162" s="1510">
        <f t="shared" si="50"/>
        <v>0</v>
      </c>
      <c r="V162" s="1510">
        <f>IF(ISNA(HLOOKUP($E162,Bonos_Cat_Base,2,FALSE)),0,HLOOKUP($E162,Bonos_Cat_Base,2,FALSE))+Tablas!$Z305*Nivel_Total+10*Y162</f>
        <v>0</v>
      </c>
      <c r="W162" s="1518"/>
      <c r="X162" s="1502"/>
      <c r="Y162" s="1537"/>
      <c r="Z162" s="2872"/>
      <c r="AA162" s="1530">
        <f>IF(AND(T162&lt;5,Tablas!G$303=0),-30,0)+T162+U162+V162+Z162+IF(I162="",0,40)+Bono_ATA+AD162+AF162</f>
        <v>-30</v>
      </c>
      <c r="AB162" s="3076">
        <f t="shared" si="51"/>
        <v>0</v>
      </c>
      <c r="AC162" s="1694"/>
      <c r="AE162" s="3008"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3070">
        <f>IF(AF$123,IF(OR(Region="",ClaseSocial="",Personalización!$AN$21),0,IF(OR(AND(AI162,AJ162),AND(NOT(AI162),NOT(AJ162))),LEFT(AG162,2)+LEFT(AH162,2),0)),0)</f>
        <v>0</v>
      </c>
      <c r="AG162" s="2701" t="e">
        <f>HLOOKUP(Region&amp;ClaseSocial,Tabla_RaicesCulturales,Tablas!F178,FALSE)</f>
        <v>#N/A</v>
      </c>
      <c r="AH162" s="3008">
        <f>IF(AND(E162="Historia",Personalización!$E$26="Historia (Local)"),20&amp;" "&amp;Personalización!$E$26,IF(OR(E162=Personalización!$E$25,E162=Personalización!$E$26),VLOOKUP(E162,Tablas!$L$136:$M$137,2,FALSE),0))</f>
        <v>0</v>
      </c>
      <c r="AI162" s="3008" t="b">
        <f t="shared" si="52"/>
        <v>0</v>
      </c>
      <c r="AJ162" s="3008" t="b">
        <f t="shared" si="53"/>
        <v>0</v>
      </c>
      <c r="AL162" s="1888" t="e">
        <f t="shared" si="54"/>
        <v>#N/A</v>
      </c>
      <c r="AN162" s="1888" t="e">
        <f t="shared" si="55"/>
        <v>#N/A</v>
      </c>
      <c r="AP162" s="1888" t="e">
        <f t="shared" si="56"/>
        <v>#N/A</v>
      </c>
      <c r="AR162" s="1888" t="e">
        <f t="shared" si="57"/>
        <v>#N/A</v>
      </c>
      <c r="AT162" s="1888" t="e">
        <f t="shared" si="58"/>
        <v>#N/A</v>
      </c>
    </row>
    <row r="163" spans="1:46" ht="12" customHeight="1" x14ac:dyDescent="0.2">
      <c r="A163" s="1868"/>
      <c r="B163" s="2145" t="str">
        <f t="shared" si="59"/>
        <v>Subterfugio</v>
      </c>
      <c r="C163" s="3590"/>
      <c r="D163" s="3349"/>
      <c r="E163" s="3528" t="s">
        <v>1778</v>
      </c>
      <c r="F163" s="3529"/>
      <c r="G163" s="3529"/>
      <c r="H163" s="2079" t="s">
        <v>1687</v>
      </c>
      <c r="I163" s="2064"/>
      <c r="J163" s="183">
        <f>IF(ISNA(AL163),0,MAX(MIN(AL163-VLOOKUP("Apto en campo: "&amp;$B163,Tabla_Ventajas,3,FALSE)-Tablas!$O306-2*Tablas!$Q306-3*Tablas!$S306,3),1))</f>
        <v>0</v>
      </c>
      <c r="K163" s="1501"/>
      <c r="L163" s="183">
        <f>IF(ISNA(AN163),0,MAX(MIN(AN163-VLOOKUP("Apto en campo: "&amp;$B163,Tabla_Ventajas,3,FALSE)-Tablas!$O306-2*Tablas!$Q306-3*Tablas!$S306,3),1))</f>
        <v>0</v>
      </c>
      <c r="M163" s="169"/>
      <c r="N163" s="1197">
        <f>IF(ISNA(AP163),0,MAX(MIN(AP163-VLOOKUP("Apto en campo: "&amp;$B163,Tabla_Ventajas,3,FALSE)-Tablas!$O306-2*Tablas!$Q306-3*Tablas!$S306,3),1))</f>
        <v>0</v>
      </c>
      <c r="O163" s="1501"/>
      <c r="P163" s="183">
        <f>IF(ISNA(AR163),0,MAX(MIN(AR163-VLOOKUP("Apto en campo: "&amp;$B163,Tabla_Ventajas,3,FALSE)-Tablas!$O306-2*Tablas!$Q306-3*Tablas!$S306,3),1))</f>
        <v>0</v>
      </c>
      <c r="Q163" s="169"/>
      <c r="R163" s="1197">
        <f>IF(ISNA(AT163),0,MAX(MIN(AT163-VLOOKUP("Apto en campo: "&amp;$B163,Tabla_Ventajas,3,FALSE)-Tablas!$O306-2*Tablas!$Q306-3*Tablas!$S306,3),1))</f>
        <v>0</v>
      </c>
      <c r="S163" s="1501"/>
      <c r="T163" s="1509">
        <f t="shared" si="49"/>
        <v>0</v>
      </c>
      <c r="U163" s="1509">
        <f t="shared" si="50"/>
        <v>0</v>
      </c>
      <c r="V163" s="1509">
        <f>IF(ISNA(HLOOKUP($E163,Bonos_Cat_Base,2,FALSE)),0,HLOOKUP($E163,Bonos_Cat_Base,2,FALSE))+Tablas!$Z306*Nivel_Total+10*Y163</f>
        <v>0</v>
      </c>
      <c r="W163" s="1517"/>
      <c r="X163" s="1501"/>
      <c r="Y163" s="169"/>
      <c r="Z163" s="2871"/>
      <c r="AA163" s="1529">
        <f>IF(AND(T163&lt;5,Tablas!G$303=0),-30,0)+T163+U163+V163+Z163+IF(I163="",0,40)+Bono_ATA+AD163+AF163</f>
        <v>-30</v>
      </c>
      <c r="AB163" s="3076">
        <f t="shared" si="51"/>
        <v>0</v>
      </c>
      <c r="AC163" s="1694"/>
      <c r="AE163" s="3008"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3070">
        <f>IF(AF$123,IF(OR(Region="",ClaseSocial="",Personalización!$AN$21),0,IF(OR(AND(AI163,AJ163),AND(NOT(AI163),NOT(AJ163))),LEFT(AG163,2)+LEFT(AH163,2),0)),0)</f>
        <v>0</v>
      </c>
      <c r="AG163" s="2701" t="e">
        <f>HLOOKUP(Region&amp;ClaseSocial,Tabla_RaicesCulturales,Tablas!F179,FALSE)</f>
        <v>#N/A</v>
      </c>
      <c r="AH163" s="3008">
        <f>IF(AND(E163="Historia",Personalización!$E$26="Historia (Local)"),20&amp;" "&amp;Personalización!$E$26,IF(OR(E163=Personalización!$E$25,E163=Personalización!$E$26),VLOOKUP(E163,Tablas!$L$136:$M$137,2,FALSE),0))</f>
        <v>0</v>
      </c>
      <c r="AI163" s="3008" t="b">
        <f t="shared" si="52"/>
        <v>0</v>
      </c>
      <c r="AJ163" s="3008" t="b">
        <f t="shared" si="53"/>
        <v>0</v>
      </c>
      <c r="AL163" s="1888" t="e">
        <f t="shared" si="54"/>
        <v>#N/A</v>
      </c>
      <c r="AN163" s="1888" t="e">
        <f t="shared" si="55"/>
        <v>#N/A</v>
      </c>
      <c r="AP163" s="1888" t="e">
        <f t="shared" si="56"/>
        <v>#N/A</v>
      </c>
      <c r="AR163" s="1888" t="e">
        <f t="shared" si="57"/>
        <v>#N/A</v>
      </c>
      <c r="AT163" s="1888" t="e">
        <f t="shared" si="58"/>
        <v>#N/A</v>
      </c>
    </row>
    <row r="164" spans="1:46" ht="12" customHeight="1" x14ac:dyDescent="0.2">
      <c r="A164" s="1868"/>
      <c r="B164" s="2145" t="str">
        <f t="shared" si="59"/>
        <v>Subterfugio</v>
      </c>
      <c r="C164" s="3590"/>
      <c r="D164" s="3350"/>
      <c r="E164" s="3534" t="s">
        <v>1779</v>
      </c>
      <c r="F164" s="3535"/>
      <c r="G164" s="3535"/>
      <c r="H164" s="2080" t="s">
        <v>1695</v>
      </c>
      <c r="I164" s="2065"/>
      <c r="J164" s="1494">
        <f>IF(ISNA(AL164),0,MAX(MIN(AL164-VLOOKUP("Apto en campo: "&amp;$B164,Tabla_Ventajas,3,FALSE)-Tablas!$O307-2*Tablas!$Q307-3*Tablas!$S307,3),1))</f>
        <v>0</v>
      </c>
      <c r="K164" s="1504"/>
      <c r="L164" s="1494">
        <f>IF(ISNA(AN164),0,MAX(MIN(AN164-VLOOKUP("Apto en campo: "&amp;$B164,Tabla_Ventajas,3,FALSE)-Tablas!$O307-2*Tablas!$Q307-3*Tablas!$S307,3),1))</f>
        <v>0</v>
      </c>
      <c r="M164" s="1495"/>
      <c r="N164" s="1503">
        <f>IF(ISNA(AP164),0,MAX(MIN(AP164-VLOOKUP("Apto en campo: "&amp;$B164,Tabla_Ventajas,3,FALSE)-Tablas!$O307-2*Tablas!$Q307-3*Tablas!$S307,3),1))</f>
        <v>0</v>
      </c>
      <c r="O164" s="1504"/>
      <c r="P164" s="1494">
        <f>IF(ISNA(AR164),0,MAX(MIN(AR164-VLOOKUP("Apto en campo: "&amp;$B164,Tabla_Ventajas,3,FALSE)-Tablas!$O307-2*Tablas!$Q307-3*Tablas!$S307,3),1))</f>
        <v>0</v>
      </c>
      <c r="Q164" s="1495"/>
      <c r="R164" s="1503">
        <f>IF(ISNA(AT164),0,MAX(MIN(AT164-VLOOKUP("Apto en campo: "&amp;$B164,Tabla_Ventajas,3,FALSE)-Tablas!$O307-2*Tablas!$Q307-3*Tablas!$S307,3),1))</f>
        <v>0</v>
      </c>
      <c r="S164" s="1504"/>
      <c r="T164" s="1511">
        <f t="shared" si="49"/>
        <v>0</v>
      </c>
      <c r="U164" s="1511">
        <f t="shared" si="50"/>
        <v>0</v>
      </c>
      <c r="V164" s="1511">
        <f>IF(ISNA(HLOOKUP($E164,Bonos_Cat_Base,2,FALSE)),0,HLOOKUP($E164,Bonos_Cat_Base,2,FALSE))+Tablas!$Z307*Nivel_Total+10*Y164</f>
        <v>0</v>
      </c>
      <c r="W164" s="1519"/>
      <c r="X164" s="1504"/>
      <c r="Y164" s="1495"/>
      <c r="Z164" s="2875"/>
      <c r="AA164" s="1531">
        <f>IF(AND(T164&lt;5,Tablas!G$303=0),-30,0)+T164+U164+V164+Z164+IF(I164="",0,40)+Bono_ATA+AD164+AF164</f>
        <v>-30</v>
      </c>
      <c r="AB164" s="3076">
        <f t="shared" si="51"/>
        <v>0</v>
      </c>
      <c r="AC164" s="1694"/>
      <c r="AE164" s="3008"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3070">
        <f>IF(AF$123,IF(OR(Region="",ClaseSocial="",Personalización!$AN$21),0,IF(OR(AND(AI164,AJ164),AND(NOT(AI164),NOT(AJ164))),LEFT(AG164,2)+LEFT(AH164,2),0)),0)</f>
        <v>0</v>
      </c>
      <c r="AG164" s="2701" t="e">
        <f>HLOOKUP(Region&amp;ClaseSocial,Tabla_RaicesCulturales,Tablas!F180,FALSE)</f>
        <v>#N/A</v>
      </c>
      <c r="AH164" s="3008">
        <f>IF(AND(E164="Historia",Personalización!$E$26="Historia (Local)"),20&amp;" "&amp;Personalización!$E$26,IF(OR(E164=Personalización!$E$25,E164=Personalización!$E$26),VLOOKUP(E164,Tablas!$L$136:$M$137,2,FALSE),0))</f>
        <v>0</v>
      </c>
      <c r="AI164" s="3008" t="b">
        <f t="shared" si="52"/>
        <v>0</v>
      </c>
      <c r="AJ164" s="3008" t="b">
        <f t="shared" si="53"/>
        <v>0</v>
      </c>
      <c r="AL164" s="1888" t="e">
        <f t="shared" si="54"/>
        <v>#N/A</v>
      </c>
      <c r="AN164" s="1888" t="e">
        <f t="shared" si="55"/>
        <v>#N/A</v>
      </c>
      <c r="AP164" s="1888" t="e">
        <f t="shared" si="56"/>
        <v>#N/A</v>
      </c>
      <c r="AR164" s="1888" t="e">
        <f t="shared" si="57"/>
        <v>#N/A</v>
      </c>
      <c r="AT164" s="1888" t="e">
        <f t="shared" si="58"/>
        <v>#N/A</v>
      </c>
    </row>
    <row r="165" spans="1:46" ht="12" customHeight="1" x14ac:dyDescent="0.2">
      <c r="A165" s="1868"/>
      <c r="B165" s="2145" t="str">
        <f>D165</f>
        <v>Creativas</v>
      </c>
      <c r="C165" s="3590"/>
      <c r="D165" s="3349" t="s">
        <v>1780</v>
      </c>
      <c r="E165" s="3528" t="s">
        <v>1781</v>
      </c>
      <c r="F165" s="3529"/>
      <c r="G165" s="3529"/>
      <c r="H165" s="2081" t="s">
        <v>1700</v>
      </c>
      <c r="I165" s="1671"/>
      <c r="J165" s="183">
        <f>IF(ISNA(AL165),0,MAX(MIN(AL165-VLOOKUP("Apto en campo: "&amp;$B165,Tabla_Ventajas,3,FALSE)-Tablas!$O308-2*Tablas!$Q308-3*Tablas!$S308,3),1))</f>
        <v>0</v>
      </c>
      <c r="K165" s="1501"/>
      <c r="L165" s="183">
        <f>IF(ISNA(AN165),0,MAX(MIN(AN165-VLOOKUP("Apto en campo: "&amp;$B165,Tabla_Ventajas,3,FALSE)-Tablas!$O308-2*Tablas!$Q308-3*Tablas!$S308,3),1))</f>
        <v>0</v>
      </c>
      <c r="M165" s="169"/>
      <c r="N165" s="1197">
        <f>IF(ISNA(AP165),0,MAX(MIN(AP165-VLOOKUP("Apto en campo: "&amp;$B165,Tabla_Ventajas,3,FALSE)-Tablas!$O308-2*Tablas!$Q308-3*Tablas!$S308,3),1))</f>
        <v>0</v>
      </c>
      <c r="O165" s="1501"/>
      <c r="P165" s="183">
        <f>IF(ISNA(AR165),0,MAX(MIN(AR165-VLOOKUP("Apto en campo: "&amp;$B165,Tabla_Ventajas,3,FALSE)-Tablas!$O308-2*Tablas!$Q308-3*Tablas!$S308,3),1))</f>
        <v>0</v>
      </c>
      <c r="Q165" s="169"/>
      <c r="R165" s="1197">
        <f>IF(ISNA(AT165),0,MAX(MIN(AT165-VLOOKUP("Apto en campo: "&amp;$B165,Tabla_Ventajas,3,FALSE)-Tablas!$O308-2*Tablas!$Q308-3*Tablas!$S308,3),1))</f>
        <v>0</v>
      </c>
      <c r="S165" s="1501"/>
      <c r="T165" s="1509">
        <f t="shared" si="49"/>
        <v>0</v>
      </c>
      <c r="U165" s="1509">
        <f t="shared" si="50"/>
        <v>0</v>
      </c>
      <c r="V165" s="1509">
        <f>IF(ISNA(HLOOKUP($E165,Bonos_Cat_Base,2,FALSE)),0,HLOOKUP($E165,Bonos_Cat_Base,2,FALSE))+Tablas!$Z308*Nivel_Total+10*Y165</f>
        <v>0</v>
      </c>
      <c r="W165" s="1517"/>
      <c r="X165" s="1501"/>
      <c r="Y165" s="169"/>
      <c r="Z165" s="2871"/>
      <c r="AA165" s="1529">
        <f>IF(AND(T165&lt;5,Tablas!G$303=0),-30,0)+T165+U165+V165+Z165+IF(I165="",0,40)+Bono_ATA-Combate!U16+AD165+AF165</f>
        <v>-30</v>
      </c>
      <c r="AB165" s="3076">
        <f t="shared" si="51"/>
        <v>0</v>
      </c>
      <c r="AC165" s="1694"/>
      <c r="AD165" s="2701">
        <f>Tablas!$K$1756</f>
        <v>0</v>
      </c>
      <c r="AE165" s="3008"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3070">
        <f>IF(AF$123,IF(OR(Region="",ClaseSocial="",Personalización!$AN$21),0,IF(OR(AND(AI165,AJ165),AND(NOT(AI165),NOT(AJ165))),LEFT(AG165,2)+LEFT(AH165,2),0)),0)</f>
        <v>0</v>
      </c>
      <c r="AG165" s="2701" t="e">
        <f>HLOOKUP(Region&amp;ClaseSocial,Tabla_RaicesCulturales,Tablas!F181,FALSE)</f>
        <v>#N/A</v>
      </c>
      <c r="AH165" s="3008">
        <f>IF(AND(E165="Historia",Personalización!$E$26="Historia (Local)"),20&amp;" "&amp;Personalización!$E$26,IF(OR(E165=Personalización!$E$25,E165=Personalización!$E$26),VLOOKUP(E165,Tablas!$L$136:$M$137,2,FALSE),0))</f>
        <v>0</v>
      </c>
      <c r="AI165" s="3008" t="b">
        <f t="shared" si="52"/>
        <v>0</v>
      </c>
      <c r="AJ165" s="3008" t="b">
        <f t="shared" si="53"/>
        <v>0</v>
      </c>
      <c r="AL165" s="1888" t="e">
        <f t="shared" si="54"/>
        <v>#N/A</v>
      </c>
      <c r="AN165" s="1888" t="e">
        <f t="shared" si="55"/>
        <v>#N/A</v>
      </c>
      <c r="AP165" s="1888" t="e">
        <f t="shared" si="56"/>
        <v>#N/A</v>
      </c>
      <c r="AR165" s="1888" t="e">
        <f t="shared" si="57"/>
        <v>#N/A</v>
      </c>
      <c r="AT165" s="1888" t="e">
        <f t="shared" si="58"/>
        <v>#N/A</v>
      </c>
    </row>
    <row r="166" spans="1:46" ht="12" customHeight="1" x14ac:dyDescent="0.2">
      <c r="A166" s="1868"/>
      <c r="B166" s="2145" t="str">
        <f>B165</f>
        <v>Creativas</v>
      </c>
      <c r="C166" s="3590"/>
      <c r="D166" s="3349"/>
      <c r="E166" s="3526" t="s">
        <v>1782</v>
      </c>
      <c r="F166" s="3527"/>
      <c r="G166" s="3527"/>
      <c r="H166" s="2080" t="s">
        <v>1682</v>
      </c>
      <c r="I166" s="1670"/>
      <c r="J166" s="184">
        <f>IF(ISNA(AL166),0,MAX(MIN(AL166-VLOOKUP("Apto en campo: "&amp;$B166,Tabla_Ventajas,3,FALSE)-Tablas!$O309-2*Tablas!$Q309-3*Tablas!$S309,3),1))</f>
        <v>0</v>
      </c>
      <c r="K166" s="1502"/>
      <c r="L166" s="184">
        <f>IF(ISNA(AN166),0,MAX(MIN(AN166-VLOOKUP("Apto en campo: "&amp;$B166,Tabla_Ventajas,3,FALSE)-Tablas!$O309-2*Tablas!$Q309-3*Tablas!$S309,3),1))</f>
        <v>0</v>
      </c>
      <c r="M166" s="1537"/>
      <c r="N166" s="1198">
        <f>IF(ISNA(AP166),0,MAX(MIN(AP166-VLOOKUP("Apto en campo: "&amp;$B166,Tabla_Ventajas,3,FALSE)-Tablas!$O309-2*Tablas!$Q309-3*Tablas!$S309,3),1))</f>
        <v>0</v>
      </c>
      <c r="O166" s="1502"/>
      <c r="P166" s="184">
        <f>IF(ISNA(AR166),0,MAX(MIN(AR166-VLOOKUP("Apto en campo: "&amp;$B166,Tabla_Ventajas,3,FALSE)-Tablas!$O309-2*Tablas!$Q309-3*Tablas!$S309,3),1))</f>
        <v>0</v>
      </c>
      <c r="Q166" s="1537"/>
      <c r="R166" s="1198">
        <f>IF(ISNA(AT166),0,MAX(MIN(AT166-VLOOKUP("Apto en campo: "&amp;$B166,Tabla_Ventajas,3,FALSE)-Tablas!$O309-2*Tablas!$Q309-3*Tablas!$S309,3),1))</f>
        <v>0</v>
      </c>
      <c r="S166" s="1502"/>
      <c r="T166" s="1510">
        <f t="shared" si="49"/>
        <v>0</v>
      </c>
      <c r="U166" s="1510">
        <f t="shared" si="50"/>
        <v>0</v>
      </c>
      <c r="V166" s="1510">
        <f>IF(ISNA(HLOOKUP($E166,Bonos_Cat_Base,2,FALSE)),0,HLOOKUP($E166,Bonos_Cat_Base,2,FALSE))+Tablas!$Z309*Nivel_Total+10*Y166</f>
        <v>0</v>
      </c>
      <c r="W166" s="1518"/>
      <c r="X166" s="1502"/>
      <c r="Y166" s="1537"/>
      <c r="Z166" s="2872"/>
      <c r="AA166" s="1530">
        <f>IF(AND(T166&lt;5,Tablas!G$303=0),-30,0)+T166+U166+V166+Z166+IF(I166="",0,40)+Bono_ATA+AD166+AF166</f>
        <v>-30</v>
      </c>
      <c r="AB166" s="3076">
        <f t="shared" si="51"/>
        <v>0</v>
      </c>
      <c r="AC166" s="1694"/>
      <c r="AE166" s="3008"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3070">
        <f>IF(AF$123,IF(OR(Region="",ClaseSocial="",Personalización!$AN$21),0,IF(OR(AND(AI166,AJ166),AND(NOT(AI166),NOT(AJ166))),LEFT(AG166,2)+LEFT(AH166,2),0)),0)</f>
        <v>0</v>
      </c>
      <c r="AG166" s="2701" t="e">
        <f>HLOOKUP(Region&amp;ClaseSocial,Tabla_RaicesCulturales,Tablas!F182,FALSE)</f>
        <v>#N/A</v>
      </c>
      <c r="AH166" s="3008">
        <f>IF(AND(E166="Historia",Personalización!$E$26="Historia (Local)"),20&amp;" "&amp;Personalización!$E$26,IF(OR(E166=Personalización!$E$25,E166=Personalización!$E$26),VLOOKUP(E166,Tablas!$L$136:$M$137,2,FALSE),0))</f>
        <v>0</v>
      </c>
      <c r="AI166" s="3008" t="b">
        <f t="shared" si="52"/>
        <v>0</v>
      </c>
      <c r="AJ166" s="3008" t="b">
        <f t="shared" si="53"/>
        <v>0</v>
      </c>
      <c r="AL166" s="1888" t="e">
        <f t="shared" si="54"/>
        <v>#N/A</v>
      </c>
      <c r="AN166" s="1888" t="e">
        <f t="shared" si="55"/>
        <v>#N/A</v>
      </c>
      <c r="AP166" s="1888" t="e">
        <f t="shared" si="56"/>
        <v>#N/A</v>
      </c>
      <c r="AR166" s="1888" t="e">
        <f t="shared" si="57"/>
        <v>#N/A</v>
      </c>
      <c r="AT166" s="1888" t="e">
        <f t="shared" si="58"/>
        <v>#N/A</v>
      </c>
    </row>
    <row r="167" spans="1:46" ht="12" customHeight="1" x14ac:dyDescent="0.2">
      <c r="A167" s="1868"/>
      <c r="B167" s="2145" t="str">
        <f t="shared" ref="B167:B176" si="60">B166</f>
        <v>Creativas</v>
      </c>
      <c r="C167" s="3590"/>
      <c r="D167" s="3349"/>
      <c r="E167" s="3528" t="s">
        <v>1783</v>
      </c>
      <c r="F167" s="3529"/>
      <c r="G167" s="3529"/>
      <c r="H167" s="2079" t="s">
        <v>1687</v>
      </c>
      <c r="I167" s="1669"/>
      <c r="J167" s="183">
        <f>IF(ISNA(AL167),0,MAX(MIN(AL167-VLOOKUP("Apto en campo: "&amp;$B167,Tabla_Ventajas,3,FALSE)-Tablas!$O310-2*Tablas!$Q310-3*Tablas!$S310,3),1))</f>
        <v>0</v>
      </c>
      <c r="K167" s="1501"/>
      <c r="L167" s="183">
        <f>IF(ISNA(AN167),0,MAX(MIN(AN167-VLOOKUP("Apto en campo: "&amp;$B167,Tabla_Ventajas,3,FALSE)-Tablas!$O310-2*Tablas!$Q310-3*Tablas!$S310,3),1))</f>
        <v>0</v>
      </c>
      <c r="M167" s="169"/>
      <c r="N167" s="1197">
        <f>IF(ISNA(AP167),0,MAX(MIN(AP167-VLOOKUP("Apto en campo: "&amp;$B167,Tabla_Ventajas,3,FALSE)-Tablas!$O310-2*Tablas!$Q310-3*Tablas!$S310,3),1))</f>
        <v>0</v>
      </c>
      <c r="O167" s="1501"/>
      <c r="P167" s="183">
        <f>IF(ISNA(AR167),0,MAX(MIN(AR167-VLOOKUP("Apto en campo: "&amp;$B167,Tabla_Ventajas,3,FALSE)-Tablas!$O310-2*Tablas!$Q310-3*Tablas!$S310,3),1))</f>
        <v>0</v>
      </c>
      <c r="Q167" s="169"/>
      <c r="R167" s="1197">
        <f>IF(ISNA(AT167),0,MAX(MIN(AT167-VLOOKUP("Apto en campo: "&amp;$B167,Tabla_Ventajas,3,FALSE)-Tablas!$O310-2*Tablas!$Q310-3*Tablas!$S310,3),1))</f>
        <v>0</v>
      </c>
      <c r="S167" s="1501"/>
      <c r="T167" s="1509">
        <f t="shared" si="49"/>
        <v>0</v>
      </c>
      <c r="U167" s="1509">
        <f t="shared" si="50"/>
        <v>0</v>
      </c>
      <c r="V167" s="1509">
        <f>IF(ISNA(HLOOKUP($E167,Bonos_Cat_Base,2,FALSE)),0,HLOOKUP($E167,Bonos_Cat_Base,2,FALSE))+Tablas!$Z310*Nivel_Total+10*Y167</f>
        <v>0</v>
      </c>
      <c r="W167" s="1517"/>
      <c r="X167" s="1501"/>
      <c r="Y167" s="169"/>
      <c r="Z167" s="2871"/>
      <c r="AA167" s="1529" t="str">
        <f>IF(AND(T167&lt;5,Tablas!G$303=0),"-",T167+U167+V167+Z167+IF(I167="",0,40)+Bono_ATA+AD167+AF167)</f>
        <v>-</v>
      </c>
      <c r="AB167" s="3076">
        <f t="shared" si="51"/>
        <v>0</v>
      </c>
      <c r="AC167" s="1694"/>
      <c r="AE167" s="3008"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3070">
        <f>IF(AF$123,IF(OR(Region="",ClaseSocial="",Personalización!$AN$21),0,IF(OR(AND(AI167,AJ167),AND(NOT(AI167),NOT(AJ167))),LEFT(AG167,2)+LEFT(AH167,2),0)),0)</f>
        <v>0</v>
      </c>
      <c r="AG167" s="2701" t="e">
        <f>HLOOKUP(Region&amp;ClaseSocial,Tabla_RaicesCulturales,Tablas!F183,FALSE)</f>
        <v>#N/A</v>
      </c>
      <c r="AH167" s="3008">
        <f>IF(AND(E167="Historia",Personalización!$E$26="Historia (Local)"),20&amp;" "&amp;Personalización!$E$26,IF(OR(E167=Personalización!$E$25,E167=Personalización!$E$26),VLOOKUP(E167,Tablas!$L$136:$M$137,2,FALSE),0))</f>
        <v>0</v>
      </c>
      <c r="AI167" s="3008" t="b">
        <f t="shared" si="52"/>
        <v>0</v>
      </c>
      <c r="AJ167" s="3008" t="b">
        <f t="shared" si="53"/>
        <v>0</v>
      </c>
      <c r="AL167" s="1888" t="e">
        <f t="shared" si="54"/>
        <v>#N/A</v>
      </c>
      <c r="AN167" s="1888" t="e">
        <f t="shared" si="55"/>
        <v>#N/A</v>
      </c>
      <c r="AP167" s="1888" t="e">
        <f t="shared" si="56"/>
        <v>#N/A</v>
      </c>
      <c r="AR167" s="1888" t="e">
        <f t="shared" si="57"/>
        <v>#N/A</v>
      </c>
      <c r="AT167" s="1888" t="e">
        <f t="shared" si="58"/>
        <v>#N/A</v>
      </c>
    </row>
    <row r="168" spans="1:46" ht="12" customHeight="1" x14ac:dyDescent="0.2">
      <c r="A168" s="1868"/>
      <c r="B168" s="2145" t="str">
        <f t="shared" si="60"/>
        <v>Creativas</v>
      </c>
      <c r="C168" s="3590"/>
      <c r="D168" s="3349"/>
      <c r="E168" s="3526" t="s">
        <v>1082</v>
      </c>
      <c r="F168" s="3527"/>
      <c r="G168" s="3527"/>
      <c r="H168" s="2080" t="s">
        <v>1687</v>
      </c>
      <c r="I168" s="2065"/>
      <c r="J168" s="184">
        <f>IF(ISNA(AL168),0,MAX(MIN(AL168-VLOOKUP("Apto en campo: "&amp;$B168,Tabla_Ventajas,3,FALSE)-Tablas!$O311-2*Tablas!$Q311-3*Tablas!$S311,3),1))</f>
        <v>0</v>
      </c>
      <c r="K168" s="1502"/>
      <c r="L168" s="184">
        <f>IF(ISNA(AN168),0,MAX(MIN(AN168-VLOOKUP("Apto en campo: "&amp;$B168,Tabla_Ventajas,3,FALSE)-Tablas!$O311-2*Tablas!$Q311-3*Tablas!$S311,3),1))</f>
        <v>0</v>
      </c>
      <c r="M168" s="1537"/>
      <c r="N168" s="1198">
        <f>IF(ISNA(AP168),0,MAX(MIN(AP168-VLOOKUP("Apto en campo: "&amp;$B168,Tabla_Ventajas,3,FALSE)-Tablas!$O311-2*Tablas!$Q311-3*Tablas!$S311,3),1))</f>
        <v>0</v>
      </c>
      <c r="O168" s="1502"/>
      <c r="P168" s="184">
        <f>IF(ISNA(AR168),0,MAX(MIN(AR168-VLOOKUP("Apto en campo: "&amp;$B168,Tabla_Ventajas,3,FALSE)-Tablas!$O311-2*Tablas!$Q311-3*Tablas!$S311,3),1))</f>
        <v>0</v>
      </c>
      <c r="Q168" s="1537"/>
      <c r="R168" s="1198">
        <f>IF(ISNA(AT168),0,MAX(MIN(AT168-VLOOKUP("Apto en campo: "&amp;$B168,Tabla_Ventajas,3,FALSE)-Tablas!$O311-2*Tablas!$Q311-3*Tablas!$S311,3),1))</f>
        <v>0</v>
      </c>
      <c r="S168" s="1502"/>
      <c r="T168" s="1510">
        <f t="shared" si="49"/>
        <v>0</v>
      </c>
      <c r="U168" s="1510">
        <f t="shared" si="50"/>
        <v>0</v>
      </c>
      <c r="V168" s="1510">
        <f>IF(ISNA(HLOOKUP($E168,Bonos_Cat_Base,2,FALSE)),0,HLOOKUP($E168,Bonos_Cat_Base,2,FALSE))+Tablas!$Z311*Nivel_Total+10*Y168</f>
        <v>0</v>
      </c>
      <c r="W168" s="1518"/>
      <c r="X168" s="1502"/>
      <c r="Y168" s="1537"/>
      <c r="Z168" s="2872"/>
      <c r="AA168" s="1530" t="str">
        <f>IF(AND(T168&lt;5,Tablas!G$303=0),"-",T168+U168+V168+Z168+IF(I168="",0,40)+Bono_ATA+AD168+AF168)</f>
        <v>-</v>
      </c>
      <c r="AB168" s="3076">
        <f t="shared" si="51"/>
        <v>0</v>
      </c>
      <c r="AC168" s="1694"/>
      <c r="AE168" s="3008"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3070">
        <f>IF(AF$123,IF(OR(Region="",ClaseSocial="",Personalización!$AN$21),0,IF(OR(AND(AI168,AJ168),AND(NOT(AI168),NOT(AJ168))),LEFT(AG168,2)+LEFT(AH168,2),0)),0)</f>
        <v>0</v>
      </c>
      <c r="AG168" s="2701" t="e">
        <f>HLOOKUP(Region&amp;ClaseSocial,Tabla_RaicesCulturales,Tablas!F184,FALSE)</f>
        <v>#N/A</v>
      </c>
      <c r="AH168" s="3008">
        <f>IF(AND(E168="Historia",Personalización!$E$26="Historia (Local)"),20&amp;" "&amp;Personalización!$E$26,IF(OR(E168=Personalización!$E$25,E168=Personalización!$E$26),VLOOKUP(E168,Tablas!$L$136:$M$137,2,FALSE),0))</f>
        <v>0</v>
      </c>
      <c r="AI168" s="3008" t="b">
        <f t="shared" si="52"/>
        <v>0</v>
      </c>
      <c r="AJ168" s="3008" t="b">
        <f t="shared" si="53"/>
        <v>0</v>
      </c>
      <c r="AL168" s="1888" t="e">
        <f t="shared" si="54"/>
        <v>#N/A</v>
      </c>
      <c r="AN168" s="1888" t="e">
        <f t="shared" si="55"/>
        <v>#N/A</v>
      </c>
      <c r="AP168" s="1888" t="e">
        <f t="shared" si="56"/>
        <v>#N/A</v>
      </c>
      <c r="AR168" s="1888" t="e">
        <f t="shared" si="57"/>
        <v>#N/A</v>
      </c>
      <c r="AT168" s="1888" t="e">
        <f t="shared" si="58"/>
        <v>#N/A</v>
      </c>
    </row>
    <row r="169" spans="1:46" ht="12" customHeight="1" x14ac:dyDescent="0.2">
      <c r="A169" s="1868"/>
      <c r="B169" s="2145" t="str">
        <f t="shared" si="60"/>
        <v>Creativas</v>
      </c>
      <c r="C169" s="3590"/>
      <c r="D169" s="3349"/>
      <c r="E169" s="3528" t="s">
        <v>1083</v>
      </c>
      <c r="F169" s="3529"/>
      <c r="G169" s="3529"/>
      <c r="H169" s="2079" t="s">
        <v>1695</v>
      </c>
      <c r="I169" s="2064"/>
      <c r="J169" s="183">
        <f>IF(ISNA(AL169),0,MAX(MIN(AL169-VLOOKUP("Apto en campo: "&amp;$B169,Tabla_Ventajas,3,FALSE)-Tablas!$O312-2*Tablas!$Q312-3*Tablas!$S312,3),1))</f>
        <v>0</v>
      </c>
      <c r="K169" s="1501"/>
      <c r="L169" s="183">
        <f>IF(ISNA(AN169),0,MAX(MIN(AN169-VLOOKUP("Apto en campo: "&amp;$B169,Tabla_Ventajas,3,FALSE)-Tablas!$O312-2*Tablas!$Q312-3*Tablas!$S312,3),1))</f>
        <v>0</v>
      </c>
      <c r="M169" s="169"/>
      <c r="N169" s="1197">
        <f>IF(ISNA(AP169),0,MAX(MIN(AP169-VLOOKUP("Apto en campo: "&amp;$B169,Tabla_Ventajas,3,FALSE)-Tablas!$O312-2*Tablas!$Q312-3*Tablas!$S312,3),1))</f>
        <v>0</v>
      </c>
      <c r="O169" s="1501"/>
      <c r="P169" s="183">
        <f>IF(ISNA(AR169),0,MAX(MIN(AR169-VLOOKUP("Apto en campo: "&amp;$B169,Tabla_Ventajas,3,FALSE)-Tablas!$O312-2*Tablas!$Q312-3*Tablas!$S312,3),1))</f>
        <v>0</v>
      </c>
      <c r="Q169" s="169"/>
      <c r="R169" s="1197">
        <f>IF(ISNA(AT169),0,MAX(MIN(AT169-VLOOKUP("Apto en campo: "&amp;$B169,Tabla_Ventajas,3,FALSE)-Tablas!$O312-2*Tablas!$Q312-3*Tablas!$S312,3),1))</f>
        <v>0</v>
      </c>
      <c r="S169" s="1501"/>
      <c r="T169" s="1509">
        <f>IF(J169=0,0,TRUNC(K169/J169,0))+IF(L169=0,0,TRUNC(M169/L169,0))+IF(N169=0,0,TRUNC(O169/N169,0))+IF(P169=0,0,TRUNC(Q169/P169,0))+IF(R169=0,0,TRUNC(S169/R169,0))</f>
        <v>0</v>
      </c>
      <c r="U169" s="1509">
        <f t="shared" si="50"/>
        <v>0</v>
      </c>
      <c r="V169" s="1509">
        <f>IF(ISNA(HLOOKUP($E169,Bonos_Cat_Base,2,FALSE)),0,HLOOKUP($E169,Bonos_Cat_Base,2,FALSE))+Tablas!$Z312*Nivel_Total+10*Y169</f>
        <v>0</v>
      </c>
      <c r="W169" s="1517"/>
      <c r="X169" s="1501"/>
      <c r="Y169" s="169"/>
      <c r="Z169" s="2871"/>
      <c r="AA169" s="1529" t="str">
        <f>IF(AND(T169&lt;5,Tablas!G$303=0),"-",T169+U169+V169+Z169+IF(I169="",0,40)+Bono_ATA-Combate!U16+AD169+AF169)</f>
        <v>-</v>
      </c>
      <c r="AB169" s="3076">
        <f t="shared" si="51"/>
        <v>0</v>
      </c>
      <c r="AC169" s="1694"/>
      <c r="AE169" s="3008"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3070">
        <f>IF(AF$123,IF(OR(Region="",ClaseSocial="",Personalización!$AN$21),0,IF(OR(AND(AI169,AJ169),AND(NOT(AI169),NOT(AJ169))),LEFT(AG169,2)+LEFT(AH169,2),0)),0)</f>
        <v>0</v>
      </c>
      <c r="AG169" s="2701" t="e">
        <f>HLOOKUP(Region&amp;ClaseSocial,Tabla_RaicesCulturales,Tablas!F185,FALSE)</f>
        <v>#N/A</v>
      </c>
      <c r="AH169" s="3008">
        <f>IF(AND(E169="Historia",Personalización!$E$26="Historia (Local)"),20&amp;" "&amp;Personalización!$E$26,IF(OR(E169=Personalización!$E$25,E169=Personalización!$E$26),VLOOKUP(E169,Tablas!$L$136:$M$137,2,FALSE),0))</f>
        <v>0</v>
      </c>
      <c r="AI169" s="3008" t="b">
        <f>OR(ISNUMBER(FIND("(",AG169)),ISNUMBER(FIND("(",AH169)))</f>
        <v>0</v>
      </c>
      <c r="AJ169" s="3008" t="b">
        <f>AND(NOT(I169=""),OR(ISNUMBER(SEARCH(I169,AG169)),ISNUMBER(SEARCH(I169,AH169))))</f>
        <v>0</v>
      </c>
      <c r="AL169" s="1888" t="e">
        <f t="shared" si="54"/>
        <v>#N/A</v>
      </c>
      <c r="AN169" s="1888" t="e">
        <f t="shared" si="55"/>
        <v>#N/A</v>
      </c>
      <c r="AP169" s="1888" t="e">
        <f t="shared" si="56"/>
        <v>#N/A</v>
      </c>
      <c r="AR169" s="1888" t="e">
        <f t="shared" si="57"/>
        <v>#N/A</v>
      </c>
      <c r="AT169" s="1888" t="e">
        <f t="shared" si="58"/>
        <v>#N/A</v>
      </c>
    </row>
    <row r="170" spans="1:46" ht="12" customHeight="1" x14ac:dyDescent="0.2">
      <c r="A170" s="1868"/>
      <c r="B170" s="2145" t="str">
        <f t="shared" si="60"/>
        <v>Creativas</v>
      </c>
      <c r="C170" s="3590"/>
      <c r="D170" s="3349"/>
      <c r="E170" s="3526" t="s">
        <v>1084</v>
      </c>
      <c r="F170" s="3527"/>
      <c r="G170" s="3527"/>
      <c r="H170" s="2080" t="s">
        <v>1700</v>
      </c>
      <c r="I170" s="2065"/>
      <c r="J170" s="184">
        <f>IF(ISNA(AL170),0,MAX(MIN(AL170-VLOOKUP("Apto en campo: "&amp;$B170,Tabla_Ventajas,3,FALSE)-Tablas!$O313-2*Tablas!$Q313-3*Tablas!$S313,3),1))</f>
        <v>0</v>
      </c>
      <c r="K170" s="1502"/>
      <c r="L170" s="184">
        <f>IF(ISNA(AN170),0,MAX(MIN(AN170-VLOOKUP("Apto en campo: "&amp;$B170,Tabla_Ventajas,3,FALSE)-Tablas!$O313-2*Tablas!$Q313-3*Tablas!$S313,3),1))</f>
        <v>0</v>
      </c>
      <c r="M170" s="1537"/>
      <c r="N170" s="1198">
        <f>IF(ISNA(AP170),0,MAX(MIN(AP170-VLOOKUP("Apto en campo: "&amp;$B170,Tabla_Ventajas,3,FALSE)-Tablas!$O313-2*Tablas!$Q313-3*Tablas!$S313,3),1))</f>
        <v>0</v>
      </c>
      <c r="O170" s="1502"/>
      <c r="P170" s="184">
        <f>IF(ISNA(AR170),0,MAX(MIN(AR170-VLOOKUP("Apto en campo: "&amp;$B170,Tabla_Ventajas,3,FALSE)-Tablas!$O313-2*Tablas!$Q313-3*Tablas!$S313,3),1))</f>
        <v>0</v>
      </c>
      <c r="Q170" s="1537"/>
      <c r="R170" s="1198">
        <f>IF(ISNA(AT170),0,MAX(MIN(AT170-VLOOKUP("Apto en campo: "&amp;$B170,Tabla_Ventajas,3,FALSE)-Tablas!$O313-2*Tablas!$Q313-3*Tablas!$S313,3),1))</f>
        <v>0</v>
      </c>
      <c r="S170" s="1502"/>
      <c r="T170" s="1510">
        <f>IF(J170=0,0,TRUNC(K170/J170,0))+IF(L170=0,0,TRUNC(M170/L170,0))+IF(N170=0,0,TRUNC(O170/N170,0))+IF(P170=0,0,TRUNC(Q170/P170,0))+IF(R170=0,0,TRUNC(S170/R170,0))</f>
        <v>0</v>
      </c>
      <c r="U170" s="1510">
        <f t="shared" si="50"/>
        <v>0</v>
      </c>
      <c r="V170" s="1510">
        <f>IF(ISNA(HLOOKUP($E170,Bonos_Cat_Base,2,FALSE)),0,HLOOKUP($E170,Bonos_Cat_Base,2,FALSE))+Tablas!$Z313*Nivel_Total+10*Y170</f>
        <v>0</v>
      </c>
      <c r="W170" s="1518"/>
      <c r="X170" s="1502"/>
      <c r="Y170" s="1537"/>
      <c r="Z170" s="2872"/>
      <c r="AA170" s="1530" t="str">
        <f>IF(AND(T170&lt;5,Tablas!G$303=0),"-",T170+U170+V170+Z170+IF(I170="",0,40)+Bono_ATA-Combate!U16+AD170+AF170)</f>
        <v>-</v>
      </c>
      <c r="AB170" s="3076">
        <f t="shared" si="51"/>
        <v>0</v>
      </c>
      <c r="AC170" s="1694"/>
      <c r="AE170" s="3008"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3070">
        <f>IF(AF$123,IF(OR(Region="",ClaseSocial="",Personalización!$AN$21),0,IF(OR(AND(AI170,AJ170),AND(NOT(AI170),NOT(AJ170))),LEFT(AG170,2)+LEFT(AH170,2),0)),0)</f>
        <v>0</v>
      </c>
      <c r="AG170" s="2701" t="e">
        <f>HLOOKUP(Region&amp;ClaseSocial,Tabla_RaicesCulturales,Tablas!F186,FALSE)</f>
        <v>#N/A</v>
      </c>
      <c r="AH170" s="3008">
        <f>IF(AND(E170="Historia",Personalización!$E$26="Historia (Local)"),20&amp;" "&amp;Personalización!$E$26,IF(OR(E170=Personalización!$E$25,E170=Personalización!$E$26),VLOOKUP(E170,Tablas!$L$136:$M$137,2,FALSE),0))</f>
        <v>0</v>
      </c>
      <c r="AI170" s="3008" t="b">
        <f>OR(ISNUMBER(FIND("(",AG170)),ISNUMBER(FIND("(",AH170)))</f>
        <v>0</v>
      </c>
      <c r="AJ170" s="3008" t="b">
        <f>AND(NOT(I170=""),OR(ISNUMBER(SEARCH(I170,AG170)),ISNUMBER(SEARCH(I170,AH170))))</f>
        <v>0</v>
      </c>
      <c r="AL170" s="1888" t="e">
        <f t="shared" si="54"/>
        <v>#N/A</v>
      </c>
      <c r="AN170" s="1888" t="e">
        <f t="shared" si="55"/>
        <v>#N/A</v>
      </c>
      <c r="AP170" s="1888" t="e">
        <f t="shared" si="56"/>
        <v>#N/A</v>
      </c>
      <c r="AR170" s="1888" t="e">
        <f t="shared" si="57"/>
        <v>#N/A</v>
      </c>
      <c r="AT170" s="1888" t="e">
        <f t="shared" si="58"/>
        <v>#N/A</v>
      </c>
    </row>
    <row r="171" spans="1:46" ht="12" customHeight="1" x14ac:dyDescent="0.2">
      <c r="A171" s="1868"/>
      <c r="B171" s="2145" t="str">
        <f t="shared" si="60"/>
        <v>Creativas</v>
      </c>
      <c r="C171" s="3590"/>
      <c r="D171" s="3349"/>
      <c r="E171" s="3528" t="s">
        <v>1784</v>
      </c>
      <c r="F171" s="3529"/>
      <c r="G171" s="3529"/>
      <c r="H171" s="2079" t="s">
        <v>1700</v>
      </c>
      <c r="I171" s="1669"/>
      <c r="J171" s="183">
        <f>IF(ISNA(AL171),0,MAX(MIN(AL171-VLOOKUP("Apto en campo: "&amp;$B171,Tabla_Ventajas,3,FALSE)-Tablas!$O314-2*Tablas!$Q314-3*Tablas!$S314,3),1))</f>
        <v>0</v>
      </c>
      <c r="K171" s="1501"/>
      <c r="L171" s="183">
        <f>IF(ISNA(AN171),0,MAX(MIN(AN171-VLOOKUP("Apto en campo: "&amp;$B171,Tabla_Ventajas,3,FALSE)-Tablas!$O314-2*Tablas!$Q314-3*Tablas!$S314,3),1))</f>
        <v>0</v>
      </c>
      <c r="M171" s="169"/>
      <c r="N171" s="1197">
        <f>IF(ISNA(AP171),0,MAX(MIN(AP171-VLOOKUP("Apto en campo: "&amp;$B171,Tabla_Ventajas,3,FALSE)-Tablas!$O314-2*Tablas!$Q314-3*Tablas!$S314,3),1))</f>
        <v>0</v>
      </c>
      <c r="O171" s="1501"/>
      <c r="P171" s="183">
        <f>IF(ISNA(AR171),0,MAX(MIN(AR171-VLOOKUP("Apto en campo: "&amp;$B171,Tabla_Ventajas,3,FALSE)-Tablas!$O314-2*Tablas!$Q314-3*Tablas!$S314,3),1))</f>
        <v>0</v>
      </c>
      <c r="Q171" s="169"/>
      <c r="R171" s="1197">
        <f>IF(ISNA(AT171),0,MAX(MIN(AT171-VLOOKUP("Apto en campo: "&amp;$B171,Tabla_Ventajas,3,FALSE)-Tablas!$O314-2*Tablas!$Q314-3*Tablas!$S314,3),1))</f>
        <v>0</v>
      </c>
      <c r="S171" s="1501"/>
      <c r="T171" s="1509">
        <f t="shared" si="49"/>
        <v>0</v>
      </c>
      <c r="U171" s="1509">
        <f t="shared" si="50"/>
        <v>0</v>
      </c>
      <c r="V171" s="1509">
        <f>IF(ISNA(HLOOKUP($E171,Bonos_Cat_Base,2,FALSE)),0,HLOOKUP($E171,Bonos_Cat_Base,2,FALSE))+Tablas!$Z314*Nivel_Total+10*Y171</f>
        <v>0</v>
      </c>
      <c r="W171" s="1517"/>
      <c r="X171" s="1501"/>
      <c r="Y171" s="169"/>
      <c r="Z171" s="2871"/>
      <c r="AA171" s="1529" t="str">
        <f>IF(AND(T171&lt;5,Tablas!G$303=0),"-",T171+U171+V171+Z171+IF(I171="",0,40)+Bono_ATA-Combate!U16+AD171+AF171)</f>
        <v>-</v>
      </c>
      <c r="AB171" s="3076">
        <f t="shared" si="51"/>
        <v>0</v>
      </c>
      <c r="AC171" s="1694"/>
      <c r="AD171" s="2701">
        <f>Tablas!$K$1756</f>
        <v>0</v>
      </c>
      <c r="AE171" s="3008"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3070">
        <f>IF(AF$123,IF(OR(Region="",ClaseSocial="",Personalización!$AN$21),0,IF(OR(AND(AI171,AJ171),AND(NOT(AI171),NOT(AJ171))),LEFT(AG171,2)+LEFT(AH171,2),0)),0)</f>
        <v>0</v>
      </c>
      <c r="AG171" s="2701" t="e">
        <f>HLOOKUP(Region&amp;ClaseSocial,Tabla_RaicesCulturales,Tablas!F187,FALSE)</f>
        <v>#N/A</v>
      </c>
      <c r="AH171" s="3008">
        <f>IF(AND(E171="Historia",Personalización!$E$26="Historia (Local)"),20&amp;" "&amp;Personalización!$E$26,IF(OR(E171=Personalización!$E$25,E171=Personalización!$E$26),VLOOKUP(E171,Tablas!$L$136:$M$137,2,FALSE),0))</f>
        <v>0</v>
      </c>
      <c r="AI171" s="3008" t="b">
        <f t="shared" si="52"/>
        <v>0</v>
      </c>
      <c r="AJ171" s="3008" t="b">
        <f t="shared" si="53"/>
        <v>0</v>
      </c>
      <c r="AL171" s="1888" t="e">
        <f t="shared" si="54"/>
        <v>#N/A</v>
      </c>
      <c r="AN171" s="1888" t="e">
        <f t="shared" si="55"/>
        <v>#N/A</v>
      </c>
      <c r="AP171" s="1888" t="e">
        <f t="shared" si="56"/>
        <v>#N/A</v>
      </c>
      <c r="AR171" s="1888" t="e">
        <f t="shared" si="57"/>
        <v>#N/A</v>
      </c>
      <c r="AT171" s="1888" t="e">
        <f t="shared" si="58"/>
        <v>#N/A</v>
      </c>
    </row>
    <row r="172" spans="1:46" ht="12" customHeight="1" x14ac:dyDescent="0.2">
      <c r="A172" s="1868"/>
      <c r="B172" s="2145" t="str">
        <f t="shared" si="60"/>
        <v>Creativas</v>
      </c>
      <c r="C172" s="3590"/>
      <c r="D172" s="3349"/>
      <c r="E172" s="3526" t="s">
        <v>1787</v>
      </c>
      <c r="F172" s="3527"/>
      <c r="G172" s="3527"/>
      <c r="H172" s="2080" t="s">
        <v>1687</v>
      </c>
      <c r="I172" s="1670"/>
      <c r="J172" s="184">
        <f>IF(ISNA(AL172),0,MAX(MIN(AL172-VLOOKUP("Apto en campo: "&amp;$B172,Tabla_Ventajas,3,FALSE)-Tablas!$O315-2*Tablas!$Q315-3*Tablas!$S315,3),1))</f>
        <v>0</v>
      </c>
      <c r="K172" s="1502"/>
      <c r="L172" s="184">
        <f>IF(ISNA(AN172),0,MAX(MIN(AN172-VLOOKUP("Apto en campo: "&amp;$B172,Tabla_Ventajas,3,FALSE)-Tablas!$O315-2*Tablas!$Q315-3*Tablas!$S315,3),1))</f>
        <v>0</v>
      </c>
      <c r="M172" s="1537"/>
      <c r="N172" s="1198">
        <f>IF(ISNA(AP172),0,MAX(MIN(AP172-VLOOKUP("Apto en campo: "&amp;$B172,Tabla_Ventajas,3,FALSE)-Tablas!$O315-2*Tablas!$Q315-3*Tablas!$S315,3),1))</f>
        <v>0</v>
      </c>
      <c r="O172" s="1502"/>
      <c r="P172" s="184">
        <f>IF(ISNA(AR172),0,MAX(MIN(AR172-VLOOKUP("Apto en campo: "&amp;$B172,Tabla_Ventajas,3,FALSE)-Tablas!$O315-2*Tablas!$Q315-3*Tablas!$S315,3),1))</f>
        <v>0</v>
      </c>
      <c r="Q172" s="1537"/>
      <c r="R172" s="1198">
        <f>IF(ISNA(AT172),0,MAX(MIN(AT172-VLOOKUP("Apto en campo: "&amp;$B172,Tabla_Ventajas,3,FALSE)-Tablas!$O315-2*Tablas!$Q315-3*Tablas!$S315,3),1))</f>
        <v>0</v>
      </c>
      <c r="S172" s="1502"/>
      <c r="T172" s="1510">
        <f t="shared" si="49"/>
        <v>0</v>
      </c>
      <c r="U172" s="1510">
        <f t="shared" si="50"/>
        <v>0</v>
      </c>
      <c r="V172" s="1510">
        <f>IF(ISNA(HLOOKUP($E172,Bonos_Cat_Base,2,FALSE)),0,HLOOKUP($E172,Bonos_Cat_Base,2,FALSE))+Tablas!$Z315*Nivel_Total+10*Y172</f>
        <v>0</v>
      </c>
      <c r="W172" s="1518"/>
      <c r="X172" s="1502"/>
      <c r="Y172" s="1537"/>
      <c r="Z172" s="2872"/>
      <c r="AA172" s="1530">
        <f>IF(AND(T172&lt;5,Tablas!G$303=0),-30,0)+T172+U172+V172+Z172+IF(I172="",0,40)+Bono_ATA+AD172+AF172</f>
        <v>-30</v>
      </c>
      <c r="AB172" s="3076">
        <f t="shared" si="51"/>
        <v>0</v>
      </c>
      <c r="AC172" s="1694"/>
      <c r="AD172" s="2701">
        <f>IF(Tablas!$G$368&gt;0,30,0)</f>
        <v>0</v>
      </c>
      <c r="AE172" s="3008"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3070">
        <f>IF(AF$123,IF(OR(Region="",ClaseSocial="",Personalización!$AN$21),0,IF(OR(AND(AI172,AJ172),AND(NOT(AI172),NOT(AJ172))),LEFT(AG172,2)+LEFT(AH172,2),0)),0)</f>
        <v>0</v>
      </c>
      <c r="AG172" s="2701" t="e">
        <f>HLOOKUP(Region&amp;ClaseSocial,Tabla_RaicesCulturales,Tablas!F188,FALSE)</f>
        <v>#N/A</v>
      </c>
      <c r="AH172" s="3008">
        <f>IF(AND(E172="Historia",Personalización!$E$26="Historia (Local)"),20&amp;" "&amp;Personalización!$E$26,IF(OR(E172=Personalización!$E$25,E172=Personalización!$E$26),VLOOKUP(E172,Tablas!$L$136:$M$137,2,FALSE),0))</f>
        <v>0</v>
      </c>
      <c r="AI172" s="3008" t="b">
        <f t="shared" si="52"/>
        <v>0</v>
      </c>
      <c r="AJ172" s="3008" t="b">
        <f t="shared" si="53"/>
        <v>0</v>
      </c>
      <c r="AL172" s="1888" t="e">
        <f t="shared" si="54"/>
        <v>#N/A</v>
      </c>
      <c r="AN172" s="1888" t="e">
        <f t="shared" si="55"/>
        <v>#N/A</v>
      </c>
      <c r="AP172" s="1888" t="e">
        <f t="shared" si="56"/>
        <v>#N/A</v>
      </c>
      <c r="AR172" s="1888" t="e">
        <f t="shared" si="57"/>
        <v>#N/A</v>
      </c>
      <c r="AT172" s="1888" t="e">
        <f t="shared" si="58"/>
        <v>#N/A</v>
      </c>
    </row>
    <row r="173" spans="1:46" ht="12" customHeight="1" x14ac:dyDescent="0.2">
      <c r="A173" s="1868"/>
      <c r="B173" s="2145" t="str">
        <f t="shared" si="60"/>
        <v>Creativas</v>
      </c>
      <c r="C173" s="3590"/>
      <c r="D173" s="3349"/>
      <c r="E173" s="3528" t="s">
        <v>7755</v>
      </c>
      <c r="F173" s="3529"/>
      <c r="G173" s="3529"/>
      <c r="H173" s="2079" t="s">
        <v>1687</v>
      </c>
      <c r="I173" s="2064"/>
      <c r="J173" s="183">
        <f>IF(ISNA(AL173),0,MAX(MIN(AL173-VLOOKUP("Apto en campo: "&amp;$B173,Tabla_Ventajas,3,FALSE)-Tablas!$O316-2*Tablas!$Q316-3*Tablas!$S316,3),1))</f>
        <v>0</v>
      </c>
      <c r="K173" s="1501"/>
      <c r="L173" s="183">
        <f>IF(ISNA(AN173),0,MAX(MIN(AN173-VLOOKUP("Apto en campo: "&amp;$B173,Tabla_Ventajas,3,FALSE)-Tablas!$O316-2*Tablas!$Q316-3*Tablas!$S316,3),1))</f>
        <v>0</v>
      </c>
      <c r="M173" s="169"/>
      <c r="N173" s="1197">
        <f>IF(ISNA(AP173),0,MAX(MIN(AP173-VLOOKUP("Apto en campo: "&amp;$B173,Tabla_Ventajas,3,FALSE)-Tablas!$O316-2*Tablas!$Q316-3*Tablas!$S316,3),1))</f>
        <v>0</v>
      </c>
      <c r="O173" s="1501"/>
      <c r="P173" s="183">
        <f>IF(ISNA(AR173),0,MAX(MIN(AR173-VLOOKUP("Apto en campo: "&amp;$B173,Tabla_Ventajas,3,FALSE)-Tablas!$O316-2*Tablas!$Q316-3*Tablas!$S316,3),1))</f>
        <v>0</v>
      </c>
      <c r="Q173" s="169"/>
      <c r="R173" s="1197">
        <f>IF(ISNA(AT173),0,MAX(MIN(AT173-VLOOKUP("Apto en campo: "&amp;$B173,Tabla_Ventajas,3,FALSE)-Tablas!$O316-2*Tablas!$Q316-3*Tablas!$S316,3),1))</f>
        <v>0</v>
      </c>
      <c r="S173" s="1501"/>
      <c r="T173" s="1509">
        <f t="shared" si="49"/>
        <v>0</v>
      </c>
      <c r="U173" s="1509">
        <f t="shared" si="50"/>
        <v>0</v>
      </c>
      <c r="V173" s="1509">
        <f>IF(ISNA(HLOOKUP($E173,Bonos_Cat_Base,2,FALSE)),0,HLOOKUP($E173,Bonos_Cat_Base,2,FALSE))+Tablas!$Z316*Nivel_Total+10*Y173</f>
        <v>0</v>
      </c>
      <c r="W173" s="1517"/>
      <c r="X173" s="1501"/>
      <c r="Y173" s="169"/>
      <c r="Z173" s="2871"/>
      <c r="AA173" s="1529" t="str">
        <f>IF(AND(T173&lt;5,Tablas!G$303=0),"-",T173+U173+V173+Z173+IF(I173="",0,40)+Bono_ATA+AD173+AF173)</f>
        <v>-</v>
      </c>
      <c r="AB173" s="3076">
        <f t="shared" si="51"/>
        <v>0</v>
      </c>
      <c r="AC173" s="1694"/>
      <c r="AE173" s="3008"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3070">
        <f>IF(AF$123,IF(OR(Region="",ClaseSocial="",Personalización!$AN$21),0,IF(OR(AND(AI173,AJ173),AND(NOT(AI173),NOT(AJ173))),LEFT(AG173,2)+LEFT(AH173,2),0)),0)</f>
        <v>0</v>
      </c>
      <c r="AG173" s="2701" t="e">
        <f>HLOOKUP(Region&amp;ClaseSocial,Tabla_RaicesCulturales,Tablas!F189,FALSE)</f>
        <v>#N/A</v>
      </c>
      <c r="AH173" s="3008">
        <f>IF(AND(E173="Historia",Personalización!$E$26="Historia (Local)"),20&amp;" "&amp;Personalización!$E$26,IF(OR(E173=Personalización!$E$25,E173=Personalización!$E$26),VLOOKUP(E173,Tablas!$L$136:$M$137,2,FALSE),0))</f>
        <v>0</v>
      </c>
      <c r="AI173" s="3008" t="b">
        <f t="shared" si="52"/>
        <v>0</v>
      </c>
      <c r="AJ173" s="3008" t="b">
        <f t="shared" si="53"/>
        <v>0</v>
      </c>
      <c r="AL173" s="1888" t="e">
        <f t="shared" si="54"/>
        <v>#N/A</v>
      </c>
      <c r="AN173" s="1888" t="e">
        <f t="shared" si="55"/>
        <v>#N/A</v>
      </c>
      <c r="AP173" s="1888" t="e">
        <f t="shared" si="56"/>
        <v>#N/A</v>
      </c>
      <c r="AR173" s="1888" t="e">
        <f t="shared" si="57"/>
        <v>#N/A</v>
      </c>
      <c r="AT173" s="1888" t="e">
        <f t="shared" si="58"/>
        <v>#N/A</v>
      </c>
    </row>
    <row r="174" spans="1:46" ht="12" customHeight="1" x14ac:dyDescent="0.2">
      <c r="A174" s="1868"/>
      <c r="B174" s="2145" t="str">
        <f t="shared" si="60"/>
        <v>Creativas</v>
      </c>
      <c r="C174" s="3590"/>
      <c r="D174" s="3349"/>
      <c r="E174" s="3526" t="s">
        <v>7756</v>
      </c>
      <c r="F174" s="3527"/>
      <c r="G174" s="3527"/>
      <c r="H174" s="2080" t="s">
        <v>1687</v>
      </c>
      <c r="I174" s="1670"/>
      <c r="J174" s="184">
        <f>IF(ISNA(AL174),0,MAX(MIN(AL174-VLOOKUP("Apto en campo: "&amp;$B174,Tabla_Ventajas,3,FALSE)-Tablas!$O317-2*Tablas!$Q317-3*Tablas!$S317,3),1))</f>
        <v>0</v>
      </c>
      <c r="K174" s="1502"/>
      <c r="L174" s="184">
        <f>IF(ISNA(AN174),0,MAX(MIN(AN174-VLOOKUP("Apto en campo: "&amp;$B174,Tabla_Ventajas,3,FALSE)-Tablas!$O317-2*Tablas!$Q317-3*Tablas!$S317,3),1))</f>
        <v>0</v>
      </c>
      <c r="M174" s="1537"/>
      <c r="N174" s="1198">
        <f>IF(ISNA(AP174),0,MAX(MIN(AP174-VLOOKUP("Apto en campo: "&amp;$B174,Tabla_Ventajas,3,FALSE)-Tablas!$O317-2*Tablas!$Q317-3*Tablas!$S317,3),1))</f>
        <v>0</v>
      </c>
      <c r="O174" s="1502"/>
      <c r="P174" s="184">
        <f>IF(ISNA(AR174),0,MAX(MIN(AR174-VLOOKUP("Apto en campo: "&amp;$B174,Tabla_Ventajas,3,FALSE)-Tablas!$O317-2*Tablas!$Q317-3*Tablas!$S317,3),1))</f>
        <v>0</v>
      </c>
      <c r="Q174" s="1537"/>
      <c r="R174" s="1198">
        <f>IF(ISNA(AT174),0,MAX(MIN(AT174-VLOOKUP("Apto en campo: "&amp;$B174,Tabla_Ventajas,3,FALSE)-Tablas!$O317-2*Tablas!$Q317-3*Tablas!$S317,3),1))</f>
        <v>0</v>
      </c>
      <c r="S174" s="1502"/>
      <c r="T174" s="1510">
        <f t="shared" si="49"/>
        <v>0</v>
      </c>
      <c r="U174" s="1510">
        <f t="shared" si="50"/>
        <v>0</v>
      </c>
      <c r="V174" s="1510">
        <f>IF(ISNA(HLOOKUP($E174,Bonos_Cat_Base,2,FALSE)),0,HLOOKUP($E174,Bonos_Cat_Base,2,FALSE))+Tablas!$Z317*Nivel_Total+10*Y174</f>
        <v>0</v>
      </c>
      <c r="W174" s="1518"/>
      <c r="X174" s="1502"/>
      <c r="Y174" s="1537"/>
      <c r="Z174" s="2872"/>
      <c r="AA174" s="1530">
        <f>IF(AND(T174&lt;5,Tablas!G$303=0),-30,0)+T174+U174+V174+Z174+IF(I174="",0,40)+Bono_ATA+AD174+AF174</f>
        <v>-30</v>
      </c>
      <c r="AB174" s="3076">
        <f t="shared" si="51"/>
        <v>0</v>
      </c>
      <c r="AC174" s="1694"/>
      <c r="AE174" s="3008"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3070">
        <f>IF(AF$123,IF(OR(Region="",ClaseSocial="",Personalización!$AN$21),0,IF(OR(AND(AI174,AJ174),AND(NOT(AI174),NOT(AJ174))),LEFT(AG174,2)+LEFT(AH174,2),0)),0)</f>
        <v>0</v>
      </c>
      <c r="AG174" s="2701" t="e">
        <f>HLOOKUP(Region&amp;ClaseSocial,Tabla_RaicesCulturales,Tablas!F190,FALSE)</f>
        <v>#N/A</v>
      </c>
      <c r="AH174" s="3008">
        <f>IF(AND(E174="Historia",Personalización!$E$26="Historia (Local)"),20&amp;" "&amp;Personalización!$E$26,IF(OR(E174=Personalización!$E$25,E174=Personalización!$E$26),VLOOKUP(E174,Tablas!$L$136:$M$137,2,FALSE),0))</f>
        <v>0</v>
      </c>
      <c r="AI174" s="3008" t="b">
        <f t="shared" si="52"/>
        <v>0</v>
      </c>
      <c r="AJ174" s="3008" t="b">
        <f t="shared" si="53"/>
        <v>0</v>
      </c>
      <c r="AL174" s="1888" t="e">
        <f t="shared" si="54"/>
        <v>#N/A</v>
      </c>
      <c r="AN174" s="1888" t="e">
        <f t="shared" si="55"/>
        <v>#N/A</v>
      </c>
      <c r="AP174" s="1888" t="e">
        <f t="shared" si="56"/>
        <v>#N/A</v>
      </c>
      <c r="AR174" s="1888" t="e">
        <f t="shared" si="57"/>
        <v>#N/A</v>
      </c>
      <c r="AT174" s="1888" t="e">
        <f t="shared" si="58"/>
        <v>#N/A</v>
      </c>
    </row>
    <row r="175" spans="1:46" ht="12" customHeight="1" x14ac:dyDescent="0.2">
      <c r="A175" s="1868"/>
      <c r="B175" s="2145" t="str">
        <f t="shared" si="60"/>
        <v>Creativas</v>
      </c>
      <c r="C175" s="3590"/>
      <c r="D175" s="3349"/>
      <c r="E175" s="3528" t="s">
        <v>7757</v>
      </c>
      <c r="F175" s="3529"/>
      <c r="G175" s="3529"/>
      <c r="H175" s="2079" t="s">
        <v>1687</v>
      </c>
      <c r="I175" s="2064"/>
      <c r="J175" s="183">
        <f>IF(ISNA(AL175),0,MAX(MIN(AL175-VLOOKUP("Apto en campo: "&amp;$B175,Tabla_Ventajas,3,FALSE)-Tablas!$O318-2*Tablas!$Q318-3*Tablas!$S318,3),1))</f>
        <v>0</v>
      </c>
      <c r="K175" s="1501"/>
      <c r="L175" s="183">
        <f>IF(ISNA(AN175),0,MAX(MIN(AN175-VLOOKUP("Apto en campo: "&amp;$B175,Tabla_Ventajas,3,FALSE)-Tablas!$O318-2*Tablas!$Q318-3*Tablas!$S318,3),1))</f>
        <v>0</v>
      </c>
      <c r="M175" s="169"/>
      <c r="N175" s="1197">
        <f>IF(ISNA(AP175),0,MAX(MIN(AP175-VLOOKUP("Apto en campo: "&amp;$B175,Tabla_Ventajas,3,FALSE)-Tablas!$O318-2*Tablas!$Q318-3*Tablas!$S318,3),1))</f>
        <v>0</v>
      </c>
      <c r="O175" s="1501"/>
      <c r="P175" s="183">
        <f>IF(ISNA(AR175),0,MAX(MIN(AR175-VLOOKUP("Apto en campo: "&amp;$B175,Tabla_Ventajas,3,FALSE)-Tablas!$O318-2*Tablas!$Q318-3*Tablas!$S318,3),1))</f>
        <v>0</v>
      </c>
      <c r="Q175" s="169"/>
      <c r="R175" s="1197">
        <f>IF(ISNA(AT175),0,MAX(MIN(AT175-VLOOKUP("Apto en campo: "&amp;$B175,Tabla_Ventajas,3,FALSE)-Tablas!$O318-2*Tablas!$Q318-3*Tablas!$S318,3),1))</f>
        <v>0</v>
      </c>
      <c r="S175" s="1501"/>
      <c r="T175" s="1509">
        <f t="shared" si="49"/>
        <v>0</v>
      </c>
      <c r="U175" s="1509">
        <f t="shared" si="50"/>
        <v>0</v>
      </c>
      <c r="V175" s="1509">
        <f>IF(ISNA(HLOOKUP($E175,Bonos_Cat_Base,2,FALSE)),0,HLOOKUP($E175,Bonos_Cat_Base,2,FALSE))+Tablas!$Z318*Nivel_Total+10*Y175</f>
        <v>0</v>
      </c>
      <c r="W175" s="1517"/>
      <c r="X175" s="1501"/>
      <c r="Y175" s="169"/>
      <c r="Z175" s="2871"/>
      <c r="AA175" s="1529" t="str">
        <f>IF(AND(T175&lt;5,Tablas!G$303=0),"-",T175+U175+V175+Z175+IF(I175="",0,40)+Bono_ATA+AD175+AF175)</f>
        <v>-</v>
      </c>
      <c r="AB175" s="3076">
        <f t="shared" si="51"/>
        <v>0</v>
      </c>
      <c r="AC175" s="1694"/>
      <c r="AE175" s="3008"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3070">
        <f>IF(AF$123,IF(OR(Region="",ClaseSocial="",Personalización!$AN$21),0,IF(OR(AND(AI175,AJ175),AND(NOT(AI175),NOT(AJ175))),LEFT(AG175,2)+LEFT(AH175,2),0)),0)</f>
        <v>0</v>
      </c>
      <c r="AG175" s="2701" t="e">
        <f>HLOOKUP(Region&amp;ClaseSocial,Tabla_RaicesCulturales,Tablas!F191,FALSE)</f>
        <v>#N/A</v>
      </c>
      <c r="AH175" s="3008">
        <f>IF(AND(E175="Historia",Personalización!$E$26="Historia (Local)"),20&amp;" "&amp;Personalización!$E$26,IF(OR(E175=Personalización!$E$25,E175=Personalización!$E$26),VLOOKUP(E175,Tablas!$L$136:$M$137,2,FALSE),0))</f>
        <v>0</v>
      </c>
      <c r="AI175" s="3008" t="b">
        <f t="shared" si="52"/>
        <v>0</v>
      </c>
      <c r="AJ175" s="3008" t="b">
        <f t="shared" si="53"/>
        <v>0</v>
      </c>
      <c r="AL175" s="1888" t="e">
        <f t="shared" si="54"/>
        <v>#N/A</v>
      </c>
      <c r="AN175" s="1888" t="e">
        <f t="shared" si="55"/>
        <v>#N/A</v>
      </c>
      <c r="AP175" s="1888" t="e">
        <f t="shared" si="56"/>
        <v>#N/A</v>
      </c>
      <c r="AR175" s="1888" t="e">
        <f t="shared" si="57"/>
        <v>#N/A</v>
      </c>
      <c r="AT175" s="1888" t="e">
        <f t="shared" si="58"/>
        <v>#N/A</v>
      </c>
    </row>
    <row r="176" spans="1:46" ht="12" customHeight="1" x14ac:dyDescent="0.2">
      <c r="A176" s="1868"/>
      <c r="B176" s="2145" t="str">
        <f t="shared" si="60"/>
        <v>Creativas</v>
      </c>
      <c r="C176" s="3590"/>
      <c r="D176" s="3349"/>
      <c r="E176" s="3526" t="s">
        <v>7758</v>
      </c>
      <c r="F176" s="3527"/>
      <c r="G176" s="3527"/>
      <c r="H176" s="2083" t="s">
        <v>1700</v>
      </c>
      <c r="I176" s="2065"/>
      <c r="J176" s="184">
        <f>IF(ISNA(AL176),0,MAX(MIN(AL176-VLOOKUP("Apto en campo: "&amp;$B176,Tabla_Ventajas,3,FALSE)-Tablas!$O319-2*Tablas!$Q319-3*Tablas!$S319,3),1))</f>
        <v>0</v>
      </c>
      <c r="K176" s="1502"/>
      <c r="L176" s="184">
        <f>IF(ISNA(AN176),0,MAX(MIN(AN176-VLOOKUP("Apto en campo: "&amp;$B176,Tabla_Ventajas,3,FALSE)-Tablas!$O319-2*Tablas!$Q319-3*Tablas!$S319,3),1))</f>
        <v>0</v>
      </c>
      <c r="M176" s="1537"/>
      <c r="N176" s="1198">
        <f>IF(ISNA(AP176),0,MAX(MIN(AP176-VLOOKUP("Apto en campo: "&amp;$B176,Tabla_Ventajas,3,FALSE)-Tablas!$O319-2*Tablas!$Q319-3*Tablas!$S319,3),1))</f>
        <v>0</v>
      </c>
      <c r="O176" s="1502"/>
      <c r="P176" s="184">
        <f>IF(ISNA(AR176),0,MAX(MIN(AR176-VLOOKUP("Apto en campo: "&amp;$B176,Tabla_Ventajas,3,FALSE)-Tablas!$O319-2*Tablas!$Q319-3*Tablas!$S319,3),1))</f>
        <v>0</v>
      </c>
      <c r="Q176" s="1537"/>
      <c r="R176" s="1198">
        <f>IF(ISNA(AT176),0,MAX(MIN(AT176-VLOOKUP("Apto en campo: "&amp;$B176,Tabla_Ventajas,3,FALSE)-Tablas!$O319-2*Tablas!$Q319-3*Tablas!$S319,3),1))</f>
        <v>0</v>
      </c>
      <c r="S176" s="1502"/>
      <c r="T176" s="1510">
        <f t="shared" si="49"/>
        <v>0</v>
      </c>
      <c r="U176" s="1510">
        <f t="shared" si="50"/>
        <v>0</v>
      </c>
      <c r="V176" s="1510">
        <f>IF(ISNA(HLOOKUP($E176,Bonos_Cat_Base,2,FALSE)),0,HLOOKUP($E176,Bonos_Cat_Base,2,FALSE))+Tablas!$Z319*Nivel_Total+10*Y176</f>
        <v>0</v>
      </c>
      <c r="W176" s="1518"/>
      <c r="X176" s="1502"/>
      <c r="Y176" s="1537"/>
      <c r="Z176" s="2872"/>
      <c r="AA176" s="1530" t="str">
        <f>IF(AND(T176&lt;5,Tablas!G$303=0),"-",T176+U176+V176+Z176+IF(I176="",0,40)+Bono_ATA-Combate!U16+AD176+AF176)</f>
        <v>-</v>
      </c>
      <c r="AB176" s="3076">
        <f t="shared" si="51"/>
        <v>0</v>
      </c>
      <c r="AC176" s="1694"/>
      <c r="AE176" s="3008"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3070">
        <f>IF(AF$123,IF(OR(Region="",ClaseSocial="",Personalización!$AN$21),0,IF(OR(AND(AI176,AJ176),AND(NOT(AI176),NOT(AJ176))),LEFT(AG176,2)+LEFT(AH176,2),0)),0)</f>
        <v>0</v>
      </c>
      <c r="AG176" s="2701" t="e">
        <f>HLOOKUP(Region&amp;ClaseSocial,Tabla_RaicesCulturales,Tablas!F192,FALSE)</f>
        <v>#N/A</v>
      </c>
      <c r="AH176" s="3008">
        <f>IF(AND(E176="Historia",Personalización!$E$26="Historia (Local)"),20&amp;" "&amp;Personalización!$E$26,IF(OR(E176=Personalización!$E$25,E176=Personalización!$E$26),VLOOKUP(E176,Tablas!$L$136:$M$137,2,FALSE),0))</f>
        <v>0</v>
      </c>
      <c r="AI176" s="3008" t="b">
        <f t="shared" si="52"/>
        <v>0</v>
      </c>
      <c r="AJ176" s="3008" t="b">
        <f t="shared" si="53"/>
        <v>0</v>
      </c>
      <c r="AL176" s="1888" t="e">
        <f t="shared" si="54"/>
        <v>#N/A</v>
      </c>
      <c r="AN176" s="1888" t="e">
        <f t="shared" si="55"/>
        <v>#N/A</v>
      </c>
      <c r="AP176" s="1888" t="e">
        <f t="shared" si="56"/>
        <v>#N/A</v>
      </c>
      <c r="AR176" s="1888" t="e">
        <f t="shared" si="57"/>
        <v>#N/A</v>
      </c>
      <c r="AT176" s="1888" t="e">
        <f t="shared" si="58"/>
        <v>#N/A</v>
      </c>
    </row>
    <row r="177" spans="1:35" ht="12" customHeight="1" x14ac:dyDescent="0.2">
      <c r="A177" s="1868"/>
      <c r="B177" s="2145">
        <f>IF(OR(U177="FUE",U177="CON",U177="DES",U177="AGI"),1,IF(OR(U177="INT",U177="POD",U177="VOL",U177="PER"),2,0))</f>
        <v>0</v>
      </c>
      <c r="C177" s="3590"/>
      <c r="D177" s="2227" t="s">
        <v>1766</v>
      </c>
      <c r="E177" s="3560"/>
      <c r="F177" s="3561"/>
      <c r="G177" s="3561"/>
      <c r="H177" s="2070"/>
      <c r="I177" s="1671"/>
      <c r="J177" s="1636"/>
      <c r="K177" s="1506"/>
      <c r="L177" s="1636"/>
      <c r="M177" s="1497"/>
      <c r="N177" s="1637"/>
      <c r="O177" s="1506"/>
      <c r="P177" s="1636"/>
      <c r="Q177" s="1497"/>
      <c r="R177" s="1637"/>
      <c r="S177" s="1506"/>
      <c r="T177" s="1512">
        <f t="shared" si="49"/>
        <v>0</v>
      </c>
      <c r="U177" s="1512" t="str">
        <f>IF(H177="","",MIN(VLOOKUP($H177,Tabla_Características,5)*(1+W177)+10*Con.TodasMaterias+10*X177,100))</f>
        <v/>
      </c>
      <c r="V177" s="1512">
        <f>IF(ISNA(HLOOKUP($E177,Bonos_Cat_Base,2,FALSE)),0,HLOOKUP($E177,Bonos_Cat_Base,2,FALSE))+Tablas!$Z320*Nivel_Total+10*Y177</f>
        <v>0</v>
      </c>
      <c r="W177" s="1520"/>
      <c r="X177" s="1506"/>
      <c r="Y177" s="1497"/>
      <c r="Z177" s="2873"/>
      <c r="AA177" s="1532" t="str">
        <f>IF(AND(T177&lt;5),"-",T177+U177+V177+Z177+IF(I177="",0,40)+Bono_ATA+AD177+AF177)</f>
        <v>-</v>
      </c>
      <c r="AB177" s="3076">
        <f>IF(AA177="-",0,IF(AA177&gt;VLOOKUP(Nivel_Total,Tabla_LímiteSecundarias,2),1,0))</f>
        <v>0</v>
      </c>
      <c r="AC177" s="1694"/>
      <c r="AE177" s="3070"/>
      <c r="AH177" s="3071" t="s">
        <v>1766</v>
      </c>
    </row>
    <row r="178" spans="1:35" ht="12" customHeight="1" x14ac:dyDescent="0.2">
      <c r="A178" s="1868"/>
      <c r="B178" s="2145">
        <f>IF(OR(U178="FUE",U178="CON",U178="DES",U178="AGI"),1,IF(OR(U178="INT",U178="POD",U178="VOL",U178="PER"),2,0))</f>
        <v>0</v>
      </c>
      <c r="C178" s="3590"/>
      <c r="D178" s="2228" t="s">
        <v>1766</v>
      </c>
      <c r="E178" s="3562"/>
      <c r="F178" s="3563"/>
      <c r="G178" s="3563"/>
      <c r="H178" s="2071"/>
      <c r="I178" s="1670"/>
      <c r="J178" s="1638"/>
      <c r="K178" s="1502"/>
      <c r="L178" s="1638"/>
      <c r="M178" s="1537"/>
      <c r="N178" s="1639"/>
      <c r="O178" s="1502"/>
      <c r="P178" s="1638"/>
      <c r="Q178" s="1537"/>
      <c r="R178" s="1639"/>
      <c r="S178" s="1502"/>
      <c r="T178" s="1510">
        <f t="shared" si="49"/>
        <v>0</v>
      </c>
      <c r="U178" s="1510" t="str">
        <f>IF(H178="","",MIN(VLOOKUP($H178,Tabla_Características,5)*(1+W178)+10*Con.TodasMaterias+10*X178,100))</f>
        <v/>
      </c>
      <c r="V178" s="1510">
        <f>IF(ISNA(HLOOKUP($E178,Bonos_Cat_Base,2,FALSE)),0,HLOOKUP($E178,Bonos_Cat_Base,2,FALSE))+Tablas!$Z321*Nivel_Total+10*Y178</f>
        <v>0</v>
      </c>
      <c r="W178" s="1518"/>
      <c r="X178" s="1502"/>
      <c r="Y178" s="1537"/>
      <c r="Z178" s="2872"/>
      <c r="AA178" s="1530" t="str">
        <f>IF(AND(T178&lt;5),"-",T178+U178+V178+Z178+IF(I178="",0,40)+Bono_ATA+AD178+AF178)</f>
        <v>-</v>
      </c>
      <c r="AB178" s="3076">
        <f t="shared" si="51"/>
        <v>0</v>
      </c>
      <c r="AC178" s="1694"/>
      <c r="AH178" s="3071" t="s">
        <v>8694</v>
      </c>
      <c r="AI178" s="3008" t="s">
        <v>1713</v>
      </c>
    </row>
    <row r="179" spans="1:35" ht="12" customHeight="1" x14ac:dyDescent="0.2">
      <c r="A179" s="1871"/>
      <c r="B179" s="2145">
        <f>IF(OR(U179="FUE",U179="CON",U179="DES",U179="AGI"),1,IF(OR(U179="INT",U179="POD",U179="VOL",U179="PER"),2,0))</f>
        <v>0</v>
      </c>
      <c r="C179" s="3590"/>
      <c r="D179" s="2228" t="s">
        <v>1766</v>
      </c>
      <c r="E179" s="3564"/>
      <c r="F179" s="3565"/>
      <c r="G179" s="3565"/>
      <c r="H179" s="2072"/>
      <c r="I179" s="1669"/>
      <c r="J179" s="1640"/>
      <c r="K179" s="1501"/>
      <c r="L179" s="1640"/>
      <c r="M179" s="169"/>
      <c r="N179" s="1641"/>
      <c r="O179" s="1501"/>
      <c r="P179" s="1640"/>
      <c r="Q179" s="169"/>
      <c r="R179" s="1641"/>
      <c r="S179" s="1501"/>
      <c r="T179" s="1509">
        <f t="shared" si="49"/>
        <v>0</v>
      </c>
      <c r="U179" s="1509" t="str">
        <f>IF(H179="","",MIN(VLOOKUP($H179,Tabla_Características,5)*(1+W179)+10*Con.TodasMaterias+10*X179,100))</f>
        <v/>
      </c>
      <c r="V179" s="1509">
        <f>IF(ISNA(HLOOKUP($E179,Bonos_Cat_Base,2,FALSE)),0,HLOOKUP($E179,Bonos_Cat_Base,2,FALSE))+Tablas!$Z322*Nivel_Total+10*Y179</f>
        <v>0</v>
      </c>
      <c r="W179" s="1517"/>
      <c r="X179" s="1501"/>
      <c r="Y179" s="169"/>
      <c r="Z179" s="2871"/>
      <c r="AA179" s="1529" t="str">
        <f>IF(AND(T179&lt;5),"-",T179+U179+V179+Z179+IF(I179="",0,40)+Bono_ATA+AD179+AF179)</f>
        <v>-</v>
      </c>
      <c r="AB179" s="3076">
        <f t="shared" si="51"/>
        <v>0</v>
      </c>
      <c r="AC179" s="1694"/>
      <c r="AH179" s="3071" t="s">
        <v>8690</v>
      </c>
      <c r="AI179" s="3008" t="s">
        <v>1732</v>
      </c>
    </row>
    <row r="180" spans="1:35" ht="12" customHeight="1" x14ac:dyDescent="0.2">
      <c r="A180" s="1871"/>
      <c r="B180" s="2145">
        <f>IF(OR(U180="FUE",U180="CON",U180="DES",U180="AGI"),1,IF(OR(U180="INT",U180="POD",U180="VOL",U180="PER"),2,0))</f>
        <v>0</v>
      </c>
      <c r="C180" s="3590"/>
      <c r="D180" s="2228" t="s">
        <v>1766</v>
      </c>
      <c r="E180" s="3562"/>
      <c r="F180" s="3563"/>
      <c r="G180" s="3563"/>
      <c r="H180" s="2071"/>
      <c r="I180" s="1670"/>
      <c r="J180" s="1638"/>
      <c r="K180" s="1502"/>
      <c r="L180" s="1638"/>
      <c r="M180" s="1537"/>
      <c r="N180" s="1639"/>
      <c r="O180" s="1502"/>
      <c r="P180" s="1638"/>
      <c r="Q180" s="1537"/>
      <c r="R180" s="1639"/>
      <c r="S180" s="1502"/>
      <c r="T180" s="1510">
        <f t="shared" si="49"/>
        <v>0</v>
      </c>
      <c r="U180" s="1510" t="str">
        <f>IF(H180="","",MIN(VLOOKUP($H180,Tabla_Características,5)*(1+W180)+10*Con.TodasMaterias+10*X180,100))</f>
        <v/>
      </c>
      <c r="V180" s="1510">
        <f>IF(ISNA(HLOOKUP($E180,Bonos_Cat_Base,2,FALSE)),0,HLOOKUP($E180,Bonos_Cat_Base,2,FALSE))+Tablas!$Z323*Nivel_Total+10*Y180</f>
        <v>0</v>
      </c>
      <c r="W180" s="1518"/>
      <c r="X180" s="1502"/>
      <c r="Y180" s="1537"/>
      <c r="Z180" s="2872"/>
      <c r="AA180" s="1530" t="str">
        <f>IF(AND(T180&lt;5),"-",T180+U180+V180+Z180+IF(I180="",0,40)+Bono_ATA+AD180+AF180)</f>
        <v>-</v>
      </c>
      <c r="AB180" s="3076">
        <f t="shared" si="51"/>
        <v>0</v>
      </c>
      <c r="AC180" s="1694"/>
      <c r="AH180" s="3071" t="s">
        <v>8695</v>
      </c>
      <c r="AI180" s="3008" t="s">
        <v>8675</v>
      </c>
    </row>
    <row r="181" spans="1:35" ht="12" customHeight="1" x14ac:dyDescent="0.2">
      <c r="A181" s="1871"/>
      <c r="B181" s="2145">
        <f>IF(OR(U181="FUE",U181="CON",U181="DES",U181="AGI"),1,IF(OR(U181="INT",U181="POD",U181="VOL",U181="PER"),2,0))</f>
        <v>0</v>
      </c>
      <c r="C181" s="3590"/>
      <c r="D181" s="2229" t="s">
        <v>1766</v>
      </c>
      <c r="E181" s="3554"/>
      <c r="F181" s="3555"/>
      <c r="G181" s="3555"/>
      <c r="H181" s="2073"/>
      <c r="I181" s="1672"/>
      <c r="J181" s="1642"/>
      <c r="K181" s="1507"/>
      <c r="L181" s="1642"/>
      <c r="M181" s="1498"/>
      <c r="N181" s="1643"/>
      <c r="O181" s="1507"/>
      <c r="P181" s="1642"/>
      <c r="Q181" s="1498"/>
      <c r="R181" s="1643"/>
      <c r="S181" s="1507"/>
      <c r="T181" s="1513">
        <f t="shared" si="49"/>
        <v>0</v>
      </c>
      <c r="U181" s="1513" t="str">
        <f>IF(H181="","",MIN(VLOOKUP($H181,Tabla_Características,5)*(1+W181)+10*Con.TodasMaterias+10*X181,100))</f>
        <v/>
      </c>
      <c r="V181" s="1513">
        <f>IF(ISNA(HLOOKUP($E181,Bonos_Cat_Base,2,FALSE)),0,HLOOKUP($E181,Bonos_Cat_Base,2,FALSE))+Tablas!$Z324*Nivel_Total+10*Y181</f>
        <v>0</v>
      </c>
      <c r="W181" s="1521"/>
      <c r="X181" s="1507"/>
      <c r="Y181" s="1498"/>
      <c r="Z181" s="2874"/>
      <c r="AA181" s="1533" t="str">
        <f>IF(AND(T181&lt;5),"-",T181+U181+V181+Z181+IF(I181="",0,40)+Bono_ATA+AD181+AF181)</f>
        <v>-</v>
      </c>
      <c r="AB181" s="3076">
        <f t="shared" si="51"/>
        <v>0</v>
      </c>
      <c r="AC181" s="1694"/>
      <c r="AH181" s="3071" t="s">
        <v>8691</v>
      </c>
      <c r="AI181" s="3008" t="s">
        <v>1745</v>
      </c>
    </row>
    <row r="182" spans="1:35" ht="12" customHeight="1" thickBot="1" x14ac:dyDescent="0.25">
      <c r="A182" s="1871"/>
      <c r="B182" s="2145"/>
      <c r="C182" s="3590"/>
      <c r="D182" s="3576" t="s">
        <v>1852</v>
      </c>
      <c r="E182" s="3577"/>
      <c r="F182" s="3577"/>
      <c r="G182" s="3577"/>
      <c r="H182" s="3577"/>
      <c r="I182" s="3577"/>
      <c r="J182" s="3577"/>
      <c r="K182" s="3577"/>
      <c r="L182" s="3577"/>
      <c r="M182" s="3577"/>
      <c r="N182" s="3577"/>
      <c r="O182" s="3577"/>
      <c r="P182" s="3577"/>
      <c r="Q182" s="3577"/>
      <c r="R182" s="3577"/>
      <c r="S182" s="3577"/>
      <c r="T182" s="3577"/>
      <c r="U182" s="3577"/>
      <c r="V182" s="3577"/>
      <c r="W182" s="3577"/>
      <c r="X182" s="3577"/>
      <c r="Y182" s="1649" t="str">
        <f>SUMPRODUCT($W126:$W181,--ISNUMBER(MATCH($H126:$H181,{"AGI";"DES";"CON";"FUE"},0)))&amp;" + "&amp;SUMPRODUCT($W126:$W181,--ISNUMBER(MATCH($H126:$H181,{"PER";"INT";"POD";"VOL"},0)))</f>
        <v>0 + 0</v>
      </c>
      <c r="Z182" s="1650" t="s">
        <v>1853</v>
      </c>
      <c r="AA182" s="1651" t="str">
        <f>IF(Nivel_Total=0,"1 + 1",Nivel_Total*IF(Tablas!$G$360&gt;0,2,1)*IF(Tablas!$G$531&gt;0,0,1)&amp;" + "&amp;Nivel_Total*IF(Tablas!$G$360&gt;0,2,1)*IF(Tablas!$G$531&gt;0,0,1))</f>
        <v>1 + 1</v>
      </c>
      <c r="AB182" s="3078"/>
      <c r="AC182" s="1694"/>
      <c r="AH182" s="3071" t="s">
        <v>1759</v>
      </c>
      <c r="AI182" s="3008" t="s">
        <v>1759</v>
      </c>
    </row>
    <row r="183" spans="1:35" ht="12" customHeight="1" x14ac:dyDescent="0.2">
      <c r="A183" s="1871"/>
      <c r="B183" s="2145"/>
      <c r="C183" s="3590"/>
      <c r="D183" s="3578" t="s">
        <v>1854</v>
      </c>
      <c r="E183" s="3579"/>
      <c r="F183" s="3579"/>
      <c r="G183" s="3579"/>
      <c r="H183" s="3579"/>
      <c r="I183" s="3579"/>
      <c r="J183" s="3579"/>
      <c r="K183" s="3579"/>
      <c r="L183" s="3579"/>
      <c r="M183" s="3579"/>
      <c r="N183" s="3579"/>
      <c r="O183" s="3579"/>
      <c r="P183" s="3579"/>
      <c r="Q183" s="3579"/>
      <c r="R183" s="3579"/>
      <c r="S183" s="3579"/>
      <c r="T183" s="3579"/>
      <c r="U183" s="3579"/>
      <c r="V183" s="3579"/>
      <c r="W183" s="3579"/>
      <c r="X183" s="3579"/>
      <c r="Y183" s="190">
        <f>SUM($X126:$X181)</f>
        <v>0</v>
      </c>
      <c r="Z183" s="189" t="s">
        <v>1853</v>
      </c>
      <c r="AA183" s="1535">
        <f>IF(Nivel_Total=0,5,Nivel_Total*5)</f>
        <v>5</v>
      </c>
      <c r="AB183" s="3078"/>
      <c r="AC183" s="1694"/>
      <c r="AH183" s="3071" t="s">
        <v>8692</v>
      </c>
      <c r="AI183" s="3008" t="s">
        <v>1767</v>
      </c>
    </row>
    <row r="184" spans="1:35" ht="12" customHeight="1" x14ac:dyDescent="0.2">
      <c r="A184" s="1871"/>
      <c r="B184" s="2145"/>
      <c r="C184" s="3590"/>
      <c r="D184" s="3580" t="s">
        <v>1855</v>
      </c>
      <c r="E184" s="3527"/>
      <c r="F184" s="3527"/>
      <c r="G184" s="3527"/>
      <c r="H184" s="3527"/>
      <c r="I184" s="3527"/>
      <c r="J184" s="3527"/>
      <c r="K184" s="3527"/>
      <c r="L184" s="3527"/>
      <c r="M184" s="3527"/>
      <c r="N184" s="3527"/>
      <c r="O184" s="3527"/>
      <c r="P184" s="3527"/>
      <c r="Q184" s="3527"/>
      <c r="R184" s="3527"/>
      <c r="S184" s="3527"/>
      <c r="T184" s="3527"/>
      <c r="U184" s="3527"/>
      <c r="V184" s="3527"/>
      <c r="W184" s="3527"/>
      <c r="X184" s="3527"/>
      <c r="Y184" s="191">
        <f>SUM($Y126:$Y181)</f>
        <v>0</v>
      </c>
      <c r="Z184" s="192" t="s">
        <v>1853</v>
      </c>
      <c r="AA184" s="1536">
        <f>(IF(ISNUMBER(MATCH("Novel",P5:P14,0)),VLOOKUP("Novel",P5:S14,4,FALSE)))*5</f>
        <v>0</v>
      </c>
      <c r="AB184" s="3091"/>
      <c r="AC184" s="1694"/>
      <c r="AH184" s="3071" t="s">
        <v>8693</v>
      </c>
      <c r="AI184" s="3008" t="s">
        <v>1780</v>
      </c>
    </row>
    <row r="185" spans="1:35" ht="12" customHeight="1" x14ac:dyDescent="0.2">
      <c r="A185" s="1871"/>
      <c r="B185" s="2145"/>
      <c r="C185" s="3590"/>
      <c r="D185" s="3581" t="s">
        <v>1856</v>
      </c>
      <c r="E185" s="3556" t="str">
        <f>IF(Acumulacion="Si","Múltiplos de Acumulación","Múltiplos de Vida")</f>
        <v>Múltiplos de Vida</v>
      </c>
      <c r="F185" s="3557"/>
      <c r="G185" s="3557"/>
      <c r="H185" s="3557"/>
      <c r="I185" s="3558"/>
      <c r="J185" s="3536">
        <f>IF(Acumulacion="Si","X",IF(Categoría_1=0,0,VLOOKUP(Categoría_1,Tabla_Categorías,4,FALSE)))</f>
        <v>0</v>
      </c>
      <c r="K185" s="3538"/>
      <c r="L185" s="3536">
        <f>IF(Acumulacion="Si","X",IF(Categoría_2=0,0,VLOOKUP(Categoría_2,Tabla_Categorías,4,FALSE)))</f>
        <v>0</v>
      </c>
      <c r="M185" s="3538"/>
      <c r="N185" s="3536">
        <f>IF(Acumulacion="Si","X",IF(Categoría_3=0,0,VLOOKUP(Categoría_3,Tabla_Categorías,4,FALSE)))</f>
        <v>0</v>
      </c>
      <c r="O185" s="3538"/>
      <c r="P185" s="3536">
        <f>IF(Acumulacion="Si","X",IF(Categoría_4=0,0,VLOOKUP(Categoría_4,Tabla_Categorías,4,FALSE)))</f>
        <v>0</v>
      </c>
      <c r="Q185" s="3538"/>
      <c r="R185" s="3536">
        <f>IF(Acumulacion="Si","X",IF(Categoría_5=0,0,VLOOKUP(Categoría_5,Tabla_Categorías,4,FALSE)))</f>
        <v>0</v>
      </c>
      <c r="S185" s="3538"/>
      <c r="T185" s="3536">
        <f>IF(Acumulacion="Si",IF(Tablas!$S$1676&gt;0,Tablas!$S$1676,VLOOKUP(Tamaño,Tabla_CreaciónSeres,5)),IF(J185=0,0,TRUNC((K185/J185),0))+IF(L185=0,0,TRUNC((M185/L185),0))+IF(N185=0,0,TRUNC((O185/N185),0))+IF(P185=0,0,TRUNC((Q185/P185),0))+IF(R185=0,0,TRUNC((S185/R185),0)))</f>
        <v>0</v>
      </c>
      <c r="U185" s="3532">
        <f>20+CON*10+Bono_Con</f>
        <v>70</v>
      </c>
      <c r="V185" s="3532">
        <f>(HLOOKUP("PV",Bonos_Cat_Base,2,FALSE)+(10*Tablas!$G$349+20*Tablas!$G$350+30*Tablas!$G$351)*Nivel_Total)*IF(Acumulacion="Si",VLOOKUP(Tamaño,Tabla_CreaciónSeres,5),1)</f>
        <v>0</v>
      </c>
      <c r="W185" s="3532">
        <f>IF(Acumulacion="Si",T185*(K185+M185+O185+Q185+S185),T185*CON)</f>
        <v>0</v>
      </c>
      <c r="X185" s="3585"/>
      <c r="Y185" s="3586"/>
      <c r="Z185" s="3550">
        <f>U185+W185+V185+X185</f>
        <v>70</v>
      </c>
      <c r="AA185" s="3551"/>
      <c r="AB185" s="2942"/>
      <c r="AC185" s="1694"/>
    </row>
    <row r="186" spans="1:35" ht="12" customHeight="1" thickBot="1" x14ac:dyDescent="0.25">
      <c r="A186" s="1871"/>
      <c r="B186" s="2145"/>
      <c r="C186" s="3591"/>
      <c r="D186" s="3582"/>
      <c r="E186" s="3537"/>
      <c r="F186" s="3533"/>
      <c r="G186" s="3533"/>
      <c r="H186" s="3533"/>
      <c r="I186" s="3559"/>
      <c r="J186" s="3537"/>
      <c r="K186" s="3539"/>
      <c r="L186" s="3537"/>
      <c r="M186" s="3539"/>
      <c r="N186" s="3537"/>
      <c r="O186" s="3539"/>
      <c r="P186" s="3537"/>
      <c r="Q186" s="3539"/>
      <c r="R186" s="3537"/>
      <c r="S186" s="3539"/>
      <c r="T186" s="3537"/>
      <c r="U186" s="3533"/>
      <c r="V186" s="3533"/>
      <c r="W186" s="3533"/>
      <c r="X186" s="3587"/>
      <c r="Y186" s="3588"/>
      <c r="Z186" s="3552"/>
      <c r="AA186" s="3553"/>
      <c r="AB186" s="3092"/>
      <c r="AC186" s="1694"/>
    </row>
    <row r="187" spans="1:35" ht="12" customHeight="1" x14ac:dyDescent="0.2">
      <c r="A187" s="1871"/>
      <c r="B187" s="2402"/>
      <c r="AB187" s="2942"/>
      <c r="AC187" s="1694"/>
    </row>
    <row r="188" spans="1:35" ht="12" customHeight="1" thickBot="1" x14ac:dyDescent="0.25">
      <c r="A188" s="1871"/>
      <c r="B188" s="2145"/>
      <c r="AB188" s="2942"/>
      <c r="AC188" s="1694"/>
    </row>
    <row r="189" spans="1:35" ht="12" customHeight="1" x14ac:dyDescent="0.2">
      <c r="A189" s="1871"/>
      <c r="B189" s="2145"/>
      <c r="C189" s="3570" t="s">
        <v>1857</v>
      </c>
      <c r="D189" s="3571"/>
      <c r="E189" s="3571"/>
      <c r="F189" s="3571"/>
      <c r="G189" s="3571"/>
      <c r="H189" s="3571"/>
      <c r="I189" s="3572"/>
      <c r="J189" s="3568">
        <f>$T$5</f>
        <v>400</v>
      </c>
      <c r="K189" s="3583">
        <f>M83+M101+M117+SUM(K126:K181)+K185+Z7+W18</f>
        <v>0</v>
      </c>
      <c r="L189" s="3568">
        <f>$T$7</f>
        <v>0</v>
      </c>
      <c r="M189" s="3583">
        <f>IF(Categoría_2="",0,O83+O101+O117+M185+SUM(M126:M181)-M83-M101-M117+AA7+Z9+X18)</f>
        <v>0</v>
      </c>
      <c r="N189" s="3568">
        <f>$T$9</f>
        <v>0</v>
      </c>
      <c r="O189" s="3583">
        <f>IF(Categoría_3="",0,Q83+Q101+Q117+O185+SUM(O126:O181)-O83-O101-O117+AA9+Z11+Y18)</f>
        <v>0</v>
      </c>
      <c r="P189" s="3568">
        <f>$T$11</f>
        <v>0</v>
      </c>
      <c r="Q189" s="3583">
        <f>IF(Categoría_4="",0,S83+S101+S117+Q185+SUM(Q126:Q181)-Q83-Q101-Q117+AA11+Z13+Z18)</f>
        <v>0</v>
      </c>
      <c r="R189" s="3568">
        <f>$T$13</f>
        <v>0</v>
      </c>
      <c r="S189" s="3566">
        <f>IF(Categoría_4="",0,U83+U101+U117+S185+SUM(S126:S181)-S83-S101-S117+AA13+AA18)</f>
        <v>0</v>
      </c>
      <c r="T189" s="3871" t="str">
        <f>IF(AA189&gt;Z189,"Exceso de PDs",IF(OR(K189&gt;J189,M189&gt;L189,O189&gt;N189,Q189&gt;P189,S189&gt;R189),"Límite por Categoría excedido",""))</f>
        <v/>
      </c>
      <c r="U189" s="3872"/>
      <c r="V189" s="3872"/>
      <c r="W189" s="3873"/>
      <c r="X189" s="3867" t="s">
        <v>4551</v>
      </c>
      <c r="Y189" s="3868"/>
      <c r="Z189" s="3877">
        <f>J189+L189+N189+P189+R189</f>
        <v>400</v>
      </c>
      <c r="AA189" s="3879">
        <f>K189+M189+O189+Q189+S189</f>
        <v>0</v>
      </c>
      <c r="AB189" s="2942"/>
      <c r="AC189" s="1694"/>
    </row>
    <row r="190" spans="1:35" ht="12" customHeight="1" thickBot="1" x14ac:dyDescent="0.25">
      <c r="A190" s="1871"/>
      <c r="B190" s="2145"/>
      <c r="C190" s="3573"/>
      <c r="D190" s="3574"/>
      <c r="E190" s="3574"/>
      <c r="F190" s="3574"/>
      <c r="G190" s="3574"/>
      <c r="H190" s="3574"/>
      <c r="I190" s="3575"/>
      <c r="J190" s="3569"/>
      <c r="K190" s="3584"/>
      <c r="L190" s="3569"/>
      <c r="M190" s="3584"/>
      <c r="N190" s="3569"/>
      <c r="O190" s="3584"/>
      <c r="P190" s="3569"/>
      <c r="Q190" s="3584"/>
      <c r="R190" s="3569"/>
      <c r="S190" s="3567"/>
      <c r="T190" s="3874"/>
      <c r="U190" s="3875"/>
      <c r="V190" s="3875"/>
      <c r="W190" s="3876"/>
      <c r="X190" s="3869"/>
      <c r="Y190" s="3870"/>
      <c r="Z190" s="3878"/>
      <c r="AA190" s="3880"/>
      <c r="AB190" s="2942"/>
      <c r="AC190" s="1694"/>
    </row>
    <row r="191" spans="1:35" ht="12" customHeight="1" x14ac:dyDescent="0.2">
      <c r="A191" s="1869"/>
      <c r="B191" s="2145"/>
      <c r="AB191" s="2942"/>
      <c r="AC191" s="2946"/>
    </row>
    <row r="192" spans="1:35" ht="12" customHeight="1" thickBot="1" x14ac:dyDescent="0.25">
      <c r="A192" s="1869"/>
      <c r="B192" s="2400"/>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3088"/>
      <c r="AC192" s="2946"/>
    </row>
    <row r="193" spans="1:29" ht="12" customHeight="1" x14ac:dyDescent="0.2">
      <c r="A193" s="1869"/>
      <c r="B193" s="2403"/>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694"/>
      <c r="AC193" s="1694"/>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12">
    <mergeCell ref="X189:Y190"/>
    <mergeCell ref="T189:W190"/>
    <mergeCell ref="Z189:Z190"/>
    <mergeCell ref="AA189:AA190"/>
    <mergeCell ref="W16:Z16"/>
    <mergeCell ref="V7:X8"/>
    <mergeCell ref="V9:X10"/>
    <mergeCell ref="V11:X12"/>
    <mergeCell ref="V13:X14"/>
    <mergeCell ref="V99:AA99"/>
    <mergeCell ref="V100:AA100"/>
    <mergeCell ref="X96:Y96"/>
    <mergeCell ref="X97:Y97"/>
    <mergeCell ref="X27:Y27"/>
    <mergeCell ref="X28:Y28"/>
    <mergeCell ref="V56:AA56"/>
    <mergeCell ref="V57:AA57"/>
    <mergeCell ref="V58:AA58"/>
    <mergeCell ref="V59:AA59"/>
    <mergeCell ref="V60:AA60"/>
    <mergeCell ref="V61:AA61"/>
    <mergeCell ref="V62:AA62"/>
    <mergeCell ref="V63:AA63"/>
    <mergeCell ref="U101:U102"/>
    <mergeCell ref="V4:AA5"/>
    <mergeCell ref="V6:X6"/>
    <mergeCell ref="Z7:Z8"/>
    <mergeCell ref="AA7:AA8"/>
    <mergeCell ref="Z9:Z10"/>
    <mergeCell ref="AA9:AA10"/>
    <mergeCell ref="Z11:Z12"/>
    <mergeCell ref="AA11:AA12"/>
    <mergeCell ref="P15:Q16"/>
    <mergeCell ref="P4:R4"/>
    <mergeCell ref="T7:T8"/>
    <mergeCell ref="T9:T10"/>
    <mergeCell ref="Y7:Y8"/>
    <mergeCell ref="Y9:Y10"/>
    <mergeCell ref="Y11:Y12"/>
    <mergeCell ref="R15:R16"/>
    <mergeCell ref="C13:M16"/>
    <mergeCell ref="Y13:Y14"/>
    <mergeCell ref="Z13:Z14"/>
    <mergeCell ref="AA13:AA14"/>
    <mergeCell ref="S15:S16"/>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V83:AA84"/>
    <mergeCell ref="T87:U88"/>
    <mergeCell ref="X98:Y9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P87:Q88"/>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66:I66"/>
    <mergeCell ref="J66:K66"/>
    <mergeCell ref="E67:I67"/>
    <mergeCell ref="E127:G127"/>
    <mergeCell ref="E128:G128"/>
    <mergeCell ref="E129:G129"/>
    <mergeCell ref="E130:G130"/>
    <mergeCell ref="V78:Y78"/>
    <mergeCell ref="V79:Y79"/>
    <mergeCell ref="V80:Y80"/>
    <mergeCell ref="V81:Y81"/>
    <mergeCell ref="V82:Y82"/>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56:D77"/>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O4:O16"/>
    <mergeCell ref="L19:M20"/>
    <mergeCell ref="N19:O20"/>
    <mergeCell ref="T11:T12"/>
    <mergeCell ref="T13:T14"/>
    <mergeCell ref="S11:S12"/>
    <mergeCell ref="C4:H12"/>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E21:K21"/>
    <mergeCell ref="E22:K22"/>
    <mergeCell ref="E23:K23"/>
    <mergeCell ref="E24:K24"/>
    <mergeCell ref="E25:K25"/>
    <mergeCell ref="E26:Z26"/>
    <mergeCell ref="X21:Y21"/>
    <mergeCell ref="X22:Y22"/>
    <mergeCell ref="X23:Y23"/>
    <mergeCell ref="X24:Y24"/>
    <mergeCell ref="X25:Y25"/>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40:X40"/>
    <mergeCell ref="V41:X41"/>
    <mergeCell ref="V42:X42"/>
    <mergeCell ref="U83:U84"/>
    <mergeCell ref="T83:T84"/>
    <mergeCell ref="E75:K75"/>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V64:AA64"/>
    <mergeCell ref="V65:AA65"/>
    <mergeCell ref="V66:AA66"/>
    <mergeCell ref="V67:AA67"/>
    <mergeCell ref="V68:AA68"/>
    <mergeCell ref="V69:AA69"/>
    <mergeCell ref="V70:AA70"/>
    <mergeCell ref="V71:AA71"/>
    <mergeCell ref="V72:AA72"/>
    <mergeCell ref="D108:D109"/>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X89:Y89"/>
    <mergeCell ref="X90:Y90"/>
    <mergeCell ref="X91:Y91"/>
    <mergeCell ref="X92:Y92"/>
    <mergeCell ref="X93:Y93"/>
    <mergeCell ref="X94:Y94"/>
    <mergeCell ref="X95:Y95"/>
    <mergeCell ref="T117:T118"/>
    <mergeCell ref="U117:U118"/>
    <mergeCell ref="V117:AA118"/>
    <mergeCell ref="T105:U106"/>
    <mergeCell ref="X108:Y108"/>
    <mergeCell ref="X109:Y109"/>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E185:I186"/>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W124:X124"/>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s>
  <phoneticPr fontId="9" type="noConversion"/>
  <conditionalFormatting sqref="E46:E55">
    <cfRule type="cellIs" dxfId="759" priority="408" stopIfTrue="1" operator="equal">
      <formula>"Tabla de Esquiva con Escudo"</formula>
    </cfRule>
  </conditionalFormatting>
  <conditionalFormatting sqref="K189">
    <cfRule type="cellIs" dxfId="758" priority="409" stopIfTrue="1" operator="greaterThan">
      <formula>$J$189</formula>
    </cfRule>
  </conditionalFormatting>
  <conditionalFormatting sqref="Y184">
    <cfRule type="cellIs" dxfId="757" priority="410" stopIfTrue="1" operator="notEqual">
      <formula>$AA$184</formula>
    </cfRule>
  </conditionalFormatting>
  <conditionalFormatting sqref="Y183">
    <cfRule type="cellIs" dxfId="756" priority="411" stopIfTrue="1" operator="notEqual">
      <formula>$AA$183</formula>
    </cfRule>
  </conditionalFormatting>
  <conditionalFormatting sqref="Y182">
    <cfRule type="cellIs" dxfId="755" priority="412" stopIfTrue="1" operator="notEqual">
      <formula>$AA$182</formula>
    </cfRule>
  </conditionalFormatting>
  <conditionalFormatting sqref="Y126:Y128">
    <cfRule type="cellIs" dxfId="754" priority="413" stopIfTrue="1" operator="greaterThan">
      <formula>$AA$184/5</formula>
    </cfRule>
  </conditionalFormatting>
  <conditionalFormatting sqref="M83">
    <cfRule type="cellIs" dxfId="753" priority="416" stopIfTrue="1" operator="greaterThan">
      <formula>$L$83</formula>
    </cfRule>
  </conditionalFormatting>
  <conditionalFormatting sqref="AA126:AA128">
    <cfRule type="expression" dxfId="752" priority="417" stopIfTrue="1">
      <formula>B1</formula>
    </cfRule>
  </conditionalFormatting>
  <conditionalFormatting sqref="P7 P9 P11 P13">
    <cfRule type="expression" dxfId="751" priority="459" stopIfTrue="1">
      <formula>$P$5=0</formula>
    </cfRule>
  </conditionalFormatting>
  <conditionalFormatting sqref="Y129:Y132">
    <cfRule type="cellIs" dxfId="750" priority="89" stopIfTrue="1" operator="greaterThan">
      <formula>$AA$184/5</formula>
    </cfRule>
  </conditionalFormatting>
  <conditionalFormatting sqref="AA129:AA132">
    <cfRule type="expression" dxfId="749" priority="90" stopIfTrue="1">
      <formula>B4</formula>
    </cfRule>
  </conditionalFormatting>
  <conditionalFormatting sqref="Y133:Y180">
    <cfRule type="cellIs" dxfId="748" priority="78" stopIfTrue="1" operator="greaterThan">
      <formula>$AA$184/5</formula>
    </cfRule>
  </conditionalFormatting>
  <conditionalFormatting sqref="AA133:AA180">
    <cfRule type="expression" dxfId="747" priority="79" stopIfTrue="1">
      <formula>B8</formula>
    </cfRule>
  </conditionalFormatting>
  <conditionalFormatting sqref="Y181">
    <cfRule type="cellIs" dxfId="746" priority="71" stopIfTrue="1" operator="greaterThan">
      <formula>$AA$184/5</formula>
    </cfRule>
  </conditionalFormatting>
  <conditionalFormatting sqref="AA181">
    <cfRule type="expression" dxfId="745" priority="72" stopIfTrue="1">
      <formula>B56</formula>
    </cfRule>
  </conditionalFormatting>
  <conditionalFormatting sqref="V41:V45">
    <cfRule type="expression" dxfId="744" priority="1625" stopIfTrue="1">
      <formula>AND(NOT($V41="Armas improvisadas"),$Y41=0)</formula>
    </cfRule>
  </conditionalFormatting>
  <conditionalFormatting sqref="E40:E56 E99:E100 E110:E116 E75:E82">
    <cfRule type="expression" dxfId="743" priority="1628">
      <formula>NOT(OR(L40=M40,$N40=$O40,$P40=$Q40,$R40=$S40,$T40=$U40))</formula>
    </cfRule>
  </conditionalFormatting>
  <conditionalFormatting sqref="Y40:AA45">
    <cfRule type="expression" dxfId="742" priority="70" stopIfTrue="1">
      <formula>$V40=""</formula>
    </cfRule>
  </conditionalFormatting>
  <conditionalFormatting sqref="E113">
    <cfRule type="expression" dxfId="741" priority="1740" stopIfTrue="1">
      <formula>NOT(OR(#REF!=#REF!,#REF!=#REF!,#REF!=#REF!,#REF!=#REF!,#REF!=#REF!))</formula>
    </cfRule>
  </conditionalFormatting>
  <conditionalFormatting sqref="E114">
    <cfRule type="expression" dxfId="740" priority="2280" stopIfTrue="1">
      <formula>NOT(OR(#REF!=#REF!,#REF!=#REF!,#REF!=#REF!,#REF!=#REF!,#REF!=#REF!))</formula>
    </cfRule>
  </conditionalFormatting>
  <conditionalFormatting sqref="E115:E116">
    <cfRule type="expression" dxfId="739" priority="2283" stopIfTrue="1">
      <formula>NOT(OR(M123=L123,O123=N123,Q123=P123,S123=R123,U123=T123))</formula>
    </cfRule>
  </conditionalFormatting>
  <conditionalFormatting sqref="E57">
    <cfRule type="expression" dxfId="738" priority="54">
      <formula>NOT(OR(L57=M57,$N57=$O57,$P57=$Q57,$R57=$S57,$T57=$U57))</formula>
    </cfRule>
  </conditionalFormatting>
  <conditionalFormatting sqref="E59">
    <cfRule type="expression" dxfId="737" priority="52">
      <formula>NOT(OR(L59=M59,$N59=$O59,$P59=$Q59,$R59=$S59,$T59=$U59))</formula>
    </cfRule>
  </conditionalFormatting>
  <conditionalFormatting sqref="E58">
    <cfRule type="expression" dxfId="736" priority="51">
      <formula>NOT(OR(L58=M58,$N58=$O58,$P58=$Q58,$R58=$S58,$T58=$U58))</formula>
    </cfRule>
  </conditionalFormatting>
  <conditionalFormatting sqref="E61">
    <cfRule type="expression" dxfId="735" priority="50">
      <formula>NOT(OR(L61=M61,$N61=$O61,$P61=$Q61,$R61=$S61,$T61=$U61))</formula>
    </cfRule>
  </conditionalFormatting>
  <conditionalFormatting sqref="E60">
    <cfRule type="expression" dxfId="734" priority="49">
      <formula>NOT(OR(L60=M60,$N60=$O60,$P60=$Q60,$R60=$S60,$T60=$U60))</formula>
    </cfRule>
  </conditionalFormatting>
  <conditionalFormatting sqref="E63">
    <cfRule type="expression" dxfId="733" priority="48">
      <formula>NOT(OR(L63=M63,$N63=$O63,$P63=$Q63,$R63=$S63,$T63=$U63))</formula>
    </cfRule>
  </conditionalFormatting>
  <conditionalFormatting sqref="E62">
    <cfRule type="expression" dxfId="732" priority="47">
      <formula>NOT(OR(L62=M62,$N62=$O62,$P62=$Q62,$R62=$S62,$T62=$U62))</formula>
    </cfRule>
  </conditionalFormatting>
  <conditionalFormatting sqref="E65">
    <cfRule type="expression" dxfId="731" priority="46">
      <formula>NOT(OR(L65=M65,$N65=$O65,$P65=$Q65,$R65=$S65,$T65=$U65))</formula>
    </cfRule>
  </conditionalFormatting>
  <conditionalFormatting sqref="E64">
    <cfRule type="expression" dxfId="730" priority="45">
      <formula>NOT(OR(L64=M64,$N64=$O64,$P64=$Q64,$R64=$S64,$T64=$U64))</formula>
    </cfRule>
  </conditionalFormatting>
  <conditionalFormatting sqref="E67">
    <cfRule type="expression" dxfId="729" priority="44">
      <formula>NOT(OR(L67=M67,$N67=$O67,$P67=$Q67,$R67=$S67,$T67=$U67))</formula>
    </cfRule>
  </conditionalFormatting>
  <conditionalFormatting sqref="E66">
    <cfRule type="expression" dxfId="728" priority="43">
      <formula>NOT(OR(L66=M66,$N66=$O66,$P66=$Q66,$R66=$S66,$T66=$U66))</formula>
    </cfRule>
  </conditionalFormatting>
  <conditionalFormatting sqref="E69">
    <cfRule type="expression" dxfId="727" priority="42">
      <formula>NOT(OR(L69=M69,$N69=$O69,$P69=$Q69,$R69=$S69,$T69=$U69))</formula>
    </cfRule>
  </conditionalFormatting>
  <conditionalFormatting sqref="E68">
    <cfRule type="expression" dxfId="726" priority="41">
      <formula>NOT(OR(L68=M68,$N68=$O68,$P68=$Q68,$R68=$S68,$T68=$U68))</formula>
    </cfRule>
  </conditionalFormatting>
  <conditionalFormatting sqref="E71">
    <cfRule type="expression" dxfId="725" priority="40">
      <formula>NOT(OR(L71=M71,$N71=$O71,$P71=$Q71,$R71=$S71,$T71=$U71))</formula>
    </cfRule>
  </conditionalFormatting>
  <conditionalFormatting sqref="E70">
    <cfRule type="expression" dxfId="724" priority="39">
      <formula>NOT(OR(L70=M70,$N70=$O70,$P70=$Q70,$R70=$S70,$T70=$U70))</formula>
    </cfRule>
  </conditionalFormatting>
  <conditionalFormatting sqref="E73">
    <cfRule type="expression" dxfId="723" priority="38">
      <formula>NOT(OR(L73=M73,$N73=$O73,$P73=$Q73,$R73=$S73,$T73=$U73))</formula>
    </cfRule>
  </conditionalFormatting>
  <conditionalFormatting sqref="E72">
    <cfRule type="expression" dxfId="722" priority="37">
      <formula>NOT(OR(L72=M72,$N72=$O72,$P72=$Q72,$R72=$S72,$T72=$U72))</formula>
    </cfRule>
  </conditionalFormatting>
  <conditionalFormatting sqref="E74">
    <cfRule type="expression" dxfId="721" priority="36">
      <formula>NOT(OR(L74=M74,$N74=$O74,$P74=$Q74,$R74=$S74,$T74=$U74))</formula>
    </cfRule>
  </conditionalFormatting>
  <conditionalFormatting sqref="E56:I74">
    <cfRule type="expression" dxfId="720" priority="34">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719" priority="4083"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718" priority="4153"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717" priority="4223"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716" priority="4293"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715" priority="4364"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714" priority="4431"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713" priority="4498"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712" priority="4565" stopIfTrue="1">
      <formula>Categoría_5=0</formula>
    </cfRule>
  </conditionalFormatting>
  <conditionalFormatting sqref="N83:O83">
    <cfRule type="expression" dxfId="711" priority="4633" stopIfTrue="1">
      <formula>Categoría_2=0</formula>
    </cfRule>
  </conditionalFormatting>
  <conditionalFormatting sqref="P83:Q83">
    <cfRule type="expression" dxfId="710" priority="4639" stopIfTrue="1">
      <formula>Categoría_3=0</formula>
    </cfRule>
  </conditionalFormatting>
  <conditionalFormatting sqref="R83">
    <cfRule type="expression" dxfId="709" priority="4645" stopIfTrue="1">
      <formula>Categoría_4=0</formula>
    </cfRule>
  </conditionalFormatting>
  <conditionalFormatting sqref="T83 T101 T117">
    <cfRule type="expression" dxfId="708" priority="4651" stopIfTrue="1">
      <formula>Categoría_5=0</formula>
    </cfRule>
  </conditionalFormatting>
  <conditionalFormatting sqref="S83">
    <cfRule type="cellIs" dxfId="707" priority="4656" stopIfTrue="1" operator="greaterThan">
      <formula>$N$83</formula>
    </cfRule>
    <cfRule type="expression" dxfId="706" priority="4657" stopIfTrue="1">
      <formula>Categoría_4=0</formula>
    </cfRule>
  </conditionalFormatting>
  <conditionalFormatting sqref="V40">
    <cfRule type="expression" dxfId="705" priority="33" stopIfTrue="1">
      <formula>AND(NOT($V40="Armas improvisadas"),$Y40=0)</formula>
    </cfRule>
  </conditionalFormatting>
  <conditionalFormatting sqref="L83:M84">
    <cfRule type="expression" dxfId="704" priority="31" stopIfTrue="1">
      <formula>$N83&gt;0</formula>
    </cfRule>
  </conditionalFormatting>
  <conditionalFormatting sqref="L189:M189">
    <cfRule type="cellIs" dxfId="703" priority="4984" stopIfTrue="1" operator="greaterThan">
      <formula>$L$189</formula>
    </cfRule>
    <cfRule type="expression" dxfId="702" priority="4985" stopIfTrue="1">
      <formula>$P$7=0</formula>
    </cfRule>
  </conditionalFormatting>
  <conditionalFormatting sqref="N189:O189">
    <cfRule type="cellIs" dxfId="701" priority="4986" stopIfTrue="1" operator="greaterThan">
      <formula>$N$189</formula>
    </cfRule>
    <cfRule type="expression" dxfId="700" priority="4987" stopIfTrue="1">
      <formula>$P$9=0</formula>
    </cfRule>
  </conditionalFormatting>
  <conditionalFormatting sqref="P189:Q189">
    <cfRule type="cellIs" dxfId="699" priority="4988" stopIfTrue="1" operator="greaterThan">
      <formula>$P$189</formula>
    </cfRule>
    <cfRule type="expression" dxfId="698" priority="4989" stopIfTrue="1">
      <formula>$P$11=0</formula>
    </cfRule>
  </conditionalFormatting>
  <conditionalFormatting sqref="R189:S189">
    <cfRule type="cellIs" dxfId="697" priority="4990" stopIfTrue="1" operator="greaterThan">
      <formula>$R$189</formula>
    </cfRule>
    <cfRule type="expression" dxfId="696" priority="4991" stopIfTrue="1">
      <formula>$P$13=0</formula>
    </cfRule>
  </conditionalFormatting>
  <conditionalFormatting sqref="U83 U101 U117">
    <cfRule type="cellIs" dxfId="695" priority="4992" stopIfTrue="1" operator="greaterThan">
      <formula>$N$83</formula>
    </cfRule>
    <cfRule type="expression" dxfId="694" priority="4993" stopIfTrue="1">
      <formula>$P$13=0</formula>
    </cfRule>
  </conditionalFormatting>
  <conditionalFormatting sqref="M189:M190">
    <cfRule type="expression" dxfId="693" priority="4998">
      <formula>$M$189&gt;$T$7</formula>
    </cfRule>
  </conditionalFormatting>
  <conditionalFormatting sqref="W126:X181">
    <cfRule type="cellIs" dxfId="692" priority="4999" stopIfTrue="1" operator="greaterThan">
      <formula>$R$15</formula>
    </cfRule>
  </conditionalFormatting>
  <conditionalFormatting sqref="Y7:Y14">
    <cfRule type="expression" dxfId="691" priority="27" stopIfTrue="1">
      <formula>NOT($Y7=$Z7+$AA7)</formula>
    </cfRule>
  </conditionalFormatting>
  <conditionalFormatting sqref="AA16">
    <cfRule type="expression" dxfId="690" priority="26" stopIfTrue="1">
      <formula>NOT($AA$16=$W$18+$X$18+$Y$18+$Z$18+$AA$18)</formula>
    </cfRule>
  </conditionalFormatting>
  <conditionalFormatting sqref="N83:O84">
    <cfRule type="expression" dxfId="689" priority="24" stopIfTrue="1">
      <formula>$P83&gt;0</formula>
    </cfRule>
  </conditionalFormatting>
  <conditionalFormatting sqref="P83:Q84">
    <cfRule type="expression" dxfId="688" priority="23" stopIfTrue="1">
      <formula>$R83&gt;0</formula>
    </cfRule>
  </conditionalFormatting>
  <conditionalFormatting sqref="R83:S84">
    <cfRule type="expression" dxfId="687" priority="22" stopIfTrue="1">
      <formula>$T83&gt;0</formula>
    </cfRule>
  </conditionalFormatting>
  <conditionalFormatting sqref="M101">
    <cfRule type="cellIs" dxfId="686" priority="15" stopIfTrue="1" operator="greaterThan">
      <formula>$L$83</formula>
    </cfRule>
  </conditionalFormatting>
  <conditionalFormatting sqref="N101:O101">
    <cfRule type="expression" dxfId="685" priority="16" stopIfTrue="1">
      <formula>Categoría_2=0</formula>
    </cfRule>
  </conditionalFormatting>
  <conditionalFormatting sqref="P101:Q101">
    <cfRule type="expression" dxfId="684" priority="17" stopIfTrue="1">
      <formula>Categoría_3=0</formula>
    </cfRule>
  </conditionalFormatting>
  <conditionalFormatting sqref="R101">
    <cfRule type="expression" dxfId="683" priority="18" stopIfTrue="1">
      <formula>Categoría_4=0</formula>
    </cfRule>
  </conditionalFormatting>
  <conditionalFormatting sqref="S101">
    <cfRule type="cellIs" dxfId="682" priority="19" stopIfTrue="1" operator="greaterThan">
      <formula>$N$83</formula>
    </cfRule>
    <cfRule type="expression" dxfId="681" priority="20" stopIfTrue="1">
      <formula>Categoría_4=0</formula>
    </cfRule>
  </conditionalFormatting>
  <conditionalFormatting sqref="L101:M102">
    <cfRule type="expression" dxfId="680" priority="14" stopIfTrue="1">
      <formula>$N101&gt;0</formula>
    </cfRule>
  </conditionalFormatting>
  <conditionalFormatting sqref="N101:O102">
    <cfRule type="expression" dxfId="679" priority="13" stopIfTrue="1">
      <formula>$P101&gt;0</formula>
    </cfRule>
  </conditionalFormatting>
  <conditionalFormatting sqref="P101:Q102">
    <cfRule type="expression" dxfId="678" priority="12" stopIfTrue="1">
      <formula>$R101&gt;0</formula>
    </cfRule>
  </conditionalFormatting>
  <conditionalFormatting sqref="R101:S102">
    <cfRule type="expression" dxfId="677" priority="11" stopIfTrue="1">
      <formula>$T101&gt;0</formula>
    </cfRule>
  </conditionalFormatting>
  <conditionalFormatting sqref="M117">
    <cfRule type="cellIs" dxfId="676" priority="5" stopIfTrue="1" operator="greaterThan">
      <formula>$L$83</formula>
    </cfRule>
  </conditionalFormatting>
  <conditionalFormatting sqref="N117:O117">
    <cfRule type="expression" dxfId="675" priority="6" stopIfTrue="1">
      <formula>Categoría_2=0</formula>
    </cfRule>
  </conditionalFormatting>
  <conditionalFormatting sqref="P117:Q117">
    <cfRule type="expression" dxfId="674" priority="7" stopIfTrue="1">
      <formula>Categoría_3=0</formula>
    </cfRule>
  </conditionalFormatting>
  <conditionalFormatting sqref="R117">
    <cfRule type="expression" dxfId="673" priority="8" stopIfTrue="1">
      <formula>Categoría_4=0</formula>
    </cfRule>
  </conditionalFormatting>
  <conditionalFormatting sqref="S117">
    <cfRule type="cellIs" dxfId="672" priority="9" stopIfTrue="1" operator="greaterThan">
      <formula>$N$83</formula>
    </cfRule>
    <cfRule type="expression" dxfId="671" priority="10" stopIfTrue="1">
      <formula>Categoría_4=0</formula>
    </cfRule>
  </conditionalFormatting>
  <conditionalFormatting sqref="L117:M118">
    <cfRule type="expression" dxfId="670" priority="4" stopIfTrue="1">
      <formula>$N117&gt;0</formula>
    </cfRule>
  </conditionalFormatting>
  <conditionalFormatting sqref="N117:O118">
    <cfRule type="expression" dxfId="669" priority="3" stopIfTrue="1">
      <formula>$P117&gt;0</formula>
    </cfRule>
  </conditionalFormatting>
  <conditionalFormatting sqref="P117:Q118">
    <cfRule type="expression" dxfId="668" priority="2" stopIfTrue="1">
      <formula>$R117&gt;0</formula>
    </cfRule>
  </conditionalFormatting>
  <conditionalFormatting sqref="R117:S118">
    <cfRule type="expression" dxfId="667" priority="1" stopIfTrue="1">
      <formula>$T117&gt;0</formula>
    </cfRule>
  </conditionalFormatting>
  <dataValidations count="80">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01000000}">
      <formula1>NA()</formula1>
      <formula2>0</formula2>
    </dataValidation>
    <dataValidation type="list" operator="equal" allowBlank="1" showErrorMessage="1" sqref="L177:L181 N177:N181 P177:P181 J177:J181 R177:R181" xr:uid="{00000000-0002-0000-0300-000002000000}">
      <formula1>"1,2,3"</formula1>
      <formula2>0</formula2>
    </dataValidation>
    <dataValidation type="list" operator="equal" allowBlank="1" showErrorMessage="1" sqref="E99:E100" xr:uid="{00000000-0002-0000-0300-000003000000}">
      <formula1>Tablas_Místicas</formula1>
      <formula2>0</formula2>
    </dataValidation>
    <dataValidation type="list" operator="equal" allowBlank="1" showErrorMessage="1" sqref="E110" xr:uid="{00000000-0002-0000-0300-000004000000}">
      <formula1>Tablas_Psíquicas</formula1>
      <formula2>0</formula2>
    </dataValidation>
    <dataValidation type="list" operator="equal" allowBlank="1" showErrorMessage="1" sqref="E111:E116" xr:uid="{00000000-0002-0000-0300-000005000000}">
      <formula1>Patrones</formula1>
      <formula2>0</formula2>
    </dataValidation>
    <dataValidation type="list" operator="equal" allowBlank="1" showErrorMessage="1" sqref="E40:K45" xr:uid="{00000000-0002-0000-0300-000006000000}">
      <formula1>Tablas_de_Armas</formula1>
    </dataValidation>
    <dataValidation type="list" operator="equal" allowBlank="1" showErrorMessage="1" sqref="E46:K55" xr:uid="{00000000-0002-0000-0300-000007000000}">
      <formula1>Tablas_Estilo</formula1>
    </dataValidation>
    <dataValidation type="list" operator="equal" allowBlank="1" showErrorMessage="1" sqref="E75:K77" xr:uid="{00000000-0002-0000-0300-000008000000}">
      <formula1>Lista_TablasArtesArmas</formula1>
    </dataValidation>
    <dataValidation type="list" operator="equal" allowBlank="1" showErrorMessage="1" sqref="E78:K82" xr:uid="{00000000-0002-0000-0300-000009000000}">
      <formula1>Ars_Magnus</formula1>
    </dataValidation>
    <dataValidation type="list" allowBlank="1" showInputMessage="1" showErrorMessage="1" sqref="H177:H181" xr:uid="{00000000-0002-0000-0300-00000A000000}">
      <formula1>Características</formula1>
    </dataValidation>
    <dataValidation type="list" operator="equal" allowBlank="1" showErrorMessage="1" sqref="U28 M42 U36 U34 U30" xr:uid="{00000000-0002-0000-0300-00000B000000}">
      <formula1>$L$42</formula1>
      <formula2>0</formula2>
    </dataValidation>
    <dataValidation type="list" operator="equal" allowBlank="1" showErrorMessage="1" sqref="U32 U46:U55 Q46:Q55 O46:O55 S46:S55 U38" xr:uid="{00000000-0002-0000-0300-00000C000000}">
      <formula1>N32</formula1>
      <formula2>0</formula2>
    </dataValidation>
    <dataValidation type="list" operator="equal" allowBlank="1" showErrorMessage="1" sqref="M40" xr:uid="{00000000-0002-0000-0300-00000D000000}">
      <formula1>$L$40</formula1>
      <formula2>0</formula2>
    </dataValidation>
    <dataValidation type="list" operator="equal" allowBlank="1" showErrorMessage="1" sqref="O40" xr:uid="{00000000-0002-0000-0300-00000E000000}">
      <formula1>$N$40</formula1>
      <formula2>0</formula2>
    </dataValidation>
    <dataValidation type="list" operator="equal" allowBlank="1" showErrorMessage="1" sqref="Q40" xr:uid="{00000000-0002-0000-0300-00000F000000}">
      <formula1>$P$40</formula1>
      <formula2>0</formula2>
    </dataValidation>
    <dataValidation type="list" operator="equal" allowBlank="1" showErrorMessage="1" sqref="S40" xr:uid="{00000000-0002-0000-0300-000010000000}">
      <formula1>$R$40</formula1>
      <formula2>0</formula2>
    </dataValidation>
    <dataValidation type="list" operator="equal" allowBlank="1" showErrorMessage="1" sqref="U40" xr:uid="{00000000-0002-0000-0300-000011000000}">
      <formula1>$T$40</formula1>
      <formula2>0</formula2>
    </dataValidation>
    <dataValidation type="list" operator="equal" allowBlank="1" showErrorMessage="1" sqref="M41" xr:uid="{00000000-0002-0000-0300-000012000000}">
      <formula1>$L$41</formula1>
      <formula2>0</formula2>
    </dataValidation>
    <dataValidation type="list" operator="equal" allowBlank="1" showErrorMessage="1" sqref="O41" xr:uid="{00000000-0002-0000-0300-000013000000}">
      <formula1>$N$41</formula1>
      <formula2>0</formula2>
    </dataValidation>
    <dataValidation type="list" operator="equal" allowBlank="1" showErrorMessage="1" sqref="Q41" xr:uid="{00000000-0002-0000-0300-000014000000}">
      <formula1>$P$41</formula1>
      <formula2>0</formula2>
    </dataValidation>
    <dataValidation type="list" operator="equal" allowBlank="1" showErrorMessage="1" sqref="S41" xr:uid="{00000000-0002-0000-0300-000015000000}">
      <formula1>$R$41</formula1>
      <formula2>0</formula2>
    </dataValidation>
    <dataValidation type="list" operator="equal" allowBlank="1" showErrorMessage="1" sqref="U41" xr:uid="{00000000-0002-0000-0300-000016000000}">
      <formula1>$T$41</formula1>
      <formula2>0</formula2>
    </dataValidation>
    <dataValidation type="list" operator="equal" allowBlank="1" showErrorMessage="1" sqref="O42" xr:uid="{00000000-0002-0000-0300-000017000000}">
      <formula1>$N$42</formula1>
      <formula2>0</formula2>
    </dataValidation>
    <dataValidation type="list" operator="equal" allowBlank="1" showErrorMessage="1" sqref="Q42" xr:uid="{00000000-0002-0000-0300-000018000000}">
      <formula1>$P$42</formula1>
      <formula2>0</formula2>
    </dataValidation>
    <dataValidation type="list" operator="equal" allowBlank="1" showErrorMessage="1" sqref="S42" xr:uid="{00000000-0002-0000-0300-000019000000}">
      <formula1>$R$42</formula1>
      <formula2>0</formula2>
    </dataValidation>
    <dataValidation type="list" operator="equal" allowBlank="1" showErrorMessage="1" sqref="U42" xr:uid="{00000000-0002-0000-0300-00001A000000}">
      <formula1>$T$42</formula1>
      <formula2>0</formula2>
    </dataValidation>
    <dataValidation type="list" operator="equal" allowBlank="1" showErrorMessage="1" sqref="M43" xr:uid="{00000000-0002-0000-0300-00001B000000}">
      <formula1>$L$43</formula1>
      <formula2>0</formula2>
    </dataValidation>
    <dataValidation type="list" operator="equal" allowBlank="1" showErrorMessage="1" sqref="O43" xr:uid="{00000000-0002-0000-0300-00001C000000}">
      <formula1>$N$43</formula1>
      <formula2>0</formula2>
    </dataValidation>
    <dataValidation type="list" operator="equal" allowBlank="1" showErrorMessage="1" sqref="Q43" xr:uid="{00000000-0002-0000-0300-00001D000000}">
      <formula1>$P$43</formula1>
      <formula2>0</formula2>
    </dataValidation>
    <dataValidation type="list" operator="equal" allowBlank="1" showErrorMessage="1" sqref="S43" xr:uid="{00000000-0002-0000-0300-00001E000000}">
      <formula1>$R$43</formula1>
      <formula2>0</formula2>
    </dataValidation>
    <dataValidation type="list" operator="equal" allowBlank="1" showErrorMessage="1" sqref="U43" xr:uid="{00000000-0002-0000-0300-00001F000000}">
      <formula1>$T$43</formula1>
      <formula2>0</formula2>
    </dataValidation>
    <dataValidation type="list" operator="equal" allowBlank="1" showErrorMessage="1" sqref="M44" xr:uid="{00000000-0002-0000-0300-000020000000}">
      <formula1>$L$44</formula1>
      <formula2>0</formula2>
    </dataValidation>
    <dataValidation type="list" operator="equal" allowBlank="1" showErrorMessage="1" sqref="O44" xr:uid="{00000000-0002-0000-0300-000021000000}">
      <formula1>$N$44</formula1>
      <formula2>0</formula2>
    </dataValidation>
    <dataValidation type="list" operator="equal" allowBlank="1" showErrorMessage="1" sqref="Q44" xr:uid="{00000000-0002-0000-0300-000022000000}">
      <formula1>$P$44</formula1>
      <formula2>0</formula2>
    </dataValidation>
    <dataValidation type="list" operator="equal" allowBlank="1" showErrorMessage="1" sqref="S44" xr:uid="{00000000-0002-0000-0300-000023000000}">
      <formula1>$R$44</formula1>
      <formula2>0</formula2>
    </dataValidation>
    <dataValidation type="list" operator="equal" allowBlank="1" showErrorMessage="1" sqref="U44" xr:uid="{00000000-0002-0000-0300-000024000000}">
      <formula1>$T$44</formula1>
      <formula2>0</formula2>
    </dataValidation>
    <dataValidation type="list" operator="equal" allowBlank="1" showErrorMessage="1" sqref="M45" xr:uid="{00000000-0002-0000-0300-000025000000}">
      <formula1>$L$45</formula1>
      <formula2>0</formula2>
    </dataValidation>
    <dataValidation type="list" operator="equal" allowBlank="1" showErrorMessage="1" sqref="O45" xr:uid="{00000000-0002-0000-0300-000026000000}">
      <formula1>$N$45</formula1>
      <formula2>0</formula2>
    </dataValidation>
    <dataValidation type="list" operator="equal" allowBlank="1" showErrorMessage="1" sqref="Q45" xr:uid="{00000000-0002-0000-0300-000027000000}">
      <formula1>$P$45</formula1>
      <formula2>0</formula2>
    </dataValidation>
    <dataValidation type="list" operator="equal" allowBlank="1" showErrorMessage="1" sqref="S45" xr:uid="{00000000-0002-0000-0300-000028000000}">
      <formula1>$R$45</formula1>
      <formula2>0</formula2>
    </dataValidation>
    <dataValidation type="list" operator="equal" allowBlank="1" showErrorMessage="1" sqref="U45" xr:uid="{00000000-0002-0000-0300-000029000000}">
      <formula1>$T$45</formula1>
      <formula2>0</formula2>
    </dataValidation>
    <dataValidation type="list" operator="equal" allowBlank="1" showErrorMessage="1" sqref="M46" xr:uid="{00000000-0002-0000-0300-00002A000000}">
      <formula1>$L$46</formula1>
      <formula2>0</formula2>
    </dataValidation>
    <dataValidation type="list" operator="equal" allowBlank="1" showErrorMessage="1" sqref="M47" xr:uid="{00000000-0002-0000-0300-00002B000000}">
      <formula1>$L$47</formula1>
      <formula2>0</formula2>
    </dataValidation>
    <dataValidation type="list" operator="equal" allowBlank="1" showErrorMessage="1" sqref="M48" xr:uid="{00000000-0002-0000-0300-00002C000000}">
      <formula1>$L$48</formula1>
      <formula2>0</formula2>
    </dataValidation>
    <dataValidation type="list" operator="equal" allowBlank="1" showErrorMessage="1" sqref="M49" xr:uid="{00000000-0002-0000-0300-00002D000000}">
      <formula1>$L$49</formula1>
      <formula2>0</formula2>
    </dataValidation>
    <dataValidation type="list" operator="equal" allowBlank="1" showErrorMessage="1" sqref="M50" xr:uid="{00000000-0002-0000-0300-00002E000000}">
      <formula1>$L$50</formula1>
      <formula2>0</formula2>
    </dataValidation>
    <dataValidation type="list" operator="equal" allowBlank="1" showErrorMessage="1" sqref="M51" xr:uid="{00000000-0002-0000-0300-00002F000000}">
      <formula1>$L$51</formula1>
      <formula2>0</formula2>
    </dataValidation>
    <dataValidation type="list" operator="equal" allowBlank="1" showErrorMessage="1" sqref="M52" xr:uid="{00000000-0002-0000-0300-000030000000}">
      <formula1>$L$52</formula1>
      <formula2>0</formula2>
    </dataValidation>
    <dataValidation type="list" operator="equal" allowBlank="1" showErrorMessage="1" sqref="M53" xr:uid="{00000000-0002-0000-0300-000031000000}">
      <formula1>$L$53</formula1>
      <formula2>0</formula2>
    </dataValidation>
    <dataValidation type="list" operator="equal" allowBlank="1" showErrorMessage="1" sqref="M54" xr:uid="{00000000-0002-0000-0300-000032000000}">
      <formula1>$L$54</formula1>
      <formula2>0</formula2>
    </dataValidation>
    <dataValidation type="list" operator="equal" allowBlank="1" showErrorMessage="1" sqref="M55" xr:uid="{00000000-0002-0000-0300-000033000000}">
      <formula1>$L$55</formula1>
      <formula2>0</formula2>
    </dataValidation>
    <dataValidation type="list" operator="equal" allowBlank="1" showErrorMessage="1" sqref="M99" xr:uid="{00000000-0002-0000-0300-000034000000}">
      <formula1>$L$99</formula1>
    </dataValidation>
    <dataValidation type="list" operator="equal" allowBlank="1" showErrorMessage="1" sqref="O99" xr:uid="{00000000-0002-0000-0300-000035000000}">
      <formula1>$N$99</formula1>
      <formula2>0</formula2>
    </dataValidation>
    <dataValidation type="list" operator="equal" allowBlank="1" showErrorMessage="1" sqref="Q99" xr:uid="{00000000-0002-0000-0300-000036000000}">
      <formula1>$P$99</formula1>
      <formula2>0</formula2>
    </dataValidation>
    <dataValidation type="list" operator="equal" allowBlank="1" showErrorMessage="1" sqref="S99" xr:uid="{00000000-0002-0000-0300-000037000000}">
      <formula1>$R$99</formula1>
      <formula2>0</formula2>
    </dataValidation>
    <dataValidation type="list" operator="equal" allowBlank="1" showErrorMessage="1" sqref="U99" xr:uid="{00000000-0002-0000-0300-000038000000}">
      <formula1>$T$99</formula1>
      <formula2>0</formula2>
    </dataValidation>
    <dataValidation type="list" operator="equal" allowBlank="1" showErrorMessage="1" sqref="M100" xr:uid="{00000000-0002-0000-0300-000039000000}">
      <formula1>$L$100</formula1>
    </dataValidation>
    <dataValidation type="list" operator="equal" allowBlank="1" showErrorMessage="1" sqref="O100" xr:uid="{00000000-0002-0000-0300-00003A000000}">
      <formula1>$N$100</formula1>
      <formula2>0</formula2>
    </dataValidation>
    <dataValidation type="list" operator="equal" allowBlank="1" showErrorMessage="1" sqref="Q100" xr:uid="{00000000-0002-0000-0300-00003B000000}">
      <formula1>$P$100</formula1>
      <formula2>0</formula2>
    </dataValidation>
    <dataValidation type="list" operator="equal" allowBlank="1" showErrorMessage="1" sqref="S100" xr:uid="{00000000-0002-0000-0300-00003C000000}">
      <formula1>$R$100</formula1>
      <formula2>0</formula2>
    </dataValidation>
    <dataValidation type="list" operator="equal" allowBlank="1" showErrorMessage="1" sqref="U100" xr:uid="{00000000-0002-0000-0300-00003D000000}">
      <formula1>$T$100</formula1>
      <formula2>0</formula2>
    </dataValidation>
    <dataValidation type="list" operator="equal" allowBlank="1" showErrorMessage="1" sqref="M110" xr:uid="{00000000-0002-0000-0300-00003E000000}">
      <formula1>$L$110</formula1>
    </dataValidation>
    <dataValidation type="list" operator="equal" allowBlank="1" showErrorMessage="1" sqref="O110" xr:uid="{00000000-0002-0000-0300-00003F000000}">
      <formula1>$N$110</formula1>
      <formula2>0</formula2>
    </dataValidation>
    <dataValidation type="list" operator="equal" allowBlank="1" showErrorMessage="1" sqref="Q110" xr:uid="{00000000-0002-0000-0300-000040000000}">
      <formula1>$P$110</formula1>
      <formula2>0</formula2>
    </dataValidation>
    <dataValidation type="list" operator="equal" allowBlank="1" showErrorMessage="1" sqref="S110" xr:uid="{00000000-0002-0000-0300-000041000000}">
      <formula1>$R$110</formula1>
      <formula2>0</formula2>
    </dataValidation>
    <dataValidation type="list" operator="equal" allowBlank="1" showErrorMessage="1" sqref="U110" xr:uid="{00000000-0002-0000-0300-000042000000}">
      <formula1>$T$110</formula1>
      <formula2>0</formula2>
    </dataValidation>
    <dataValidation type="list" operator="equal" allowBlank="1" showErrorMessage="1" sqref="M111:M116" xr:uid="{00000000-0002-0000-0300-000043000000}">
      <formula1>$L111</formula1>
    </dataValidation>
    <dataValidation type="list" operator="equal" allowBlank="1" showErrorMessage="1" sqref="O111:O116" xr:uid="{00000000-0002-0000-0300-000044000000}">
      <formula1>$N111</formula1>
      <formula2>0</formula2>
    </dataValidation>
    <dataValidation type="list" operator="equal" allowBlank="1" showErrorMessage="1" sqref="Q111:Q116" xr:uid="{00000000-0002-0000-0300-000045000000}">
      <formula1>$P111</formula1>
      <formula2>0</formula2>
    </dataValidation>
    <dataValidation type="list" operator="equal" allowBlank="1" showErrorMessage="1" sqref="S111:S116" xr:uid="{00000000-0002-0000-0300-000046000000}">
      <formula1>$R111</formula1>
      <formula2>0</formula2>
    </dataValidation>
    <dataValidation type="list" operator="equal" allowBlank="1" showErrorMessage="1" sqref="U111:U116" xr:uid="{00000000-0002-0000-0300-000047000000}">
      <formula1>$T111</formula1>
      <formula2>0</formula2>
    </dataValidation>
    <dataValidation type="list" allowBlank="1" showInputMessage="1" showErrorMessage="1" sqref="M56:M82" xr:uid="{00000000-0002-0000-0300-000048000000}">
      <formula1>$L56</formula1>
    </dataValidation>
    <dataValidation type="list" operator="equal" allowBlank="1" showErrorMessage="1" sqref="O56:O82" xr:uid="{00000000-0002-0000-0300-000049000000}">
      <formula1>$N56</formula1>
    </dataValidation>
    <dataValidation type="list" operator="equal" allowBlank="1" showErrorMessage="1" sqref="Q56:Q82" xr:uid="{00000000-0002-0000-0300-00004A000000}">
      <formula1>$P56</formula1>
    </dataValidation>
    <dataValidation type="list" operator="equal" allowBlank="1" showErrorMessage="1" sqref="S56:S82" xr:uid="{00000000-0002-0000-0300-00004B000000}">
      <formula1>$R56</formula1>
    </dataValidation>
    <dataValidation type="list" operator="equal" allowBlank="1" showErrorMessage="1" sqref="U56:U82" xr:uid="{00000000-0002-0000-0300-00004C000000}">
      <formula1>$T56</formula1>
    </dataValidation>
    <dataValidation type="list" allowBlank="1" showInputMessage="1" showErrorMessage="1" sqref="D177:D181" xr:uid="{00000000-0002-0000-0300-00004D000000}">
      <formula1>$AH$177:$AH$184</formula1>
    </dataValidation>
    <dataValidation type="list" allowBlank="1" showInputMessage="1" showErrorMessage="1" sqref="Y40:AA45" xr:uid="{00000000-0002-0000-0300-00004E000000}">
      <formula1>INDIRECT($AD40)</formula1>
    </dataValidation>
    <dataValidation type="list" allowBlank="1" showInputMessage="1" showErrorMessage="1" sqref="J56:K74" xr:uid="{00000000-0002-0000-0300-00004F000000}">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702"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865"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5"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50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zoomScaleNormal="100" zoomScaleSheetLayoutView="55" workbookViewId="0">
      <selection activeCell="U17" sqref="U17"/>
    </sheetView>
  </sheetViews>
  <sheetFormatPr defaultColWidth="5.7109375" defaultRowHeight="12" customHeight="1" x14ac:dyDescent="0.2"/>
  <cols>
    <col min="1" max="1" width="1.7109375" style="43" customWidth="1"/>
    <col min="2" max="2" width="5.7109375" style="1695"/>
    <col min="3" max="23" width="6" style="43" customWidth="1"/>
    <col min="24"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291"/>
    <col min="43" max="43" width="5.7109375" style="2291" customWidth="1"/>
    <col min="44" max="45" width="1.7109375" style="1695" customWidth="1"/>
    <col min="46" max="46" width="1.5703125" style="1695" customWidth="1"/>
    <col min="47" max="55" width="3.7109375" style="1695" customWidth="1"/>
    <col min="56" max="57" width="4.5703125" style="1695" customWidth="1"/>
    <col min="58" max="59" width="4.5703125" style="2291" customWidth="1"/>
    <col min="60" max="60" width="5.7109375" style="2291"/>
    <col min="61" max="61" width="5.7109375" style="43"/>
    <col min="62" max="62" width="1.7109375" style="43" customWidth="1"/>
    <col min="63" max="70" width="5.7109375" style="43"/>
    <col min="71" max="71" width="5.7109375" style="44"/>
    <col min="72" max="72" width="1.7109375" style="44" customWidth="1"/>
    <col min="73" max="73" width="5.7109375" style="2814"/>
    <col min="74" max="74" width="3.28515625" style="2814" customWidth="1"/>
    <col min="75" max="75" width="5" style="2814" customWidth="1"/>
    <col min="76" max="76" width="5.7109375" style="2814"/>
    <col min="77" max="81" width="4.7109375" style="2814" customWidth="1"/>
    <col min="82" max="83" width="5.7109375" style="2814"/>
    <col min="84" max="16384" width="5.7109375" style="43"/>
  </cols>
  <sheetData>
    <row r="1" spans="1:60" ht="12" customHeight="1" thickBot="1" x14ac:dyDescent="0.25">
      <c r="A1" s="45"/>
      <c r="B1" s="2947"/>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947"/>
      <c r="AS1" s="2947"/>
      <c r="AZ1" s="2948"/>
      <c r="BF1" s="43"/>
      <c r="BG1" s="43"/>
      <c r="BH1" s="43"/>
    </row>
    <row r="2" spans="1:60" ht="12" customHeight="1" thickBot="1" x14ac:dyDescent="0.25">
      <c r="A2" s="45"/>
      <c r="B2" s="2996"/>
      <c r="C2" s="2834"/>
      <c r="D2" s="2834"/>
      <c r="E2" s="2834"/>
      <c r="F2" s="2834"/>
      <c r="G2" s="2834"/>
      <c r="H2" s="2834"/>
      <c r="I2" s="2834"/>
      <c r="J2" s="2834"/>
      <c r="K2" s="2834"/>
      <c r="L2" s="2834"/>
      <c r="M2" s="2834"/>
      <c r="N2" s="2834"/>
      <c r="O2" s="2834"/>
      <c r="P2" s="2834"/>
      <c r="Q2" s="2834"/>
      <c r="R2" s="2834"/>
      <c r="S2" s="2834"/>
      <c r="T2" s="2835"/>
      <c r="U2" s="2835"/>
      <c r="V2" s="2835"/>
      <c r="W2" s="2835"/>
      <c r="X2" s="2836"/>
      <c r="Y2" s="45"/>
      <c r="Z2" s="45"/>
      <c r="AA2" s="2833"/>
      <c r="AB2" s="2834"/>
      <c r="AC2" s="2834"/>
      <c r="AD2" s="2834"/>
      <c r="AE2" s="2834"/>
      <c r="AF2" s="2834"/>
      <c r="AG2" s="2834"/>
      <c r="AH2" s="2834"/>
      <c r="AI2" s="2834"/>
      <c r="AJ2" s="2834"/>
      <c r="AK2" s="2834"/>
      <c r="AL2" s="2834"/>
      <c r="AM2" s="2834"/>
      <c r="AN2" s="2834"/>
      <c r="AO2" s="2834"/>
      <c r="AP2" s="2834"/>
      <c r="AQ2" s="2834"/>
      <c r="AR2" s="2949"/>
      <c r="AS2" s="2947"/>
      <c r="AZ2" s="2948"/>
      <c r="BF2" s="43"/>
      <c r="BG2" s="43"/>
      <c r="BH2" s="43"/>
    </row>
    <row r="3" spans="1:60" ht="12" customHeight="1" thickBot="1" x14ac:dyDescent="0.25">
      <c r="A3" s="45"/>
      <c r="B3" s="2997"/>
      <c r="C3" s="3224"/>
      <c r="D3" s="3224"/>
      <c r="E3" s="3224"/>
      <c r="F3" s="3224"/>
      <c r="G3" s="3224"/>
      <c r="H3" s="3224"/>
      <c r="I3" s="9"/>
      <c r="J3" s="9"/>
      <c r="K3" s="9"/>
      <c r="L3" s="9"/>
      <c r="M3" s="9"/>
      <c r="N3" s="9"/>
      <c r="O3" s="9"/>
      <c r="P3" s="9"/>
      <c r="Q3" s="9"/>
      <c r="R3" s="9"/>
      <c r="S3" s="9"/>
      <c r="T3" s="9"/>
      <c r="U3" s="9"/>
      <c r="V3" s="9"/>
      <c r="W3" s="2060"/>
      <c r="X3" s="2838"/>
      <c r="Y3" s="45"/>
      <c r="Z3" s="45"/>
      <c r="AA3" s="2837"/>
      <c r="AB3" s="3224"/>
      <c r="AC3" s="3224"/>
      <c r="AD3" s="3224"/>
      <c r="AE3" s="3224"/>
      <c r="AF3" s="3224"/>
      <c r="AG3" s="3224"/>
      <c r="AH3" s="9"/>
      <c r="AI3" s="9"/>
      <c r="AJ3" s="9"/>
      <c r="AK3" s="9"/>
      <c r="AL3" s="9"/>
      <c r="AM3" s="9"/>
      <c r="AN3" s="9"/>
      <c r="AO3" s="9"/>
      <c r="AP3" s="9"/>
      <c r="AQ3" s="10"/>
      <c r="AR3" s="2950"/>
      <c r="AS3" s="2947"/>
      <c r="AZ3" s="2948"/>
      <c r="BF3" s="43"/>
      <c r="BG3" s="43"/>
      <c r="BH3" s="43"/>
    </row>
    <row r="4" spans="1:60" ht="12" customHeight="1" thickBot="1" x14ac:dyDescent="0.25">
      <c r="A4" s="45"/>
      <c r="B4" s="2997"/>
      <c r="C4" s="3224"/>
      <c r="D4" s="3224"/>
      <c r="E4" s="3224"/>
      <c r="F4" s="3224"/>
      <c r="G4" s="3224"/>
      <c r="H4" s="3224"/>
      <c r="I4" s="12"/>
      <c r="J4" s="12"/>
      <c r="K4" s="3143" t="s">
        <v>1625</v>
      </c>
      <c r="L4" s="3143"/>
      <c r="M4" s="3144" t="str">
        <f>IF(OR(General!$G$22="",General!$G$22=0),"",General!$G$22)</f>
        <v/>
      </c>
      <c r="N4" s="3144"/>
      <c r="O4" s="3144"/>
      <c r="P4" s="3144"/>
      <c r="Q4" s="3144"/>
      <c r="R4" s="2058"/>
      <c r="S4" s="2058"/>
      <c r="T4" s="2058"/>
      <c r="U4" s="2058"/>
      <c r="V4" s="2058"/>
      <c r="W4" s="13"/>
      <c r="X4" s="2838"/>
      <c r="Y4" s="45"/>
      <c r="Z4" s="45"/>
      <c r="AA4" s="2837"/>
      <c r="AB4" s="3224"/>
      <c r="AC4" s="3224"/>
      <c r="AD4" s="3224"/>
      <c r="AE4" s="3224"/>
      <c r="AF4" s="3224"/>
      <c r="AG4" s="3224"/>
      <c r="AH4" s="12"/>
      <c r="AI4" s="12"/>
      <c r="AJ4" s="3143" t="s">
        <v>1625</v>
      </c>
      <c r="AK4" s="3143"/>
      <c r="AL4" s="3144" t="str">
        <f>IF(OR(General!$G$22="",General!$G$22=0),"",General!$G$22)</f>
        <v/>
      </c>
      <c r="AM4" s="3144"/>
      <c r="AN4" s="3144"/>
      <c r="AO4" s="3144"/>
      <c r="AP4" s="3144"/>
      <c r="AQ4" s="13"/>
      <c r="AR4" s="2950"/>
      <c r="AS4" s="2947"/>
      <c r="AZ4" s="2948"/>
      <c r="BF4" s="43"/>
      <c r="BG4" s="43"/>
      <c r="BH4" s="43"/>
    </row>
    <row r="5" spans="1:60" ht="12" customHeight="1" thickBot="1" x14ac:dyDescent="0.25">
      <c r="A5" s="45"/>
      <c r="B5" s="2997"/>
      <c r="C5" s="3224"/>
      <c r="D5" s="3224"/>
      <c r="E5" s="3224"/>
      <c r="F5" s="3224"/>
      <c r="G5" s="3224"/>
      <c r="H5" s="3224"/>
      <c r="I5" s="12"/>
      <c r="J5" s="12"/>
      <c r="K5" s="3220" t="s">
        <v>1626</v>
      </c>
      <c r="L5" s="3220"/>
      <c r="M5" s="3221" t="str">
        <f>Principal!$L$5</f>
        <v/>
      </c>
      <c r="N5" s="3221"/>
      <c r="O5" s="3221"/>
      <c r="P5" s="14" t="s">
        <v>1627</v>
      </c>
      <c r="Q5" s="15" t="str">
        <f>Principal!$P$5</f>
        <v>0</v>
      </c>
      <c r="R5" s="12"/>
      <c r="S5" s="12"/>
      <c r="T5" s="12"/>
      <c r="U5" s="12"/>
      <c r="V5" s="12"/>
      <c r="W5" s="16"/>
      <c r="X5" s="2838"/>
      <c r="Y5" s="45"/>
      <c r="Z5" s="45"/>
      <c r="AA5" s="2837"/>
      <c r="AB5" s="3224"/>
      <c r="AC5" s="3224"/>
      <c r="AD5" s="3224"/>
      <c r="AE5" s="3224"/>
      <c r="AF5" s="3224"/>
      <c r="AG5" s="3224"/>
      <c r="AH5" s="12"/>
      <c r="AI5" s="12"/>
      <c r="AJ5" s="3220" t="s">
        <v>1626</v>
      </c>
      <c r="AK5" s="3220"/>
      <c r="AL5" s="3221" t="str">
        <f>Principal!$L$5</f>
        <v/>
      </c>
      <c r="AM5" s="3221"/>
      <c r="AN5" s="3221"/>
      <c r="AO5" s="14" t="s">
        <v>1627</v>
      </c>
      <c r="AP5" s="15" t="str">
        <f>Principal!$P$5</f>
        <v>0</v>
      </c>
      <c r="AQ5" s="16"/>
      <c r="AR5" s="2950"/>
      <c r="AS5" s="2947"/>
      <c r="AZ5" s="2948"/>
      <c r="BF5" s="43"/>
      <c r="BG5" s="43"/>
      <c r="BH5" s="43"/>
    </row>
    <row r="6" spans="1:60" ht="12" customHeight="1" thickBot="1" x14ac:dyDescent="0.25">
      <c r="A6" s="45"/>
      <c r="B6" s="2997"/>
      <c r="C6" s="3224"/>
      <c r="D6" s="3224"/>
      <c r="E6" s="3224"/>
      <c r="F6" s="3224"/>
      <c r="G6" s="3224"/>
      <c r="H6" s="3224"/>
      <c r="I6" s="12"/>
      <c r="J6" s="12"/>
      <c r="K6" s="3222" t="s">
        <v>1858</v>
      </c>
      <c r="L6" s="3222"/>
      <c r="M6" s="3222"/>
      <c r="N6" s="3222"/>
      <c r="O6" s="3222"/>
      <c r="P6" s="3222"/>
      <c r="Q6" s="3222"/>
      <c r="R6" s="12"/>
      <c r="S6" s="12"/>
      <c r="T6" s="12"/>
      <c r="U6" s="12"/>
      <c r="V6" s="12"/>
      <c r="W6" s="16"/>
      <c r="X6" s="2838"/>
      <c r="Y6" s="45"/>
      <c r="Z6" s="45"/>
      <c r="AA6" s="2837"/>
      <c r="AB6" s="3224"/>
      <c r="AC6" s="3224"/>
      <c r="AD6" s="3224"/>
      <c r="AE6" s="3224"/>
      <c r="AF6" s="3224"/>
      <c r="AG6" s="3224"/>
      <c r="AH6" s="12"/>
      <c r="AI6" s="12"/>
      <c r="AJ6" s="3222" t="s">
        <v>1859</v>
      </c>
      <c r="AK6" s="3222"/>
      <c r="AL6" s="3222"/>
      <c r="AM6" s="3222"/>
      <c r="AN6" s="3222"/>
      <c r="AO6" s="3222"/>
      <c r="AP6" s="3222"/>
      <c r="AQ6" s="16"/>
      <c r="AR6" s="2950"/>
      <c r="AS6" s="2947"/>
      <c r="AZ6" s="2948"/>
      <c r="BF6" s="43"/>
      <c r="BG6" s="43"/>
      <c r="BH6" s="43"/>
    </row>
    <row r="7" spans="1:60" ht="12" customHeight="1" thickBot="1" x14ac:dyDescent="0.25">
      <c r="A7" s="45"/>
      <c r="B7" s="2997"/>
      <c r="C7" s="3224"/>
      <c r="D7" s="3224"/>
      <c r="E7" s="3224"/>
      <c r="F7" s="3224"/>
      <c r="G7" s="3224"/>
      <c r="H7" s="3224"/>
      <c r="I7" s="12"/>
      <c r="J7" s="12"/>
      <c r="K7" s="3222"/>
      <c r="L7" s="3222"/>
      <c r="M7" s="3222"/>
      <c r="N7" s="3222"/>
      <c r="O7" s="3222"/>
      <c r="P7" s="3222"/>
      <c r="Q7" s="3222"/>
      <c r="R7" s="12"/>
      <c r="S7" s="12"/>
      <c r="T7" s="12"/>
      <c r="U7" s="12"/>
      <c r="V7" s="12"/>
      <c r="W7" s="16"/>
      <c r="X7" s="2838"/>
      <c r="Y7" s="45"/>
      <c r="Z7" s="45"/>
      <c r="AA7" s="2837"/>
      <c r="AB7" s="3224"/>
      <c r="AC7" s="3224"/>
      <c r="AD7" s="3224"/>
      <c r="AE7" s="3224"/>
      <c r="AF7" s="3224"/>
      <c r="AG7" s="3224"/>
      <c r="AH7" s="12"/>
      <c r="AI7" s="12"/>
      <c r="AJ7" s="3222"/>
      <c r="AK7" s="3222"/>
      <c r="AL7" s="3222"/>
      <c r="AM7" s="3222"/>
      <c r="AN7" s="3222"/>
      <c r="AO7" s="3222"/>
      <c r="AP7" s="3222"/>
      <c r="AQ7" s="16"/>
      <c r="AR7" s="2950"/>
      <c r="AS7" s="2947"/>
      <c r="AZ7" s="2948"/>
      <c r="BF7" s="43"/>
      <c r="BG7" s="43"/>
      <c r="BH7" s="43"/>
    </row>
    <row r="8" spans="1:60" ht="12" customHeight="1" thickBot="1" x14ac:dyDescent="0.25">
      <c r="A8" s="45"/>
      <c r="B8" s="2997"/>
      <c r="C8" s="3224"/>
      <c r="D8" s="3224"/>
      <c r="E8" s="3224"/>
      <c r="F8" s="3224"/>
      <c r="G8" s="3224"/>
      <c r="H8" s="3224"/>
      <c r="I8" s="17"/>
      <c r="J8" s="17"/>
      <c r="K8" s="17"/>
      <c r="L8" s="17"/>
      <c r="M8" s="17"/>
      <c r="N8" s="17"/>
      <c r="O8" s="17"/>
      <c r="P8" s="17"/>
      <c r="Q8" s="17"/>
      <c r="R8" s="17"/>
      <c r="S8" s="17"/>
      <c r="T8" s="17"/>
      <c r="U8" s="17"/>
      <c r="V8" s="17"/>
      <c r="W8" s="2061"/>
      <c r="X8" s="2838"/>
      <c r="Y8" s="45"/>
      <c r="Z8" s="45"/>
      <c r="AA8" s="2837"/>
      <c r="AB8" s="3224"/>
      <c r="AC8" s="3224"/>
      <c r="AD8" s="3224"/>
      <c r="AE8" s="3224"/>
      <c r="AF8" s="3224"/>
      <c r="AG8" s="3224"/>
      <c r="AH8" s="17"/>
      <c r="AI8" s="17"/>
      <c r="AJ8" s="17"/>
      <c r="AK8" s="17"/>
      <c r="AL8" s="17"/>
      <c r="AM8" s="17"/>
      <c r="AN8" s="17"/>
      <c r="AO8" s="17"/>
      <c r="AP8" s="17"/>
      <c r="AQ8" s="18"/>
      <c r="AR8" s="2950"/>
      <c r="AS8" s="2947"/>
      <c r="AZ8" s="2948"/>
      <c r="BF8" s="43"/>
      <c r="BG8" s="43"/>
      <c r="BH8" s="43"/>
    </row>
    <row r="9" spans="1:60" ht="12" customHeight="1" thickBot="1" x14ac:dyDescent="0.25">
      <c r="A9" s="45"/>
      <c r="B9" s="2997"/>
      <c r="C9" s="64"/>
      <c r="D9" s="64"/>
      <c r="E9" s="64"/>
      <c r="F9" s="64"/>
      <c r="G9" s="64"/>
      <c r="H9" s="64"/>
      <c r="I9" s="64"/>
      <c r="J9" s="64"/>
      <c r="K9" s="64"/>
      <c r="L9" s="64"/>
      <c r="M9" s="64"/>
      <c r="N9" s="64"/>
      <c r="O9" s="64"/>
      <c r="P9" s="64"/>
      <c r="Q9" s="64"/>
      <c r="R9" s="64"/>
      <c r="S9" s="64"/>
      <c r="T9" s="2831"/>
      <c r="U9" s="2831"/>
      <c r="X9" s="2838"/>
      <c r="Y9" s="45"/>
      <c r="Z9" s="45"/>
      <c r="AA9" s="2837"/>
      <c r="AB9" s="64"/>
      <c r="AC9" s="64"/>
      <c r="AD9" s="64"/>
      <c r="AE9" s="64"/>
      <c r="AF9" s="64"/>
      <c r="AG9" s="64"/>
      <c r="AH9" s="64"/>
      <c r="AI9" s="64"/>
      <c r="AJ9" s="64"/>
      <c r="AK9" s="64"/>
      <c r="AL9" s="64"/>
      <c r="AM9" s="64"/>
      <c r="AN9" s="64"/>
      <c r="AO9" s="64"/>
      <c r="AP9" s="64"/>
      <c r="AQ9" s="64"/>
      <c r="AR9" s="2950"/>
      <c r="AS9" s="2947"/>
    </row>
    <row r="10" spans="1:60" ht="12" customHeight="1" thickBot="1" x14ac:dyDescent="0.25">
      <c r="A10" s="45"/>
      <c r="B10" s="2997"/>
      <c r="E10" s="3907" t="s">
        <v>1860</v>
      </c>
      <c r="F10" s="3908"/>
      <c r="G10" s="3908"/>
      <c r="H10" s="3908"/>
      <c r="I10" s="3908"/>
      <c r="J10" s="3908"/>
      <c r="K10" s="3908"/>
      <c r="L10" s="3908"/>
      <c r="M10" s="3908"/>
      <c r="N10" s="3908"/>
      <c r="O10" s="3908"/>
      <c r="P10" s="3908"/>
      <c r="Q10" s="3908"/>
      <c r="R10" s="3908"/>
      <c r="S10" s="3908"/>
      <c r="T10" s="3908"/>
      <c r="U10" s="2992"/>
      <c r="X10" s="2838"/>
      <c r="Y10" s="45"/>
      <c r="Z10" s="45"/>
      <c r="AA10" s="2837"/>
      <c r="AB10" s="3909" t="s">
        <v>1707</v>
      </c>
      <c r="AC10" s="3910" t="s">
        <v>10083</v>
      </c>
      <c r="AD10" s="3910"/>
      <c r="AE10" s="3910"/>
      <c r="AF10" s="196"/>
      <c r="AG10" s="67"/>
      <c r="AH10" s="3201" t="s">
        <v>1813</v>
      </c>
      <c r="AI10" s="3201"/>
      <c r="AJ10" s="3201"/>
      <c r="AK10" s="3201"/>
      <c r="AL10" s="3911" t="s">
        <v>1861</v>
      </c>
      <c r="AM10" s="3911"/>
      <c r="AN10" s="3911"/>
      <c r="AO10" s="3911"/>
      <c r="AP10" s="3911"/>
      <c r="AQ10" s="3911"/>
      <c r="AR10" s="2950"/>
      <c r="AS10" s="2947"/>
      <c r="AT10" s="2948"/>
      <c r="AU10" s="2948"/>
      <c r="AV10" s="2951" t="s">
        <v>8846</v>
      </c>
      <c r="AW10" s="2951"/>
      <c r="AX10" s="2951">
        <f t="shared" ref="AX10:BD10" si="0">AX12+TRUNC((AX13+AX14)/2,0)</f>
        <v>1</v>
      </c>
      <c r="AY10" s="2951">
        <f t="shared" si="0"/>
        <v>0</v>
      </c>
      <c r="AZ10" s="2951">
        <f t="shared" si="0"/>
        <v>2</v>
      </c>
      <c r="BA10" s="2951">
        <f t="shared" si="0"/>
        <v>1</v>
      </c>
      <c r="BB10" s="2951">
        <f t="shared" si="0"/>
        <v>2</v>
      </c>
      <c r="BC10" s="2951">
        <f t="shared" si="0"/>
        <v>2</v>
      </c>
      <c r="BD10" s="2951">
        <f t="shared" si="0"/>
        <v>0</v>
      </c>
    </row>
    <row r="11" spans="1:60" ht="12" customHeight="1" thickBot="1" x14ac:dyDescent="0.25">
      <c r="A11" s="45"/>
      <c r="B11" s="2997"/>
      <c r="E11" s="3912" t="s">
        <v>1860</v>
      </c>
      <c r="F11" s="3913"/>
      <c r="G11" s="3913"/>
      <c r="H11" s="3914" t="s">
        <v>1630</v>
      </c>
      <c r="I11" s="3914"/>
      <c r="J11" s="2993" t="s">
        <v>1862</v>
      </c>
      <c r="K11" s="2994" t="s">
        <v>1863</v>
      </c>
      <c r="L11" s="2980" t="s">
        <v>1809</v>
      </c>
      <c r="M11" s="2980" t="s">
        <v>1864</v>
      </c>
      <c r="N11" s="2980" t="s">
        <v>1865</v>
      </c>
      <c r="O11" s="2980" t="s">
        <v>1866</v>
      </c>
      <c r="P11" s="2980" t="s">
        <v>1867</v>
      </c>
      <c r="Q11" s="2980" t="s">
        <v>1868</v>
      </c>
      <c r="R11" s="2994" t="s">
        <v>1869</v>
      </c>
      <c r="S11" s="2980" t="s">
        <v>1870</v>
      </c>
      <c r="T11" s="2995" t="s">
        <v>1871</v>
      </c>
      <c r="U11" s="2843" t="s">
        <v>8547</v>
      </c>
      <c r="X11" s="2838"/>
      <c r="Y11" s="45"/>
      <c r="Z11" s="45"/>
      <c r="AA11" s="2837"/>
      <c r="AB11" s="3909"/>
      <c r="AC11" s="3915" t="s">
        <v>10084</v>
      </c>
      <c r="AD11" s="3915"/>
      <c r="AE11" s="3915"/>
      <c r="AF11" s="197"/>
      <c r="AG11" s="67"/>
      <c r="AH11" s="3916" t="str">
        <f>IF(PDs!$E40=0,"",PDs!$E40)</f>
        <v/>
      </c>
      <c r="AI11" s="3916"/>
      <c r="AJ11" s="3916"/>
      <c r="AK11" s="3916"/>
      <c r="AL11" s="3917" t="str">
        <f>IF(PDs!$AD40=0,"",PDs!$V40&amp;" ")&amp;IF(PDs!$AD40=0,"",IF(PDs!$Y40=0,"",PDs!$Y40))</f>
        <v xml:space="preserve"> </v>
      </c>
      <c r="AM11" s="3917"/>
      <c r="AN11" s="3917"/>
      <c r="AO11" s="3917"/>
      <c r="AP11" s="3917"/>
      <c r="AQ11" s="3917"/>
      <c r="AR11" s="2950"/>
      <c r="AS11" s="2947"/>
      <c r="AT11" s="2948"/>
      <c r="AU11" s="2948"/>
      <c r="AV11" s="2951"/>
      <c r="AW11" s="2948"/>
      <c r="AX11" s="2948"/>
      <c r="AY11" s="2948"/>
      <c r="AZ11" s="2948"/>
      <c r="BA11" s="2948"/>
      <c r="BB11" s="2948"/>
      <c r="BC11" s="2948"/>
      <c r="BD11" s="2948"/>
    </row>
    <row r="12" spans="1:60" ht="12" customHeight="1" thickBot="1" x14ac:dyDescent="0.25">
      <c r="A12" s="45"/>
      <c r="B12" s="2998" t="str">
        <f>IF(E12=0,0,VLOOKUP($E12,Tabla_Armaduras,8,FALSE))</f>
        <v>Blanda</v>
      </c>
      <c r="E12" s="3923" t="s">
        <v>1460</v>
      </c>
      <c r="F12" s="3924"/>
      <c r="G12" s="3924"/>
      <c r="H12" s="3922" t="str">
        <f>IF(E12=0,"",VLOOKUP(E12,Tabla_Armaduras,7,FALSE))</f>
        <v>Completa</v>
      </c>
      <c r="I12" s="3922"/>
      <c r="J12" s="75"/>
      <c r="K12" s="2971">
        <f>IF(E12=0,0,J12/5+VLOOKUP($E12,Tabla_Armaduras,9,FALSE))</f>
        <v>1</v>
      </c>
      <c r="L12" s="2971">
        <f>IF(E12=0,0,J12/5+VLOOKUP($E12,Tabla_Armaduras,10,FALSE))</f>
        <v>0</v>
      </c>
      <c r="M12" s="2971">
        <f>IF(E12=0,0,J12/5+VLOOKUP($E12,Tabla_Armaduras,11,FALSE))</f>
        <v>2</v>
      </c>
      <c r="N12" s="2971">
        <f>IF(E12=0,0,J12/5+VLOOKUP($E12,Tabla_Armaduras,12,FALSE))</f>
        <v>1</v>
      </c>
      <c r="O12" s="2971">
        <f>IF(E12=0,0,J12/5+VLOOKUP($E12,Tabla_Armaduras,13,FALSE))</f>
        <v>2</v>
      </c>
      <c r="P12" s="2971">
        <f>IF(E12=0,0,J12/5+VLOOKUP($E12,Tabla_Armaduras,14,FALSE))</f>
        <v>2</v>
      </c>
      <c r="Q12" s="2971">
        <f>IF(E12=0,0,IF(U12="No",0,J12/5)+VLOOKUP($E12,Tabla_Armaduras,15,FALSE))</f>
        <v>0</v>
      </c>
      <c r="R12" s="2810">
        <f>IF(E12=0,0,IF(Extensióndelauraalarma,10,0)+J12*2+VLOOKUP(E12,Tabla_Armaduras,5,FALSE))</f>
        <v>10</v>
      </c>
      <c r="S12" s="2971">
        <f>IF(E12=0,0,J12*10+VLOOKUP(E12,Tabla_Armaduras,6,FALSE))</f>
        <v>25</v>
      </c>
      <c r="T12" s="2971">
        <f>IF(E12=0,0,MAX(VLOOKUP(E12,Tabla_Armaduras,4,FALSE)-J12/5,0))</f>
        <v>0</v>
      </c>
      <c r="U12" s="2974" t="s">
        <v>1690</v>
      </c>
      <c r="X12" s="2838"/>
      <c r="Y12" s="45"/>
      <c r="Z12" s="45"/>
      <c r="AA12" s="2837"/>
      <c r="AB12" s="3909"/>
      <c r="AC12" s="3915" t="s">
        <v>1872</v>
      </c>
      <c r="AD12" s="3915"/>
      <c r="AE12" s="3915"/>
      <c r="AF12" s="197"/>
      <c r="AG12" s="67"/>
      <c r="AH12" s="3906" t="str">
        <f>IF(PDs!$E41=0,"",PDs!$E41)</f>
        <v/>
      </c>
      <c r="AI12" s="3906"/>
      <c r="AJ12" s="3906"/>
      <c r="AK12" s="3906"/>
      <c r="AL12" s="3919" t="str">
        <f>IF(PDs!$AD41=0,"",PDs!$V41&amp;" ")&amp;IF(PDs!$AD41=0,"",IF(PDs!$Y41=0,"",PDs!$Y41))</f>
        <v xml:space="preserve"> </v>
      </c>
      <c r="AM12" s="3919"/>
      <c r="AN12" s="3919"/>
      <c r="AO12" s="3919"/>
      <c r="AP12" s="3919"/>
      <c r="AQ12" s="3919"/>
      <c r="AR12" s="2950"/>
      <c r="AS12" s="2947"/>
      <c r="AT12" s="2948"/>
      <c r="AU12" s="2948"/>
      <c r="AV12" s="2951" t="s">
        <v>8825</v>
      </c>
      <c r="AW12" s="2951"/>
      <c r="AX12" s="2952">
        <f t="shared" ref="AX12:BD12" si="1">LARGE(AX$18:AX$27,1)</f>
        <v>1</v>
      </c>
      <c r="AY12" s="2952">
        <f t="shared" si="1"/>
        <v>0</v>
      </c>
      <c r="AZ12" s="2952">
        <f t="shared" si="1"/>
        <v>2</v>
      </c>
      <c r="BA12" s="2952">
        <f t="shared" si="1"/>
        <v>1</v>
      </c>
      <c r="BB12" s="2952">
        <f t="shared" si="1"/>
        <v>2</v>
      </c>
      <c r="BC12" s="2952">
        <f t="shared" si="1"/>
        <v>2</v>
      </c>
      <c r="BD12" s="2952">
        <f t="shared" si="1"/>
        <v>0</v>
      </c>
    </row>
    <row r="13" spans="1:60" ht="12" customHeight="1" thickBot="1" x14ac:dyDescent="0.25">
      <c r="A13" s="45"/>
      <c r="B13" s="2998">
        <f>IF(E13=0,0,VLOOKUP($E13,Tabla_Armaduras,8,FALSE))</f>
        <v>0</v>
      </c>
      <c r="E13" s="3920"/>
      <c r="F13" s="3921"/>
      <c r="G13" s="3921"/>
      <c r="H13" s="3922" t="str">
        <f>IF(E13=0,"",VLOOKUP(E13,Tabla_Armaduras,7,FALSE))</f>
        <v/>
      </c>
      <c r="I13" s="3922"/>
      <c r="J13" s="75"/>
      <c r="K13" s="2971">
        <f>IF(E13=0,0,J13/5+VLOOKUP($E13,Tabla_Armaduras,9,FALSE))</f>
        <v>0</v>
      </c>
      <c r="L13" s="2971">
        <f>IF(E13=0,0,J13/5+VLOOKUP($E13,Tabla_Armaduras,10,FALSE))</f>
        <v>0</v>
      </c>
      <c r="M13" s="2971">
        <f>IF(E13=0,0,J13/5+VLOOKUP($E13,Tabla_Armaduras,11,FALSE))</f>
        <v>0</v>
      </c>
      <c r="N13" s="2971">
        <f>IF(E13=0,0,J13/5+VLOOKUP($E13,Tabla_Armaduras,12,FALSE))</f>
        <v>0</v>
      </c>
      <c r="O13" s="2971">
        <f>IF(E13=0,0,J13/5+VLOOKUP($E13,Tabla_Armaduras,13,FALSE))</f>
        <v>0</v>
      </c>
      <c r="P13" s="2971">
        <f>IF(E13=0,0,J13/5+VLOOKUP($E13,Tabla_Armaduras,14,FALSE))</f>
        <v>0</v>
      </c>
      <c r="Q13" s="2971">
        <f>IF(E13=0,0,IF(U13="No",0,J13/5)+VLOOKUP($E13,Tabla_Armaduras,15,FALSE))</f>
        <v>0</v>
      </c>
      <c r="R13" s="2810">
        <f>IF(E13=0,0,IF(Extensióndelauraalarma,10,0)+J13*2+VLOOKUP(E13,Tabla_Armaduras,5,FALSE))</f>
        <v>0</v>
      </c>
      <c r="S13" s="2971">
        <f>IF(E13=0,0,J13*10+VLOOKUP(E13,Tabla_Armaduras,6,FALSE))</f>
        <v>0</v>
      </c>
      <c r="T13" s="2971">
        <f>IF(E13=0,0,MAX(VLOOKUP(E13,Tabla_Armaduras,4,FALSE)-J13/5,0))</f>
        <v>0</v>
      </c>
      <c r="U13" s="2974" t="s">
        <v>1690</v>
      </c>
      <c r="X13" s="2838"/>
      <c r="Y13" s="45"/>
      <c r="Z13" s="45"/>
      <c r="AA13" s="2837"/>
      <c r="AB13" s="3909"/>
      <c r="AC13" s="3915" t="s">
        <v>1873</v>
      </c>
      <c r="AD13" s="3915"/>
      <c r="AE13" s="3915"/>
      <c r="AF13" s="197"/>
      <c r="AG13" s="67"/>
      <c r="AH13" s="3906" t="str">
        <f>IF(PDs!$E42=0,"",PDs!$E42)</f>
        <v/>
      </c>
      <c r="AI13" s="3906"/>
      <c r="AJ13" s="3906"/>
      <c r="AK13" s="3906"/>
      <c r="AL13" s="3919" t="str">
        <f>IF(PDs!$AD42=0,"",PDs!$V42&amp;" ")&amp;IF(PDs!$AD42=0,"",IF(PDs!$Y42=0,"",PDs!$Y42))</f>
        <v xml:space="preserve"> </v>
      </c>
      <c r="AM13" s="3919"/>
      <c r="AN13" s="3919"/>
      <c r="AO13" s="3919"/>
      <c r="AP13" s="3919"/>
      <c r="AQ13" s="3919"/>
      <c r="AR13" s="2950"/>
      <c r="AS13" s="2947"/>
      <c r="AT13" s="2948"/>
      <c r="AU13" s="2948"/>
      <c r="AV13" s="2951" t="s">
        <v>8844</v>
      </c>
      <c r="AW13" s="2951"/>
      <c r="AX13" s="2952">
        <f t="shared" ref="AX13:BD13" si="2">LARGE(AX$18:AX$27,2)</f>
        <v>0</v>
      </c>
      <c r="AY13" s="2952">
        <f t="shared" si="2"/>
        <v>0</v>
      </c>
      <c r="AZ13" s="2952">
        <f t="shared" si="2"/>
        <v>0</v>
      </c>
      <c r="BA13" s="2952">
        <f t="shared" si="2"/>
        <v>0</v>
      </c>
      <c r="BB13" s="2952">
        <f t="shared" si="2"/>
        <v>0</v>
      </c>
      <c r="BC13" s="2952">
        <f t="shared" si="2"/>
        <v>0</v>
      </c>
      <c r="BD13" s="2952">
        <f t="shared" si="2"/>
        <v>0</v>
      </c>
    </row>
    <row r="14" spans="1:60" ht="12" customHeight="1" thickBot="1" x14ac:dyDescent="0.25">
      <c r="A14" s="45"/>
      <c r="B14" s="2998">
        <f>IF(E14=0,0,VLOOKUP($E14,Tabla_Armaduras,8,FALSE))</f>
        <v>0</v>
      </c>
      <c r="E14" s="3940"/>
      <c r="F14" s="3941"/>
      <c r="G14" s="3941"/>
      <c r="H14" s="3942" t="str">
        <f>IF(E14=0,"",VLOOKUP(E14,Tabla_Armaduras,7,FALSE))</f>
        <v/>
      </c>
      <c r="I14" s="3942"/>
      <c r="J14" s="199"/>
      <c r="K14" s="200">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IF(E14=0,0,IF(U14="No",0,J14/5)+VLOOKUP($E14,Tabla_Armaduras,15,FALSE))</f>
        <v>0</v>
      </c>
      <c r="R14" s="200">
        <f>IF(E14=0,0,IF(Extensióndelauraalarma,10,0)+J14*2+VLOOKUP(E14,Tabla_Armaduras,5,FALSE))</f>
        <v>0</v>
      </c>
      <c r="S14" s="108">
        <f>IF(E14=0,0,J14*10+VLOOKUP(E14,Tabla_Armaduras,6,FALSE))</f>
        <v>0</v>
      </c>
      <c r="T14" s="108">
        <f>IF(E14=0,0,MAX(VLOOKUP(E14,Tabla_Armaduras,4,FALSE)-J14/5,0))</f>
        <v>0</v>
      </c>
      <c r="U14" s="2844" t="s">
        <v>1690</v>
      </c>
      <c r="X14" s="2838"/>
      <c r="Y14" s="45"/>
      <c r="Z14" s="45"/>
      <c r="AA14" s="2837"/>
      <c r="AB14" s="3909"/>
      <c r="AC14" s="3918" t="s">
        <v>1874</v>
      </c>
      <c r="AD14" s="3918"/>
      <c r="AE14" s="3918"/>
      <c r="AF14" s="201"/>
      <c r="AG14" s="67"/>
      <c r="AH14" s="3906" t="str">
        <f>IF(PDs!$E43=0,"",PDs!$E43)</f>
        <v/>
      </c>
      <c r="AI14" s="3906"/>
      <c r="AJ14" s="3906"/>
      <c r="AK14" s="3906"/>
      <c r="AL14" s="3919" t="str">
        <f>IF(PDs!$AD43=0,"",PDs!$V43&amp;" ")&amp;IF(PDs!$AD43=0,"",IF(PDs!$Y43=0,"",PDs!$Y43))</f>
        <v xml:space="preserve"> </v>
      </c>
      <c r="AM14" s="3919"/>
      <c r="AN14" s="3919"/>
      <c r="AO14" s="3919"/>
      <c r="AP14" s="3919"/>
      <c r="AQ14" s="3919"/>
      <c r="AR14" s="2950"/>
      <c r="AS14" s="2947"/>
      <c r="AT14" s="2948"/>
      <c r="AU14" s="2948"/>
      <c r="AV14" s="2951" t="s">
        <v>8845</v>
      </c>
      <c r="AW14" s="2951"/>
      <c r="AX14" s="2952">
        <f t="shared" ref="AX14:BD14" si="3">LARGE(AX$18:AX$27,3)</f>
        <v>0</v>
      </c>
      <c r="AY14" s="2952">
        <f t="shared" si="3"/>
        <v>0</v>
      </c>
      <c r="AZ14" s="2952">
        <f t="shared" si="3"/>
        <v>0</v>
      </c>
      <c r="BA14" s="2952">
        <f t="shared" si="3"/>
        <v>0</v>
      </c>
      <c r="BB14" s="2952">
        <f t="shared" si="3"/>
        <v>0</v>
      </c>
      <c r="BC14" s="2952">
        <f t="shared" si="3"/>
        <v>0</v>
      </c>
      <c r="BD14" s="2952">
        <f t="shared" si="3"/>
        <v>0</v>
      </c>
    </row>
    <row r="15" spans="1:60" ht="12" customHeight="1" thickBot="1" x14ac:dyDescent="0.25">
      <c r="A15" s="45"/>
      <c r="B15" s="2997"/>
      <c r="E15" s="3928"/>
      <c r="F15" s="3929"/>
      <c r="G15" s="3246"/>
      <c r="H15" s="3930" t="s">
        <v>1875</v>
      </c>
      <c r="I15" s="3930"/>
      <c r="J15" s="202"/>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2973">
        <f>IF(E15=0,0,IF(Extensióndelauraalarma,10,0)+J15*2+VLOOKUP(E15,Tabla_Yelmos,4))</f>
        <v>0</v>
      </c>
      <c r="S15" s="39">
        <f>IF(E15=0,0,J15*10+VLOOKUP(E15,Tabla_Yelmos,5))</f>
        <v>0</v>
      </c>
      <c r="T15" s="39" t="s">
        <v>1766</v>
      </c>
      <c r="U15" s="2832" t="s">
        <v>1690</v>
      </c>
      <c r="X15" s="2838"/>
      <c r="Y15" s="45"/>
      <c r="Z15" s="45"/>
      <c r="AA15" s="2837"/>
      <c r="AB15" s="3909"/>
      <c r="AC15" s="3944" t="s">
        <v>1658</v>
      </c>
      <c r="AD15" s="3944"/>
      <c r="AE15" s="3944"/>
      <c r="AF15" s="3947">
        <f>SUM(AF10:AF14)+U16</f>
        <v>0</v>
      </c>
      <c r="AG15" s="67"/>
      <c r="AH15" s="3906" t="str">
        <f>IF(PDs!$E44=0,"",PDs!$E44)</f>
        <v/>
      </c>
      <c r="AI15" s="3906"/>
      <c r="AJ15" s="3906"/>
      <c r="AK15" s="3906"/>
      <c r="AL15" s="3919" t="str">
        <f>IF(PDs!$AD44=0,"",PDs!$V44&amp;" ")&amp;IF(PDs!$AD44=0,"",IF(PDs!$Y44=0,"",PDs!$Y44))</f>
        <v xml:space="preserve"> </v>
      </c>
      <c r="AM15" s="3919"/>
      <c r="AN15" s="3919"/>
      <c r="AO15" s="3919"/>
      <c r="AP15" s="3919"/>
      <c r="AQ15" s="3919"/>
      <c r="AR15" s="2950"/>
      <c r="AS15" s="2947"/>
      <c r="AT15" s="2948"/>
      <c r="AU15" s="2948"/>
      <c r="AV15" s="2948"/>
      <c r="AW15" s="2948"/>
      <c r="AX15" s="2948"/>
      <c r="AY15" s="2948"/>
      <c r="AZ15" s="2948"/>
      <c r="BA15" s="2948"/>
      <c r="BB15" s="2948"/>
      <c r="BC15" s="2948"/>
      <c r="BD15" s="2948"/>
    </row>
    <row r="16" spans="1:60" ht="12" customHeight="1" thickBot="1" x14ac:dyDescent="0.25">
      <c r="A16" s="45"/>
      <c r="B16" s="2997"/>
      <c r="E16" s="3931" t="s">
        <v>1876</v>
      </c>
      <c r="F16" s="3932"/>
      <c r="G16" s="3935">
        <f>MAX(0,T12+T13+T14-MAX(0,TRUNC(LlevarArmadura_final-J16,0)/50))</f>
        <v>0</v>
      </c>
      <c r="H16" s="3937" t="s">
        <v>1877</v>
      </c>
      <c r="I16" s="3937"/>
      <c r="J16" s="2811">
        <f>IF(E12="",0,MAX(0,VLOOKUP(E12,Tabla_Armaduras,2,FALSE)-J12)+IF(E13="",0,VLOOKUP(E13,Tabla_Armaduras,2,FALSE)-J13)+IF(E14="",0,VLOOKUP(E14,Tabla_Armaduras,2,FALSE)-J14)+IF(E15="",0,MAX(VLOOKUP(E15,Tabla_Yelmos,2,FALSE)-J15,0)))</f>
        <v>0</v>
      </c>
      <c r="K16" s="3938">
        <f t="shared" ref="K16:Q16" si="4">AX$10</f>
        <v>1</v>
      </c>
      <c r="L16" s="3943">
        <f t="shared" si="4"/>
        <v>0</v>
      </c>
      <c r="M16" s="3943">
        <f t="shared" si="4"/>
        <v>2</v>
      </c>
      <c r="N16" s="3943">
        <f t="shared" si="4"/>
        <v>1</v>
      </c>
      <c r="O16" s="3943">
        <f t="shared" si="4"/>
        <v>2</v>
      </c>
      <c r="P16" s="3943">
        <f t="shared" si="4"/>
        <v>2</v>
      </c>
      <c r="Q16" s="3948">
        <f t="shared" si="4"/>
        <v>0</v>
      </c>
      <c r="R16" s="3925" t="s">
        <v>10090</v>
      </c>
      <c r="S16" s="3926"/>
      <c r="T16" s="3926"/>
      <c r="U16" s="3000">
        <f>IF(J16=0,0,MIN(LlevarArmadura_final-J16,0))</f>
        <v>0</v>
      </c>
      <c r="X16" s="2838"/>
      <c r="Y16" s="45"/>
      <c r="Z16" s="45"/>
      <c r="AA16" s="2837"/>
      <c r="AB16" s="3909"/>
      <c r="AC16" s="3944"/>
      <c r="AD16" s="3944"/>
      <c r="AE16" s="3944"/>
      <c r="AF16" s="3947"/>
      <c r="AG16" s="67"/>
      <c r="AH16" s="3945" t="str">
        <f>IF(PDs!$E45=0,"",PDs!$E45)</f>
        <v/>
      </c>
      <c r="AI16" s="3945"/>
      <c r="AJ16" s="3945"/>
      <c r="AK16" s="3945"/>
      <c r="AL16" s="3946" t="str">
        <f>IF(PDs!$AD45=0,"",PDs!$V45&amp;" ")&amp;IF(PDs!$AD45=0,"",IF(PDs!$Y45=0,"",PDs!$Y45))</f>
        <v xml:space="preserve"> </v>
      </c>
      <c r="AM16" s="3946"/>
      <c r="AN16" s="3946"/>
      <c r="AO16" s="3946"/>
      <c r="AP16" s="3946"/>
      <c r="AQ16" s="3946"/>
      <c r="AR16" s="2950"/>
      <c r="AS16" s="2947"/>
      <c r="AT16" s="2948"/>
      <c r="AU16" s="2948"/>
      <c r="AV16" s="2952" t="s">
        <v>8848</v>
      </c>
      <c r="AW16" s="2948"/>
      <c r="AX16" s="2952"/>
      <c r="AY16" s="2948"/>
      <c r="AZ16" s="2948"/>
      <c r="BA16" s="2948"/>
      <c r="BB16" s="2948"/>
      <c r="BC16" s="2948"/>
      <c r="BD16" s="2948"/>
    </row>
    <row r="17" spans="1:60" ht="12" customHeight="1" thickBot="1" x14ac:dyDescent="0.25">
      <c r="A17" s="45"/>
      <c r="B17" s="2997"/>
      <c r="E17" s="3933"/>
      <c r="F17" s="3934"/>
      <c r="G17" s="3936"/>
      <c r="H17" s="3927" t="s">
        <v>1878</v>
      </c>
      <c r="I17" s="3927"/>
      <c r="J17" s="1279">
        <f>IF(E12="",0,MIN(VLOOKUP(E12,Tabla_Armaduras,3)+J12,0))+IF(E13="",0,MIN(VLOOKUP(E13,Tabla_Armaduras,3)+J13,0))+IF(E14="",0,MIN(VLOOKUP(E14,Tabla_Armaduras,3)+J14,0))</f>
        <v>-5</v>
      </c>
      <c r="K17" s="3939"/>
      <c r="L17" s="3870"/>
      <c r="M17" s="3870"/>
      <c r="N17" s="3870"/>
      <c r="O17" s="3870"/>
      <c r="P17" s="3870"/>
      <c r="Q17" s="3949"/>
      <c r="R17" s="3950" t="s">
        <v>10082</v>
      </c>
      <c r="S17" s="3951"/>
      <c r="T17" s="3951"/>
      <c r="U17" s="2972">
        <f>MIN(MAX(LlevarArmadura_final-J16,0)+J17,0)+MAX(MIN(-20*IF(OR(E12=0,B12="Natural"),0,1)-20*IF(OR(E13=0,B13="Natural"),0,1)-20*IF(OR(E14=0,B14="Natural"),0,1)+20,0),-40)</f>
        <v>-5</v>
      </c>
      <c r="X17" s="2838"/>
      <c r="Y17" s="45"/>
      <c r="Z17" s="45"/>
      <c r="AA17" s="2837"/>
      <c r="AB17" s="67"/>
      <c r="AC17" s="67"/>
      <c r="AD17" s="67"/>
      <c r="AE17" s="67"/>
      <c r="AF17" s="67"/>
      <c r="AG17" s="67"/>
      <c r="AH17" s="67"/>
      <c r="AI17" s="67"/>
      <c r="AJ17" s="67"/>
      <c r="AK17" s="67"/>
      <c r="AL17" s="67"/>
      <c r="AM17" s="67"/>
      <c r="AN17" s="67"/>
      <c r="AO17" s="67"/>
      <c r="AP17" s="67"/>
      <c r="AQ17" s="67"/>
      <c r="AR17" s="2950"/>
      <c r="AS17" s="2947"/>
      <c r="AT17" s="2948"/>
      <c r="AU17" s="2948"/>
      <c r="AV17" s="2948"/>
      <c r="AW17" s="2948"/>
      <c r="AX17" s="2952" t="str">
        <f t="shared" ref="AX17:BD17" si="5">K11</f>
        <v>FIL</v>
      </c>
      <c r="AY17" s="2952" t="str">
        <f t="shared" si="5"/>
        <v>CON</v>
      </c>
      <c r="AZ17" s="2952" t="str">
        <f t="shared" si="5"/>
        <v>PEN</v>
      </c>
      <c r="BA17" s="2952" t="str">
        <f t="shared" si="5"/>
        <v>CAL</v>
      </c>
      <c r="BB17" s="2952" t="str">
        <f t="shared" si="5"/>
        <v>ELE</v>
      </c>
      <c r="BC17" s="2952" t="str">
        <f t="shared" si="5"/>
        <v>FRI</v>
      </c>
      <c r="BD17" s="2952" t="str">
        <f t="shared" si="5"/>
        <v>ENE</v>
      </c>
    </row>
    <row r="18" spans="1:60" ht="12" customHeight="1" thickBot="1" x14ac:dyDescent="0.25">
      <c r="A18" s="45"/>
      <c r="B18" s="2997"/>
      <c r="C18" s="2812"/>
      <c r="D18" s="2812"/>
      <c r="E18" s="2812"/>
      <c r="F18" s="2812"/>
      <c r="G18" s="2812"/>
      <c r="H18" s="2812"/>
      <c r="I18" s="188"/>
      <c r="J18" s="188"/>
      <c r="K18" s="2812"/>
      <c r="L18" s="2812"/>
      <c r="M18" s="2812"/>
      <c r="N18" s="2812"/>
      <c r="O18" s="2812"/>
      <c r="P18" s="2812"/>
      <c r="Q18" s="2812"/>
      <c r="R18" s="2812"/>
      <c r="S18" s="2812"/>
      <c r="T18" s="2831"/>
      <c r="U18" s="2831"/>
      <c r="X18" s="2838"/>
      <c r="Y18" s="45"/>
      <c r="Z18" s="45"/>
      <c r="AA18" s="2837"/>
      <c r="AB18" s="3201" t="s">
        <v>1814</v>
      </c>
      <c r="AC18" s="3201"/>
      <c r="AD18" s="3201"/>
      <c r="AE18" s="3201"/>
      <c r="AF18" s="3201"/>
      <c r="AG18" s="3201"/>
      <c r="AH18" s="3911" t="s">
        <v>1861</v>
      </c>
      <c r="AI18" s="3911"/>
      <c r="AJ18" s="3911"/>
      <c r="AK18" s="3911"/>
      <c r="AL18" s="3911"/>
      <c r="AM18" s="3911"/>
      <c r="AN18" s="3911"/>
      <c r="AO18" s="3911"/>
      <c r="AP18" s="3911"/>
      <c r="AQ18" s="3911"/>
      <c r="AR18" s="2950"/>
      <c r="AS18" s="2947"/>
      <c r="AT18" s="2948"/>
      <c r="AU18" s="2948"/>
      <c r="AV18" s="2948" t="s">
        <v>8826</v>
      </c>
      <c r="AW18" s="2948"/>
      <c r="AX18" s="2952">
        <f t="shared" ref="AX18:BD18" si="6">K$12</f>
        <v>1</v>
      </c>
      <c r="AY18" s="2952">
        <f t="shared" si="6"/>
        <v>0</v>
      </c>
      <c r="AZ18" s="2952">
        <f t="shared" si="6"/>
        <v>2</v>
      </c>
      <c r="BA18" s="2952">
        <f t="shared" si="6"/>
        <v>1</v>
      </c>
      <c r="BB18" s="2952">
        <f t="shared" si="6"/>
        <v>2</v>
      </c>
      <c r="BC18" s="2952">
        <f t="shared" si="6"/>
        <v>2</v>
      </c>
      <c r="BD18" s="2952">
        <f t="shared" si="6"/>
        <v>0</v>
      </c>
    </row>
    <row r="19" spans="1:60" ht="12" customHeight="1" thickBot="1" x14ac:dyDescent="0.25">
      <c r="A19" s="45"/>
      <c r="B19" s="2997"/>
      <c r="C19" s="3957" t="s">
        <v>1879</v>
      </c>
      <c r="D19" s="3958"/>
      <c r="E19" s="3959" t="str">
        <f>IF(COUNTA(PDs!$E$56:$E$74)&gt;0,"Artes Marciales","Desarmado")</f>
        <v>Desarmado</v>
      </c>
      <c r="F19" s="3959"/>
      <c r="G19" s="3959"/>
      <c r="H19" s="1275" t="s">
        <v>1702</v>
      </c>
      <c r="I19" s="2853" t="s">
        <v>1880</v>
      </c>
      <c r="J19" s="3960" t="s">
        <v>1881</v>
      </c>
      <c r="K19" s="3960"/>
      <c r="L19" s="2830" t="s">
        <v>1882</v>
      </c>
      <c r="P19" s="3957" t="s">
        <v>10043</v>
      </c>
      <c r="Q19" s="3961"/>
      <c r="R19" s="3961"/>
      <c r="S19" s="3961"/>
      <c r="T19" s="3961"/>
      <c r="U19" s="3962"/>
      <c r="X19" s="1698"/>
      <c r="Y19" s="45"/>
      <c r="Z19" s="45"/>
      <c r="AA19" s="2837"/>
      <c r="AB19" s="3899" t="str">
        <f>IF(PDs!$E46="","",PDs!$E46)</f>
        <v/>
      </c>
      <c r="AC19" s="3899"/>
      <c r="AD19" s="3899"/>
      <c r="AE19" s="3899"/>
      <c r="AF19" s="3899"/>
      <c r="AG19" s="3899"/>
      <c r="AH19" s="3900" t="str">
        <f>IF(PDs!$V46=0,"",PDs!$V46)</f>
        <v/>
      </c>
      <c r="AI19" s="3900"/>
      <c r="AJ19" s="3900"/>
      <c r="AK19" s="3900"/>
      <c r="AL19" s="3900"/>
      <c r="AM19" s="3900"/>
      <c r="AN19" s="3900"/>
      <c r="AO19" s="3900"/>
      <c r="AP19" s="3900"/>
      <c r="AQ19" s="3900"/>
      <c r="AR19" s="2950"/>
      <c r="AS19" s="2947"/>
      <c r="AT19" s="2948" t="s">
        <v>9998</v>
      </c>
      <c r="AU19" s="2948"/>
      <c r="AV19" s="2948" t="s">
        <v>8827</v>
      </c>
      <c r="AW19" s="2948"/>
      <c r="AX19" s="2952">
        <f t="shared" ref="AX19:BD19" si="7">K$13</f>
        <v>0</v>
      </c>
      <c r="AY19" s="2952">
        <f t="shared" si="7"/>
        <v>0</v>
      </c>
      <c r="AZ19" s="2952">
        <f t="shared" si="7"/>
        <v>0</v>
      </c>
      <c r="BA19" s="2952">
        <f t="shared" si="7"/>
        <v>0</v>
      </c>
      <c r="BB19" s="2952">
        <f t="shared" si="7"/>
        <v>0</v>
      </c>
      <c r="BC19" s="2952">
        <f t="shared" si="7"/>
        <v>0</v>
      </c>
      <c r="BD19" s="2952">
        <f t="shared" si="7"/>
        <v>0</v>
      </c>
    </row>
    <row r="20" spans="1:60" ht="12" customHeight="1" thickBot="1" x14ac:dyDescent="0.25">
      <c r="A20" s="45"/>
      <c r="B20" s="2997"/>
      <c r="C20" s="3952" t="str">
        <f>IF(E19="Artes Marciales","Conocida",VLOOKUP(E19,Tabla_ArmasyEscudos,9,FALSE))</f>
        <v>Distinta</v>
      </c>
      <c r="D20" s="3953"/>
      <c r="E20" s="3954" t="str">
        <f>IF(E19&lt;&gt;"Artes Marciales",IF(OR(COUNTIF(PoderesDeCriatura_Adquiridos,"Armas naturales")&gt;0,Tablas!$P$256&gt;0,Raza="Jayán",Raza="Daimah",Raza="Tuan Dalyr",Nephilim="Nephilim Turak",Raza="Turak"),"Armas Naturales",""),"")</f>
        <v/>
      </c>
      <c r="F20" s="3954"/>
      <c r="G20" s="3954"/>
      <c r="H20" s="3955">
        <f>Turno_Nat_final+Combate!D23+Personalización!Y7</f>
        <v>35</v>
      </c>
      <c r="I20" s="3955">
        <f>IF(E19="Desarmado",MAX(HA_final-IF(C20="Conocida",0,60),0),HA_final-PDs!$X$22+MIN(PDs!$X$22+F23,50)+BonoMaestro_HA)-IF(Tablas!$H$519&lt;0,IF(Arma_Desarrollada="Desarmado",0,30),0)+Personalización!Y8</f>
        <v>0</v>
      </c>
      <c r="J20" s="3972">
        <f>MAX(HP_SinArmas,HE_SinArmas)+Personalización!Y9</f>
        <v>0</v>
      </c>
      <c r="K20" s="3948" t="str">
        <f>IF(HP_SinArmas&gt;HE_SinArmas,"Par","Esq")</f>
        <v>Esq</v>
      </c>
      <c r="L20" s="3973">
        <f>IF(E19="Desarmado",IF(Raza="Criatura",IF(E20="Armas Naturales",VLOOKUP(Tamaño,Tabla_CreaciónSeres,8),VLOOKUP(Tamaño,Tabla_CreaciónSeres,7)),IF(E20="Armas Naturales",ArmasNaturales_Daño,10)+Bono_Fue),ArtesM_Daño)+L23+Personalización!Y10</f>
        <v>10</v>
      </c>
      <c r="P20" s="3975" t="s">
        <v>1725</v>
      </c>
      <c r="Q20" s="3976"/>
      <c r="R20" s="2892" t="s">
        <v>1882</v>
      </c>
      <c r="S20" s="2892" t="s">
        <v>1883</v>
      </c>
      <c r="T20" s="3979" t="s">
        <v>10044</v>
      </c>
      <c r="U20" s="3980"/>
      <c r="X20" s="1698"/>
      <c r="Y20" s="45"/>
      <c r="Z20" s="45"/>
      <c r="AA20" s="2837"/>
      <c r="AB20" s="3899" t="str">
        <f>IF(PDs!$E47="","",PDs!$E47)</f>
        <v/>
      </c>
      <c r="AC20" s="3899"/>
      <c r="AD20" s="3899"/>
      <c r="AE20" s="3899"/>
      <c r="AF20" s="3899"/>
      <c r="AG20" s="3899"/>
      <c r="AH20" s="3900" t="str">
        <f>IF(PDs!$V47=0,"",PDs!$V47)</f>
        <v/>
      </c>
      <c r="AI20" s="3900"/>
      <c r="AJ20" s="3900"/>
      <c r="AK20" s="3900"/>
      <c r="AL20" s="3900"/>
      <c r="AM20" s="3900"/>
      <c r="AN20" s="3900"/>
      <c r="AO20" s="3900"/>
      <c r="AP20" s="3900"/>
      <c r="AQ20" s="3900"/>
      <c r="AR20" s="2950"/>
      <c r="AS20" s="2947"/>
      <c r="AT20" s="2948">
        <f>HP_final-PDs!$X$23-IF(E19="Desarmado",IF(C20="Conocida",0,60),0)+MIN(PDs!$X$23+H23,50)-IF(Tablas!$H$519&lt;0,IF(Arma_Desarrollada="Desarmado",0,30),0)</f>
        <v>-60</v>
      </c>
      <c r="AU20" s="2948"/>
      <c r="AV20" s="2948" t="s">
        <v>8828</v>
      </c>
      <c r="AW20" s="2948"/>
      <c r="AX20" s="2952">
        <f t="shared" ref="AX20:BD20" si="8">K$14</f>
        <v>0</v>
      </c>
      <c r="AY20" s="2952">
        <f t="shared" si="8"/>
        <v>0</v>
      </c>
      <c r="AZ20" s="2952">
        <f t="shared" si="8"/>
        <v>0</v>
      </c>
      <c r="BA20" s="2952">
        <f t="shared" si="8"/>
        <v>0</v>
      </c>
      <c r="BB20" s="2952">
        <f t="shared" si="8"/>
        <v>0</v>
      </c>
      <c r="BC20" s="2952">
        <f t="shared" si="8"/>
        <v>0</v>
      </c>
      <c r="BD20" s="2952">
        <f t="shared" si="8"/>
        <v>0</v>
      </c>
    </row>
    <row r="21" spans="1:60" ht="12" customHeight="1" x14ac:dyDescent="0.2">
      <c r="A21" s="45"/>
      <c r="B21" s="2997"/>
      <c r="C21" s="1277" t="s">
        <v>1884</v>
      </c>
      <c r="D21" s="182" t="s">
        <v>1885</v>
      </c>
      <c r="E21" s="182" t="s">
        <v>1869</v>
      </c>
      <c r="F21" s="182" t="s">
        <v>1886</v>
      </c>
      <c r="G21" s="182" t="s">
        <v>1870</v>
      </c>
      <c r="H21" s="3956"/>
      <c r="I21" s="3956"/>
      <c r="J21" s="3972"/>
      <c r="K21" s="3948"/>
      <c r="L21" s="3974"/>
      <c r="P21" s="3963"/>
      <c r="Q21" s="3964"/>
      <c r="R21" s="3977"/>
      <c r="S21" s="3978"/>
      <c r="T21" s="3968">
        <f>R21/100*S21</f>
        <v>0</v>
      </c>
      <c r="U21" s="3969"/>
      <c r="X21" s="1698"/>
      <c r="Y21" s="45"/>
      <c r="Z21" s="45"/>
      <c r="AA21" s="2837"/>
      <c r="AB21" s="3899" t="str">
        <f>IF(PDs!$E48="","",PDs!$E48)</f>
        <v/>
      </c>
      <c r="AC21" s="3899"/>
      <c r="AD21" s="3899"/>
      <c r="AE21" s="3899"/>
      <c r="AF21" s="3899"/>
      <c r="AG21" s="3899"/>
      <c r="AH21" s="3900" t="str">
        <f>IF(PDs!$V48=0,"",PDs!$V48)</f>
        <v/>
      </c>
      <c r="AI21" s="3900"/>
      <c r="AJ21" s="3900"/>
      <c r="AK21" s="3900"/>
      <c r="AL21" s="3900"/>
      <c r="AM21" s="3900"/>
      <c r="AN21" s="3900"/>
      <c r="AO21" s="3900"/>
      <c r="AP21" s="3900"/>
      <c r="AQ21" s="3900"/>
      <c r="AR21" s="2950"/>
      <c r="AS21" s="2947"/>
      <c r="AT21" s="2948" t="s">
        <v>9999</v>
      </c>
      <c r="AU21" s="2948"/>
      <c r="AV21" s="2948" t="s">
        <v>8829</v>
      </c>
      <c r="AW21" s="2948"/>
      <c r="AX21" s="2952">
        <f>2*Tablas!$G$322</f>
        <v>0</v>
      </c>
      <c r="AY21" s="2952">
        <f>2*Tablas!$G$322</f>
        <v>0</v>
      </c>
      <c r="AZ21" s="2952">
        <f>2*Tablas!$G$322</f>
        <v>0</v>
      </c>
      <c r="BA21" s="2952">
        <f>2*Tablas!$G$322</f>
        <v>0</v>
      </c>
      <c r="BB21" s="2952">
        <f>2*Tablas!$G$322</f>
        <v>0</v>
      </c>
      <c r="BC21" s="2952">
        <f>2*Tablas!$G$322</f>
        <v>0</v>
      </c>
      <c r="BD21" s="2952">
        <f>4*Tablas!G323</f>
        <v>0</v>
      </c>
    </row>
    <row r="22" spans="1:60" ht="12" customHeight="1" thickBot="1" x14ac:dyDescent="0.25">
      <c r="A22" s="45"/>
      <c r="B22" s="2997"/>
      <c r="C22" s="2855" t="s">
        <v>1809</v>
      </c>
      <c r="D22" s="2851"/>
      <c r="E22" s="2846">
        <f>MAX(0,MAX(CON,DES)+IF(Extensióndelauraalarma,10,0)+IF($E$20="Armas Naturales",VLOOKUP(Tamaño,Tabla_CreaciónSeres,10),0))</f>
        <v>5</v>
      </c>
      <c r="F22" s="2846">
        <f>IF(FUE=0,0,-2+MAX(0,VLOOKUP(FUE,Tabla_Fuerza,2))+IF(Extensióndelauraalarma,5,0)+IF($E$20="Armas Naturales",VLOOKUP(Tamaño,Tabla_CreaciónSeres,9),0))</f>
        <v>-2</v>
      </c>
      <c r="G22" s="2846">
        <f>Presencia_final*IF(OR(Extrusióndepresencia,Extrusióndevacío),2,1)</f>
        <v>20</v>
      </c>
      <c r="H22" s="3965"/>
      <c r="I22" s="3966"/>
      <c r="J22" s="3966"/>
      <c r="K22" s="3966"/>
      <c r="L22" s="3967"/>
      <c r="P22" s="3963"/>
      <c r="Q22" s="3964"/>
      <c r="R22" s="3977"/>
      <c r="S22" s="3978"/>
      <c r="T22" s="3970"/>
      <c r="U22" s="3971"/>
      <c r="X22" s="1698"/>
      <c r="Y22" s="45"/>
      <c r="Z22" s="45"/>
      <c r="AA22" s="2837"/>
      <c r="AB22" s="3899" t="str">
        <f>IF(PDs!$E49="","",PDs!$E49)</f>
        <v/>
      </c>
      <c r="AC22" s="3899"/>
      <c r="AD22" s="3899"/>
      <c r="AE22" s="3899"/>
      <c r="AF22" s="3899"/>
      <c r="AG22" s="3899"/>
      <c r="AH22" s="3900" t="str">
        <f>IF(PDs!$V49=0,"",PDs!$V49)</f>
        <v/>
      </c>
      <c r="AI22" s="3900"/>
      <c r="AJ22" s="3900"/>
      <c r="AK22" s="3900"/>
      <c r="AL22" s="3900"/>
      <c r="AM22" s="3900"/>
      <c r="AN22" s="3900"/>
      <c r="AO22" s="3900"/>
      <c r="AP22" s="3900"/>
      <c r="AQ22" s="3900"/>
      <c r="AR22" s="2950"/>
      <c r="AS22" s="2947"/>
      <c r="AT22" s="2948">
        <f>HE_final-PDs!$X$24+MIN(PDs!$X$24+J23,50)</f>
        <v>0</v>
      </c>
      <c r="AU22" s="2948"/>
      <c r="AV22" s="2948" t="s">
        <v>8830</v>
      </c>
      <c r="AW22" s="2948"/>
      <c r="AX22" s="2952">
        <f>Tablas!S$1446</f>
        <v>0</v>
      </c>
      <c r="AY22" s="2952">
        <f>Tablas!S$1447</f>
        <v>0</v>
      </c>
      <c r="AZ22" s="2952">
        <f>Tablas!S$1448</f>
        <v>0</v>
      </c>
      <c r="BA22" s="2952">
        <f>Tablas!S$1449</f>
        <v>0</v>
      </c>
      <c r="BB22" s="2952">
        <f>Tablas!S$1450</f>
        <v>0</v>
      </c>
      <c r="BC22" s="2952">
        <f>Tablas!S$1451</f>
        <v>0</v>
      </c>
      <c r="BD22" s="2952">
        <f>Tablas!S$1452</f>
        <v>0</v>
      </c>
    </row>
    <row r="23" spans="1:60" ht="12" customHeight="1" thickBot="1" x14ac:dyDescent="0.25">
      <c r="A23" s="45"/>
      <c r="B23" s="2997"/>
      <c r="C23" s="3983" t="s">
        <v>1887</v>
      </c>
      <c r="D23" s="3985">
        <f>Tablas!$K$896</f>
        <v>0</v>
      </c>
      <c r="E23" s="3987" t="s">
        <v>1888</v>
      </c>
      <c r="F23" s="3985">
        <f>MIN(Tablas!$H$896,50)</f>
        <v>0</v>
      </c>
      <c r="G23" s="3987" t="s">
        <v>1889</v>
      </c>
      <c r="H23" s="3988">
        <f>MIN(Tablas!$J$896,50)</f>
        <v>0</v>
      </c>
      <c r="I23" s="3981" t="s">
        <v>1890</v>
      </c>
      <c r="J23" s="3988">
        <f>MIN(Tablas!$I$896,50)</f>
        <v>0</v>
      </c>
      <c r="K23" s="3981" t="s">
        <v>1891</v>
      </c>
      <c r="L23" s="3991">
        <f>IF(Extensióndelauraalarma,10,0)+IF(DañoIncrementado,10,0)+IF($E$19="Artes Marciales",Tablas!F896,0)+Tablas!$K$1717</f>
        <v>0</v>
      </c>
      <c r="P23" s="3963"/>
      <c r="Q23" s="3964"/>
      <c r="R23" s="3977"/>
      <c r="S23" s="3978"/>
      <c r="T23" s="3968">
        <f>R23/100*S23</f>
        <v>0</v>
      </c>
      <c r="U23" s="3969"/>
      <c r="X23" s="1698"/>
      <c r="Y23" s="45"/>
      <c r="Z23" s="45"/>
      <c r="AA23" s="2837"/>
      <c r="AB23" s="3899" t="str">
        <f>IF(PDs!$E50="","",PDs!$E50)</f>
        <v/>
      </c>
      <c r="AC23" s="3899"/>
      <c r="AD23" s="3899"/>
      <c r="AE23" s="3899"/>
      <c r="AF23" s="3899"/>
      <c r="AG23" s="3899"/>
      <c r="AH23" s="3900" t="str">
        <f>IF(PDs!$V50=0,"",PDs!$V50)</f>
        <v/>
      </c>
      <c r="AI23" s="3900"/>
      <c r="AJ23" s="3900"/>
      <c r="AK23" s="3900"/>
      <c r="AL23" s="3900"/>
      <c r="AM23" s="3900"/>
      <c r="AN23" s="3900"/>
      <c r="AO23" s="3900"/>
      <c r="AP23" s="3900"/>
      <c r="AQ23" s="3900"/>
      <c r="AR23" s="2950"/>
      <c r="AS23" s="2947"/>
      <c r="AT23" s="2948"/>
      <c r="AU23" s="2948"/>
      <c r="AV23" s="2948" t="s">
        <v>8831</v>
      </c>
      <c r="AW23" s="2952"/>
      <c r="AX23" s="2952">
        <f>MAX(3*Tablas!$W$884,6*Tablas!$W$885)</f>
        <v>0</v>
      </c>
      <c r="AY23" s="2952">
        <f>MAX(3*Tablas!$W$884,6*Tablas!$W$885)</f>
        <v>0</v>
      </c>
      <c r="AZ23" s="2952">
        <f>MAX(3*Tablas!$W$884,6*Tablas!$W$885)</f>
        <v>0</v>
      </c>
      <c r="BA23" s="2952">
        <f>MAX(3*Tablas!$W$884,6*Tablas!$W$885)</f>
        <v>0</v>
      </c>
      <c r="BB23" s="2952">
        <f>MAX(3*Tablas!$W$884,6*Tablas!$W$885)</f>
        <v>0</v>
      </c>
      <c r="BC23" s="2952">
        <f>MAX(3*Tablas!$W$884,6*Tablas!$W$885)</f>
        <v>0</v>
      </c>
      <c r="BD23" s="2952">
        <f>MAX(3*Tablas!$W$884,6*Tablas!$W$885)</f>
        <v>0</v>
      </c>
    </row>
    <row r="24" spans="1:60" ht="12" customHeight="1" thickBot="1" x14ac:dyDescent="0.25">
      <c r="A24" s="45"/>
      <c r="B24" s="2997"/>
      <c r="C24" s="3984"/>
      <c r="D24" s="3986"/>
      <c r="E24" s="3982"/>
      <c r="F24" s="3986"/>
      <c r="G24" s="3982"/>
      <c r="H24" s="3986"/>
      <c r="I24" s="3982"/>
      <c r="J24" s="3989"/>
      <c r="K24" s="3990"/>
      <c r="L24" s="3992"/>
      <c r="M24" s="2831"/>
      <c r="P24" s="3993"/>
      <c r="Q24" s="3994"/>
      <c r="R24" s="3995"/>
      <c r="S24" s="3996"/>
      <c r="T24" s="3970"/>
      <c r="U24" s="3971"/>
      <c r="X24" s="1698"/>
      <c r="Y24" s="45"/>
      <c r="Z24" s="45"/>
      <c r="AA24" s="2837"/>
      <c r="AB24" s="3899" t="str">
        <f>IF(PDs!$E51="","",PDs!$E51)</f>
        <v/>
      </c>
      <c r="AC24" s="3899"/>
      <c r="AD24" s="3899"/>
      <c r="AE24" s="3899"/>
      <c r="AF24" s="3899"/>
      <c r="AG24" s="3899"/>
      <c r="AH24" s="3900" t="str">
        <f>IF(PDs!$V51=0,"",PDs!$V51)</f>
        <v/>
      </c>
      <c r="AI24" s="3900"/>
      <c r="AJ24" s="3900"/>
      <c r="AK24" s="3900"/>
      <c r="AL24" s="3900"/>
      <c r="AM24" s="3900"/>
      <c r="AN24" s="3900"/>
      <c r="AO24" s="3900"/>
      <c r="AP24" s="3900"/>
      <c r="AQ24" s="3900"/>
      <c r="AR24" s="2950"/>
      <c r="AS24" s="2947"/>
      <c r="AT24" s="2948"/>
      <c r="AU24" s="2948"/>
      <c r="AV24" s="2952" t="s">
        <v>8832</v>
      </c>
      <c r="AW24" s="2952"/>
      <c r="AX24" s="2952">
        <f t="shared" ref="AX24:BD24" si="9">IF(Acumulacion="Si",VLOOKUP(Tamaño,Tabla_CreaciónSeres,6),0)</f>
        <v>0</v>
      </c>
      <c r="AY24" s="2952">
        <f t="shared" si="9"/>
        <v>0</v>
      </c>
      <c r="AZ24" s="2952">
        <f t="shared" si="9"/>
        <v>0</v>
      </c>
      <c r="BA24" s="2952">
        <f t="shared" si="9"/>
        <v>0</v>
      </c>
      <c r="BB24" s="2952">
        <f t="shared" si="9"/>
        <v>0</v>
      </c>
      <c r="BC24" s="2952">
        <f t="shared" si="9"/>
        <v>0</v>
      </c>
      <c r="BD24" s="2952">
        <f t="shared" si="9"/>
        <v>0</v>
      </c>
    </row>
    <row r="25" spans="1:60" ht="12" customHeight="1" thickBot="1" x14ac:dyDescent="0.25">
      <c r="A25" s="45"/>
      <c r="B25" s="2997"/>
      <c r="C25" s="2039"/>
      <c r="D25" s="2039"/>
      <c r="E25" s="2039"/>
      <c r="F25" s="2039"/>
      <c r="G25" s="2039"/>
      <c r="H25" s="2039"/>
      <c r="I25" s="2039"/>
      <c r="J25" s="2039"/>
      <c r="K25" s="2039"/>
      <c r="L25" s="2039"/>
      <c r="M25" s="2799"/>
      <c r="N25" s="2799"/>
      <c r="O25" s="2799"/>
      <c r="X25" s="2839"/>
      <c r="Y25" s="45"/>
      <c r="Z25" s="45"/>
      <c r="AA25" s="2837"/>
      <c r="AB25" s="3899" t="str">
        <f>IF(PDs!$E52="","",PDs!$E52)</f>
        <v/>
      </c>
      <c r="AC25" s="3899"/>
      <c r="AD25" s="3899"/>
      <c r="AE25" s="3899"/>
      <c r="AF25" s="3899"/>
      <c r="AG25" s="3899"/>
      <c r="AH25" s="3900" t="str">
        <f>IF(PDs!$V52=0,"",PDs!$V52)</f>
        <v/>
      </c>
      <c r="AI25" s="3900"/>
      <c r="AJ25" s="3900"/>
      <c r="AK25" s="3900"/>
      <c r="AL25" s="3900"/>
      <c r="AM25" s="3900"/>
      <c r="AN25" s="3900"/>
      <c r="AO25" s="3900"/>
      <c r="AP25" s="3900"/>
      <c r="AQ25" s="3900"/>
      <c r="AR25" s="2950"/>
      <c r="AS25" s="2947"/>
      <c r="AT25" s="2948"/>
      <c r="AU25" s="2948"/>
      <c r="AV25" s="2952" t="s">
        <v>8820</v>
      </c>
      <c r="AW25" s="2952"/>
      <c r="AX25" s="2953">
        <f>'Tablas psiquica'!$AH$27</f>
        <v>0</v>
      </c>
      <c r="AY25" s="2953">
        <f>'Tablas psiquica'!$AH$27</f>
        <v>0</v>
      </c>
      <c r="AZ25" s="2953">
        <f>'Tablas psiquica'!$AH$27</f>
        <v>0</v>
      </c>
      <c r="BA25" s="2953">
        <f>'Tablas psiquica'!$AH$27</f>
        <v>0</v>
      </c>
      <c r="BB25" s="2953">
        <f>'Tablas psiquica'!$AH$27</f>
        <v>0</v>
      </c>
      <c r="BC25" s="2953">
        <f>'Tablas psiquica'!$AH$27</f>
        <v>0</v>
      </c>
      <c r="BD25" s="2953">
        <v>0</v>
      </c>
    </row>
    <row r="26" spans="1:60" ht="12" customHeight="1" thickBot="1" x14ac:dyDescent="0.25">
      <c r="A26" s="45"/>
      <c r="B26" s="2997"/>
      <c r="C26" s="3297" t="s">
        <v>1725</v>
      </c>
      <c r="D26" s="4002"/>
      <c r="E26" s="4003"/>
      <c r="F26" s="4004"/>
      <c r="G26" s="4005"/>
      <c r="H26" s="1275" t="s">
        <v>1702</v>
      </c>
      <c r="I26" s="2853" t="s">
        <v>1880</v>
      </c>
      <c r="J26" s="3960" t="s">
        <v>1881</v>
      </c>
      <c r="K26" s="3960"/>
      <c r="L26" s="2830" t="s">
        <v>1882</v>
      </c>
      <c r="N26" s="3297" t="s">
        <v>1725</v>
      </c>
      <c r="O26" s="3298"/>
      <c r="P26" s="4003"/>
      <c r="Q26" s="4004"/>
      <c r="R26" s="4005"/>
      <c r="S26" s="2853" t="s">
        <v>1702</v>
      </c>
      <c r="T26" s="2853" t="s">
        <v>1880</v>
      </c>
      <c r="U26" s="3960" t="s">
        <v>1881</v>
      </c>
      <c r="V26" s="3960"/>
      <c r="W26" s="2830" t="s">
        <v>1882</v>
      </c>
      <c r="X26" s="1698"/>
      <c r="Y26" s="45"/>
      <c r="Z26" s="45"/>
      <c r="AA26" s="2837"/>
      <c r="AB26" s="3899" t="str">
        <f>IF(PDs!$E53="","",PDs!$E53)</f>
        <v/>
      </c>
      <c r="AC26" s="3899"/>
      <c r="AD26" s="3899"/>
      <c r="AE26" s="3899"/>
      <c r="AF26" s="3899"/>
      <c r="AG26" s="3899"/>
      <c r="AH26" s="3900" t="str">
        <f>IF(PDs!$V53=0,"",PDs!$V53)</f>
        <v/>
      </c>
      <c r="AI26" s="3900"/>
      <c r="AJ26" s="3900"/>
      <c r="AK26" s="3900"/>
      <c r="AL26" s="3900"/>
      <c r="AM26" s="3900"/>
      <c r="AN26" s="3900"/>
      <c r="AO26" s="3900"/>
      <c r="AP26" s="3900"/>
      <c r="AQ26" s="3900"/>
      <c r="AR26" s="2950"/>
      <c r="AS26" s="2947"/>
      <c r="AT26" s="2948"/>
      <c r="AU26" s="2948"/>
      <c r="AV26" s="2951" t="s">
        <v>1763</v>
      </c>
      <c r="AW26" s="2951"/>
      <c r="AX26" s="2951">
        <f>IF(Nephilim="Nephilim Turak",1)+IF(Raza="Turak",IF(COUNTIF(Cercanía_Dragón,"Escamas de metal")&gt;0,3,2),0)</f>
        <v>0</v>
      </c>
      <c r="AY26" s="2951">
        <f>IF(Nephilim="Nephilim Turak",1)+IF(Raza="Turak",IF(COUNTIF(Cercanía_Dragón,"Escamas de metal")&gt;0,3,2),0)</f>
        <v>0</v>
      </c>
      <c r="AZ26" s="2951">
        <f>IF(Nephilim="Nephilim Turak",1)+IF(Raza="Turak",IF(COUNTIF(Cercanía_Dragón,"Escamas de metal")&gt;0,3,2),0)</f>
        <v>0</v>
      </c>
      <c r="BA26" s="2951">
        <f>IF(Nephilim="Nephilim Turak",1)+IF(Raza="Turak",IF(COUNTIF(Cercanía_Dragón,"Escamas de metal")&gt;0,3,2),0)</f>
        <v>0</v>
      </c>
      <c r="BB26" s="2951">
        <v>0</v>
      </c>
      <c r="BC26" s="2951">
        <v>0</v>
      </c>
      <c r="BD26" s="2951">
        <v>0</v>
      </c>
    </row>
    <row r="27" spans="1:60" ht="12" customHeight="1" x14ac:dyDescent="0.2">
      <c r="A27" s="45"/>
      <c r="B27" s="2997"/>
      <c r="C27" s="3997" t="str">
        <f>IF(E26=0,"",VLOOKUP(E26,Tabla_ArmasyEscudos,9,FALSE))</f>
        <v/>
      </c>
      <c r="D27" s="3998"/>
      <c r="E27" s="2849" t="s">
        <v>1892</v>
      </c>
      <c r="F27" s="3999"/>
      <c r="G27" s="3999"/>
      <c r="H27" s="4000">
        <f>MIN(Turno_Nat_final,IF(E26=0,0,IF(OR(E31="Escudo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3955">
        <f>IF(E26=0,HA_final,HA_final+VLOOKUP(C27,Tabla_ArmaDistinta,2)+I29+MIN(0,10*(FUE-VLOOKUP(E26,Tabla_ArmasyEscudos,4,FALSE)-IF(F27=0,0,VLOOKUP(F27,Tabla_ArmasEnormes,4,FALSE))))-IF(Tablas!$H$519&lt;0,IF(E26=Arma_Desarrollada,0,30),0))+SUMPRODUCT(--ISNUMBER(SEARCH(E26,ArmasAM)),ArmasAM_HA)+Personalización!AA8</f>
        <v>0</v>
      </c>
      <c r="J27" s="4001">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0</v>
      </c>
      <c r="K27" s="3293"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3973">
        <f>IF(E26=0,0,VLOOKUP(E26,Tabla_ArmasyEscudos,2,FALSE)*IF(F27=0,1,VLOOKUP(F27,Tabla_ArmasEnormes,5,FALSE))+Bono_Fue+2*I29+IF(DañoIncrementado,10,0)+IF(Extensióndelauraalarma,10,0)+Tablas!$K$1717)+Personalización!AA10</f>
        <v>0</v>
      </c>
      <c r="N27" s="3997" t="str">
        <f>IF(P26=0,"",VLOOKUP(P26,Tabla_ArmasyEscudos,9,FALSE))</f>
        <v/>
      </c>
      <c r="O27" s="3998"/>
      <c r="P27" s="2849" t="s">
        <v>1892</v>
      </c>
      <c r="Q27" s="4010"/>
      <c r="R27" s="4010"/>
      <c r="S27" s="4000">
        <f>MIN(Turno_Nat_final,IF(P26=0,0,IF(OR(P31="Escudo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3955">
        <f>IF(P26=0,HA_final,HA_final+VLOOKUP(N27,Tabla_ArmaDistinta,2)+T29+MIN(0,10*(FUE-VLOOKUP(P26,Tabla_ArmasyEscudos,4,FALSE)-IF(Q27=0,0,VLOOKUP(Q27,Tabla_ArmasEnormes,4,FALSE))))-IF(Tablas!$H$519&lt;0,IF(P26=Arma_Desarrollada,0,30),0))+SUMPRODUCT(--ISNUMBER(SEARCH(P26,ArmasAM)),ArmasAM_HA)+Personalización!AA13</f>
        <v>0</v>
      </c>
      <c r="U27" s="4001">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0</v>
      </c>
      <c r="V27" s="3293"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973">
        <f>IF(P26=0,0,VLOOKUP(P26,Tabla_ArmasyEscudos,2,FALSE)*IF(Q27=0,1,VLOOKUP(Q27,Tabla_ArmasEnormes,5,FALSE))+Bono_Fue+2*T29+IF(DañoIncrementado,10,0)+IF(Extensióndelauraalarma,10,0)+Tablas!$K$1717)+Personalización!AA15</f>
        <v>0</v>
      </c>
      <c r="X27" s="1698"/>
      <c r="Y27" s="45"/>
      <c r="Z27" s="45"/>
      <c r="AA27" s="2837"/>
      <c r="AB27" s="3899" t="str">
        <f>IF(PDs!$E54="","",PDs!$E54)</f>
        <v/>
      </c>
      <c r="AC27" s="3899"/>
      <c r="AD27" s="3899"/>
      <c r="AE27" s="3899"/>
      <c r="AF27" s="3899"/>
      <c r="AG27" s="3899"/>
      <c r="AH27" s="3900" t="str">
        <f>IF(PDs!$V54=0,"",PDs!$V54)</f>
        <v/>
      </c>
      <c r="AI27" s="3900"/>
      <c r="AJ27" s="3900"/>
      <c r="AK27" s="3900"/>
      <c r="AL27" s="3900"/>
      <c r="AM27" s="3900"/>
      <c r="AN27" s="3900"/>
      <c r="AO27" s="3900"/>
      <c r="AP27" s="3900"/>
      <c r="AQ27" s="3900"/>
      <c r="AR27" s="2950"/>
      <c r="AS27" s="2947"/>
      <c r="AT27" s="2948"/>
      <c r="AU27" s="2948"/>
      <c r="AV27" s="2951" t="s">
        <v>3305</v>
      </c>
      <c r="AW27" s="2951"/>
      <c r="AX27" s="2951">
        <v>0</v>
      </c>
      <c r="AY27" s="2952">
        <v>0</v>
      </c>
      <c r="AZ27" s="2952">
        <v>0</v>
      </c>
      <c r="BA27" s="2952">
        <v>0</v>
      </c>
      <c r="BB27" s="2952">
        <v>0</v>
      </c>
      <c r="BC27" s="2952">
        <v>0</v>
      </c>
      <c r="BD27" s="2952">
        <f>MAX(IF(ArmaduradeEnergia,2,0),IF(ArmaduraArcana,4,0))</f>
        <v>0</v>
      </c>
      <c r="BF27" s="43"/>
      <c r="BG27" s="43"/>
      <c r="BH27" s="43"/>
    </row>
    <row r="28" spans="1:60" ht="12" customHeight="1" thickBot="1" x14ac:dyDescent="0.25">
      <c r="A28" s="45"/>
      <c r="B28" s="2997"/>
      <c r="C28" s="2691" t="s">
        <v>1884</v>
      </c>
      <c r="D28" s="2692" t="s">
        <v>1885</v>
      </c>
      <c r="E28" s="2692" t="s">
        <v>1869</v>
      </c>
      <c r="F28" s="2692" t="s">
        <v>1886</v>
      </c>
      <c r="G28" s="532" t="s">
        <v>1870</v>
      </c>
      <c r="H28" s="3293"/>
      <c r="I28" s="3955"/>
      <c r="J28" s="4001"/>
      <c r="K28" s="3293"/>
      <c r="L28" s="3973"/>
      <c r="N28" s="2691" t="s">
        <v>1884</v>
      </c>
      <c r="O28" s="2692" t="s">
        <v>1885</v>
      </c>
      <c r="P28" s="2692" t="s">
        <v>1869</v>
      </c>
      <c r="Q28" s="2692" t="s">
        <v>1886</v>
      </c>
      <c r="R28" s="532" t="s">
        <v>1870</v>
      </c>
      <c r="S28" s="3293"/>
      <c r="T28" s="3955"/>
      <c r="U28" s="4001"/>
      <c r="V28" s="3293"/>
      <c r="W28" s="3973"/>
      <c r="X28" s="1698"/>
      <c r="Y28" s="45"/>
      <c r="Z28" s="45"/>
      <c r="AA28" s="2837"/>
      <c r="AB28" s="3901" t="str">
        <f>IF(PDs!$E55="","",PDs!$E55)</f>
        <v/>
      </c>
      <c r="AC28" s="3901"/>
      <c r="AD28" s="3901"/>
      <c r="AE28" s="3901"/>
      <c r="AF28" s="3901"/>
      <c r="AG28" s="3901"/>
      <c r="AH28" s="3902" t="str">
        <f>IF(PDs!$V55=0,"",PDs!$V55)</f>
        <v/>
      </c>
      <c r="AI28" s="3902"/>
      <c r="AJ28" s="3902"/>
      <c r="AK28" s="3902"/>
      <c r="AL28" s="3902"/>
      <c r="AM28" s="3902"/>
      <c r="AN28" s="3902"/>
      <c r="AO28" s="3902"/>
      <c r="AP28" s="3902"/>
      <c r="AQ28" s="3902"/>
      <c r="AR28" s="2950"/>
      <c r="AS28" s="2947"/>
      <c r="BF28" s="43"/>
      <c r="BG28" s="43"/>
      <c r="BH28" s="43"/>
    </row>
    <row r="29" spans="1:60" ht="12" customHeight="1" thickBot="1" x14ac:dyDescent="0.25">
      <c r="A29" s="45"/>
      <c r="B29" s="2997"/>
      <c r="C29" s="2694" t="str">
        <f>IF(L30="Si","ENE",IF(E26=0,"",VLOOKUP(E26,Tabla_ArmasyEscudos,6,FALSE)))</f>
        <v/>
      </c>
      <c r="D29" s="2846" t="str">
        <f>IF(E26=0,"",VLOOKUP(E26,Tabla_ArmasyEscudos,7,FALSE))</f>
        <v/>
      </c>
      <c r="E29" s="2846" t="str">
        <f>IF(E26=0,"",MAX(0,IF(Extensióndelauraalarma,10,0)+I29*2+VLOOKUP(E26,Tabla_ArmasyEscudos,10,FALSE)+IF(F27=0,0,VLOOKUP(F27,Tabla_ArmasEnormes,6,FALSE))))</f>
        <v/>
      </c>
      <c r="F29" s="2846" t="str">
        <f>IF(E26=0,"",MAX(0,IF(Extensióndelauraalarma,5,0)+I29*2/5+VLOOKUP(E26,Tabla_ArmasyEscudos,11,FALSE)+IF(F27=0,0,VLOOKUP(F27,Tabla_ArmasEnormes,7,FALSE))+IF(FUE=0,0,VLOOKUP(FUE,Tabla_Fuerza,2))))</f>
        <v/>
      </c>
      <c r="G29" s="2883">
        <f>IF(E26=0,0,MAX(I29*10,0)+VLOOKUP(E26,Tabla_ArmasyEscudos,12,FALSE))</f>
        <v>0</v>
      </c>
      <c r="H29" s="530" t="s">
        <v>1894</v>
      </c>
      <c r="I29" s="107"/>
      <c r="J29" s="4008" t="str">
        <f>IF(F27=0,IF(I29=0,"","TA defensor:"),IF(Tamaño&lt;VLOOKUP(F27,Tabla_ArmasEnormes,2,FALSE),"Tam. excesivo",IF(I29=0,"","TA defensor:")))</f>
        <v/>
      </c>
      <c r="K29" s="4008"/>
      <c r="L29" s="2856" t="str">
        <f>IF(J29="TA defensor:",I29/(-5),"")</f>
        <v/>
      </c>
      <c r="N29" s="1276" t="str">
        <f>IF(W30="Si","ENE",IF(P26=0,"",VLOOKUP(P26,Tabla_ArmasyEscudos,6,FALSE)))</f>
        <v/>
      </c>
      <c r="O29" s="2847" t="str">
        <f>IF(P26=0,"",VLOOKUP(P26,Tabla_ArmasyEscudos,7,FALSE))</f>
        <v/>
      </c>
      <c r="P29" s="2847" t="str">
        <f>IF(P26=0,"",MAX(0,IF(Extensióndelauraalarma,10,0)+T29*2+VLOOKUP(P26,Tabla_ArmasyEscudos,10,FALSE)+IF(Q27=0,0,VLOOKUP(Q27,Tabla_ArmasEnormes,6,FALSE))))</f>
        <v/>
      </c>
      <c r="Q29" s="2847" t="str">
        <f>IF(P26=0,"",MAX(0,IF(Extensióndelauraalarma,5,0)+T29*2/5+VLOOKUP(P26,Tabla_ArmasyEscudos,11,FALSE)+IF(Q27=0,0,VLOOKUP(Q27,Tabla_ArmasEnormes,7,FALSE))+IF(FUE=0,0,VLOOKUP(FUE,Tabla_Fuerza,2))))</f>
        <v/>
      </c>
      <c r="R29" s="534">
        <f>IF(P26=0,0,MAX(T29*10,0)+VLOOKUP(P26,Tabla_ArmasyEscudos,12,FALSE))</f>
        <v>0</v>
      </c>
      <c r="S29" s="530" t="s">
        <v>1894</v>
      </c>
      <c r="T29" s="107"/>
      <c r="U29" s="4008" t="str">
        <f>IF(Q27=0,IF(T29=0,"","TA defensor:"),IF(Tamaño&lt;VLOOKUP(Q27,Tabla_ArmasEnormes,2,FALSE),"Tam. excesivo",IF(T29=0,"","TA defensor:")))</f>
        <v/>
      </c>
      <c r="V29" s="4008"/>
      <c r="W29" s="2856" t="str">
        <f>IF(U29="TA defensor:",T29/(-5),"")</f>
        <v/>
      </c>
      <c r="X29" s="1698"/>
      <c r="Y29" s="45"/>
      <c r="Z29" s="45"/>
      <c r="AA29" s="2837"/>
      <c r="AB29" s="67"/>
      <c r="AC29" s="67"/>
      <c r="AD29" s="67"/>
      <c r="AE29" s="67"/>
      <c r="AF29" s="67"/>
      <c r="AG29" s="67"/>
      <c r="AH29" s="67"/>
      <c r="AI29" s="67"/>
      <c r="AJ29" s="67"/>
      <c r="AK29" s="67"/>
      <c r="AL29" s="67"/>
      <c r="AM29" s="67"/>
      <c r="AN29" s="67"/>
      <c r="AO29" s="67"/>
      <c r="AP29" s="67"/>
      <c r="AQ29" s="67"/>
      <c r="AR29" s="2950"/>
      <c r="AS29" s="2947"/>
      <c r="AV29" s="1695" t="s">
        <v>10047</v>
      </c>
      <c r="BF29" s="43"/>
      <c r="BG29" s="43"/>
      <c r="BH29" s="43"/>
    </row>
    <row r="30" spans="1:60" ht="12" customHeight="1" thickBot="1" x14ac:dyDescent="0.25">
      <c r="A30" s="45"/>
      <c r="B30" s="2997"/>
      <c r="C30" s="4006" t="str">
        <f>IF(E26=0,"",VLOOKUP(E26,Tabla_ArmasyEscudos,19,FALSE))</f>
        <v/>
      </c>
      <c r="D30" s="4007"/>
      <c r="E30" s="4007"/>
      <c r="F30" s="4007"/>
      <c r="G30" s="4007"/>
      <c r="H30" s="4007"/>
      <c r="I30" s="4007"/>
      <c r="J30" s="4009" t="s">
        <v>10042</v>
      </c>
      <c r="K30" s="4009"/>
      <c r="L30" s="2887" t="s">
        <v>1690</v>
      </c>
      <c r="N30" s="4006" t="str">
        <f>IF(P26=0,"",VLOOKUP(P26,Tabla_ArmasyEscudos,19,FALSE))</f>
        <v/>
      </c>
      <c r="O30" s="4007"/>
      <c r="P30" s="4007"/>
      <c r="Q30" s="4007"/>
      <c r="R30" s="4007"/>
      <c r="S30" s="4007"/>
      <c r="T30" s="4007"/>
      <c r="U30" s="4009" t="s">
        <v>10042</v>
      </c>
      <c r="V30" s="4009"/>
      <c r="W30" s="2887" t="s">
        <v>1690</v>
      </c>
      <c r="X30" s="1698"/>
      <c r="Y30" s="45"/>
      <c r="Z30" s="45"/>
      <c r="AA30" s="2837"/>
      <c r="AB30" s="3201" t="s">
        <v>1815</v>
      </c>
      <c r="AC30" s="3201"/>
      <c r="AD30" s="3201"/>
      <c r="AE30" s="3201"/>
      <c r="AF30" s="3201"/>
      <c r="AG30" s="3201"/>
      <c r="AH30" s="3223" t="s">
        <v>1861</v>
      </c>
      <c r="AI30" s="3223"/>
      <c r="AJ30" s="3223"/>
      <c r="AK30" s="3223"/>
      <c r="AL30" s="3223"/>
      <c r="AM30" s="3223"/>
      <c r="AN30" s="3223"/>
      <c r="AO30" s="3223"/>
      <c r="AP30" s="3223"/>
      <c r="AQ30" s="2809" t="s">
        <v>1811</v>
      </c>
      <c r="AR30" s="2950"/>
      <c r="AS30" s="2947"/>
      <c r="AW30" s="1695" t="s">
        <v>1751</v>
      </c>
      <c r="AX30" s="1695" t="s">
        <v>1702</v>
      </c>
      <c r="AY30" s="1695" t="s">
        <v>8850</v>
      </c>
      <c r="AZ30" s="1695" t="s">
        <v>10034</v>
      </c>
      <c r="BA30" s="1695" t="s">
        <v>10059</v>
      </c>
      <c r="BF30" s="43"/>
      <c r="BG30" s="43"/>
      <c r="BH30" s="43"/>
    </row>
    <row r="31" spans="1:60" ht="12" customHeight="1" thickBot="1" x14ac:dyDescent="0.25">
      <c r="A31" s="45"/>
      <c r="B31" s="2997"/>
      <c r="C31" s="4023" t="s">
        <v>1895</v>
      </c>
      <c r="D31" s="4024"/>
      <c r="E31" s="4025"/>
      <c r="F31" s="4026"/>
      <c r="G31" s="4027"/>
      <c r="H31" s="2885" t="s">
        <v>1702</v>
      </c>
      <c r="I31" s="2885" t="s">
        <v>1880</v>
      </c>
      <c r="J31" s="4028" t="s">
        <v>1881</v>
      </c>
      <c r="K31" s="4028"/>
      <c r="L31" s="2890" t="s">
        <v>1882</v>
      </c>
      <c r="N31" s="4018" t="s">
        <v>1895</v>
      </c>
      <c r="O31" s="3201"/>
      <c r="P31" s="4019"/>
      <c r="Q31" s="4020"/>
      <c r="R31" s="4021"/>
      <c r="S31" s="2854" t="s">
        <v>1702</v>
      </c>
      <c r="T31" s="2854" t="s">
        <v>1880</v>
      </c>
      <c r="U31" s="4022" t="s">
        <v>1881</v>
      </c>
      <c r="V31" s="4022"/>
      <c r="W31" s="2888" t="s">
        <v>1882</v>
      </c>
      <c r="X31" s="1698"/>
      <c r="Y31" s="45"/>
      <c r="Z31" s="45"/>
      <c r="AA31" s="2837"/>
      <c r="AB31" s="3906" t="str">
        <f>IF(PDs!$AD56=0,"",PDs!$AD56)</f>
        <v/>
      </c>
      <c r="AC31" s="3906"/>
      <c r="AD31" s="3906"/>
      <c r="AE31" s="3906"/>
      <c r="AF31" s="3906"/>
      <c r="AG31" s="3906"/>
      <c r="AH31" s="3903" t="str">
        <f>IF(PDs!$V56=0,"",PDs!$V56)</f>
        <v/>
      </c>
      <c r="AI31" s="3903"/>
      <c r="AJ31" s="3903"/>
      <c r="AK31" s="3903"/>
      <c r="AL31" s="3903"/>
      <c r="AM31" s="3903"/>
      <c r="AN31" s="3903"/>
      <c r="AO31" s="3903"/>
      <c r="AP31" s="3903"/>
      <c r="AQ31" s="204">
        <f>IF(AB31="",0,VLOOKUP(AB31,Tablas!$D$806:$G$895,4,FALSE))</f>
        <v>0</v>
      </c>
      <c r="AR31" s="2950"/>
      <c r="AS31" s="2947"/>
      <c r="AV31" s="1695" t="s">
        <v>10048</v>
      </c>
      <c r="BF31" s="43"/>
      <c r="BG31" s="43"/>
      <c r="BH31" s="43"/>
    </row>
    <row r="32" spans="1:60" ht="12" customHeight="1" x14ac:dyDescent="0.2">
      <c r="A32" s="45"/>
      <c r="B32" s="2997"/>
      <c r="C32" s="4012" t="str">
        <f>IF(E31=0,"",VLOOKUP(E31,Tabla_ArmasyEscudos,9,FALSE))</f>
        <v/>
      </c>
      <c r="D32" s="4013"/>
      <c r="E32" s="1382" t="s">
        <v>1892</v>
      </c>
      <c r="F32" s="4029"/>
      <c r="G32" s="4029"/>
      <c r="H32" s="3955" t="s">
        <v>1896</v>
      </c>
      <c r="I32" s="3955">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0</v>
      </c>
      <c r="J32" s="4001">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0</v>
      </c>
      <c r="K32" s="3293"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3973">
        <f>IF(E31=0,0,VLOOKUP(E31,Tabla_ArmasyEscudos,2,FALSE)*IF(F32=0,1,VLOOKUP(F32,Tabla_ArmasEnormes,5,FALSE))+Bono_Fue+2*I34+IF(DañoIncrementado,10,0)+IF(Extensióndelauraalarma,10,0)+Tablas!$K$1717)+Personalización!AC10</f>
        <v>0</v>
      </c>
      <c r="N32" s="4012" t="str">
        <f>IF(P31=0,"",VLOOKUP(P31,Tabla_ArmasyEscudos,9,FALSE))</f>
        <v/>
      </c>
      <c r="O32" s="4013"/>
      <c r="P32" s="1382" t="s">
        <v>1892</v>
      </c>
      <c r="Q32" s="4014"/>
      <c r="R32" s="4015"/>
      <c r="S32" s="3293" t="s">
        <v>1896</v>
      </c>
      <c r="T32" s="3955">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0</v>
      </c>
      <c r="U32" s="4001">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0</v>
      </c>
      <c r="V32" s="3293"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973">
        <f>IF(P31=0,0,VLOOKUP(P31,Tabla_ArmasyEscudos,2,FALSE)*IF(Q32=0,1,VLOOKUP(Q32,Tabla_ArmasEnormes,5,FALSE))+Bono_Fue+2*T34+IF(DañoIncrementado,10,0)+IF(Extensióndelauraalarma,10,0)+Tablas!$K$1717)+Personalización!AC15</f>
        <v>0</v>
      </c>
      <c r="X32" s="1698"/>
      <c r="Y32" s="45"/>
      <c r="Z32" s="45"/>
      <c r="AA32" s="2837"/>
      <c r="AB32" s="3906" t="str">
        <f>IF(PDs!$AD57=0,"",PDs!$AD57)</f>
        <v/>
      </c>
      <c r="AC32" s="3906"/>
      <c r="AD32" s="3906"/>
      <c r="AE32" s="3906"/>
      <c r="AF32" s="3906"/>
      <c r="AG32" s="3906"/>
      <c r="AH32" s="3397" t="str">
        <f>IF(PDs!$V57=0,"",PDs!$V57)</f>
        <v/>
      </c>
      <c r="AI32" s="3397"/>
      <c r="AJ32" s="3397"/>
      <c r="AK32" s="3397"/>
      <c r="AL32" s="3397"/>
      <c r="AM32" s="3397"/>
      <c r="AN32" s="3397"/>
      <c r="AO32" s="3397"/>
      <c r="AP32" s="3397"/>
      <c r="AQ32" s="205">
        <f>IF(AB32="",0,VLOOKUP(AB32,Tablas!$D$806:$G$895,4,FALSE))</f>
        <v>0</v>
      </c>
      <c r="AR32" s="2950"/>
      <c r="AS32" s="2947"/>
      <c r="AV32" s="1695" t="s">
        <v>10053</v>
      </c>
      <c r="AW32" s="1695" t="str">
        <f>IF(Combate!$E$26=0,"",Combate!$E$26&amp;IF(Combate!$I$29=0,""," +"&amp;Combate!$I$29))</f>
        <v/>
      </c>
      <c r="BF32" s="43"/>
      <c r="BG32" s="43"/>
      <c r="BH32" s="43"/>
    </row>
    <row r="33" spans="1:67" ht="12" customHeight="1" x14ac:dyDescent="0.2">
      <c r="A33" s="45"/>
      <c r="B33" s="2997"/>
      <c r="C33" s="2693" t="s">
        <v>1884</v>
      </c>
      <c r="D33" s="2850" t="s">
        <v>1885</v>
      </c>
      <c r="E33" s="2850" t="s">
        <v>1869</v>
      </c>
      <c r="F33" s="2891" t="s">
        <v>1886</v>
      </c>
      <c r="G33" s="2850" t="s">
        <v>1870</v>
      </c>
      <c r="H33" s="3955"/>
      <c r="I33" s="3955"/>
      <c r="J33" s="4001"/>
      <c r="K33" s="3293"/>
      <c r="L33" s="3973"/>
      <c r="N33" s="2693" t="s">
        <v>1884</v>
      </c>
      <c r="O33" s="2850" t="s">
        <v>1885</v>
      </c>
      <c r="P33" s="2850" t="s">
        <v>1869</v>
      </c>
      <c r="Q33" s="2850" t="s">
        <v>1886</v>
      </c>
      <c r="R33" s="2850" t="s">
        <v>1870</v>
      </c>
      <c r="S33" s="3955"/>
      <c r="T33" s="3955"/>
      <c r="U33" s="4001"/>
      <c r="V33" s="3293"/>
      <c r="W33" s="3973"/>
      <c r="X33" s="1698"/>
      <c r="Y33" s="45"/>
      <c r="Z33" s="45"/>
      <c r="AA33" s="2837"/>
      <c r="AB33" s="3906" t="str">
        <f>IF(PDs!$AD58=0,"",PDs!$AD58)</f>
        <v/>
      </c>
      <c r="AC33" s="3906"/>
      <c r="AD33" s="3906"/>
      <c r="AE33" s="3906"/>
      <c r="AF33" s="3906"/>
      <c r="AG33" s="3906"/>
      <c r="AH33" s="3397" t="str">
        <f>IF(PDs!$V58=0,"",PDs!$V58)</f>
        <v/>
      </c>
      <c r="AI33" s="3397"/>
      <c r="AJ33" s="3397"/>
      <c r="AK33" s="3397"/>
      <c r="AL33" s="3397"/>
      <c r="AM33" s="3397"/>
      <c r="AN33" s="3397"/>
      <c r="AO33" s="3397"/>
      <c r="AP33" s="3397"/>
      <c r="AQ33" s="205">
        <f>IF(AB33="",0,VLOOKUP(AB33,Tablas!$D$806:$G$895,4,FALSE))</f>
        <v>0</v>
      </c>
      <c r="AR33" s="2950"/>
      <c r="AS33" s="2947"/>
      <c r="AV33" s="1695" t="s">
        <v>10049</v>
      </c>
      <c r="AW33" s="1695" t="str">
        <f>IF(Combate!$E$31=0,"",Combate!$E$31&amp;IF(Combate!$I$34=0,""," +"&amp;Combate!$I$34))</f>
        <v/>
      </c>
      <c r="BF33" s="43"/>
      <c r="BG33" s="43"/>
      <c r="BH33" s="43"/>
    </row>
    <row r="34" spans="1:67" ht="12" customHeight="1" x14ac:dyDescent="0.2">
      <c r="A34" s="45"/>
      <c r="B34" s="2997"/>
      <c r="C34" s="2694" t="str">
        <f>IF(L35="Si","ENE",IF(E31=0,"",VLOOKUP(E31,Tabla_ArmasyEscudos,6,FALSE)))</f>
        <v/>
      </c>
      <c r="D34" s="2846" t="str">
        <f>IF(E31=0,"",VLOOKUP(E31,Tabla_ArmasyEscudos,7,FALSE))</f>
        <v/>
      </c>
      <c r="E34" s="2846" t="str">
        <f>IF(E31=0,"",MAX(0,IF(Extensióndelauraalarma,10,0)+I34*2+VLOOKUP(E31,Tabla_ArmasyEscudos,10,FALSE)+IF(F32=0,0,VLOOKUP(F32,Tabla_ArmasEnormes,6,FALSE))))</f>
        <v/>
      </c>
      <c r="F34" s="2846" t="str">
        <f>IF(E31=0,"",MAX(0,IF(Extensióndelauraalarma,5,0)+I34*2/5+VLOOKUP(E31,Tabla_ArmasyEscudos,11,FALSE)+IF(F32=0,0,VLOOKUP(F32,Tabla_ArmasEnormes,7,FALSE))+IF(FUE=0,0,VLOOKUP(FUE,Tabla_Fuerza,2))))</f>
        <v/>
      </c>
      <c r="G34" s="2883">
        <f>IF(E31=0,0,MAX(I34*10,0)+VLOOKUP(E31,Tabla_ArmasyEscudos,12,FALSE))</f>
        <v>0</v>
      </c>
      <c r="H34" s="2884" t="s">
        <v>1894</v>
      </c>
      <c r="I34" s="107"/>
      <c r="J34" s="4008" t="str">
        <f>IF(F32=0,IF(I34=0,"","TA defensor:"),IF(Tamaño&lt;VLOOKUP(F32,Tabla_ArmasEnormes,2,FALSE),"Tam. excesivo",IF(I34=0,"","TA defensor:")))</f>
        <v/>
      </c>
      <c r="K34" s="4008"/>
      <c r="L34" s="2856" t="str">
        <f>IF(J34="TA defensor:",I34/(-5),"")</f>
        <v/>
      </c>
      <c r="N34" s="2694" t="str">
        <f>IF(W35="Si","ENE",IF(P31=0,"",VLOOKUP(P31,Tabla_ArmasyEscudos,6,FALSE)))</f>
        <v/>
      </c>
      <c r="O34" s="2846" t="str">
        <f>IF(P31=0,"",VLOOKUP(P31,Tabla_ArmasyEscudos,7,FALSE))</f>
        <v/>
      </c>
      <c r="P34" s="2846" t="str">
        <f>IF(P31=0,"",MAX(0,IF(Extensióndelauraalarma,10,0)+T34*2+VLOOKUP(P31,Tabla_ArmasyEscudos,10,FALSE)+IF(Q32=0,0,VLOOKUP(Q32,Tabla_ArmasEnormes,6,FALSE))))</f>
        <v/>
      </c>
      <c r="Q34" s="2846" t="str">
        <f>IF(P31=0,"",MAX(0,IF(Extensióndelauraalarma,5,0)+T34*2/5+VLOOKUP(P31,Tabla_ArmasyEscudos,11,FALSE)+IF(Q32=0,0,VLOOKUP(Q32,Tabla_ArmasEnormes,7,FALSE))+IF(FUE=0,0,VLOOKUP(FUE,Tabla_Fuerza,2))))</f>
        <v/>
      </c>
      <c r="R34" s="2846">
        <f>IF(P31=0,0,MAX(T34*10,0)+VLOOKUP(P31,Tabla_ArmasyEscudos,12,FALSE))</f>
        <v>0</v>
      </c>
      <c r="S34" s="148" t="s">
        <v>1894</v>
      </c>
      <c r="T34" s="109"/>
      <c r="U34" s="4008" t="str">
        <f>IF(Q32=0,IF(T34=0,"","TA defensor:"),IF(Tamaño&lt;VLOOKUP(Q32,Tabla_ArmasEnormes,2,FALSE),"Tam. excesivo",IF(T34=0,"","TA defensor:")))</f>
        <v/>
      </c>
      <c r="V34" s="4008"/>
      <c r="W34" s="2856" t="str">
        <f>IF(U34="TA defensor:",T34/(-5),"")</f>
        <v/>
      </c>
      <c r="X34" s="1698"/>
      <c r="Y34" s="45"/>
      <c r="Z34" s="45"/>
      <c r="AA34" s="2837"/>
      <c r="AB34" s="3906" t="str">
        <f>IF(PDs!$AD59=0,"",PDs!$AD59)</f>
        <v/>
      </c>
      <c r="AC34" s="3906"/>
      <c r="AD34" s="3906"/>
      <c r="AE34" s="3906"/>
      <c r="AF34" s="3906"/>
      <c r="AG34" s="3906"/>
      <c r="AH34" s="3397" t="str">
        <f>IF(PDs!$V59=0,"",PDs!$V59)</f>
        <v/>
      </c>
      <c r="AI34" s="3397"/>
      <c r="AJ34" s="3397"/>
      <c r="AK34" s="3397"/>
      <c r="AL34" s="3397"/>
      <c r="AM34" s="3397"/>
      <c r="AN34" s="3397"/>
      <c r="AO34" s="3397"/>
      <c r="AP34" s="3397"/>
      <c r="AQ34" s="205">
        <f>IF(AB34="",0,VLOOKUP(AB34,Tablas!$D$806:$G$895,4,FALSE))</f>
        <v>0</v>
      </c>
      <c r="AR34" s="2950"/>
      <c r="AS34" s="2947"/>
      <c r="AV34" s="1695" t="s">
        <v>10050</v>
      </c>
      <c r="AW34" s="1695" t="str">
        <f>IF(Combate!$E$37=0,"",Combate!$E$37&amp;IF(Combate!$I$40=0,""," +"&amp;Combate!$I$40))</f>
        <v/>
      </c>
      <c r="AZ34" s="2948"/>
      <c r="BF34" s="44"/>
      <c r="BG34" s="44"/>
      <c r="BH34" s="2814"/>
      <c r="BI34" s="2814"/>
      <c r="BJ34" s="2814"/>
      <c r="BK34" s="2814"/>
      <c r="BL34" s="2814"/>
      <c r="BM34" s="2814"/>
      <c r="BN34" s="2814"/>
      <c r="BO34" s="2814"/>
    </row>
    <row r="35" spans="1:67" ht="12" customHeight="1" thickBot="1" x14ac:dyDescent="0.25">
      <c r="A35" s="45"/>
      <c r="B35" s="2997"/>
      <c r="C35" s="4016" t="str">
        <f>IF(E31=0,"",VLOOKUP(E31,Tabla_ArmasyEscudos,19,FALSE))</f>
        <v/>
      </c>
      <c r="D35" s="4017"/>
      <c r="E35" s="4017"/>
      <c r="F35" s="4017"/>
      <c r="G35" s="4017"/>
      <c r="H35" s="4017"/>
      <c r="I35" s="4017"/>
      <c r="J35" s="4011" t="s">
        <v>10042</v>
      </c>
      <c r="K35" s="4011"/>
      <c r="L35" s="2889" t="s">
        <v>1690</v>
      </c>
      <c r="N35" s="4016" t="str">
        <f>IF(P31=0,"",VLOOKUP(P31,Tabla_ArmasyEscudos,19,FALSE))</f>
        <v/>
      </c>
      <c r="O35" s="4017"/>
      <c r="P35" s="4017"/>
      <c r="Q35" s="4017"/>
      <c r="R35" s="4017"/>
      <c r="S35" s="4017"/>
      <c r="T35" s="4017"/>
      <c r="U35" s="4011" t="s">
        <v>10042</v>
      </c>
      <c r="V35" s="4011"/>
      <c r="W35" s="2889" t="s">
        <v>1690</v>
      </c>
      <c r="X35" s="1698"/>
      <c r="Y35" s="45"/>
      <c r="Z35" s="45"/>
      <c r="AA35" s="2837"/>
      <c r="AB35" s="3906" t="str">
        <f>IF(PDs!$AD60=0,"",PDs!$AD60)</f>
        <v/>
      </c>
      <c r="AC35" s="3906"/>
      <c r="AD35" s="3906"/>
      <c r="AE35" s="3906"/>
      <c r="AF35" s="3906"/>
      <c r="AG35" s="3906"/>
      <c r="AH35" s="3397" t="str">
        <f>IF(PDs!$V60=0,"",PDs!$V60)</f>
        <v/>
      </c>
      <c r="AI35" s="3397"/>
      <c r="AJ35" s="3397"/>
      <c r="AK35" s="3397"/>
      <c r="AL35" s="3397"/>
      <c r="AM35" s="3397"/>
      <c r="AN35" s="3397"/>
      <c r="AO35" s="3397"/>
      <c r="AP35" s="3397"/>
      <c r="AQ35" s="205">
        <f>IF(AB35="",0,VLOOKUP(AB35,Tablas!$D$806:$G$895,4,FALSE))</f>
        <v>0</v>
      </c>
      <c r="AR35" s="2950"/>
      <c r="AS35" s="2947"/>
      <c r="AV35" s="1695" t="s">
        <v>10051</v>
      </c>
      <c r="AW35" s="1695" t="str">
        <f>IF(Combate!$E$43=0,"",Combate!$E$43&amp;IF(Combate!$I$46=0,""," +"&amp;Combate!$I$46))</f>
        <v/>
      </c>
      <c r="AZ35" s="2948"/>
      <c r="BF35" s="44"/>
      <c r="BG35" s="44"/>
      <c r="BH35" s="2814"/>
      <c r="BI35" s="2814"/>
      <c r="BJ35" s="2814"/>
      <c r="BK35" s="2814"/>
      <c r="BL35" s="2814"/>
      <c r="BM35" s="2814"/>
      <c r="BN35" s="2814"/>
      <c r="BO35" s="2814"/>
    </row>
    <row r="36" spans="1:67" ht="12" customHeight="1" thickBot="1" x14ac:dyDescent="0.25">
      <c r="A36" s="45"/>
      <c r="B36" s="2997"/>
      <c r="C36" s="67"/>
      <c r="D36" s="67"/>
      <c r="E36" s="67"/>
      <c r="F36" s="67"/>
      <c r="G36" s="67"/>
      <c r="H36" s="67"/>
      <c r="I36" s="1775">
        <f>IF(Combate!E15=0,0,VLOOKUP(Combate!E15,Tabla_Yelmos,3))</f>
        <v>0</v>
      </c>
      <c r="J36" s="67"/>
      <c r="K36" s="67"/>
      <c r="L36" s="67"/>
      <c r="M36" s="2831"/>
      <c r="N36" s="2831"/>
      <c r="O36" s="2831"/>
      <c r="X36" s="2838"/>
      <c r="Y36" s="45"/>
      <c r="Z36" s="45"/>
      <c r="AA36" s="2837"/>
      <c r="AB36" s="3906" t="str">
        <f>IF(PDs!$AD61=0,"",PDs!$AD61)</f>
        <v/>
      </c>
      <c r="AC36" s="3906"/>
      <c r="AD36" s="3906"/>
      <c r="AE36" s="3906"/>
      <c r="AF36" s="3906"/>
      <c r="AG36" s="3906"/>
      <c r="AH36" s="3397" t="str">
        <f>IF(PDs!$V61=0,"",PDs!$V61)</f>
        <v/>
      </c>
      <c r="AI36" s="3397"/>
      <c r="AJ36" s="3397"/>
      <c r="AK36" s="3397"/>
      <c r="AL36" s="3397"/>
      <c r="AM36" s="3397"/>
      <c r="AN36" s="3397"/>
      <c r="AO36" s="3397"/>
      <c r="AP36" s="3397"/>
      <c r="AQ36" s="205">
        <f>IF(AB36="",0,VLOOKUP(AB36,Tablas!$D$806:$G$895,4,FALSE))</f>
        <v>0</v>
      </c>
      <c r="AR36" s="2950"/>
      <c r="AS36" s="2947"/>
      <c r="AV36" s="1695" t="s">
        <v>10052</v>
      </c>
      <c r="AW36" s="1695" t="str">
        <f>IF(Combate!$E$51=0,"",Combate!$E$51&amp;IF(Combate!$I$54=0,""," +"&amp;Combate!$I$54))</f>
        <v/>
      </c>
      <c r="AZ36" s="2948"/>
      <c r="BF36" s="44"/>
      <c r="BG36" s="44"/>
      <c r="BH36" s="2814"/>
      <c r="BI36" s="2814"/>
      <c r="BJ36" s="2814"/>
      <c r="BK36" s="2814"/>
      <c r="BL36" s="2814"/>
      <c r="BM36" s="2814"/>
      <c r="BN36" s="2814"/>
      <c r="BO36" s="2814"/>
    </row>
    <row r="37" spans="1:67" ht="12" customHeight="1" thickBot="1" x14ac:dyDescent="0.25">
      <c r="A37" s="45"/>
      <c r="B37" s="2997"/>
      <c r="C37" s="3297" t="s">
        <v>1897</v>
      </c>
      <c r="D37" s="3298"/>
      <c r="E37" s="4003"/>
      <c r="F37" s="4004"/>
      <c r="G37" s="4005"/>
      <c r="H37" s="2853" t="s">
        <v>1702</v>
      </c>
      <c r="I37" s="2853" t="s">
        <v>1880</v>
      </c>
      <c r="J37" s="3960" t="s">
        <v>1881</v>
      </c>
      <c r="K37" s="3960"/>
      <c r="L37" s="2893" t="s">
        <v>1882</v>
      </c>
      <c r="N37" s="3297" t="s">
        <v>1897</v>
      </c>
      <c r="O37" s="3298"/>
      <c r="P37" s="4003"/>
      <c r="Q37" s="4004"/>
      <c r="R37" s="4005"/>
      <c r="S37" s="2853" t="s">
        <v>1702</v>
      </c>
      <c r="T37" s="2853" t="s">
        <v>1880</v>
      </c>
      <c r="U37" s="3960" t="s">
        <v>1881</v>
      </c>
      <c r="V37" s="3960"/>
      <c r="W37" s="2893" t="s">
        <v>1882</v>
      </c>
      <c r="X37" s="1698"/>
      <c r="Y37" s="45"/>
      <c r="Z37" s="45"/>
      <c r="AA37" s="2837"/>
      <c r="AB37" s="3904" t="str">
        <f>IF(PDs!$AD62=0,"",PDs!$AD62)</f>
        <v/>
      </c>
      <c r="AC37" s="3904"/>
      <c r="AD37" s="3904"/>
      <c r="AE37" s="3904"/>
      <c r="AF37" s="3904"/>
      <c r="AG37" s="3904"/>
      <c r="AH37" s="3397" t="str">
        <f>IF(PDs!$V62=0,"",PDs!$V62)</f>
        <v/>
      </c>
      <c r="AI37" s="3397"/>
      <c r="AJ37" s="3397"/>
      <c r="AK37" s="3397"/>
      <c r="AL37" s="3397"/>
      <c r="AM37" s="3397"/>
      <c r="AN37" s="3397"/>
      <c r="AO37" s="3397"/>
      <c r="AP37" s="3397"/>
      <c r="AQ37" s="205">
        <f>IF(AB37="",0,VLOOKUP(AB37,Tablas!$D$806:$G$895,4,FALSE))</f>
        <v>0</v>
      </c>
      <c r="AR37" s="2950"/>
      <c r="AS37" s="2947"/>
      <c r="AV37" s="1695" t="s">
        <v>10054</v>
      </c>
      <c r="AW37" s="1695" t="str">
        <f>IF(Combate!$P$26=0,"",Combate!$P$26&amp;IF(Combate!$T$29=0,""," +"&amp;Combate!$T$29))</f>
        <v/>
      </c>
      <c r="AZ37" s="2948"/>
      <c r="BF37" s="44"/>
      <c r="BG37" s="44"/>
      <c r="BH37" s="2814"/>
      <c r="BI37" s="2814"/>
      <c r="BJ37" s="2814"/>
      <c r="BK37" s="2814"/>
      <c r="BL37" s="2814"/>
      <c r="BM37" s="2814"/>
      <c r="BN37" s="2814"/>
      <c r="BO37" s="2814"/>
    </row>
    <row r="38" spans="1:67" ht="12" customHeight="1" x14ac:dyDescent="0.2">
      <c r="A38" s="45"/>
      <c r="B38" s="2997"/>
      <c r="C38" s="4012" t="str">
        <f>IF(E37=0,"",VLOOKUP(E37,Tabla_ArmasyEscudos,9,FALSE))</f>
        <v/>
      </c>
      <c r="D38" s="4013"/>
      <c r="E38" s="1382" t="s">
        <v>1892</v>
      </c>
      <c r="F38" s="4029"/>
      <c r="G38" s="4036"/>
      <c r="H38" s="4030">
        <f>IF(E37=0,0,Turno_Nat_final-20+I40+VLOOKUP(E37,Tabla_ArmasyEscudos,3,FALSE)+IF(F38=0,0,IF(Tamaño&lt;VLOOKUP(F38,Tabla_ArmasEnormes,3,FALSE),-40,0)))+Personalización!AE7</f>
        <v>0</v>
      </c>
      <c r="I38" s="3955">
        <f>HA_final+IF(E37=0,0,VLOOKUP(C38,Tabla_ArmaDistinta,2)+I40+MIN(0,10*(FUE-VLOOKUP(E37,Tabla_ArmasyEscudos,5,FALSE)-IF(F38=0,0,VLOOKUP(F38,Tabla_ArmasEnormes,4,FALSE))))+IF(Tablas!$H$519&gt;0,IF(E37=Arma_Desarrollada,0,-30),0))+SUMPRODUCT(--ISNUMBER(SEARCH(E37,Tablas!I903:I933)),ArmasAM_HA)+Personalización!AE8</f>
        <v>0</v>
      </c>
      <c r="J38" s="4001">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0</v>
      </c>
      <c r="K38" s="3293" t="str">
        <f>IF(E37=0,"",IF(HP_final+I40+VLOOKUP(E37,Tabla_ArmasyEscudos,13,FALSE)+VLOOKUP(C38,Tabla_ArmaDistinta,2)+MIN(0,10*(FUE-VLOOKUP(E37,Tabla_ArmasyEscudos,4,FALSE)-IF(F38=0,0,VLOOKUP(F38,Tabla_ArmasEnormes,4,FALSE))))-IF(Tablas!$H$519&lt;0,IF(E37=Arma_Desarrollada,0,30),0)+SUMPRODUCT(--ISNUMBER(SEARCH(E37,ArmasAM)),ArmasAM_HP)&gt;HE_final+VLOOKUP(E37,Tabla_ArmasyEscudos,14,FALSE)+SUMPRODUCT(--ISNUMBER(SEARCH(E37,ArmasAM)),ArmasAM_HE),"Par","Esq"))</f>
        <v/>
      </c>
      <c r="L38" s="3973">
        <f>IF(E37=0,0,VLOOKUP(E37,Tabla_ArmasyEscudos,2,FALSE)*IF(F38=0,1,VLOOKUP(F38,Tabla_ArmasEnormes,5,FALSE))+2*Bono_Fue+2*I40+IF(DañoIncrementado,10,0)+IF(Extensióndelauraalarma,10,0)+Tablas!$K$1717)+Personalización!AE10</f>
        <v>0</v>
      </c>
      <c r="M38" s="3105"/>
      <c r="N38" s="4012" t="str">
        <f>IF(P37=0,"",VLOOKUP(P37,Tabla_ArmasyEscudos,9,FALSE))</f>
        <v/>
      </c>
      <c r="O38" s="4013"/>
      <c r="P38" s="1382" t="s">
        <v>1892</v>
      </c>
      <c r="Q38" s="4029"/>
      <c r="R38" s="4036"/>
      <c r="S38" s="4030">
        <f>IF(P37=0,0,Turno_Nat_final-20+T40+VLOOKUP(P37,Tabla_ArmasyEscudos,3,FALSE)+IF(Q38=0,0,IF(Tamaño&lt;VLOOKUP(Q38,Tabla_ArmasEnormes,3,FALSE),-40,0)))+Personalización!AE12</f>
        <v>0</v>
      </c>
      <c r="T38" s="3955">
        <f>IF(P37=0,HA_final,HA_final+VLOOKUP(N38,Tabla_ArmaDistinta,2)+T40+MIN(0,10*(FUE-VLOOKUP(P37,Tabla_ArmasyEscudos,5,FALSE)-IF(Q38=0,0,VLOOKUP(Q38,Tablas!AC614:AI616,4,FALSE))))-IF(Tablas!$H$519&lt;0,IF(P37=Arma_Desarrollada,0,30),0))+SUMPRODUCT(--ISNUMBER(SEARCH(P37,ArmasAM)),ArmasAM_HA)+Personalización!AE13</f>
        <v>0</v>
      </c>
      <c r="U38" s="4001">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0</v>
      </c>
      <c r="V38" s="3293" t="str">
        <f>IF(P37=0,"",IF(HP_final+T40+VLOOKUP(P37,Tabla_ArmasyEscudos,13,FALSE)+VLOOKUP(N38,Tabla_ArmaDistinta,2)+MIN(0,10*(FUE-VLOOKUP(P37,Tabla_ArmasyEscudos,4,FALSE)-IF(Q38=0,0,VLOOKUP(Q38,Tabla_ArmasEnormes,4,FALSE))))-IF(Tablas!$H$519&lt;0,IF(P37=Arma_Desarrollada,0,30),0)+SUMPRODUCT(--ISNUMBER(SEARCH(P37,ArmasAM)),ArmasAM_HP)&gt;HE_final+VLOOKUP(P37,Tabla_ArmasyEscudos,14,FALSE)+SUMPRODUCT(--ISNUMBER(SEARCH(P37,ArmasAM)),ArmasAM_HE),"Par","Esq"))</f>
        <v/>
      </c>
      <c r="W38" s="3973">
        <f>IF(P37=0,0,VLOOKUP(P37,Tabla_ArmasyEscudos,2,FALSE)*IF(Q38=0,1,VLOOKUP(Q38,Tabla_ArmasEnormes,5,FALSE))+2*Bono_Fue+2*T40+IF(DañoIncrementado,10,0)+IF(Extensióndelauraalarma,10,0)+Tablas!$K$1717)+Personalización!AE15</f>
        <v>0</v>
      </c>
      <c r="X38" s="1698"/>
      <c r="Y38" s="45"/>
      <c r="Z38" s="45"/>
      <c r="AA38" s="2837"/>
      <c r="AB38" s="3904" t="str">
        <f>IF(PDs!$AD63=0,"",PDs!$AD63)</f>
        <v/>
      </c>
      <c r="AC38" s="3904"/>
      <c r="AD38" s="3904"/>
      <c r="AE38" s="3904"/>
      <c r="AF38" s="3904"/>
      <c r="AG38" s="3904"/>
      <c r="AH38" s="3398" t="str">
        <f>IF(PDs!$V63=0,"",PDs!$V63)</f>
        <v/>
      </c>
      <c r="AI38" s="3398"/>
      <c r="AJ38" s="3398"/>
      <c r="AK38" s="3398"/>
      <c r="AL38" s="3398"/>
      <c r="AM38" s="3398"/>
      <c r="AN38" s="3398"/>
      <c r="AO38" s="3398"/>
      <c r="AP38" s="3398"/>
      <c r="AQ38" s="205">
        <f>IF(AB38="",0,VLOOKUP(AB38,Tablas!$D$806:$G$895,4,FALSE))</f>
        <v>0</v>
      </c>
      <c r="AR38" s="2950"/>
      <c r="AS38" s="2947"/>
      <c r="AV38" s="1695" t="s">
        <v>10055</v>
      </c>
      <c r="AW38" s="1695" t="str">
        <f>IF(Combate!$P$31=0,"",Combate!$P$31&amp;IF(Combate!$T$34=0,""," +"&amp;Combate!$T$34))</f>
        <v/>
      </c>
      <c r="AZ38" s="2948"/>
      <c r="BF38" s="44"/>
      <c r="BG38" s="44"/>
      <c r="BH38" s="2814"/>
      <c r="BI38" s="2814"/>
      <c r="BJ38" s="2814"/>
      <c r="BK38" s="2814"/>
      <c r="BL38" s="2814"/>
      <c r="BM38" s="2814"/>
      <c r="BN38" s="2814"/>
      <c r="BO38" s="2814"/>
    </row>
    <row r="39" spans="1:67" ht="12" customHeight="1" x14ac:dyDescent="0.2">
      <c r="A39" s="45"/>
      <c r="B39" s="2997"/>
      <c r="C39" s="2693" t="s">
        <v>1884</v>
      </c>
      <c r="D39" s="2850" t="s">
        <v>1885</v>
      </c>
      <c r="E39" s="2850" t="s">
        <v>1869</v>
      </c>
      <c r="F39" s="2850" t="s">
        <v>1886</v>
      </c>
      <c r="G39" s="2850" t="s">
        <v>1870</v>
      </c>
      <c r="H39" s="4030"/>
      <c r="I39" s="3955"/>
      <c r="J39" s="4001"/>
      <c r="K39" s="3293"/>
      <c r="L39" s="3973"/>
      <c r="N39" s="2693" t="s">
        <v>1884</v>
      </c>
      <c r="O39" s="2850" t="s">
        <v>1885</v>
      </c>
      <c r="P39" s="2850" t="s">
        <v>1869</v>
      </c>
      <c r="Q39" s="2850" t="s">
        <v>1886</v>
      </c>
      <c r="R39" s="2850" t="s">
        <v>1870</v>
      </c>
      <c r="S39" s="4030"/>
      <c r="T39" s="3955"/>
      <c r="U39" s="4001"/>
      <c r="V39" s="3293"/>
      <c r="W39" s="3973"/>
      <c r="X39" s="1698"/>
      <c r="Y39" s="45"/>
      <c r="Z39" s="45"/>
      <c r="AA39" s="2837"/>
      <c r="AB39" s="3904" t="str">
        <f>IF(PDs!$AD64=0,"",PDs!$AD64)</f>
        <v/>
      </c>
      <c r="AC39" s="3904"/>
      <c r="AD39" s="3904"/>
      <c r="AE39" s="3904"/>
      <c r="AF39" s="3904"/>
      <c r="AG39" s="3904"/>
      <c r="AH39" s="3397" t="str">
        <f>IF(PDs!$V64=0,"",PDs!$V64)</f>
        <v/>
      </c>
      <c r="AI39" s="3397"/>
      <c r="AJ39" s="3397"/>
      <c r="AK39" s="3397"/>
      <c r="AL39" s="3397"/>
      <c r="AM39" s="3397"/>
      <c r="AN39" s="3397"/>
      <c r="AO39" s="3397"/>
      <c r="AP39" s="3397"/>
      <c r="AQ39" s="205">
        <f>IF(AB39="",0,VLOOKUP(AB39,Tablas!$D$806:$G$895,4,FALSE))</f>
        <v>0</v>
      </c>
      <c r="AR39" s="2950"/>
      <c r="AS39" s="2947"/>
      <c r="AV39" s="1695" t="s">
        <v>10056</v>
      </c>
      <c r="AW39" s="1695" t="str">
        <f>IF(Combate!$P$37=0,"",Combate!$P$37&amp;IF(Combate!$T$40=0,""," +"&amp;Combate!$T$40))</f>
        <v/>
      </c>
      <c r="AZ39" s="2948"/>
      <c r="BF39" s="44"/>
      <c r="BG39" s="44"/>
      <c r="BH39" s="2814"/>
      <c r="BI39" s="2814"/>
      <c r="BJ39" s="2814"/>
      <c r="BK39" s="2814"/>
      <c r="BL39" s="2814"/>
      <c r="BM39" s="2814"/>
      <c r="BN39" s="2814"/>
      <c r="BO39" s="2814"/>
    </row>
    <row r="40" spans="1:67" ht="12" customHeight="1" x14ac:dyDescent="0.2">
      <c r="A40" s="45"/>
      <c r="B40" s="2997"/>
      <c r="C40" s="2694" t="str">
        <f>IF(L41="Si","ENE",IF(E37=0,"",VLOOKUP(E37,Tabla_ArmasyEscudos,6,FALSE)))</f>
        <v/>
      </c>
      <c r="D40" s="2846" t="str">
        <f>IF(E37=0,"",VLOOKUP(E37,Tabla_ArmasyEscudos,7,FALSE))</f>
        <v/>
      </c>
      <c r="E40" s="2846" t="str">
        <f>IF(E37=0,"",MAX(0,IF(Extensióndelauraalarma,10,0)+I40*2+VLOOKUP(E37,Tabla_ArmasyEscudos,10,FALSE)+IF(F38=0,0,VLOOKUP(F38,Tabla_ArmasEnormes,6,FALSE))))</f>
        <v/>
      </c>
      <c r="F40" s="2846" t="str">
        <f>IF(E37=0,"",MAX(0,IF(Extensióndelauraalarma,5,0)+I40*2/5+VLOOKUP(E37,Tabla_ArmasyEscudos,11,FALSE)+IF(F38=0,0,VLOOKUP(F38,Tabla_ArmasEnormes,7,FALSE))+IF(FUE=0,0,VLOOKUP(FUE,Tabla_Fuerza,2))))</f>
        <v/>
      </c>
      <c r="G40" s="2846">
        <f>IF(E37=0,0,MAX(I40*10,0)+VLOOKUP(E37,Tabla_ArmasyEscudos,12,FALSE))</f>
        <v>0</v>
      </c>
      <c r="H40" s="206" t="s">
        <v>1894</v>
      </c>
      <c r="I40" s="107"/>
      <c r="J40" s="4008" t="str">
        <f>IF(F38=0,IF(I40=0,"","TA defensor:"),IF(Tamaño&lt;VLOOKUP(F38,Tabla_ArmasEnormes,2,FALSE),"Tam. excesivo",IF(I40=0,"","TA defensor:")))</f>
        <v/>
      </c>
      <c r="K40" s="4008"/>
      <c r="L40" s="2856" t="str">
        <f>IF(J40="TA defensor:",I40/(-5),"")</f>
        <v/>
      </c>
      <c r="N40" s="2694" t="str">
        <f>IF(W41="Si","ENE",IF(P37=0,"",VLOOKUP(P37,Tabla_ArmasyEscudos,6,FALSE)))</f>
        <v/>
      </c>
      <c r="O40" s="2846" t="str">
        <f>IF(P37=0,"",VLOOKUP(P37,Tabla_ArmasyEscudos,7,FALSE))</f>
        <v/>
      </c>
      <c r="P40" s="2846" t="str">
        <f>IF(P37=0,"",MAX(0,IF(Extensióndelauraalarma,10,0)+T40*2+VLOOKUP(P37,Tabla_ArmasyEscudos,10,FALSE)+IF(Q38=0,0,VLOOKUP(Q38,Tabla_ArmasEnormes,6,FALSE))))</f>
        <v/>
      </c>
      <c r="Q40" s="2846" t="str">
        <f>IF(P37=0,"",MAX(0,IF(Extensióndelauraalarma,5,0)+T40*2/5+VLOOKUP(P37,Tabla_ArmasyEscudos,11,FALSE)+IF(Q38=0,0,VLOOKUP(Q38,Tabla_ArmasEnormes,7,FALSE))+IF(FUE=0,0,VLOOKUP(FUE,Tabla_Fuerza,2))))</f>
        <v/>
      </c>
      <c r="R40" s="2846">
        <f>IF(P37=0,0,MAX(T40*10,0)+VLOOKUP(P37,Tabla_ArmasyEscudos,12,FALSE))</f>
        <v>0</v>
      </c>
      <c r="S40" s="206" t="s">
        <v>1894</v>
      </c>
      <c r="T40" s="107"/>
      <c r="U40" s="4008" t="str">
        <f>IF(Q38=0,IF(T40=0,"","TA defensor:"),IF(Tamaño&lt;VLOOKUP(Q38,Tabla_ArmasEnormes,2,FALSE),"Tam. excesivo",IF(T40=0,"","TA defensor:")))</f>
        <v/>
      </c>
      <c r="V40" s="4008"/>
      <c r="W40" s="2856" t="str">
        <f>IF(U40="TA defensor:",T40/(-5),"")</f>
        <v/>
      </c>
      <c r="X40" s="1698"/>
      <c r="Y40" s="45"/>
      <c r="Z40" s="45"/>
      <c r="AA40" s="2837"/>
      <c r="AB40" s="3904" t="str">
        <f>IF(PDs!$AD65=0,"",PDs!$AD65)</f>
        <v/>
      </c>
      <c r="AC40" s="3904"/>
      <c r="AD40" s="3904"/>
      <c r="AE40" s="3904"/>
      <c r="AF40" s="3904"/>
      <c r="AG40" s="3904"/>
      <c r="AH40" s="3905" t="str">
        <f>IF(PDs!$V65=0,"",PDs!$V65)</f>
        <v/>
      </c>
      <c r="AI40" s="3905"/>
      <c r="AJ40" s="3905"/>
      <c r="AK40" s="3905"/>
      <c r="AL40" s="3905"/>
      <c r="AM40" s="3905"/>
      <c r="AN40" s="3905"/>
      <c r="AO40" s="3905"/>
      <c r="AP40" s="3905"/>
      <c r="AQ40" s="2813">
        <f>IF(AB40="",0,VLOOKUP(AB40,Tablas!$D$806:$G$895,4,FALSE))</f>
        <v>0</v>
      </c>
      <c r="AR40" s="2950"/>
      <c r="AS40" s="2947"/>
      <c r="AV40" s="1695" t="s">
        <v>10057</v>
      </c>
      <c r="AW40" s="1695" t="str">
        <f>IF(Combate!$P$43=0,"",Combate!$P$43&amp;IF(Combate!$T$46=0,""," +"&amp;Combate!$T$46))</f>
        <v/>
      </c>
      <c r="AZ40" s="2948"/>
      <c r="BF40" s="44"/>
      <c r="BG40" s="44"/>
      <c r="BH40" s="2814"/>
      <c r="BI40" s="2814"/>
      <c r="BJ40" s="2814"/>
      <c r="BK40" s="2814"/>
      <c r="BL40" s="2814"/>
      <c r="BM40" s="2814"/>
      <c r="BN40" s="2814"/>
      <c r="BO40" s="2814"/>
    </row>
    <row r="41" spans="1:67" ht="12" customHeight="1" thickBot="1" x14ac:dyDescent="0.25">
      <c r="A41" s="45"/>
      <c r="B41" s="2997"/>
      <c r="C41" s="4016" t="str">
        <f>IF(E37=0,"",VLOOKUP(E37,Tabla_ArmasyEscudos,19,FALSE))</f>
        <v/>
      </c>
      <c r="D41" s="4017"/>
      <c r="E41" s="4017"/>
      <c r="F41" s="4017"/>
      <c r="G41" s="4017"/>
      <c r="H41" s="4017"/>
      <c r="I41" s="4017"/>
      <c r="J41" s="4011" t="s">
        <v>10042</v>
      </c>
      <c r="K41" s="4011"/>
      <c r="L41" s="2889" t="s">
        <v>1690</v>
      </c>
      <c r="N41" s="4016" t="str">
        <f>IF(P37=0,"",VLOOKUP(P37,Tabla_ArmasyEscudos,19,FALSE))</f>
        <v/>
      </c>
      <c r="O41" s="4017"/>
      <c r="P41" s="4017"/>
      <c r="Q41" s="4017"/>
      <c r="R41" s="4017"/>
      <c r="S41" s="4017"/>
      <c r="T41" s="4017"/>
      <c r="U41" s="4011" t="s">
        <v>10042</v>
      </c>
      <c r="V41" s="4011"/>
      <c r="W41" s="2889" t="s">
        <v>1690</v>
      </c>
      <c r="X41" s="1698"/>
      <c r="Y41" s="45"/>
      <c r="Z41" s="45"/>
      <c r="AA41" s="2837"/>
      <c r="AB41" s="3904" t="str">
        <f>IF(PDs!$AD66=0,"",PDs!$AD66)</f>
        <v/>
      </c>
      <c r="AC41" s="3904"/>
      <c r="AD41" s="3904"/>
      <c r="AE41" s="3904"/>
      <c r="AF41" s="3904"/>
      <c r="AG41" s="3904"/>
      <c r="AH41" s="3905" t="str">
        <f>IF(PDs!$V66=0,"",PDs!$V66)</f>
        <v/>
      </c>
      <c r="AI41" s="3905"/>
      <c r="AJ41" s="3905"/>
      <c r="AK41" s="3905"/>
      <c r="AL41" s="3905"/>
      <c r="AM41" s="3905"/>
      <c r="AN41" s="3905"/>
      <c r="AO41" s="3905"/>
      <c r="AP41" s="3905"/>
      <c r="AQ41" s="2813">
        <f>IF(AB41="",0,VLOOKUP(AB41,Tablas!$D$806:$G$895,4,FALSE))</f>
        <v>0</v>
      </c>
      <c r="AR41" s="2950"/>
      <c r="AS41" s="2947"/>
      <c r="AV41" s="1695" t="s">
        <v>10058</v>
      </c>
      <c r="AW41" s="1695" t="str">
        <f>IF(Combate!$P$51=0,"",Combate!$P$51&amp;IF(Combate!$T$54=0,""," +"&amp;Combate!$T$54))</f>
        <v/>
      </c>
      <c r="AZ41" s="2948"/>
      <c r="BF41" s="44"/>
      <c r="BG41" s="44"/>
      <c r="BH41" s="2814"/>
      <c r="BI41" s="2814"/>
      <c r="BJ41" s="2814"/>
      <c r="BK41" s="2814"/>
      <c r="BL41" s="2814"/>
      <c r="BM41" s="2814"/>
      <c r="BN41" s="2814"/>
      <c r="BO41" s="2814"/>
    </row>
    <row r="42" spans="1:67" ht="12" customHeight="1" thickBot="1" x14ac:dyDescent="0.25">
      <c r="A42" s="45"/>
      <c r="B42" s="2997"/>
      <c r="C42" s="67"/>
      <c r="D42" s="67"/>
      <c r="E42" s="67"/>
      <c r="F42" s="67"/>
      <c r="G42" s="67"/>
      <c r="H42" s="67"/>
      <c r="I42" s="67"/>
      <c r="J42" s="67"/>
      <c r="K42" s="67"/>
      <c r="L42" s="67"/>
      <c r="N42" s="67"/>
      <c r="O42" s="67"/>
      <c r="P42" s="67"/>
      <c r="Q42" s="67"/>
      <c r="R42" s="67"/>
      <c r="S42" s="67"/>
      <c r="T42" s="67"/>
      <c r="U42" s="67"/>
      <c r="V42" s="67"/>
      <c r="W42" s="67"/>
      <c r="X42" s="1698"/>
      <c r="Y42" s="45"/>
      <c r="Z42" s="45"/>
      <c r="AA42" s="2837"/>
      <c r="AB42" s="3904" t="str">
        <f>IF(PDs!$AD67=0,"",PDs!$AD67)</f>
        <v/>
      </c>
      <c r="AC42" s="3904"/>
      <c r="AD42" s="3904"/>
      <c r="AE42" s="3904"/>
      <c r="AF42" s="3904"/>
      <c r="AG42" s="3904"/>
      <c r="AH42" s="3905" t="str">
        <f>IF(PDs!$V67=0,"",PDs!$V67)</f>
        <v/>
      </c>
      <c r="AI42" s="3905"/>
      <c r="AJ42" s="3905"/>
      <c r="AK42" s="3905"/>
      <c r="AL42" s="3905"/>
      <c r="AM42" s="3905"/>
      <c r="AN42" s="3905"/>
      <c r="AO42" s="3905"/>
      <c r="AP42" s="3905"/>
      <c r="AQ42" s="2813">
        <f>IF(AB42="",0,VLOOKUP(AB42,Tablas!$D$806:$G$895,4,FALSE))</f>
        <v>0</v>
      </c>
      <c r="AR42" s="2950"/>
      <c r="AS42" s="2947"/>
      <c r="AU42" s="1695" t="s">
        <v>10061</v>
      </c>
      <c r="AZ42" s="2948"/>
      <c r="BF42" s="44"/>
      <c r="BG42" s="44"/>
      <c r="BH42" s="2814"/>
      <c r="BI42" s="2814"/>
      <c r="BJ42" s="2814"/>
      <c r="BK42" s="2814"/>
      <c r="BL42" s="2814"/>
      <c r="BM42" s="2814"/>
      <c r="BN42" s="2814"/>
      <c r="BO42" s="2814"/>
    </row>
    <row r="43" spans="1:67" ht="12" customHeight="1" thickBot="1" x14ac:dyDescent="0.25">
      <c r="A43" s="45"/>
      <c r="B43" s="2997"/>
      <c r="C43" s="3297" t="s">
        <v>1898</v>
      </c>
      <c r="D43" s="4002"/>
      <c r="E43" s="4037"/>
      <c r="F43" s="4038"/>
      <c r="G43" s="4039"/>
      <c r="H43" s="1275" t="s">
        <v>1702</v>
      </c>
      <c r="I43" s="2853" t="s">
        <v>1880</v>
      </c>
      <c r="J43" s="3960" t="s">
        <v>1881</v>
      </c>
      <c r="K43" s="3960"/>
      <c r="L43" s="2830" t="s">
        <v>1882</v>
      </c>
      <c r="N43" s="3297" t="s">
        <v>1898</v>
      </c>
      <c r="O43" s="4002"/>
      <c r="P43" s="4037"/>
      <c r="Q43" s="4038"/>
      <c r="R43" s="4039"/>
      <c r="S43" s="1275" t="s">
        <v>1702</v>
      </c>
      <c r="T43" s="2853" t="s">
        <v>1880</v>
      </c>
      <c r="U43" s="3960" t="s">
        <v>1881</v>
      </c>
      <c r="V43" s="3960"/>
      <c r="W43" s="2830" t="s">
        <v>1882</v>
      </c>
      <c r="X43" s="1698"/>
      <c r="Y43" s="45"/>
      <c r="Z43" s="45"/>
      <c r="AA43" s="2837"/>
      <c r="AB43" s="3904" t="str">
        <f>IF(PDs!$AD68=0,"",PDs!$AD68)</f>
        <v/>
      </c>
      <c r="AC43" s="3904"/>
      <c r="AD43" s="3904"/>
      <c r="AE43" s="3904"/>
      <c r="AF43" s="3904"/>
      <c r="AG43" s="3904"/>
      <c r="AH43" s="3905" t="str">
        <f>IF(PDs!$V68=0,"",PDs!$V68)</f>
        <v/>
      </c>
      <c r="AI43" s="3905"/>
      <c r="AJ43" s="3905"/>
      <c r="AK43" s="3905"/>
      <c r="AL43" s="3905"/>
      <c r="AM43" s="3905"/>
      <c r="AN43" s="3905"/>
      <c r="AO43" s="3905"/>
      <c r="AP43" s="3905"/>
      <c r="AQ43" s="2813">
        <f>IF(AB43="",0,VLOOKUP(AB43,Tablas!$D$806:$G$895,4,FALSE))</f>
        <v>0</v>
      </c>
      <c r="AR43" s="2950"/>
      <c r="AS43" s="2947"/>
      <c r="AV43" s="1695"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35 Natural</v>
      </c>
      <c r="AZ43" s="2948"/>
      <c r="BF43" s="44"/>
      <c r="BG43" s="44"/>
      <c r="BH43" s="2814"/>
      <c r="BI43" s="2814"/>
      <c r="BJ43" s="2814"/>
      <c r="BK43" s="2814"/>
      <c r="BL43" s="2814"/>
      <c r="BM43" s="2814"/>
      <c r="BN43" s="2814"/>
      <c r="BO43" s="2814"/>
    </row>
    <row r="44" spans="1:67" ht="12" customHeight="1" x14ac:dyDescent="0.2">
      <c r="A44" s="45"/>
      <c r="B44" s="2997"/>
      <c r="C44" s="3997" t="str">
        <f>IF(E43=0,"",VLOOKUP(E43,Tabla_ArmasyEscudos,9,FALSE))</f>
        <v/>
      </c>
      <c r="D44" s="3998"/>
      <c r="E44" s="1382" t="s">
        <v>1892</v>
      </c>
      <c r="F44" s="3999"/>
      <c r="G44" s="3999"/>
      <c r="H44" s="3948">
        <f>IF(E43=0,0,Turno_Nat_final-20+IF(E43=E51,-10,0)+MIN(I46+VLOOKUP(E43,Tabla_ArmasyEscudos,3,FALSE)+IF(F44=0,0,IF(Tamaño&lt;VLOOKUP(F44,Tabla_ArmasEnormes,3,FALSE),-40,0)),IF(E51="",99999,I54+VLOOKUP(E51,Tabla_ArmasyEscudos,3,FALSE)+IF(F52=0,0,IF(Tamaño&lt;VLOOKUP(F52,Tabla_ArmasEnormes,3,FALSE),-40,0)))))+Personalización!AG7</f>
        <v>0</v>
      </c>
      <c r="I44" s="3956">
        <f>IF(E43=0,HA_final,HA_final+VLOOKUP(C44,Tabla_ArmaDistinta,2)+I46+MIN(0,10*(FUE-VLOOKUP(E43,Tabla_ArmasyEscudos,4,FALSE)-IF(F44=0,0,VLOOKUP(F44,Tabla_ArmasEnormes,4,FALSE))))-IF(Tablas!$H$519&lt;0,IF(E43=Arma_Desarrollada,0,30),0))+SUMPRODUCT(--ISNUMBER(SEARCH(E43,ArmasAM)),ArmasAM_HA)+Personalización!AG8</f>
        <v>0</v>
      </c>
      <c r="J44" s="3972">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0</v>
      </c>
      <c r="K44" s="3948"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3974">
        <f>IF(E47=0,0,IF(E43=0,0,VLOOKUP(E47,Tabla_ArmasyEscudos,2,FALSE)*IF(F44=0,1,VLOOKUP(F44,Tabla_ArmasEnormes,5,FALSE))+IF(VLOOKUP(E43,Tabla_ArmasyEscudos,18,FALSE)=0,Bono_Fue,VLOOKUP(VLOOKUP(E43,Tabla_ArmasyEscudos,18,FALSE)+TRUNC(I46/5,0),Tabla_BonoStats,2))+2*I47))+Tablas!$K$1717+IF(Extensióndelauraalarma,10,0)+IF(DañoIncrementado,10,0)+Personalización!AG10</f>
        <v>0</v>
      </c>
      <c r="N44" s="3997" t="str">
        <f>IF(P43=0,"",VLOOKUP(P43,Tabla_ArmasyEscudos,9,FALSE))</f>
        <v/>
      </c>
      <c r="O44" s="3998"/>
      <c r="P44" s="1382" t="s">
        <v>1892</v>
      </c>
      <c r="Q44" s="3999"/>
      <c r="R44" s="3999"/>
      <c r="S44" s="3948">
        <f>IF(P43=0,0,Turno_Nat_final-20+IF(P43=P51,-10,0)+MIN(T46+VLOOKUP(P43,Tabla_ArmasyEscudos,3,FALSE)+IF(Q44=0,0,IF(Tamaño&lt;VLOOKUP(Q44,Tabla_ArmasEnormes,3,FALSE),-40,0)),IF(P51="",99999,T54+VLOOKUP(P51,Tabla_ArmasyEscudos,3,FALSE)+IF(Q52=0,0,IF(Tamaño&lt;VLOOKUP(Q52,Tabla_ArmasEnormes,3,FALSE),-40,0)))))+Personalización!AG12</f>
        <v>0</v>
      </c>
      <c r="T44" s="3956">
        <f>IF(P43=0,HA_final,HA_final+VLOOKUP(N44,Tabla_ArmaDistinta,2)+T46+MIN(0,10*(FUE-VLOOKUP(P43,Tabla_ArmasyEscudos,4,FALSE)-IF(Q44=0,0,VLOOKUP(Q44,Tabla_ArmasEnormes,4,FALSE))))-IF(Tablas!$H$519&lt;0,IF(P43=Arma_Desarrollada,0,30),0))+SUMPRODUCT(--ISNUMBER(SEARCH(P43,ArmasAM)),ArmasAM_HA)+Personalización!AG13</f>
        <v>0</v>
      </c>
      <c r="U44" s="3972">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0</v>
      </c>
      <c r="V44" s="3948"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3974">
        <f>IF(P47=0,0,IF(P43=0,0,VLOOKUP(P47,Tabla_ArmasyEscudos,2,FALSE)*IF(Q44=0,1,VLOOKUP(Q44,Tabla_ArmasEnormes,5,FALSE))+IF(VLOOKUP(P43,Tabla_ArmasyEscudos,18,FALSE)=0,Bono_Fue,VLOOKUP(VLOOKUP(P43,Tabla_ArmasyEscudos,18,FALSE)+TRUNC(T46/5,0),Tabla_BonoStats,2))+2*T47))+Tablas!$K$1717+IF(Extensióndelauraalarma,10,0)+IF(DañoIncrementado,10,0)+Personalización!AG15</f>
        <v>0</v>
      </c>
      <c r="X44" s="1698"/>
      <c r="Y44" s="45"/>
      <c r="Z44" s="45"/>
      <c r="AA44" s="2837"/>
      <c r="AB44" s="3904" t="str">
        <f>IF(PDs!$AD69=0,"",PDs!$AD69)</f>
        <v/>
      </c>
      <c r="AC44" s="3904"/>
      <c r="AD44" s="3904"/>
      <c r="AE44" s="3904"/>
      <c r="AF44" s="3904"/>
      <c r="AG44" s="3904"/>
      <c r="AH44" s="3905" t="str">
        <f>IF(PDs!$V69=0,"",PDs!$V69)</f>
        <v/>
      </c>
      <c r="AI44" s="3905"/>
      <c r="AJ44" s="3905"/>
      <c r="AK44" s="3905"/>
      <c r="AL44" s="3905"/>
      <c r="AM44" s="3905"/>
      <c r="AN44" s="3905"/>
      <c r="AO44" s="3905"/>
      <c r="AP44" s="3905"/>
      <c r="AQ44" s="2813">
        <f>IF(AB44="",0,VLOOKUP(AB44,Tablas!$D$806:$G$895,4,FALSE))</f>
        <v>0</v>
      </c>
      <c r="AR44" s="2950"/>
      <c r="AS44" s="2947"/>
      <c r="AU44" s="1695" t="str">
        <f>IF(Combate!E20="",IF(Combate!E19="Artes marciales",HA_SinArmas_final&amp;" "&amp;Combate!E19,HA_SinArmas_final&amp;" Desarmado"),HA_SinArmas_final&amp;" "&amp;Combate!E20)</f>
        <v>0 Desarmado</v>
      </c>
      <c r="AV44" s="1695"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2948"/>
      <c r="BF44" s="44"/>
      <c r="BG44" s="44"/>
      <c r="BH44" s="2814"/>
      <c r="BI44" s="2814"/>
      <c r="BJ44" s="2814"/>
      <c r="BK44" s="2814"/>
      <c r="BL44" s="2814"/>
      <c r="BM44" s="2814"/>
      <c r="BN44" s="2814"/>
      <c r="BO44" s="2814"/>
    </row>
    <row r="45" spans="1:67" ht="12" customHeight="1" x14ac:dyDescent="0.2">
      <c r="A45" s="45"/>
      <c r="B45" s="2997"/>
      <c r="C45" s="2691" t="s">
        <v>1884</v>
      </c>
      <c r="D45" s="2692" t="s">
        <v>1885</v>
      </c>
      <c r="E45" s="2692" t="s">
        <v>1869</v>
      </c>
      <c r="F45" s="2692" t="s">
        <v>1886</v>
      </c>
      <c r="G45" s="532" t="s">
        <v>1870</v>
      </c>
      <c r="H45" s="3267"/>
      <c r="I45" s="4055"/>
      <c r="J45" s="4042"/>
      <c r="K45" s="3267"/>
      <c r="L45" s="4031"/>
      <c r="N45" s="2691" t="s">
        <v>1884</v>
      </c>
      <c r="O45" s="2692" t="s">
        <v>1885</v>
      </c>
      <c r="P45" s="2692" t="s">
        <v>1869</v>
      </c>
      <c r="Q45" s="2692" t="s">
        <v>1886</v>
      </c>
      <c r="R45" s="532" t="s">
        <v>1870</v>
      </c>
      <c r="S45" s="3267"/>
      <c r="T45" s="4055"/>
      <c r="U45" s="4042"/>
      <c r="V45" s="3267"/>
      <c r="W45" s="4031"/>
      <c r="X45" s="1698"/>
      <c r="Y45" s="45"/>
      <c r="Z45" s="45"/>
      <c r="AA45" s="2837"/>
      <c r="AB45" s="3904" t="str">
        <f>IF(PDs!$AD70=0,"",PDs!$AD70)</f>
        <v/>
      </c>
      <c r="AC45" s="3904"/>
      <c r="AD45" s="3904"/>
      <c r="AE45" s="3904"/>
      <c r="AF45" s="3904"/>
      <c r="AG45" s="3904"/>
      <c r="AH45" s="3905" t="str">
        <f>IF(PDs!$V70=0,"",PDs!$V70)</f>
        <v/>
      </c>
      <c r="AI45" s="3905"/>
      <c r="AJ45" s="3905"/>
      <c r="AK45" s="3905"/>
      <c r="AL45" s="3905"/>
      <c r="AM45" s="3905"/>
      <c r="AN45" s="3905"/>
      <c r="AO45" s="3905"/>
      <c r="AP45" s="3905"/>
      <c r="AQ45" s="2813">
        <f>IF(AB45="",0,VLOOKUP(AB45,Tablas!$D$806:$G$895,4,FALSE))</f>
        <v>0</v>
      </c>
      <c r="AR45" s="2950"/>
      <c r="AS45" s="2947"/>
      <c r="AU45" s="1695"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Esquiva</v>
      </c>
      <c r="AV45" s="1695"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2948"/>
      <c r="BF45" s="44"/>
      <c r="BG45" s="44"/>
      <c r="BH45" s="2814"/>
      <c r="BI45" s="2814"/>
      <c r="BJ45" s="2814"/>
      <c r="BK45" s="2814"/>
      <c r="BL45" s="2814"/>
      <c r="BM45" s="2814"/>
      <c r="BN45" s="2814"/>
      <c r="BO45" s="2814"/>
    </row>
    <row r="46" spans="1:67" ht="12" customHeight="1" thickBot="1" x14ac:dyDescent="0.25">
      <c r="A46" s="45"/>
      <c r="B46" s="2997"/>
      <c r="C46" s="1276" t="str">
        <f>IF(E43=0,"",VLOOKUP(E43,Tabla_ArmasyEscudos,6,FALSE))</f>
        <v/>
      </c>
      <c r="D46" s="2847" t="str">
        <f>IF(E43=0,"",VLOOKUP(E43,Tabla_ArmasyEscudos,7,FALSE))</f>
        <v/>
      </c>
      <c r="E46" s="2847" t="str">
        <f>IF(E43=0,"",MAX(0,IF(Extensióndelauraalarma,10,0)+IF(Ki!$P$39="-",10,0)+I46*2+VLOOKUP(E43,Tabla_ArmasyEscudos,10,FALSE)+IF(F44=0,0,VLOOKUP(F44,Tabla_ArmasEnormes,6,FALSE))))</f>
        <v/>
      </c>
      <c r="F46" s="2847"/>
      <c r="G46" s="534">
        <f>IF(E43=0,0,MAX(I46*10,0)+VLOOKUP(E43,Tabla_ArmasyEscudos,12,FALSE))</f>
        <v>0</v>
      </c>
      <c r="H46" s="535" t="s">
        <v>1894</v>
      </c>
      <c r="I46" s="207"/>
      <c r="J46" s="4032" t="str">
        <f>IF(Tablas!$G$500&gt;0,"-50 a puntería","")</f>
        <v/>
      </c>
      <c r="K46" s="4032"/>
      <c r="L46" s="4033"/>
      <c r="N46" s="1276" t="str">
        <f>IF(P43=0,"",VLOOKUP(P43,Tabla_ArmasyEscudos,6,FALSE))</f>
        <v/>
      </c>
      <c r="O46" s="2847" t="str">
        <f>IF(P43=0,"",VLOOKUP(P43,Tabla_ArmasyEscudos,7,FALSE))</f>
        <v/>
      </c>
      <c r="P46" s="2847" t="str">
        <f>IF(P43=0,"",MAX(0,IF(Extensióndelauraalarma,10,0)+IF(Ki!$P$39="-",10,0)+T46*2+VLOOKUP(P43,Tabla_ArmasyEscudos,10,FALSE)+IF(Q44=0,0,VLOOKUP(Q44,Tabla_ArmasEnormes,6,FALSE))))</f>
        <v/>
      </c>
      <c r="Q46" s="2847"/>
      <c r="R46" s="534">
        <f>IF(P43=0,0,MAX(T46*10,0)+VLOOKUP(P43,Tabla_ArmasyEscudos,12,FALSE))</f>
        <v>0</v>
      </c>
      <c r="S46" s="535" t="s">
        <v>1894</v>
      </c>
      <c r="T46" s="207"/>
      <c r="U46" s="4032" t="str">
        <f>IF(Tablas!$G$500&gt;0,"-50 a puntería","")</f>
        <v/>
      </c>
      <c r="V46" s="4032"/>
      <c r="W46" s="4033"/>
      <c r="X46" s="1698"/>
      <c r="Y46" s="45"/>
      <c r="Z46" s="45"/>
      <c r="AA46" s="2837"/>
      <c r="AB46" s="3904" t="str">
        <f>IF(PDs!$AD71=0,"",PDs!$AD71)</f>
        <v/>
      </c>
      <c r="AC46" s="3904"/>
      <c r="AD46" s="3904"/>
      <c r="AE46" s="3904"/>
      <c r="AF46" s="3904"/>
      <c r="AG46" s="3904"/>
      <c r="AH46" s="3397" t="str">
        <f>IF(PDs!$V71=0,"",PDs!$V71)</f>
        <v/>
      </c>
      <c r="AI46" s="3397"/>
      <c r="AJ46" s="3397"/>
      <c r="AK46" s="3397"/>
      <c r="AL46" s="3397"/>
      <c r="AM46" s="3397"/>
      <c r="AN46" s="3397"/>
      <c r="AO46" s="3397"/>
      <c r="AP46" s="3397"/>
      <c r="AQ46" s="205">
        <f>IF(AB46="",0,VLOOKUP(AB46,Tablas!$D$806:$G$895,4,FALSE))</f>
        <v>0</v>
      </c>
      <c r="AR46" s="2950"/>
      <c r="AS46" s="2947"/>
      <c r="AU46" s="1695"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Desarmado (CON)</v>
      </c>
      <c r="AV46" s="1695"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v>
      </c>
      <c r="AZ46" s="2948"/>
      <c r="BF46" s="44"/>
      <c r="BG46" s="44"/>
      <c r="BH46" s="2814"/>
      <c r="BI46" s="2814"/>
      <c r="BJ46" s="2814"/>
      <c r="BK46" s="2814"/>
      <c r="BL46" s="2814"/>
      <c r="BM46" s="2814"/>
      <c r="BN46" s="2814"/>
      <c r="BO46" s="2814"/>
    </row>
    <row r="47" spans="1:67" ht="12" customHeight="1" x14ac:dyDescent="0.2">
      <c r="A47" s="45"/>
      <c r="B47" s="2997"/>
      <c r="C47" s="4034" t="s">
        <v>1899</v>
      </c>
      <c r="D47" s="4035"/>
      <c r="E47" s="4048"/>
      <c r="F47" s="4049"/>
      <c r="G47" s="4050"/>
      <c r="H47" s="150" t="s">
        <v>1894</v>
      </c>
      <c r="I47" s="109"/>
      <c r="J47" s="4051" t="str">
        <f>IF(F44=0,IF(I47=0,"","TA defensor:"),IF(Tamaño&lt;VLOOKUP(F44,Tabla_ArmasEnormes,2,FALSE),"Tam. excesivo",IF(I47=0,"","TA defensor:")))</f>
        <v/>
      </c>
      <c r="K47" s="4052"/>
      <c r="L47" s="2856" t="str">
        <f>IF(J47="TA defensor:",I47/(-5),"")</f>
        <v/>
      </c>
      <c r="M47" s="2831"/>
      <c r="N47" s="4034" t="s">
        <v>1899</v>
      </c>
      <c r="O47" s="4035"/>
      <c r="P47" s="4048"/>
      <c r="Q47" s="4049"/>
      <c r="R47" s="4050"/>
      <c r="S47" s="150" t="s">
        <v>1894</v>
      </c>
      <c r="T47" s="109"/>
      <c r="U47" s="4051" t="str">
        <f>IF(Q44=0,IF(T47=0,"","TA defensor:"),IF(Tamaño&lt;VLOOKUP(Q44,Tabla_ArmasEnormes,2,FALSE),"Tam. excesivo",IF(T47=0,"","TA defensor:")))</f>
        <v/>
      </c>
      <c r="V47" s="4052"/>
      <c r="W47" s="2856" t="str">
        <f>IF(U47="TA defensor:",T47/(-5),"")</f>
        <v/>
      </c>
      <c r="X47" s="2838"/>
      <c r="Y47" s="45"/>
      <c r="Z47" s="45"/>
      <c r="AA47" s="2837"/>
      <c r="AB47" s="3904" t="str">
        <f>IF(PDs!$AD72=0,"",PDs!$AD72)</f>
        <v/>
      </c>
      <c r="AC47" s="3904"/>
      <c r="AD47" s="3904"/>
      <c r="AE47" s="3904"/>
      <c r="AF47" s="3904"/>
      <c r="AG47" s="3904"/>
      <c r="AH47" s="3397" t="str">
        <f>IF(PDs!$V72=0,"",PDs!$V72)</f>
        <v/>
      </c>
      <c r="AI47" s="3397"/>
      <c r="AJ47" s="3397"/>
      <c r="AK47" s="3397"/>
      <c r="AL47" s="3397"/>
      <c r="AM47" s="3397"/>
      <c r="AN47" s="3397"/>
      <c r="AO47" s="3397"/>
      <c r="AP47" s="3397"/>
      <c r="AQ47" s="205">
        <f>IF(AB47="",0,VLOOKUP(AB47,Tablas!$D$806:$G$895,4,FALSE))</f>
        <v>0</v>
      </c>
      <c r="AR47" s="2950"/>
      <c r="AS47" s="2947"/>
      <c r="AZ47" s="2948"/>
      <c r="BF47" s="44"/>
      <c r="BG47" s="44"/>
      <c r="BH47" s="2814"/>
      <c r="BI47" s="2814"/>
      <c r="BJ47" s="2814"/>
      <c r="BK47" s="2814"/>
      <c r="BL47" s="2814"/>
      <c r="BM47" s="2814"/>
      <c r="BN47" s="2814"/>
      <c r="BO47" s="2814"/>
    </row>
    <row r="48" spans="1:67" ht="12" customHeight="1" x14ac:dyDescent="0.2">
      <c r="A48" s="45"/>
      <c r="B48" s="2997"/>
      <c r="C48" s="1277" t="s">
        <v>1884</v>
      </c>
      <c r="D48" s="182" t="s">
        <v>1885</v>
      </c>
      <c r="E48" s="2848" t="s">
        <v>1869</v>
      </c>
      <c r="F48" s="2848" t="s">
        <v>1886</v>
      </c>
      <c r="G48" s="2848" t="s">
        <v>1870</v>
      </c>
      <c r="H48" s="1271" t="s">
        <v>1658</v>
      </c>
      <c r="I48" s="127" t="s">
        <v>1900</v>
      </c>
      <c r="J48" s="2850" t="s">
        <v>1901</v>
      </c>
      <c r="K48" s="3227" t="s">
        <v>10035</v>
      </c>
      <c r="L48" s="4045"/>
      <c r="N48" s="1277" t="s">
        <v>1884</v>
      </c>
      <c r="O48" s="182" t="s">
        <v>1885</v>
      </c>
      <c r="P48" s="2848" t="s">
        <v>1869</v>
      </c>
      <c r="Q48" s="2848" t="s">
        <v>1886</v>
      </c>
      <c r="R48" s="2848" t="s">
        <v>1870</v>
      </c>
      <c r="S48" s="1271" t="s">
        <v>1658</v>
      </c>
      <c r="T48" s="127" t="s">
        <v>1900</v>
      </c>
      <c r="U48" s="2850" t="s">
        <v>1901</v>
      </c>
      <c r="V48" s="3227" t="s">
        <v>10035</v>
      </c>
      <c r="W48" s="4045"/>
      <c r="X48" s="1698"/>
      <c r="Y48" s="45"/>
      <c r="Z48" s="45"/>
      <c r="AA48" s="2837"/>
      <c r="AB48" s="3904" t="str">
        <f>IF(PDs!$AD73=0,"",PDs!$AD73)</f>
        <v/>
      </c>
      <c r="AC48" s="3904"/>
      <c r="AD48" s="3904"/>
      <c r="AE48" s="3904"/>
      <c r="AF48" s="3904"/>
      <c r="AG48" s="3904"/>
      <c r="AH48" s="3397" t="str">
        <f>IF(PDs!$V73=0,"",PDs!$V73)</f>
        <v/>
      </c>
      <c r="AI48" s="3397"/>
      <c r="AJ48" s="3397"/>
      <c r="AK48" s="3397"/>
      <c r="AL48" s="3397"/>
      <c r="AM48" s="3397"/>
      <c r="AN48" s="3397"/>
      <c r="AO48" s="3397"/>
      <c r="AP48" s="3397"/>
      <c r="AQ48" s="205">
        <f>IF(AB48="",0,VLOOKUP(AB48,Tablas!$D$806:$G$895,4,FALSE))</f>
        <v>0</v>
      </c>
      <c r="AR48" s="2950"/>
      <c r="AS48" s="2947"/>
      <c r="AZ48" s="2948"/>
      <c r="BF48" s="44"/>
      <c r="BG48" s="44"/>
      <c r="BH48" s="2814"/>
      <c r="BI48" s="2814"/>
      <c r="BJ48" s="2814"/>
      <c r="BK48" s="2814"/>
      <c r="BL48" s="2814"/>
      <c r="BM48" s="2814"/>
      <c r="BN48" s="2814"/>
      <c r="BO48" s="2814"/>
    </row>
    <row r="49" spans="1:67" ht="12" customHeight="1" thickBot="1" x14ac:dyDescent="0.25">
      <c r="A49" s="45"/>
      <c r="B49" s="2997"/>
      <c r="C49" s="2694" t="str">
        <f>IF(K49="Si","ENE",IF(E47=0,"",VLOOKUP(E47,Tabla_ArmasyEscudos,6,FALSE)))</f>
        <v/>
      </c>
      <c r="D49" s="2846" t="str">
        <f>IF(E47=0,"",VLOOKUP(E47,Tabla_ArmasyEscudos,7,FALSE))</f>
        <v/>
      </c>
      <c r="E49" s="2846" t="str">
        <f>IF(E47=0,"",MAX(0,I47*2+VLOOKUP(E47,Tabla_ArmasyEscudos,10,FALSE)+IF(F44=0,0,VLOOKUP(F44,Tabla_ArmasEnormes,6,FALSE))))</f>
        <v/>
      </c>
      <c r="F49" s="2846" t="str">
        <f>IF(E47=0,"",MAX(0,I47*2/5+VLOOKUP(E47,Tabla_ArmasyEscudos,11,FALSE)+IF(F44=0,0,VLOOKUP(F44,Tabla_ArmasEnormes,7,FALSE))+IF(FUE=0,0,VLOOKUP(FUE,Tabla_Fuerza,2))))</f>
        <v/>
      </c>
      <c r="G49" s="2852">
        <f>IF(E47=0,0,MAX(I47*10,0)+VLOOKUP(E47,Tabla_ArmasyEscudos,12,FALSE))</f>
        <v>0</v>
      </c>
      <c r="H49" s="2845"/>
      <c r="I49" s="2886" t="str">
        <f>IF(E43=0,"",VLOOKUP(E43,Tabla_ArmasyEscudos,17,FALSE)+IF(VLOOKUP(E43,Tabla_ArmasyEscudos,18,FALSE)=0,IF(FUE=0,0,VLOOKUP(FUE,Tabla_AlcanceFUE,2)),VLOOKUP(VLOOKUP(E43,Tabla_ArmasyEscudos,18,FALSE)+TRUNC(I46/5,0),Tabla_AlcanceFUE,2)))</f>
        <v/>
      </c>
      <c r="J49" s="15" t="str">
        <f>IF(E43=0,"",VLOOKUP(E43,Tabla_ArmasyEscudos,16,FALSE))</f>
        <v/>
      </c>
      <c r="K49" s="4053" t="s">
        <v>1690</v>
      </c>
      <c r="L49" s="4054"/>
      <c r="N49" s="2694" t="str">
        <f>IF(V49="Si","ENE",IF(P47=0,"",VLOOKUP(P47,Tabla_ArmasyEscudos,6,FALSE)))</f>
        <v/>
      </c>
      <c r="O49" s="2846" t="str">
        <f>IF(P47=0,"",VLOOKUP(P47,Tabla_ArmasyEscudos,7,FALSE))</f>
        <v/>
      </c>
      <c r="P49" s="2846" t="str">
        <f>IF(P47=0,"",MAX(0,T47*2+VLOOKUP(P47,Tabla_ArmasyEscudos,10,FALSE)+IF(Q44=0,0,VLOOKUP(Q44,Tabla_ArmasEnormes,6,FALSE))))</f>
        <v/>
      </c>
      <c r="Q49" s="2846" t="str">
        <f>IF(P47=0,"",MAX(0,T47*2/5+VLOOKUP(P47,Tabla_ArmasyEscudos,11,FALSE)+IF(Q44=0,0,VLOOKUP(Q44,Tabla_ArmasEnormes,7,FALSE))+IF(FUE=0,0,VLOOKUP(FUE,Tabla_Fuerza,2))))</f>
        <v/>
      </c>
      <c r="R49" s="2852">
        <f>IF(P47=0,0,MAX(T47*10,0)+VLOOKUP(P47,Tabla_ArmasyEscudos,12,FALSE))</f>
        <v>0</v>
      </c>
      <c r="S49" s="2845"/>
      <c r="T49" s="2886" t="str">
        <f>IF(P43=0,"",VLOOKUP(P43,Tabla_ArmasyEscudos,17,FALSE)+IF(VLOOKUP(P43,Tabla_ArmasyEscudos,18,FALSE)=0,IF(FUE=0,0,VLOOKUP(FUE,Tabla_AlcanceFUE,2)),VLOOKUP(VLOOKUP(P43,Tabla_ArmasyEscudos,18,FALSE)+TRUNC(T46/5,0),Tabla_AlcanceFUE,2)))</f>
        <v/>
      </c>
      <c r="U49" s="15" t="str">
        <f>IF(P43=0,"",VLOOKUP(P43,Tabla_ArmasyEscudos,16,FALSE))</f>
        <v/>
      </c>
      <c r="V49" s="4053" t="s">
        <v>1690</v>
      </c>
      <c r="W49" s="4054"/>
      <c r="X49" s="1698"/>
      <c r="Y49" s="45"/>
      <c r="Z49" s="45"/>
      <c r="AA49" s="2837"/>
      <c r="AB49" s="3904" t="str">
        <f>IF(PDs!$AD74=0,"",PDs!$AD74)</f>
        <v/>
      </c>
      <c r="AC49" s="3904"/>
      <c r="AD49" s="3904"/>
      <c r="AE49" s="3904"/>
      <c r="AF49" s="3904"/>
      <c r="AG49" s="3904"/>
      <c r="AH49" s="3397" t="str">
        <f>IF(PDs!$V74=0,"",PDs!$V74)</f>
        <v/>
      </c>
      <c r="AI49" s="3397"/>
      <c r="AJ49" s="3397"/>
      <c r="AK49" s="3397"/>
      <c r="AL49" s="3397"/>
      <c r="AM49" s="3397"/>
      <c r="AN49" s="3397"/>
      <c r="AO49" s="3397"/>
      <c r="AP49" s="3397"/>
      <c r="AQ49" s="205">
        <f>IF(AB49="",0,VLOOKUP(AB49,Tablas!$D$806:$G$895,4,FALSE))</f>
        <v>0</v>
      </c>
      <c r="AR49" s="2950"/>
      <c r="AS49" s="2947"/>
      <c r="AZ49" s="2948"/>
      <c r="BF49" s="44"/>
      <c r="BG49" s="44"/>
      <c r="BH49" s="2814"/>
      <c r="BI49" s="2814"/>
      <c r="BJ49" s="2814"/>
      <c r="BK49" s="2814"/>
      <c r="BL49" s="2814"/>
      <c r="BM49" s="2814"/>
      <c r="BN49" s="2814"/>
      <c r="BO49" s="2814"/>
    </row>
    <row r="50" spans="1:67" ht="12" customHeight="1" thickBot="1" x14ac:dyDescent="0.25">
      <c r="A50" s="45"/>
      <c r="B50" s="2997"/>
      <c r="C50" s="4046" t="str">
        <f>IF(E43=0,"",VLOOKUP(E43,Tabla_ArmasyEscudos,19,FALSE))</f>
        <v/>
      </c>
      <c r="D50" s="4060"/>
      <c r="E50" s="4060"/>
      <c r="F50" s="4060"/>
      <c r="G50" s="4060"/>
      <c r="H50" s="4043" t="str">
        <f>IF(E47=0,"",VLOOKUP(E47,Tabla_ArmasyEscudos,19,FALSE))</f>
        <v/>
      </c>
      <c r="I50" s="4043"/>
      <c r="J50" s="4043"/>
      <c r="K50" s="4043"/>
      <c r="L50" s="4044"/>
      <c r="N50" s="4046" t="str">
        <f>IF(P43=0,"",VLOOKUP(P43,Tabla_ArmasyEscudos,19,FALSE))</f>
        <v/>
      </c>
      <c r="O50" s="4060"/>
      <c r="P50" s="4060"/>
      <c r="Q50" s="4060"/>
      <c r="R50" s="4060"/>
      <c r="S50" s="4043" t="str">
        <f>IF(P47=0,"",VLOOKUP(P47,Tabla_ArmasyEscudos,19,FALSE))</f>
        <v/>
      </c>
      <c r="T50" s="4043"/>
      <c r="U50" s="4043"/>
      <c r="V50" s="4043"/>
      <c r="W50" s="4044"/>
      <c r="X50" s="1698"/>
      <c r="Y50" s="45"/>
      <c r="Z50" s="45"/>
      <c r="AA50" s="2837"/>
      <c r="AB50" s="4040" t="str">
        <f>IF(PDs!$E75=0,"",PDs!$E75)</f>
        <v/>
      </c>
      <c r="AC50" s="4040"/>
      <c r="AD50" s="4040"/>
      <c r="AE50" s="4040"/>
      <c r="AF50" s="4040"/>
      <c r="AG50" s="4040"/>
      <c r="AH50" s="4058" t="str">
        <f>IF($AB50="","",IF(PDs!$V75="FALTAN REQUISITOS",PDs!$V75,VLOOKUP(AB50,Tabla_AM_Armas,5,FALSE)))</f>
        <v/>
      </c>
      <c r="AI50" s="4058"/>
      <c r="AJ50" s="4058"/>
      <c r="AK50" s="4058"/>
      <c r="AL50" s="4058"/>
      <c r="AM50" s="4058"/>
      <c r="AN50" s="4058"/>
      <c r="AO50" s="4058"/>
      <c r="AP50" s="4058"/>
      <c r="AQ50" s="4058"/>
      <c r="AR50" s="2950"/>
      <c r="AS50" s="2947"/>
      <c r="AZ50" s="2948"/>
      <c r="BF50" s="44"/>
      <c r="BG50" s="44"/>
      <c r="BH50" s="2814"/>
      <c r="BI50" s="2814"/>
      <c r="BJ50" s="2814"/>
      <c r="BK50" s="2814"/>
      <c r="BL50" s="2814"/>
      <c r="BM50" s="2814"/>
      <c r="BN50" s="2814"/>
      <c r="BO50" s="2814"/>
    </row>
    <row r="51" spans="1:67" ht="12" customHeight="1" thickBot="1" x14ac:dyDescent="0.25">
      <c r="A51" s="45"/>
      <c r="B51" s="2997"/>
      <c r="C51" s="3297" t="s">
        <v>10033</v>
      </c>
      <c r="D51" s="4002"/>
      <c r="E51" s="4037"/>
      <c r="F51" s="4038"/>
      <c r="G51" s="4039"/>
      <c r="H51" s="1275" t="s">
        <v>1702</v>
      </c>
      <c r="I51" s="2853" t="s">
        <v>1880</v>
      </c>
      <c r="J51" s="3960" t="s">
        <v>1881</v>
      </c>
      <c r="K51" s="3960"/>
      <c r="L51" s="2830" t="s">
        <v>1882</v>
      </c>
      <c r="N51" s="3297" t="s">
        <v>10033</v>
      </c>
      <c r="O51" s="4002"/>
      <c r="P51" s="4037"/>
      <c r="Q51" s="4038"/>
      <c r="R51" s="4039"/>
      <c r="S51" s="1275" t="s">
        <v>1702</v>
      </c>
      <c r="T51" s="2853" t="s">
        <v>1880</v>
      </c>
      <c r="U51" s="3960" t="s">
        <v>1881</v>
      </c>
      <c r="V51" s="3960"/>
      <c r="W51" s="2830" t="s">
        <v>1882</v>
      </c>
      <c r="X51" s="1698"/>
      <c r="Y51" s="45"/>
      <c r="Z51" s="45"/>
      <c r="AA51" s="2837"/>
      <c r="AB51" s="4041" t="str">
        <f>IF(PDs!$E76=0,"",PDs!$E76)</f>
        <v/>
      </c>
      <c r="AC51" s="4041"/>
      <c r="AD51" s="4041"/>
      <c r="AE51" s="4041"/>
      <c r="AF51" s="4041"/>
      <c r="AG51" s="4041"/>
      <c r="AH51" s="3900" t="str">
        <f>IF($AB51="","",IF(PDs!$V76="FALTAN REQUISITOS",PDs!$V76,VLOOKUP(AB51,Tabla_AM_Armas,5,FALSE)))</f>
        <v/>
      </c>
      <c r="AI51" s="3900"/>
      <c r="AJ51" s="3900"/>
      <c r="AK51" s="3900"/>
      <c r="AL51" s="3900"/>
      <c r="AM51" s="3900"/>
      <c r="AN51" s="3900"/>
      <c r="AO51" s="3900"/>
      <c r="AP51" s="3900"/>
      <c r="AQ51" s="3900"/>
      <c r="AR51" s="2950"/>
      <c r="AS51" s="2947"/>
      <c r="AZ51" s="2948"/>
      <c r="BF51" s="44"/>
      <c r="BG51" s="44"/>
      <c r="BH51" s="2814"/>
      <c r="BI51" s="2814"/>
      <c r="BJ51" s="2814"/>
      <c r="BK51" s="2814"/>
      <c r="BL51" s="2814"/>
      <c r="BM51" s="2814"/>
      <c r="BN51" s="2814"/>
      <c r="BO51" s="2814"/>
    </row>
    <row r="52" spans="1:67" ht="12" customHeight="1" thickBot="1" x14ac:dyDescent="0.25">
      <c r="A52" s="45"/>
      <c r="B52" s="2997"/>
      <c r="C52" s="3997" t="str">
        <f>IF(E51=0,"",VLOOKUP(E51,Tabla_ArmasyEscudos,9,FALSE))</f>
        <v/>
      </c>
      <c r="D52" s="3998"/>
      <c r="E52" s="1382" t="s">
        <v>1892</v>
      </c>
      <c r="F52" s="3999"/>
      <c r="G52" s="3999"/>
      <c r="H52" s="3293" t="s">
        <v>1896</v>
      </c>
      <c r="I52" s="3955">
        <f>IF(E51=0,HA_final,HA_final+VLOOKUP(C52,Tabla_ArmaDistinta,2)+I54+MIN(0,10*(FUE-VLOOKUP(E51,Tabla_ArmasyEscudos,4,FALSE)-IF(F52=0,0,VLOOKUP(F52,Tabla_ArmasEnormes,4,FALSE))))-IF(Tablas!$H$519&lt;0,IF(E51=Arma_Desarrollada,0,30),0))+SUMPRODUCT(--ISNUMBER(SEARCH(E51,ArmasAM)),ArmasAM_HA)+Personalización!AI8</f>
        <v>0</v>
      </c>
      <c r="J52" s="4001">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0</v>
      </c>
      <c r="K52" s="3293"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973">
        <f>IF(E55=0,0,IF(E51=0,0,VLOOKUP(E55,Tabla_ArmasyEscudos,2,FALSE)*IF(F52=0,1,VLOOKUP(F52,Tabla_ArmasEnormes,5,FALSE))+IF(VLOOKUP(E51,Tabla_ArmasyEscudos,18,FALSE)=0,Bono_Fue,VLOOKUP(VLOOKUP(E51,Tabla_ArmasyEscudos,18,FALSE)+TRUNC(I54/5,0),Tabla_BonoStats,2))+2*I55))+Tablas!$K$1717+IF(Extensióndelauraalarma,10,0)+IF(DañoIncrementado,10,0)+Personalización!AI10</f>
        <v>0</v>
      </c>
      <c r="N52" s="3997" t="str">
        <f>IF(P51=0,"",VLOOKUP(P51,Tabla_ArmasyEscudos,9,FALSE))</f>
        <v/>
      </c>
      <c r="O52" s="3998"/>
      <c r="P52" s="1382" t="s">
        <v>1892</v>
      </c>
      <c r="Q52" s="3999"/>
      <c r="R52" s="3999"/>
      <c r="S52" s="3293" t="s">
        <v>1896</v>
      </c>
      <c r="T52" s="3955">
        <f>IF(P51=0,HA_final,HA_final+VLOOKUP(N52,Tabla_ArmaDistinta,2)+T54+MIN(0,10*(FUE-VLOOKUP(P51,Tabla_ArmasyEscudos,4,FALSE)-IF(Q52=0,0,VLOOKUP(Q52,Tabla_ArmasEnormes,4,FALSE))))-IF(Tablas!$H$519&lt;0,IF(P51=Arma_Desarrollada,0,30),0))+SUMPRODUCT(--ISNUMBER(SEARCH(P51,ArmasAM)),ArmasAM_HA)+Personalización!AI13</f>
        <v>0</v>
      </c>
      <c r="U52" s="4001">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0</v>
      </c>
      <c r="V52" s="3293"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973">
        <f>IF(P55=0,0,IF(P51=0,0,VLOOKUP(P55,Tabla_ArmasyEscudos,2,FALSE)*IF(Q52=0,1,VLOOKUP(Q52,Tabla_ArmasEnormes,5,FALSE))+IF(VLOOKUP(P51,Tabla_ArmasyEscudos,18,FALSE)=0,Bono_Fue,VLOOKUP(VLOOKUP(P51,Tabla_ArmasyEscudos,18,FALSE)+TRUNC(T54/5,0),Tabla_BonoStats,2))+2*T55))+Tablas!$K$1717+IF(Extensióndelauraalarma,10,0)+IF(DañoIncrementado,10,0)+Personalización!AI15</f>
        <v>0</v>
      </c>
      <c r="X52" s="1698"/>
      <c r="Y52" s="45"/>
      <c r="Z52" s="45"/>
      <c r="AA52" s="2837"/>
      <c r="AB52" s="4059" t="str">
        <f>IF(PDs!$E77=0,"",PDs!$E77)</f>
        <v/>
      </c>
      <c r="AC52" s="4059"/>
      <c r="AD52" s="4059"/>
      <c r="AE52" s="4059"/>
      <c r="AF52" s="4059"/>
      <c r="AG52" s="4059"/>
      <c r="AH52" s="3902" t="str">
        <f>IF($AB52="","",IF(PDs!$V77="FALTAN REQUISITOS",PDs!$V77,VLOOKUP(AB52,Tabla_AM_Armas,5,FALSE)))</f>
        <v/>
      </c>
      <c r="AI52" s="3902"/>
      <c r="AJ52" s="3902"/>
      <c r="AK52" s="3902"/>
      <c r="AL52" s="3902"/>
      <c r="AM52" s="3902"/>
      <c r="AN52" s="3902"/>
      <c r="AO52" s="3902"/>
      <c r="AP52" s="3902"/>
      <c r="AQ52" s="3902"/>
      <c r="AR52" s="2950"/>
      <c r="AS52" s="2947"/>
      <c r="AZ52" s="2948"/>
      <c r="BF52" s="44"/>
      <c r="BG52" s="44"/>
      <c r="BH52" s="2814"/>
      <c r="BI52" s="2814"/>
      <c r="BJ52" s="2814"/>
      <c r="BK52" s="2814"/>
      <c r="BL52" s="2814"/>
      <c r="BM52" s="2814"/>
      <c r="BN52" s="2814"/>
      <c r="BO52" s="2814"/>
    </row>
    <row r="53" spans="1:67" ht="12" customHeight="1" thickBot="1" x14ac:dyDescent="0.25">
      <c r="A53" s="45"/>
      <c r="B53" s="2997"/>
      <c r="C53" s="2691" t="s">
        <v>1884</v>
      </c>
      <c r="D53" s="2692" t="s">
        <v>1885</v>
      </c>
      <c r="E53" s="2692" t="s">
        <v>1869</v>
      </c>
      <c r="F53" s="2692" t="s">
        <v>1886</v>
      </c>
      <c r="G53" s="532" t="s">
        <v>1870</v>
      </c>
      <c r="H53" s="3955"/>
      <c r="I53" s="3955"/>
      <c r="J53" s="4001"/>
      <c r="K53" s="3293"/>
      <c r="L53" s="3973"/>
      <c r="M53" s="2831"/>
      <c r="N53" s="2691" t="s">
        <v>1884</v>
      </c>
      <c r="O53" s="2692" t="s">
        <v>1885</v>
      </c>
      <c r="P53" s="2692" t="s">
        <v>1869</v>
      </c>
      <c r="Q53" s="2692" t="s">
        <v>1886</v>
      </c>
      <c r="R53" s="532" t="s">
        <v>1870</v>
      </c>
      <c r="S53" s="3955"/>
      <c r="T53" s="3955"/>
      <c r="U53" s="4001"/>
      <c r="V53" s="3293"/>
      <c r="W53" s="3973"/>
      <c r="X53" s="2838"/>
      <c r="Y53" s="45"/>
      <c r="Z53" s="45"/>
      <c r="AA53" s="2837"/>
      <c r="AB53" s="67"/>
      <c r="AC53" s="67"/>
      <c r="AD53" s="67"/>
      <c r="AE53" s="67"/>
      <c r="AF53" s="67"/>
      <c r="AG53" s="67"/>
      <c r="AH53" s="67"/>
      <c r="AI53" s="67"/>
      <c r="AJ53" s="67"/>
      <c r="AK53" s="67"/>
      <c r="AL53" s="67"/>
      <c r="AM53" s="67"/>
      <c r="AN53" s="67"/>
      <c r="AO53" s="67"/>
      <c r="AP53" s="67"/>
      <c r="AQ53" s="67"/>
      <c r="AR53" s="2950"/>
      <c r="AS53" s="2947"/>
      <c r="AZ53" s="2948"/>
      <c r="BF53" s="44"/>
      <c r="BG53" s="44"/>
      <c r="BH53" s="2814"/>
      <c r="BI53" s="2814"/>
      <c r="BJ53" s="2814"/>
      <c r="BK53" s="2814"/>
      <c r="BL53" s="2814"/>
      <c r="BM53" s="2814"/>
      <c r="BN53" s="2814"/>
      <c r="BO53" s="2814"/>
    </row>
    <row r="54" spans="1:67" ht="12" customHeight="1" thickBot="1" x14ac:dyDescent="0.25">
      <c r="A54" s="45"/>
      <c r="B54" s="2997"/>
      <c r="C54" s="1276" t="str">
        <f>IF(E51=0,"",VLOOKUP(E51,Tabla_ArmasyEscudos,6,FALSE))</f>
        <v/>
      </c>
      <c r="D54" s="2847" t="str">
        <f>IF(E51=0,"",VLOOKUP(E51,Tabla_ArmasyEscudos,7,FALSE))</f>
        <v/>
      </c>
      <c r="E54" s="2847" t="str">
        <f>IF(E51=0,"",MAX(0,IF(Extensióndelauraalarma,10,0)+IF(Ki!$P$39="-",10,0)+I54*2+VLOOKUP(E51,Tabla_ArmasyEscudos,10,FALSE)+IF(F52=0,0,VLOOKUP(F52,Tabla_ArmasEnormes,6,FALSE))))</f>
        <v/>
      </c>
      <c r="F54" s="2847"/>
      <c r="G54" s="534">
        <f>IF(E51=0,0,MAX(I54*10,0)+VLOOKUP(E51,Tabla_ArmasyEscudos,12,FALSE))</f>
        <v>0</v>
      </c>
      <c r="H54" s="535" t="s">
        <v>1894</v>
      </c>
      <c r="I54" s="207"/>
      <c r="J54" s="4032" t="str">
        <f>IF(Tablas!$G$500&gt;0,"-50 a puntería","")</f>
        <v/>
      </c>
      <c r="K54" s="4032"/>
      <c r="L54" s="4033"/>
      <c r="N54" s="1276" t="str">
        <f>IF(P51=0,"",VLOOKUP(P51,Tabla_ArmasyEscudos,6,FALSE))</f>
        <v/>
      </c>
      <c r="O54" s="2847" t="str">
        <f>IF(P51=0,"",VLOOKUP(P51,Tabla_ArmasyEscudos,7,FALSE))</f>
        <v/>
      </c>
      <c r="P54" s="2847" t="str">
        <f>IF(P51=0,"",MAX(0,IF(Extensióndelauraalarma,10,0)+IF(Ki!$P$39="-",10,0)+T54*2+VLOOKUP(P51,Tabla_ArmasyEscudos,10,FALSE)+IF(Q52=0,0,VLOOKUP(Q52,Tabla_ArmasEnormes,6,FALSE))))</f>
        <v/>
      </c>
      <c r="Q54" s="2847"/>
      <c r="R54" s="534">
        <f>IF(P51=0,0,MAX(T54*10,0)+VLOOKUP(P51,Tabla_ArmasyEscudos,12,FALSE))</f>
        <v>0</v>
      </c>
      <c r="S54" s="535" t="s">
        <v>1894</v>
      </c>
      <c r="T54" s="207"/>
      <c r="U54" s="4032" t="str">
        <f>IF(Tablas!$G$500&gt;0,"-50 a puntería","")</f>
        <v/>
      </c>
      <c r="V54" s="4032"/>
      <c r="W54" s="4033"/>
      <c r="X54" s="1698"/>
      <c r="Y54" s="45"/>
      <c r="Z54" s="45"/>
      <c r="AA54" s="2837"/>
      <c r="AB54" s="3201" t="s">
        <v>1816</v>
      </c>
      <c r="AC54" s="3201"/>
      <c r="AD54" s="3201"/>
      <c r="AE54" s="3201"/>
      <c r="AF54" s="3201"/>
      <c r="AG54" s="3201"/>
      <c r="AH54" s="4057" t="s">
        <v>1861</v>
      </c>
      <c r="AI54" s="4057"/>
      <c r="AJ54" s="4057"/>
      <c r="AK54" s="4057"/>
      <c r="AL54" s="4057"/>
      <c r="AM54" s="4057"/>
      <c r="AN54" s="4057"/>
      <c r="AO54" s="4057"/>
      <c r="AP54" s="4057"/>
      <c r="AQ54" s="4057"/>
      <c r="AR54" s="2950"/>
      <c r="AS54" s="2947"/>
      <c r="AZ54" s="2948"/>
      <c r="BF54" s="44"/>
      <c r="BG54" s="44"/>
      <c r="BH54" s="2814"/>
      <c r="BI54" s="2814"/>
      <c r="BJ54" s="2814"/>
      <c r="BK54" s="2814"/>
      <c r="BL54" s="2814"/>
      <c r="BM54" s="2814"/>
      <c r="BN54" s="2814"/>
      <c r="BO54" s="2814"/>
    </row>
    <row r="55" spans="1:67" ht="12" customHeight="1" thickBot="1" x14ac:dyDescent="0.25">
      <c r="A55" s="45"/>
      <c r="B55" s="2997"/>
      <c r="C55" s="4034" t="s">
        <v>1899</v>
      </c>
      <c r="D55" s="4035"/>
      <c r="E55" s="4048"/>
      <c r="F55" s="4049"/>
      <c r="G55" s="4050"/>
      <c r="H55" s="150" t="s">
        <v>1894</v>
      </c>
      <c r="I55" s="109"/>
      <c r="J55" s="4051" t="str">
        <f>IF(F52=0,IF(I55=0,"","TA defensor:"),IF(Tamaño&lt;VLOOKUP(F52,Tabla_ArmasEnormes,2,FALSE),"Tam. excesivo",IF(I55=0,"","TA defensor:")))</f>
        <v/>
      </c>
      <c r="K55" s="4052"/>
      <c r="L55" s="2856" t="str">
        <f>IF(J55="TA defensor:",I55/(-5),"")</f>
        <v/>
      </c>
      <c r="N55" s="4034" t="s">
        <v>1899</v>
      </c>
      <c r="O55" s="4035"/>
      <c r="P55" s="4048"/>
      <c r="Q55" s="4049"/>
      <c r="R55" s="4050"/>
      <c r="S55" s="150" t="s">
        <v>1894</v>
      </c>
      <c r="T55" s="109"/>
      <c r="U55" s="4051" t="str">
        <f>IF(Q52=0,IF(T55=0,"","TA defensor:"),IF(Tamaño&lt;VLOOKUP(Q52,Tabla_ArmasEnormes,2,FALSE),"Tam. excesivo",IF(T55=0,"","TA defensor:")))</f>
        <v/>
      </c>
      <c r="V55" s="4052"/>
      <c r="W55" s="2856" t="str">
        <f>IF(U55="TA defensor:",T55/(-5),"")</f>
        <v/>
      </c>
      <c r="X55" s="1698"/>
      <c r="Y55" s="45"/>
      <c r="Z55" s="45"/>
      <c r="AA55" s="2837"/>
      <c r="AB55" s="3916" t="str">
        <f>IF(PDs!E78=0,"",PDs!E78)</f>
        <v/>
      </c>
      <c r="AC55" s="3916"/>
      <c r="AD55" s="3916"/>
      <c r="AE55" s="3916"/>
      <c r="AF55" s="3916"/>
      <c r="AG55" s="3916"/>
      <c r="AH55" s="4056" t="str">
        <f>IF(AB55="","",VLOOKUP(AB55,Tabla_ArsMagnus,6,FALSE))</f>
        <v/>
      </c>
      <c r="AI55" s="4056"/>
      <c r="AJ55" s="4056"/>
      <c r="AK55" s="4056"/>
      <c r="AL55" s="4056"/>
      <c r="AM55" s="4056"/>
      <c r="AN55" s="4056"/>
      <c r="AO55" s="4056"/>
      <c r="AP55" s="4056"/>
      <c r="AQ55" s="4056"/>
      <c r="AR55" s="2950"/>
      <c r="AS55" s="2947"/>
      <c r="AZ55" s="2948"/>
      <c r="BF55" s="44"/>
      <c r="BG55" s="44"/>
      <c r="BH55" s="2814"/>
      <c r="BI55" s="2814"/>
      <c r="BJ55" s="2814"/>
      <c r="BK55" s="2814"/>
      <c r="BL55" s="2814"/>
      <c r="BM55" s="2814"/>
      <c r="BN55" s="2814"/>
      <c r="BO55" s="2814"/>
    </row>
    <row r="56" spans="1:67" ht="12" customHeight="1" x14ac:dyDescent="0.2">
      <c r="A56" s="45"/>
      <c r="B56" s="2997"/>
      <c r="C56" s="1277" t="s">
        <v>1884</v>
      </c>
      <c r="D56" s="182" t="s">
        <v>1885</v>
      </c>
      <c r="E56" s="2848" t="s">
        <v>1869</v>
      </c>
      <c r="F56" s="2848" t="s">
        <v>1886</v>
      </c>
      <c r="G56" s="2848" t="s">
        <v>1870</v>
      </c>
      <c r="H56" s="1271" t="s">
        <v>1658</v>
      </c>
      <c r="I56" s="127" t="s">
        <v>1900</v>
      </c>
      <c r="J56" s="2850" t="s">
        <v>1901</v>
      </c>
      <c r="K56" s="3227" t="s">
        <v>10035</v>
      </c>
      <c r="L56" s="4045"/>
      <c r="N56" s="1277" t="s">
        <v>1884</v>
      </c>
      <c r="O56" s="182" t="s">
        <v>1885</v>
      </c>
      <c r="P56" s="2848" t="s">
        <v>1869</v>
      </c>
      <c r="Q56" s="2848" t="s">
        <v>1886</v>
      </c>
      <c r="R56" s="2848" t="s">
        <v>1870</v>
      </c>
      <c r="S56" s="1271" t="s">
        <v>1658</v>
      </c>
      <c r="T56" s="127" t="s">
        <v>1900</v>
      </c>
      <c r="U56" s="2850" t="s">
        <v>1901</v>
      </c>
      <c r="V56" s="3227" t="s">
        <v>10035</v>
      </c>
      <c r="W56" s="4045"/>
      <c r="X56" s="1698"/>
      <c r="Y56" s="45"/>
      <c r="Z56" s="45"/>
      <c r="AA56" s="2837"/>
      <c r="AB56" s="3916"/>
      <c r="AC56" s="3916"/>
      <c r="AD56" s="3916"/>
      <c r="AE56" s="3916"/>
      <c r="AF56" s="3916"/>
      <c r="AG56" s="3916"/>
      <c r="AH56" s="4056"/>
      <c r="AI56" s="4056"/>
      <c r="AJ56" s="4056"/>
      <c r="AK56" s="4056"/>
      <c r="AL56" s="4056"/>
      <c r="AM56" s="4056"/>
      <c r="AN56" s="4056"/>
      <c r="AO56" s="4056"/>
      <c r="AP56" s="4056"/>
      <c r="AQ56" s="4056"/>
      <c r="AR56" s="2950"/>
      <c r="AS56" s="2947"/>
      <c r="AZ56" s="2948"/>
      <c r="BF56" s="44"/>
      <c r="BG56" s="44"/>
      <c r="BH56" s="2814"/>
      <c r="BI56" s="2814"/>
      <c r="BJ56" s="2814"/>
      <c r="BK56" s="2814"/>
      <c r="BL56" s="2814"/>
      <c r="BM56" s="2814"/>
      <c r="BN56" s="2814"/>
      <c r="BO56" s="2814"/>
    </row>
    <row r="57" spans="1:67" ht="12" customHeight="1" thickBot="1" x14ac:dyDescent="0.25">
      <c r="A57" s="45"/>
      <c r="B57" s="2997"/>
      <c r="C57" s="2694" t="str">
        <f>IF(K57="Si","ENE",IF(E55=0,"",VLOOKUP(E55,Tabla_ArmasyEscudos,6,FALSE)))</f>
        <v/>
      </c>
      <c r="D57" s="2846" t="str">
        <f>IF(E55=0,"",VLOOKUP(E55,Tabla_ArmasyEscudos,7,FALSE))</f>
        <v/>
      </c>
      <c r="E57" s="2846" t="str">
        <f>IF(E55=0,"",MAX(0,I55*2+VLOOKUP(E55,Tabla_ArmasyEscudos,10,FALSE)+IF(F52=0,0,VLOOKUP(F52,Tabla_ArmasEnormes,6,FALSE))))</f>
        <v/>
      </c>
      <c r="F57" s="2846" t="str">
        <f>IF(E55=0,"",MAX(0,I55*2/5+VLOOKUP(E55,Tabla_ArmasyEscudos,11,FALSE)+IF(F52=0,0,VLOOKUP(F52,Tabla_ArmasEnormes,7,FALSE))+IF(FUE=0,0,VLOOKUP(FUE,Tabla_Fuerza,2))))</f>
        <v/>
      </c>
      <c r="G57" s="2852">
        <f>IF(E55=0,0,MAX(I55*10,0)+VLOOKUP(E55,Tabla_ArmasyEscudos,12,FALSE))</f>
        <v>0</v>
      </c>
      <c r="H57" s="2845"/>
      <c r="I57" s="2886" t="str">
        <f>IF(E51=0,"",VLOOKUP(E51,Tabla_ArmasyEscudos,17,FALSE)+IF(VLOOKUP(E51,Tabla_ArmasyEscudos,18,FALSE)=0,IF(FUE=0,0,VLOOKUP(FUE,Tabla_AlcanceFUE,2)),VLOOKUP(VLOOKUP(E51,Tabla_ArmasyEscudos,18,FALSE)+TRUNC(I54/5,0),Tabla_AlcanceFUE,2)))</f>
        <v/>
      </c>
      <c r="J57" s="15" t="str">
        <f>IF(E51=0,"",VLOOKUP(E51,Tabla_ArmasyEscudos,16,FALSE))</f>
        <v/>
      </c>
      <c r="K57" s="4053" t="s">
        <v>1690</v>
      </c>
      <c r="L57" s="4054"/>
      <c r="N57" s="2694" t="str">
        <f>IF(V57="Si","ENE",IF(P55=0,"",VLOOKUP(P55,Tabla_ArmasyEscudos,6,FALSE)))</f>
        <v/>
      </c>
      <c r="O57" s="2846" t="str">
        <f>IF(P55=0,"",VLOOKUP(P55,Tabla_ArmasyEscudos,7,FALSE))</f>
        <v/>
      </c>
      <c r="P57" s="2846" t="str">
        <f>IF(P55=0,"",MAX(0,T55*2+VLOOKUP(P55,Tabla_ArmasyEscudos,10,FALSE)+IF(Q52=0,0,VLOOKUP(Q52,Tabla_ArmasEnormes,6,FALSE))))</f>
        <v/>
      </c>
      <c r="Q57" s="2846" t="str">
        <f>IF(P55=0,"",MAX(0,T55*2/5+VLOOKUP(P55,Tabla_ArmasyEscudos,11,FALSE)+IF(Q52=0,0,VLOOKUP(Q52,Tabla_ArmasEnormes,7,FALSE))+IF(FUE=0,0,VLOOKUP(FUE,Tabla_Fuerza,2))))</f>
        <v/>
      </c>
      <c r="R57" s="2852">
        <f>IF(P55=0,0,MAX(T55*10,0)+VLOOKUP(P55,Tabla_ArmasyEscudos,12,FALSE))</f>
        <v>0</v>
      </c>
      <c r="S57" s="2845"/>
      <c r="T57" s="2886" t="str">
        <f>IF(P51=0,"",VLOOKUP(P51,Tabla_ArmasyEscudos,17,FALSE)+IF(VLOOKUP(P51,Tabla_ArmasyEscudos,18,FALSE)=0,IF(FUE=0,0,VLOOKUP(FUE,Tabla_AlcanceFUE,2)),VLOOKUP(VLOOKUP(P51,Tabla_ArmasyEscudos,18,FALSE)+TRUNC(T54/5,0),Tabla_AlcanceFUE,2)))</f>
        <v/>
      </c>
      <c r="U57" s="15" t="str">
        <f>IF(P51=0,"",VLOOKUP(P51,Tabla_ArmasyEscudos,16,FALSE))</f>
        <v/>
      </c>
      <c r="V57" s="4053" t="s">
        <v>1690</v>
      </c>
      <c r="W57" s="4054"/>
      <c r="X57" s="1698"/>
      <c r="Y57" s="45"/>
      <c r="Z57" s="45"/>
      <c r="AA57" s="2837"/>
      <c r="AB57" s="3906" t="str">
        <f>IF(PDs!E79=0,"",PDs!E79)</f>
        <v/>
      </c>
      <c r="AC57" s="3906"/>
      <c r="AD57" s="3906"/>
      <c r="AE57" s="3906"/>
      <c r="AF57" s="3906"/>
      <c r="AG57" s="3906"/>
      <c r="AH57" s="3399" t="str">
        <f>IF(AB57="","",VLOOKUP(AB57,Tabla_ArsMagnus,6,FALSE))</f>
        <v/>
      </c>
      <c r="AI57" s="3399"/>
      <c r="AJ57" s="3399"/>
      <c r="AK57" s="3399"/>
      <c r="AL57" s="3399"/>
      <c r="AM57" s="3399"/>
      <c r="AN57" s="3399"/>
      <c r="AO57" s="3399"/>
      <c r="AP57" s="3399"/>
      <c r="AQ57" s="3399"/>
      <c r="AR57" s="2950"/>
      <c r="AS57" s="2947"/>
      <c r="AZ57" s="2948"/>
      <c r="BF57" s="44"/>
      <c r="BG57" s="44"/>
      <c r="BH57" s="2814"/>
      <c r="BI57" s="2814"/>
      <c r="BJ57" s="2814"/>
      <c r="BK57" s="2814"/>
      <c r="BL57" s="2814"/>
      <c r="BM57" s="2814"/>
      <c r="BN57" s="2814"/>
      <c r="BO57" s="2814"/>
    </row>
    <row r="58" spans="1:67" ht="12" customHeight="1" thickBot="1" x14ac:dyDescent="0.25">
      <c r="A58" s="45"/>
      <c r="B58" s="2997"/>
      <c r="C58" s="4046" t="str">
        <f>IF(E51=0,"",VLOOKUP(E51,Tabla_ArmasyEscudos,19,FALSE))</f>
        <v/>
      </c>
      <c r="D58" s="4047"/>
      <c r="E58" s="4047"/>
      <c r="F58" s="4047"/>
      <c r="G58" s="4047"/>
      <c r="H58" s="4043" t="str">
        <f>IF(E55=0,"",VLOOKUP(E55,Tabla_ArmasyEscudos,19,FALSE))</f>
        <v/>
      </c>
      <c r="I58" s="4043"/>
      <c r="J58" s="4043"/>
      <c r="K58" s="4043"/>
      <c r="L58" s="4044"/>
      <c r="N58" s="4046" t="str">
        <f>IF(P51=0,"",VLOOKUP(P51,Tabla_ArmasyEscudos,19,FALSE))</f>
        <v/>
      </c>
      <c r="O58" s="4047"/>
      <c r="P58" s="4047"/>
      <c r="Q58" s="4047"/>
      <c r="R58" s="4047"/>
      <c r="S58" s="4043" t="str">
        <f>IF(P55=0,"",VLOOKUP(P55,Tabla_ArmasyEscudos,19,FALSE))</f>
        <v/>
      </c>
      <c r="T58" s="4043"/>
      <c r="U58" s="4043"/>
      <c r="V58" s="4043"/>
      <c r="W58" s="4044"/>
      <c r="X58" s="1698"/>
      <c r="Y58" s="45"/>
      <c r="Z58" s="45"/>
      <c r="AA58" s="2837"/>
      <c r="AB58" s="3906"/>
      <c r="AC58" s="3906"/>
      <c r="AD58" s="3906"/>
      <c r="AE58" s="3906"/>
      <c r="AF58" s="3906"/>
      <c r="AG58" s="3906"/>
      <c r="AH58" s="3399"/>
      <c r="AI58" s="3399"/>
      <c r="AJ58" s="3399"/>
      <c r="AK58" s="3399"/>
      <c r="AL58" s="3399"/>
      <c r="AM58" s="3399"/>
      <c r="AN58" s="3399"/>
      <c r="AO58" s="3399"/>
      <c r="AP58" s="3399"/>
      <c r="AQ58" s="3399"/>
      <c r="AR58" s="2950"/>
      <c r="AS58" s="2947"/>
      <c r="AZ58" s="2948"/>
      <c r="BF58" s="44"/>
      <c r="BG58" s="44"/>
      <c r="BH58" s="2814"/>
      <c r="BI58" s="2814"/>
      <c r="BJ58" s="2814"/>
      <c r="BK58" s="2814"/>
      <c r="BL58" s="2814"/>
      <c r="BM58" s="2814"/>
      <c r="BN58" s="2814"/>
      <c r="BO58" s="2814"/>
    </row>
    <row r="59" spans="1:67" ht="12" customHeight="1" thickBot="1" x14ac:dyDescent="0.25">
      <c r="A59" s="45"/>
      <c r="B59" s="2997"/>
      <c r="H59" s="64"/>
      <c r="S59" s="2831"/>
      <c r="T59" s="2831"/>
      <c r="U59" s="2831"/>
      <c r="X59" s="2838"/>
      <c r="Y59" s="45"/>
      <c r="Z59" s="45"/>
      <c r="AA59" s="2837"/>
      <c r="AB59" s="3906" t="str">
        <f>IF(PDs!E80=0,"",PDs!E80)</f>
        <v/>
      </c>
      <c r="AC59" s="3906"/>
      <c r="AD59" s="3906"/>
      <c r="AE59" s="3906"/>
      <c r="AF59" s="3906"/>
      <c r="AG59" s="3906"/>
      <c r="AH59" s="3399" t="str">
        <f>IF(AB59="","",VLOOKUP(AB59,Tabla_ArsMagnus,6,FALSE))</f>
        <v/>
      </c>
      <c r="AI59" s="3399"/>
      <c r="AJ59" s="3399"/>
      <c r="AK59" s="3399"/>
      <c r="AL59" s="3399"/>
      <c r="AM59" s="3399"/>
      <c r="AN59" s="3399"/>
      <c r="AO59" s="3399"/>
      <c r="AP59" s="3399"/>
      <c r="AQ59" s="3399"/>
      <c r="AR59" s="2950"/>
      <c r="AS59" s="2947"/>
      <c r="AZ59" s="2948"/>
      <c r="BF59" s="44"/>
      <c r="BG59" s="44"/>
      <c r="BH59" s="2814"/>
      <c r="BI59" s="2814"/>
      <c r="BJ59" s="2814"/>
      <c r="BK59" s="2814"/>
      <c r="BL59" s="2814"/>
      <c r="BM59" s="2814"/>
      <c r="BN59" s="2814"/>
      <c r="BO59" s="2814"/>
    </row>
    <row r="60" spans="1:67" ht="12" customHeight="1" x14ac:dyDescent="0.2">
      <c r="A60" s="45"/>
      <c r="B60" s="2997"/>
      <c r="C60" s="3168" t="s">
        <v>1711</v>
      </c>
      <c r="D60" s="3169"/>
      <c r="E60" s="3169"/>
      <c r="F60" s="3169"/>
      <c r="G60" s="3169"/>
      <c r="H60" s="3169"/>
      <c r="I60" s="3169"/>
      <c r="J60" s="3169"/>
      <c r="K60" s="3169"/>
      <c r="L60" s="3170"/>
      <c r="N60" s="3168" t="s">
        <v>1711</v>
      </c>
      <c r="O60" s="3169"/>
      <c r="P60" s="3169"/>
      <c r="Q60" s="3169"/>
      <c r="R60" s="3169"/>
      <c r="S60" s="3169"/>
      <c r="T60" s="3169"/>
      <c r="U60" s="3169"/>
      <c r="V60" s="3169"/>
      <c r="W60" s="3170"/>
      <c r="X60" s="2838"/>
      <c r="Y60" s="45"/>
      <c r="Z60" s="45"/>
      <c r="AA60" s="2837"/>
      <c r="AB60" s="3906"/>
      <c r="AC60" s="3906"/>
      <c r="AD60" s="3906"/>
      <c r="AE60" s="3906"/>
      <c r="AF60" s="3906"/>
      <c r="AG60" s="3906"/>
      <c r="AH60" s="3399"/>
      <c r="AI60" s="3399"/>
      <c r="AJ60" s="3399"/>
      <c r="AK60" s="3399"/>
      <c r="AL60" s="3399"/>
      <c r="AM60" s="3399"/>
      <c r="AN60" s="3399"/>
      <c r="AO60" s="3399"/>
      <c r="AP60" s="3399"/>
      <c r="AQ60" s="3399"/>
      <c r="AR60" s="2950"/>
      <c r="AS60" s="2947"/>
      <c r="AZ60" s="2948"/>
      <c r="BF60" s="44"/>
      <c r="BG60" s="44"/>
      <c r="BH60" s="2814"/>
      <c r="BI60" s="2814"/>
      <c r="BJ60" s="2814"/>
      <c r="BK60" s="2814"/>
      <c r="BL60" s="2814"/>
      <c r="BM60" s="2814"/>
      <c r="BN60" s="2814"/>
      <c r="BO60" s="2814"/>
    </row>
    <row r="61" spans="1:67" ht="12" customHeight="1" x14ac:dyDescent="0.2">
      <c r="A61" s="45"/>
      <c r="B61" s="2997"/>
      <c r="C61" s="4061"/>
      <c r="D61" s="4062"/>
      <c r="E61" s="4062"/>
      <c r="F61" s="4062"/>
      <c r="G61" s="4062"/>
      <c r="H61" s="4062"/>
      <c r="I61" s="4062"/>
      <c r="J61" s="4062"/>
      <c r="K61" s="4062"/>
      <c r="L61" s="4063"/>
      <c r="N61" s="4061"/>
      <c r="O61" s="4062"/>
      <c r="P61" s="4062"/>
      <c r="Q61" s="4062"/>
      <c r="R61" s="4062"/>
      <c r="S61" s="4062"/>
      <c r="T61" s="4062"/>
      <c r="U61" s="4062"/>
      <c r="V61" s="4062"/>
      <c r="W61" s="4063"/>
      <c r="X61" s="2838"/>
      <c r="Y61" s="45"/>
      <c r="Z61" s="45"/>
      <c r="AA61" s="2837"/>
      <c r="AB61" s="3906" t="str">
        <f>IF(PDs!E81=0,"",PDs!E81)</f>
        <v/>
      </c>
      <c r="AC61" s="3906"/>
      <c r="AD61" s="3906"/>
      <c r="AE61" s="3906"/>
      <c r="AF61" s="3906"/>
      <c r="AG61" s="3906"/>
      <c r="AH61" s="3399" t="str">
        <f>IF(AB61="","",VLOOKUP(AB61,Tabla_ArsMagnus,6,FALSE))</f>
        <v/>
      </c>
      <c r="AI61" s="3399"/>
      <c r="AJ61" s="3399"/>
      <c r="AK61" s="3399"/>
      <c r="AL61" s="3399"/>
      <c r="AM61" s="3399"/>
      <c r="AN61" s="3399"/>
      <c r="AO61" s="3399"/>
      <c r="AP61" s="3399"/>
      <c r="AQ61" s="3399"/>
      <c r="AR61" s="2950"/>
      <c r="AS61" s="2947"/>
      <c r="AZ61" s="2948"/>
      <c r="BF61" s="44"/>
      <c r="BG61" s="44"/>
      <c r="BH61" s="2814"/>
      <c r="BI61" s="2814"/>
      <c r="BJ61" s="2814"/>
      <c r="BK61" s="2814"/>
      <c r="BL61" s="2814"/>
      <c r="BM61" s="2814"/>
      <c r="BN61" s="2814"/>
      <c r="BO61" s="2814"/>
    </row>
    <row r="62" spans="1:67" ht="12" customHeight="1" x14ac:dyDescent="0.2">
      <c r="A62" s="45"/>
      <c r="B62" s="2997"/>
      <c r="C62" s="4061"/>
      <c r="D62" s="4062"/>
      <c r="E62" s="4062"/>
      <c r="F62" s="4062"/>
      <c r="G62" s="4062"/>
      <c r="H62" s="4062"/>
      <c r="I62" s="4062"/>
      <c r="J62" s="4062"/>
      <c r="K62" s="4062"/>
      <c r="L62" s="4063"/>
      <c r="N62" s="4061"/>
      <c r="O62" s="4062"/>
      <c r="P62" s="4062"/>
      <c r="Q62" s="4062"/>
      <c r="R62" s="4062"/>
      <c r="S62" s="4062"/>
      <c r="T62" s="4062"/>
      <c r="U62" s="4062"/>
      <c r="V62" s="4062"/>
      <c r="W62" s="4063"/>
      <c r="X62" s="1698"/>
      <c r="Y62" s="45"/>
      <c r="Z62" s="45"/>
      <c r="AA62" s="2837"/>
      <c r="AB62" s="3906"/>
      <c r="AC62" s="3906"/>
      <c r="AD62" s="3906"/>
      <c r="AE62" s="3906"/>
      <c r="AF62" s="3906"/>
      <c r="AG62" s="3906"/>
      <c r="AH62" s="3399"/>
      <c r="AI62" s="3399"/>
      <c r="AJ62" s="3399"/>
      <c r="AK62" s="3399"/>
      <c r="AL62" s="3399"/>
      <c r="AM62" s="3399"/>
      <c r="AN62" s="3399"/>
      <c r="AO62" s="3399"/>
      <c r="AP62" s="3399"/>
      <c r="AQ62" s="3399"/>
      <c r="AR62" s="2950"/>
      <c r="AS62" s="2947"/>
      <c r="AZ62" s="2948"/>
      <c r="BF62" s="44"/>
      <c r="BG62" s="44"/>
      <c r="BH62" s="2814"/>
      <c r="BI62" s="2814"/>
      <c r="BJ62" s="2814"/>
      <c r="BK62" s="2814"/>
      <c r="BL62" s="2814"/>
      <c r="BM62" s="2814"/>
      <c r="BN62" s="2814"/>
      <c r="BO62" s="2814"/>
    </row>
    <row r="63" spans="1:67" ht="12" customHeight="1" thickBot="1" x14ac:dyDescent="0.25">
      <c r="A63" s="45"/>
      <c r="B63" s="2997"/>
      <c r="C63" s="4061"/>
      <c r="D63" s="4062"/>
      <c r="E63" s="4062"/>
      <c r="F63" s="4062"/>
      <c r="G63" s="4062"/>
      <c r="H63" s="4062"/>
      <c r="I63" s="4062"/>
      <c r="J63" s="4062"/>
      <c r="K63" s="4062"/>
      <c r="L63" s="4063"/>
      <c r="N63" s="4061"/>
      <c r="O63" s="4062"/>
      <c r="P63" s="4062"/>
      <c r="Q63" s="4062"/>
      <c r="R63" s="4062"/>
      <c r="S63" s="4062"/>
      <c r="T63" s="4062"/>
      <c r="U63" s="4062"/>
      <c r="V63" s="4062"/>
      <c r="W63" s="4063"/>
      <c r="X63" s="1698"/>
      <c r="Y63" s="45"/>
      <c r="Z63" s="45"/>
      <c r="AA63" s="2837"/>
      <c r="AB63" s="3945" t="str">
        <f>IF(PDs!E82=0,"",PDs!E82)</f>
        <v/>
      </c>
      <c r="AC63" s="3945"/>
      <c r="AD63" s="3945"/>
      <c r="AE63" s="3945"/>
      <c r="AF63" s="3945"/>
      <c r="AG63" s="3945"/>
      <c r="AH63" s="4067" t="str">
        <f>IF(AB63="","",VLOOKUP(AB63,Tabla_ArsMagnus,6,FALSE))</f>
        <v/>
      </c>
      <c r="AI63" s="4067"/>
      <c r="AJ63" s="4067"/>
      <c r="AK63" s="4067"/>
      <c r="AL63" s="4067"/>
      <c r="AM63" s="4067"/>
      <c r="AN63" s="4067"/>
      <c r="AO63" s="4067"/>
      <c r="AP63" s="4067"/>
      <c r="AQ63" s="4067"/>
      <c r="AR63" s="2950"/>
      <c r="AS63" s="2947"/>
      <c r="AZ63" s="2948"/>
      <c r="BF63" s="44"/>
      <c r="BG63" s="44"/>
      <c r="BH63" s="2814"/>
      <c r="BI63" s="2814"/>
      <c r="BJ63" s="2814"/>
      <c r="BK63" s="2814"/>
      <c r="BL63" s="2814"/>
      <c r="BM63" s="2814"/>
      <c r="BN63" s="2814"/>
      <c r="BO63" s="2814"/>
    </row>
    <row r="64" spans="1:67" ht="12" customHeight="1" thickBot="1" x14ac:dyDescent="0.25">
      <c r="A64" s="45"/>
      <c r="B64" s="2997"/>
      <c r="C64" s="4064"/>
      <c r="D64" s="4065"/>
      <c r="E64" s="4065"/>
      <c r="F64" s="4065"/>
      <c r="G64" s="4065"/>
      <c r="H64" s="4065"/>
      <c r="I64" s="4065"/>
      <c r="J64" s="4065"/>
      <c r="K64" s="4065"/>
      <c r="L64" s="4066"/>
      <c r="N64" s="4064"/>
      <c r="O64" s="4065"/>
      <c r="P64" s="4065"/>
      <c r="Q64" s="4065"/>
      <c r="R64" s="4065"/>
      <c r="S64" s="4065"/>
      <c r="T64" s="4065"/>
      <c r="U64" s="4065"/>
      <c r="V64" s="4065"/>
      <c r="W64" s="4066"/>
      <c r="X64" s="1698"/>
      <c r="Y64" s="45"/>
      <c r="Z64" s="45"/>
      <c r="AA64" s="2837"/>
      <c r="AB64" s="3945"/>
      <c r="AC64" s="3945"/>
      <c r="AD64" s="3945"/>
      <c r="AE64" s="3945"/>
      <c r="AF64" s="3945"/>
      <c r="AG64" s="3945"/>
      <c r="AH64" s="4067"/>
      <c r="AI64" s="4067"/>
      <c r="AJ64" s="4067"/>
      <c r="AK64" s="4067"/>
      <c r="AL64" s="4067"/>
      <c r="AM64" s="4067"/>
      <c r="AN64" s="4067"/>
      <c r="AO64" s="4067"/>
      <c r="AP64" s="4067"/>
      <c r="AQ64" s="4067"/>
      <c r="AR64" s="2950"/>
      <c r="AS64" s="2947"/>
      <c r="AZ64" s="2948"/>
      <c r="BF64" s="44"/>
      <c r="BG64" s="44"/>
      <c r="BH64" s="2814"/>
      <c r="BI64" s="2814"/>
      <c r="BJ64" s="2814"/>
      <c r="BK64" s="2814"/>
      <c r="BL64" s="2814"/>
      <c r="BM64" s="2814"/>
      <c r="BN64" s="2814"/>
      <c r="BO64" s="2814"/>
    </row>
    <row r="65" spans="1:67" ht="12" customHeight="1" thickBot="1" x14ac:dyDescent="0.25">
      <c r="A65" s="45"/>
      <c r="B65" s="2999"/>
      <c r="C65" s="2059"/>
      <c r="D65" s="2059"/>
      <c r="E65" s="2059"/>
      <c r="F65" s="2059"/>
      <c r="G65" s="2059"/>
      <c r="H65" s="2059"/>
      <c r="I65" s="2841"/>
      <c r="J65" s="2841"/>
      <c r="K65" s="2841"/>
      <c r="L65" s="2841"/>
      <c r="M65" s="2841"/>
      <c r="N65" s="2841"/>
      <c r="O65" s="2841"/>
      <c r="P65" s="2841"/>
      <c r="Q65" s="2841"/>
      <c r="R65" s="2841"/>
      <c r="S65" s="2841"/>
      <c r="T65" s="2841"/>
      <c r="U65" s="2841"/>
      <c r="V65" s="2841"/>
      <c r="W65" s="2841"/>
      <c r="X65" s="2842"/>
      <c r="Y65" s="45"/>
      <c r="Z65" s="45"/>
      <c r="AA65" s="2840"/>
      <c r="AB65" s="2059"/>
      <c r="AC65" s="2059"/>
      <c r="AD65" s="2059"/>
      <c r="AE65" s="2059"/>
      <c r="AF65" s="2059"/>
      <c r="AG65" s="2059"/>
      <c r="AH65" s="2841"/>
      <c r="AI65" s="2841"/>
      <c r="AJ65" s="2841"/>
      <c r="AK65" s="2841"/>
      <c r="AL65" s="2841"/>
      <c r="AM65" s="2841"/>
      <c r="AN65" s="2841"/>
      <c r="AO65" s="2841"/>
      <c r="AP65" s="2841"/>
      <c r="AQ65" s="2841"/>
      <c r="AR65" s="2954"/>
      <c r="AS65" s="2947"/>
      <c r="AZ65" s="2948"/>
      <c r="BF65" s="44"/>
      <c r="BG65" s="44"/>
      <c r="BH65" s="2814"/>
      <c r="BI65" s="2814"/>
      <c r="BJ65" s="2814"/>
      <c r="BK65" s="2814"/>
      <c r="BL65" s="2814"/>
      <c r="BM65" s="2814"/>
      <c r="BN65" s="2814"/>
      <c r="BO65" s="2814"/>
    </row>
    <row r="66" spans="1:67" ht="12" customHeight="1" x14ac:dyDescent="0.2">
      <c r="A66" s="45"/>
      <c r="B66" s="2947"/>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947"/>
      <c r="AS66" s="2947"/>
      <c r="AZ66" s="2948"/>
      <c r="BF66" s="44"/>
      <c r="BG66" s="44"/>
      <c r="BH66" s="2814"/>
      <c r="BI66" s="2814"/>
      <c r="BJ66" s="2814"/>
      <c r="BK66" s="2814"/>
      <c r="BL66" s="2814"/>
      <c r="BM66" s="2814"/>
      <c r="BN66" s="2814"/>
      <c r="BO66" s="2814"/>
    </row>
    <row r="67" spans="1:67" ht="12" customHeight="1" x14ac:dyDescent="0.2">
      <c r="AZ67" s="2948"/>
      <c r="BF67" s="44"/>
      <c r="BG67" s="44"/>
      <c r="BH67" s="2814"/>
      <c r="BI67" s="2814"/>
      <c r="BJ67" s="2814"/>
      <c r="BK67" s="2814"/>
      <c r="BL67" s="2814"/>
      <c r="BM67" s="2814"/>
      <c r="BN67" s="2814"/>
      <c r="BO67" s="2814"/>
    </row>
    <row r="68" spans="1:67" ht="12" customHeight="1" x14ac:dyDescent="0.2">
      <c r="AZ68" s="2948"/>
      <c r="BF68" s="44"/>
      <c r="BG68" s="44"/>
      <c r="BH68" s="2814"/>
      <c r="BI68" s="2814"/>
      <c r="BJ68" s="2814"/>
      <c r="BK68" s="2814"/>
      <c r="BL68" s="2814"/>
      <c r="BM68" s="2814"/>
      <c r="BN68" s="2814"/>
      <c r="BO68" s="2814"/>
    </row>
    <row r="69" spans="1:67" ht="12" customHeight="1" x14ac:dyDescent="0.2">
      <c r="AZ69" s="2948"/>
      <c r="BF69" s="44"/>
      <c r="BG69" s="44"/>
      <c r="BH69" s="2814"/>
      <c r="BI69" s="2814"/>
      <c r="BJ69" s="2814"/>
      <c r="BK69" s="2814"/>
      <c r="BL69" s="2814"/>
      <c r="BM69" s="2814"/>
      <c r="BN69" s="2814"/>
      <c r="BO69" s="2814"/>
    </row>
    <row r="70" spans="1:67" ht="12" customHeight="1" x14ac:dyDescent="0.2">
      <c r="AZ70" s="2948"/>
      <c r="BF70" s="44"/>
      <c r="BG70" s="44"/>
      <c r="BH70" s="2814"/>
      <c r="BI70" s="2814"/>
      <c r="BJ70" s="2814"/>
      <c r="BK70" s="2814"/>
      <c r="BL70" s="2814"/>
      <c r="BM70" s="2814"/>
      <c r="BN70" s="2814"/>
      <c r="BO70" s="2814"/>
    </row>
    <row r="71" spans="1:67" ht="12" customHeight="1" x14ac:dyDescent="0.2">
      <c r="AZ71" s="2948"/>
      <c r="BF71" s="44"/>
      <c r="BG71" s="44"/>
      <c r="BH71" s="2814"/>
      <c r="BI71" s="2814"/>
      <c r="BJ71" s="2814"/>
      <c r="BK71" s="2814"/>
      <c r="BL71" s="2814"/>
      <c r="BM71" s="2814"/>
      <c r="BN71" s="2814"/>
      <c r="BO71" s="2814"/>
    </row>
    <row r="72" spans="1:67" ht="12" customHeight="1" x14ac:dyDescent="0.2">
      <c r="AZ72" s="2948"/>
      <c r="BF72" s="44"/>
      <c r="BG72" s="44"/>
      <c r="BH72" s="2814"/>
      <c r="BI72" s="2814"/>
      <c r="BJ72" s="2814"/>
      <c r="BK72" s="2814"/>
      <c r="BL72" s="2814"/>
      <c r="BM72" s="2814"/>
      <c r="BN72" s="2814"/>
      <c r="BO72" s="2814"/>
    </row>
    <row r="73" spans="1:67" ht="12" customHeight="1" x14ac:dyDescent="0.2">
      <c r="AZ73" s="2948"/>
      <c r="BF73" s="44"/>
      <c r="BG73" s="44"/>
      <c r="BH73" s="2814"/>
      <c r="BI73" s="2814"/>
      <c r="BJ73" s="2814"/>
      <c r="BK73" s="2814"/>
      <c r="BL73" s="2814"/>
      <c r="BM73" s="2814"/>
      <c r="BN73" s="2814"/>
      <c r="BO73" s="2814"/>
    </row>
    <row r="74" spans="1:67" ht="12" customHeight="1" x14ac:dyDescent="0.2">
      <c r="AZ74" s="2948"/>
      <c r="BF74" s="44"/>
      <c r="BG74" s="44"/>
      <c r="BH74" s="2814"/>
      <c r="BI74" s="2814"/>
      <c r="BJ74" s="2814"/>
      <c r="BK74" s="2814"/>
      <c r="BL74" s="2814"/>
      <c r="BM74" s="2814"/>
      <c r="BN74" s="2814"/>
      <c r="BO74" s="2814"/>
    </row>
    <row r="75" spans="1:67" ht="12" customHeight="1" x14ac:dyDescent="0.2">
      <c r="AZ75" s="2948"/>
      <c r="BF75" s="44"/>
      <c r="BG75" s="44"/>
      <c r="BH75" s="2814"/>
      <c r="BI75" s="2814"/>
      <c r="BJ75" s="2814"/>
      <c r="BK75" s="2814"/>
      <c r="BL75" s="2814"/>
      <c r="BM75" s="2814"/>
      <c r="BN75" s="2814"/>
      <c r="BO75" s="2814"/>
    </row>
    <row r="76" spans="1:67" ht="12" customHeight="1" x14ac:dyDescent="0.2">
      <c r="AZ76" s="2948"/>
      <c r="BF76" s="44"/>
      <c r="BG76" s="44"/>
      <c r="BH76" s="2814"/>
      <c r="BI76" s="2814"/>
      <c r="BJ76" s="2814"/>
      <c r="BK76" s="2814"/>
      <c r="BL76" s="2814"/>
      <c r="BM76" s="2814"/>
      <c r="BN76" s="2814"/>
      <c r="BO76" s="2814"/>
    </row>
    <row r="77" spans="1:67" ht="12" customHeight="1" x14ac:dyDescent="0.2">
      <c r="AZ77" s="2948"/>
      <c r="BF77" s="44"/>
      <c r="BG77" s="44"/>
      <c r="BH77" s="2814"/>
      <c r="BI77" s="2814"/>
      <c r="BJ77" s="2814"/>
      <c r="BK77" s="2814"/>
      <c r="BL77" s="2814"/>
      <c r="BM77" s="2814"/>
      <c r="BN77" s="2814"/>
      <c r="BO77" s="2814"/>
    </row>
  </sheetData>
  <sheetProtection selectLockedCells="1"/>
  <mergeCells count="324">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P26:R26"/>
    <mergeCell ref="U26:V26"/>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J29:K29"/>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7:O27"/>
    <mergeCell ref="Q27:R27"/>
    <mergeCell ref="N26:O26"/>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T23:U24"/>
    <mergeCell ref="P23:Q24"/>
    <mergeCell ref="R23:R24"/>
    <mergeCell ref="S23:S24"/>
    <mergeCell ref="C20:D20"/>
    <mergeCell ref="E20:G20"/>
    <mergeCell ref="H20:H21"/>
    <mergeCell ref="AB20:AG20"/>
    <mergeCell ref="C19:D19"/>
    <mergeCell ref="E19:G19"/>
    <mergeCell ref="J19:K19"/>
    <mergeCell ref="AH20:AQ20"/>
    <mergeCell ref="AB21:AG21"/>
    <mergeCell ref="AH21:AQ21"/>
    <mergeCell ref="P19:U19"/>
    <mergeCell ref="P21:Q22"/>
    <mergeCell ref="H22:L22"/>
    <mergeCell ref="AB22:AG22"/>
    <mergeCell ref="AH22:AQ22"/>
    <mergeCell ref="T21:U22"/>
    <mergeCell ref="I20:I21"/>
    <mergeCell ref="J20:J21"/>
    <mergeCell ref="K20:K21"/>
    <mergeCell ref="L20:L21"/>
    <mergeCell ref="P20:Q20"/>
    <mergeCell ref="R21:R22"/>
    <mergeCell ref="S21:S22"/>
    <mergeCell ref="T20:U20"/>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H17:I17"/>
    <mergeCell ref="E15:G15"/>
    <mergeCell ref="H15:I15"/>
    <mergeCell ref="E16:F17"/>
    <mergeCell ref="G16:G17"/>
    <mergeCell ref="H16:I16"/>
    <mergeCell ref="K16:K17"/>
    <mergeCell ref="E14:G14"/>
    <mergeCell ref="H14:I1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R16:T16"/>
    <mergeCell ref="K5:L5"/>
    <mergeCell ref="M5:O5"/>
    <mergeCell ref="AJ5:AK5"/>
    <mergeCell ref="AL5:AN5"/>
    <mergeCell ref="AJ6:AP7"/>
    <mergeCell ref="C3:H8"/>
    <mergeCell ref="AB3:AG8"/>
    <mergeCell ref="K4:L4"/>
    <mergeCell ref="M4:Q4"/>
    <mergeCell ref="K6:Q7"/>
    <mergeCell ref="AJ4:AK4"/>
    <mergeCell ref="AL4:AP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s>
  <phoneticPr fontId="9" type="noConversion"/>
  <conditionalFormatting sqref="AH57:AQ62">
    <cfRule type="cellIs" dxfId="663" priority="3" stopIfTrue="1" operator="equal">
      <formula>0</formula>
    </cfRule>
  </conditionalFormatting>
  <conditionalFormatting sqref="AH40:AP45">
    <cfRule type="cellIs" dxfId="662" priority="4" stopIfTrue="1" operator="equal">
      <formula>0</formula>
    </cfRule>
  </conditionalFormatting>
  <conditionalFormatting sqref="AF10:AF14">
    <cfRule type="cellIs" dxfId="661" priority="7" stopIfTrue="1" operator="lessThan">
      <formula>0</formula>
    </cfRule>
  </conditionalFormatting>
  <conditionalFormatting sqref="AF15:AF16">
    <cfRule type="cellIs" dxfId="660" priority="8" stopIfTrue="1" operator="equal">
      <formula>0</formula>
    </cfRule>
    <cfRule type="cellIs" dxfId="659" priority="9" stopIfTrue="1" operator="lessThan">
      <formula>0</formula>
    </cfRule>
  </conditionalFormatting>
  <conditionalFormatting sqref="E13:G13">
    <cfRule type="expression" dxfId="658" priority="10" stopIfTrue="1">
      <formula>AND($B$13="Dura",$B$12="Dura")</formula>
    </cfRule>
    <cfRule type="expression" dxfId="657" priority="11" stopIfTrue="1">
      <formula>AND($B$13="Natural",$B$12="Natural")</formula>
    </cfRule>
  </conditionalFormatting>
  <conditionalFormatting sqref="E14:G14">
    <cfRule type="expression" dxfId="656" priority="12" stopIfTrue="1">
      <formula>AND($B$14="Dura",OR($B$13="Dura",$B$12="Dura"))</formula>
    </cfRule>
    <cfRule type="expression" dxfId="655" priority="13" stopIfTrue="1">
      <formula>AND($B$14="Natural",OR($B$13="Natural",$B$12="Natural"))</formula>
    </cfRule>
  </conditionalFormatting>
  <dataValidations disablePrompts="1" count="11">
    <dataValidation type="list" operator="equal" allowBlank="1" showErrorMessage="1" sqref="E12:G14" xr:uid="{00000000-0002-0000-0400-000000000000}">
      <formula1>Armaduras</formula1>
      <formula2>0</formula2>
    </dataValidation>
    <dataValidation type="list" operator="equal" allowBlank="1" showErrorMessage="1" sqref="I46:I47 I29 I34 T29 T34 I40 J13:J15 I54:I55 T46:T47 T40 T54:T55" xr:uid="{00000000-0002-0000-0400-000001000000}">
      <formula1>Calidades</formula1>
      <formula2>0</formula2>
    </dataValidation>
    <dataValidation type="list" operator="equal" allowBlank="1" showErrorMessage="1" sqref="C22:D22" xr:uid="{00000000-0002-0000-0400-000002000000}">
      <formula1>Crítico</formula1>
      <formula2>0</formula2>
    </dataValidation>
    <dataValidation type="list" operator="equal" allowBlank="1" showErrorMessage="1" sqref="F27:G27 F32:G32 Q27:R27 F44:G44 F38:G38 Q32:R32 F52:G52 Q44:R44 Q38:R38 Q52:R52" xr:uid="{00000000-0002-0000-0400-000003000000}">
      <formula1>Tamaño_Armas</formula1>
      <formula2>0</formula2>
    </dataValidation>
    <dataValidation type="list" operator="equal" allowBlank="1" showErrorMessage="1" sqref="J12" xr:uid="{00000000-0002-0000-0400-000004000000}">
      <formula1>Calidades</formula1>
    </dataValidation>
    <dataValidation type="list" allowBlank="1" showInputMessage="1" showErrorMessage="1" sqref="E15:G15" xr:uid="{00000000-0002-0000-0400-000005000000}">
      <formula1>Yelmos</formula1>
    </dataValidation>
    <dataValidation type="list" allowBlank="1" showInputMessage="1" showErrorMessage="1" sqref="P31:R31 P26:R26 E31:G31 E26:G26" xr:uid="{00000000-0002-0000-0400-000006000000}">
      <formula1>Lista_A1Mano</formula1>
    </dataValidation>
    <dataValidation type="list" allowBlank="1" showInputMessage="1" showErrorMessage="1" sqref="E37:G37 P37:R37" xr:uid="{00000000-0002-0000-0400-000007000000}">
      <formula1>Lista_A2Manos</formula1>
    </dataValidation>
    <dataValidation type="list" allowBlank="1" showInputMessage="1" showErrorMessage="1" sqref="E43:G43 E51:G51 P43:R43 P51:R51" xr:uid="{00000000-0002-0000-0400-000008000000}">
      <formula1>Proyectiles</formula1>
    </dataValidation>
    <dataValidation type="list" allowBlank="1" showInputMessage="1" showErrorMessage="1" sqref="E47:G47 E55:G55 P47:R47 P55:R55" xr:uid="{00000000-0002-0000-0400-000009000000}">
      <formula1>Munición</formula1>
    </dataValidation>
    <dataValidation type="list" allowBlank="1" showInputMessage="1" showErrorMessage="1" sqref="U12:U15 K57 K49 L41 L30 L35 W30 W35 V57 V49 W41" xr:uid="{00000000-0002-0000-0400-00000A000000}">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E15" sqref="E15:F15"/>
    </sheetView>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194" customWidth="1"/>
    <col min="21" max="21" width="0.85546875" style="43" hidden="1" customWidth="1"/>
    <col min="22" max="22" width="2.5703125" style="43" customWidth="1"/>
    <col min="23" max="29" width="5.7109375" style="43"/>
    <col min="30" max="30" width="3.85546875" style="43" customWidth="1"/>
    <col min="31" max="37" width="5.7109375" style="43"/>
    <col min="38" max="38" width="4.5703125" style="23" customWidth="1"/>
    <col min="39" max="39" width="1.7109375" style="44" customWidth="1"/>
    <col min="40" max="40" width="4" style="1978"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695"/>
    <col min="50" max="50" width="2" style="1695" customWidth="1"/>
    <col min="51" max="51" width="6.5703125" style="1695" bestFit="1" customWidth="1"/>
    <col min="52" max="52" width="5.85546875" style="1695" customWidth="1"/>
    <col min="53" max="64" width="5.7109375" style="1695"/>
    <col min="65" max="65" width="5.7109375" style="44"/>
    <col min="66" max="16384" width="5.7109375" style="43"/>
  </cols>
  <sheetData>
    <row r="1" spans="1:52" ht="12" customHeight="1" thickBot="1" x14ac:dyDescent="0.25">
      <c r="A1" s="173"/>
      <c r="B1" s="173"/>
      <c r="C1" s="173"/>
      <c r="D1" s="173"/>
      <c r="E1" s="173"/>
      <c r="F1" s="173"/>
      <c r="G1" s="173"/>
      <c r="H1" s="173"/>
      <c r="I1" s="173"/>
      <c r="J1" s="173"/>
      <c r="K1" s="173"/>
      <c r="L1" s="173"/>
      <c r="M1" s="173"/>
      <c r="N1" s="173"/>
      <c r="O1" s="173"/>
      <c r="P1" s="173"/>
      <c r="Q1" s="173"/>
      <c r="R1" s="173"/>
      <c r="S1" s="173"/>
      <c r="T1" s="1485"/>
      <c r="U1" s="173"/>
      <c r="V1" s="173"/>
      <c r="W1" s="173"/>
      <c r="X1" s="173"/>
      <c r="Y1" s="173"/>
      <c r="Z1" s="173"/>
      <c r="AA1" s="173"/>
      <c r="AB1" s="173"/>
      <c r="AC1" s="173"/>
      <c r="AD1" s="173"/>
      <c r="AE1" s="173"/>
      <c r="AF1" s="173"/>
      <c r="AG1" s="173"/>
      <c r="AH1" s="173"/>
      <c r="AI1" s="173"/>
      <c r="AJ1" s="173"/>
      <c r="AK1" s="173"/>
      <c r="AL1" s="5"/>
      <c r="AM1" s="173"/>
      <c r="AN1" s="1973"/>
      <c r="AO1" s="173"/>
      <c r="AP1" s="173"/>
      <c r="AQ1" s="173"/>
      <c r="AR1" s="173"/>
      <c r="AS1" s="173"/>
      <c r="AT1" s="173"/>
      <c r="AU1" s="173"/>
      <c r="AV1" s="173"/>
      <c r="AW1" s="1694"/>
      <c r="AX1" s="1694"/>
    </row>
    <row r="2" spans="1:52" ht="12" customHeight="1" thickBot="1" x14ac:dyDescent="0.25">
      <c r="A2" s="173"/>
      <c r="B2" s="1858"/>
      <c r="C2" s="1859"/>
      <c r="D2" s="1859"/>
      <c r="E2" s="1859"/>
      <c r="F2" s="1859"/>
      <c r="G2" s="1859"/>
      <c r="H2" s="1859"/>
      <c r="I2" s="1859"/>
      <c r="J2" s="1859"/>
      <c r="K2" s="1859"/>
      <c r="L2" s="1859"/>
      <c r="M2" s="1859"/>
      <c r="N2" s="1859"/>
      <c r="O2" s="1859"/>
      <c r="P2" s="1859"/>
      <c r="Q2" s="1859"/>
      <c r="R2" s="1859"/>
      <c r="S2" s="1860"/>
      <c r="T2" s="1485"/>
      <c r="U2" s="173"/>
      <c r="V2" s="1858"/>
      <c r="W2" s="1859"/>
      <c r="X2" s="1859"/>
      <c r="Y2" s="1859"/>
      <c r="Z2" s="1859"/>
      <c r="AA2" s="1859"/>
      <c r="AB2" s="1859"/>
      <c r="AC2" s="1859"/>
      <c r="AD2" s="1859"/>
      <c r="AE2" s="1859"/>
      <c r="AF2" s="1859"/>
      <c r="AG2" s="1859"/>
      <c r="AH2" s="1859"/>
      <c r="AI2" s="1859"/>
      <c r="AJ2" s="1859"/>
      <c r="AK2" s="1859"/>
      <c r="AL2" s="3013"/>
      <c r="AM2" s="173"/>
      <c r="AN2" s="1974"/>
      <c r="AO2" s="1859"/>
      <c r="AP2" s="1859"/>
      <c r="AQ2" s="1859"/>
      <c r="AR2" s="1859"/>
      <c r="AS2" s="1859"/>
      <c r="AT2" s="1859"/>
      <c r="AU2" s="1859"/>
      <c r="AV2" s="1859"/>
      <c r="AW2" s="1991"/>
      <c r="AX2" s="1694"/>
    </row>
    <row r="3" spans="1:52" ht="12" customHeight="1" thickBot="1" x14ac:dyDescent="0.25">
      <c r="A3" s="173"/>
      <c r="B3" s="1691"/>
      <c r="C3" s="3224"/>
      <c r="D3" s="3224"/>
      <c r="E3" s="3224"/>
      <c r="F3" s="3224"/>
      <c r="G3" s="3224"/>
      <c r="H3" s="3224"/>
      <c r="I3" s="9"/>
      <c r="J3" s="9"/>
      <c r="K3" s="9"/>
      <c r="L3" s="9"/>
      <c r="M3" s="9"/>
      <c r="N3" s="9"/>
      <c r="O3" s="9"/>
      <c r="P3" s="9"/>
      <c r="Q3" s="10"/>
      <c r="R3" s="67"/>
      <c r="S3" s="1698"/>
      <c r="T3" s="1485"/>
      <c r="U3" s="173"/>
      <c r="V3" s="1691"/>
      <c r="W3" s="3224"/>
      <c r="X3" s="3224"/>
      <c r="Y3" s="3224"/>
      <c r="Z3" s="3224"/>
      <c r="AA3" s="3224"/>
      <c r="AB3" s="3224"/>
      <c r="AC3" s="9"/>
      <c r="AD3" s="9"/>
      <c r="AE3" s="9"/>
      <c r="AF3" s="9"/>
      <c r="AG3" s="9"/>
      <c r="AH3" s="9"/>
      <c r="AI3" s="9"/>
      <c r="AJ3" s="9"/>
      <c r="AK3" s="10"/>
      <c r="AL3" s="3014"/>
      <c r="AM3" s="173"/>
      <c r="AN3" s="1975"/>
      <c r="AO3" s="1934"/>
      <c r="AP3" s="1575"/>
      <c r="AQ3" s="1575"/>
      <c r="AR3" s="1575"/>
      <c r="AS3" s="1575"/>
      <c r="AT3" s="1575"/>
      <c r="AU3" s="1575"/>
      <c r="AV3" s="1577"/>
      <c r="AW3" s="1992"/>
      <c r="AX3" s="1694"/>
    </row>
    <row r="4" spans="1:52" ht="12" customHeight="1" thickBot="1" x14ac:dyDescent="0.25">
      <c r="A4" s="173"/>
      <c r="B4" s="1691"/>
      <c r="C4" s="3224"/>
      <c r="D4" s="3224"/>
      <c r="E4" s="3224"/>
      <c r="F4" s="3224"/>
      <c r="G4" s="3224"/>
      <c r="H4" s="3224"/>
      <c r="I4" s="12"/>
      <c r="J4" s="3143" t="s">
        <v>1625</v>
      </c>
      <c r="K4" s="3143"/>
      <c r="L4" s="3144" t="str">
        <f>IF(OR(General!$G$22="",General!$G$22=0),"",General!$G$22)</f>
        <v/>
      </c>
      <c r="M4" s="3144"/>
      <c r="N4" s="3144"/>
      <c r="O4" s="3144"/>
      <c r="P4" s="3144"/>
      <c r="Q4" s="13"/>
      <c r="R4" s="67"/>
      <c r="S4" s="1698"/>
      <c r="T4" s="1485"/>
      <c r="U4" s="173"/>
      <c r="V4" s="1691"/>
      <c r="W4" s="3224"/>
      <c r="X4" s="3224"/>
      <c r="Y4" s="3224"/>
      <c r="Z4" s="3224"/>
      <c r="AA4" s="3224"/>
      <c r="AB4" s="3224"/>
      <c r="AC4" s="12"/>
      <c r="AD4" s="3143" t="s">
        <v>1625</v>
      </c>
      <c r="AE4" s="3143"/>
      <c r="AF4" s="3144" t="str">
        <f>IF(OR(General!$G$22="",General!$G$22=0),"",General!$G$22)</f>
        <v/>
      </c>
      <c r="AG4" s="3144"/>
      <c r="AH4" s="3144"/>
      <c r="AI4" s="3144"/>
      <c r="AJ4" s="3144"/>
      <c r="AK4" s="13"/>
      <c r="AL4" s="3014"/>
      <c r="AM4" s="173"/>
      <c r="AN4" s="1975"/>
      <c r="AO4" s="1942"/>
      <c r="AP4" s="1878"/>
      <c r="AQ4" s="356"/>
      <c r="AR4" s="356"/>
      <c r="AS4" s="356"/>
      <c r="AT4" s="356"/>
      <c r="AU4" s="356"/>
      <c r="AV4" s="1935"/>
      <c r="AW4" s="1992"/>
      <c r="AX4" s="1694"/>
    </row>
    <row r="5" spans="1:52" ht="12" customHeight="1" thickBot="1" x14ac:dyDescent="0.25">
      <c r="A5" s="173"/>
      <c r="B5" s="1691"/>
      <c r="C5" s="3224"/>
      <c r="D5" s="3224"/>
      <c r="E5" s="3224"/>
      <c r="F5" s="3224"/>
      <c r="G5" s="3224"/>
      <c r="H5" s="3224"/>
      <c r="I5" s="12"/>
      <c r="J5" s="3220" t="s">
        <v>1626</v>
      </c>
      <c r="K5" s="3220"/>
      <c r="L5" s="3221" t="str">
        <f>Principal!$L$5</f>
        <v/>
      </c>
      <c r="M5" s="3221"/>
      <c r="N5" s="3221"/>
      <c r="O5" s="14" t="s">
        <v>1627</v>
      </c>
      <c r="P5" s="15" t="str">
        <f>Principal!$P$5</f>
        <v>0</v>
      </c>
      <c r="Q5" s="16"/>
      <c r="R5" s="67"/>
      <c r="S5" s="1698"/>
      <c r="T5" s="1485"/>
      <c r="U5" s="173"/>
      <c r="V5" s="1691"/>
      <c r="W5" s="3224"/>
      <c r="X5" s="3224"/>
      <c r="Y5" s="3224"/>
      <c r="Z5" s="3224"/>
      <c r="AA5" s="3224"/>
      <c r="AB5" s="3224"/>
      <c r="AC5" s="12"/>
      <c r="AD5" s="3220" t="s">
        <v>1626</v>
      </c>
      <c r="AE5" s="3220"/>
      <c r="AF5" s="3221" t="str">
        <f>Principal!$L$5</f>
        <v/>
      </c>
      <c r="AG5" s="3221"/>
      <c r="AH5" s="3221"/>
      <c r="AI5" s="14" t="s">
        <v>1627</v>
      </c>
      <c r="AJ5" s="15" t="str">
        <f>Principal!$P$5</f>
        <v>0</v>
      </c>
      <c r="AK5" s="16"/>
      <c r="AL5" s="3014"/>
      <c r="AM5" s="173"/>
      <c r="AN5" s="1975"/>
      <c r="AO5" s="1941"/>
      <c r="AP5" s="1879"/>
      <c r="AQ5" s="1574"/>
      <c r="AR5" s="3222" t="s">
        <v>8423</v>
      </c>
      <c r="AS5" s="3222"/>
      <c r="AT5" s="3222"/>
      <c r="AU5" s="3222"/>
      <c r="AV5" s="1936"/>
      <c r="AW5" s="1992"/>
      <c r="AX5" s="1694"/>
    </row>
    <row r="6" spans="1:52" ht="12" customHeight="1" thickBot="1" x14ac:dyDescent="0.25">
      <c r="A6" s="173"/>
      <c r="B6" s="1691"/>
      <c r="C6" s="3224"/>
      <c r="D6" s="3224"/>
      <c r="E6" s="3224"/>
      <c r="F6" s="3224"/>
      <c r="G6" s="3224"/>
      <c r="H6" s="3224"/>
      <c r="I6" s="12"/>
      <c r="J6" s="3222" t="s">
        <v>2003</v>
      </c>
      <c r="K6" s="3222"/>
      <c r="L6" s="3222"/>
      <c r="M6" s="3222"/>
      <c r="N6" s="3222"/>
      <c r="O6" s="3222"/>
      <c r="P6" s="3222"/>
      <c r="Q6" s="16"/>
      <c r="R6" s="67"/>
      <c r="S6" s="1698"/>
      <c r="T6" s="1485"/>
      <c r="U6" s="173"/>
      <c r="V6" s="1691"/>
      <c r="W6" s="3224"/>
      <c r="X6" s="3224"/>
      <c r="Y6" s="3224"/>
      <c r="Z6" s="3224"/>
      <c r="AA6" s="3224"/>
      <c r="AB6" s="3224"/>
      <c r="AC6" s="12"/>
      <c r="AD6" s="3222" t="s">
        <v>2004</v>
      </c>
      <c r="AE6" s="3222"/>
      <c r="AF6" s="3222"/>
      <c r="AG6" s="3222"/>
      <c r="AH6" s="3222"/>
      <c r="AI6" s="3222"/>
      <c r="AJ6" s="3222"/>
      <c r="AK6" s="16"/>
      <c r="AL6" s="3014"/>
      <c r="AM6" s="173"/>
      <c r="AN6" s="1975"/>
      <c r="AO6" s="1937"/>
      <c r="AQ6" s="1925"/>
      <c r="AR6" s="3222"/>
      <c r="AS6" s="3222"/>
      <c r="AT6" s="3222"/>
      <c r="AU6" s="3222"/>
      <c r="AV6" s="1936"/>
      <c r="AW6" s="1992"/>
      <c r="AX6" s="1694"/>
    </row>
    <row r="7" spans="1:52" ht="12" customHeight="1" thickBot="1" x14ac:dyDescent="0.25">
      <c r="A7" s="173"/>
      <c r="B7" s="1691"/>
      <c r="C7" s="3224"/>
      <c r="D7" s="3224"/>
      <c r="E7" s="3224"/>
      <c r="F7" s="3224"/>
      <c r="G7" s="3224"/>
      <c r="H7" s="3224"/>
      <c r="I7" s="12"/>
      <c r="J7" s="3222"/>
      <c r="K7" s="3222"/>
      <c r="L7" s="3222"/>
      <c r="M7" s="3222"/>
      <c r="N7" s="3222"/>
      <c r="O7" s="3222"/>
      <c r="P7" s="3222"/>
      <c r="Q7" s="16"/>
      <c r="R7" s="67"/>
      <c r="S7" s="1698"/>
      <c r="T7" s="1485"/>
      <c r="U7" s="173"/>
      <c r="V7" s="1691"/>
      <c r="W7" s="3224"/>
      <c r="X7" s="3224"/>
      <c r="Y7" s="3224"/>
      <c r="Z7" s="3224"/>
      <c r="AA7" s="3224"/>
      <c r="AB7" s="3224"/>
      <c r="AC7" s="12"/>
      <c r="AD7" s="3222"/>
      <c r="AE7" s="3222"/>
      <c r="AF7" s="3222"/>
      <c r="AG7" s="3222"/>
      <c r="AH7" s="3222"/>
      <c r="AI7" s="3222"/>
      <c r="AJ7" s="3222"/>
      <c r="AK7" s="16"/>
      <c r="AL7" s="3014"/>
      <c r="AM7" s="173"/>
      <c r="AN7" s="1975"/>
      <c r="AO7" s="1937"/>
      <c r="AP7" s="1925"/>
      <c r="AQ7" s="1925"/>
      <c r="AR7" s="1925"/>
      <c r="AS7" s="1925"/>
      <c r="AT7" s="1925"/>
      <c r="AU7" s="1925"/>
      <c r="AV7" s="1936"/>
      <c r="AW7" s="1992"/>
      <c r="AX7" s="1694"/>
    </row>
    <row r="8" spans="1:52" ht="12" customHeight="1" thickBot="1" x14ac:dyDescent="0.25">
      <c r="A8" s="173"/>
      <c r="B8" s="1691"/>
      <c r="C8" s="3224"/>
      <c r="D8" s="3224"/>
      <c r="E8" s="3224"/>
      <c r="F8" s="3224"/>
      <c r="G8" s="3224"/>
      <c r="H8" s="3224"/>
      <c r="I8" s="17"/>
      <c r="J8" s="17"/>
      <c r="K8" s="17"/>
      <c r="L8" s="17"/>
      <c r="M8" s="17"/>
      <c r="N8" s="17"/>
      <c r="O8" s="17"/>
      <c r="P8" s="17"/>
      <c r="Q8" s="18"/>
      <c r="R8" s="67"/>
      <c r="S8" s="1698"/>
      <c r="T8" s="1485"/>
      <c r="U8" s="173"/>
      <c r="V8" s="1691"/>
      <c r="W8" s="3224"/>
      <c r="X8" s="3224"/>
      <c r="Y8" s="3224"/>
      <c r="Z8" s="3224"/>
      <c r="AA8" s="3224"/>
      <c r="AB8" s="3224"/>
      <c r="AC8" s="17"/>
      <c r="AD8" s="17"/>
      <c r="AE8" s="17"/>
      <c r="AF8" s="17"/>
      <c r="AG8" s="17"/>
      <c r="AH8" s="17"/>
      <c r="AI8" s="17"/>
      <c r="AJ8" s="17"/>
      <c r="AK8" s="18"/>
      <c r="AL8" s="3014"/>
      <c r="AM8" s="173"/>
      <c r="AN8" s="1975"/>
      <c r="AO8" s="1938"/>
      <c r="AP8" s="1939"/>
      <c r="AQ8" s="1939"/>
      <c r="AR8" s="1939"/>
      <c r="AS8" s="1939"/>
      <c r="AT8" s="1939"/>
      <c r="AU8" s="1939"/>
      <c r="AV8" s="1940"/>
      <c r="AW8" s="1992"/>
      <c r="AX8" s="1694"/>
    </row>
    <row r="9" spans="1:52" ht="12" customHeight="1" thickBot="1" x14ac:dyDescent="0.25">
      <c r="A9" s="173"/>
      <c r="B9" s="1691"/>
      <c r="C9" s="67"/>
      <c r="D9" s="67"/>
      <c r="E9" s="67"/>
      <c r="F9" s="67"/>
      <c r="G9" s="67"/>
      <c r="H9" s="67"/>
      <c r="I9" s="67"/>
      <c r="J9" s="67"/>
      <c r="K9" s="67"/>
      <c r="L9" s="67"/>
      <c r="M9" s="67"/>
      <c r="N9" s="67"/>
      <c r="O9" s="67"/>
      <c r="P9" s="67"/>
      <c r="Q9" s="67"/>
      <c r="R9" s="67"/>
      <c r="S9" s="1698"/>
      <c r="T9" s="1485"/>
      <c r="U9" s="173"/>
      <c r="V9" s="1691"/>
      <c r="W9" s="67"/>
      <c r="X9" s="67"/>
      <c r="Y9" s="67"/>
      <c r="Z9" s="67"/>
      <c r="AA9" s="67"/>
      <c r="AB9" s="67"/>
      <c r="AC9" s="67"/>
      <c r="AD9" s="67"/>
      <c r="AE9" s="67"/>
      <c r="AF9" s="67"/>
      <c r="AG9" s="67"/>
      <c r="AH9" s="67"/>
      <c r="AI9" s="67"/>
      <c r="AJ9" s="67"/>
      <c r="AK9" s="67"/>
      <c r="AL9" s="3014"/>
      <c r="AM9" s="173"/>
      <c r="AN9" s="1975"/>
      <c r="AW9" s="1992"/>
      <c r="AX9" s="1694"/>
    </row>
    <row r="10" spans="1:52" ht="12" customHeight="1" thickBot="1" x14ac:dyDescent="0.25">
      <c r="A10" s="173"/>
      <c r="B10" s="1691"/>
      <c r="C10" s="3168" t="s">
        <v>1824</v>
      </c>
      <c r="D10" s="3169"/>
      <c r="E10" s="3169"/>
      <c r="F10" s="3169"/>
      <c r="G10" s="3169"/>
      <c r="H10" s="3170"/>
      <c r="I10" s="67"/>
      <c r="R10" s="67"/>
      <c r="S10" s="1698"/>
      <c r="T10" s="1485"/>
      <c r="U10" s="173"/>
      <c r="V10" s="1691"/>
      <c r="W10" s="3315" t="s">
        <v>2006</v>
      </c>
      <c r="X10" s="3316"/>
      <c r="Y10" s="3316"/>
      <c r="Z10" s="3316"/>
      <c r="AA10" s="3316"/>
      <c r="AB10" s="3316"/>
      <c r="AC10" s="3318"/>
      <c r="AD10" s="3020"/>
      <c r="AE10" s="4129" t="s">
        <v>2007</v>
      </c>
      <c r="AF10" s="4130"/>
      <c r="AG10" s="4130"/>
      <c r="AH10" s="4130"/>
      <c r="AI10" s="4130"/>
      <c r="AJ10" s="4130"/>
      <c r="AK10" s="2187">
        <f>IF(Tablas!G543&gt;0,0,SUM(I15:I25))-COUNTA(Místicos!AG12:AJ50)</f>
        <v>0</v>
      </c>
      <c r="AL10" s="3014"/>
      <c r="AM10" s="173"/>
      <c r="AN10" s="1975"/>
      <c r="AP10" s="4234" t="s">
        <v>8428</v>
      </c>
      <c r="AQ10" s="4235"/>
      <c r="AR10" s="4236"/>
      <c r="AS10" s="4237" t="s">
        <v>8429</v>
      </c>
      <c r="AT10" s="4238"/>
      <c r="AU10" s="4239"/>
      <c r="AW10" s="1992"/>
      <c r="AX10" s="1694"/>
      <c r="AZ10" s="1695" t="s">
        <v>10089</v>
      </c>
    </row>
    <row r="11" spans="1:52" ht="12" customHeight="1" thickBot="1" x14ac:dyDescent="0.25">
      <c r="A11" s="173"/>
      <c r="B11" s="1691"/>
      <c r="C11" s="4161" t="s">
        <v>2008</v>
      </c>
      <c r="D11" s="4162"/>
      <c r="E11" s="4135" t="s">
        <v>2009</v>
      </c>
      <c r="F11" s="4136"/>
      <c r="G11" s="3243" t="s">
        <v>2010</v>
      </c>
      <c r="H11" s="4126"/>
      <c r="I11" s="67"/>
      <c r="J11" s="4128" t="s">
        <v>2005</v>
      </c>
      <c r="K11" s="4128"/>
      <c r="L11" s="4128"/>
      <c r="M11" s="4128"/>
      <c r="N11" s="67"/>
      <c r="O11" s="3201" t="s">
        <v>1823</v>
      </c>
      <c r="P11" s="3201"/>
      <c r="Q11" s="3201"/>
      <c r="R11" s="67"/>
      <c r="S11" s="1698"/>
      <c r="T11" s="1485"/>
      <c r="U11" s="173"/>
      <c r="V11" s="1691"/>
      <c r="W11" s="3228" t="s">
        <v>2014</v>
      </c>
      <c r="X11" s="3229"/>
      <c r="Y11" s="3229" t="s">
        <v>2013</v>
      </c>
      <c r="Z11" s="3229"/>
      <c r="AA11" s="3229"/>
      <c r="AB11" s="3229"/>
      <c r="AC11" s="2186" t="s">
        <v>1712</v>
      </c>
      <c r="AD11" s="1775" t="s">
        <v>8664</v>
      </c>
      <c r="AE11" s="3228" t="s">
        <v>2015</v>
      </c>
      <c r="AF11" s="3229"/>
      <c r="AG11" s="3229" t="s">
        <v>2013</v>
      </c>
      <c r="AH11" s="3229"/>
      <c r="AI11" s="3229"/>
      <c r="AJ11" s="3229"/>
      <c r="AK11" s="2186" t="s">
        <v>1712</v>
      </c>
      <c r="AL11" s="2710"/>
      <c r="AM11" s="173"/>
      <c r="AN11" s="1975"/>
      <c r="AW11" s="1992"/>
      <c r="AX11" s="1694"/>
      <c r="AY11" s="1775"/>
      <c r="AZ11" s="3022" t="e">
        <f>IF(VLOOKUP(AE12,ViasMayores,2,FALSE)="Mayor",IF(VLOOKUP(AE12,$C$15:$F$25,3,FALSE)="",NivelesLA_ViaMayorNoSubvía,""),IF(VLOOKUP(AE12,$C$15:$F$25,3,FALSE)="",NivelesLA_ViaMenorNosubvía,NivelesLA_ViaMenorSubvía))</f>
        <v>#N/A</v>
      </c>
    </row>
    <row r="12" spans="1:52" ht="12" customHeight="1" thickBot="1" x14ac:dyDescent="0.25">
      <c r="A12" s="173"/>
      <c r="B12" s="1691"/>
      <c r="C12" s="4142">
        <f>NiveldeMagia_final</f>
        <v>0</v>
      </c>
      <c r="D12" s="4143"/>
      <c r="E12" s="4131">
        <f>SUM(G15:G26)+G12</f>
        <v>0</v>
      </c>
      <c r="F12" s="4132"/>
      <c r="G12" s="4146">
        <f>Metamagia!$T$37</f>
        <v>0</v>
      </c>
      <c r="H12" s="4147"/>
      <c r="I12" s="67"/>
      <c r="J12" s="4127" t="s">
        <v>2011</v>
      </c>
      <c r="K12" s="4127"/>
      <c r="L12" s="4110" t="s">
        <v>1821</v>
      </c>
      <c r="M12" s="4110"/>
      <c r="N12" s="67"/>
      <c r="O12" s="1812" t="s">
        <v>1702</v>
      </c>
      <c r="P12" s="218" t="s">
        <v>1880</v>
      </c>
      <c r="Q12" s="1813" t="s">
        <v>2012</v>
      </c>
      <c r="R12" s="67"/>
      <c r="S12" s="1698"/>
      <c r="T12" s="1485" t="str">
        <f>"Conjuros"&amp;IF(W12="","","_"&amp;W12)</f>
        <v>Conjuros</v>
      </c>
      <c r="U12" s="173"/>
      <c r="V12" s="1863">
        <f>IF(AC12="",0,VLOOKUP(AC12,Tablas!$M$1024:$N$1033,2))</f>
        <v>0</v>
      </c>
      <c r="W12" s="4092"/>
      <c r="X12" s="3737"/>
      <c r="Y12" s="4104"/>
      <c r="Z12" s="4104"/>
      <c r="AA12" s="4104"/>
      <c r="AB12" s="4104"/>
      <c r="AC12" s="2162" t="str">
        <f>IF(Místicos!Y12=0,"",VLOOKUP(Místicos!Y12,Tabla_Conjuros,3,FALSE))</f>
        <v/>
      </c>
      <c r="AD12" s="1873" t="str">
        <f t="shared" ref="AD12:AD50" si="0">AE12&amp;AK12</f>
        <v/>
      </c>
      <c r="AE12" s="4092"/>
      <c r="AF12" s="3737"/>
      <c r="AG12" s="4104"/>
      <c r="AH12" s="4104"/>
      <c r="AI12" s="4104"/>
      <c r="AJ12" s="4104"/>
      <c r="AK12" s="2160"/>
      <c r="AL12" s="3021">
        <f>IF(Místicos!AG12=0,0,VLOOKUP(Místicos!AG12,Tabla_Conjuros,3,FALSE)-10)</f>
        <v>0</v>
      </c>
      <c r="AM12" s="173"/>
      <c r="AN12" s="1975"/>
      <c r="AO12" s="4231" t="s">
        <v>8469</v>
      </c>
      <c r="AP12" s="4232"/>
      <c r="AQ12" s="4232"/>
      <c r="AR12" s="4232"/>
      <c r="AS12" s="4232"/>
      <c r="AT12" s="4232"/>
      <c r="AU12" s="4232"/>
      <c r="AV12" s="4233"/>
      <c r="AW12" s="1993">
        <f>IF(AP12=0,0,VLOOKUP(AP12,Tablas!#REF!,2,FALSE)-10)</f>
        <v>0</v>
      </c>
      <c r="AX12" s="1694"/>
      <c r="AY12" s="1873">
        <f>IF(AC12="",0,VLOOKUP(AC12,Tablas!$M$1024:$N$1033,2)*VLOOKUP(W12,Tabla_CosteConjuros,3))</f>
        <v>0</v>
      </c>
    </row>
    <row r="13" spans="1:52" ht="12" customHeight="1" thickBot="1" x14ac:dyDescent="0.25">
      <c r="A13" s="173"/>
      <c r="B13" s="1691"/>
      <c r="C13" s="4144"/>
      <c r="D13" s="4145"/>
      <c r="E13" s="4133"/>
      <c r="F13" s="4134"/>
      <c r="G13" s="4146"/>
      <c r="H13" s="4147"/>
      <c r="I13" s="67"/>
      <c r="J13" s="4148">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5</v>
      </c>
      <c r="K13" s="4148"/>
      <c r="L13" s="4149">
        <f>ACT_final+L21</f>
        <v>5</v>
      </c>
      <c r="M13" s="4149"/>
      <c r="N13" s="67"/>
      <c r="O13" s="4150">
        <f>Turno_Nat_final</f>
        <v>35</v>
      </c>
      <c r="P13" s="4151">
        <f>IF(OR(PDs!E99="Proyección Mágica como ataque",PDs!E100="Proyección Mágica como ataque"),PDs!V22+ProyecciónMágica_final-PDs!V93,ProyecciónMágica_final+Q15)</f>
        <v>0</v>
      </c>
      <c r="Q13" s="4160">
        <f>IF(OR(PDs!E99="Proyección Mágica como defensa",PDs!E100="Proyección Mágica como defensa"),MAX(PDs!V23,PDs!V24)+ProyecciónMágica_final-PDs!V93,ProyecciónMágica_final-Q15)</f>
        <v>0</v>
      </c>
      <c r="R13" s="67"/>
      <c r="S13" s="1698"/>
      <c r="T13" s="1485" t="str">
        <f t="shared" ref="T13:T50" si="1">"Conjuros"&amp;IF(W13="","","_"&amp;W13)</f>
        <v>Conjuros</v>
      </c>
      <c r="U13" s="173"/>
      <c r="V13" s="1863">
        <f>IF(AC13="",0,VLOOKUP(AC13,Tablas!$M$1024:$N$1033,2))</f>
        <v>0</v>
      </c>
      <c r="W13" s="4085"/>
      <c r="X13" s="3740"/>
      <c r="Y13" s="4105"/>
      <c r="Z13" s="4105"/>
      <c r="AA13" s="4105"/>
      <c r="AB13" s="4105"/>
      <c r="AC13" s="1616" t="str">
        <f>IF(Místicos!Y13=0,"",VLOOKUP(Místicos!Y13,Tabla_Conjuros,3,FALSE))</f>
        <v/>
      </c>
      <c r="AD13" s="1873" t="str">
        <f t="shared" si="0"/>
        <v/>
      </c>
      <c r="AE13" s="4085"/>
      <c r="AF13" s="3740"/>
      <c r="AG13" s="4105"/>
      <c r="AH13" s="4105"/>
      <c r="AI13" s="4105"/>
      <c r="AJ13" s="4105"/>
      <c r="AK13" s="2188"/>
      <c r="AL13" s="3021">
        <f>IF(Místicos!AG13=0,0,VLOOKUP(Místicos!AG13,Tablas!#REF!,2,FALSE)-10)</f>
        <v>0</v>
      </c>
      <c r="AM13" s="173"/>
      <c r="AN13" s="1975"/>
      <c r="AW13" s="1993"/>
      <c r="AX13" s="1694"/>
      <c r="AY13" s="1873">
        <f>IF(AC13="",0,VLOOKUP(AC13,Tablas!$M$1024:$N$1033,2)*VLOOKUP(W13,Tabla_CosteConjuros,3))</f>
        <v>0</v>
      </c>
    </row>
    <row r="14" spans="1:52" ht="12" customHeight="1" x14ac:dyDescent="0.2">
      <c r="A14" s="173"/>
      <c r="B14" s="1691"/>
      <c r="C14" s="4156" t="s">
        <v>2014</v>
      </c>
      <c r="D14" s="4157"/>
      <c r="E14" s="4158" t="s">
        <v>2016</v>
      </c>
      <c r="F14" s="4159"/>
      <c r="G14" s="1875" t="s">
        <v>2017</v>
      </c>
      <c r="H14" s="1852" t="s">
        <v>1712</v>
      </c>
      <c r="I14" s="67"/>
      <c r="J14" s="4148"/>
      <c r="K14" s="4148"/>
      <c r="L14" s="4149"/>
      <c r="M14" s="4149"/>
      <c r="N14" s="67"/>
      <c r="O14" s="4150"/>
      <c r="P14" s="4151"/>
      <c r="Q14" s="4160"/>
      <c r="R14" s="67"/>
      <c r="S14" s="1698"/>
      <c r="T14" s="1485" t="str">
        <f t="shared" si="1"/>
        <v>Conjuros</v>
      </c>
      <c r="U14" s="173"/>
      <c r="V14" s="1863">
        <f>IF(AC14="",0,VLOOKUP(AC14,Tablas!$M$1024:$N$1033,2))</f>
        <v>0</v>
      </c>
      <c r="W14" s="4092"/>
      <c r="X14" s="3737"/>
      <c r="Y14" s="4104"/>
      <c r="Z14" s="4104"/>
      <c r="AA14" s="4104"/>
      <c r="AB14" s="4104"/>
      <c r="AC14" s="2162" t="str">
        <f>IF(Místicos!Y14=0,"",VLOOKUP(Místicos!Y14,Tabla_Conjuros,3,FALSE))</f>
        <v/>
      </c>
      <c r="AD14" s="1873" t="str">
        <f t="shared" si="0"/>
        <v/>
      </c>
      <c r="AE14" s="4092"/>
      <c r="AF14" s="3737"/>
      <c r="AG14" s="4104"/>
      <c r="AH14" s="4104"/>
      <c r="AI14" s="4104"/>
      <c r="AJ14" s="4104"/>
      <c r="AK14" s="2160"/>
      <c r="AL14" s="3021">
        <f>IF(Místicos!AG14=0,0,VLOOKUP(Místicos!AG14,Tablas!#REF!,2,FALSE)-10)</f>
        <v>0</v>
      </c>
      <c r="AM14" s="173"/>
      <c r="AN14" s="1975"/>
      <c r="AO14" s="4252" t="s">
        <v>8461</v>
      </c>
      <c r="AP14" s="4093"/>
      <c r="AQ14" s="4093"/>
      <c r="AR14" s="4247" t="s">
        <v>8486</v>
      </c>
      <c r="AS14" s="4093"/>
      <c r="AT14" s="4093"/>
      <c r="AU14" s="4093"/>
      <c r="AV14" s="4248"/>
      <c r="AW14" s="1993"/>
      <c r="AX14" s="1694"/>
      <c r="AY14" s="1873">
        <f>IF(AC14="",0,VLOOKUP(AC14,Tablas!$M$1024:$N$1033,2)*VLOOKUP(W14,Tabla_CosteConjuros,3))</f>
        <v>0</v>
      </c>
    </row>
    <row r="15" spans="1:52" ht="12" customHeight="1" thickBot="1" x14ac:dyDescent="0.25">
      <c r="A15" s="173"/>
      <c r="B15" s="1861">
        <f>IF(E15=0,0,IF(OR(VLOOKUP(E15,Tablas!$C$1067:$J$1080,2,FALSE)=C15,VLOOKUP(E15,Tablas!$C$1067:$J$1080,3,FALSE)=C15,VLOOKUP(E15,Tablas!$C$1067:$J$1080,4,FALSE)=C15,VLOOKUP(E15,Tablas!$C$1067:$J$1080,5,FALSE)=C15,VLOOKUP(E15,Tablas!$C$1067:$J$1080,6,FALSE)=C15,VLOOKUP(E15,Tablas!$C$1067:$J$1080,7,FALSE)=C15,VLOOKUP(E15,Tablas!$C$1067:$J$1080,8,FALSE)=C15),1,0))</f>
        <v>0</v>
      </c>
      <c r="C15" s="4152" t="s">
        <v>2019</v>
      </c>
      <c r="D15" s="4153"/>
      <c r="E15" s="4154"/>
      <c r="F15" s="4155"/>
      <c r="G15" s="221"/>
      <c r="H15" s="1853">
        <f>ROUNDUP(G15/Tablas!K1037,0)+40*Tablas!G403+Tablas!J1273</f>
        <v>0</v>
      </c>
      <c r="I15" s="219">
        <f>IF(H15&gt;3,VLOOKUP(H15,Tabla_NumeroConjurosLA,2)-IF(Místicos!E15=0,0,VLOOKUP(H15,Tabla_NumeroConjurosLA,2)),0)</f>
        <v>0</v>
      </c>
      <c r="J15" s="4120"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120"/>
      <c r="L15" s="4120"/>
      <c r="M15" s="4120"/>
      <c r="N15" s="67"/>
      <c r="O15" s="4121" t="s">
        <v>2018</v>
      </c>
      <c r="P15" s="4121"/>
      <c r="Q15" s="215"/>
      <c r="R15" s="67"/>
      <c r="S15" s="1698"/>
      <c r="T15" s="1485" t="str">
        <f t="shared" si="1"/>
        <v>Conjuros</v>
      </c>
      <c r="U15" s="173"/>
      <c r="V15" s="1863">
        <f>IF(AC15="",0,VLOOKUP(AC15,Tablas!$M$1024:$N$1033,2))</f>
        <v>0</v>
      </c>
      <c r="W15" s="4085"/>
      <c r="X15" s="3740"/>
      <c r="Y15" s="4105"/>
      <c r="Z15" s="4105"/>
      <c r="AA15" s="4105"/>
      <c r="AB15" s="4105"/>
      <c r="AC15" s="1616" t="str">
        <f>IF(Místicos!Y15=0,"",VLOOKUP(Místicos!Y15,Tabla_Conjuros,3,FALSE))</f>
        <v/>
      </c>
      <c r="AD15" s="1873" t="str">
        <f t="shared" si="0"/>
        <v/>
      </c>
      <c r="AE15" s="4085"/>
      <c r="AF15" s="3740"/>
      <c r="AG15" s="4105"/>
      <c r="AH15" s="4105"/>
      <c r="AI15" s="4105"/>
      <c r="AJ15" s="4105"/>
      <c r="AK15" s="2188"/>
      <c r="AL15" s="3021">
        <f>IF(Místicos!AG15=0,0,VLOOKUP(Místicos!AG15,Tablas!#REF!,2,FALSE)-10)</f>
        <v>0</v>
      </c>
      <c r="AM15" s="173"/>
      <c r="AN15" s="1975"/>
      <c r="AO15" s="1947" t="s">
        <v>1712</v>
      </c>
      <c r="AP15" s="4071" t="s">
        <v>8432</v>
      </c>
      <c r="AQ15" s="4071"/>
      <c r="AR15" s="1952" t="s">
        <v>1882</v>
      </c>
      <c r="AS15" s="1882" t="s">
        <v>135</v>
      </c>
      <c r="AT15" s="1882" t="s">
        <v>2541</v>
      </c>
      <c r="AU15" s="1882" t="s">
        <v>1775</v>
      </c>
      <c r="AV15" s="1946" t="s">
        <v>8459</v>
      </c>
      <c r="AW15" s="1993"/>
      <c r="AX15" s="1694"/>
      <c r="AY15" s="1873">
        <f>IF(AC15="",0,VLOOKUP(AC15,Tablas!$M$1024:$N$1033,2)*VLOOKUP(W15,Tabla_CosteConjuros,3))</f>
        <v>0</v>
      </c>
    </row>
    <row r="16" spans="1:52" ht="12" customHeight="1" thickBot="1" x14ac:dyDescent="0.25">
      <c r="A16" s="173"/>
      <c r="B16" s="1861">
        <f>IF(E16=0,0,IF(OR(VLOOKUP(E16,Tablas!$C$1067:$J$1080,2,FALSE)=C16,VLOOKUP(E16,Tablas!$C$1067:$J$1080,3,FALSE)=C16,VLOOKUP(E16,Tablas!$C$1067:$J$1080,4,FALSE)=C16,VLOOKUP(E16,Tablas!$C$1067:$J$1080,5,FALSE)=C16,VLOOKUP(E16,Tablas!$C$1067:$J$1080,6,FALSE)=C16,VLOOKUP(E16,Tablas!$C$1067:$J$1080,7,FALSE)=C16,VLOOKUP(E16,Tablas!$C$1067:$J$1080,8,FALSE)=C16),1,0))</f>
        <v>0</v>
      </c>
      <c r="C16" s="4077" t="s">
        <v>2020</v>
      </c>
      <c r="D16" s="4078"/>
      <c r="E16" s="4079"/>
      <c r="F16" s="4080"/>
      <c r="G16" s="1854"/>
      <c r="H16" s="1855">
        <f>ROUNDUP(G16/Tablas!K1038,0)+40*Tablas!G404+Tablas!J1274</f>
        <v>0</v>
      </c>
      <c r="I16" s="219">
        <f>IF(H16&gt;3,VLOOKUP(H16,Tabla_NumeroConjurosLA,2)-IF(Místicos!E16=0,0,VLOOKUP(H16,Tabla_NumeroConjurosLA,2)),0)</f>
        <v>0</v>
      </c>
      <c r="J16" s="67"/>
      <c r="K16" s="67"/>
      <c r="L16" s="67"/>
      <c r="M16" s="67"/>
      <c r="N16" s="67"/>
      <c r="O16" s="67"/>
      <c r="P16" s="67"/>
      <c r="Q16" s="67"/>
      <c r="R16" s="67"/>
      <c r="S16" s="1698"/>
      <c r="T16" s="1485" t="str">
        <f t="shared" si="1"/>
        <v>Conjuros</v>
      </c>
      <c r="U16" s="173"/>
      <c r="V16" s="1863">
        <f>IF(AC16="",0,VLOOKUP(AC16,Tablas!$M$1024:$N$1033,2))</f>
        <v>0</v>
      </c>
      <c r="W16" s="4092"/>
      <c r="X16" s="3737"/>
      <c r="Y16" s="4104"/>
      <c r="Z16" s="4104"/>
      <c r="AA16" s="4104"/>
      <c r="AB16" s="4104"/>
      <c r="AC16" s="2162" t="str">
        <f>IF(Místicos!Y16=0,"",VLOOKUP(Místicos!Y16,Tabla_Conjuros,3,FALSE))</f>
        <v/>
      </c>
      <c r="AD16" s="1873" t="str">
        <f t="shared" si="0"/>
        <v/>
      </c>
      <c r="AE16" s="4092"/>
      <c r="AF16" s="3737"/>
      <c r="AG16" s="4104"/>
      <c r="AH16" s="4104"/>
      <c r="AI16" s="4104"/>
      <c r="AJ16" s="4104"/>
      <c r="AK16" s="2160"/>
      <c r="AL16" s="3021">
        <f>IF(Místicos!AG16=0,0,VLOOKUP(Místicos!AG16,Tablas!#REF!,2,FALSE)-10)</f>
        <v>0</v>
      </c>
      <c r="AM16" s="173"/>
      <c r="AN16" s="1975"/>
      <c r="AO16" s="1962">
        <v>1</v>
      </c>
      <c r="AP16" s="4253">
        <f>VLOOKUP(AO16,Tabla_MagiaNatural_DifBase,2,FALSE)+IF(NOT($AS$10="Magia Natural"),4,0)+IF($AR$32="",0,IF(ISNUMBER(SEARCH("(",$AR$32)),-4,-2))</f>
        <v>18</v>
      </c>
      <c r="AQ16" s="4253"/>
      <c r="AR16" s="1960">
        <v>20</v>
      </c>
      <c r="AS16" s="1961" t="s">
        <v>1690</v>
      </c>
      <c r="AT16" s="1961">
        <v>40</v>
      </c>
      <c r="AU16" s="1961">
        <v>80</v>
      </c>
      <c r="AV16" s="1963">
        <v>4</v>
      </c>
      <c r="AW16" s="1993"/>
      <c r="AX16" s="1694"/>
      <c r="AY16" s="1873">
        <f>IF(AC16="",0,VLOOKUP(AC16,Tablas!$M$1024:$N$1033,2)*VLOOKUP(W16,Tabla_CosteConjuros,3))</f>
        <v>0</v>
      </c>
    </row>
    <row r="17" spans="1:51" ht="12" customHeight="1" thickBot="1" x14ac:dyDescent="0.25">
      <c r="A17" s="173"/>
      <c r="B17" s="1861">
        <f>IF(E17=0,0,IF(OR(VLOOKUP(E17,Tablas!$C$1067:$J$1080,2,FALSE)=C17,VLOOKUP(E17,Tablas!$C$1067:$J$1080,3,FALSE)=C17,VLOOKUP(E17,Tablas!$C$1067:$J$1080,4,FALSE)=C17,VLOOKUP(E17,Tablas!$C$1067:$J$1080,5,FALSE)=C17,VLOOKUP(E17,Tablas!$C$1067:$J$1080,6,FALSE)=C17,VLOOKUP(E17,Tablas!$C$1067:$J$1080,7,FALSE)=C17,VLOOKUP(E17,Tablas!$C$1067:$J$1080,8,FALSE)=C17),1,0))</f>
        <v>0</v>
      </c>
      <c r="C17" s="4098" t="s">
        <v>1929</v>
      </c>
      <c r="D17" s="4099"/>
      <c r="E17" s="4100"/>
      <c r="F17" s="4101"/>
      <c r="G17" s="1856"/>
      <c r="H17" s="1853">
        <f>ROUNDUP(G17/Tablas!K1039,0)+40*Tablas!G405+Tablas!J1275</f>
        <v>0</v>
      </c>
      <c r="I17" s="219">
        <f>IF(H17&gt;3,VLOOKUP(H17,Tabla_NumeroConjurosLA,3)-IF(Místicos!E17=0,0,VLOOKUP(H17,Tabla_NumeroConjurosLA,2)),0)</f>
        <v>0</v>
      </c>
      <c r="J17" s="4137" t="s">
        <v>1820</v>
      </c>
      <c r="K17" s="4138"/>
      <c r="L17" s="4138"/>
      <c r="M17" s="4139"/>
      <c r="N17" s="4140" t="s">
        <v>2021</v>
      </c>
      <c r="O17" s="4141"/>
      <c r="P17" s="4141"/>
      <c r="Q17" s="222">
        <f>VLOOKUP($L$13,Tabla_MagiaInnata,2)</f>
        <v>0</v>
      </c>
      <c r="R17" s="67"/>
      <c r="S17" s="1698"/>
      <c r="T17" s="1485" t="str">
        <f t="shared" si="1"/>
        <v>Conjuros</v>
      </c>
      <c r="U17" s="173"/>
      <c r="V17" s="1863">
        <f>IF(AC17="",0,VLOOKUP(AC17,Tablas!$M$1024:$N$1033,2))</f>
        <v>0</v>
      </c>
      <c r="W17" s="4085"/>
      <c r="X17" s="3740"/>
      <c r="Y17" s="4105"/>
      <c r="Z17" s="4105"/>
      <c r="AA17" s="4105"/>
      <c r="AB17" s="4105"/>
      <c r="AC17" s="1616" t="str">
        <f>IF(Místicos!Y17=0,"",VLOOKUP(Místicos!Y17,Tabla_Conjuros,3,FALSE))</f>
        <v/>
      </c>
      <c r="AD17" s="1873" t="str">
        <f t="shared" si="0"/>
        <v/>
      </c>
      <c r="AE17" s="4085"/>
      <c r="AF17" s="3740"/>
      <c r="AG17" s="4105"/>
      <c r="AH17" s="4105"/>
      <c r="AI17" s="4105"/>
      <c r="AJ17" s="4105"/>
      <c r="AK17" s="2188"/>
      <c r="AL17" s="3021">
        <f>IF(Místicos!AG17=0,0,VLOOKUP(Místicos!AG17,Tablas!#REF!,2,FALSE)-10)</f>
        <v>0</v>
      </c>
      <c r="AM17" s="173"/>
      <c r="AN17" s="1975"/>
      <c r="AO17" s="1962">
        <v>2</v>
      </c>
      <c r="AP17" s="4253">
        <f>VLOOKUP(AO17,Tabla_MagiaNatural_DifBase,2,FALSE)+IF(NOT($AS$10="Magia Natural"),4,0)+IF($AR$32="",0,IF(ISNUMBER(SEARCH("(",$AR$32)),-4,-2))</f>
        <v>22</v>
      </c>
      <c r="AQ17" s="4253"/>
      <c r="AR17" s="1960">
        <v>50</v>
      </c>
      <c r="AS17" s="1961" t="s">
        <v>7023</v>
      </c>
      <c r="AT17" s="1961">
        <v>150</v>
      </c>
      <c r="AU17" s="1961">
        <v>100</v>
      </c>
      <c r="AV17" s="1963">
        <v>6</v>
      </c>
      <c r="AW17" s="1993"/>
      <c r="AX17" s="1694"/>
      <c r="AY17" s="1873">
        <f>IF(AC17="",0,VLOOKUP(AC17,Tablas!$M$1024:$N$1033,2)*VLOOKUP(W17,Tabla_CosteConjuros,3))</f>
        <v>0</v>
      </c>
    </row>
    <row r="18" spans="1:51" ht="12" customHeight="1" x14ac:dyDescent="0.2">
      <c r="A18" s="173"/>
      <c r="B18" s="1861">
        <f>IF(E18=0,0,IF(OR(VLOOKUP(E18,Tablas!$C$1067:$J$1080,2,FALSE)=C18,VLOOKUP(E18,Tablas!$C$1067:$J$1080,3,FALSE)=C18,VLOOKUP(E18,Tablas!$C$1067:$J$1080,4,FALSE)=C18,VLOOKUP(E18,Tablas!$C$1067:$J$1080,5,FALSE)=C18,VLOOKUP(E18,Tablas!$C$1067:$J$1080,6,FALSE)=C18,VLOOKUP(E18,Tablas!$C$1067:$J$1080,7,FALSE)=C18,VLOOKUP(E18,Tablas!$C$1067:$J$1080,8,FALSE)=C18),1,0))</f>
        <v>0</v>
      </c>
      <c r="C18" s="4077" t="s">
        <v>1925</v>
      </c>
      <c r="D18" s="4078"/>
      <c r="E18" s="4079"/>
      <c r="F18" s="4080"/>
      <c r="G18" s="1854"/>
      <c r="H18" s="1855">
        <f>ROUNDUP(G18/Tablas!K1040,0)+40*Tablas!G406+Tablas!J1276</f>
        <v>0</v>
      </c>
      <c r="I18" s="219">
        <f>IF(H18&gt;3,VLOOKUP(H18,Tabla_NumeroConjurosLA,3)-IF(Místicos!E18=0,0,VLOOKUP(H18,Tabla_NumeroConjurosLA,2)),0)</f>
        <v>0</v>
      </c>
      <c r="J18" s="4124" t="s">
        <v>2022</v>
      </c>
      <c r="K18" s="4125">
        <f>Zeón_final+L20-IF(AS10="Onmyodo",SUM($AV$62:$AV$72),0)</f>
        <v>70</v>
      </c>
      <c r="L18" s="4125"/>
      <c r="M18" s="4111"/>
      <c r="N18" s="4112"/>
      <c r="O18" s="4112"/>
      <c r="P18" s="4112"/>
      <c r="Q18" s="4113"/>
      <c r="R18" s="67"/>
      <c r="S18" s="1698"/>
      <c r="T18" s="1485" t="str">
        <f t="shared" si="1"/>
        <v>Conjuros</v>
      </c>
      <c r="U18" s="173"/>
      <c r="V18" s="1863">
        <f>IF(AC18="",0,VLOOKUP(AC18,Tablas!$M$1024:$N$1033,2))</f>
        <v>0</v>
      </c>
      <c r="W18" s="4092"/>
      <c r="X18" s="3737"/>
      <c r="Y18" s="4104"/>
      <c r="Z18" s="4104"/>
      <c r="AA18" s="4104"/>
      <c r="AB18" s="4104"/>
      <c r="AC18" s="2162" t="str">
        <f>IF(Místicos!Y18=0,"",VLOOKUP(Místicos!Y18,Tabla_Conjuros,3,FALSE))</f>
        <v/>
      </c>
      <c r="AD18" s="1873" t="str">
        <f t="shared" si="0"/>
        <v/>
      </c>
      <c r="AE18" s="4092"/>
      <c r="AF18" s="3737"/>
      <c r="AG18" s="4104"/>
      <c r="AH18" s="4104"/>
      <c r="AI18" s="4104"/>
      <c r="AJ18" s="4104"/>
      <c r="AK18" s="2160"/>
      <c r="AL18" s="3021">
        <f>IF(Místicos!AG18=0,0,VLOOKUP(Místicos!AG18,Tablas!#REF!,2,FALSE)-10)</f>
        <v>0</v>
      </c>
      <c r="AM18" s="173"/>
      <c r="AN18" s="1975"/>
      <c r="AO18" s="1962">
        <v>3</v>
      </c>
      <c r="AP18" s="4253">
        <f>VLOOKUP(AO18,Tabla_MagiaNatural_DifBase,2,FALSE)+IF(NOT($AS$10="Magia Natural"),4,0)+IF($AR$32="",0,IF(ISNUMBER(SEARCH("(",$AR$32)),-4,-2))</f>
        <v>28</v>
      </c>
      <c r="AQ18" s="4253"/>
      <c r="AR18" s="1960">
        <v>100</v>
      </c>
      <c r="AS18" s="1961" t="s">
        <v>8475</v>
      </c>
      <c r="AT18" s="1961">
        <v>500</v>
      </c>
      <c r="AU18" s="1961">
        <v>120</v>
      </c>
      <c r="AV18" s="1963">
        <v>9</v>
      </c>
      <c r="AW18" s="1993"/>
      <c r="AX18" s="1694"/>
      <c r="AY18" s="1873">
        <f>IF(AC18="",0,VLOOKUP(AC18,Tablas!$M$1024:$N$1033,2)*VLOOKUP(W18,Tabla_CosteConjuros,3))</f>
        <v>0</v>
      </c>
    </row>
    <row r="19" spans="1:51" ht="12" customHeight="1" x14ac:dyDescent="0.2">
      <c r="A19" s="173"/>
      <c r="B19" s="1861">
        <f>IF(E19=0,0,IF(OR(VLOOKUP(E19,Tablas!$C$1067:$J$1080,2,FALSE)=C19,VLOOKUP(E19,Tablas!$C$1067:$J$1080,3,FALSE)=C19,VLOOKUP(E19,Tablas!$C$1067:$J$1080,4,FALSE)=C19,VLOOKUP(E19,Tablas!$C$1067:$J$1080,5,FALSE)=C19,VLOOKUP(E19,Tablas!$C$1067:$J$1080,6,FALSE)=C19,VLOOKUP(E19,Tablas!$C$1067:$J$1080,7,FALSE)=C19,VLOOKUP(E19,Tablas!$C$1067:$J$1080,8,FALSE)=C19),1,0))</f>
        <v>0</v>
      </c>
      <c r="C19" s="4098" t="s">
        <v>1922</v>
      </c>
      <c r="D19" s="4099"/>
      <c r="E19" s="4100"/>
      <c r="F19" s="4101"/>
      <c r="G19" s="1856"/>
      <c r="H19" s="1853">
        <f>ROUNDUP(G19/Tablas!K1041,0)+40*Tablas!G407+Tablas!J1277</f>
        <v>0</v>
      </c>
      <c r="I19" s="219">
        <f>IF(H19&gt;3,VLOOKUP(H19,Tabla_NumeroConjurosLA,3)-IF(Místicos!E19=0,0,VLOOKUP(H19,Tabla_NumeroConjurosLA,2)),0)</f>
        <v>0</v>
      </c>
      <c r="J19" s="4124"/>
      <c r="K19" s="4125"/>
      <c r="L19" s="4125"/>
      <c r="M19" s="4114"/>
      <c r="N19" s="4115"/>
      <c r="O19" s="4115"/>
      <c r="P19" s="4115"/>
      <c r="Q19" s="4116"/>
      <c r="R19" s="67"/>
      <c r="S19" s="1698"/>
      <c r="T19" s="1485" t="str">
        <f t="shared" si="1"/>
        <v>Conjuros</v>
      </c>
      <c r="U19" s="173"/>
      <c r="V19" s="1863">
        <f>IF(AC19="",0,VLOOKUP(AC19,Tablas!$M$1024:$N$1033,2))</f>
        <v>0</v>
      </c>
      <c r="W19" s="4085"/>
      <c r="X19" s="3740"/>
      <c r="Y19" s="4105"/>
      <c r="Z19" s="4105"/>
      <c r="AA19" s="4105"/>
      <c r="AB19" s="4105"/>
      <c r="AC19" s="1616" t="str">
        <f>IF(Místicos!Y19=0,"",VLOOKUP(Místicos!Y19,Tabla_Conjuros,3,FALSE))</f>
        <v/>
      </c>
      <c r="AD19" s="1873" t="str">
        <f t="shared" si="0"/>
        <v/>
      </c>
      <c r="AE19" s="4085"/>
      <c r="AF19" s="3740"/>
      <c r="AG19" s="4105"/>
      <c r="AH19" s="4105"/>
      <c r="AI19" s="4105"/>
      <c r="AJ19" s="4105"/>
      <c r="AK19" s="2188"/>
      <c r="AL19" s="3021">
        <f>IF(Místicos!AG19=0,0,VLOOKUP(Místicos!AG19,Tablas!#REF!,2,FALSE)-10)</f>
        <v>0</v>
      </c>
      <c r="AM19" s="173"/>
      <c r="AN19" s="1975"/>
      <c r="AO19" s="1962">
        <v>4</v>
      </c>
      <c r="AP19" s="4253">
        <f>VLOOKUP(AO19,Tabla_MagiaNatural_DifBase,2,FALSE)+IF(NOT($AS$10="Magia Natural"),4,0)+IF($AR$32="",0,IF(ISNUMBER(SEARCH("(",$AR$32)),-4,-2))</f>
        <v>34</v>
      </c>
      <c r="AQ19" s="4253"/>
      <c r="AR19" s="1960">
        <v>150</v>
      </c>
      <c r="AS19" s="1961" t="s">
        <v>7026</v>
      </c>
      <c r="AT19" s="1961">
        <v>1000</v>
      </c>
      <c r="AU19" s="1961">
        <v>160</v>
      </c>
      <c r="AV19" s="1963">
        <v>12</v>
      </c>
      <c r="AW19" s="1993"/>
      <c r="AX19" s="1694"/>
      <c r="AY19" s="1873">
        <f>IF(AC19="",0,VLOOKUP(AC19,Tablas!$M$1024:$N$1033,2)*VLOOKUP(W19,Tabla_CosteConjuros,3))</f>
        <v>0</v>
      </c>
    </row>
    <row r="20" spans="1:51" ht="12" customHeight="1" thickBot="1" x14ac:dyDescent="0.25">
      <c r="A20" s="173"/>
      <c r="B20" s="1861">
        <f>IF(E20=0,0,IF(OR(VLOOKUP(E20,Tablas!$C$1067:$J$1080,2,FALSE)=C20,VLOOKUP(E20,Tablas!$C$1067:$J$1080,3,FALSE)=C20,VLOOKUP(E20,Tablas!$C$1067:$J$1080,4,FALSE)=C20,VLOOKUP(E20,Tablas!$C$1067:$J$1080,5,FALSE)=C20,VLOOKUP(E20,Tablas!$C$1067:$J$1080,6,FALSE)=C20,VLOOKUP(E20,Tablas!$C$1067:$J$1080,7,FALSE)=C20,VLOOKUP(E20,Tablas!$C$1067:$J$1080,8,FALSE)=C20),1,0))</f>
        <v>0</v>
      </c>
      <c r="C20" s="4077" t="s">
        <v>2024</v>
      </c>
      <c r="D20" s="4078"/>
      <c r="E20" s="4079"/>
      <c r="F20" s="4080"/>
      <c r="G20" s="1854"/>
      <c r="H20" s="1855">
        <f>ROUNDUP(G20/Tablas!K1042,0)+40*Tablas!G408+Tablas!J1278</f>
        <v>0</v>
      </c>
      <c r="I20" s="219">
        <f>IF(H20&gt;3,VLOOKUP(H20,Tabla_NumeroConjurosLA,3)-IF(Místicos!E20=0,0,VLOOKUP(H20,Tabla_NumeroConjurosLA,2)),0)</f>
        <v>0</v>
      </c>
      <c r="J20" s="4102" t="s">
        <v>2023</v>
      </c>
      <c r="K20" s="4102"/>
      <c r="L20" s="223"/>
      <c r="M20" s="4114"/>
      <c r="N20" s="4115"/>
      <c r="O20" s="4115"/>
      <c r="P20" s="4115"/>
      <c r="Q20" s="4116"/>
      <c r="R20" s="67"/>
      <c r="S20" s="1698"/>
      <c r="T20" s="1485" t="str">
        <f t="shared" si="1"/>
        <v>Conjuros</v>
      </c>
      <c r="U20" s="173"/>
      <c r="V20" s="1863">
        <f>IF(AC20="",0,VLOOKUP(AC20,Tablas!$M$1024:$N$1033,2))</f>
        <v>0</v>
      </c>
      <c r="W20" s="4092"/>
      <c r="X20" s="3737"/>
      <c r="Y20" s="4104"/>
      <c r="Z20" s="4104"/>
      <c r="AA20" s="4104"/>
      <c r="AB20" s="4104"/>
      <c r="AC20" s="2162" t="str">
        <f>IF(Místicos!Y20=0,"",VLOOKUP(Místicos!Y20,Tabla_Conjuros,3,FALSE))</f>
        <v/>
      </c>
      <c r="AD20" s="1873" t="str">
        <f t="shared" si="0"/>
        <v/>
      </c>
      <c r="AE20" s="4092"/>
      <c r="AF20" s="3737"/>
      <c r="AG20" s="4104"/>
      <c r="AH20" s="4104"/>
      <c r="AI20" s="4104"/>
      <c r="AJ20" s="4104"/>
      <c r="AK20" s="2160"/>
      <c r="AL20" s="3021">
        <f>IF(Místicos!AG20=0,0,VLOOKUP(Místicos!AG20,Tablas!#REF!,2,FALSE)-10)</f>
        <v>0</v>
      </c>
      <c r="AM20" s="173"/>
      <c r="AN20" s="1975"/>
      <c r="AO20" s="1964">
        <v>5</v>
      </c>
      <c r="AP20" s="4292">
        <f>VLOOKUP(AO20,Tabla_MagiaNatural_DifBase,2,FALSE)+IF(NOT($AS$10="Magia Natural"),4,0)+IF($AR$32="",0,IF(ISNUMBER(SEARCH("(",$AR$32)),-4,-2))</f>
        <v>40</v>
      </c>
      <c r="AQ20" s="4292"/>
      <c r="AR20" s="1965">
        <v>250</v>
      </c>
      <c r="AS20" s="1966" t="s">
        <v>8474</v>
      </c>
      <c r="AT20" s="1966">
        <v>2500</v>
      </c>
      <c r="AU20" s="1966">
        <v>180</v>
      </c>
      <c r="AV20" s="1967">
        <v>16</v>
      </c>
      <c r="AW20" s="1993"/>
      <c r="AX20" s="1694"/>
      <c r="AY20" s="1873">
        <f>IF(AC20="",0,VLOOKUP(AC20,Tablas!$M$1024:$N$1033,2)*VLOOKUP(W20,Tabla_CosteConjuros,3))</f>
        <v>0</v>
      </c>
    </row>
    <row r="21" spans="1:51" ht="12" customHeight="1" thickBot="1" x14ac:dyDescent="0.25">
      <c r="A21" s="173"/>
      <c r="B21" s="1861">
        <f>IF(E21=0,0,IF(OR(VLOOKUP(E21,Tablas!$C$1067:$J$1080,2,FALSE)=C21,VLOOKUP(E21,Tablas!$C$1067:$J$1080,3,FALSE)=C21,VLOOKUP(E21,Tablas!$C$1067:$J$1080,4,FALSE)=C21,VLOOKUP(E21,Tablas!$C$1067:$J$1080,5,FALSE)=C21,VLOOKUP(E21,Tablas!$C$1067:$J$1080,6,FALSE)=C21,VLOOKUP(E21,Tablas!$C$1067:$J$1080,7,FALSE)=C21,VLOOKUP(E21,Tablas!$C$1067:$J$1080,8,FALSE)=C21),1,0))</f>
        <v>0</v>
      </c>
      <c r="C21" s="4098" t="s">
        <v>2026</v>
      </c>
      <c r="D21" s="4099"/>
      <c r="E21" s="4100"/>
      <c r="F21" s="4101"/>
      <c r="G21" s="1856"/>
      <c r="H21" s="1853">
        <f>ROUNDUP(G21/Tablas!K1043,0)+40*Tablas!G409+Tablas!J1279</f>
        <v>0</v>
      </c>
      <c r="I21" s="219">
        <f>IF(H21&gt;3,VLOOKUP(H21,Tabla_NumeroConjurosLA,2)-IF(Místicos!E21=0,0,VLOOKUP(H21,Tabla_NumeroConjurosLA,2)),0)</f>
        <v>0</v>
      </c>
      <c r="J21" s="4103" t="s">
        <v>2025</v>
      </c>
      <c r="K21" s="4103"/>
      <c r="L21" s="224"/>
      <c r="M21" s="4117"/>
      <c r="N21" s="4118"/>
      <c r="O21" s="4118"/>
      <c r="P21" s="4118"/>
      <c r="Q21" s="4119"/>
      <c r="R21" s="67"/>
      <c r="S21" s="1698"/>
      <c r="T21" s="1485" t="str">
        <f t="shared" si="1"/>
        <v>Conjuros</v>
      </c>
      <c r="U21" s="173"/>
      <c r="V21" s="1863">
        <f>IF(AC21="",0,VLOOKUP(AC21,Tablas!$M$1024:$N$1033,2))</f>
        <v>0</v>
      </c>
      <c r="W21" s="4085"/>
      <c r="X21" s="3740"/>
      <c r="Y21" s="4105"/>
      <c r="Z21" s="4105"/>
      <c r="AA21" s="4105"/>
      <c r="AB21" s="4105"/>
      <c r="AC21" s="1616" t="str">
        <f>IF(Místicos!Y21=0,"",VLOOKUP(Místicos!Y21,Tabla_Conjuros,3,FALSE))</f>
        <v/>
      </c>
      <c r="AD21" s="1873" t="str">
        <f t="shared" si="0"/>
        <v/>
      </c>
      <c r="AE21" s="4085"/>
      <c r="AF21" s="3740"/>
      <c r="AG21" s="4105"/>
      <c r="AH21" s="4105"/>
      <c r="AI21" s="4105"/>
      <c r="AJ21" s="4105"/>
      <c r="AK21" s="2188"/>
      <c r="AL21" s="3021">
        <f>IF(Místicos!AG21=0,0,VLOOKUP(Místicos!AG21,Tablas!#REF!,2,FALSE)-10)</f>
        <v>0</v>
      </c>
      <c r="AM21" s="173"/>
      <c r="AN21" s="1975"/>
      <c r="AW21" s="1993"/>
      <c r="AX21" s="1694"/>
      <c r="AY21" s="1873">
        <f>IF(AC21="",0,VLOOKUP(AC21,Tablas!$M$1024:$N$1033,2)*VLOOKUP(W21,Tabla_CosteConjuros,3))</f>
        <v>0</v>
      </c>
    </row>
    <row r="22" spans="1:51" ht="12" customHeight="1" thickBot="1" x14ac:dyDescent="0.25">
      <c r="A22" s="173"/>
      <c r="B22" s="1861">
        <f>IF(E22=0,0,IF(OR(VLOOKUP(E22,Tablas!$C$1067:$J$1080,2,FALSE)=C22,VLOOKUP(E22,Tablas!$C$1067:$J$1080,3,FALSE)=C22,VLOOKUP(E22,Tablas!$C$1067:$J$1080,4,FALSE)=C22,VLOOKUP(E22,Tablas!$C$1067:$J$1080,5,FALSE)=C22,VLOOKUP(E22,Tablas!$C$1067:$J$1080,6,FALSE)=C22,VLOOKUP(E22,Tablas!$C$1067:$J$1080,7,FALSE)=C22,VLOOKUP(E22,Tablas!$C$1067:$J$1080,8,FALSE)=C22),1,0))</f>
        <v>0</v>
      </c>
      <c r="C22" s="4077" t="s">
        <v>2027</v>
      </c>
      <c r="D22" s="4078"/>
      <c r="E22" s="4079"/>
      <c r="F22" s="4080"/>
      <c r="G22" s="1854"/>
      <c r="H22" s="1855">
        <f>ROUNDUP(G22/Tablas!K1044,0)+40*Tablas!G410+Tablas!J1280</f>
        <v>0</v>
      </c>
      <c r="I22" s="219">
        <f>IF(H22&gt;3,VLOOKUP(H22,Tabla_NumeroConjurosLA,2)-IF(Místicos!E22=0,0,VLOOKUP(H22,Tabla_NumeroConjurosLA,2)),0)</f>
        <v>0</v>
      </c>
      <c r="J22" s="67"/>
      <c r="K22" s="67"/>
      <c r="L22" s="67"/>
      <c r="M22" s="67"/>
      <c r="N22" s="96"/>
      <c r="O22" s="67"/>
      <c r="P22" s="67"/>
      <c r="Q22" s="67"/>
      <c r="R22" s="67"/>
      <c r="S22" s="1698"/>
      <c r="T22" s="1485" t="str">
        <f t="shared" si="1"/>
        <v>Conjuros</v>
      </c>
      <c r="U22" s="173"/>
      <c r="V22" s="1863">
        <f>IF(AC22="",0,VLOOKUP(AC22,Tablas!$M$1024:$N$1033,2))</f>
        <v>0</v>
      </c>
      <c r="W22" s="4092"/>
      <c r="X22" s="3737"/>
      <c r="Y22" s="4104"/>
      <c r="Z22" s="4104"/>
      <c r="AA22" s="4104"/>
      <c r="AB22" s="4104"/>
      <c r="AC22" s="2162" t="str">
        <f>IF(Místicos!Y22=0,"",VLOOKUP(Místicos!Y22,Tabla_Conjuros,3,FALSE))</f>
        <v/>
      </c>
      <c r="AD22" s="1873" t="str">
        <f t="shared" si="0"/>
        <v/>
      </c>
      <c r="AE22" s="4092"/>
      <c r="AF22" s="3737"/>
      <c r="AG22" s="4104"/>
      <c r="AH22" s="4104"/>
      <c r="AI22" s="4104"/>
      <c r="AJ22" s="4104"/>
      <c r="AK22" s="2160"/>
      <c r="AL22" s="3021">
        <f>IF(Místicos!AG22=0,0,VLOOKUP(Místicos!AG22,Tablas!#REF!,2,FALSE)-10)</f>
        <v>0</v>
      </c>
      <c r="AM22" s="173"/>
      <c r="AN22" s="1975"/>
      <c r="AO22" s="4249" t="s">
        <v>8482</v>
      </c>
      <c r="AP22" s="4250"/>
      <c r="AQ22" s="4250"/>
      <c r="AR22" s="4250"/>
      <c r="AS22" s="4250"/>
      <c r="AT22" s="4250"/>
      <c r="AU22" s="4250"/>
      <c r="AV22" s="4251"/>
      <c r="AW22" s="1993"/>
      <c r="AX22" s="1694"/>
      <c r="AY22" s="1873">
        <f>IF(AC22="",0,VLOOKUP(AC22,Tablas!$M$1024:$N$1033,2)*VLOOKUP(W22,Tabla_CosteConjuros,3))</f>
        <v>0</v>
      </c>
    </row>
    <row r="23" spans="1:51" ht="12" customHeight="1" thickBot="1" x14ac:dyDescent="0.25">
      <c r="A23" s="173"/>
      <c r="B23" s="1861">
        <f>IF(E23=0,0,IF(OR(VLOOKUP(E23,Tablas!$C$1067:$J$1080,2,FALSE)=C23,VLOOKUP(E23,Tablas!$C$1067:$J$1080,3,FALSE)=C23,VLOOKUP(E23,Tablas!$C$1067:$J$1080,4,FALSE)=C23,VLOOKUP(E23,Tablas!$C$1067:$J$1080,5,FALSE)=C23,VLOOKUP(E23,Tablas!$C$1067:$J$1080,6,FALSE)=C23,VLOOKUP(E23,Tablas!$C$1067:$J$1080,7,FALSE)=C23,VLOOKUP(E23,Tablas!$C$1067:$J$1080,8,FALSE)=C23),1,0))</f>
        <v>0</v>
      </c>
      <c r="C23" s="4098" t="s">
        <v>2029</v>
      </c>
      <c r="D23" s="4099"/>
      <c r="E23" s="4100"/>
      <c r="F23" s="4101"/>
      <c r="G23" s="1856"/>
      <c r="H23" s="1853">
        <f>ROUNDUP(G23/Tablas!K1045,0)+40*Tablas!G411+Tablas!J1281</f>
        <v>0</v>
      </c>
      <c r="I23" s="219">
        <f>IF(H23&gt;3,VLOOKUP(H23,Tabla_NumeroConjurosLA,3)-IF(Místicos!E23=0,0,VLOOKUP(H23,Tabla_NumeroConjurosLA,2)),0)</f>
        <v>0</v>
      </c>
      <c r="J23" s="3201" t="s">
        <v>2028</v>
      </c>
      <c r="K23" s="3201"/>
      <c r="L23" s="3201"/>
      <c r="M23" s="3201"/>
      <c r="N23" s="3201"/>
      <c r="O23" s="3201"/>
      <c r="P23" s="3201"/>
      <c r="Q23" s="3201"/>
      <c r="R23" s="67"/>
      <c r="S23" s="1698"/>
      <c r="T23" s="1485" t="str">
        <f t="shared" si="1"/>
        <v>Conjuros</v>
      </c>
      <c r="U23" s="173"/>
      <c r="V23" s="1863">
        <f>IF(AC23="",0,VLOOKUP(AC23,Tablas!$M$1024:$N$1033,2))</f>
        <v>0</v>
      </c>
      <c r="W23" s="4085"/>
      <c r="X23" s="3740"/>
      <c r="Y23" s="4105"/>
      <c r="Z23" s="4105"/>
      <c r="AA23" s="4105"/>
      <c r="AB23" s="4105"/>
      <c r="AC23" s="1616" t="str">
        <f>IF(Místicos!Y23=0,"",VLOOKUP(Místicos!Y23,Tabla_Conjuros,3,FALSE))</f>
        <v/>
      </c>
      <c r="AD23" s="1873" t="str">
        <f t="shared" si="0"/>
        <v/>
      </c>
      <c r="AE23" s="4085"/>
      <c r="AF23" s="3740"/>
      <c r="AG23" s="4105"/>
      <c r="AH23" s="4105"/>
      <c r="AI23" s="4105"/>
      <c r="AJ23" s="4105"/>
      <c r="AK23" s="2188"/>
      <c r="AL23" s="3021">
        <f>IF(Místicos!AG23=0,0,VLOOKUP(Místicos!AG23,Tablas!#REF!,2,FALSE)-10)</f>
        <v>0</v>
      </c>
      <c r="AM23" s="173"/>
      <c r="AN23" s="1975"/>
      <c r="AO23" s="4244" t="s">
        <v>8433</v>
      </c>
      <c r="AP23" s="4071"/>
      <c r="AQ23" s="1882" t="s">
        <v>8483</v>
      </c>
      <c r="AR23" s="4071" t="s">
        <v>8435</v>
      </c>
      <c r="AS23" s="4071"/>
      <c r="AT23" s="1882" t="s">
        <v>8483</v>
      </c>
      <c r="AU23" s="1882" t="s">
        <v>3101</v>
      </c>
      <c r="AV23" s="1953" t="s">
        <v>8483</v>
      </c>
      <c r="AW23" s="1993"/>
      <c r="AX23" s="1694"/>
      <c r="AY23" s="1873">
        <f>IF(AC23="",0,VLOOKUP(AC23,Tablas!$M$1024:$N$1033,2)*VLOOKUP(W23,Tabla_CosteConjuros,3))</f>
        <v>0</v>
      </c>
    </row>
    <row r="24" spans="1:51" ht="12" customHeight="1" x14ac:dyDescent="0.2">
      <c r="A24" s="173"/>
      <c r="B24" s="1861">
        <f>IF(E24=0,0,IF(OR(VLOOKUP(E24,Tablas!$C$1067:$J$1080,2,FALSE)=C24,VLOOKUP(E24,Tablas!$C$1067:$J$1080,3,FALSE)=C24,VLOOKUP(E24,Tablas!$C$1067:$J$1080,4,FALSE)=C24,VLOOKUP(E24,Tablas!$C$1067:$J$1080,5,FALSE)=C24,VLOOKUP(E24,Tablas!$C$1067:$J$1080,6,FALSE)=C24,VLOOKUP(E24,Tablas!$C$1067:$J$1080,7,FALSE)=C24,VLOOKUP(E24,Tablas!$C$1067:$J$1080,8,FALSE)=C24),1,0))</f>
        <v>0</v>
      </c>
      <c r="C24" s="4077" t="s">
        <v>2031</v>
      </c>
      <c r="D24" s="4078"/>
      <c r="E24" s="4079"/>
      <c r="F24" s="4080"/>
      <c r="G24" s="1854"/>
      <c r="H24" s="1855">
        <f>ROUNDUP(G24/Tablas!K1046,0)+40*Tablas!G412+Tablas!J1282</f>
        <v>0</v>
      </c>
      <c r="I24" s="219">
        <f>IF(H24&gt;3,VLOOKUP(H24,Tabla_NumeroConjurosLA,3)-IF(Místicos!E24=0,0,VLOOKUP(H24,Tabla_NumeroConjurosLA,2)),0)</f>
        <v>0</v>
      </c>
      <c r="J24" s="3493" t="s">
        <v>1684</v>
      </c>
      <c r="K24" s="3493"/>
      <c r="L24" s="1862" t="s">
        <v>1728</v>
      </c>
      <c r="M24" s="226" t="s">
        <v>1658</v>
      </c>
      <c r="N24" s="4107" t="s">
        <v>2030</v>
      </c>
      <c r="O24" s="4107"/>
      <c r="P24" s="4107"/>
      <c r="Q24" s="227" t="str">
        <f>IF(P25="Invocador","No","Nv. "&amp;PDs!R15+Tablas!G388+2*Tablas!G389+3*Tablas!G390)</f>
        <v>Nv. 0</v>
      </c>
      <c r="R24" s="67"/>
      <c r="S24" s="1698"/>
      <c r="T24" s="1485" t="str">
        <f t="shared" si="1"/>
        <v>Conjuros</v>
      </c>
      <c r="U24" s="173"/>
      <c r="V24" s="1863">
        <f>IF(AC24="",0,VLOOKUP(AC24,Tablas!$M$1024:$N$1033,2))</f>
        <v>0</v>
      </c>
      <c r="W24" s="4092"/>
      <c r="X24" s="3737"/>
      <c r="Y24" s="4104"/>
      <c r="Z24" s="4104"/>
      <c r="AA24" s="4104"/>
      <c r="AB24" s="4104"/>
      <c r="AC24" s="2162" t="str">
        <f>IF(Místicos!Y24=0,"",VLOOKUP(Místicos!Y24,Tabla_Conjuros,3,FALSE))</f>
        <v/>
      </c>
      <c r="AD24" s="1873" t="str">
        <f t="shared" si="0"/>
        <v/>
      </c>
      <c r="AE24" s="4092"/>
      <c r="AF24" s="3737"/>
      <c r="AG24" s="4104"/>
      <c r="AH24" s="4104"/>
      <c r="AI24" s="4104"/>
      <c r="AJ24" s="4104"/>
      <c r="AK24" s="2160"/>
      <c r="AL24" s="3021">
        <f>IF(Místicos!AG24=0,0,VLOOKUP(Místicos!AG24,Tablas!#REF!,2,FALSE)-10)</f>
        <v>0</v>
      </c>
      <c r="AM24" s="173"/>
      <c r="AN24" s="1975"/>
      <c r="AO24" s="4245" t="s">
        <v>8434</v>
      </c>
      <c r="AP24" s="4246"/>
      <c r="AQ24" s="1959" t="s">
        <v>8452</v>
      </c>
      <c r="AR24" s="4245" t="s">
        <v>8436</v>
      </c>
      <c r="AS24" s="4246"/>
      <c r="AT24" s="1956" t="s">
        <v>8452</v>
      </c>
      <c r="AU24" s="1948" t="s">
        <v>8441</v>
      </c>
      <c r="AV24" s="1983" t="s">
        <v>8468</v>
      </c>
      <c r="AW24" s="1993"/>
      <c r="AX24" s="1694"/>
      <c r="AY24" s="1873">
        <f>IF(AC24="",0,VLOOKUP(AC24,Tablas!$M$1024:$N$1033,2)*VLOOKUP(W24,Tabla_CosteConjuros,3))</f>
        <v>0</v>
      </c>
    </row>
    <row r="25" spans="1:51" ht="12" customHeight="1" x14ac:dyDescent="0.2">
      <c r="A25" s="173"/>
      <c r="B25" s="1861">
        <f>IF(E25=0,0,IF(OR(VLOOKUP(E25,Tablas!$C$1067:$J$1080,2,FALSE)=C25,VLOOKUP(E25,Tablas!$C$1067:$J$1080,3,FALSE)=C25,VLOOKUP(E25,Tablas!$C$1067:$J$1080,4,FALSE)=C25,VLOOKUP(E25,Tablas!$C$1067:$J$1080,5,FALSE)=C25,VLOOKUP(E25,Tablas!$C$1067:$J$1080,6,FALSE)=C25,VLOOKUP(E25,Tablas!$C$1067:$J$1080,7,FALSE)=C25,VLOOKUP(E25,Tablas!$C$1067:$J$1080,8,FALSE)=C25),1,0))</f>
        <v>0</v>
      </c>
      <c r="C25" s="4081" t="s">
        <v>2033</v>
      </c>
      <c r="D25" s="4082"/>
      <c r="E25" s="4083"/>
      <c r="F25" s="4084"/>
      <c r="G25" s="229"/>
      <c r="H25" s="1857">
        <f>ROUNDUP(G25/Tablas!K1047,0)+40*Tablas!G413+Tablas!J1283</f>
        <v>0</v>
      </c>
      <c r="I25" s="219">
        <f>IF(H25&gt;3,VLOOKUP(H25,Tabla_NumeroConjurosLA,2)-IF(Místicos!E25=0,0,VLOOKUP(H25,Tabla_NumeroConjurosLA,2)),0)</f>
        <v>0</v>
      </c>
      <c r="J25" s="4106" t="s">
        <v>1826</v>
      </c>
      <c r="K25" s="4106"/>
      <c r="L25" s="187"/>
      <c r="M25" s="228">
        <f>Convocar_final+L25</f>
        <v>0</v>
      </c>
      <c r="N25" s="3598" t="s">
        <v>2032</v>
      </c>
      <c r="O25" s="3598"/>
      <c r="P25" s="3429"/>
      <c r="Q25" s="3429"/>
      <c r="R25" s="67"/>
      <c r="S25" s="1698"/>
      <c r="T25" s="1485" t="str">
        <f t="shared" si="1"/>
        <v>Conjuros</v>
      </c>
      <c r="U25" s="173"/>
      <c r="V25" s="1863">
        <f>IF(AC25="",0,VLOOKUP(AC25,Tablas!$M$1024:$N$1033,2))</f>
        <v>0</v>
      </c>
      <c r="W25" s="4085"/>
      <c r="X25" s="3740"/>
      <c r="Y25" s="4105"/>
      <c r="Z25" s="4105"/>
      <c r="AA25" s="4105"/>
      <c r="AB25" s="4105"/>
      <c r="AC25" s="1616" t="str">
        <f>IF(Místicos!Y25=0,"",VLOOKUP(Místicos!Y25,Tabla_Conjuros,3,FALSE))</f>
        <v/>
      </c>
      <c r="AD25" s="1873" t="str">
        <f t="shared" si="0"/>
        <v/>
      </c>
      <c r="AE25" s="4085"/>
      <c r="AF25" s="3740"/>
      <c r="AG25" s="4105"/>
      <c r="AH25" s="4105"/>
      <c r="AI25" s="4105"/>
      <c r="AJ25" s="4105"/>
      <c r="AK25" s="2188"/>
      <c r="AL25" s="3021">
        <f>IF(Místicos!AG25=0,0,VLOOKUP(Místicos!AG25,Tablas!#REF!,2,FALSE)-10)</f>
        <v>0</v>
      </c>
      <c r="AM25" s="173"/>
      <c r="AN25" s="1975"/>
      <c r="AO25" s="4240" t="s">
        <v>8430</v>
      </c>
      <c r="AP25" s="4241"/>
      <c r="AQ25" s="1954" t="s">
        <v>3442</v>
      </c>
      <c r="AR25" s="4240" t="s">
        <v>2057</v>
      </c>
      <c r="AS25" s="4241"/>
      <c r="AT25" s="1957" t="s">
        <v>3442</v>
      </c>
      <c r="AU25" s="1949" t="s">
        <v>8442</v>
      </c>
      <c r="AV25" s="1984" t="s">
        <v>4086</v>
      </c>
      <c r="AW25" s="1993"/>
      <c r="AX25" s="1694"/>
      <c r="AY25" s="1873">
        <f>IF(AC25="",0,VLOOKUP(AC25,Tablas!$M$1024:$N$1033,2)*VLOOKUP(W25,Tabla_CosteConjuros,3))</f>
        <v>0</v>
      </c>
    </row>
    <row r="26" spans="1:51" ht="12" customHeight="1" thickBot="1" x14ac:dyDescent="0.25">
      <c r="A26" s="173"/>
      <c r="B26" s="1691"/>
      <c r="C26" s="4086" t="s">
        <v>2006</v>
      </c>
      <c r="D26" s="4087"/>
      <c r="E26" s="4087"/>
      <c r="F26" s="4088"/>
      <c r="G26" s="1930"/>
      <c r="H26" s="1931">
        <f>SUM(V12:V50)</f>
        <v>0</v>
      </c>
      <c r="I26" s="67"/>
      <c r="J26" s="4122" t="s">
        <v>1827</v>
      </c>
      <c r="K26" s="4122"/>
      <c r="L26" s="107"/>
      <c r="M26" s="230">
        <f>Controlar_final+L26</f>
        <v>0</v>
      </c>
      <c r="N26" s="4123" t="str">
        <f>IF(P25=0,"",IF(P25="Invocador","Invocador: No puede convocar criaturas","Elementalismo: +30 sobre seres afines, -30 sobre el resto, -60 sobre opuestos"))</f>
        <v/>
      </c>
      <c r="O26" s="4123"/>
      <c r="P26" s="4123"/>
      <c r="Q26" s="4123"/>
      <c r="R26" s="67"/>
      <c r="S26" s="1698"/>
      <c r="T26" s="1485" t="str">
        <f t="shared" si="1"/>
        <v>Conjuros</v>
      </c>
      <c r="U26" s="173"/>
      <c r="V26" s="1863">
        <f>IF(AC26="",0,VLOOKUP(AC26,Tablas!$M$1024:$N$1033,2))</f>
        <v>0</v>
      </c>
      <c r="W26" s="4092"/>
      <c r="X26" s="3737"/>
      <c r="Y26" s="4104"/>
      <c r="Z26" s="4104"/>
      <c r="AA26" s="4104"/>
      <c r="AB26" s="4104"/>
      <c r="AC26" s="2162" t="str">
        <f>IF(Místicos!Y26=0,"",VLOOKUP(Místicos!Y26,Tabla_Conjuros,3,FALSE))</f>
        <v/>
      </c>
      <c r="AD26" s="1873" t="str">
        <f t="shared" si="0"/>
        <v/>
      </c>
      <c r="AE26" s="4092"/>
      <c r="AF26" s="3737"/>
      <c r="AG26" s="4104"/>
      <c r="AH26" s="4104"/>
      <c r="AI26" s="4104"/>
      <c r="AJ26" s="4104"/>
      <c r="AK26" s="2160"/>
      <c r="AL26" s="3021">
        <f>IF(Místicos!AG26=0,0,VLOOKUP(Místicos!AG26,Tablas!#REF!,2,FALSE)-10)</f>
        <v>0</v>
      </c>
      <c r="AM26" s="173"/>
      <c r="AN26" s="1975"/>
      <c r="AO26" s="4240" t="s">
        <v>8438</v>
      </c>
      <c r="AP26" s="4241"/>
      <c r="AQ26" s="1954" t="s">
        <v>3442</v>
      </c>
      <c r="AR26" s="4240" t="s">
        <v>2059</v>
      </c>
      <c r="AS26" s="4241"/>
      <c r="AT26" s="1957" t="s">
        <v>3351</v>
      </c>
      <c r="AU26" s="1949" t="s">
        <v>8443</v>
      </c>
      <c r="AV26" s="1985" t="s">
        <v>8452</v>
      </c>
      <c r="AW26" s="1993"/>
      <c r="AX26" s="1694"/>
      <c r="AY26" s="1873">
        <f>IF(AC26="",0,VLOOKUP(AC26,Tablas!$M$1024:$N$1033,2)*VLOOKUP(W26,Tabla_CosteConjuros,3))</f>
        <v>0</v>
      </c>
    </row>
    <row r="27" spans="1:51" ht="12" customHeight="1" thickBot="1" x14ac:dyDescent="0.25">
      <c r="A27" s="173"/>
      <c r="B27" s="1691"/>
      <c r="C27" s="4169" t="s">
        <v>8422</v>
      </c>
      <c r="D27" s="4171" t="str">
        <f>Tablas!$L$1045</f>
        <v/>
      </c>
      <c r="E27" s="4172"/>
      <c r="F27" s="4172"/>
      <c r="G27" s="4172"/>
      <c r="H27" s="4173"/>
      <c r="I27" s="96"/>
      <c r="J27" s="4122" t="s">
        <v>1828</v>
      </c>
      <c r="K27" s="4122"/>
      <c r="L27" s="107"/>
      <c r="M27" s="230">
        <f>Atar_final+L27</f>
        <v>0</v>
      </c>
      <c r="N27" s="4123"/>
      <c r="O27" s="4123"/>
      <c r="P27" s="4123"/>
      <c r="Q27" s="4123"/>
      <c r="R27" s="67"/>
      <c r="S27" s="1698"/>
      <c r="T27" s="1485" t="str">
        <f t="shared" si="1"/>
        <v>Conjuros</v>
      </c>
      <c r="U27" s="173"/>
      <c r="V27" s="1863">
        <f>IF(AC27="",0,VLOOKUP(AC27,Tablas!$M$1024:$N$1033,2))</f>
        <v>0</v>
      </c>
      <c r="W27" s="4085"/>
      <c r="X27" s="3740"/>
      <c r="Y27" s="4105"/>
      <c r="Z27" s="4105"/>
      <c r="AA27" s="4105"/>
      <c r="AB27" s="4105"/>
      <c r="AC27" s="1616" t="str">
        <f>IF(Místicos!Y27=0,"",VLOOKUP(Místicos!Y27,Tabla_Conjuros,3,FALSE))</f>
        <v/>
      </c>
      <c r="AD27" s="1873" t="str">
        <f t="shared" si="0"/>
        <v/>
      </c>
      <c r="AE27" s="4085"/>
      <c r="AF27" s="3740"/>
      <c r="AG27" s="4105"/>
      <c r="AH27" s="4105"/>
      <c r="AI27" s="4105"/>
      <c r="AJ27" s="4105"/>
      <c r="AK27" s="2188"/>
      <c r="AL27" s="3021">
        <f>IF(Místicos!AG27=0,0,VLOOKUP(Místicos!AG27,Tablas!#REF!,2,FALSE)-10)</f>
        <v>0</v>
      </c>
      <c r="AM27" s="173"/>
      <c r="AN27" s="1975"/>
      <c r="AO27" s="4240" t="s">
        <v>8439</v>
      </c>
      <c r="AP27" s="4241"/>
      <c r="AQ27" s="1954" t="s">
        <v>3351</v>
      </c>
      <c r="AR27" s="4240" t="s">
        <v>8437</v>
      </c>
      <c r="AS27" s="4241"/>
      <c r="AT27" s="1957" t="s">
        <v>3352</v>
      </c>
      <c r="AU27" s="1949" t="s">
        <v>8444</v>
      </c>
      <c r="AV27" s="1985">
        <v>-2</v>
      </c>
      <c r="AW27" s="1993"/>
      <c r="AX27" s="1694"/>
      <c r="AY27" s="1873">
        <f>IF(AC27="",0,VLOOKUP(AC27,Tablas!$M$1024:$N$1033,2)*VLOOKUP(W27,Tabla_CosteConjuros,3))</f>
        <v>0</v>
      </c>
    </row>
    <row r="28" spans="1:51" ht="12" customHeight="1" thickBot="1" x14ac:dyDescent="0.25">
      <c r="A28" s="173"/>
      <c r="B28" s="1691"/>
      <c r="C28" s="4170"/>
      <c r="D28" s="4174"/>
      <c r="E28" s="4175"/>
      <c r="F28" s="4175"/>
      <c r="G28" s="4175"/>
      <c r="H28" s="4176"/>
      <c r="I28" s="96"/>
      <c r="J28" s="4166" t="s">
        <v>1829</v>
      </c>
      <c r="K28" s="4166"/>
      <c r="L28" s="86"/>
      <c r="M28" s="231">
        <f>Desconvocar_final+L28</f>
        <v>0</v>
      </c>
      <c r="N28" s="4123"/>
      <c r="O28" s="4123"/>
      <c r="P28" s="4123"/>
      <c r="Q28" s="4123"/>
      <c r="R28" s="67"/>
      <c r="S28" s="1698"/>
      <c r="T28" s="1485" t="str">
        <f t="shared" si="1"/>
        <v>Conjuros</v>
      </c>
      <c r="U28" s="173"/>
      <c r="V28" s="1863">
        <f>IF(AC28="",0,VLOOKUP(AC28,Tablas!$M$1024:$N$1033,2))</f>
        <v>0</v>
      </c>
      <c r="W28" s="4092"/>
      <c r="X28" s="3737"/>
      <c r="Y28" s="4104"/>
      <c r="Z28" s="4104"/>
      <c r="AA28" s="4104"/>
      <c r="AB28" s="4104"/>
      <c r="AC28" s="2162" t="str">
        <f>IF(Místicos!Y28=0,"",VLOOKUP(Místicos!Y28,Tabla_Conjuros,3,FALSE))</f>
        <v/>
      </c>
      <c r="AD28" s="1873" t="str">
        <f t="shared" si="0"/>
        <v/>
      </c>
      <c r="AE28" s="4092"/>
      <c r="AF28" s="3737"/>
      <c r="AG28" s="4104"/>
      <c r="AH28" s="4104"/>
      <c r="AI28" s="4104"/>
      <c r="AJ28" s="4104"/>
      <c r="AK28" s="2160"/>
      <c r="AL28" s="3021">
        <f>IF(Místicos!AG28=0,0,VLOOKUP(Místicos!AG28,Tablas!#REF!,2,FALSE)-10)</f>
        <v>0</v>
      </c>
      <c r="AM28" s="173"/>
      <c r="AN28" s="1975"/>
      <c r="AO28" s="4240" t="s">
        <v>8440</v>
      </c>
      <c r="AP28" s="4241"/>
      <c r="AQ28" s="1954" t="s">
        <v>3352</v>
      </c>
      <c r="AR28" s="4240" t="s">
        <v>2062</v>
      </c>
      <c r="AS28" s="4241"/>
      <c r="AT28" s="1957" t="s">
        <v>4086</v>
      </c>
      <c r="AU28" s="1949" t="s">
        <v>8445</v>
      </c>
      <c r="AV28" s="1985">
        <v>-4</v>
      </c>
      <c r="AW28" s="1993"/>
      <c r="AX28" s="1694"/>
      <c r="AY28" s="1873">
        <f>IF(AC28="",0,VLOOKUP(AC28,Tablas!$M$1024:$N$1033,2)*VLOOKUP(W28,Tabla_CosteConjuros,3))</f>
        <v>0</v>
      </c>
    </row>
    <row r="29" spans="1:51" ht="12" customHeight="1" thickBot="1" x14ac:dyDescent="0.25">
      <c r="A29" s="173"/>
      <c r="B29" s="1691"/>
      <c r="C29" s="4163"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164"/>
      <c r="E29" s="4164"/>
      <c r="F29" s="4164"/>
      <c r="G29" s="4164"/>
      <c r="H29" s="4165"/>
      <c r="I29" s="96"/>
      <c r="R29" s="67"/>
      <c r="S29" s="1698"/>
      <c r="T29" s="1485" t="str">
        <f t="shared" si="1"/>
        <v>Conjuros</v>
      </c>
      <c r="U29" s="173"/>
      <c r="V29" s="1863">
        <f>IF(AC29="",0,VLOOKUP(AC29,Tablas!$M$1024:$N$1033,2))</f>
        <v>0</v>
      </c>
      <c r="W29" s="4085"/>
      <c r="X29" s="3740"/>
      <c r="Y29" s="4105"/>
      <c r="Z29" s="4105"/>
      <c r="AA29" s="4105"/>
      <c r="AB29" s="4105"/>
      <c r="AC29" s="1616" t="str">
        <f>IF(Místicos!Y29=0,"",VLOOKUP(Místicos!Y29,Tabla_Conjuros,3,FALSE))</f>
        <v/>
      </c>
      <c r="AD29" s="1873" t="str">
        <f t="shared" si="0"/>
        <v/>
      </c>
      <c r="AE29" s="4085"/>
      <c r="AF29" s="3740"/>
      <c r="AG29" s="4105"/>
      <c r="AH29" s="4105"/>
      <c r="AI29" s="4105"/>
      <c r="AJ29" s="4105"/>
      <c r="AK29" s="2188"/>
      <c r="AL29" s="3021">
        <f>IF(Místicos!AG29=0,0,VLOOKUP(Místicos!AG29,Tablas!#REF!,2,FALSE)-10)</f>
        <v>0</v>
      </c>
      <c r="AM29" s="173"/>
      <c r="AN29" s="1975"/>
      <c r="AO29" s="4242" t="s">
        <v>8476</v>
      </c>
      <c r="AP29" s="4243"/>
      <c r="AQ29" s="1955" t="s">
        <v>4086</v>
      </c>
      <c r="AR29" s="4242" t="s">
        <v>2067</v>
      </c>
      <c r="AS29" s="4243"/>
      <c r="AT29" s="1958" t="s">
        <v>8453</v>
      </c>
      <c r="AU29" s="1949" t="s">
        <v>8446</v>
      </c>
      <c r="AV29" s="1985">
        <v>-6</v>
      </c>
      <c r="AW29" s="1993"/>
      <c r="AX29" s="1694"/>
      <c r="AY29" s="1873">
        <f>IF(AC29="",0,VLOOKUP(AC29,Tablas!$M$1024:$N$1033,2)*VLOOKUP(W29,Tabla_CosteConjuros,3))</f>
        <v>0</v>
      </c>
    </row>
    <row r="30" spans="1:51" ht="12" customHeight="1" thickBot="1" x14ac:dyDescent="0.25">
      <c r="A30" s="173"/>
      <c r="B30" s="1691"/>
      <c r="C30" s="67"/>
      <c r="D30" s="67"/>
      <c r="E30" s="67"/>
      <c r="F30" s="67"/>
      <c r="G30" s="67"/>
      <c r="H30" s="67"/>
      <c r="I30" s="96"/>
      <c r="R30" s="67"/>
      <c r="S30" s="1698"/>
      <c r="T30" s="1485" t="str">
        <f t="shared" si="1"/>
        <v>Conjuros</v>
      </c>
      <c r="U30" s="173"/>
      <c r="V30" s="1863">
        <f>IF(AC30="",0,VLOOKUP(AC30,Tablas!$M$1024:$N$1033,2))</f>
        <v>0</v>
      </c>
      <c r="W30" s="4092"/>
      <c r="X30" s="3737"/>
      <c r="Y30" s="4104"/>
      <c r="Z30" s="4104"/>
      <c r="AA30" s="4104"/>
      <c r="AB30" s="4104"/>
      <c r="AC30" s="2162" t="str">
        <f>IF(Místicos!Y30=0,"",VLOOKUP(Místicos!Y30,Tabla_Conjuros,3,FALSE))</f>
        <v/>
      </c>
      <c r="AD30" s="1873" t="str">
        <f t="shared" si="0"/>
        <v/>
      </c>
      <c r="AE30" s="4092"/>
      <c r="AF30" s="3737"/>
      <c r="AG30" s="4104"/>
      <c r="AH30" s="4104"/>
      <c r="AI30" s="4104"/>
      <c r="AJ30" s="4104"/>
      <c r="AK30" s="2160"/>
      <c r="AL30" s="3021">
        <f>IF(Místicos!AG30=0,0,VLOOKUP(Místicos!AG30,Tablas!#REF!,2,FALSE)-10)</f>
        <v>0</v>
      </c>
      <c r="AM30" s="173"/>
      <c r="AN30" s="1975"/>
      <c r="AO30" s="1951"/>
      <c r="AP30" s="1843"/>
      <c r="AQ30" s="1951"/>
      <c r="AR30" s="1843"/>
      <c r="AS30" s="1766"/>
      <c r="AT30" s="1766"/>
      <c r="AU30" s="1949" t="s">
        <v>8447</v>
      </c>
      <c r="AV30" s="1985">
        <v>-8</v>
      </c>
      <c r="AW30" s="1993"/>
      <c r="AX30" s="1694"/>
      <c r="AY30" s="1873">
        <f>IF(AC30="",0,VLOOKUP(AC30,Tablas!$M$1024:$N$1033,2)*VLOOKUP(W30,Tabla_CosteConjuros,3))</f>
        <v>0</v>
      </c>
    </row>
    <row r="31" spans="1:51" ht="12" customHeight="1" thickBot="1" x14ac:dyDescent="0.25">
      <c r="A31" s="173"/>
      <c r="B31" s="1691"/>
      <c r="C31" s="3251" t="s">
        <v>2034</v>
      </c>
      <c r="D31" s="3251"/>
      <c r="E31" s="3251"/>
      <c r="F31" s="3251"/>
      <c r="G31" s="3251"/>
      <c r="H31" s="3911" t="s">
        <v>2035</v>
      </c>
      <c r="I31" s="96"/>
      <c r="J31" s="3297" t="s">
        <v>2036</v>
      </c>
      <c r="K31" s="3298"/>
      <c r="L31" s="3298"/>
      <c r="M31" s="3298"/>
      <c r="N31" s="3298"/>
      <c r="O31" s="3298"/>
      <c r="P31" s="3298"/>
      <c r="Q31" s="3299"/>
      <c r="R31" s="67"/>
      <c r="S31" s="1698"/>
      <c r="T31" s="1485" t="str">
        <f t="shared" si="1"/>
        <v>Conjuros</v>
      </c>
      <c r="U31" s="173"/>
      <c r="V31" s="1863">
        <f>IF(AC31="",0,VLOOKUP(AC31,Tablas!$M$1024:$N$1033,2))</f>
        <v>0</v>
      </c>
      <c r="W31" s="4085"/>
      <c r="X31" s="3740"/>
      <c r="Y31" s="4105"/>
      <c r="Z31" s="4105"/>
      <c r="AA31" s="4105"/>
      <c r="AB31" s="4105"/>
      <c r="AC31" s="1616" t="str">
        <f>IF(Místicos!Y31=0,"",VLOOKUP(Místicos!Y31,Tabla_Conjuros,3,FALSE))</f>
        <v/>
      </c>
      <c r="AD31" s="1873" t="str">
        <f t="shared" si="0"/>
        <v/>
      </c>
      <c r="AE31" s="4085"/>
      <c r="AF31" s="3740"/>
      <c r="AG31" s="4105"/>
      <c r="AH31" s="4105"/>
      <c r="AI31" s="4105"/>
      <c r="AJ31" s="4105"/>
      <c r="AK31" s="2188"/>
      <c r="AL31" s="3021">
        <f>IF(Místicos!AG31=0,0,VLOOKUP(Místicos!AG31,Tablas!#REF!,2,FALSE)-10)</f>
        <v>0</v>
      </c>
      <c r="AM31" s="173"/>
      <c r="AN31" s="1975"/>
      <c r="AO31" s="1951"/>
      <c r="AP31" s="4094" t="s">
        <v>3102</v>
      </c>
      <c r="AQ31" s="4095"/>
      <c r="AR31" s="4095" t="s">
        <v>7759</v>
      </c>
      <c r="AS31" s="4272"/>
      <c r="AT31" s="1766"/>
      <c r="AU31" s="1949" t="s">
        <v>8448</v>
      </c>
      <c r="AV31" s="1985">
        <v>-10</v>
      </c>
      <c r="AW31" s="1993"/>
      <c r="AX31" s="1694"/>
      <c r="AY31" s="1873">
        <f>IF(AC31="",0,VLOOKUP(AC31,Tablas!$M$1024:$N$1033,2)*VLOOKUP(W31,Tabla_CosteConjuros,3))</f>
        <v>0</v>
      </c>
    </row>
    <row r="32" spans="1:51" ht="12" customHeight="1" thickBot="1" x14ac:dyDescent="0.25">
      <c r="A32" s="173"/>
      <c r="B32" s="1691"/>
      <c r="C32" s="4024" t="s">
        <v>2037</v>
      </c>
      <c r="D32" s="4024"/>
      <c r="E32" s="4024"/>
      <c r="F32" s="4024"/>
      <c r="G32" s="4024"/>
      <c r="H32" s="3911"/>
      <c r="I32" s="96"/>
      <c r="J32" s="4167" t="s">
        <v>1751</v>
      </c>
      <c r="K32" s="4168"/>
      <c r="L32" s="4168"/>
      <c r="M32" s="4168"/>
      <c r="N32" s="4168"/>
      <c r="O32" s="4168"/>
      <c r="P32" s="1874" t="s">
        <v>2038</v>
      </c>
      <c r="Q32" s="1849" t="s">
        <v>1820</v>
      </c>
      <c r="R32" s="67"/>
      <c r="S32" s="1698"/>
      <c r="T32" s="1485" t="str">
        <f t="shared" si="1"/>
        <v>Conjuros</v>
      </c>
      <c r="U32" s="173"/>
      <c r="V32" s="1863">
        <f>IF(AC32="",0,VLOOKUP(AC32,Tablas!$M$1024:$N$1033,2))</f>
        <v>0</v>
      </c>
      <c r="W32" s="4092"/>
      <c r="X32" s="3737"/>
      <c r="Y32" s="4104"/>
      <c r="Z32" s="4104"/>
      <c r="AA32" s="4104"/>
      <c r="AB32" s="4104"/>
      <c r="AC32" s="2162" t="str">
        <f>IF(Místicos!Y32=0,"",VLOOKUP(Místicos!Y32,Tabla_Conjuros,3,FALSE))</f>
        <v/>
      </c>
      <c r="AD32" s="1873" t="str">
        <f t="shared" si="0"/>
        <v/>
      </c>
      <c r="AE32" s="4092"/>
      <c r="AF32" s="3737"/>
      <c r="AG32" s="4104"/>
      <c r="AH32" s="4104"/>
      <c r="AI32" s="4104"/>
      <c r="AJ32" s="4104"/>
      <c r="AK32" s="2160"/>
      <c r="AL32" s="3021">
        <f>IF(Místicos!AG32=0,0,VLOOKUP(Místicos!AG32,Tablas!#REF!,2,FALSE)-10)</f>
        <v>0</v>
      </c>
      <c r="AM32" s="173"/>
      <c r="AN32" s="1975"/>
      <c r="AO32" s="1951"/>
      <c r="AP32" s="4268">
        <f>Presencia_final*2+Bono_Des</f>
        <v>40</v>
      </c>
      <c r="AQ32" s="4269"/>
      <c r="AR32" s="4264"/>
      <c r="AS32" s="4265"/>
      <c r="AT32" s="1766"/>
      <c r="AU32" s="1949" t="s">
        <v>8449</v>
      </c>
      <c r="AV32" s="1985">
        <v>-12</v>
      </c>
      <c r="AW32" s="1993"/>
      <c r="AX32" s="1694"/>
      <c r="AY32" s="1873">
        <f>IF(AC32="",0,VLOOKUP(AC32,Tablas!$M$1024:$N$1033,2)*VLOOKUP(W32,Tabla_CosteConjuros,3))</f>
        <v>0</v>
      </c>
    </row>
    <row r="33" spans="1:60" ht="12" customHeight="1" thickBot="1" x14ac:dyDescent="0.25">
      <c r="A33" s="173"/>
      <c r="B33" s="1691"/>
      <c r="C33" s="3234"/>
      <c r="D33" s="4178"/>
      <c r="E33" s="4178"/>
      <c r="F33" s="4178"/>
      <c r="G33" s="4179"/>
      <c r="H33" s="22"/>
      <c r="I33" s="67"/>
      <c r="J33" s="4226"/>
      <c r="K33" s="4227"/>
      <c r="L33" s="4227"/>
      <c r="M33" s="4227"/>
      <c r="N33" s="4227"/>
      <c r="O33" s="4227"/>
      <c r="P33" s="1876" t="str">
        <f>IF(J33=0,"",VLOOKUP(J33,Tablas!$AA$1013:$AC$1182,2,FALSE))</f>
        <v/>
      </c>
      <c r="Q33" s="1850" t="str">
        <f>IF(J33=0,"",VLOOKUP(J33,Tablas!$AA$1013:$AC$1182,3,FALSE)*IF($P$25="Invocador",0.5,1))</f>
        <v/>
      </c>
      <c r="R33" s="67"/>
      <c r="S33" s="1698"/>
      <c r="T33" s="1485" t="str">
        <f t="shared" si="1"/>
        <v>Conjuros</v>
      </c>
      <c r="U33" s="173"/>
      <c r="V33" s="1863">
        <f>IF(AC33="",0,VLOOKUP(AC33,Tablas!$M$1024:$N$1033,2))</f>
        <v>0</v>
      </c>
      <c r="W33" s="4085"/>
      <c r="X33" s="3740"/>
      <c r="Y33" s="4105"/>
      <c r="Z33" s="4105"/>
      <c r="AA33" s="4105"/>
      <c r="AB33" s="4105"/>
      <c r="AC33" s="1616" t="str">
        <f>IF(Místicos!Y33=0,"",VLOOKUP(Místicos!Y33,Tabla_Conjuros,3,FALSE))</f>
        <v/>
      </c>
      <c r="AD33" s="1873" t="str">
        <f t="shared" si="0"/>
        <v/>
      </c>
      <c r="AE33" s="4085"/>
      <c r="AF33" s="3740"/>
      <c r="AG33" s="4105"/>
      <c r="AH33" s="4105"/>
      <c r="AI33" s="4105"/>
      <c r="AJ33" s="4105"/>
      <c r="AK33" s="2188"/>
      <c r="AL33" s="3021">
        <f>IF(Místicos!AG33=0,0,VLOOKUP(Místicos!AG33,Tablas!#REF!,2,FALSE)-10)</f>
        <v>0</v>
      </c>
      <c r="AM33" s="173"/>
      <c r="AN33" s="1975"/>
      <c r="AO33" s="1951"/>
      <c r="AP33" s="4270"/>
      <c r="AQ33" s="4271"/>
      <c r="AR33" s="4266"/>
      <c r="AS33" s="4267"/>
      <c r="AT33" s="1766"/>
      <c r="AU33" s="1949" t="s">
        <v>8450</v>
      </c>
      <c r="AV33" s="1985">
        <v>-14</v>
      </c>
      <c r="AW33" s="1993"/>
      <c r="AX33" s="1694"/>
      <c r="AY33" s="1873">
        <f>IF(AC33="",0,VLOOKUP(AC33,Tablas!$M$1024:$N$1033,2)*VLOOKUP(W33,Tabla_CosteConjuros,3))</f>
        <v>0</v>
      </c>
    </row>
    <row r="34" spans="1:60" ht="12" customHeight="1" x14ac:dyDescent="0.2">
      <c r="A34" s="173"/>
      <c r="B34" s="1691"/>
      <c r="C34" s="4177"/>
      <c r="D34" s="4177"/>
      <c r="E34" s="4177"/>
      <c r="F34" s="4177"/>
      <c r="G34" s="4177"/>
      <c r="H34" s="232"/>
      <c r="I34" s="67"/>
      <c r="J34" s="4183"/>
      <c r="K34" s="4184"/>
      <c r="L34" s="4184"/>
      <c r="M34" s="4184"/>
      <c r="N34" s="4184"/>
      <c r="O34" s="4184"/>
      <c r="P34" s="1877" t="str">
        <f>IF(J34=0,"",VLOOKUP(J34,Tablas!$AA$1013:$AC$1182,2,FALSE))</f>
        <v/>
      </c>
      <c r="Q34" s="1851" t="str">
        <f>IF(J34=0,"",VLOOKUP(J34,Tablas!$AA$1013:$AC$1182,3,FALSE)*IF($P$25="Invocador",0.5,1))</f>
        <v/>
      </c>
      <c r="R34" s="67"/>
      <c r="S34" s="1698"/>
      <c r="T34" s="1485" t="str">
        <f t="shared" si="1"/>
        <v>Conjuros</v>
      </c>
      <c r="U34" s="173"/>
      <c r="V34" s="1863">
        <f>IF(AC34="",0,VLOOKUP(AC34,Tablas!$M$1024:$N$1033,2))</f>
        <v>0</v>
      </c>
      <c r="W34" s="4092"/>
      <c r="X34" s="3737"/>
      <c r="Y34" s="4104"/>
      <c r="Z34" s="4104"/>
      <c r="AA34" s="4104"/>
      <c r="AB34" s="4104"/>
      <c r="AC34" s="2162" t="str">
        <f>IF(Místicos!Y34=0,"",VLOOKUP(Místicos!Y34,Tabla_Conjuros,3,FALSE))</f>
        <v/>
      </c>
      <c r="AD34" s="1873" t="str">
        <f t="shared" si="0"/>
        <v/>
      </c>
      <c r="AE34" s="4092"/>
      <c r="AF34" s="3737"/>
      <c r="AG34" s="4104"/>
      <c r="AH34" s="4104"/>
      <c r="AI34" s="4104"/>
      <c r="AJ34" s="4104"/>
      <c r="AK34" s="2160"/>
      <c r="AL34" s="3021">
        <f>IF(Místicos!AG34=0,0,VLOOKUP(Místicos!AG34,Tablas!#REF!,2,FALSE)-10)</f>
        <v>0</v>
      </c>
      <c r="AM34" s="173"/>
      <c r="AN34" s="1975"/>
      <c r="AO34" s="1951"/>
      <c r="AP34" s="1843"/>
      <c r="AQ34" s="1951"/>
      <c r="AR34" s="1843"/>
      <c r="AS34" s="1766"/>
      <c r="AT34" s="1766"/>
      <c r="AU34" s="1950" t="s">
        <v>8451</v>
      </c>
      <c r="AV34" s="1986">
        <v>-16</v>
      </c>
      <c r="AW34" s="1993"/>
      <c r="AX34" s="1694"/>
      <c r="AY34" s="1873">
        <f>IF(AC34="",0,VLOOKUP(AC34,Tablas!$M$1024:$N$1033,2)*VLOOKUP(W34,Tabla_CosteConjuros,3))</f>
        <v>0</v>
      </c>
    </row>
    <row r="35" spans="1:60" ht="12" customHeight="1" thickBot="1" x14ac:dyDescent="0.25">
      <c r="A35" s="173"/>
      <c r="B35" s="1691"/>
      <c r="C35" s="3230"/>
      <c r="D35" s="3230"/>
      <c r="E35" s="3230"/>
      <c r="F35" s="3230"/>
      <c r="G35" s="3230"/>
      <c r="H35" s="22"/>
      <c r="I35" s="67"/>
      <c r="J35" s="4185"/>
      <c r="K35" s="4186"/>
      <c r="L35" s="4186"/>
      <c r="M35" s="4186"/>
      <c r="N35" s="4186"/>
      <c r="O35" s="4186"/>
      <c r="P35" s="1876" t="str">
        <f>IF(J35=0,"",VLOOKUP(J35,Tablas!$AA$1013:$AC$1182,2,FALSE))</f>
        <v/>
      </c>
      <c r="Q35" s="1850" t="str">
        <f>IF(J35=0,"",VLOOKUP(J35,Tablas!$AA$1013:$AC$1182,3,FALSE)*IF($P$25="Invocador",0.5,1))</f>
        <v/>
      </c>
      <c r="R35" s="67"/>
      <c r="S35" s="1698"/>
      <c r="T35" s="1485" t="str">
        <f t="shared" si="1"/>
        <v>Conjuros</v>
      </c>
      <c r="U35" s="173"/>
      <c r="V35" s="1863">
        <f>IF(AC35="",0,VLOOKUP(AC35,Tablas!$M$1024:$N$1033,2))</f>
        <v>0</v>
      </c>
      <c r="W35" s="4085"/>
      <c r="X35" s="3740"/>
      <c r="Y35" s="4105"/>
      <c r="Z35" s="4105"/>
      <c r="AA35" s="4105"/>
      <c r="AB35" s="4105"/>
      <c r="AC35" s="1616" t="str">
        <f>IF(Místicos!Y35=0,"",VLOOKUP(Místicos!Y35,Tabla_Conjuros,3,FALSE))</f>
        <v/>
      </c>
      <c r="AD35" s="1873" t="str">
        <f t="shared" si="0"/>
        <v/>
      </c>
      <c r="AE35" s="4085"/>
      <c r="AF35" s="3740"/>
      <c r="AG35" s="4105"/>
      <c r="AH35" s="4105"/>
      <c r="AI35" s="4105"/>
      <c r="AJ35" s="4105"/>
      <c r="AK35" s="2188"/>
      <c r="AL35" s="3021">
        <f>IF(Místicos!AG35=0,0,VLOOKUP(Místicos!AG35,Tablas!#REF!,2,FALSE)-10)</f>
        <v>0</v>
      </c>
      <c r="AM35" s="173"/>
      <c r="AN35" s="1975"/>
      <c r="AW35" s="1993"/>
      <c r="AX35" s="1694"/>
      <c r="AY35" s="1873">
        <f>IF(AC35="",0,VLOOKUP(AC35,Tablas!$M$1024:$N$1033,2)*VLOOKUP(W35,Tabla_CosteConjuros,3))</f>
        <v>0</v>
      </c>
    </row>
    <row r="36" spans="1:60" ht="12" customHeight="1" x14ac:dyDescent="0.2">
      <c r="A36" s="173"/>
      <c r="B36" s="1691"/>
      <c r="C36" s="4177"/>
      <c r="D36" s="4177"/>
      <c r="E36" s="4177"/>
      <c r="F36" s="4177"/>
      <c r="G36" s="4177"/>
      <c r="H36" s="232"/>
      <c r="I36" s="67"/>
      <c r="J36" s="4183"/>
      <c r="K36" s="4184"/>
      <c r="L36" s="4184"/>
      <c r="M36" s="4184"/>
      <c r="N36" s="4184"/>
      <c r="O36" s="4184"/>
      <c r="P36" s="1877" t="str">
        <f>IF(J36=0,"",VLOOKUP(J36,Tablas!$AA$1013:$AC$1182,2,FALSE))</f>
        <v/>
      </c>
      <c r="Q36" s="1851" t="str">
        <f>IF(J36=0,"",VLOOKUP(J36,Tablas!$AA$1013:$AC$1182,3,FALSE)*IF($P$25="Invocador",0.5,1))</f>
        <v/>
      </c>
      <c r="R36" s="67"/>
      <c r="S36" s="1698"/>
      <c r="T36" s="1485" t="str">
        <f t="shared" si="1"/>
        <v>Conjuros</v>
      </c>
      <c r="U36" s="173"/>
      <c r="V36" s="1863">
        <f>IF(AC36="",0,VLOOKUP(AC36,Tablas!$M$1024:$N$1033,2))</f>
        <v>0</v>
      </c>
      <c r="W36" s="4092"/>
      <c r="X36" s="3737"/>
      <c r="Y36" s="4104"/>
      <c r="Z36" s="4104"/>
      <c r="AA36" s="4104"/>
      <c r="AB36" s="4104"/>
      <c r="AC36" s="2162" t="str">
        <f>IF(Místicos!Y36=0,"",VLOOKUP(Místicos!Y36,Tabla_Conjuros,3,FALSE))</f>
        <v/>
      </c>
      <c r="AD36" s="1873" t="str">
        <f t="shared" si="0"/>
        <v/>
      </c>
      <c r="AE36" s="4092"/>
      <c r="AF36" s="3737"/>
      <c r="AG36" s="4104"/>
      <c r="AH36" s="4104"/>
      <c r="AI36" s="4104"/>
      <c r="AJ36" s="4104"/>
      <c r="AK36" s="2160"/>
      <c r="AL36" s="3021">
        <f>IF(Místicos!AG36=0,0,VLOOKUP(Místicos!AG36,Tablas!#REF!,2,FALSE)-10)</f>
        <v>0</v>
      </c>
      <c r="AM36" s="173"/>
      <c r="AN36" s="1975"/>
      <c r="AO36" s="4252" t="s">
        <v>8460</v>
      </c>
      <c r="AP36" s="4093"/>
      <c r="AQ36" s="4093"/>
      <c r="AR36" s="4093"/>
      <c r="AS36" s="4093"/>
      <c r="AT36" s="4093"/>
      <c r="AU36" s="4093"/>
      <c r="AV36" s="4248"/>
      <c r="AW36" s="1993"/>
      <c r="AX36" s="1694"/>
      <c r="AY36" s="1873">
        <f>IF(AC36="",0,VLOOKUP(AC36,Tablas!$M$1024:$N$1033,2)*VLOOKUP(W36,Tabla_CosteConjuros,3))</f>
        <v>0</v>
      </c>
    </row>
    <row r="37" spans="1:60" ht="12" customHeight="1" x14ac:dyDescent="0.2">
      <c r="A37" s="173"/>
      <c r="B37" s="1691"/>
      <c r="C37" s="3230"/>
      <c r="D37" s="3230"/>
      <c r="E37" s="3230"/>
      <c r="F37" s="3230"/>
      <c r="G37" s="3230"/>
      <c r="H37" s="22"/>
      <c r="I37" s="67"/>
      <c r="J37" s="4185"/>
      <c r="K37" s="4186"/>
      <c r="L37" s="4186"/>
      <c r="M37" s="4186"/>
      <c r="N37" s="4186"/>
      <c r="O37" s="4186"/>
      <c r="P37" s="1876" t="str">
        <f>IF(J37=0,"",VLOOKUP(J37,Tablas!$AA$1013:$AC$1182,2,FALSE))</f>
        <v/>
      </c>
      <c r="Q37" s="1850" t="str">
        <f>IF(J37=0,"",VLOOKUP(J37,Tablas!$AA$1013:$AC$1182,3,FALSE)*IF($P$25="Invocador",0.5,1))</f>
        <v/>
      </c>
      <c r="R37" s="67"/>
      <c r="S37" s="1698"/>
      <c r="T37" s="1485" t="str">
        <f t="shared" si="1"/>
        <v>Conjuros</v>
      </c>
      <c r="U37" s="173"/>
      <c r="V37" s="1863">
        <f>IF(AC37="",0,VLOOKUP(AC37,Tablas!$M$1024:$N$1033,2))</f>
        <v>0</v>
      </c>
      <c r="W37" s="4085"/>
      <c r="X37" s="3740"/>
      <c r="Y37" s="4105"/>
      <c r="Z37" s="4105"/>
      <c r="AA37" s="4105"/>
      <c r="AB37" s="4105"/>
      <c r="AC37" s="1616" t="str">
        <f>IF(Místicos!Y37=0,"",VLOOKUP(Místicos!Y37,Tabla_Conjuros,3,FALSE))</f>
        <v/>
      </c>
      <c r="AD37" s="1873" t="str">
        <f t="shared" si="0"/>
        <v/>
      </c>
      <c r="AE37" s="4085"/>
      <c r="AF37" s="3740"/>
      <c r="AG37" s="4105"/>
      <c r="AH37" s="4105"/>
      <c r="AI37" s="4105"/>
      <c r="AJ37" s="4105"/>
      <c r="AK37" s="2188"/>
      <c r="AL37" s="3021">
        <f>IF(Místicos!AG37=0,0,VLOOKUP(Místicos!AG37,Tablas!#REF!,2,FALSE)-10)</f>
        <v>0</v>
      </c>
      <c r="AM37" s="173"/>
      <c r="AN37" s="1976"/>
      <c r="AO37" s="1980" t="s">
        <v>8454</v>
      </c>
      <c r="AP37" s="4180" t="s">
        <v>8481</v>
      </c>
      <c r="AQ37" s="4181"/>
      <c r="AR37" s="4181"/>
      <c r="AS37" s="4181"/>
      <c r="AT37" s="4181"/>
      <c r="AU37" s="4181"/>
      <c r="AV37" s="4182"/>
      <c r="AW37" s="1993"/>
      <c r="AX37" s="1694"/>
      <c r="AY37" s="1873">
        <f>IF(AC37="",0,VLOOKUP(AC37,Tablas!$M$1024:$N$1033,2)*VLOOKUP(W37,Tabla_CosteConjuros,3))</f>
        <v>0</v>
      </c>
      <c r="BB37" s="1872"/>
    </row>
    <row r="38" spans="1:60" ht="12" customHeight="1" x14ac:dyDescent="0.2">
      <c r="A38" s="173"/>
      <c r="B38" s="1691"/>
      <c r="C38" s="4177"/>
      <c r="D38" s="4177"/>
      <c r="E38" s="4177"/>
      <c r="F38" s="4177"/>
      <c r="G38" s="4177"/>
      <c r="H38" s="232"/>
      <c r="I38" s="67"/>
      <c r="J38" s="4183"/>
      <c r="K38" s="4184"/>
      <c r="L38" s="4184"/>
      <c r="M38" s="4184"/>
      <c r="N38" s="4184"/>
      <c r="O38" s="4184"/>
      <c r="P38" s="1877" t="str">
        <f>IF(J38=0,"",VLOOKUP(J38,Tablas!$AA$1013:$AC$1182,2,FALSE))</f>
        <v/>
      </c>
      <c r="Q38" s="1851" t="str">
        <f>IF(J38=0,"",VLOOKUP(J38,Tablas!$AA$1013:$AC$1182,3,FALSE)*IF($P$25="Invocador",0.5,1))</f>
        <v/>
      </c>
      <c r="R38" s="67"/>
      <c r="S38" s="1698"/>
      <c r="T38" s="1485" t="str">
        <f t="shared" si="1"/>
        <v>Conjuros</v>
      </c>
      <c r="U38" s="173"/>
      <c r="V38" s="1863">
        <f>IF(AC38="",0,VLOOKUP(AC38,Tablas!$M$1024:$N$1033,2))</f>
        <v>0</v>
      </c>
      <c r="W38" s="4092"/>
      <c r="X38" s="3737"/>
      <c r="Y38" s="4104"/>
      <c r="Z38" s="4104"/>
      <c r="AA38" s="4104"/>
      <c r="AB38" s="4104"/>
      <c r="AC38" s="2162" t="str">
        <f>IF(Místicos!Y38=0,"",VLOOKUP(Místicos!Y38,Tabla_Conjuros,3,FALSE))</f>
        <v/>
      </c>
      <c r="AD38" s="1873" t="str">
        <f t="shared" si="0"/>
        <v/>
      </c>
      <c r="AE38" s="4092"/>
      <c r="AF38" s="3737"/>
      <c r="AG38" s="4104"/>
      <c r="AH38" s="4104"/>
      <c r="AI38" s="4104"/>
      <c r="AJ38" s="4104"/>
      <c r="AK38" s="2160"/>
      <c r="AL38" s="3021">
        <f>IF(Místicos!AG38=0,0,VLOOKUP(Místicos!AG38,Tablas!#REF!,2,FALSE)-10)</f>
        <v>0</v>
      </c>
      <c r="AM38" s="173"/>
      <c r="AN38" s="1976"/>
      <c r="AO38" s="1981" t="s">
        <v>8455</v>
      </c>
      <c r="AP38" s="4260" t="s">
        <v>8480</v>
      </c>
      <c r="AQ38" s="4261"/>
      <c r="AR38" s="4261"/>
      <c r="AS38" s="4261"/>
      <c r="AT38" s="4261"/>
      <c r="AU38" s="4261"/>
      <c r="AV38" s="4261"/>
      <c r="AW38" s="1993"/>
      <c r="AX38" s="1694"/>
      <c r="AY38" s="1873">
        <f>IF(AC38="",0,VLOOKUP(AC38,Tablas!$M$1024:$N$1033,2)*VLOOKUP(W38,Tabla_CosteConjuros,3))</f>
        <v>0</v>
      </c>
    </row>
    <row r="39" spans="1:60" ht="12" customHeight="1" x14ac:dyDescent="0.2">
      <c r="A39" s="173"/>
      <c r="B39" s="1691"/>
      <c r="C39" s="3230"/>
      <c r="D39" s="3230"/>
      <c r="E39" s="3230"/>
      <c r="F39" s="3230"/>
      <c r="G39" s="3230"/>
      <c r="H39" s="22"/>
      <c r="I39" s="67"/>
      <c r="J39" s="4185"/>
      <c r="K39" s="4186"/>
      <c r="L39" s="4186"/>
      <c r="M39" s="4186"/>
      <c r="N39" s="4186"/>
      <c r="O39" s="4186"/>
      <c r="P39" s="1876" t="str">
        <f>IF(J39=0,"",VLOOKUP(J39,Tablas!$AA$1013:$AC$1182,2,FALSE))</f>
        <v/>
      </c>
      <c r="Q39" s="1850" t="str">
        <f>IF(J39=0,"",VLOOKUP(J39,Tablas!$AA$1013:$AC$1182,3,FALSE)*IF($P$25="Invocador",0.5,1))</f>
        <v/>
      </c>
      <c r="R39" s="67"/>
      <c r="S39" s="1698"/>
      <c r="T39" s="1485" t="str">
        <f t="shared" si="1"/>
        <v>Conjuros</v>
      </c>
      <c r="U39" s="173"/>
      <c r="V39" s="1863">
        <f>IF(AC39="",0,VLOOKUP(AC39,Tablas!$M$1024:$N$1033,2))</f>
        <v>0</v>
      </c>
      <c r="W39" s="4085"/>
      <c r="X39" s="3740"/>
      <c r="Y39" s="4105"/>
      <c r="Z39" s="4105"/>
      <c r="AA39" s="4105"/>
      <c r="AB39" s="4105"/>
      <c r="AC39" s="1616" t="str">
        <f>IF(Místicos!Y39=0,"",VLOOKUP(Místicos!Y39,Tabla_Conjuros,3,FALSE))</f>
        <v/>
      </c>
      <c r="AD39" s="1873" t="str">
        <f t="shared" si="0"/>
        <v/>
      </c>
      <c r="AE39" s="4085"/>
      <c r="AF39" s="3740"/>
      <c r="AG39" s="4105"/>
      <c r="AH39" s="4105"/>
      <c r="AI39" s="4105"/>
      <c r="AJ39" s="4105"/>
      <c r="AK39" s="2188"/>
      <c r="AL39" s="3021">
        <f>IF(Místicos!AG39=0,0,VLOOKUP(Místicos!AG39,Tablas!#REF!,2,FALSE)-10)</f>
        <v>0</v>
      </c>
      <c r="AM39" s="173"/>
      <c r="AN39" s="1976"/>
      <c r="AO39" s="1981" t="s">
        <v>8456</v>
      </c>
      <c r="AP39" s="4260" t="s">
        <v>8479</v>
      </c>
      <c r="AQ39" s="4261"/>
      <c r="AR39" s="4261"/>
      <c r="AS39" s="4261"/>
      <c r="AT39" s="4261"/>
      <c r="AU39" s="4261"/>
      <c r="AV39" s="4261"/>
      <c r="AW39" s="1993"/>
      <c r="AX39" s="1694"/>
      <c r="AY39" s="1873">
        <f>IF(AC39="",0,VLOOKUP(AC39,Tablas!$M$1024:$N$1033,2)*VLOOKUP(W39,Tabla_CosteConjuros,3))</f>
        <v>0</v>
      </c>
    </row>
    <row r="40" spans="1:60" ht="12" customHeight="1" x14ac:dyDescent="0.2">
      <c r="A40" s="173"/>
      <c r="B40" s="1691"/>
      <c r="C40" s="4177"/>
      <c r="D40" s="4177"/>
      <c r="E40" s="4177"/>
      <c r="F40" s="4177"/>
      <c r="G40" s="4177"/>
      <c r="H40" s="232"/>
      <c r="I40" s="67"/>
      <c r="J40" s="4183"/>
      <c r="K40" s="4184"/>
      <c r="L40" s="4184"/>
      <c r="M40" s="4184"/>
      <c r="N40" s="4184"/>
      <c r="O40" s="4184"/>
      <c r="P40" s="1877" t="str">
        <f>IF(J40=0,"",VLOOKUP(J40,Tablas!$AA$1013:$AC$1182,2,FALSE))</f>
        <v/>
      </c>
      <c r="Q40" s="1851" t="str">
        <f>IF(J40=0,"",VLOOKUP(J40,Tablas!$AA$1013:$AC$1182,3,FALSE)*IF($P$25="Invocador",0.5,1))</f>
        <v/>
      </c>
      <c r="R40" s="67"/>
      <c r="S40" s="1698"/>
      <c r="T40" s="1485" t="str">
        <f t="shared" si="1"/>
        <v>Conjuros</v>
      </c>
      <c r="U40" s="173"/>
      <c r="V40" s="1863">
        <f>IF(AC40="",0,VLOOKUP(AC40,Tablas!$M$1024:$N$1033,2))</f>
        <v>0</v>
      </c>
      <c r="W40" s="4092"/>
      <c r="X40" s="3737"/>
      <c r="Y40" s="4104"/>
      <c r="Z40" s="4104"/>
      <c r="AA40" s="4104"/>
      <c r="AB40" s="4104"/>
      <c r="AC40" s="2162" t="str">
        <f>IF(Místicos!Y40=0,"",VLOOKUP(Místicos!Y40,Tabla_Conjuros,3,FALSE))</f>
        <v/>
      </c>
      <c r="AD40" s="1873" t="str">
        <f t="shared" si="0"/>
        <v/>
      </c>
      <c r="AE40" s="4092"/>
      <c r="AF40" s="3737"/>
      <c r="AG40" s="4104"/>
      <c r="AH40" s="4104"/>
      <c r="AI40" s="4104"/>
      <c r="AJ40" s="4104"/>
      <c r="AK40" s="2160"/>
      <c r="AL40" s="3021">
        <f>IF(Místicos!AG40=0,0,VLOOKUP(Místicos!AG40,Tablas!#REF!,2,FALSE)-10)</f>
        <v>0</v>
      </c>
      <c r="AM40" s="173"/>
      <c r="AN40" s="1976"/>
      <c r="AO40" s="1981" t="s">
        <v>8457</v>
      </c>
      <c r="AP40" s="4260" t="s">
        <v>8488</v>
      </c>
      <c r="AQ40" s="4261"/>
      <c r="AR40" s="4261"/>
      <c r="AS40" s="4261"/>
      <c r="AT40" s="4261"/>
      <c r="AU40" s="4261"/>
      <c r="AV40" s="4261"/>
      <c r="AW40" s="1993"/>
      <c r="AX40" s="1694"/>
      <c r="AY40" s="1873">
        <f>IF(AC40="",0,VLOOKUP(AC40,Tablas!$M$1024:$N$1033,2)*VLOOKUP(W40,Tabla_CosteConjuros,3))</f>
        <v>0</v>
      </c>
    </row>
    <row r="41" spans="1:60" ht="12" customHeight="1" x14ac:dyDescent="0.2">
      <c r="A41" s="173"/>
      <c r="B41" s="1691"/>
      <c r="C41" s="3230"/>
      <c r="D41" s="3230"/>
      <c r="E41" s="3230"/>
      <c r="F41" s="3230"/>
      <c r="G41" s="3230"/>
      <c r="H41" s="22"/>
      <c r="I41" s="67"/>
      <c r="J41" s="4185"/>
      <c r="K41" s="4186"/>
      <c r="L41" s="4186"/>
      <c r="M41" s="4186"/>
      <c r="N41" s="4186"/>
      <c r="O41" s="4186"/>
      <c r="P41" s="1876" t="str">
        <f>IF(J41=0,"",VLOOKUP(J41,Tablas!$AA$1013:$AC$1182,2,FALSE))</f>
        <v/>
      </c>
      <c r="Q41" s="1850" t="str">
        <f>IF(J41=0,"",VLOOKUP(J41,Tablas!$AA$1013:$AC$1182,3,FALSE)*IF($P$25="Invocador",0.5,1))</f>
        <v/>
      </c>
      <c r="R41" s="67"/>
      <c r="S41" s="1698"/>
      <c r="T41" s="1485" t="str">
        <f t="shared" si="1"/>
        <v>Conjuros</v>
      </c>
      <c r="U41" s="173"/>
      <c r="V41" s="1863">
        <f>IF(AC41="",0,VLOOKUP(AC41,Tablas!$M$1024:$N$1033,2))</f>
        <v>0</v>
      </c>
      <c r="W41" s="4085"/>
      <c r="X41" s="3740"/>
      <c r="Y41" s="4105"/>
      <c r="Z41" s="4105"/>
      <c r="AA41" s="4105"/>
      <c r="AB41" s="4105"/>
      <c r="AC41" s="1616" t="str">
        <f>IF(Místicos!Y41=0,"",VLOOKUP(Místicos!Y41,Tabla_Conjuros,3,FALSE))</f>
        <v/>
      </c>
      <c r="AD41" s="1873" t="str">
        <f t="shared" si="0"/>
        <v/>
      </c>
      <c r="AE41" s="4085"/>
      <c r="AF41" s="3740"/>
      <c r="AG41" s="4105"/>
      <c r="AH41" s="4105"/>
      <c r="AI41" s="4105"/>
      <c r="AJ41" s="4105"/>
      <c r="AK41" s="2188"/>
      <c r="AL41" s="3021">
        <f>IF(Místicos!AG41=0,0,VLOOKUP(Místicos!AG41,Tablas!#REF!,2,FALSE)-10)</f>
        <v>0</v>
      </c>
      <c r="AM41" s="173"/>
      <c r="AN41" s="1976"/>
      <c r="AO41" s="1981" t="s">
        <v>8458</v>
      </c>
      <c r="AP41" s="4260" t="s">
        <v>8478</v>
      </c>
      <c r="AQ41" s="4261"/>
      <c r="AR41" s="4261"/>
      <c r="AS41" s="4261"/>
      <c r="AT41" s="4261"/>
      <c r="AU41" s="4261"/>
      <c r="AV41" s="4261"/>
      <c r="AW41" s="1993"/>
      <c r="AX41" s="1694"/>
      <c r="AY41" s="1873">
        <f>IF(AC41="",0,VLOOKUP(AC41,Tablas!$M$1024:$N$1033,2)*VLOOKUP(W41,Tabla_CosteConjuros,3))</f>
        <v>0</v>
      </c>
    </row>
    <row r="42" spans="1:60" ht="12" customHeight="1" thickBot="1" x14ac:dyDescent="0.25">
      <c r="A42" s="173"/>
      <c r="B42" s="1691"/>
      <c r="C42" s="4177"/>
      <c r="D42" s="4177"/>
      <c r="E42" s="4177"/>
      <c r="F42" s="4177"/>
      <c r="G42" s="4177"/>
      <c r="H42" s="232"/>
      <c r="I42" s="67"/>
      <c r="J42" s="4183"/>
      <c r="K42" s="4184"/>
      <c r="L42" s="4184"/>
      <c r="M42" s="4184"/>
      <c r="N42" s="4184"/>
      <c r="O42" s="4184"/>
      <c r="P42" s="1877" t="str">
        <f>IF(J42=0,"",VLOOKUP(J42,Tablas!$AA$1013:$AC$1182,2,FALSE))</f>
        <v/>
      </c>
      <c r="Q42" s="1851" t="str">
        <f>IF(J42=0,"",VLOOKUP(J42,Tablas!$AA$1013:$AC$1182,3,FALSE)*IF($P$25="Invocador",0.5,1))</f>
        <v/>
      </c>
      <c r="R42" s="67"/>
      <c r="S42" s="1698"/>
      <c r="T42" s="1485" t="str">
        <f t="shared" si="1"/>
        <v>Conjuros</v>
      </c>
      <c r="U42" s="173"/>
      <c r="V42" s="1863">
        <f>IF(AC42="",0,VLOOKUP(AC42,Tablas!$M$1024:$N$1033,2))</f>
        <v>0</v>
      </c>
      <c r="W42" s="4092"/>
      <c r="X42" s="3737"/>
      <c r="Y42" s="4104"/>
      <c r="Z42" s="4104"/>
      <c r="AA42" s="4104"/>
      <c r="AB42" s="4104"/>
      <c r="AC42" s="2162" t="str">
        <f>IF(Místicos!Y42=0,"",VLOOKUP(Místicos!Y42,Tabla_Conjuros,3,FALSE))</f>
        <v/>
      </c>
      <c r="AD42" s="1873" t="str">
        <f t="shared" si="0"/>
        <v/>
      </c>
      <c r="AE42" s="4092"/>
      <c r="AF42" s="3737"/>
      <c r="AG42" s="4104"/>
      <c r="AH42" s="4104"/>
      <c r="AI42" s="4104"/>
      <c r="AJ42" s="4104"/>
      <c r="AK42" s="2160"/>
      <c r="AL42" s="3021">
        <f>IF(Místicos!AG42=0,0,VLOOKUP(Místicos!AG42,Tablas!#REF!,2,FALSE)-10)</f>
        <v>0</v>
      </c>
      <c r="AM42" s="173"/>
      <c r="AN42" s="1976"/>
      <c r="AO42" s="1982">
        <v>-9</v>
      </c>
      <c r="AP42" s="4262" t="s">
        <v>8477</v>
      </c>
      <c r="AQ42" s="4263"/>
      <c r="AR42" s="4263"/>
      <c r="AS42" s="4263"/>
      <c r="AT42" s="4263"/>
      <c r="AU42" s="4263"/>
      <c r="AV42" s="4263"/>
      <c r="AW42" s="1993"/>
      <c r="AX42" s="1694"/>
      <c r="AY42" s="1873">
        <f>IF(AC42="",0,VLOOKUP(AC42,Tablas!$M$1024:$N$1033,2)*VLOOKUP(W42,Tabla_CosteConjuros,3))</f>
        <v>0</v>
      </c>
    </row>
    <row r="43" spans="1:60" ht="12" customHeight="1" thickBot="1" x14ac:dyDescent="0.25">
      <c r="A43" s="173"/>
      <c r="B43" s="1691"/>
      <c r="C43" s="3230"/>
      <c r="D43" s="3230"/>
      <c r="E43" s="3230"/>
      <c r="F43" s="3230"/>
      <c r="G43" s="3230"/>
      <c r="H43" s="22"/>
      <c r="I43" s="67"/>
      <c r="J43" s="4185"/>
      <c r="K43" s="4186"/>
      <c r="L43" s="4186"/>
      <c r="M43" s="4186"/>
      <c r="N43" s="4186"/>
      <c r="O43" s="4186"/>
      <c r="P43" s="1876" t="str">
        <f>IF(J43=0,"",VLOOKUP(J43,Tablas!$AA$1013:$AC$1182,2,FALSE))</f>
        <v/>
      </c>
      <c r="Q43" s="1850" t="str">
        <f>IF(J43=0,"",VLOOKUP(J43,Tablas!$AA$1013:$AC$1182,3,FALSE)*IF($P$25="Invocador",0.5,1))</f>
        <v/>
      </c>
      <c r="R43" s="67"/>
      <c r="S43" s="1698"/>
      <c r="T43" s="1485" t="str">
        <f t="shared" si="1"/>
        <v>Conjuros</v>
      </c>
      <c r="U43" s="173"/>
      <c r="V43" s="1863">
        <f>IF(AC43="",0,VLOOKUP(AC43,Tablas!$M$1024:$N$1033,2))</f>
        <v>0</v>
      </c>
      <c r="W43" s="4085"/>
      <c r="X43" s="3740"/>
      <c r="Y43" s="4105"/>
      <c r="Z43" s="4105"/>
      <c r="AA43" s="4105"/>
      <c r="AB43" s="4105"/>
      <c r="AC43" s="1616" t="str">
        <f>IF(Místicos!Y43=0,"",VLOOKUP(Místicos!Y43,Tabla_Conjuros,3,FALSE))</f>
        <v/>
      </c>
      <c r="AD43" s="1873" t="str">
        <f t="shared" si="0"/>
        <v/>
      </c>
      <c r="AE43" s="4085"/>
      <c r="AF43" s="3740"/>
      <c r="AG43" s="4105"/>
      <c r="AH43" s="4105"/>
      <c r="AI43" s="4105"/>
      <c r="AJ43" s="4105"/>
      <c r="AK43" s="2188"/>
      <c r="AL43" s="3021">
        <f>IF(Místicos!AG43=0,0,VLOOKUP(Místicos!AG43,Tablas!#REF!,2,FALSE)-10)</f>
        <v>0</v>
      </c>
      <c r="AM43" s="173"/>
      <c r="AN43" s="1979"/>
      <c r="AO43" s="1978"/>
      <c r="AP43" s="1978"/>
      <c r="AQ43" s="1978"/>
      <c r="AR43" s="1978"/>
      <c r="AS43" s="1978"/>
      <c r="AT43" s="1978"/>
      <c r="AU43" s="1978"/>
      <c r="AV43" s="1978"/>
      <c r="AW43" s="1994"/>
      <c r="AX43" s="1694"/>
      <c r="AY43" s="1873">
        <f>IF(AC43="",0,VLOOKUP(AC43,Tablas!$M$1024:$N$1033,2)*VLOOKUP(W43,Tabla_CosteConjuros,3))</f>
        <v>0</v>
      </c>
    </row>
    <row r="44" spans="1:60" ht="12" customHeight="1" thickBot="1" x14ac:dyDescent="0.25">
      <c r="A44" s="173"/>
      <c r="B44" s="1691"/>
      <c r="C44" s="4177"/>
      <c r="D44" s="4177"/>
      <c r="E44" s="4177"/>
      <c r="F44" s="4177"/>
      <c r="G44" s="4177"/>
      <c r="H44" s="232"/>
      <c r="I44" s="67"/>
      <c r="J44" s="4183"/>
      <c r="K44" s="4184"/>
      <c r="L44" s="4184"/>
      <c r="M44" s="4184"/>
      <c r="N44" s="4184"/>
      <c r="O44" s="4184"/>
      <c r="P44" s="1877" t="str">
        <f>IF(J44=0,"",VLOOKUP(J44,Tablas!$AA$1013:$AC$1182,2,FALSE))</f>
        <v/>
      </c>
      <c r="Q44" s="1851" t="str">
        <f>IF(J44=0,"",VLOOKUP(J44,Tablas!$AA$1013:$AC$1182,3,FALSE)*IF($P$25="Invocador",0.5,1))</f>
        <v/>
      </c>
      <c r="R44" s="67"/>
      <c r="S44" s="1698"/>
      <c r="T44" s="1485" t="str">
        <f t="shared" si="1"/>
        <v>Conjuros</v>
      </c>
      <c r="U44" s="173"/>
      <c r="V44" s="1863">
        <f>IF(AC44="",0,VLOOKUP(AC44,Tablas!$M$1024:$N$1033,2))</f>
        <v>0</v>
      </c>
      <c r="W44" s="4092"/>
      <c r="X44" s="3737"/>
      <c r="Y44" s="4104"/>
      <c r="Z44" s="4104"/>
      <c r="AA44" s="4104"/>
      <c r="AB44" s="4104"/>
      <c r="AC44" s="2162" t="str">
        <f>IF(Místicos!Y44=0,"",VLOOKUP(Místicos!Y44,Tabla_Conjuros,3,FALSE))</f>
        <v/>
      </c>
      <c r="AD44" s="1873" t="str">
        <f t="shared" si="0"/>
        <v/>
      </c>
      <c r="AE44" s="4092"/>
      <c r="AF44" s="3737"/>
      <c r="AG44" s="4104"/>
      <c r="AH44" s="4104"/>
      <c r="AI44" s="4104"/>
      <c r="AJ44" s="4104"/>
      <c r="AK44" s="2160"/>
      <c r="AL44" s="3021">
        <f>IF(Místicos!AG44=0,0,VLOOKUP(Místicos!AG44,Tablas!#REF!,2,FALSE)-10)</f>
        <v>0</v>
      </c>
      <c r="AM44" s="173"/>
      <c r="AN44" s="1976"/>
      <c r="AO44" s="4254" t="str">
        <f>IF(OR(AS10="General",AS10="Magia Natural"),"",AS10)</f>
        <v/>
      </c>
      <c r="AP44" s="4255"/>
      <c r="AQ44" s="4255"/>
      <c r="AR44" s="4255"/>
      <c r="AS44" s="4255"/>
      <c r="AT44" s="4255"/>
      <c r="AU44" s="4255"/>
      <c r="AV44" s="4256"/>
      <c r="AW44" s="1993"/>
      <c r="AX44" s="1694"/>
      <c r="AY44" s="1873">
        <f>IF(AC44="",0,VLOOKUP(AC44,Tablas!$M$1024:$N$1033,2)*VLOOKUP(W44,Tabla_CosteConjuros,3))</f>
        <v>0</v>
      </c>
      <c r="AZ44" s="3008" t="s">
        <v>8502</v>
      </c>
      <c r="BA44" s="3008" t="s">
        <v>8503</v>
      </c>
      <c r="BB44" s="3008" t="s">
        <v>8504</v>
      </c>
    </row>
    <row r="45" spans="1:60" ht="12" customHeight="1" thickBot="1" x14ac:dyDescent="0.25">
      <c r="A45" s="173"/>
      <c r="B45" s="1691"/>
      <c r="C45" s="3230"/>
      <c r="D45" s="3230"/>
      <c r="E45" s="3230"/>
      <c r="F45" s="3230"/>
      <c r="G45" s="3230"/>
      <c r="H45" s="22"/>
      <c r="I45" s="67"/>
      <c r="J45" s="4185"/>
      <c r="K45" s="4186"/>
      <c r="L45" s="4186"/>
      <c r="M45" s="4186"/>
      <c r="N45" s="4186"/>
      <c r="O45" s="4186"/>
      <c r="P45" s="1876" t="str">
        <f>IF(J45=0,"",VLOOKUP(J45,Tablas!$AA$1013:$AC$1182,2,FALSE))</f>
        <v/>
      </c>
      <c r="Q45" s="1850" t="str">
        <f>IF(J45=0,"",VLOOKUP(J45,Tablas!$AA$1013:$AC$1182,3,FALSE)*IF($P$25="Invocador",0.5,1))</f>
        <v/>
      </c>
      <c r="R45" s="67"/>
      <c r="S45" s="1698"/>
      <c r="T45" s="1485" t="str">
        <f t="shared" si="1"/>
        <v>Conjuros</v>
      </c>
      <c r="U45" s="173"/>
      <c r="V45" s="1863">
        <f>IF(AC45="",0,VLOOKUP(AC45,Tablas!$M$1024:$N$1033,2))</f>
        <v>0</v>
      </c>
      <c r="W45" s="4085"/>
      <c r="X45" s="3740"/>
      <c r="Y45" s="4105"/>
      <c r="Z45" s="4105"/>
      <c r="AA45" s="4105"/>
      <c r="AB45" s="4105"/>
      <c r="AC45" s="1616" t="str">
        <f>IF(Místicos!Y45=0,"",VLOOKUP(Místicos!Y45,Tabla_Conjuros,3,FALSE))</f>
        <v/>
      </c>
      <c r="AD45" s="1873" t="str">
        <f t="shared" si="0"/>
        <v/>
      </c>
      <c r="AE45" s="4085"/>
      <c r="AF45" s="3740"/>
      <c r="AG45" s="4105"/>
      <c r="AH45" s="4105"/>
      <c r="AI45" s="4105"/>
      <c r="AJ45" s="4105"/>
      <c r="AK45" s="2188"/>
      <c r="AL45" s="3021">
        <f>IF(Místicos!AG45=0,0,VLOOKUP(Místicos!AG45,Tablas!#REF!,2,FALSE)-10)</f>
        <v>0</v>
      </c>
      <c r="AM45" s="173"/>
      <c r="AN45" s="1976"/>
      <c r="AW45" s="1993"/>
      <c r="AX45" s="1694"/>
      <c r="AY45" s="1873">
        <f>IF(AC45="",0,VLOOKUP(AC45,Tablas!$M$1024:$N$1033,2)*VLOOKUP(W45,Tabla_CosteConjuros,3))</f>
        <v>0</v>
      </c>
      <c r="AZ45" s="1995" t="b">
        <f>$AO$44="Onmyodo"</f>
        <v>0</v>
      </c>
      <c r="BA45" s="1995" t="b">
        <f>$AO$44="Vodoun"</f>
        <v>0</v>
      </c>
      <c r="BB45" s="1995" t="b">
        <f>$AO$44="Shamanica"</f>
        <v>0</v>
      </c>
    </row>
    <row r="46" spans="1:60" ht="12" customHeight="1" x14ac:dyDescent="0.2">
      <c r="A46" s="173"/>
      <c r="B46" s="1691"/>
      <c r="C46" s="4177"/>
      <c r="D46" s="4177"/>
      <c r="E46" s="4177"/>
      <c r="F46" s="4177"/>
      <c r="G46" s="4177"/>
      <c r="H46" s="232"/>
      <c r="I46" s="67"/>
      <c r="J46" s="4183"/>
      <c r="K46" s="4184"/>
      <c r="L46" s="4184"/>
      <c r="M46" s="4184"/>
      <c r="N46" s="4184"/>
      <c r="O46" s="4184"/>
      <c r="P46" s="1877" t="str">
        <f>IF(J46=0,"",VLOOKUP(J46,Tablas!$AA$1013:$AC$1182,2,FALSE))</f>
        <v/>
      </c>
      <c r="Q46" s="1851" t="str">
        <f>IF(J46=0,"",VLOOKUP(J46,Tablas!$AA$1013:$AC$1182,3,FALSE)*IF($P$25="Invocador",0.5,1))</f>
        <v/>
      </c>
      <c r="R46" s="67"/>
      <c r="S46" s="1698"/>
      <c r="T46" s="1485" t="str">
        <f t="shared" si="1"/>
        <v>Conjuros</v>
      </c>
      <c r="U46" s="173"/>
      <c r="V46" s="1863">
        <f>IF(AC46="",0,VLOOKUP(AC46,Tablas!$M$1024:$N$1033,2))</f>
        <v>0</v>
      </c>
      <c r="W46" s="4092"/>
      <c r="X46" s="3737"/>
      <c r="Y46" s="4104"/>
      <c r="Z46" s="4104"/>
      <c r="AA46" s="4104"/>
      <c r="AB46" s="4104"/>
      <c r="AC46" s="2162" t="str">
        <f>IF(Místicos!Y46=0,"",VLOOKUP(Místicos!Y46,Tabla_Conjuros,3,FALSE))</f>
        <v/>
      </c>
      <c r="AD46" s="1873" t="str">
        <f t="shared" si="0"/>
        <v/>
      </c>
      <c r="AE46" s="4092"/>
      <c r="AF46" s="3737"/>
      <c r="AG46" s="4104"/>
      <c r="AH46" s="4104"/>
      <c r="AI46" s="4104"/>
      <c r="AJ46" s="4104"/>
      <c r="AK46" s="2160"/>
      <c r="AL46" s="3021">
        <f>IF(Místicos!AG46=0,0,VLOOKUP(Místicos!AG46,Tablas!#REF!,2,FALSE)-10)</f>
        <v>0</v>
      </c>
      <c r="AM46" s="173"/>
      <c r="AN46" s="1976"/>
      <c r="AO46" s="4094"/>
      <c r="AP46" s="4095"/>
      <c r="AQ46" s="4093" t="str">
        <f>IF($AZ$45,"Caligrafía ritual",IF($BA$45,"Vínculos Físicos",IF($BB$45,"Zonas Espirituales","""")))</f>
        <v>"</v>
      </c>
      <c r="AR46" s="4093"/>
      <c r="AS46" s="4093"/>
      <c r="AT46" s="4093"/>
      <c r="AU46" s="4275"/>
      <c r="AV46" s="4276"/>
      <c r="AW46" s="1993"/>
      <c r="AX46" s="1694"/>
      <c r="AY46" s="1873">
        <f>IF(AC46="",0,VLOOKUP(AC46,Tablas!$M$1024:$N$1033,2)*VLOOKUP(W46,Tabla_CosteConjuros,3))</f>
        <v>0</v>
      </c>
    </row>
    <row r="47" spans="1:60" ht="12" customHeight="1" x14ac:dyDescent="0.2">
      <c r="A47" s="173"/>
      <c r="B47" s="1691"/>
      <c r="C47" s="3230"/>
      <c r="D47" s="3230"/>
      <c r="E47" s="3230"/>
      <c r="F47" s="3230"/>
      <c r="G47" s="3230"/>
      <c r="H47" s="22"/>
      <c r="I47" s="67"/>
      <c r="J47" s="4185"/>
      <c r="K47" s="4186"/>
      <c r="L47" s="4186"/>
      <c r="M47" s="4186"/>
      <c r="N47" s="4186"/>
      <c r="O47" s="4186"/>
      <c r="P47" s="1876" t="str">
        <f>IF(J47=0,"",VLOOKUP(J47,Tablas!$AA$1013:$AC$1182,2,FALSE))</f>
        <v/>
      </c>
      <c r="Q47" s="1850" t="str">
        <f>IF(J47=0,"",VLOOKUP(J47,Tablas!$AA$1013:$AC$1182,3,FALSE)*IF($P$25="Invocador",0.5,1))</f>
        <v/>
      </c>
      <c r="R47" s="67"/>
      <c r="S47" s="1698"/>
      <c r="T47" s="1485" t="str">
        <f t="shared" si="1"/>
        <v>Conjuros</v>
      </c>
      <c r="U47" s="173"/>
      <c r="V47" s="1863">
        <f>IF(AC47="",0,VLOOKUP(AC47,Tablas!$M$1024:$N$1033,2))</f>
        <v>0</v>
      </c>
      <c r="W47" s="4085"/>
      <c r="X47" s="3740"/>
      <c r="Y47" s="4105"/>
      <c r="Z47" s="4105"/>
      <c r="AA47" s="4105"/>
      <c r="AB47" s="4105"/>
      <c r="AC47" s="1616" t="str">
        <f>IF(Místicos!Y47=0,"",VLOOKUP(Místicos!Y47,Tabla_Conjuros,3,FALSE))</f>
        <v/>
      </c>
      <c r="AD47" s="1873" t="str">
        <f t="shared" si="0"/>
        <v/>
      </c>
      <c r="AE47" s="4085"/>
      <c r="AF47" s="3740"/>
      <c r="AG47" s="4105"/>
      <c r="AH47" s="4105"/>
      <c r="AI47" s="4105"/>
      <c r="AJ47" s="4105"/>
      <c r="AK47" s="2188"/>
      <c r="AL47" s="3021">
        <f>IF(Místicos!AG47=0,0,VLOOKUP(Místicos!AG47,Tablas!#REF!,2,FALSE)-10)</f>
        <v>0</v>
      </c>
      <c r="AM47" s="173"/>
      <c r="AN47" s="1976"/>
      <c r="AO47" s="4070" t="str">
        <f>IF($AZ$45,"Nv. Conjuro  Dif.",IF($BA$45,"",IF($BB$45,"Tipo de zona","""")))</f>
        <v>"</v>
      </c>
      <c r="AP47" s="4071"/>
      <c r="AQ47" s="4109" t="str">
        <f>IF($AZ$45,"Tiempo empleado en la preparación",IF($BA$45,"Objeto a consumir - Bono a RM",IF($BB$45,"Descripción","")))</f>
        <v/>
      </c>
      <c r="AR47" s="4109"/>
      <c r="AS47" s="4109"/>
      <c r="AT47" s="4109"/>
      <c r="AU47" s="4109" t="str">
        <f>IF($AZ$45,"Bono",IF($BA$45,"",IF($BB$45,"Llamar espíritus","")))</f>
        <v/>
      </c>
      <c r="AV47" s="4293"/>
      <c r="AW47" s="1993"/>
      <c r="AX47" s="1694"/>
      <c r="AY47" s="1873">
        <f>IF(AC47="",0,VLOOKUP(AC47,Tablas!$M$1024:$N$1033,2)*VLOOKUP(W47,Tabla_CosteConjuros,3))</f>
        <v>0</v>
      </c>
      <c r="AZ47" s="4108" t="s">
        <v>8501</v>
      </c>
      <c r="BA47" s="4108"/>
      <c r="BB47" s="4108"/>
      <c r="BC47" s="4108" t="s">
        <v>8513</v>
      </c>
      <c r="BD47" s="4108"/>
      <c r="BE47" s="4108"/>
      <c r="BF47" s="4108" t="s">
        <v>8514</v>
      </c>
      <c r="BG47" s="4108"/>
      <c r="BH47" s="4108"/>
    </row>
    <row r="48" spans="1:60" ht="12" customHeight="1" x14ac:dyDescent="0.2">
      <c r="A48" s="173"/>
      <c r="B48" s="1691"/>
      <c r="C48" s="4177"/>
      <c r="D48" s="4177"/>
      <c r="E48" s="4177"/>
      <c r="F48" s="4177"/>
      <c r="G48" s="4177"/>
      <c r="H48" s="232"/>
      <c r="I48" s="67"/>
      <c r="J48" s="4183"/>
      <c r="K48" s="4184"/>
      <c r="L48" s="4184"/>
      <c r="M48" s="4184"/>
      <c r="N48" s="4184"/>
      <c r="O48" s="4184"/>
      <c r="P48" s="1877" t="str">
        <f>IF(J48=0,"",VLOOKUP(J48,Tablas!$AA$1013:$AC$1182,2,FALSE))</f>
        <v/>
      </c>
      <c r="Q48" s="1851" t="str">
        <f>IF(J48=0,"",VLOOKUP(J48,Tablas!$AA$1013:$AC$1182,3,FALSE)*IF($P$25="Invocador",0.5,1))</f>
        <v/>
      </c>
      <c r="R48" s="67"/>
      <c r="S48" s="1698"/>
      <c r="T48" s="1485" t="str">
        <f t="shared" si="1"/>
        <v>Conjuros</v>
      </c>
      <c r="U48" s="173"/>
      <c r="V48" s="1863">
        <f>IF(AC48="",0,VLOOKUP(AC48,Tablas!$M$1024:$N$1033,2))</f>
        <v>0</v>
      </c>
      <c r="W48" s="4092"/>
      <c r="X48" s="3737"/>
      <c r="Y48" s="4104"/>
      <c r="Z48" s="4104"/>
      <c r="AA48" s="4104"/>
      <c r="AB48" s="4104"/>
      <c r="AC48" s="2162" t="str">
        <f>IF(Místicos!Y48=0,"",VLOOKUP(Místicos!Y48,Tabla_Conjuros,3,FALSE))</f>
        <v/>
      </c>
      <c r="AD48" s="1873" t="str">
        <f t="shared" si="0"/>
        <v/>
      </c>
      <c r="AE48" s="4092"/>
      <c r="AF48" s="3737"/>
      <c r="AG48" s="4104"/>
      <c r="AH48" s="4104"/>
      <c r="AI48" s="4104"/>
      <c r="AJ48" s="4104"/>
      <c r="AK48" s="2160"/>
      <c r="AL48" s="3021">
        <f>IF(Místicos!AG48=0,0,VLOOKUP(Místicos!AG48,Tablas!#REF!,2,FALSE)-10)</f>
        <v>0</v>
      </c>
      <c r="AM48" s="173"/>
      <c r="AN48" s="1976"/>
      <c r="AO48" s="4096" t="str">
        <f>IF($AZ$45,AZ48,IF($BA$45,BA48,IF($BB$45,BB48,"")))</f>
        <v/>
      </c>
      <c r="AP48" s="4097"/>
      <c r="AQ48" s="4072" t="str">
        <f>IF($AZ$45,BC48,IF($BA$45,BD48,IF($BB$45,BE48,"")))</f>
        <v/>
      </c>
      <c r="AR48" s="4072"/>
      <c r="AS48" s="4072"/>
      <c r="AT48" s="4072"/>
      <c r="AU48" s="4072" t="str">
        <f t="shared" ref="AU48:AU55" si="2">IF($AZ$45,BF48,IF($BA$45,BG48,IF($BB$45,BH48,"")))</f>
        <v/>
      </c>
      <c r="AV48" s="4076"/>
      <c r="AW48" s="1993"/>
      <c r="AX48" s="1694"/>
      <c r="AY48" s="1873">
        <f>IF(AC48="",0,VLOOKUP(AC48,Tablas!$M$1024:$N$1033,2)*VLOOKUP(W48,Tabla_CosteConjuros,3))</f>
        <v>0</v>
      </c>
      <c r="AZ48" s="3010" t="s">
        <v>8764</v>
      </c>
      <c r="BA48" s="3010" t="s">
        <v>8500</v>
      </c>
      <c r="BB48" s="3010" t="s">
        <v>8496</v>
      </c>
      <c r="BC48" s="3010" t="s">
        <v>8505</v>
      </c>
      <c r="BD48" s="3010" t="s">
        <v>8528</v>
      </c>
      <c r="BE48" s="3010" t="s">
        <v>8508</v>
      </c>
      <c r="BF48" s="3010">
        <v>-40</v>
      </c>
      <c r="BG48" s="3010" t="s">
        <v>8500</v>
      </c>
      <c r="BH48" s="3010" t="s">
        <v>1766</v>
      </c>
    </row>
    <row r="49" spans="1:62" ht="12" customHeight="1" x14ac:dyDescent="0.2">
      <c r="A49" s="173"/>
      <c r="B49" s="1691"/>
      <c r="C49" s="3230"/>
      <c r="D49" s="3230"/>
      <c r="E49" s="3230"/>
      <c r="F49" s="3230"/>
      <c r="G49" s="3230"/>
      <c r="H49" s="22"/>
      <c r="I49" s="67"/>
      <c r="J49" s="4185"/>
      <c r="K49" s="4186"/>
      <c r="L49" s="4186"/>
      <c r="M49" s="4186"/>
      <c r="N49" s="4186"/>
      <c r="O49" s="4186"/>
      <c r="P49" s="1876" t="str">
        <f>IF(J49=0,"",VLOOKUP(J49,Tablas!$AA$1013:$AC$1182,2,FALSE))</f>
        <v/>
      </c>
      <c r="Q49" s="1850" t="str">
        <f>IF(J49=0,"",VLOOKUP(J49,Tablas!$AA$1013:$AC$1182,3,FALSE)*IF($P$25="Invocador",0.5,1))</f>
        <v/>
      </c>
      <c r="R49" s="67"/>
      <c r="S49" s="1698"/>
      <c r="T49" s="1485" t="str">
        <f t="shared" si="1"/>
        <v>Conjuros</v>
      </c>
      <c r="U49" s="173"/>
      <c r="V49" s="1863">
        <f>IF(AC49="",0,VLOOKUP(AC49,Tablas!$M$1024:$N$1033,2))</f>
        <v>0</v>
      </c>
      <c r="W49" s="4085"/>
      <c r="X49" s="3740"/>
      <c r="Y49" s="4105"/>
      <c r="Z49" s="4105"/>
      <c r="AA49" s="4105"/>
      <c r="AB49" s="4105"/>
      <c r="AC49" s="1616" t="str">
        <f>IF(Místicos!Y49=0,"",VLOOKUP(Místicos!Y49,Tabla_Conjuros,3,FALSE))</f>
        <v/>
      </c>
      <c r="AD49" s="1873" t="str">
        <f t="shared" si="0"/>
        <v/>
      </c>
      <c r="AE49" s="4085"/>
      <c r="AF49" s="3740"/>
      <c r="AG49" s="4105"/>
      <c r="AH49" s="4105"/>
      <c r="AI49" s="4105"/>
      <c r="AJ49" s="4105"/>
      <c r="AK49" s="2188"/>
      <c r="AL49" s="3021">
        <f>IF(Místicos!AG49=0,0,VLOOKUP(Místicos!AG49,Tablas!#REF!,2,FALSE)-10)</f>
        <v>0</v>
      </c>
      <c r="AM49" s="173"/>
      <c r="AN49" s="1976"/>
      <c r="AO49" s="4096" t="str">
        <f t="shared" ref="AO49:AO52" si="3">IF($AZ$45,AZ49,IF($BA$45,BA49,IF($BB$45,BB49,"")))</f>
        <v/>
      </c>
      <c r="AP49" s="4097"/>
      <c r="AQ49" s="4072" t="str">
        <f t="shared" ref="AQ49:AQ52" si="4">IF($AZ$45,BC49,IF($BA$45,BD49,IF($BB$45,BE49,"")))</f>
        <v/>
      </c>
      <c r="AR49" s="4072"/>
      <c r="AS49" s="4072"/>
      <c r="AT49" s="4072"/>
      <c r="AU49" s="4072" t="str">
        <f t="shared" si="2"/>
        <v/>
      </c>
      <c r="AV49" s="4076"/>
      <c r="AW49" s="1993"/>
      <c r="AX49" s="1694"/>
      <c r="AY49" s="1873">
        <f>IF(AC49="",0,VLOOKUP(AC49,Tablas!$M$1024:$N$1033,2)*VLOOKUP(W49,Tabla_CosteConjuros,3))</f>
        <v>0</v>
      </c>
      <c r="AZ49" s="3010" t="s">
        <v>8765</v>
      </c>
      <c r="BA49" s="3010" t="s">
        <v>8500</v>
      </c>
      <c r="BB49" s="3010" t="s">
        <v>8497</v>
      </c>
      <c r="BC49" s="3010" t="s">
        <v>8506</v>
      </c>
      <c r="BD49" s="3010" t="s">
        <v>8529</v>
      </c>
      <c r="BE49" s="3010" t="s">
        <v>8509</v>
      </c>
      <c r="BF49" s="3010">
        <v>-20</v>
      </c>
      <c r="BG49" s="3010" t="s">
        <v>8500</v>
      </c>
      <c r="BH49" s="3010" t="s">
        <v>8515</v>
      </c>
    </row>
    <row r="50" spans="1:62" ht="12" customHeight="1" thickBot="1" x14ac:dyDescent="0.25">
      <c r="A50" s="173"/>
      <c r="B50" s="1691"/>
      <c r="C50" s="4177"/>
      <c r="D50" s="4177"/>
      <c r="E50" s="4177"/>
      <c r="F50" s="4177"/>
      <c r="G50" s="4177"/>
      <c r="H50" s="232"/>
      <c r="I50" s="67"/>
      <c r="J50" s="4183"/>
      <c r="K50" s="4184"/>
      <c r="L50" s="4184"/>
      <c r="M50" s="4184"/>
      <c r="N50" s="4184"/>
      <c r="O50" s="4184"/>
      <c r="P50" s="1877" t="str">
        <f>IF(J50=0,"",VLOOKUP(J50,Tablas!$AA$1013:$AC$1182,2,FALSE))</f>
        <v/>
      </c>
      <c r="Q50" s="1851" t="str">
        <f>IF(J50=0,"",VLOOKUP(J50,Tablas!$AA$1013:$AC$1182,3,FALSE)*IF($P$25="Invocador",0.5,1))</f>
        <v/>
      </c>
      <c r="R50" s="67"/>
      <c r="S50" s="1698"/>
      <c r="T50" s="1485" t="str">
        <f t="shared" si="1"/>
        <v>Conjuros</v>
      </c>
      <c r="U50" s="173"/>
      <c r="V50" s="1863">
        <f>IF(AC50="",0,VLOOKUP(AC50,Tablas!$M$1024:$N$1033,2))</f>
        <v>0</v>
      </c>
      <c r="W50" s="4188"/>
      <c r="X50" s="4189"/>
      <c r="Y50" s="4187"/>
      <c r="Z50" s="4187"/>
      <c r="AA50" s="4187"/>
      <c r="AB50" s="4187"/>
      <c r="AC50" s="2163" t="str">
        <f>IF(Místicos!Y50=0,"",VLOOKUP(Místicos!Y50,Tabla_Conjuros,3,FALSE))</f>
        <v/>
      </c>
      <c r="AD50" s="1873" t="str">
        <f t="shared" si="0"/>
        <v/>
      </c>
      <c r="AE50" s="4188"/>
      <c r="AF50" s="4189"/>
      <c r="AG50" s="4187"/>
      <c r="AH50" s="4187"/>
      <c r="AI50" s="4187"/>
      <c r="AJ50" s="4187"/>
      <c r="AK50" s="2161"/>
      <c r="AL50" s="3021">
        <f>IF(Místicos!AG50=0,0,VLOOKUP(Místicos!AG50,Tablas!#REF!,2,FALSE)-10)</f>
        <v>0</v>
      </c>
      <c r="AM50" s="173"/>
      <c r="AN50" s="1976"/>
      <c r="AO50" s="4096" t="str">
        <f t="shared" si="3"/>
        <v/>
      </c>
      <c r="AP50" s="4097"/>
      <c r="AQ50" s="4072" t="str">
        <f t="shared" si="4"/>
        <v/>
      </c>
      <c r="AR50" s="4072"/>
      <c r="AS50" s="4072"/>
      <c r="AT50" s="4072"/>
      <c r="AU50" s="4072" t="str">
        <f t="shared" si="2"/>
        <v/>
      </c>
      <c r="AV50" s="4076"/>
      <c r="AW50" s="1993"/>
      <c r="AX50" s="1694"/>
      <c r="AY50" s="1873">
        <f>IF(AC50="",0,VLOOKUP(AC50,Tablas!$M$1024:$N$1033,2)*VLOOKUP(W50,Tabla_CosteConjuros,3))</f>
        <v>0</v>
      </c>
      <c r="AZ50" s="3010" t="s">
        <v>8766</v>
      </c>
      <c r="BA50" s="3010" t="s">
        <v>8500</v>
      </c>
      <c r="BB50" s="3010" t="s">
        <v>1893</v>
      </c>
      <c r="BC50" s="3010" t="s">
        <v>8507</v>
      </c>
      <c r="BD50" s="3010" t="s">
        <v>8530</v>
      </c>
      <c r="BE50" s="3010" t="s">
        <v>8510</v>
      </c>
      <c r="BF50" s="3010">
        <v>0</v>
      </c>
      <c r="BG50" s="3010" t="s">
        <v>8500</v>
      </c>
      <c r="BH50" s="3010" t="s">
        <v>8516</v>
      </c>
    </row>
    <row r="51" spans="1:62" ht="12" customHeight="1" thickBot="1" x14ac:dyDescent="0.25">
      <c r="A51" s="173"/>
      <c r="B51" s="1691"/>
      <c r="C51" s="3230"/>
      <c r="D51" s="3230"/>
      <c r="E51" s="3230"/>
      <c r="F51" s="3230"/>
      <c r="G51" s="3230"/>
      <c r="H51" s="22"/>
      <c r="I51" s="67"/>
      <c r="J51" s="4185"/>
      <c r="K51" s="4186"/>
      <c r="L51" s="4186"/>
      <c r="M51" s="4186"/>
      <c r="N51" s="4186"/>
      <c r="O51" s="4186"/>
      <c r="P51" s="1810" t="str">
        <f>IF(J51=0,"",VLOOKUP(J51,Tablas!$AA$1013:$AC$1182,2,FALSE))</f>
        <v/>
      </c>
      <c r="Q51" s="1850" t="str">
        <f>IF(J51=0,"",VLOOKUP(J51,Tablas!$AA$1013:$AC$1182,3,FALSE)*IF($P$25="Invocador",0.5,1))</f>
        <v/>
      </c>
      <c r="R51" s="67"/>
      <c r="S51" s="1698"/>
      <c r="T51" s="1485"/>
      <c r="U51" s="173"/>
      <c r="V51" s="1864"/>
      <c r="W51" s="67"/>
      <c r="X51" s="67"/>
      <c r="Y51" s="67"/>
      <c r="Z51" s="67"/>
      <c r="AA51" s="67"/>
      <c r="AB51" s="67"/>
      <c r="AC51" s="67"/>
      <c r="AD51" s="67"/>
      <c r="AE51" s="67"/>
      <c r="AF51" s="67"/>
      <c r="AG51" s="67"/>
      <c r="AH51" s="67"/>
      <c r="AI51" s="67"/>
      <c r="AJ51" s="67"/>
      <c r="AK51" s="67"/>
      <c r="AL51" s="3015"/>
      <c r="AM51" s="173"/>
      <c r="AN51" s="1976"/>
      <c r="AO51" s="4096" t="str">
        <f t="shared" si="3"/>
        <v/>
      </c>
      <c r="AP51" s="4097"/>
      <c r="AQ51" s="4072" t="str">
        <f t="shared" si="4"/>
        <v/>
      </c>
      <c r="AR51" s="4072"/>
      <c r="AS51" s="4072"/>
      <c r="AT51" s="4072"/>
      <c r="AU51" s="4072" t="str">
        <f t="shared" si="2"/>
        <v/>
      </c>
      <c r="AV51" s="4076"/>
      <c r="AW51" s="1993"/>
      <c r="AX51" s="1694"/>
      <c r="AY51" s="1873">
        <f>IF(AC51="",0,VLOOKUP(AC51,Tablas!$M$1024:$N$1033,2)*VLOOKUP(AA51,Tabla_CosteConjuros,3))</f>
        <v>0</v>
      </c>
      <c r="AZ51" s="3010" t="s">
        <v>8767</v>
      </c>
      <c r="BA51" s="3010" t="s">
        <v>8500</v>
      </c>
      <c r="BB51" s="3010" t="s">
        <v>8498</v>
      </c>
      <c r="BC51" s="3010" t="s">
        <v>7510</v>
      </c>
      <c r="BD51" s="3010" t="s">
        <v>8531</v>
      </c>
      <c r="BE51" s="3010" t="s">
        <v>8511</v>
      </c>
      <c r="BF51" s="3010">
        <v>20</v>
      </c>
      <c r="BG51" s="3010" t="s">
        <v>8500</v>
      </c>
      <c r="BH51" s="3010" t="s">
        <v>8516</v>
      </c>
    </row>
    <row r="52" spans="1:62" ht="12" customHeight="1" thickBot="1" x14ac:dyDescent="0.25">
      <c r="A52" s="173"/>
      <c r="B52" s="1691"/>
      <c r="C52" s="4177"/>
      <c r="D52" s="4177"/>
      <c r="E52" s="4177"/>
      <c r="F52" s="4177"/>
      <c r="G52" s="4177"/>
      <c r="H52" s="232"/>
      <c r="I52" s="67"/>
      <c r="J52" s="4183"/>
      <c r="K52" s="4184"/>
      <c r="L52" s="4184"/>
      <c r="M52" s="4184"/>
      <c r="N52" s="4184"/>
      <c r="O52" s="4184"/>
      <c r="P52" s="1811" t="str">
        <f>IF(J52=0,"",VLOOKUP(J52,Tablas!$AA$1013:$AC$1182,2,FALSE))</f>
        <v/>
      </c>
      <c r="Q52" s="1851" t="str">
        <f>IF(J52=0,"",VLOOKUP(J52,Tablas!$AA$1013:$AC$1182,3,FALSE)*IF($P$25="Invocador",0.5,1))</f>
        <v/>
      </c>
      <c r="R52" s="67"/>
      <c r="S52" s="1698"/>
      <c r="T52" s="1485"/>
      <c r="U52" s="173"/>
      <c r="V52" s="1864"/>
      <c r="W52" s="3297" t="s">
        <v>2042</v>
      </c>
      <c r="X52" s="3298"/>
      <c r="Y52" s="3298"/>
      <c r="Z52" s="3298"/>
      <c r="AA52" s="3298"/>
      <c r="AB52" s="4192" t="s">
        <v>1861</v>
      </c>
      <c r="AC52" s="4192"/>
      <c r="AD52" s="4192"/>
      <c r="AE52" s="4192"/>
      <c r="AF52" s="4192"/>
      <c r="AG52" s="4192"/>
      <c r="AH52" s="4192"/>
      <c r="AI52" s="4192"/>
      <c r="AJ52" s="4192"/>
      <c r="AK52" s="4193"/>
      <c r="AL52" s="3015"/>
      <c r="AM52" s="173"/>
      <c r="AN52" s="1976"/>
      <c r="AO52" s="4096" t="str">
        <f t="shared" si="3"/>
        <v/>
      </c>
      <c r="AP52" s="4097"/>
      <c r="AQ52" s="4072" t="str">
        <f t="shared" si="4"/>
        <v/>
      </c>
      <c r="AR52" s="4072"/>
      <c r="AS52" s="4072"/>
      <c r="AT52" s="4072"/>
      <c r="AU52" s="4072" t="str">
        <f t="shared" si="2"/>
        <v/>
      </c>
      <c r="AV52" s="4076"/>
      <c r="AW52" s="1993"/>
      <c r="AX52" s="1694"/>
      <c r="AY52" s="1873">
        <f>IF(AC52="",0,VLOOKUP(AC52,Tablas!$M$1024:$N$1033,2)*VLOOKUP(AA52,Tabla_CosteConjuros,3))</f>
        <v>0</v>
      </c>
      <c r="AZ52" s="3010" t="s">
        <v>8768</v>
      </c>
      <c r="BA52" s="3010" t="s">
        <v>8500</v>
      </c>
      <c r="BB52" s="3010" t="s">
        <v>8499</v>
      </c>
      <c r="BC52" s="3010" t="s">
        <v>4755</v>
      </c>
      <c r="BD52" s="3010" t="s">
        <v>8532</v>
      </c>
      <c r="BE52" s="3010" t="s">
        <v>8512</v>
      </c>
      <c r="BF52" s="3010">
        <v>40</v>
      </c>
      <c r="BG52" s="3010" t="s">
        <v>8500</v>
      </c>
      <c r="BH52" s="3010" t="s">
        <v>8517</v>
      </c>
    </row>
    <row r="53" spans="1:62" ht="12" customHeight="1" x14ac:dyDescent="0.2">
      <c r="A53" s="173"/>
      <c r="B53" s="1691"/>
      <c r="C53" s="3230"/>
      <c r="D53" s="3230"/>
      <c r="E53" s="3230"/>
      <c r="F53" s="3230"/>
      <c r="G53" s="3230"/>
      <c r="H53" s="22"/>
      <c r="I53" s="67"/>
      <c r="J53" s="4185"/>
      <c r="K53" s="4186"/>
      <c r="L53" s="4186"/>
      <c r="M53" s="4186"/>
      <c r="N53" s="4186"/>
      <c r="O53" s="4186"/>
      <c r="P53" s="1810" t="str">
        <f>IF(J53=0,"",VLOOKUP(J53,Tablas!$AA$1013:$AC$1182,2,FALSE))</f>
        <v/>
      </c>
      <c r="Q53" s="1850" t="str">
        <f>IF(J53=0,"",VLOOKUP(J53,Tablas!$AA$1013:$AC$1182,3,FALSE)*IF($P$25="Invocador",0.5,1))</f>
        <v/>
      </c>
      <c r="R53" s="67"/>
      <c r="S53" s="1698"/>
      <c r="T53" s="1485"/>
      <c r="U53" s="173"/>
      <c r="V53" s="1864"/>
      <c r="W53" s="4197" t="str">
        <f>IF(SUM(Tablas!P1111:S1152)=0,"",IF(Tablas!A1&gt;MAX(Tablas!$P$1111:$P$1152),"",VLOOKUP(Tablas!A1,Tablas!$P$1111:$T$1152,2,FALSE)))</f>
        <v/>
      </c>
      <c r="X53" s="3916"/>
      <c r="Y53" s="3916"/>
      <c r="Z53" s="3916"/>
      <c r="AA53" s="3916"/>
      <c r="AB53" s="3903" t="str">
        <f>IF(SUM(Tablas!$P$1111:$P$1152)=0,"",IF(Tablas!A1&gt;MAX(Tablas!$P$1111:$P$1152),"",VLOOKUP(Tablas!A1,Tablas!$P$1111:$T$1152,4,FALSE)))</f>
        <v/>
      </c>
      <c r="AC53" s="4198"/>
      <c r="AD53" s="4198"/>
      <c r="AE53" s="4198"/>
      <c r="AF53" s="4198"/>
      <c r="AG53" s="4198"/>
      <c r="AH53" s="4198"/>
      <c r="AI53" s="4198"/>
      <c r="AJ53" s="4198"/>
      <c r="AK53" s="4199"/>
      <c r="AL53" s="3015"/>
      <c r="AM53" s="173"/>
      <c r="AN53" s="1976"/>
      <c r="AO53" s="4096" t="str">
        <f>IF($AZ$45,AZ53,IF($BA$45,BA53,IF($BB$45,BB53,"")))</f>
        <v/>
      </c>
      <c r="AP53" s="4097"/>
      <c r="AQ53" s="4072" t="str">
        <f>IF($AZ$45,BC53,IF($BA$45,BD53,IF($BB$45,BE53,"")))</f>
        <v/>
      </c>
      <c r="AR53" s="4072"/>
      <c r="AS53" s="4072"/>
      <c r="AT53" s="4072"/>
      <c r="AU53" s="4072" t="str">
        <f t="shared" si="2"/>
        <v/>
      </c>
      <c r="AV53" s="4076"/>
      <c r="AW53" s="1993"/>
      <c r="AX53" s="1694"/>
      <c r="AY53" s="1873">
        <f>IF(AC53="",0,VLOOKUP(AC53,Tablas!$M$1024:$N$1033,2)*VLOOKUP(AA53,Tabla_CosteConjuros,3))</f>
        <v>0</v>
      </c>
      <c r="AZ53" s="3010" t="s">
        <v>8769</v>
      </c>
      <c r="BA53" s="3010" t="s">
        <v>8500</v>
      </c>
      <c r="BB53" s="3010" t="s">
        <v>8500</v>
      </c>
      <c r="BC53" s="3010" t="s">
        <v>4756</v>
      </c>
      <c r="BD53" s="3010" t="s">
        <v>8533</v>
      </c>
      <c r="BE53" s="3010" t="s">
        <v>8500</v>
      </c>
      <c r="BF53" s="3010">
        <v>80</v>
      </c>
      <c r="BG53" s="3010" t="s">
        <v>8500</v>
      </c>
      <c r="BH53" s="3010" t="s">
        <v>8500</v>
      </c>
    </row>
    <row r="54" spans="1:62" ht="12" customHeight="1" thickBot="1" x14ac:dyDescent="0.25">
      <c r="A54" s="173"/>
      <c r="B54" s="1691"/>
      <c r="C54" s="4177"/>
      <c r="D54" s="4177"/>
      <c r="E54" s="4177"/>
      <c r="F54" s="4177"/>
      <c r="G54" s="4177"/>
      <c r="H54" s="232"/>
      <c r="I54" s="67"/>
      <c r="J54" s="4183"/>
      <c r="K54" s="4184"/>
      <c r="L54" s="4184"/>
      <c r="M54" s="4184"/>
      <c r="N54" s="4184"/>
      <c r="O54" s="4184"/>
      <c r="P54" s="1811" t="str">
        <f>IF(J54=0,"",VLOOKUP(J54,Tablas!$AA$1013:$AC$1182,2,FALSE))</f>
        <v/>
      </c>
      <c r="Q54" s="1851" t="str">
        <f>IF(J54=0,"",VLOOKUP(J54,Tablas!$AA$1013:$AC$1182,3,FALSE)*IF($P$25="Invocador",0.5,1))</f>
        <v/>
      </c>
      <c r="R54" s="67"/>
      <c r="S54" s="1698"/>
      <c r="T54" s="1485"/>
      <c r="U54" s="173"/>
      <c r="V54" s="1864"/>
      <c r="W54" s="4190" t="str">
        <f>IF(SUM(Tablas!$P$1111:$P$1152)=0,"",IF(Tablas!A2&gt;MAX(Tablas!$P$1111:$P$1152),"",VLOOKUP(Tablas!A2,Tablas!$P$1111:$T$1152,2,FALSE)))</f>
        <v/>
      </c>
      <c r="X54" s="3906"/>
      <c r="Y54" s="3906"/>
      <c r="Z54" s="3906"/>
      <c r="AA54" s="3906"/>
      <c r="AB54" s="3397" t="str">
        <f>IF(SUM(Tablas!$P$1111:$P$1152)=0,"",IF(Tablas!A2&gt;MAX(Tablas!$P$1111:$P$1152),"",VLOOKUP(Tablas!A2,Tablas!$P$1111:$T$1152,4,FALSE)))</f>
        <v/>
      </c>
      <c r="AC54" s="3398"/>
      <c r="AD54" s="3398"/>
      <c r="AE54" s="3398"/>
      <c r="AF54" s="3398"/>
      <c r="AG54" s="3398"/>
      <c r="AH54" s="3398"/>
      <c r="AI54" s="3398"/>
      <c r="AJ54" s="3398"/>
      <c r="AK54" s="4191"/>
      <c r="AL54" s="3015"/>
      <c r="AM54" s="173"/>
      <c r="AN54" s="1976"/>
      <c r="AO54" s="4089" t="str">
        <f>IF($AZ$45,AZ54,IF($BA$45,BA54,IF($BB$45,BB54,"")))</f>
        <v/>
      </c>
      <c r="AP54" s="4090"/>
      <c r="AQ54" s="4091" t="str">
        <f>IF($AZ$45,BC54,IF($BA$45,BD54,IF($BB$45,BE54,"")))</f>
        <v/>
      </c>
      <c r="AR54" s="4091"/>
      <c r="AS54" s="4091"/>
      <c r="AT54" s="4091"/>
      <c r="AU54" s="4091" t="str">
        <f t="shared" si="2"/>
        <v/>
      </c>
      <c r="AV54" s="4274"/>
      <c r="AW54" s="1993"/>
      <c r="AX54" s="1694"/>
      <c r="AY54" s="1873">
        <f>IF(AC54="",0,VLOOKUP(AC54,Tablas!$M$1024:$N$1033,2)*VLOOKUP(AA54,Tabla_CosteConjuros,3))</f>
        <v>0</v>
      </c>
      <c r="AZ54" s="3010" t="s">
        <v>8770</v>
      </c>
      <c r="BA54" s="3010" t="s">
        <v>8500</v>
      </c>
      <c r="BB54" s="3010" t="s">
        <v>8500</v>
      </c>
      <c r="BC54" s="3010" t="s">
        <v>4757</v>
      </c>
      <c r="BD54" s="3010" t="s">
        <v>8534</v>
      </c>
      <c r="BE54" s="3010"/>
      <c r="BF54" s="3010">
        <v>120</v>
      </c>
      <c r="BG54" s="3010" t="s">
        <v>8500</v>
      </c>
      <c r="BH54" s="3010" t="s">
        <v>8500</v>
      </c>
    </row>
    <row r="55" spans="1:62" ht="12" customHeight="1" x14ac:dyDescent="0.2">
      <c r="A55" s="173"/>
      <c r="B55" s="1691"/>
      <c r="C55" s="3230"/>
      <c r="D55" s="3230"/>
      <c r="E55" s="3230"/>
      <c r="F55" s="3230"/>
      <c r="G55" s="3230"/>
      <c r="H55" s="22"/>
      <c r="J55" s="4185"/>
      <c r="K55" s="4186"/>
      <c r="L55" s="4186"/>
      <c r="M55" s="4186"/>
      <c r="N55" s="4186"/>
      <c r="O55" s="4186"/>
      <c r="P55" s="1810" t="str">
        <f>IF(J55=0,"",VLOOKUP(J55,Tablas!$AA$1013:$AC$1182,2,FALSE))</f>
        <v/>
      </c>
      <c r="Q55" s="1850" t="str">
        <f>IF(J55=0,"",VLOOKUP(J55,Tablas!$AA$1013:$AC$1182,3,FALSE)*IF($P$25="Invocador",0.5,1))</f>
        <v/>
      </c>
      <c r="R55" s="67"/>
      <c r="S55" s="1698"/>
      <c r="T55" s="1485"/>
      <c r="U55" s="173"/>
      <c r="V55" s="1864"/>
      <c r="W55" s="4194" t="str">
        <f>IF(SUM(Tablas!$P$1111:$P$1152)=0,"",IF(Tablas!A3&gt;MAX(Tablas!$P$1111:$P$1152),"",VLOOKUP(Tablas!A3,Tablas!$P$1111:$T$1152,2,FALSE)))</f>
        <v/>
      </c>
      <c r="X55" s="4195"/>
      <c r="Y55" s="4195"/>
      <c r="Z55" s="4195"/>
      <c r="AA55" s="4196"/>
      <c r="AB55" s="3397" t="str">
        <f>IF(SUM(Tablas!$P$1111:$P$1152)=0,"",IF(Tablas!A3&gt;MAX(Tablas!$P$1111:$P$1152),"",VLOOKUP(Tablas!A3,Tablas!$P$1111:$T$1152,4,FALSE)))</f>
        <v/>
      </c>
      <c r="AC55" s="3398"/>
      <c r="AD55" s="3398"/>
      <c r="AE55" s="3398"/>
      <c r="AF55" s="3398"/>
      <c r="AG55" s="3398"/>
      <c r="AH55" s="3398"/>
      <c r="AI55" s="3398"/>
      <c r="AJ55" s="3398"/>
      <c r="AK55" s="4191"/>
      <c r="AL55" s="3015"/>
      <c r="AM55" s="173"/>
      <c r="AN55" s="1976"/>
      <c r="AO55" s="4290" t="str">
        <f>IF($AZ$45,AZ55,IF($BA$45,BA55,IF($BB$45,BB55,"")))</f>
        <v/>
      </c>
      <c r="AP55" s="4291"/>
      <c r="AQ55" s="4073" t="str">
        <f>IF($AZ$45,BC55,IF($BA$45,BD55,IF($BB$45,BE55,"")))</f>
        <v/>
      </c>
      <c r="AR55" s="4074"/>
      <c r="AS55" s="4074"/>
      <c r="AT55" s="4075"/>
      <c r="AU55" s="4073" t="str">
        <f t="shared" si="2"/>
        <v/>
      </c>
      <c r="AV55" s="4273"/>
      <c r="AW55" s="1993"/>
      <c r="AX55" s="1694"/>
      <c r="AY55" s="1873">
        <f>IF(AC55="",0,VLOOKUP(AC55,Tablas!$M$1024:$N$1033,2)*VLOOKUP(AA55,Tabla_CosteConjuros,3))</f>
        <v>0</v>
      </c>
      <c r="AZ55" s="3010" t="s">
        <v>3228</v>
      </c>
      <c r="BA55" s="3010" t="s">
        <v>8500</v>
      </c>
      <c r="BB55" s="3010" t="s">
        <v>8500</v>
      </c>
      <c r="BC55" s="3010" t="s">
        <v>8500</v>
      </c>
      <c r="BD55" s="3010" t="s">
        <v>8500</v>
      </c>
      <c r="BE55" s="3010" t="s">
        <v>8518</v>
      </c>
      <c r="BF55" s="3010" t="s">
        <v>8500</v>
      </c>
      <c r="BG55" s="3010" t="s">
        <v>8500</v>
      </c>
      <c r="BH55" s="3010" t="s">
        <v>8500</v>
      </c>
      <c r="BI55" s="3010" t="s">
        <v>8500</v>
      </c>
    </row>
    <row r="56" spans="1:62" ht="12" customHeight="1" x14ac:dyDescent="0.2">
      <c r="A56" s="173"/>
      <c r="B56" s="1691"/>
      <c r="C56" s="4177"/>
      <c r="D56" s="4177"/>
      <c r="E56" s="4177"/>
      <c r="F56" s="4177"/>
      <c r="G56" s="4177"/>
      <c r="H56" s="232"/>
      <c r="J56" s="4183"/>
      <c r="K56" s="4184"/>
      <c r="L56" s="4184"/>
      <c r="M56" s="4184"/>
      <c r="N56" s="4184"/>
      <c r="O56" s="4184"/>
      <c r="P56" s="1877" t="str">
        <f>IF(J56=0,"",VLOOKUP(J56,Tablas!$AA$1013:$AC$1182,2,FALSE))</f>
        <v/>
      </c>
      <c r="Q56" s="1851" t="str">
        <f>IF(J56=0,"",VLOOKUP(J56,Tablas!$AA$1013:$AC$1182,3,FALSE)*IF($P$25="Invocador",0.5,1))</f>
        <v/>
      </c>
      <c r="R56" s="67"/>
      <c r="S56" s="1698"/>
      <c r="T56" s="1485"/>
      <c r="U56" s="173"/>
      <c r="V56" s="1864"/>
      <c r="W56" s="4194" t="str">
        <f>IF(SUM(Tablas!$P$1111:$P$1152)=0,"",IF(Tablas!A4&gt;MAX(Tablas!$P$1111:$P$1152),"",VLOOKUP(Tablas!A4,Tablas!$P$1111:$T$1152,2,FALSE)))</f>
        <v/>
      </c>
      <c r="X56" s="4195"/>
      <c r="Y56" s="4195"/>
      <c r="Z56" s="4195"/>
      <c r="AA56" s="4196"/>
      <c r="AB56" s="3397" t="str">
        <f>IF(SUM(Tablas!$P$1111:$P$1152)=0,"",IF(Tablas!A4&gt;MAX(Tablas!$P$1111:$P$1152),"",VLOOKUP(Tablas!A4,Tablas!$P$1111:$T$1152,4,FALSE)))</f>
        <v/>
      </c>
      <c r="AC56" s="3398"/>
      <c r="AD56" s="3398"/>
      <c r="AE56" s="3398"/>
      <c r="AF56" s="3398"/>
      <c r="AG56" s="3398"/>
      <c r="AH56" s="3398"/>
      <c r="AI56" s="3398"/>
      <c r="AJ56" s="3398"/>
      <c r="AK56" s="4191"/>
      <c r="AL56" s="3015"/>
      <c r="AM56" s="173"/>
      <c r="AN56" s="1976"/>
      <c r="AO56" s="4068" t="str">
        <f t="shared" ref="AO56" si="5">IF($AZ$45,AZ56,IF($BA$45,BA56,IF($BB$45,BB56,"")))</f>
        <v/>
      </c>
      <c r="AP56" s="4069"/>
      <c r="AQ56" s="4281" t="str">
        <f>IF($AZ$45,BC56,IF($BA$45,BD56,IF($BB$45,BE56,"")))</f>
        <v/>
      </c>
      <c r="AR56" s="4282"/>
      <c r="AS56" s="4282"/>
      <c r="AT56" s="4282"/>
      <c r="AU56" s="4282"/>
      <c r="AV56" s="4283"/>
      <c r="AW56" s="1993"/>
      <c r="AX56" s="1694"/>
      <c r="AZ56" s="3010" t="s">
        <v>8500</v>
      </c>
      <c r="BA56" s="3010" t="s">
        <v>8500</v>
      </c>
      <c r="BB56" s="3010" t="s">
        <v>8519</v>
      </c>
      <c r="BC56" s="3010" t="s">
        <v>8500</v>
      </c>
      <c r="BD56" s="3010" t="s">
        <v>8526</v>
      </c>
      <c r="BE56" s="3010" t="s">
        <v>8522</v>
      </c>
      <c r="BF56" s="3010" t="s">
        <v>8500</v>
      </c>
      <c r="BG56" s="3010" t="s">
        <v>8500</v>
      </c>
      <c r="BH56" s="3010" t="s">
        <v>8500</v>
      </c>
      <c r="BI56" s="3010" t="s">
        <v>8500</v>
      </c>
      <c r="BJ56" s="3010" t="s">
        <v>8500</v>
      </c>
    </row>
    <row r="57" spans="1:62" ht="12" customHeight="1" x14ac:dyDescent="0.2">
      <c r="A57" s="173"/>
      <c r="B57" s="1691"/>
      <c r="C57" s="3230"/>
      <c r="D57" s="3230"/>
      <c r="E57" s="3230"/>
      <c r="F57" s="3230"/>
      <c r="G57" s="3230"/>
      <c r="H57" s="22"/>
      <c r="J57" s="4185"/>
      <c r="K57" s="4186"/>
      <c r="L57" s="4186"/>
      <c r="M57" s="4186"/>
      <c r="N57" s="4186"/>
      <c r="O57" s="4186"/>
      <c r="P57" s="1810" t="str">
        <f>IF(J57=0,"",VLOOKUP(J57,Tablas!$AA$1013:$AC$1182,2,FALSE))</f>
        <v/>
      </c>
      <c r="Q57" s="1850" t="str">
        <f>IF(J57=0,"",VLOOKUP(J57,Tablas!$AA$1013:$AC$1182,3,FALSE)*IF($P$25="Invocador",0.5,1))</f>
        <v/>
      </c>
      <c r="R57" s="67"/>
      <c r="S57" s="1698"/>
      <c r="T57" s="1485"/>
      <c r="U57" s="173"/>
      <c r="V57" s="1864"/>
      <c r="W57" s="4194" t="str">
        <f>IF(SUM(Tablas!$P$1111:$P$1152)=0,"",IF(Tablas!A5&gt;MAX(Tablas!$P$1111:$P$1152),"",VLOOKUP(Tablas!A5,Tablas!$P$1111:$T$1152,2,FALSE)))</f>
        <v/>
      </c>
      <c r="X57" s="4195"/>
      <c r="Y57" s="4195"/>
      <c r="Z57" s="4195"/>
      <c r="AA57" s="4196"/>
      <c r="AB57" s="3397" t="str">
        <f>IF(SUM(Tablas!$P$1111:$P$1152)=0,"",IF(Tablas!A5&gt;MAX(Tablas!$P$1111:$P$1152),"",VLOOKUP(Tablas!A5,Tablas!$P$1111:$T$1152,4,FALSE)))</f>
        <v/>
      </c>
      <c r="AC57" s="3398"/>
      <c r="AD57" s="3398"/>
      <c r="AE57" s="3398"/>
      <c r="AF57" s="3398"/>
      <c r="AG57" s="3398"/>
      <c r="AH57" s="3398"/>
      <c r="AI57" s="3398"/>
      <c r="AJ57" s="3398"/>
      <c r="AK57" s="4191"/>
      <c r="AL57" s="3015"/>
      <c r="AM57" s="173"/>
      <c r="AN57" s="1976"/>
      <c r="AO57" s="4277" t="str">
        <f>IF($AZ$45,AZ57,IF($BA$45,BA57,IF($BB$45,BB57,"")))</f>
        <v/>
      </c>
      <c r="AP57" s="4278"/>
      <c r="AQ57" s="4284" t="str">
        <f t="shared" ref="AQ57:AQ58" si="6">IF($AZ$45,BC57,IF($BA$45,BD57,IF($BB$45,BE57,"")))</f>
        <v/>
      </c>
      <c r="AR57" s="4285"/>
      <c r="AS57" s="4285"/>
      <c r="AT57" s="4285"/>
      <c r="AU57" s="4285"/>
      <c r="AV57" s="4286"/>
      <c r="AW57" s="1993"/>
      <c r="AX57" s="1694"/>
      <c r="AZ57" s="3010" t="s">
        <v>8500</v>
      </c>
      <c r="BA57" s="3010" t="s">
        <v>8500</v>
      </c>
      <c r="BB57" s="1695" t="s">
        <v>8520</v>
      </c>
      <c r="BC57" s="3010" t="s">
        <v>8500</v>
      </c>
      <c r="BD57" s="3010" t="s">
        <v>8524</v>
      </c>
      <c r="BE57" s="1695" t="s">
        <v>1766</v>
      </c>
      <c r="BF57" s="3010" t="s">
        <v>8500</v>
      </c>
      <c r="BG57" s="3010" t="s">
        <v>8500</v>
      </c>
      <c r="BI57" s="3010" t="s">
        <v>8500</v>
      </c>
      <c r="BJ57" s="3010" t="s">
        <v>8500</v>
      </c>
    </row>
    <row r="58" spans="1:62" ht="12" customHeight="1" thickBot="1" x14ac:dyDescent="0.25">
      <c r="A58" s="173"/>
      <c r="B58" s="1691"/>
      <c r="C58" s="4177"/>
      <c r="D58" s="4177"/>
      <c r="E58" s="4177"/>
      <c r="F58" s="4177"/>
      <c r="G58" s="4177"/>
      <c r="H58" s="232"/>
      <c r="J58" s="4183"/>
      <c r="K58" s="4184"/>
      <c r="L58" s="4184"/>
      <c r="M58" s="4184"/>
      <c r="N58" s="4184"/>
      <c r="O58" s="4184"/>
      <c r="P58" s="1811" t="str">
        <f>IF(J58=0,"",VLOOKUP(J58,Tablas!$AA$1013:$AC$1182,2,FALSE))</f>
        <v/>
      </c>
      <c r="Q58" s="1851" t="str">
        <f>IF(J58=0,"",VLOOKUP(J58,Tablas!$AA$1013:$AC$1182,3,FALSE)*IF($P$25="Invocador",0.5,1))</f>
        <v/>
      </c>
      <c r="R58" s="67"/>
      <c r="S58" s="1698"/>
      <c r="T58" s="1485"/>
      <c r="U58" s="173"/>
      <c r="V58" s="1864"/>
      <c r="W58" s="4194" t="str">
        <f>IF(SUM(Tablas!$P$1111:$P$1152)=0,"",IF(Tablas!A6&gt;MAX(Tablas!$P$1111:$P$1152),"",VLOOKUP(Tablas!A6,Tablas!$P$1111:$T$1152,2,FALSE)))</f>
        <v/>
      </c>
      <c r="X58" s="4195"/>
      <c r="Y58" s="4195"/>
      <c r="Z58" s="4195"/>
      <c r="AA58" s="4196"/>
      <c r="AB58" s="3397" t="str">
        <f>IF(SUM(Tablas!$P$1111:$P$1152)=0,"",IF(Tablas!A6&gt;MAX(Tablas!$P$1111:$P$1152),"",VLOOKUP(Tablas!A6,Tablas!$P$1111:$T$1152,4,FALSE)))</f>
        <v/>
      </c>
      <c r="AC58" s="3398"/>
      <c r="AD58" s="3398"/>
      <c r="AE58" s="3398"/>
      <c r="AF58" s="3398"/>
      <c r="AG58" s="3398"/>
      <c r="AH58" s="3398"/>
      <c r="AI58" s="3398"/>
      <c r="AJ58" s="3398"/>
      <c r="AK58" s="4191"/>
      <c r="AL58" s="3015"/>
      <c r="AM58" s="173"/>
      <c r="AN58" s="1976"/>
      <c r="AO58" s="4279" t="str">
        <f t="shared" ref="AO58" si="7">IF($AZ$45,AZ58,IF($BA$45,BA58,IF($BB$45,BB58,"")))</f>
        <v/>
      </c>
      <c r="AP58" s="4280"/>
      <c r="AQ58" s="4287" t="str">
        <f t="shared" si="6"/>
        <v/>
      </c>
      <c r="AR58" s="4288"/>
      <c r="AS58" s="4288"/>
      <c r="AT58" s="4288"/>
      <c r="AU58" s="4288"/>
      <c r="AV58" s="4289"/>
      <c r="AW58" s="1993"/>
      <c r="AX58" s="1694"/>
      <c r="BB58" s="1695" t="s">
        <v>8521</v>
      </c>
      <c r="BC58" s="3010" t="s">
        <v>8500</v>
      </c>
      <c r="BD58" s="3010" t="s">
        <v>8525</v>
      </c>
      <c r="BE58" s="1695" t="s">
        <v>8523</v>
      </c>
      <c r="BF58" s="3010" t="s">
        <v>8500</v>
      </c>
      <c r="BG58" s="3010" t="s">
        <v>8500</v>
      </c>
    </row>
    <row r="59" spans="1:62" ht="12" customHeight="1" thickBot="1" x14ac:dyDescent="0.25">
      <c r="A59" s="173"/>
      <c r="B59" s="1691"/>
      <c r="C59" s="3467" t="s">
        <v>2039</v>
      </c>
      <c r="D59" s="3467"/>
      <c r="E59" s="3467"/>
      <c r="F59" s="3467"/>
      <c r="G59" s="3467"/>
      <c r="H59" s="233">
        <f>SUM(H33:H58)+IF(Sheele!$F$5="No",0,Sheele!$U$5)</f>
        <v>0</v>
      </c>
      <c r="J59" s="4228" t="str">
        <f>IF(Tablas!X21,IF(AND(22-COUNTBLANK(P33:P58)&gt;VLOOKUP(Nivel_Sobrenatural,Tablas!$S$9:$X$12,6,FALSE)),"Número inicial de invocaciones excesivo. ","")&amp;IF(P25="Invocador","Costes de las invocaciones ya reducidos",""),"")</f>
        <v/>
      </c>
      <c r="K59" s="4229"/>
      <c r="L59" s="4229"/>
      <c r="M59" s="4229"/>
      <c r="N59" s="4229"/>
      <c r="O59" s="4229"/>
      <c r="P59" s="4229"/>
      <c r="Q59" s="4230"/>
      <c r="R59" s="67"/>
      <c r="S59" s="1698"/>
      <c r="T59" s="1485"/>
      <c r="U59" s="173"/>
      <c r="V59" s="1864"/>
      <c r="W59" s="4194" t="str">
        <f>IF(SUM(Tablas!$P$1111:$P$1152)=0,"",IF(Tablas!A7&gt;MAX(Tablas!$P$1111:$P$1152),"",VLOOKUP(Tablas!A7,Tablas!$P$1111:$T$1152,2,FALSE)))</f>
        <v/>
      </c>
      <c r="X59" s="4195"/>
      <c r="Y59" s="4195"/>
      <c r="Z59" s="4195"/>
      <c r="AA59" s="4196"/>
      <c r="AB59" s="3397" t="str">
        <f>IF(SUM(Tablas!$P$1111:$P$1152)=0,"",IF(Tablas!A7&gt;MAX(Tablas!$P$1111:$P$1152),"",VLOOKUP(Tablas!A7,Tablas!$P$1111:$T$1152,4,FALSE)))</f>
        <v/>
      </c>
      <c r="AC59" s="3398"/>
      <c r="AD59" s="3398"/>
      <c r="AE59" s="3398"/>
      <c r="AF59" s="3398"/>
      <c r="AG59" s="3398"/>
      <c r="AH59" s="3398"/>
      <c r="AI59" s="3398"/>
      <c r="AJ59" s="3398"/>
      <c r="AK59" s="4191"/>
      <c r="AL59" s="3015"/>
      <c r="AM59" s="173"/>
      <c r="AN59" s="1976"/>
      <c r="AW59" s="1993"/>
      <c r="AX59" s="1694"/>
    </row>
    <row r="60" spans="1:62" ht="12" customHeight="1" thickBot="1" x14ac:dyDescent="0.25">
      <c r="A60" s="173"/>
      <c r="B60" s="1691"/>
      <c r="R60" s="67"/>
      <c r="S60" s="1698"/>
      <c r="T60" s="1485"/>
      <c r="U60" s="173"/>
      <c r="V60" s="1864"/>
      <c r="W60" s="4194" t="str">
        <f>IF(SUM(Tablas!$P$1111:$P$1152)=0,"",IF(Tablas!A8&gt;MAX(Tablas!$P$1111:$P$1152),"",VLOOKUP(Tablas!A8,Tablas!$P$1111:$T$1152,2,FALSE)))</f>
        <v/>
      </c>
      <c r="X60" s="4195"/>
      <c r="Y60" s="4195"/>
      <c r="Z60" s="4195"/>
      <c r="AA60" s="4196"/>
      <c r="AB60" s="3397" t="str">
        <f>IF(SUM(Tablas!$P$1111:$P$1152)=0,"",IF(Tablas!A8&gt;MAX(Tablas!$P$1111:$P$1152),"",VLOOKUP(Tablas!A8,Tablas!$P$1111:$T$1152,4,FALSE)))</f>
        <v/>
      </c>
      <c r="AC60" s="3398"/>
      <c r="AD60" s="3398"/>
      <c r="AE60" s="3398"/>
      <c r="AF60" s="3398"/>
      <c r="AG60" s="3398"/>
      <c r="AH60" s="3398"/>
      <c r="AI60" s="3398"/>
      <c r="AJ60" s="3398"/>
      <c r="AK60" s="4191"/>
      <c r="AL60" s="3015"/>
      <c r="AM60" s="173"/>
      <c r="AN60" s="1976"/>
      <c r="AO60" s="4257" t="s">
        <v>8484</v>
      </c>
      <c r="AP60" s="4258"/>
      <c r="AQ60" s="4258"/>
      <c r="AR60" s="4258"/>
      <c r="AS60" s="4258"/>
      <c r="AT60" s="4258"/>
      <c r="AU60" s="4258"/>
      <c r="AV60" s="4259"/>
      <c r="AW60" s="1993"/>
      <c r="AX60" s="1694"/>
      <c r="AZ60" s="1695" t="s">
        <v>8527</v>
      </c>
      <c r="BA60" s="1695" t="s">
        <v>8527</v>
      </c>
      <c r="BB60" s="1695" t="s">
        <v>8527</v>
      </c>
      <c r="BC60" s="1695" t="s">
        <v>8527</v>
      </c>
      <c r="BD60" s="1695" t="s">
        <v>8527</v>
      </c>
      <c r="BE60" s="1695" t="s">
        <v>8527</v>
      </c>
      <c r="BF60" s="1695" t="s">
        <v>8527</v>
      </c>
      <c r="BG60" s="1695" t="s">
        <v>8527</v>
      </c>
      <c r="BH60" s="1695" t="s">
        <v>8527</v>
      </c>
      <c r="BI60" s="1695" t="s">
        <v>8527</v>
      </c>
      <c r="BJ60" s="1695" t="s">
        <v>8527</v>
      </c>
    </row>
    <row r="61" spans="1:62" ht="12" customHeight="1" thickBot="1" x14ac:dyDescent="0.25">
      <c r="A61" s="173"/>
      <c r="B61" s="1691"/>
      <c r="C61" s="3201" t="s">
        <v>2040</v>
      </c>
      <c r="D61" s="3201"/>
      <c r="E61" s="3201"/>
      <c r="F61" s="3201"/>
      <c r="G61" s="3201"/>
      <c r="H61" s="3201"/>
      <c r="I61" s="67"/>
      <c r="J61" s="4128" t="s">
        <v>2041</v>
      </c>
      <c r="K61" s="4128"/>
      <c r="L61" s="4128"/>
      <c r="M61" s="4212" t="s">
        <v>1823</v>
      </c>
      <c r="N61" s="4212"/>
      <c r="O61" s="4212"/>
      <c r="P61" s="4212"/>
      <c r="Q61" s="4212"/>
      <c r="R61" s="67"/>
      <c r="S61" s="1698"/>
      <c r="T61" s="1485"/>
      <c r="U61" s="173"/>
      <c r="V61" s="1864"/>
      <c r="W61" s="4194" t="str">
        <f>IF(SUM(Tablas!$P$1111:$P$1152)=0,"",IF(Tablas!A9&gt;MAX(Tablas!$P$1111:$P$1152),"",VLOOKUP(Tablas!A9,Tablas!$P$1111:$T$1152,2,FALSE)))</f>
        <v/>
      </c>
      <c r="X61" s="4195"/>
      <c r="Y61" s="4195"/>
      <c r="Z61" s="4195"/>
      <c r="AA61" s="4196"/>
      <c r="AB61" s="4209" t="str">
        <f>IF(SUM(Tablas!$P$1111:$P$1152)=0,"",IF(Tablas!A9&gt;MAX(Tablas!$P$1111:$P$1152),"",VLOOKUP(Tablas!A9,Tablas!$P$1111:$T$1152,4,FALSE)))</f>
        <v/>
      </c>
      <c r="AC61" s="4210"/>
      <c r="AD61" s="4210"/>
      <c r="AE61" s="4210"/>
      <c r="AF61" s="4210"/>
      <c r="AG61" s="4210"/>
      <c r="AH61" s="4210"/>
      <c r="AI61" s="4210"/>
      <c r="AJ61" s="4210"/>
      <c r="AK61" s="4211"/>
      <c r="AL61" s="3015"/>
      <c r="AM61" s="173"/>
      <c r="AN61" s="1976"/>
      <c r="AO61" s="4297" t="s">
        <v>2014</v>
      </c>
      <c r="AP61" s="4298"/>
      <c r="AQ61" s="4298" t="s">
        <v>2013</v>
      </c>
      <c r="AR61" s="4298"/>
      <c r="AS61" s="4298"/>
      <c r="AT61" s="2243"/>
      <c r="AU61" s="1969" t="s">
        <v>8485</v>
      </c>
      <c r="AV61" s="1968" t="s">
        <v>3101</v>
      </c>
      <c r="AW61" s="1993"/>
      <c r="AX61" s="1694"/>
    </row>
    <row r="62" spans="1:62" ht="12" customHeight="1" x14ac:dyDescent="0.2">
      <c r="A62" s="173"/>
      <c r="B62" s="1691"/>
      <c r="C62" s="4206" t="s">
        <v>2043</v>
      </c>
      <c r="D62" s="4206"/>
      <c r="E62" s="235" t="s">
        <v>1676</v>
      </c>
      <c r="F62" s="4207" t="s">
        <v>2044</v>
      </c>
      <c r="G62" s="4207"/>
      <c r="H62" s="4207"/>
      <c r="I62" s="67"/>
      <c r="J62" s="236">
        <v>20</v>
      </c>
      <c r="K62" s="4202" t="s">
        <v>2045</v>
      </c>
      <c r="L62" s="4202"/>
      <c r="M62" s="4208" t="s">
        <v>2046</v>
      </c>
      <c r="N62" s="4208"/>
      <c r="O62" s="4208"/>
      <c r="P62" s="4208"/>
      <c r="Q62" s="4208"/>
      <c r="R62" s="67"/>
      <c r="S62" s="1698"/>
      <c r="T62" s="1485"/>
      <c r="U62" s="173"/>
      <c r="V62" s="1864"/>
      <c r="W62" s="4194" t="str">
        <f>IF(SUM(Tablas!$P$1111:$P$1152)=0,"",IF(Tablas!A10&gt;MAX(Tablas!$P$1111:$P$1152),"",VLOOKUP(Tablas!A10,Tablas!$P$1111:$T$1152,2,FALSE)))</f>
        <v/>
      </c>
      <c r="X62" s="4195"/>
      <c r="Y62" s="4195"/>
      <c r="Z62" s="4195"/>
      <c r="AA62" s="4196"/>
      <c r="AB62" s="4209" t="str">
        <f>IF(SUM(Tablas!$P$1111:$P$1152)=0,"",IF(Tablas!A10&gt;MAX(Tablas!$P$1111:$P$1152),"",VLOOKUP(Tablas!A10,Tablas!$P$1111:$T$1152,4,FALSE)))</f>
        <v/>
      </c>
      <c r="AC62" s="4210"/>
      <c r="AD62" s="4210"/>
      <c r="AE62" s="4210"/>
      <c r="AF62" s="4210"/>
      <c r="AG62" s="4210"/>
      <c r="AH62" s="4210"/>
      <c r="AI62" s="4210"/>
      <c r="AJ62" s="4210"/>
      <c r="AK62" s="4211"/>
      <c r="AL62" s="3015"/>
      <c r="AM62" s="173"/>
      <c r="AN62" s="2242" t="str">
        <f>"Conjuros"&amp;IF(AO62="","","_"&amp;AO62)</f>
        <v>Conjuros</v>
      </c>
      <c r="AO62" s="4306"/>
      <c r="AP62" s="4307"/>
      <c r="AQ62" s="4308"/>
      <c r="AR62" s="4308"/>
      <c r="AS62" s="4308"/>
      <c r="AT62" s="4309"/>
      <c r="AU62" s="1927"/>
      <c r="AV62" s="1971">
        <f>IF(AQ62="",0,AU62*VLOOKUP(AQ62,'Tablas Magia'!$D$6:$Z$680,11,FALSE)/2)</f>
        <v>0</v>
      </c>
      <c r="AW62" s="1993"/>
      <c r="AX62" s="1694"/>
      <c r="BD62" s="3010"/>
    </row>
    <row r="63" spans="1:62" ht="12" customHeight="1" x14ac:dyDescent="0.2">
      <c r="A63" s="173"/>
      <c r="B63" s="1691"/>
      <c r="C63" s="4203" t="s">
        <v>2047</v>
      </c>
      <c r="D63" s="4203"/>
      <c r="E63" s="237">
        <v>-100</v>
      </c>
      <c r="F63" s="4204" t="s">
        <v>2048</v>
      </c>
      <c r="G63" s="4204"/>
      <c r="H63" s="4205">
        <v>20</v>
      </c>
      <c r="I63" s="67"/>
      <c r="J63" s="236">
        <v>40</v>
      </c>
      <c r="K63" s="4202" t="s">
        <v>2049</v>
      </c>
      <c r="L63" s="4202"/>
      <c r="M63" s="4200" t="s">
        <v>2050</v>
      </c>
      <c r="N63" s="4200"/>
      <c r="O63" s="4200"/>
      <c r="P63" s="4200"/>
      <c r="Q63" s="4200"/>
      <c r="R63" s="67"/>
      <c r="S63" s="1698"/>
      <c r="T63" s="1485"/>
      <c r="U63" s="173"/>
      <c r="V63" s="1864"/>
      <c r="W63" s="4194" t="str">
        <f>IF(SUM(Tablas!$P$1111:$P$1152)=0,"",IF(Tablas!A11&gt;MAX(Tablas!$P$1111:$P$1152),"",VLOOKUP(Tablas!A11,Tablas!$P$1111:$T$1152,2,FALSE)))</f>
        <v/>
      </c>
      <c r="X63" s="4195"/>
      <c r="Y63" s="4195"/>
      <c r="Z63" s="4195"/>
      <c r="AA63" s="4196"/>
      <c r="AB63" s="4209" t="str">
        <f>IF(SUM(Tablas!$P$1111:$P$1152)=0,"",IF(Tablas!A11&gt;MAX(Tablas!$P$1111:$P$1152),"",VLOOKUP(Tablas!A11,Tablas!$P$1111:$T$1152,4,FALSE)))</f>
        <v/>
      </c>
      <c r="AC63" s="4210"/>
      <c r="AD63" s="4210"/>
      <c r="AE63" s="4210"/>
      <c r="AF63" s="4210"/>
      <c r="AG63" s="4210"/>
      <c r="AH63" s="4210"/>
      <c r="AI63" s="4210"/>
      <c r="AJ63" s="4210"/>
      <c r="AK63" s="4211"/>
      <c r="AL63" s="3015"/>
      <c r="AM63" s="173"/>
      <c r="AN63" s="2242" t="str">
        <f t="shared" ref="AN63:AN72" si="8">"Conjuros"&amp;IF(AO63="","","_"&amp;AO63)</f>
        <v>Conjuros</v>
      </c>
      <c r="AO63" s="4299"/>
      <c r="AP63" s="4300"/>
      <c r="AQ63" s="4301"/>
      <c r="AR63" s="4301"/>
      <c r="AS63" s="4301"/>
      <c r="AT63" s="4302"/>
      <c r="AU63" s="1970"/>
      <c r="AV63" s="1972">
        <f>IF(AQ63="",0,AU63*VLOOKUP(AQ63,'Tablas Magia'!$D$6:$Z$680,11,FALSE)/2)</f>
        <v>0</v>
      </c>
      <c r="AW63" s="1993"/>
      <c r="AX63" s="1694"/>
      <c r="BD63" s="3010"/>
    </row>
    <row r="64" spans="1:62" ht="12" customHeight="1" x14ac:dyDescent="0.2">
      <c r="A64" s="173"/>
      <c r="B64" s="1691"/>
      <c r="C64" s="4201" t="s">
        <v>2051</v>
      </c>
      <c r="D64" s="4201"/>
      <c r="E64" s="237">
        <v>-50</v>
      </c>
      <c r="F64" s="4204"/>
      <c r="G64" s="4204"/>
      <c r="H64" s="4205"/>
      <c r="I64" s="67"/>
      <c r="J64" s="236">
        <v>80</v>
      </c>
      <c r="K64" s="4202" t="s">
        <v>2052</v>
      </c>
      <c r="L64" s="4202"/>
      <c r="M64" s="4200" t="s">
        <v>2053</v>
      </c>
      <c r="N64" s="4200"/>
      <c r="O64" s="4200"/>
      <c r="P64" s="4200"/>
      <c r="Q64" s="4200"/>
      <c r="R64" s="67"/>
      <c r="S64" s="1698"/>
      <c r="T64" s="1485"/>
      <c r="U64" s="173"/>
      <c r="V64" s="1864"/>
      <c r="W64" s="4194" t="str">
        <f>IF(SUM(Tablas!$P$1111:$P$1152)=0,"",IF(Tablas!A12&gt;MAX(Tablas!$P$1111:$P$1152),"",VLOOKUP(Tablas!A12,Tablas!$P$1111:$T$1152,2,FALSE)))</f>
        <v/>
      </c>
      <c r="X64" s="4195"/>
      <c r="Y64" s="4195"/>
      <c r="Z64" s="4195"/>
      <c r="AA64" s="4196"/>
      <c r="AB64" s="4209" t="str">
        <f>IF(SUM(Tablas!$P$1111:$P$1152)=0,"",IF(Tablas!A12&gt;MAX(Tablas!$P$1111:$P$1152),"",VLOOKUP(Tablas!A12,Tablas!$P$1111:$T$1152,4,FALSE)))</f>
        <v/>
      </c>
      <c r="AC64" s="4210"/>
      <c r="AD64" s="4210"/>
      <c r="AE64" s="4210"/>
      <c r="AF64" s="4210"/>
      <c r="AG64" s="4210"/>
      <c r="AH64" s="4210"/>
      <c r="AI64" s="4210"/>
      <c r="AJ64" s="4210"/>
      <c r="AK64" s="4211"/>
      <c r="AL64" s="3015"/>
      <c r="AM64" s="173"/>
      <c r="AN64" s="2242" t="str">
        <f t="shared" si="8"/>
        <v>Conjuros</v>
      </c>
      <c r="AO64" s="4303"/>
      <c r="AP64" s="4304"/>
      <c r="AQ64" s="3737"/>
      <c r="AR64" s="3737"/>
      <c r="AS64" s="3737"/>
      <c r="AT64" s="4305"/>
      <c r="AU64" s="1928"/>
      <c r="AV64" s="1923">
        <f>IF(AQ64="",0,AU64*VLOOKUP(AQ64,'Tablas Magia'!$D$6:$Z$680,11,FALSE)/2)</f>
        <v>0</v>
      </c>
      <c r="AW64" s="1993"/>
      <c r="AX64" s="1694"/>
    </row>
    <row r="65" spans="1:50" ht="12" customHeight="1" x14ac:dyDescent="0.2">
      <c r="A65" s="173"/>
      <c r="B65" s="1691"/>
      <c r="C65" s="4201" t="s">
        <v>2054</v>
      </c>
      <c r="D65" s="4201"/>
      <c r="E65" s="237">
        <v>-20</v>
      </c>
      <c r="F65" s="4204" t="s">
        <v>2055</v>
      </c>
      <c r="G65" s="4204"/>
      <c r="H65" s="4205">
        <v>10</v>
      </c>
      <c r="I65" s="67"/>
      <c r="J65" s="236">
        <v>120</v>
      </c>
      <c r="K65" s="4202" t="s">
        <v>2056</v>
      </c>
      <c r="L65" s="4202"/>
      <c r="M65" s="4200" t="str">
        <f>IF(Metamagia!$R$54+Metamagia!$U$54+Metamagia!$AA$54+Metamagia!$AA$59+Metamagia!$AA$64+Metamagia!$AD$48+Metamagia!$AG$46&gt;0,"Blancos hasta 100m. Zeón 10","Blancos hasta 100m")</f>
        <v>Blancos hasta 100m</v>
      </c>
      <c r="N65" s="4200"/>
      <c r="O65" s="4200"/>
      <c r="P65" s="4200"/>
      <c r="Q65" s="4200"/>
      <c r="R65" s="67"/>
      <c r="S65" s="1698"/>
      <c r="T65" s="1485"/>
      <c r="U65" s="173"/>
      <c r="V65" s="1864"/>
      <c r="W65" s="4194" t="str">
        <f>IF(SUM(Tablas!$P$1111:$P$1152)=0,"",IF(Tablas!A13&gt;MAX(Tablas!$P$1111:$P$1152),"",VLOOKUP(Tablas!A13,Tablas!$P$1111:$T$1152,2,FALSE)))</f>
        <v/>
      </c>
      <c r="X65" s="4195"/>
      <c r="Y65" s="4195"/>
      <c r="Z65" s="4195"/>
      <c r="AA65" s="4196"/>
      <c r="AB65" s="4209" t="str">
        <f>IF(SUM(Tablas!$P$1111:$P$1152)=0,"",IF(Tablas!A13&gt;MAX(Tablas!$P$1111:$P$1152),"",VLOOKUP(Tablas!A13,Tablas!$P$1111:$T$1152,4,FALSE)))</f>
        <v/>
      </c>
      <c r="AC65" s="4210"/>
      <c r="AD65" s="4210"/>
      <c r="AE65" s="4210"/>
      <c r="AF65" s="4210"/>
      <c r="AG65" s="4210"/>
      <c r="AH65" s="4210"/>
      <c r="AI65" s="4210"/>
      <c r="AJ65" s="4210"/>
      <c r="AK65" s="4211"/>
      <c r="AL65" s="3014"/>
      <c r="AM65" s="173"/>
      <c r="AN65" s="2242" t="str">
        <f t="shared" si="8"/>
        <v>Conjuros</v>
      </c>
      <c r="AO65" s="4299"/>
      <c r="AP65" s="4300"/>
      <c r="AQ65" s="4301"/>
      <c r="AR65" s="4301"/>
      <c r="AS65" s="4301"/>
      <c r="AT65" s="4302"/>
      <c r="AU65" s="1970"/>
      <c r="AV65" s="1972">
        <f>IF(AQ65="",0,AU65*VLOOKUP(AQ65,'Tablas Magia'!$D$6:$Z$680,11,FALSE)/2)</f>
        <v>0</v>
      </c>
      <c r="AW65" s="1992"/>
      <c r="AX65" s="1694"/>
    </row>
    <row r="66" spans="1:50" ht="12" customHeight="1" x14ac:dyDescent="0.2">
      <c r="A66" s="173"/>
      <c r="B66" s="1691"/>
      <c r="C66" s="4201" t="s">
        <v>2057</v>
      </c>
      <c r="D66" s="4201"/>
      <c r="E66" s="237">
        <v>0</v>
      </c>
      <c r="F66" s="4204"/>
      <c r="G66" s="4204"/>
      <c r="H66" s="4205"/>
      <c r="I66" s="67"/>
      <c r="J66" s="236">
        <v>140</v>
      </c>
      <c r="K66" s="4202" t="s">
        <v>2058</v>
      </c>
      <c r="L66" s="4202"/>
      <c r="M66" s="4200" t="str">
        <f>IF(Metamagia!$R$54+Metamagia!$U$54+Metamagia!$AA$54+Metamagia!$AA$59+Metamagia!$AA$64+Metamagia!$AD$48+Metamagia!$AG$46&gt;1,"Blancos hasta 250m. Zeón 20","Blancos hasta 250m")</f>
        <v>Blancos hasta 250m</v>
      </c>
      <c r="N66" s="4200"/>
      <c r="O66" s="4200"/>
      <c r="P66" s="4200"/>
      <c r="Q66" s="4200"/>
      <c r="R66" s="67"/>
      <c r="S66" s="1698"/>
      <c r="T66" s="1485"/>
      <c r="U66" s="173"/>
      <c r="V66" s="1864"/>
      <c r="W66" s="4194" t="str">
        <f>IF(SUM(Tablas!$P$1111:$P$1152)=0,"",IF(Tablas!A14&gt;MAX(Tablas!$P$1111:$P$1152),"",VLOOKUP(Tablas!A14,Tablas!$P$1111:$T$1152,2,FALSE)))</f>
        <v/>
      </c>
      <c r="X66" s="4195"/>
      <c r="Y66" s="4195"/>
      <c r="Z66" s="4195"/>
      <c r="AA66" s="4196"/>
      <c r="AB66" s="4209" t="str">
        <f>IF(SUM(Tablas!$P$1111:$P$1152)=0,"",IF(Tablas!A14&gt;MAX(Tablas!$P$1111:$P$1152),"",VLOOKUP(Tablas!A14,Tablas!$P$1111:$T$1152,4,FALSE)))</f>
        <v/>
      </c>
      <c r="AC66" s="4210"/>
      <c r="AD66" s="4210"/>
      <c r="AE66" s="4210"/>
      <c r="AF66" s="4210"/>
      <c r="AG66" s="4210"/>
      <c r="AH66" s="4210"/>
      <c r="AI66" s="4210"/>
      <c r="AJ66" s="4210"/>
      <c r="AK66" s="4211"/>
      <c r="AL66" s="3014"/>
      <c r="AM66" s="173"/>
      <c r="AN66" s="2242" t="str">
        <f t="shared" si="8"/>
        <v>Conjuros</v>
      </c>
      <c r="AO66" s="4303"/>
      <c r="AP66" s="4304"/>
      <c r="AQ66" s="3737"/>
      <c r="AR66" s="3737"/>
      <c r="AS66" s="3737"/>
      <c r="AT66" s="4305"/>
      <c r="AU66" s="1928"/>
      <c r="AV66" s="1923">
        <f>IF(AQ66="",0,AU66*VLOOKUP(AQ66,'Tablas Magia'!$D$6:$Z$680,11,FALSE)/2)</f>
        <v>0</v>
      </c>
      <c r="AW66" s="1992"/>
      <c r="AX66" s="1694"/>
    </row>
    <row r="67" spans="1:50" ht="12" customHeight="1" x14ac:dyDescent="0.2">
      <c r="A67" s="173"/>
      <c r="B67" s="1691"/>
      <c r="C67" s="4201" t="s">
        <v>2059</v>
      </c>
      <c r="D67" s="4201"/>
      <c r="E67" s="237">
        <v>10</v>
      </c>
      <c r="F67" s="4204" t="s">
        <v>2060</v>
      </c>
      <c r="G67" s="4204"/>
      <c r="H67" s="4205">
        <v>20</v>
      </c>
      <c r="I67" s="67"/>
      <c r="J67" s="236">
        <v>180</v>
      </c>
      <c r="K67" s="4202" t="s">
        <v>2061</v>
      </c>
      <c r="L67" s="4202"/>
      <c r="M67" s="4200" t="str">
        <f>IF(Metamagia!$R$54+Metamagia!$U$54+Metamagia!$AA$54+Metamagia!$AA$59+Metamagia!$AA$64+Metamagia!$AD$48+Metamagia!$AG$46&gt;2,"Blancos hasta 500m. Zeón 40","Blancos hasta 500m")</f>
        <v>Blancos hasta 500m</v>
      </c>
      <c r="N67" s="4200"/>
      <c r="O67" s="4200"/>
      <c r="P67" s="4200"/>
      <c r="Q67" s="4200"/>
      <c r="R67" s="67"/>
      <c r="S67" s="1698"/>
      <c r="T67" s="1485"/>
      <c r="U67" s="173"/>
      <c r="V67" s="1864"/>
      <c r="W67" s="4194" t="str">
        <f>IF(SUM(Tablas!$P$1111:$P$1152)=0,"",IF(Tablas!A15&gt;MAX(Tablas!$P$1111:$P$1152),"",VLOOKUP(Tablas!A15,Tablas!$P$1111:$T$1152,2,FALSE)))</f>
        <v/>
      </c>
      <c r="X67" s="4195"/>
      <c r="Y67" s="4195"/>
      <c r="Z67" s="4195"/>
      <c r="AA67" s="4196"/>
      <c r="AB67" s="4209" t="str">
        <f>IF(SUM(Tablas!$P$1111:$P$1152)=0,"",IF(Tablas!A15&gt;MAX(Tablas!$P$1111:$P$1152),"",VLOOKUP(Tablas!A15,Tablas!$P$1111:$T$1152,4,FALSE)))</f>
        <v/>
      </c>
      <c r="AC67" s="4210"/>
      <c r="AD67" s="4210"/>
      <c r="AE67" s="4210"/>
      <c r="AF67" s="4210"/>
      <c r="AG67" s="4210"/>
      <c r="AH67" s="4210"/>
      <c r="AI67" s="4210"/>
      <c r="AJ67" s="4210"/>
      <c r="AK67" s="4211"/>
      <c r="AL67" s="3014"/>
      <c r="AM67" s="173"/>
      <c r="AN67" s="2242" t="str">
        <f t="shared" si="8"/>
        <v>Conjuros</v>
      </c>
      <c r="AO67" s="4299"/>
      <c r="AP67" s="4300"/>
      <c r="AQ67" s="4301"/>
      <c r="AR67" s="4301"/>
      <c r="AS67" s="4301"/>
      <c r="AT67" s="4302"/>
      <c r="AU67" s="1970"/>
      <c r="AV67" s="1972">
        <f>IF(AQ67="",0,AU67*VLOOKUP(AQ67,'Tablas Magia'!$D$6:$Z$680,11,FALSE)/2)</f>
        <v>0</v>
      </c>
      <c r="AW67" s="1992"/>
      <c r="AX67" s="1694"/>
    </row>
    <row r="68" spans="1:50" ht="12" customHeight="1" x14ac:dyDescent="0.2">
      <c r="A68" s="173"/>
      <c r="B68" s="1691"/>
      <c r="C68" s="4201" t="s">
        <v>2062</v>
      </c>
      <c r="D68" s="4201"/>
      <c r="E68" s="237">
        <v>20</v>
      </c>
      <c r="F68" s="4204"/>
      <c r="G68" s="4204"/>
      <c r="H68" s="4205"/>
      <c r="I68" s="67"/>
      <c r="J68" s="236">
        <v>240</v>
      </c>
      <c r="K68" s="4202" t="s">
        <v>2063</v>
      </c>
      <c r="L68" s="4202"/>
      <c r="M68" s="4200" t="str">
        <f>IF(Metamagia!$R$54+Metamagia!$U$54+Metamagia!$AA$54+Metamagia!$AA$59+Metamagia!$AA$64+Metamagia!$AD$48+Metamagia!$AG$46&gt;3,"Hasta 1 km. Blanco localizado. Zeón 60","Hasta 1 km. Blanco localizado")</f>
        <v>Hasta 1 km. Blanco localizado</v>
      </c>
      <c r="N68" s="4200"/>
      <c r="O68" s="4200"/>
      <c r="P68" s="4200"/>
      <c r="Q68" s="4200"/>
      <c r="R68" s="67"/>
      <c r="S68" s="1698"/>
      <c r="T68" s="1485"/>
      <c r="U68" s="173"/>
      <c r="V68" s="1864"/>
      <c r="W68" s="4194" t="str">
        <f>IF(SUM(Tablas!$P$1111:$P$1152)=0,"",IF(Tablas!A16&gt;MAX(Tablas!$P$1111:$P$1152),"",VLOOKUP(Tablas!A16,Tablas!$P$1111:$T$1152,2,FALSE)))</f>
        <v/>
      </c>
      <c r="X68" s="4195"/>
      <c r="Y68" s="4195"/>
      <c r="Z68" s="4195"/>
      <c r="AA68" s="4196"/>
      <c r="AB68" s="4209" t="str">
        <f>IF(SUM(Tablas!$P$1111:$P$1152)=0,"",IF(Tablas!A16&gt;MAX(Tablas!$P$1111:$P$1152),"",VLOOKUP(Tablas!A16,Tablas!$P$1111:$T$1152,4,FALSE)))</f>
        <v/>
      </c>
      <c r="AC68" s="4210"/>
      <c r="AD68" s="4210"/>
      <c r="AE68" s="4210"/>
      <c r="AF68" s="4210"/>
      <c r="AG68" s="4210"/>
      <c r="AH68" s="4210"/>
      <c r="AI68" s="4210"/>
      <c r="AJ68" s="4210"/>
      <c r="AK68" s="4211"/>
      <c r="AL68" s="3014"/>
      <c r="AM68" s="173"/>
      <c r="AN68" s="2242" t="str">
        <f t="shared" si="8"/>
        <v>Conjuros</v>
      </c>
      <c r="AO68" s="4303"/>
      <c r="AP68" s="4304"/>
      <c r="AQ68" s="3737"/>
      <c r="AR68" s="3737"/>
      <c r="AS68" s="3737"/>
      <c r="AT68" s="4305"/>
      <c r="AU68" s="1928"/>
      <c r="AV68" s="1923">
        <f>IF(AQ68="",0,AU68*VLOOKUP(AQ68,'Tablas Magia'!$D$6:$Z$680,11,FALSE)/2)</f>
        <v>0</v>
      </c>
      <c r="AW68" s="1992"/>
      <c r="AX68" s="1694"/>
    </row>
    <row r="69" spans="1:50" ht="12" customHeight="1" x14ac:dyDescent="0.2">
      <c r="A69" s="173"/>
      <c r="B69" s="1691"/>
      <c r="C69" s="4201" t="s">
        <v>2064</v>
      </c>
      <c r="D69" s="4201"/>
      <c r="E69" s="237">
        <v>30</v>
      </c>
      <c r="F69" s="4213" t="s">
        <v>2065</v>
      </c>
      <c r="G69" s="4213"/>
      <c r="H69" s="4214">
        <v>-50</v>
      </c>
      <c r="I69" s="67"/>
      <c r="J69" s="236">
        <v>280</v>
      </c>
      <c r="K69" s="4202" t="s">
        <v>2066</v>
      </c>
      <c r="L69" s="4202"/>
      <c r="M69" s="4200" t="str">
        <f>IF(Metamagia!$R$54+Metamagia!$U$54+Metamagia!$AA$54+Metamagia!$AA$59+Metamagia!$AA$64+Metamagia!$AD$48+Metamagia!$AG$46&gt;4,"Hasta 10 km. Blanco aprox. Zeón 80","Hasta 10 km. Blanco aproximado")</f>
        <v>Hasta 10 km. Blanco aproximado</v>
      </c>
      <c r="N69" s="4200"/>
      <c r="O69" s="4200"/>
      <c r="P69" s="4200"/>
      <c r="Q69" s="4200"/>
      <c r="R69" s="67"/>
      <c r="S69" s="1698"/>
      <c r="T69" s="1485"/>
      <c r="U69" s="173"/>
      <c r="V69" s="1864"/>
      <c r="W69" s="4194" t="str">
        <f>IF(SUM(Tablas!$P$1111:$P$1152)=0,"",IF(Tablas!A17&gt;MAX(Tablas!$P$1111:$P$1152),"",VLOOKUP(Tablas!A17,Tablas!$P$1111:$T$1152,2,FALSE)))</f>
        <v/>
      </c>
      <c r="X69" s="4195"/>
      <c r="Y69" s="4195"/>
      <c r="Z69" s="4195"/>
      <c r="AA69" s="4196"/>
      <c r="AB69" s="4209" t="str">
        <f>IF(SUM(Tablas!$P$1111:$P$1152)=0,"",IF(Tablas!A17&gt;MAX(Tablas!$P$1111:$P$1152),"",VLOOKUP(Tablas!A17,Tablas!$P$1111:$T$1152,4,FALSE)))</f>
        <v/>
      </c>
      <c r="AC69" s="4210"/>
      <c r="AD69" s="4210"/>
      <c r="AE69" s="4210"/>
      <c r="AF69" s="4210"/>
      <c r="AG69" s="4210"/>
      <c r="AH69" s="4210"/>
      <c r="AI69" s="4210"/>
      <c r="AJ69" s="4210"/>
      <c r="AK69" s="4211"/>
      <c r="AL69" s="3014"/>
      <c r="AM69" s="173"/>
      <c r="AN69" s="2242" t="str">
        <f t="shared" si="8"/>
        <v>Conjuros</v>
      </c>
      <c r="AO69" s="4299"/>
      <c r="AP69" s="4300"/>
      <c r="AQ69" s="4301"/>
      <c r="AR69" s="4301"/>
      <c r="AS69" s="4301"/>
      <c r="AT69" s="4302"/>
      <c r="AU69" s="1970"/>
      <c r="AV69" s="1972">
        <f>IF(AQ69="",0,AU69*VLOOKUP(AQ69,'Tablas Magia'!$D$6:$Z$680,11,FALSE)/2)</f>
        <v>0</v>
      </c>
      <c r="AW69" s="1992"/>
      <c r="AX69" s="1694"/>
    </row>
    <row r="70" spans="1:50" ht="12" customHeight="1" x14ac:dyDescent="0.2">
      <c r="A70" s="173"/>
      <c r="B70" s="1691"/>
      <c r="C70" s="4201" t="s">
        <v>2067</v>
      </c>
      <c r="D70" s="4201"/>
      <c r="E70" s="237">
        <v>40</v>
      </c>
      <c r="F70" s="4213"/>
      <c r="G70" s="4213"/>
      <c r="H70" s="4214"/>
      <c r="I70" s="67"/>
      <c r="J70" s="236">
        <v>320</v>
      </c>
      <c r="K70" s="4202" t="s">
        <v>2068</v>
      </c>
      <c r="L70" s="4202"/>
      <c r="M70" s="4200" t="str">
        <f>IF(Metamagia!$R$54+Metamagia!$U$54+Metamagia!$AA$54+Metamagia!$AA$59+Metamagia!$AA$64+Metamagia!$AD$48+Metamagia!$AG$46&gt;5,"Zeón 100","-")</f>
        <v>-</v>
      </c>
      <c r="N70" s="4200"/>
      <c r="O70" s="4200"/>
      <c r="P70" s="4200"/>
      <c r="Q70" s="4200"/>
      <c r="R70" s="67"/>
      <c r="S70" s="1698"/>
      <c r="T70" s="1485"/>
      <c r="U70" s="173"/>
      <c r="V70" s="1864"/>
      <c r="W70" s="4194" t="str">
        <f>IF(SUM(Tablas!$P$1111:$P$1152)=0,"",IF(Tablas!A18&gt;MAX(Tablas!$P$1111:$P$1152),"",VLOOKUP(Tablas!A18,Tablas!$P$1111:$T$1152,2,FALSE)))</f>
        <v/>
      </c>
      <c r="X70" s="4195"/>
      <c r="Y70" s="4195"/>
      <c r="Z70" s="4195"/>
      <c r="AA70" s="4196"/>
      <c r="AB70" s="4209" t="str">
        <f>IF(SUM(Tablas!$P$1111:$P$1152)=0,"",IF(Tablas!A18&gt;MAX(Tablas!$P$1111:$P$1152),"",VLOOKUP(Tablas!A18,Tablas!$P$1111:$T$1152,4,FALSE)))</f>
        <v/>
      </c>
      <c r="AC70" s="4210"/>
      <c r="AD70" s="4210"/>
      <c r="AE70" s="4210"/>
      <c r="AF70" s="4210"/>
      <c r="AG70" s="4210"/>
      <c r="AH70" s="4210"/>
      <c r="AI70" s="4210"/>
      <c r="AJ70" s="4210"/>
      <c r="AK70" s="4211"/>
      <c r="AL70" s="3014"/>
      <c r="AM70" s="173"/>
      <c r="AN70" s="2242" t="str">
        <f t="shared" si="8"/>
        <v>Conjuros</v>
      </c>
      <c r="AO70" s="4303"/>
      <c r="AP70" s="4304"/>
      <c r="AQ70" s="3737"/>
      <c r="AR70" s="3737"/>
      <c r="AS70" s="3737"/>
      <c r="AT70" s="4305"/>
      <c r="AU70" s="1928"/>
      <c r="AV70" s="1923">
        <f>IF(AQ70="",0,AU70*VLOOKUP(AQ70,'Tablas Magia'!$D$6:$Z$680,11,FALSE)/2)</f>
        <v>0</v>
      </c>
      <c r="AW70" s="1992"/>
      <c r="AX70" s="1694"/>
    </row>
    <row r="71" spans="1:50" ht="12" customHeight="1" thickBot="1" x14ac:dyDescent="0.25">
      <c r="A71" s="173"/>
      <c r="B71" s="1691"/>
      <c r="C71" s="4201" t="s">
        <v>2069</v>
      </c>
      <c r="D71" s="4201"/>
      <c r="E71" s="237">
        <v>50</v>
      </c>
      <c r="F71" s="4225"/>
      <c r="G71" s="4225"/>
      <c r="H71" s="4225"/>
      <c r="I71" s="67"/>
      <c r="J71" s="239">
        <v>440</v>
      </c>
      <c r="K71" s="4215" t="s">
        <v>2002</v>
      </c>
      <c r="L71" s="4215"/>
      <c r="M71" s="4216" t="str">
        <f>IF(Metamagia!$R$54+Metamagia!$U$54+Metamagia!$AA$54+Metamagia!$AA$59+Metamagia!$AA$64+Metamagia!$AD$48+Metamagia!$AG$46&gt;6,"Zeón 200","-")</f>
        <v>-</v>
      </c>
      <c r="N71" s="4216"/>
      <c r="O71" s="4216"/>
      <c r="P71" s="4216"/>
      <c r="Q71" s="4216"/>
      <c r="R71" s="67"/>
      <c r="S71" s="1698"/>
      <c r="T71" s="1485"/>
      <c r="U71" s="173"/>
      <c r="V71" s="1864"/>
      <c r="W71" s="4194" t="str">
        <f>IF(SUM(Tablas!$P$1111:$P$1152)=0,"",IF(Tablas!A19&gt;MAX(Tablas!$P$1111:$P$1152),"",VLOOKUP(Tablas!A19,Tablas!$P$1111:$T$1152,2,FALSE)))</f>
        <v/>
      </c>
      <c r="X71" s="4195"/>
      <c r="Y71" s="4195"/>
      <c r="Z71" s="4195"/>
      <c r="AA71" s="4196"/>
      <c r="AB71" s="4209" t="str">
        <f>IF(SUM(Tablas!$P$1111:$P$1152)=0,"",IF(Tablas!A19&gt;MAX(Tablas!$P$1111:$P$1152),"",VLOOKUP(Tablas!A19,Tablas!$P$1111:$T$1152,4,FALSE)))</f>
        <v/>
      </c>
      <c r="AC71" s="4210"/>
      <c r="AD71" s="4210"/>
      <c r="AE71" s="4210"/>
      <c r="AF71" s="4210"/>
      <c r="AG71" s="4210"/>
      <c r="AH71" s="4210"/>
      <c r="AI71" s="4210"/>
      <c r="AJ71" s="4210"/>
      <c r="AK71" s="4211"/>
      <c r="AL71" s="3014"/>
      <c r="AM71" s="173"/>
      <c r="AN71" s="2242" t="str">
        <f t="shared" si="8"/>
        <v>Conjuros</v>
      </c>
      <c r="AO71" s="4299"/>
      <c r="AP71" s="4300"/>
      <c r="AQ71" s="4301"/>
      <c r="AR71" s="4301"/>
      <c r="AS71" s="4301"/>
      <c r="AT71" s="4302"/>
      <c r="AU71" s="1970"/>
      <c r="AV71" s="1972">
        <f>IF(AQ71="",0,AU71*VLOOKUP(AQ71,'Tablas Magia'!$D$6:$Z$680,11,FALSE)/2)</f>
        <v>0</v>
      </c>
      <c r="AW71" s="1992"/>
      <c r="AX71" s="1694"/>
    </row>
    <row r="72" spans="1:50" ht="12" customHeight="1" thickBot="1" x14ac:dyDescent="0.25">
      <c r="A72" s="173"/>
      <c r="B72" s="1691"/>
      <c r="C72" s="4201" t="s">
        <v>2070</v>
      </c>
      <c r="D72" s="4201"/>
      <c r="E72" s="237">
        <v>60</v>
      </c>
      <c r="F72" s="4225"/>
      <c r="G72" s="4225"/>
      <c r="H72" s="4225"/>
      <c r="I72" s="67"/>
      <c r="J72" s="4217"/>
      <c r="K72" s="4217"/>
      <c r="L72" s="4217"/>
      <c r="M72" s="4217"/>
      <c r="N72" s="4217"/>
      <c r="O72" s="4217"/>
      <c r="P72" s="4217"/>
      <c r="Q72" s="4217"/>
      <c r="R72" s="67"/>
      <c r="S72" s="1698"/>
      <c r="T72" s="1485"/>
      <c r="U72" s="173"/>
      <c r="V72" s="1864"/>
      <c r="W72" s="4194" t="str">
        <f>IF(SUM(Tablas!$P$1111:$P$1152)=0,"",IF(Tablas!A20&gt;MAX(Tablas!$P$1111:$P$1152),"",VLOOKUP(Tablas!A20,Tablas!$P$1111:$T$1152,2,FALSE)))</f>
        <v/>
      </c>
      <c r="X72" s="4195"/>
      <c r="Y72" s="4195"/>
      <c r="Z72" s="4195"/>
      <c r="AA72" s="4196"/>
      <c r="AB72" s="4209" t="str">
        <f>IF(SUM(Tablas!$P$1111:$P$1152)=0,"",IF(Tablas!A20&gt;MAX(Tablas!$P$1111:$P$1152),"",VLOOKUP(Tablas!A20,Tablas!$P$1111:$T$1152,4,FALSE)))</f>
        <v/>
      </c>
      <c r="AC72" s="4210"/>
      <c r="AD72" s="4210"/>
      <c r="AE72" s="4210"/>
      <c r="AF72" s="4210"/>
      <c r="AG72" s="4210"/>
      <c r="AH72" s="4210"/>
      <c r="AI72" s="4210"/>
      <c r="AJ72" s="4210"/>
      <c r="AK72" s="4211"/>
      <c r="AL72" s="3014"/>
      <c r="AM72" s="173"/>
      <c r="AN72" s="2242" t="str">
        <f t="shared" si="8"/>
        <v>Conjuros</v>
      </c>
      <c r="AO72" s="4294"/>
      <c r="AP72" s="4295"/>
      <c r="AQ72" s="4189"/>
      <c r="AR72" s="4189"/>
      <c r="AS72" s="4189"/>
      <c r="AT72" s="4296"/>
      <c r="AU72" s="1929"/>
      <c r="AV72" s="1883">
        <f>IF(AQ72="",0,AU72*VLOOKUP(AQ72,'Tablas Magia'!$D$6:$Z$680,11,FALSE)/2)</f>
        <v>0</v>
      </c>
      <c r="AW72" s="1992"/>
      <c r="AX72" s="1694"/>
    </row>
    <row r="73" spans="1:50" ht="12" customHeight="1" thickBot="1" x14ac:dyDescent="0.25">
      <c r="A73" s="173"/>
      <c r="B73" s="1691"/>
      <c r="C73" s="4224" t="s">
        <v>2071</v>
      </c>
      <c r="D73" s="4224"/>
      <c r="E73" s="240">
        <v>70</v>
      </c>
      <c r="F73" s="4225"/>
      <c r="G73" s="4225"/>
      <c r="H73" s="4225"/>
      <c r="I73" s="67"/>
      <c r="J73" s="4217"/>
      <c r="K73" s="4217"/>
      <c r="L73" s="4217"/>
      <c r="M73" s="4217"/>
      <c r="N73" s="4217"/>
      <c r="O73" s="4217"/>
      <c r="P73" s="4217"/>
      <c r="Q73" s="4217"/>
      <c r="R73" s="67"/>
      <c r="S73" s="1698"/>
      <c r="T73" s="1485"/>
      <c r="U73" s="173"/>
      <c r="V73" s="1864"/>
      <c r="W73" s="4218" t="str">
        <f>IF(SUM(Tablas!$P$1111:$P$1152)=0,"",IF(Tablas!A21&gt;MAX(Tablas!$P$1111:$P$1152),"",VLOOKUP(Tablas!A21,Tablas!$P$1111:$T$1152,2,FALSE)))</f>
        <v/>
      </c>
      <c r="X73" s="4219"/>
      <c r="Y73" s="4219"/>
      <c r="Z73" s="4219"/>
      <c r="AA73" s="4220"/>
      <c r="AB73" s="4221" t="str">
        <f>IF(SUM(Tablas!$P$1111:$P$1152)=0,"",IF(Tablas!A21&gt;MAX(Tablas!$P$1111:$P$1152),"",VLOOKUP(Tablas!A21,Tablas!$P$1111:$T$1152,4,FALSE)))</f>
        <v/>
      </c>
      <c r="AC73" s="4222"/>
      <c r="AD73" s="4222"/>
      <c r="AE73" s="4222"/>
      <c r="AF73" s="4222"/>
      <c r="AG73" s="4222"/>
      <c r="AH73" s="4222"/>
      <c r="AI73" s="4222"/>
      <c r="AJ73" s="4222"/>
      <c r="AK73" s="4223"/>
      <c r="AL73" s="3014"/>
      <c r="AM73" s="173"/>
      <c r="AN73" s="1976"/>
      <c r="AW73" s="1992"/>
      <c r="AX73" s="1694"/>
    </row>
    <row r="74" spans="1:50" ht="12" customHeight="1" thickBot="1" x14ac:dyDescent="0.25">
      <c r="A74" s="173"/>
      <c r="B74" s="1692"/>
      <c r="C74" s="1693"/>
      <c r="D74" s="1693"/>
      <c r="E74" s="1693"/>
      <c r="F74" s="1693"/>
      <c r="G74" s="1693"/>
      <c r="H74" s="1693"/>
      <c r="I74" s="1693"/>
      <c r="J74" s="1693"/>
      <c r="K74" s="1693"/>
      <c r="L74" s="1693"/>
      <c r="M74" s="1693"/>
      <c r="N74" s="1693"/>
      <c r="O74" s="1693"/>
      <c r="P74" s="1693"/>
      <c r="Q74" s="1693"/>
      <c r="R74" s="1693"/>
      <c r="S74" s="1699"/>
      <c r="T74" s="1485"/>
      <c r="U74" s="173"/>
      <c r="V74" s="1866"/>
      <c r="W74" s="1693"/>
      <c r="X74" s="1693"/>
      <c r="Y74" s="1693"/>
      <c r="Z74" s="1693"/>
      <c r="AA74" s="1693"/>
      <c r="AB74" s="1693"/>
      <c r="AC74" s="1693"/>
      <c r="AD74" s="1693"/>
      <c r="AE74" s="1693"/>
      <c r="AF74" s="1693"/>
      <c r="AG74" s="1693"/>
      <c r="AH74" s="1693"/>
      <c r="AI74" s="1693"/>
      <c r="AJ74" s="1693"/>
      <c r="AK74" s="1693"/>
      <c r="AL74" s="3016"/>
      <c r="AM74" s="173"/>
      <c r="AN74" s="1977"/>
      <c r="AO74" s="1693"/>
      <c r="AP74" s="1693"/>
      <c r="AQ74" s="1693"/>
      <c r="AR74" s="1693"/>
      <c r="AS74" s="1693"/>
      <c r="AT74" s="1693"/>
      <c r="AU74" s="1693"/>
      <c r="AV74" s="1693"/>
      <c r="AW74" s="1996"/>
      <c r="AX74" s="1694"/>
    </row>
    <row r="75" spans="1:50" ht="12" customHeight="1" x14ac:dyDescent="0.2">
      <c r="A75" s="173"/>
      <c r="B75" s="173"/>
      <c r="C75" s="173"/>
      <c r="D75" s="173"/>
      <c r="E75" s="173"/>
      <c r="F75" s="173"/>
      <c r="G75" s="173"/>
      <c r="H75" s="173"/>
      <c r="I75" s="173"/>
      <c r="J75" s="173"/>
      <c r="K75" s="173"/>
      <c r="L75" s="173"/>
      <c r="M75" s="173"/>
      <c r="N75" s="173"/>
      <c r="O75" s="173"/>
      <c r="P75" s="173"/>
      <c r="Q75" s="173"/>
      <c r="R75" s="173"/>
      <c r="S75" s="173"/>
      <c r="T75" s="1485"/>
      <c r="U75" s="173"/>
      <c r="V75" s="173"/>
      <c r="W75" s="173"/>
      <c r="X75" s="173"/>
      <c r="Y75" s="173"/>
      <c r="Z75" s="173"/>
      <c r="AA75" s="173"/>
      <c r="AB75" s="173"/>
      <c r="AC75" s="173"/>
      <c r="AD75" s="173"/>
      <c r="AE75" s="173"/>
      <c r="AF75" s="173"/>
      <c r="AG75" s="173"/>
      <c r="AH75" s="173"/>
      <c r="AI75" s="173"/>
      <c r="AJ75" s="173"/>
      <c r="AK75" s="173"/>
      <c r="AL75" s="5"/>
      <c r="AM75" s="173"/>
      <c r="AN75" s="1973"/>
      <c r="AO75" s="173"/>
      <c r="AP75" s="173"/>
      <c r="AQ75" s="173"/>
      <c r="AR75" s="173"/>
      <c r="AS75" s="173"/>
      <c r="AT75" s="173"/>
      <c r="AU75" s="173"/>
      <c r="AV75" s="173"/>
      <c r="AW75" s="1694"/>
      <c r="AX75" s="1694"/>
    </row>
  </sheetData>
  <sheetProtection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s>
  <phoneticPr fontId="9" type="noConversion"/>
  <conditionalFormatting sqref="E12">
    <cfRule type="cellIs" dxfId="654" priority="62" stopIfTrue="1" operator="greaterThan">
      <formula>$C$12</formula>
    </cfRule>
  </conditionalFormatting>
  <conditionalFormatting sqref="AK10">
    <cfRule type="cellIs" dxfId="653" priority="63" stopIfTrue="1" operator="equal">
      <formula>0</formula>
    </cfRule>
  </conditionalFormatting>
  <conditionalFormatting sqref="J59:Q59">
    <cfRule type="expression" dxfId="652" priority="1767">
      <formula>$P$25="Invocador"</formula>
    </cfRule>
  </conditionalFormatting>
  <conditionalFormatting sqref="K18:L19">
    <cfRule type="cellIs" dxfId="651" priority="50" operator="lessThan">
      <formula>0</formula>
    </cfRule>
  </conditionalFormatting>
  <conditionalFormatting sqref="AO44:AV44">
    <cfRule type="expression" dxfId="650" priority="31">
      <formula>$AO$44=""</formula>
    </cfRule>
  </conditionalFormatting>
  <conditionalFormatting sqref="AO55:AV55">
    <cfRule type="expression" dxfId="649" priority="13">
      <formula>$BA$45</formula>
    </cfRule>
  </conditionalFormatting>
  <conditionalFormatting sqref="AO56:AP58">
    <cfRule type="expression" dxfId="648" priority="12">
      <formula>$BA$45</formula>
    </cfRule>
  </conditionalFormatting>
  <conditionalFormatting sqref="AO53:AV54">
    <cfRule type="expression" dxfId="647" priority="11">
      <formula>$BB$45</formula>
    </cfRule>
  </conditionalFormatting>
  <conditionalFormatting sqref="AO60:AV72">
    <cfRule type="expression" dxfId="646" priority="9" stopIfTrue="1">
      <formula>NOT($AZ$45)</formula>
    </cfRule>
  </conditionalFormatting>
  <conditionalFormatting sqref="AO52:AV52">
    <cfRule type="expression" dxfId="645" priority="8">
      <formula>$BB$45</formula>
    </cfRule>
  </conditionalFormatting>
  <conditionalFormatting sqref="AO56:AV58">
    <cfRule type="expression" dxfId="644" priority="6">
      <formula>$AZ$45</formula>
    </cfRule>
  </conditionalFormatting>
  <conditionalFormatting sqref="AO55:AT55">
    <cfRule type="expression" dxfId="643" priority="4">
      <formula>$AZ$45</formula>
    </cfRule>
  </conditionalFormatting>
  <conditionalFormatting sqref="AU55:AV55">
    <cfRule type="expression" dxfId="642" priority="3">
      <formula>$AZ$45</formula>
    </cfRule>
  </conditionalFormatting>
  <conditionalFormatting sqref="AO46:AV58">
    <cfRule type="expression" dxfId="641" priority="2">
      <formula>AND(NOT($AZ$45),NOT($BA$45),NOT($BB$45))</formula>
    </cfRule>
  </conditionalFormatting>
  <conditionalFormatting sqref="AK12:AK50">
    <cfRule type="expression" dxfId="640" priority="1914" stopIfTrue="1">
      <formula>VLOOKUP(AE12,$C$15:$H$25,6,FALSE)&lt;AK12</formula>
    </cfRule>
  </conditionalFormatting>
  <conditionalFormatting sqref="AG12:AJ50">
    <cfRule type="expression" dxfId="639" priority="1" stopIfTrue="1">
      <formula>AK12&lt;VLOOKUP($AG12,Tabla_Conjuros_LA,3,0)</formula>
    </cfRule>
  </conditionalFormatting>
  <dataValidations count="11">
    <dataValidation type="list" operator="equal" allowBlank="1" showErrorMessage="1" sqref="AE12:AF50" xr:uid="{00000000-0002-0000-0500-000000000000}">
      <formula1>Vías</formula1>
      <formula2>0</formula2>
    </dataValidation>
    <dataValidation type="list" operator="equal" allowBlank="1" showErrorMessage="1" sqref="P25:Q25" xr:uid="{00000000-0002-0000-0500-000001000000}">
      <formula1>Especialización_Conjurador</formula1>
      <formula2>0</formula2>
    </dataValidation>
    <dataValidation type="list" operator="equal" allowBlank="1" showErrorMessage="1" sqref="Q15" xr:uid="{00000000-0002-0000-0500-000002000000}">
      <formula1>"-30,-29,-28,-27,-26,-25,-24,-23,-22,-21,-20,-19,-18,-17,-16,-15,-14,-13,-12,-11,-10,-9,-8,-7,-6,-5,-4,-3,-2,-1,0,1,2,3,4,5,6,7,8,9,10,11,12,13,14,15,16,17,18,19,20,21,22,23,24,25,26,27,28,29,30"</formula1>
      <formula2>0</formula2>
    </dataValidation>
    <dataValidation type="list" allowBlank="1" showInputMessage="1" showErrorMessage="1" sqref="E15:F25" xr:uid="{00000000-0002-0000-0500-000003000000}">
      <formula1>INDIRECT("Subvías_"&amp;$C15)</formula1>
    </dataValidation>
    <dataValidation type="list" operator="equal" allowBlank="1" showErrorMessage="1" sqref="J33:O58" xr:uid="{00000000-0002-0000-0500-000004000000}">
      <formula1>Invocaciones</formula1>
      <formula2>0</formula2>
    </dataValidation>
    <dataValidation type="list" allowBlank="1" showInputMessage="1" showErrorMessage="1" sqref="AS10" xr:uid="{00000000-0002-0000-0500-000005000000}">
      <formula1>Teoremas_Magia</formula1>
    </dataValidation>
    <dataValidation type="list" operator="equal" allowBlank="1" showErrorMessage="1" sqref="AG12:AJ50" xr:uid="{00000000-0002-0000-0500-000006000000}">
      <formula1>Conjuros_LibreAcceso</formula1>
      <formula2>0</formula2>
    </dataValidation>
    <dataValidation type="list" allowBlank="1" showInputMessage="1" showErrorMessage="1" sqref="W12:X50 AO62:AP72" xr:uid="{00000000-0002-0000-0500-000007000000}">
      <formula1>VíasYSubvías</formula1>
    </dataValidation>
    <dataValidation type="list" allowBlank="1" showInputMessage="1" showErrorMessage="1" sqref="Y12:AB50" xr:uid="{00000000-0002-0000-0500-000008000000}">
      <formula1>INDIRECT($T12)</formula1>
    </dataValidation>
    <dataValidation type="list" allowBlank="1" showInputMessage="1" showErrorMessage="1" sqref="AQ62:AT72" xr:uid="{00000000-0002-0000-0500-000009000000}">
      <formula1>INDIRECT($AN62)</formula1>
    </dataValidation>
    <dataValidation type="list" allowBlank="1" showInputMessage="1" showErrorMessage="1" sqref="AK12:AK50" xr:uid="{00000000-0002-0000-0500-00000A000000}">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ISNUMBER(FIND($C15,VLOOKUP($E15,Tablas!$C$1067:$K$1080,9,FALSE)))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B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M29" sqref="M29"/>
    </sheetView>
  </sheetViews>
  <sheetFormatPr defaultColWidth="5.7109375" defaultRowHeight="12" customHeight="1" x14ac:dyDescent="0.2"/>
  <cols>
    <col min="1" max="1" width="1.7109375" style="1635" customWidth="1"/>
    <col min="2" max="2" width="6.7109375" style="241" customWidth="1"/>
    <col min="3" max="34" width="5.7109375" style="241"/>
    <col min="35" max="35" width="6.7109375" style="241" customWidth="1"/>
    <col min="36" max="36" width="1.7109375" style="241" customWidth="1"/>
    <col min="37" max="16384" width="5.7109375" style="241"/>
  </cols>
  <sheetData>
    <row r="1" spans="1:36" ht="12" customHeight="1" x14ac:dyDescent="0.2">
      <c r="A1" s="1485">
        <v>5</v>
      </c>
      <c r="B1" s="242"/>
      <c r="C1" s="242"/>
      <c r="D1" s="242"/>
      <c r="E1" s="242"/>
      <c r="F1" s="242"/>
      <c r="G1" s="242"/>
      <c r="H1" s="242"/>
      <c r="I1" s="242"/>
      <c r="J1" s="242"/>
      <c r="K1" s="242"/>
      <c r="L1" s="242"/>
      <c r="M1" s="242"/>
      <c r="N1" s="242"/>
      <c r="O1" s="242"/>
      <c r="P1" s="242"/>
      <c r="Q1" s="242"/>
      <c r="R1" s="242"/>
      <c r="S1" s="242"/>
      <c r="T1" s="242"/>
      <c r="U1" s="242"/>
      <c r="V1" s="173"/>
      <c r="W1" s="173"/>
      <c r="X1" s="173"/>
      <c r="Y1" s="173"/>
      <c r="Z1" s="173"/>
      <c r="AA1" s="173"/>
      <c r="AB1" s="173"/>
      <c r="AC1" s="173"/>
      <c r="AD1" s="173"/>
      <c r="AE1" s="173"/>
      <c r="AF1" s="173"/>
      <c r="AG1" s="173"/>
      <c r="AH1" s="173"/>
      <c r="AI1" s="173"/>
      <c r="AJ1" s="173"/>
    </row>
    <row r="2" spans="1:36" ht="12" customHeight="1" x14ac:dyDescent="0.2">
      <c r="A2" s="1485">
        <v>10</v>
      </c>
      <c r="B2" s="243"/>
      <c r="C2" s="244"/>
      <c r="D2" s="244"/>
      <c r="E2" s="244"/>
      <c r="F2" s="244"/>
      <c r="G2" s="244"/>
      <c r="H2" s="244"/>
      <c r="I2" s="244"/>
      <c r="J2" s="244"/>
      <c r="K2" s="244"/>
      <c r="L2" s="244"/>
      <c r="M2" s="244"/>
      <c r="N2" s="244"/>
      <c r="O2" s="244"/>
      <c r="P2" s="244"/>
      <c r="Q2" s="244"/>
      <c r="R2" s="244"/>
      <c r="S2" s="244"/>
      <c r="T2" s="244"/>
      <c r="U2" s="244"/>
      <c r="V2" s="118"/>
      <c r="W2" s="118"/>
      <c r="X2" s="118"/>
      <c r="Y2" s="118"/>
      <c r="Z2" s="118"/>
      <c r="AA2" s="118"/>
      <c r="AB2" s="118"/>
      <c r="AC2" s="118"/>
      <c r="AD2" s="118"/>
      <c r="AE2" s="118"/>
      <c r="AF2" s="118"/>
      <c r="AG2" s="118"/>
      <c r="AH2" s="118"/>
      <c r="AI2" s="209"/>
      <c r="AJ2" s="173"/>
    </row>
    <row r="3" spans="1:36" ht="12" customHeight="1" x14ac:dyDescent="0.2">
      <c r="A3" s="1485">
        <v>15</v>
      </c>
      <c r="B3" s="245"/>
      <c r="C3" s="3224"/>
      <c r="D3" s="3224"/>
      <c r="E3" s="3224"/>
      <c r="F3" s="3224"/>
      <c r="G3" s="3224"/>
      <c r="H3" s="3224"/>
      <c r="I3" s="9"/>
      <c r="J3" s="246"/>
      <c r="K3" s="246"/>
      <c r="L3" s="246"/>
      <c r="M3" s="246"/>
      <c r="N3" s="246"/>
      <c r="O3" s="246"/>
      <c r="P3" s="246"/>
      <c r="Q3" s="246"/>
      <c r="R3" s="246"/>
      <c r="S3" s="246"/>
      <c r="T3" s="246"/>
      <c r="U3" s="246"/>
      <c r="V3" s="122"/>
      <c r="W3" s="122"/>
      <c r="X3" s="122"/>
      <c r="Y3" s="122"/>
      <c r="Z3" s="122"/>
      <c r="AA3" s="9"/>
      <c r="AB3" s="9"/>
      <c r="AC3" s="9"/>
      <c r="AD3" s="9"/>
      <c r="AE3" s="9"/>
      <c r="AF3" s="9"/>
      <c r="AG3" s="9"/>
      <c r="AH3" s="10"/>
      <c r="AI3" s="68"/>
      <c r="AJ3" s="173"/>
    </row>
    <row r="4" spans="1:36" ht="12" customHeight="1" x14ac:dyDescent="0.2">
      <c r="A4" s="1485">
        <v>20</v>
      </c>
      <c r="B4" s="245"/>
      <c r="C4" s="3224"/>
      <c r="D4" s="3224"/>
      <c r="E4" s="3224"/>
      <c r="F4" s="3224"/>
      <c r="G4" s="3224"/>
      <c r="H4" s="3224"/>
      <c r="I4" s="12"/>
      <c r="J4" s="247"/>
      <c r="K4" s="247"/>
      <c r="L4" s="247"/>
      <c r="M4" s="247"/>
      <c r="N4" s="247"/>
      <c r="O4" s="247"/>
      <c r="P4" s="247"/>
      <c r="Q4" s="247"/>
      <c r="R4" s="247"/>
      <c r="S4" s="247"/>
      <c r="T4" s="247"/>
      <c r="U4" s="247"/>
      <c r="V4" s="56"/>
      <c r="W4" s="56"/>
      <c r="X4" s="56"/>
      <c r="Y4" s="56"/>
      <c r="Z4" s="56"/>
      <c r="AA4" s="3143" t="s">
        <v>1625</v>
      </c>
      <c r="AB4" s="3143"/>
      <c r="AC4" s="3144" t="str">
        <f>IF(OR(General!$G$22="",General!$G$22=0),"",General!$G$22)</f>
        <v/>
      </c>
      <c r="AD4" s="3144"/>
      <c r="AE4" s="3144"/>
      <c r="AF4" s="3144"/>
      <c r="AG4" s="3144"/>
      <c r="AH4" s="13"/>
      <c r="AI4" s="68"/>
      <c r="AJ4" s="173"/>
    </row>
    <row r="5" spans="1:36" ht="12" customHeight="1" x14ac:dyDescent="0.2">
      <c r="A5" s="1485">
        <v>25</v>
      </c>
      <c r="B5" s="245"/>
      <c r="C5" s="3224"/>
      <c r="D5" s="3224"/>
      <c r="E5" s="3224"/>
      <c r="F5" s="3224"/>
      <c r="G5" s="3224"/>
      <c r="H5" s="3224"/>
      <c r="I5" s="12"/>
      <c r="J5" s="247"/>
      <c r="K5" s="247"/>
      <c r="L5" s="247"/>
      <c r="M5" s="247"/>
      <c r="N5" s="247"/>
      <c r="O5" s="247"/>
      <c r="P5" s="247"/>
      <c r="Q5" s="247"/>
      <c r="R5" s="247"/>
      <c r="S5" s="247"/>
      <c r="T5" s="247"/>
      <c r="U5" s="247"/>
      <c r="V5" s="56"/>
      <c r="W5" s="56"/>
      <c r="X5" s="56"/>
      <c r="Y5" s="56"/>
      <c r="Z5" s="56"/>
      <c r="AA5" s="3220" t="s">
        <v>1626</v>
      </c>
      <c r="AB5" s="3220"/>
      <c r="AC5" s="3221" t="str">
        <f>Principal!$L$5</f>
        <v/>
      </c>
      <c r="AD5" s="3221"/>
      <c r="AE5" s="3221"/>
      <c r="AF5" s="14" t="s">
        <v>1627</v>
      </c>
      <c r="AG5" s="15" t="str">
        <f>Principal!$P$5</f>
        <v>0</v>
      </c>
      <c r="AH5" s="16"/>
      <c r="AI5" s="68"/>
      <c r="AJ5" s="173"/>
    </row>
    <row r="6" spans="1:36" ht="12" customHeight="1" x14ac:dyDescent="0.2">
      <c r="A6" s="1629"/>
      <c r="B6" s="248"/>
      <c r="C6" s="3224"/>
      <c r="D6" s="3224"/>
      <c r="E6" s="3224"/>
      <c r="F6" s="3224"/>
      <c r="G6" s="3224"/>
      <c r="H6" s="3224"/>
      <c r="I6" s="12"/>
      <c r="J6" s="247"/>
      <c r="K6" s="247"/>
      <c r="L6" s="247"/>
      <c r="M6" s="247"/>
      <c r="N6" s="247"/>
      <c r="O6" s="247"/>
      <c r="P6" s="247"/>
      <c r="Q6" s="247"/>
      <c r="R6" s="247"/>
      <c r="S6" s="247"/>
      <c r="T6" s="247"/>
      <c r="U6" s="247"/>
      <c r="V6" s="56"/>
      <c r="W6" s="56"/>
      <c r="X6" s="56"/>
      <c r="Y6" s="56"/>
      <c r="Z6" s="56"/>
      <c r="AA6" s="3222" t="s">
        <v>2072</v>
      </c>
      <c r="AB6" s="3222"/>
      <c r="AC6" s="3222"/>
      <c r="AD6" s="3222"/>
      <c r="AE6" s="3222"/>
      <c r="AF6" s="3222"/>
      <c r="AG6" s="3222"/>
      <c r="AH6" s="16"/>
      <c r="AI6" s="68"/>
      <c r="AJ6" s="173"/>
    </row>
    <row r="7" spans="1:36" ht="12" customHeight="1" x14ac:dyDescent="0.2">
      <c r="A7" s="1630"/>
      <c r="B7" s="249"/>
      <c r="C7" s="3224"/>
      <c r="D7" s="3224"/>
      <c r="E7" s="3224"/>
      <c r="F7" s="3224"/>
      <c r="G7" s="3224"/>
      <c r="H7" s="3224"/>
      <c r="I7" s="12"/>
      <c r="J7" s="247"/>
      <c r="K7" s="247"/>
      <c r="L7" s="247"/>
      <c r="M7" s="247"/>
      <c r="N7" s="247"/>
      <c r="O7" s="247"/>
      <c r="P7" s="247"/>
      <c r="Q7" s="247"/>
      <c r="R7" s="247"/>
      <c r="S7" s="247"/>
      <c r="T7" s="247"/>
      <c r="U7" s="247"/>
      <c r="V7" s="56"/>
      <c r="W7" s="56"/>
      <c r="X7" s="56"/>
      <c r="Y7" s="56"/>
      <c r="Z7" s="56"/>
      <c r="AA7" s="3222"/>
      <c r="AB7" s="3222"/>
      <c r="AC7" s="3222"/>
      <c r="AD7" s="3222"/>
      <c r="AE7" s="3222"/>
      <c r="AF7" s="3222"/>
      <c r="AG7" s="3222"/>
      <c r="AH7" s="16"/>
      <c r="AI7" s="68"/>
      <c r="AJ7" s="173"/>
    </row>
    <row r="8" spans="1:36" ht="12" customHeight="1" x14ac:dyDescent="0.2">
      <c r="A8" s="1630"/>
      <c r="B8" s="249"/>
      <c r="C8" s="3224"/>
      <c r="D8" s="3224"/>
      <c r="E8" s="3224"/>
      <c r="F8" s="3224"/>
      <c r="G8" s="3224"/>
      <c r="H8" s="3224"/>
      <c r="I8" s="17"/>
      <c r="J8" s="250"/>
      <c r="K8" s="250"/>
      <c r="L8" s="250"/>
      <c r="M8" s="250"/>
      <c r="N8" s="250"/>
      <c r="O8" s="250"/>
      <c r="P8" s="250"/>
      <c r="Q8" s="250"/>
      <c r="R8" s="250"/>
      <c r="S8" s="250"/>
      <c r="T8" s="250"/>
      <c r="U8" s="250"/>
      <c r="V8" s="124"/>
      <c r="W8" s="124"/>
      <c r="X8" s="124"/>
      <c r="Y8" s="124"/>
      <c r="Z8" s="124"/>
      <c r="AA8" s="17"/>
      <c r="AB8" s="17"/>
      <c r="AC8" s="17"/>
      <c r="AD8" s="17"/>
      <c r="AE8" s="17"/>
      <c r="AF8" s="17"/>
      <c r="AG8" s="17"/>
      <c r="AH8" s="18"/>
      <c r="AI8" s="68"/>
      <c r="AJ8" s="173"/>
    </row>
    <row r="9" spans="1:36" ht="12" customHeight="1" x14ac:dyDescent="0.2">
      <c r="A9" s="1631"/>
      <c r="B9" s="251"/>
      <c r="C9" s="252"/>
      <c r="D9" s="252"/>
      <c r="E9" s="252"/>
      <c r="F9" s="253"/>
      <c r="G9" s="253"/>
      <c r="H9" s="253"/>
      <c r="I9" s="253"/>
      <c r="J9" s="253"/>
      <c r="K9" s="253"/>
      <c r="L9" s="253"/>
      <c r="M9" s="253"/>
      <c r="N9" s="253"/>
      <c r="O9" s="253"/>
      <c r="P9" s="253"/>
      <c r="Q9" s="253"/>
      <c r="R9" s="253"/>
      <c r="S9" s="253"/>
      <c r="T9" s="253"/>
      <c r="U9" s="253"/>
      <c r="V9" s="253"/>
      <c r="W9" s="253"/>
      <c r="X9" s="253"/>
      <c r="Y9" s="253"/>
      <c r="Z9" s="253"/>
      <c r="AA9" s="253"/>
      <c r="AB9" s="253"/>
      <c r="AC9" s="253"/>
      <c r="AD9" s="253"/>
      <c r="AE9" s="253"/>
      <c r="AF9" s="253"/>
      <c r="AG9" s="67"/>
      <c r="AH9" s="67"/>
      <c r="AI9" s="68"/>
      <c r="AJ9" s="173"/>
    </row>
    <row r="10" spans="1:36" ht="12" customHeight="1" x14ac:dyDescent="0.2">
      <c r="A10" s="1632"/>
      <c r="B10" s="245"/>
      <c r="C10" s="252"/>
      <c r="D10" s="252"/>
      <c r="E10" s="252"/>
      <c r="F10" s="252"/>
      <c r="G10" s="252"/>
      <c r="H10" s="254"/>
      <c r="I10" s="4310" t="s">
        <v>2073</v>
      </c>
      <c r="J10" s="4310"/>
      <c r="K10" s="255"/>
      <c r="L10" s="252"/>
      <c r="M10" s="252"/>
      <c r="N10" s="252"/>
      <c r="O10" s="253"/>
      <c r="P10" s="253"/>
      <c r="Q10" s="253"/>
      <c r="R10" s="253"/>
      <c r="S10" s="253"/>
      <c r="T10" s="253"/>
      <c r="U10" s="253"/>
      <c r="V10" s="253"/>
      <c r="W10" s="253"/>
      <c r="X10" s="252"/>
      <c r="Y10" s="252"/>
      <c r="Z10" s="254"/>
      <c r="AA10" s="4310" t="s">
        <v>2074</v>
      </c>
      <c r="AB10" s="4310"/>
      <c r="AC10" s="255"/>
      <c r="AD10" s="252"/>
      <c r="AE10" s="252"/>
      <c r="AF10" s="67"/>
      <c r="AG10" s="67"/>
      <c r="AH10" s="67"/>
      <c r="AI10" s="68"/>
      <c r="AJ10" s="173"/>
    </row>
    <row r="11" spans="1:36" ht="12" customHeight="1" x14ac:dyDescent="0.2">
      <c r="A11" s="1632"/>
      <c r="B11" s="245"/>
      <c r="C11" s="252"/>
      <c r="D11" s="252"/>
      <c r="E11" s="252"/>
      <c r="F11" s="4310" t="s">
        <v>2075</v>
      </c>
      <c r="G11" s="4310"/>
      <c r="H11" s="256"/>
      <c r="I11" s="4310"/>
      <c r="J11" s="4310"/>
      <c r="K11" s="257"/>
      <c r="L11" s="4310" t="s">
        <v>2076</v>
      </c>
      <c r="M11" s="4310"/>
      <c r="N11" s="254"/>
      <c r="O11" s="253"/>
      <c r="P11" s="253"/>
      <c r="Q11" s="253"/>
      <c r="R11" s="253"/>
      <c r="S11" s="253"/>
      <c r="T11" s="253"/>
      <c r="U11" s="253"/>
      <c r="V11" s="253"/>
      <c r="W11" s="253"/>
      <c r="X11" s="4310" t="s">
        <v>2077</v>
      </c>
      <c r="Y11" s="4310"/>
      <c r="Z11" s="256"/>
      <c r="AA11" s="4310"/>
      <c r="AB11" s="4310"/>
      <c r="AC11" s="258"/>
      <c r="AD11" s="4310" t="s">
        <v>2077</v>
      </c>
      <c r="AE11" s="4310"/>
      <c r="AF11" s="255"/>
      <c r="AG11" s="67"/>
      <c r="AH11" s="67"/>
      <c r="AI11" s="68"/>
      <c r="AJ11" s="173"/>
    </row>
    <row r="12" spans="1:36" ht="12" customHeight="1" x14ac:dyDescent="0.2">
      <c r="A12" s="1485"/>
      <c r="B12" s="245"/>
      <c r="C12" s="252"/>
      <c r="D12" s="252"/>
      <c r="E12" s="254"/>
      <c r="F12" s="4310"/>
      <c r="G12" s="4310"/>
      <c r="H12" s="259"/>
      <c r="I12" s="4310"/>
      <c r="J12" s="4310"/>
      <c r="K12" s="259"/>
      <c r="L12" s="4310"/>
      <c r="M12" s="4310"/>
      <c r="N12" s="254"/>
      <c r="O12" s="253"/>
      <c r="P12" s="253"/>
      <c r="Q12" s="253"/>
      <c r="R12" s="253"/>
      <c r="S12" s="253"/>
      <c r="T12" s="253"/>
      <c r="U12" s="253"/>
      <c r="V12" s="253"/>
      <c r="W12" s="253"/>
      <c r="X12" s="4310"/>
      <c r="Y12" s="4310"/>
      <c r="Z12" s="259"/>
      <c r="AA12" s="4310"/>
      <c r="AB12" s="4310"/>
      <c r="AC12" s="259"/>
      <c r="AD12" s="4310"/>
      <c r="AE12" s="4310"/>
      <c r="AF12" s="259"/>
      <c r="AG12" s="67"/>
      <c r="AH12" s="67"/>
      <c r="AI12" s="68"/>
      <c r="AJ12" s="173"/>
    </row>
    <row r="13" spans="1:36" ht="12" customHeight="1" x14ac:dyDescent="0.2">
      <c r="A13" s="1485"/>
      <c r="B13" s="245"/>
      <c r="C13" s="252"/>
      <c r="D13" s="252"/>
      <c r="E13" s="254"/>
      <c r="F13" s="4310"/>
      <c r="G13" s="4310"/>
      <c r="H13" s="259"/>
      <c r="I13" s="260" t="str">
        <f>IF(PDs!$R$15&lt;Metamagia!K10,"Nv "&amp;Metamagia!K10,"")</f>
        <v/>
      </c>
      <c r="J13" s="261"/>
      <c r="K13" s="259">
        <v>10</v>
      </c>
      <c r="L13" s="4310"/>
      <c r="M13" s="4310"/>
      <c r="N13" s="259"/>
      <c r="O13" s="253"/>
      <c r="P13" s="253"/>
      <c r="Q13" s="253"/>
      <c r="R13" s="253"/>
      <c r="S13" s="253"/>
      <c r="T13" s="253"/>
      <c r="U13" s="253"/>
      <c r="V13" s="253"/>
      <c r="W13" s="253"/>
      <c r="X13" s="4310"/>
      <c r="Y13" s="4310"/>
      <c r="Z13" s="259"/>
      <c r="AA13" s="260" t="str">
        <f>IF(PDs!$R$15&lt;Metamagia!AC10,"Nv "&amp;Metamagia!AC10,"")</f>
        <v/>
      </c>
      <c r="AB13" s="261"/>
      <c r="AC13" s="259">
        <v>5</v>
      </c>
      <c r="AD13" s="4310"/>
      <c r="AE13" s="4310"/>
      <c r="AF13" s="259"/>
      <c r="AG13" s="67"/>
      <c r="AH13" s="67"/>
      <c r="AI13" s="68"/>
      <c r="AJ13" s="173"/>
    </row>
    <row r="14" spans="1:36" ht="12" customHeight="1" x14ac:dyDescent="0.2">
      <c r="A14" s="1485"/>
      <c r="B14" s="245"/>
      <c r="C14" s="253"/>
      <c r="D14" s="253"/>
      <c r="E14" s="253"/>
      <c r="F14" s="260" t="str">
        <f>IF(PDs!$R$15&lt;Metamagia!H11,"Nv "&amp;Metamagia!H11,"")</f>
        <v/>
      </c>
      <c r="G14" s="261"/>
      <c r="H14" s="259">
        <v>5</v>
      </c>
      <c r="I14" s="219">
        <f>IF(J13&gt;0,1,0)</f>
        <v>0</v>
      </c>
      <c r="J14" s="262"/>
      <c r="K14" s="259"/>
      <c r="L14" s="260" t="str">
        <f>IF(PDs!$R$15&lt;Metamagia!N11,"Nv "&amp;Metamagia!N11,"")</f>
        <v/>
      </c>
      <c r="M14" s="261"/>
      <c r="N14" s="259">
        <v>5</v>
      </c>
      <c r="O14" s="253"/>
      <c r="P14" s="253"/>
      <c r="Q14" s="253"/>
      <c r="R14" s="253"/>
      <c r="S14" s="253"/>
      <c r="T14" s="253"/>
      <c r="U14" s="253"/>
      <c r="V14" s="253"/>
      <c r="W14" s="253"/>
      <c r="X14" s="260" t="str">
        <f>IF(PDs!$R$15&lt;Metamagia!Z11,"Nv "&amp;Metamagia!Z11,"")</f>
        <v/>
      </c>
      <c r="Y14" s="261"/>
      <c r="Z14" s="259">
        <v>5</v>
      </c>
      <c r="AA14" s="219">
        <f>IF(AB13&gt;0,1,0)</f>
        <v>0</v>
      </c>
      <c r="AB14" s="262"/>
      <c r="AC14" s="259"/>
      <c r="AD14" s="260" t="str">
        <f>IF(PDs!$R$15&lt;Metamagia!AF11,"Nv "&amp;Metamagia!AF11,"")</f>
        <v/>
      </c>
      <c r="AE14" s="261"/>
      <c r="AF14" s="259">
        <v>5</v>
      </c>
      <c r="AG14" s="253"/>
      <c r="AH14" s="253"/>
      <c r="AI14" s="263"/>
      <c r="AJ14" s="173"/>
    </row>
    <row r="15" spans="1:36" ht="12" customHeight="1" x14ac:dyDescent="0.2">
      <c r="A15" s="1485"/>
      <c r="B15" s="245"/>
      <c r="C15" s="253"/>
      <c r="D15" s="253"/>
      <c r="E15" s="253"/>
      <c r="F15" s="219">
        <f>IF(G14&gt;0,1,0)</f>
        <v>0</v>
      </c>
      <c r="G15" s="243"/>
      <c r="H15" s="259"/>
      <c r="I15" s="4310" t="s">
        <v>2078</v>
      </c>
      <c r="J15" s="4310"/>
      <c r="K15" s="259"/>
      <c r="L15" s="264">
        <f>IF(M14&gt;0,1,0)</f>
        <v>0</v>
      </c>
      <c r="M15" s="252"/>
      <c r="N15" s="259"/>
      <c r="O15" s="252"/>
      <c r="P15" s="252"/>
      <c r="Q15" s="254"/>
      <c r="R15" s="4310" t="s">
        <v>2076</v>
      </c>
      <c r="S15" s="4310"/>
      <c r="T15" s="252"/>
      <c r="U15" s="67"/>
      <c r="V15" s="67"/>
      <c r="W15" s="255"/>
      <c r="X15" s="219">
        <f>IF(Y14&gt;0,1,0)</f>
        <v>0</v>
      </c>
      <c r="Y15" s="243"/>
      <c r="Z15" s="259"/>
      <c r="AA15" s="4310" t="s">
        <v>2079</v>
      </c>
      <c r="AB15" s="4310"/>
      <c r="AC15" s="259"/>
      <c r="AD15" s="264">
        <f>IF(AE14&gt;0,1,0)</f>
        <v>0</v>
      </c>
      <c r="AE15" s="252"/>
      <c r="AF15" s="259"/>
      <c r="AG15" s="253"/>
      <c r="AH15" s="253"/>
      <c r="AI15" s="263"/>
      <c r="AJ15" s="173"/>
    </row>
    <row r="16" spans="1:36" ht="12" customHeight="1" x14ac:dyDescent="0.2">
      <c r="A16" s="1485"/>
      <c r="B16" s="245"/>
      <c r="C16" s="253"/>
      <c r="D16" s="253"/>
      <c r="E16" s="253"/>
      <c r="F16" s="252"/>
      <c r="G16" s="265"/>
      <c r="H16" s="257"/>
      <c r="I16" s="4310"/>
      <c r="J16" s="4310"/>
      <c r="K16" s="266"/>
      <c r="L16" s="267"/>
      <c r="M16" s="252"/>
      <c r="N16" s="259"/>
      <c r="O16" s="252"/>
      <c r="P16" s="268"/>
      <c r="Q16" s="269"/>
      <c r="R16" s="4310"/>
      <c r="S16" s="4310"/>
      <c r="T16" s="254"/>
      <c r="U16" s="67"/>
      <c r="V16" s="67"/>
      <c r="W16" s="255"/>
      <c r="X16" s="252"/>
      <c r="Y16" s="265"/>
      <c r="Z16" s="257"/>
      <c r="AA16" s="4310"/>
      <c r="AB16" s="4310"/>
      <c r="AC16" s="266"/>
      <c r="AD16" s="267"/>
      <c r="AE16" s="252"/>
      <c r="AF16" s="259"/>
      <c r="AG16" s="253"/>
      <c r="AH16" s="253"/>
      <c r="AI16" s="263"/>
      <c r="AJ16" s="173"/>
    </row>
    <row r="17" spans="1:36" ht="12" customHeight="1" x14ac:dyDescent="0.2">
      <c r="A17" s="1485"/>
      <c r="B17" s="245"/>
      <c r="C17" s="253"/>
      <c r="D17" s="253"/>
      <c r="E17" s="253"/>
      <c r="F17" s="252"/>
      <c r="G17" s="245"/>
      <c r="H17" s="259"/>
      <c r="I17" s="4310"/>
      <c r="J17" s="4310"/>
      <c r="K17" s="259"/>
      <c r="L17" s="270"/>
      <c r="M17" s="252"/>
      <c r="N17" s="259"/>
      <c r="O17" s="270"/>
      <c r="P17" s="252"/>
      <c r="Q17" s="254"/>
      <c r="R17" s="4310"/>
      <c r="S17" s="4310"/>
      <c r="T17" s="259"/>
      <c r="U17" s="67"/>
      <c r="V17" s="67"/>
      <c r="W17" s="255"/>
      <c r="X17" s="252"/>
      <c r="Y17" s="245"/>
      <c r="Z17" s="259"/>
      <c r="AA17" s="4310"/>
      <c r="AB17" s="4310"/>
      <c r="AC17" s="259"/>
      <c r="AD17" s="270"/>
      <c r="AE17" s="252"/>
      <c r="AF17" s="259"/>
      <c r="AG17" s="253"/>
      <c r="AH17" s="253"/>
      <c r="AI17" s="263"/>
      <c r="AJ17" s="173"/>
    </row>
    <row r="18" spans="1:36" ht="12" customHeight="1" x14ac:dyDescent="0.2">
      <c r="A18" s="1485"/>
      <c r="B18" s="245"/>
      <c r="C18" s="253"/>
      <c r="D18" s="253"/>
      <c r="E18" s="253"/>
      <c r="F18" s="252"/>
      <c r="G18" s="245"/>
      <c r="H18" s="259"/>
      <c r="I18" s="260" t="str">
        <f>IF(PDs!$R$15&lt;Metamagia!K15,"Nv "&amp;Metamagia!K15,"")</f>
        <v/>
      </c>
      <c r="J18" s="261"/>
      <c r="K18" s="259">
        <v>10</v>
      </c>
      <c r="L18" s="270"/>
      <c r="M18" s="252"/>
      <c r="N18" s="259"/>
      <c r="O18" s="270"/>
      <c r="P18" s="252"/>
      <c r="Q18" s="254"/>
      <c r="R18" s="260" t="str">
        <f>IF(PDs!$R$15&lt;Metamagia!T15,"Nv "&amp;Metamagia!T15,"")</f>
        <v/>
      </c>
      <c r="S18" s="261"/>
      <c r="T18" s="259">
        <v>5</v>
      </c>
      <c r="U18" s="67"/>
      <c r="V18" s="67"/>
      <c r="W18" s="255"/>
      <c r="X18" s="252"/>
      <c r="Y18" s="245"/>
      <c r="Z18" s="259"/>
      <c r="AA18" s="260" t="str">
        <f>IF(PDs!$R$15&lt;Metamagia!AC15,"Nv "&amp;Metamagia!AC15,"")</f>
        <v/>
      </c>
      <c r="AB18" s="261"/>
      <c r="AC18" s="259">
        <v>5</v>
      </c>
      <c r="AD18" s="270"/>
      <c r="AE18" s="252"/>
      <c r="AF18" s="259"/>
      <c r="AG18" s="253"/>
      <c r="AH18" s="253"/>
      <c r="AI18" s="263"/>
      <c r="AJ18" s="173"/>
    </row>
    <row r="19" spans="1:36" ht="12" customHeight="1" x14ac:dyDescent="0.2">
      <c r="A19" s="1485"/>
      <c r="B19" s="245"/>
      <c r="C19" s="252"/>
      <c r="D19" s="268"/>
      <c r="E19" s="259"/>
      <c r="F19" s="252"/>
      <c r="G19" s="265"/>
      <c r="H19" s="259"/>
      <c r="I19" s="219">
        <f>IF(J18&gt;0,1,0)</f>
        <v>0</v>
      </c>
      <c r="J19" s="252"/>
      <c r="K19" s="259"/>
      <c r="L19" s="267"/>
      <c r="M19" s="252"/>
      <c r="N19" s="259"/>
      <c r="O19" s="267"/>
      <c r="P19" s="252"/>
      <c r="Q19" s="254"/>
      <c r="R19" s="271">
        <f>IF(S18&gt;0,1,0)</f>
        <v>0</v>
      </c>
      <c r="S19" s="252"/>
      <c r="T19" s="259"/>
      <c r="U19" s="67"/>
      <c r="V19" s="67"/>
      <c r="W19" s="255"/>
      <c r="X19" s="252"/>
      <c r="Y19" s="265"/>
      <c r="Z19" s="259"/>
      <c r="AA19" s="219">
        <f>IF(AB18&gt;0,1,0)</f>
        <v>0</v>
      </c>
      <c r="AB19" s="252"/>
      <c r="AC19" s="259"/>
      <c r="AD19" s="267"/>
      <c r="AE19" s="252"/>
      <c r="AF19" s="259"/>
      <c r="AG19" s="253"/>
      <c r="AH19" s="253"/>
      <c r="AI19" s="263"/>
      <c r="AJ19" s="173"/>
    </row>
    <row r="20" spans="1:36" ht="12" customHeight="1" x14ac:dyDescent="0.2">
      <c r="A20" s="1485"/>
      <c r="B20" s="245"/>
      <c r="C20" s="4310" t="s">
        <v>2076</v>
      </c>
      <c r="D20" s="4310"/>
      <c r="E20" s="259"/>
      <c r="F20" s="4310" t="s">
        <v>2080</v>
      </c>
      <c r="G20" s="4310"/>
      <c r="H20" s="259">
        <v>3</v>
      </c>
      <c r="I20" s="4310" t="s">
        <v>2081</v>
      </c>
      <c r="J20" s="4310"/>
      <c r="K20" s="259">
        <v>4</v>
      </c>
      <c r="L20" s="4310" t="s">
        <v>2082</v>
      </c>
      <c r="M20" s="4310"/>
      <c r="N20" s="259">
        <v>2</v>
      </c>
      <c r="O20" s="4310" t="s">
        <v>2073</v>
      </c>
      <c r="P20" s="4310"/>
      <c r="Q20" s="259">
        <v>4</v>
      </c>
      <c r="R20" s="4310" t="s">
        <v>2081</v>
      </c>
      <c r="S20" s="4310"/>
      <c r="T20" s="259">
        <v>5</v>
      </c>
      <c r="U20" s="4310" t="s">
        <v>2079</v>
      </c>
      <c r="V20" s="4310"/>
      <c r="W20" s="255"/>
      <c r="X20" s="4310" t="s">
        <v>2083</v>
      </c>
      <c r="Y20" s="4310"/>
      <c r="Z20" s="259">
        <v>3</v>
      </c>
      <c r="AA20" s="4310" t="s">
        <v>2084</v>
      </c>
      <c r="AB20" s="4310"/>
      <c r="AC20" s="259">
        <v>5</v>
      </c>
      <c r="AD20" s="4310" t="s">
        <v>2085</v>
      </c>
      <c r="AE20" s="4310"/>
      <c r="AF20" s="259">
        <v>2</v>
      </c>
      <c r="AG20" s="4310" t="s">
        <v>2083</v>
      </c>
      <c r="AH20" s="4310"/>
      <c r="AI20" s="272">
        <v>3</v>
      </c>
      <c r="AJ20" s="173"/>
    </row>
    <row r="21" spans="1:36" ht="12" customHeight="1" x14ac:dyDescent="0.2">
      <c r="A21" s="1485"/>
      <c r="B21" s="245"/>
      <c r="C21" s="4310"/>
      <c r="D21" s="4310"/>
      <c r="E21" s="256"/>
      <c r="F21" s="4310"/>
      <c r="G21" s="4310"/>
      <c r="H21" s="256"/>
      <c r="I21" s="4310"/>
      <c r="J21" s="4310"/>
      <c r="K21" s="256"/>
      <c r="L21" s="4310"/>
      <c r="M21" s="4310"/>
      <c r="N21" s="256"/>
      <c r="O21" s="4310"/>
      <c r="P21" s="4310"/>
      <c r="Q21" s="259"/>
      <c r="R21" s="4310"/>
      <c r="S21" s="4310"/>
      <c r="T21" s="259"/>
      <c r="U21" s="4310"/>
      <c r="V21" s="4310"/>
      <c r="W21" s="258"/>
      <c r="X21" s="4310"/>
      <c r="Y21" s="4310"/>
      <c r="Z21" s="256"/>
      <c r="AA21" s="4310"/>
      <c r="AB21" s="4310"/>
      <c r="AC21" s="256"/>
      <c r="AD21" s="4310"/>
      <c r="AE21" s="4310"/>
      <c r="AF21" s="256"/>
      <c r="AG21" s="4310"/>
      <c r="AH21" s="4310"/>
      <c r="AI21" s="272"/>
      <c r="AJ21" s="173"/>
    </row>
    <row r="22" spans="1:36" ht="12" customHeight="1" x14ac:dyDescent="0.2">
      <c r="A22" s="1485"/>
      <c r="B22" s="245"/>
      <c r="C22" s="4310"/>
      <c r="D22" s="4310"/>
      <c r="E22" s="259"/>
      <c r="F22" s="4310"/>
      <c r="G22" s="4310"/>
      <c r="H22" s="259"/>
      <c r="I22" s="4310"/>
      <c r="J22" s="4310"/>
      <c r="K22" s="259"/>
      <c r="L22" s="4310"/>
      <c r="M22" s="4310"/>
      <c r="N22" s="259"/>
      <c r="O22" s="4310"/>
      <c r="P22" s="4310"/>
      <c r="Q22" s="259"/>
      <c r="R22" s="4310"/>
      <c r="S22" s="4310"/>
      <c r="T22" s="259"/>
      <c r="U22" s="4310"/>
      <c r="V22" s="4310"/>
      <c r="W22" s="255"/>
      <c r="X22" s="4310"/>
      <c r="Y22" s="4310"/>
      <c r="Z22" s="259"/>
      <c r="AA22" s="4310"/>
      <c r="AB22" s="4310"/>
      <c r="AC22" s="259"/>
      <c r="AD22" s="4310"/>
      <c r="AE22" s="4310"/>
      <c r="AF22" s="259"/>
      <c r="AG22" s="4310"/>
      <c r="AH22" s="4310"/>
      <c r="AI22" s="272"/>
      <c r="AJ22" s="173"/>
    </row>
    <row r="23" spans="1:36" ht="12" customHeight="1" x14ac:dyDescent="0.2">
      <c r="A23" s="1485"/>
      <c r="B23" s="245"/>
      <c r="C23" s="260" t="str">
        <f>IF(PDs!$R$15&lt;Metamagia!E20,"Nv "&amp;Metamagia!E20,"")</f>
        <v/>
      </c>
      <c r="D23" s="261"/>
      <c r="E23" s="259">
        <v>5</v>
      </c>
      <c r="F23" s="260" t="str">
        <f>IF(PDs!$R$15&lt;Metamagia!H20,"Nv "&amp;Metamagia!H20,"")</f>
        <v>Nv 3</v>
      </c>
      <c r="G23" s="261"/>
      <c r="H23" s="259">
        <v>10</v>
      </c>
      <c r="I23" s="260" t="str">
        <f>IF(PDs!$R$15&lt;Metamagia!K20,"Nv "&amp;Metamagia!K20,"")</f>
        <v>Nv 4</v>
      </c>
      <c r="J23" s="261"/>
      <c r="K23" s="259">
        <v>10</v>
      </c>
      <c r="L23" s="260" t="str">
        <f>IF(PDs!$R$15&lt;Metamagia!N20,"Nv "&amp;Metamagia!N20,"")</f>
        <v>Nv 2</v>
      </c>
      <c r="M23" s="261"/>
      <c r="N23" s="259">
        <v>5</v>
      </c>
      <c r="O23" s="260" t="str">
        <f>IF(PDs!$R$15&lt;Metamagia!Q20,"Nv "&amp;Metamagia!Q20,"")</f>
        <v>Nv 4</v>
      </c>
      <c r="P23" s="261"/>
      <c r="Q23" s="259">
        <v>10</v>
      </c>
      <c r="R23" s="260" t="str">
        <f>IF(PDs!$R$15&lt;Metamagia!T20,"Nv "&amp;Metamagia!T20,"")</f>
        <v>Nv 5</v>
      </c>
      <c r="S23" s="261"/>
      <c r="T23" s="259">
        <v>10</v>
      </c>
      <c r="U23" s="260" t="str">
        <f>IF(PDs!$R$15&lt;Metamagia!W20,"Nv "&amp;Metamagia!W20,"")</f>
        <v/>
      </c>
      <c r="V23" s="261"/>
      <c r="W23" s="259">
        <v>5</v>
      </c>
      <c r="X23" s="260" t="str">
        <f>IF(PDs!$R$15&lt;Metamagia!Z20,"Nv "&amp;Metamagia!Z20,"")</f>
        <v>Nv 3</v>
      </c>
      <c r="Y23" s="261"/>
      <c r="Z23" s="259">
        <v>5</v>
      </c>
      <c r="AA23" s="260" t="str">
        <f>IF(PDs!$R$15&lt;Metamagia!AC20,"Nv "&amp;Metamagia!AC20,"")</f>
        <v>Nv 5</v>
      </c>
      <c r="AB23" s="261"/>
      <c r="AC23" s="259">
        <v>10</v>
      </c>
      <c r="AD23" s="260" t="str">
        <f>IF(PDs!$R$15&lt;Metamagia!AF20,"Nv "&amp;Metamagia!AF20,"")</f>
        <v>Nv 2</v>
      </c>
      <c r="AE23" s="261"/>
      <c r="AF23" s="259">
        <v>5</v>
      </c>
      <c r="AG23" s="260" t="str">
        <f>IF(PDs!$R$15&lt;Metamagia!AI20,"Nv "&amp;Metamagia!AI20,"")</f>
        <v>Nv 3</v>
      </c>
      <c r="AH23" s="261"/>
      <c r="AI23" s="272">
        <v>5</v>
      </c>
      <c r="AJ23" s="173"/>
    </row>
    <row r="24" spans="1:36" ht="12" customHeight="1" x14ac:dyDescent="0.2">
      <c r="A24" s="1485"/>
      <c r="B24" s="245"/>
      <c r="C24" s="273">
        <f>IF(D23&gt;0,1,0)</f>
        <v>0</v>
      </c>
      <c r="D24" s="243"/>
      <c r="E24" s="259"/>
      <c r="F24" s="264">
        <f>IF(G23&gt;0,1,0)</f>
        <v>0</v>
      </c>
      <c r="G24" s="252"/>
      <c r="H24" s="259"/>
      <c r="I24" s="271">
        <f>IF(J23&gt;0,1,0)</f>
        <v>0</v>
      </c>
      <c r="J24" s="252"/>
      <c r="K24" s="259"/>
      <c r="L24" s="264">
        <f>IF(M23&gt;0,1,0)</f>
        <v>0</v>
      </c>
      <c r="M24" s="252"/>
      <c r="N24" s="259"/>
      <c r="O24" s="219">
        <f>IF(P23&gt;0,1,0)</f>
        <v>0</v>
      </c>
      <c r="P24" s="252"/>
      <c r="Q24" s="259"/>
      <c r="R24" s="271">
        <f>IF(S23&gt;0,1,0)</f>
        <v>0</v>
      </c>
      <c r="S24" s="252"/>
      <c r="T24" s="259"/>
      <c r="U24" s="264">
        <f>IF(V23&gt;0,1,0)</f>
        <v>0</v>
      </c>
      <c r="V24" s="67"/>
      <c r="W24" s="255"/>
      <c r="X24" s="264">
        <f>IF(Y23&gt;0,1,0)</f>
        <v>0</v>
      </c>
      <c r="Y24" s="252"/>
      <c r="Z24" s="259"/>
      <c r="AA24" s="271">
        <f>IF(AB23&gt;0,1,0)</f>
        <v>0</v>
      </c>
      <c r="AB24" s="252"/>
      <c r="AC24" s="259"/>
      <c r="AD24" s="264">
        <f>IF(AE23&gt;0,1,0)</f>
        <v>0</v>
      </c>
      <c r="AE24" s="252"/>
      <c r="AF24" s="259"/>
      <c r="AG24" s="219">
        <f>IF(AH23&gt;0,1,0)</f>
        <v>0</v>
      </c>
      <c r="AH24" s="243"/>
      <c r="AI24" s="272"/>
      <c r="AJ24" s="173"/>
    </row>
    <row r="25" spans="1:36" ht="12" customHeight="1" x14ac:dyDescent="0.2">
      <c r="A25" s="1485"/>
      <c r="B25" s="245"/>
      <c r="C25" s="253"/>
      <c r="D25" s="274"/>
      <c r="E25" s="275"/>
      <c r="F25" s="267"/>
      <c r="G25" s="252"/>
      <c r="H25" s="259"/>
      <c r="I25" s="4310" t="s">
        <v>2082</v>
      </c>
      <c r="J25" s="4310"/>
      <c r="K25" s="259">
        <v>6</v>
      </c>
      <c r="L25" s="267"/>
      <c r="M25" s="252"/>
      <c r="N25" s="259"/>
      <c r="O25" s="252"/>
      <c r="P25" s="252"/>
      <c r="Q25" s="259"/>
      <c r="R25" s="4310" t="s">
        <v>2086</v>
      </c>
      <c r="S25" s="4310"/>
      <c r="T25" s="259">
        <v>2</v>
      </c>
      <c r="U25" s="68"/>
      <c r="V25" s="67"/>
      <c r="W25" s="255"/>
      <c r="X25" s="267"/>
      <c r="Y25" s="252"/>
      <c r="Z25" s="259"/>
      <c r="AA25" s="4310" t="s">
        <v>2087</v>
      </c>
      <c r="AB25" s="4310"/>
      <c r="AC25" s="259">
        <v>8</v>
      </c>
      <c r="AD25" s="267"/>
      <c r="AE25" s="252"/>
      <c r="AF25" s="259"/>
      <c r="AG25" s="67"/>
      <c r="AH25" s="245"/>
      <c r="AI25" s="272"/>
      <c r="AJ25" s="173"/>
    </row>
    <row r="26" spans="1:36" ht="12" customHeight="1" x14ac:dyDescent="0.2">
      <c r="A26" s="1485"/>
      <c r="B26" s="245"/>
      <c r="C26" s="253"/>
      <c r="D26" s="274"/>
      <c r="E26" s="275"/>
      <c r="F26" s="4310" t="s">
        <v>2078</v>
      </c>
      <c r="G26" s="4310"/>
      <c r="H26" s="259">
        <v>6</v>
      </c>
      <c r="I26" s="4310"/>
      <c r="J26" s="4310"/>
      <c r="K26" s="259"/>
      <c r="L26" s="4310" t="s">
        <v>2080</v>
      </c>
      <c r="M26" s="4310"/>
      <c r="N26" s="259">
        <v>6</v>
      </c>
      <c r="O26" s="252"/>
      <c r="P26" s="252"/>
      <c r="Q26" s="259"/>
      <c r="R26" s="4310"/>
      <c r="S26" s="4310"/>
      <c r="T26" s="266"/>
      <c r="U26" s="180"/>
      <c r="V26" s="67"/>
      <c r="W26" s="255"/>
      <c r="X26" s="4310" t="s">
        <v>2088</v>
      </c>
      <c r="Y26" s="4310"/>
      <c r="Z26" s="259">
        <v>7</v>
      </c>
      <c r="AA26" s="4310"/>
      <c r="AB26" s="4310"/>
      <c r="AC26" s="259"/>
      <c r="AD26" s="4310" t="s">
        <v>2089</v>
      </c>
      <c r="AE26" s="4310"/>
      <c r="AF26" s="259">
        <v>8</v>
      </c>
      <c r="AG26" s="253"/>
      <c r="AH26" s="274"/>
      <c r="AI26" s="276"/>
      <c r="AJ26" s="173"/>
    </row>
    <row r="27" spans="1:36" ht="12" customHeight="1" x14ac:dyDescent="0.2">
      <c r="A27" s="1485"/>
      <c r="B27" s="245"/>
      <c r="C27" s="253"/>
      <c r="D27" s="277"/>
      <c r="E27" s="275"/>
      <c r="F27" s="4310"/>
      <c r="G27" s="4310"/>
      <c r="H27" s="259"/>
      <c r="I27" s="4310"/>
      <c r="J27" s="4310"/>
      <c r="K27" s="259"/>
      <c r="L27" s="4310"/>
      <c r="M27" s="4310"/>
      <c r="N27" s="259"/>
      <c r="O27" s="252"/>
      <c r="P27" s="252"/>
      <c r="Q27" s="254"/>
      <c r="R27" s="4310"/>
      <c r="S27" s="4310"/>
      <c r="T27" s="259"/>
      <c r="U27" s="67"/>
      <c r="V27" s="67"/>
      <c r="W27" s="255"/>
      <c r="X27" s="4310"/>
      <c r="Y27" s="4310"/>
      <c r="Z27" s="259"/>
      <c r="AA27" s="4310"/>
      <c r="AB27" s="4310"/>
      <c r="AC27" s="259"/>
      <c r="AD27" s="4310"/>
      <c r="AE27" s="4310"/>
      <c r="AF27" s="259"/>
      <c r="AG27" s="253"/>
      <c r="AH27" s="277"/>
      <c r="AI27" s="276"/>
      <c r="AJ27" s="173"/>
    </row>
    <row r="28" spans="1:36" ht="12" customHeight="1" x14ac:dyDescent="0.2">
      <c r="A28" s="1485"/>
      <c r="B28" s="245"/>
      <c r="C28" s="4310" t="s">
        <v>2075</v>
      </c>
      <c r="D28" s="4310"/>
      <c r="E28" s="259">
        <v>4</v>
      </c>
      <c r="F28" s="4310"/>
      <c r="G28" s="4310"/>
      <c r="H28" s="259"/>
      <c r="I28" s="260" t="str">
        <f>IF(PDs!$R$15&lt;Metamagia!K25,"Nv "&amp;Metamagia!K25,"")</f>
        <v>Nv 6</v>
      </c>
      <c r="J28" s="261"/>
      <c r="K28" s="259">
        <v>10</v>
      </c>
      <c r="L28" s="4310"/>
      <c r="M28" s="4310"/>
      <c r="N28" s="259"/>
      <c r="O28" s="252"/>
      <c r="P28" s="252"/>
      <c r="Q28" s="254"/>
      <c r="R28" s="260" t="str">
        <f>IF(PDs!$R$15&lt;Metamagia!T25,"Nv "&amp;Metamagia!T25,"")</f>
        <v>Nv 2</v>
      </c>
      <c r="S28" s="261"/>
      <c r="T28" s="259">
        <v>5</v>
      </c>
      <c r="U28" s="67"/>
      <c r="V28" s="67"/>
      <c r="W28" s="255"/>
      <c r="X28" s="4310"/>
      <c r="Y28" s="4310"/>
      <c r="Z28" s="259"/>
      <c r="AA28" s="260" t="str">
        <f>IF(PDs!$R$15&lt;Metamagia!AC25,"Nv "&amp;Metamagia!AC25,"")</f>
        <v>Nv 8</v>
      </c>
      <c r="AB28" s="261"/>
      <c r="AC28" s="259">
        <v>5</v>
      </c>
      <c r="AD28" s="4310"/>
      <c r="AE28" s="4310"/>
      <c r="AF28" s="259"/>
      <c r="AG28" s="4310" t="s">
        <v>2085</v>
      </c>
      <c r="AH28" s="4310"/>
      <c r="AI28" s="272">
        <v>4</v>
      </c>
      <c r="AJ28" s="173"/>
    </row>
    <row r="29" spans="1:36" ht="12" customHeight="1" x14ac:dyDescent="0.2">
      <c r="A29" s="1485"/>
      <c r="B29" s="245"/>
      <c r="C29" s="4310"/>
      <c r="D29" s="4310"/>
      <c r="E29" s="259"/>
      <c r="F29" s="260" t="str">
        <f>IF(PDs!$R$15&lt;Metamagia!H26,"Nv "&amp;Metamagia!H26,"")</f>
        <v>Nv 6</v>
      </c>
      <c r="G29" s="261"/>
      <c r="H29" s="259">
        <v>10</v>
      </c>
      <c r="I29" s="219">
        <f>IF(J28&gt;0,1,0)</f>
        <v>0</v>
      </c>
      <c r="J29" s="252"/>
      <c r="K29" s="259"/>
      <c r="L29" s="260" t="str">
        <f>IF(PDs!$R$15&lt;Metamagia!N26,"Nv "&amp;Metamagia!N26,"")</f>
        <v>Nv 6</v>
      </c>
      <c r="M29" s="261"/>
      <c r="N29" s="259">
        <v>10</v>
      </c>
      <c r="O29" s="252"/>
      <c r="P29" s="253"/>
      <c r="Q29" s="253"/>
      <c r="R29" s="278">
        <f>IF(S28&gt;0,1,0)</f>
        <v>0</v>
      </c>
      <c r="S29" s="253"/>
      <c r="T29" s="254"/>
      <c r="U29" s="67"/>
      <c r="V29" s="67"/>
      <c r="W29" s="255"/>
      <c r="X29" s="260" t="str">
        <f>IF(PDs!$R$15&lt;Metamagia!Z26,"Nv "&amp;Metamagia!Z26,"")</f>
        <v>Nv 7</v>
      </c>
      <c r="Y29" s="261"/>
      <c r="Z29" s="259">
        <v>20</v>
      </c>
      <c r="AA29" s="219">
        <f>IF(AB28&gt;0,1,0)</f>
        <v>0</v>
      </c>
      <c r="AB29" s="252"/>
      <c r="AC29" s="259"/>
      <c r="AD29" s="260" t="str">
        <f>IF(PDs!$R$15&lt;Metamagia!AF26,"Nv "&amp;Metamagia!AF26,"")</f>
        <v>Nv 8</v>
      </c>
      <c r="AE29" s="261"/>
      <c r="AF29" s="259">
        <v>25</v>
      </c>
      <c r="AG29" s="4310"/>
      <c r="AH29" s="4310"/>
      <c r="AI29" s="272"/>
      <c r="AJ29" s="173"/>
    </row>
    <row r="30" spans="1:36" ht="12" customHeight="1" x14ac:dyDescent="0.2">
      <c r="A30" s="1485"/>
      <c r="B30" s="245"/>
      <c r="C30" s="4310"/>
      <c r="D30" s="4310"/>
      <c r="E30" s="259"/>
      <c r="F30" s="264">
        <f>IF(G29&gt;0,1,0)</f>
        <v>0</v>
      </c>
      <c r="G30" s="268"/>
      <c r="H30" s="257"/>
      <c r="I30" s="4310" t="s">
        <v>2081</v>
      </c>
      <c r="J30" s="4310"/>
      <c r="K30" s="279">
        <v>7</v>
      </c>
      <c r="L30" s="271">
        <f>IF(M29&gt;0,1,0)</f>
        <v>0</v>
      </c>
      <c r="M30" s="252"/>
      <c r="N30" s="259"/>
      <c r="O30" s="253"/>
      <c r="P30" s="253"/>
      <c r="Q30" s="253"/>
      <c r="R30" s="253"/>
      <c r="S30" s="253"/>
      <c r="T30" s="253"/>
      <c r="U30" s="253"/>
      <c r="V30" s="253"/>
      <c r="W30" s="255"/>
      <c r="X30" s="264">
        <f>IF(Y29&gt;0,1,0)</f>
        <v>0</v>
      </c>
      <c r="Y30" s="268"/>
      <c r="Z30" s="257"/>
      <c r="AA30" s="4310" t="s">
        <v>2090</v>
      </c>
      <c r="AB30" s="4310"/>
      <c r="AC30" s="279">
        <v>9</v>
      </c>
      <c r="AD30" s="271">
        <f>IF(AE29&gt;0,1,0)</f>
        <v>0</v>
      </c>
      <c r="AE30" s="252"/>
      <c r="AF30" s="259"/>
      <c r="AG30" s="4310"/>
      <c r="AH30" s="4310"/>
      <c r="AI30" s="272"/>
      <c r="AJ30" s="173"/>
    </row>
    <row r="31" spans="1:36" ht="12" customHeight="1" x14ac:dyDescent="0.2">
      <c r="A31" s="1485"/>
      <c r="B31" s="245"/>
      <c r="C31" s="260" t="str">
        <f>IF(PDs!$R$15&lt;Metamagia!E28,"Nv "&amp;Metamagia!E28,"")</f>
        <v>Nv 4</v>
      </c>
      <c r="D31" s="261"/>
      <c r="E31" s="259">
        <v>5</v>
      </c>
      <c r="F31" s="280"/>
      <c r="G31" s="50"/>
      <c r="H31" s="259"/>
      <c r="I31" s="4310"/>
      <c r="J31" s="4310"/>
      <c r="K31" s="281"/>
      <c r="L31" s="252"/>
      <c r="M31" s="252"/>
      <c r="N31" s="259"/>
      <c r="O31" s="253"/>
      <c r="P31" s="253"/>
      <c r="Q31" s="253"/>
      <c r="R31" s="253"/>
      <c r="S31" s="253"/>
      <c r="T31" s="253"/>
      <c r="U31" s="253"/>
      <c r="V31" s="253"/>
      <c r="W31" s="255"/>
      <c r="X31" s="280"/>
      <c r="Y31" s="50"/>
      <c r="Z31" s="259"/>
      <c r="AA31" s="4310"/>
      <c r="AB31" s="4310"/>
      <c r="AC31" s="281"/>
      <c r="AD31" s="252"/>
      <c r="AE31" s="252"/>
      <c r="AF31" s="259"/>
      <c r="AG31" s="260" t="str">
        <f>IF(PDs!$R$15&lt;Metamagia!AI28,"Nv "&amp;Metamagia!AI28,"")</f>
        <v>Nv 4</v>
      </c>
      <c r="AH31" s="261"/>
      <c r="AI31" s="272">
        <v>5</v>
      </c>
      <c r="AJ31" s="173"/>
    </row>
    <row r="32" spans="1:36" ht="12" customHeight="1" x14ac:dyDescent="0.2">
      <c r="A32" s="1485"/>
      <c r="B32" s="245"/>
      <c r="C32" s="273">
        <f>IF(D31&gt;0,1,0)</f>
        <v>0</v>
      </c>
      <c r="D32" s="282"/>
      <c r="E32" s="283"/>
      <c r="F32" s="284"/>
      <c r="G32" s="50"/>
      <c r="H32" s="259"/>
      <c r="I32" s="4310"/>
      <c r="J32" s="4310"/>
      <c r="K32" s="281"/>
      <c r="L32" s="252"/>
      <c r="M32" s="252"/>
      <c r="N32" s="259"/>
      <c r="O32" s="253"/>
      <c r="P32" s="253"/>
      <c r="Q32" s="253"/>
      <c r="R32" s="253"/>
      <c r="S32" s="253"/>
      <c r="T32" s="253"/>
      <c r="U32" s="253"/>
      <c r="V32" s="253"/>
      <c r="W32" s="255"/>
      <c r="X32" s="284"/>
      <c r="Y32" s="50"/>
      <c r="Z32" s="259"/>
      <c r="AA32" s="4310"/>
      <c r="AB32" s="4310"/>
      <c r="AC32" s="281"/>
      <c r="AD32" s="252"/>
      <c r="AE32" s="252"/>
      <c r="AF32" s="259"/>
      <c r="AG32" s="273">
        <f>IF(AH31&gt;0,1,0)</f>
        <v>0</v>
      </c>
      <c r="AH32" s="282"/>
      <c r="AI32" s="272"/>
      <c r="AJ32" s="173"/>
    </row>
    <row r="33" spans="1:36" ht="12" customHeight="1" x14ac:dyDescent="0.2">
      <c r="A33" s="1485"/>
      <c r="B33" s="245"/>
      <c r="C33" s="253"/>
      <c r="D33" s="274"/>
      <c r="E33" s="275"/>
      <c r="F33" s="4310" t="s">
        <v>2091</v>
      </c>
      <c r="G33" s="4310"/>
      <c r="H33" s="259">
        <v>10</v>
      </c>
      <c r="I33" s="260" t="str">
        <f>IF(PDs!$R$15&lt;Metamagia!K30,"Nv "&amp;Metamagia!K30,"")</f>
        <v>Nv 7</v>
      </c>
      <c r="J33" s="261"/>
      <c r="K33" s="281">
        <v>10</v>
      </c>
      <c r="L33" s="252"/>
      <c r="M33" s="252"/>
      <c r="N33" s="259"/>
      <c r="O33" s="253"/>
      <c r="V33" s="253"/>
      <c r="W33" s="255"/>
      <c r="X33" s="4310" t="s">
        <v>2092</v>
      </c>
      <c r="Y33" s="4310"/>
      <c r="Z33" s="259">
        <v>10</v>
      </c>
      <c r="AA33" s="260" t="str">
        <f>IF(PDs!$R$15&lt;Metamagia!AC30,"Nv "&amp;Metamagia!AC30,"")</f>
        <v>Nv 9</v>
      </c>
      <c r="AB33" s="261"/>
      <c r="AC33" s="281">
        <v>20</v>
      </c>
      <c r="AD33" s="252"/>
      <c r="AE33" s="252"/>
      <c r="AF33" s="259"/>
      <c r="AG33" s="253"/>
      <c r="AH33" s="274"/>
      <c r="AI33" s="276"/>
      <c r="AJ33" s="173"/>
    </row>
    <row r="34" spans="1:36" ht="12" customHeight="1" x14ac:dyDescent="0.2">
      <c r="A34" s="1485"/>
      <c r="B34" s="245"/>
      <c r="C34" s="253"/>
      <c r="D34" s="277"/>
      <c r="E34" s="275"/>
      <c r="F34" s="4310"/>
      <c r="G34" s="4310"/>
      <c r="H34" s="266"/>
      <c r="I34" s="264">
        <f>IF(J33&gt;0,1,0)</f>
        <v>0</v>
      </c>
      <c r="J34" s="252"/>
      <c r="K34" s="259"/>
      <c r="L34" s="253"/>
      <c r="M34" s="253"/>
      <c r="N34" s="275"/>
      <c r="O34" s="253"/>
      <c r="V34" s="253"/>
      <c r="W34" s="253"/>
      <c r="X34" s="4310"/>
      <c r="Y34" s="4310"/>
      <c r="Z34" s="266"/>
      <c r="AA34" s="271">
        <f>IF(AB33&gt;0,1,0)</f>
        <v>0</v>
      </c>
      <c r="AB34" s="243"/>
      <c r="AC34" s="259"/>
      <c r="AD34" s="253"/>
      <c r="AE34" s="253"/>
      <c r="AF34" s="275"/>
      <c r="AG34" s="253"/>
      <c r="AH34" s="277"/>
      <c r="AI34" s="276"/>
      <c r="AJ34" s="173"/>
    </row>
    <row r="35" spans="1:36" ht="12" customHeight="1" x14ac:dyDescent="0.2">
      <c r="A35" s="1485"/>
      <c r="B35" s="245"/>
      <c r="C35" s="4310" t="s">
        <v>2078</v>
      </c>
      <c r="D35" s="4310"/>
      <c r="E35" s="259">
        <v>5</v>
      </c>
      <c r="F35" s="4310"/>
      <c r="G35" s="4310"/>
      <c r="H35" s="259"/>
      <c r="I35" s="244"/>
      <c r="J35" s="252"/>
      <c r="K35" s="259"/>
      <c r="L35" s="253"/>
      <c r="M35" s="253"/>
      <c r="N35" s="275"/>
      <c r="O35" s="253"/>
      <c r="P35" s="3201" t="s">
        <v>1824</v>
      </c>
      <c r="Q35" s="3201"/>
      <c r="R35" s="3201"/>
      <c r="S35" s="3201"/>
      <c r="T35" s="3201"/>
      <c r="U35" s="3201"/>
      <c r="V35" s="253"/>
      <c r="W35" s="253"/>
      <c r="X35" s="4310"/>
      <c r="Y35" s="4310"/>
      <c r="Z35" s="259"/>
      <c r="AA35" s="252"/>
      <c r="AB35" s="252"/>
      <c r="AC35" s="259"/>
      <c r="AD35" s="253"/>
      <c r="AE35" s="253"/>
      <c r="AF35" s="275"/>
      <c r="AG35" s="4310" t="s">
        <v>2093</v>
      </c>
      <c r="AH35" s="4310"/>
      <c r="AI35" s="272">
        <v>5</v>
      </c>
      <c r="AJ35" s="173"/>
    </row>
    <row r="36" spans="1:36" ht="12" customHeight="1" x14ac:dyDescent="0.2">
      <c r="A36" s="1485"/>
      <c r="B36" s="245"/>
      <c r="C36" s="4310"/>
      <c r="D36" s="4310"/>
      <c r="E36" s="259"/>
      <c r="F36" s="260" t="str">
        <f>IF(PDs!$R$15&lt;Metamagia!H33,"Nv "&amp;Metamagia!H33,"")</f>
        <v>Nv 10</v>
      </c>
      <c r="G36" s="261"/>
      <c r="H36" s="259">
        <v>20</v>
      </c>
      <c r="I36" s="252"/>
      <c r="J36" s="252"/>
      <c r="K36" s="259"/>
      <c r="L36" s="253"/>
      <c r="M36" s="253"/>
      <c r="N36" s="275"/>
      <c r="O36" s="253"/>
      <c r="P36" s="4311" t="s">
        <v>2008</v>
      </c>
      <c r="Q36" s="4311"/>
      <c r="R36" s="4312" t="s">
        <v>2009</v>
      </c>
      <c r="S36" s="4312"/>
      <c r="T36" s="4313" t="s">
        <v>2010</v>
      </c>
      <c r="U36" s="4313"/>
      <c r="V36" s="253"/>
      <c r="W36" s="253"/>
      <c r="X36" s="260" t="str">
        <f>IF(PDs!$R$15&lt;Metamagia!Z33,"Nv "&amp;Metamagia!Z33,"")</f>
        <v>Nv 10</v>
      </c>
      <c r="Y36" s="261"/>
      <c r="Z36" s="259">
        <v>20</v>
      </c>
      <c r="AA36" s="252"/>
      <c r="AB36" s="252"/>
      <c r="AC36" s="259"/>
      <c r="AD36" s="253"/>
      <c r="AE36" s="253"/>
      <c r="AF36" s="275"/>
      <c r="AG36" s="4310"/>
      <c r="AH36" s="4310"/>
      <c r="AI36" s="272"/>
      <c r="AJ36" s="173"/>
    </row>
    <row r="37" spans="1:36" ht="12" customHeight="1" x14ac:dyDescent="0.2">
      <c r="A37" s="1485"/>
      <c r="B37" s="245"/>
      <c r="C37" s="4310"/>
      <c r="D37" s="4310"/>
      <c r="E37" s="259"/>
      <c r="F37" s="278">
        <f>IF(G36&gt;0,1,0)</f>
        <v>0</v>
      </c>
      <c r="G37" s="253"/>
      <c r="H37" s="275"/>
      <c r="I37" s="252"/>
      <c r="J37" s="252"/>
      <c r="K37" s="259"/>
      <c r="L37" s="4310" t="s">
        <v>2094</v>
      </c>
      <c r="M37" s="4310"/>
      <c r="N37" s="259">
        <v>10</v>
      </c>
      <c r="O37" s="253"/>
      <c r="P37" s="4314">
        <f>Místicos!$C$12</f>
        <v>0</v>
      </c>
      <c r="Q37" s="4314"/>
      <c r="R37" s="4315">
        <f>Místicos!$E$12</f>
        <v>0</v>
      </c>
      <c r="S37" s="4315"/>
      <c r="T37" s="4316">
        <f>D23+D31+D38+D45+D53+G14+G23+G29+G36+G47+G53+G62+J13+J18+J23+J28+J33+J43+J48+J53+J58+J63+M14+M23+M29+M40+M47+M53+M62+P23+P53+S18+S23+S28+S48+S53+S58+V23+V53+Y14+Y23+Y29+Y36+Y47+Y53+Y62+AB13+AB18+AB23+AB28+AB33+AB43+AB48+AB53+AB58+AB63+AE14+AE23+AE29+AE40+AE47+AE53+AE62+AH23+AH31+AH38+AH45+AH53</f>
        <v>0</v>
      </c>
      <c r="U37" s="4316"/>
      <c r="V37" s="253"/>
      <c r="W37" s="253"/>
      <c r="X37" s="278">
        <f>IF(Y36&gt;0,1,0)</f>
        <v>0</v>
      </c>
      <c r="Y37" s="253"/>
      <c r="Z37" s="275"/>
      <c r="AA37" s="252"/>
      <c r="AB37" s="252"/>
      <c r="AC37" s="272"/>
      <c r="AD37" s="4310" t="s">
        <v>2095</v>
      </c>
      <c r="AE37" s="4310"/>
      <c r="AF37" s="259">
        <v>10</v>
      </c>
      <c r="AG37" s="4310"/>
      <c r="AH37" s="4310"/>
      <c r="AI37" s="272"/>
      <c r="AJ37" s="173"/>
    </row>
    <row r="38" spans="1:36" ht="12" customHeight="1" x14ac:dyDescent="0.2">
      <c r="A38" s="1485"/>
      <c r="B38" s="245"/>
      <c r="C38" s="260" t="str">
        <f>IF(PDs!$R$15&lt;Metamagia!E35,"Nv "&amp;Metamagia!E35,"")</f>
        <v>Nv 5</v>
      </c>
      <c r="D38" s="261"/>
      <c r="E38" s="259">
        <v>10</v>
      </c>
      <c r="F38" s="253"/>
      <c r="G38" s="253"/>
      <c r="H38" s="275"/>
      <c r="I38" s="252"/>
      <c r="J38" s="285"/>
      <c r="K38" s="286"/>
      <c r="L38" s="4310"/>
      <c r="M38" s="4310"/>
      <c r="N38" s="287"/>
      <c r="O38" s="253"/>
      <c r="P38" s="4314"/>
      <c r="Q38" s="4314"/>
      <c r="R38" s="4315"/>
      <c r="S38" s="4315"/>
      <c r="T38" s="4316"/>
      <c r="U38" s="4316"/>
      <c r="V38" s="253"/>
      <c r="W38" s="255"/>
      <c r="X38" s="253"/>
      <c r="Y38" s="253"/>
      <c r="Z38" s="275"/>
      <c r="AA38" s="252"/>
      <c r="AB38" s="268"/>
      <c r="AC38" s="257"/>
      <c r="AD38" s="4310"/>
      <c r="AE38" s="4310"/>
      <c r="AF38" s="259"/>
      <c r="AG38" s="260" t="str">
        <f>IF(PDs!$R$15&lt;Metamagia!AI35,"Nv "&amp;Metamagia!AI35,"")</f>
        <v>Nv 5</v>
      </c>
      <c r="AH38" s="261"/>
      <c r="AI38" s="272">
        <v>5</v>
      </c>
      <c r="AJ38" s="173"/>
    </row>
    <row r="39" spans="1:36" ht="12" customHeight="1" x14ac:dyDescent="0.2">
      <c r="A39" s="1485"/>
      <c r="B39" s="245"/>
      <c r="C39" s="273">
        <f>IF(D38&gt;0,1,0)</f>
        <v>0</v>
      </c>
      <c r="D39" s="243"/>
      <c r="E39" s="259"/>
      <c r="F39" s="253"/>
      <c r="G39" s="253"/>
      <c r="H39" s="275"/>
      <c r="I39" s="267"/>
      <c r="J39" s="252"/>
      <c r="K39" s="259"/>
      <c r="L39" s="4310"/>
      <c r="M39" s="4310"/>
      <c r="N39" s="259"/>
      <c r="O39" s="253"/>
      <c r="P39" s="253"/>
      <c r="Q39" s="253"/>
      <c r="R39" s="253"/>
      <c r="S39" s="253"/>
      <c r="T39" s="253"/>
      <c r="U39" s="253"/>
      <c r="V39" s="253"/>
      <c r="W39" s="255"/>
      <c r="X39" s="253"/>
      <c r="Y39" s="253"/>
      <c r="Z39" s="275"/>
      <c r="AA39" s="252"/>
      <c r="AB39" s="265"/>
      <c r="AC39" s="272"/>
      <c r="AD39" s="4310"/>
      <c r="AE39" s="4310"/>
      <c r="AF39" s="259"/>
      <c r="AG39" s="219">
        <f>IF(AH38&gt;0,1,0)</f>
        <v>0</v>
      </c>
      <c r="AH39" s="245"/>
      <c r="AI39" s="272"/>
      <c r="AJ39" s="173"/>
    </row>
    <row r="40" spans="1:36" ht="12" customHeight="1" x14ac:dyDescent="0.2">
      <c r="A40" s="1485"/>
      <c r="B40" s="245"/>
      <c r="C40" s="252"/>
      <c r="D40" s="245"/>
      <c r="E40" s="259"/>
      <c r="F40" s="288"/>
      <c r="G40" s="50"/>
      <c r="H40" s="259"/>
      <c r="I40" s="4310" t="s">
        <v>2096</v>
      </c>
      <c r="J40" s="4310"/>
      <c r="K40" s="259">
        <v>7</v>
      </c>
      <c r="L40" s="260" t="str">
        <f>IF(PDs!$R$15&lt;Metamagia!N37,"Nv "&amp;Metamagia!N37,"")</f>
        <v>Nv 10</v>
      </c>
      <c r="M40" s="261"/>
      <c r="N40" s="259">
        <v>20</v>
      </c>
      <c r="O40" s="253"/>
      <c r="P40" s="253"/>
      <c r="Q40" s="253"/>
      <c r="R40" s="253"/>
      <c r="S40" s="253"/>
      <c r="T40" s="253"/>
      <c r="U40" s="253"/>
      <c r="V40" s="253"/>
      <c r="W40" s="255"/>
      <c r="X40" s="253"/>
      <c r="Y40" s="253"/>
      <c r="Z40" s="275"/>
      <c r="AA40" s="4310" t="s">
        <v>2097</v>
      </c>
      <c r="AB40" s="4310"/>
      <c r="AC40" s="259">
        <v>9</v>
      </c>
      <c r="AD40" s="260" t="str">
        <f>IF(PDs!$R$15&lt;Metamagia!AF37,"Nv "&amp;Metamagia!AF37,"")</f>
        <v>Nv 10</v>
      </c>
      <c r="AE40" s="261"/>
      <c r="AF40" s="259">
        <v>20</v>
      </c>
      <c r="AG40" s="252"/>
      <c r="AH40" s="245"/>
      <c r="AI40" s="272"/>
      <c r="AJ40" s="173"/>
    </row>
    <row r="41" spans="1:36" ht="12" customHeight="1" x14ac:dyDescent="0.2">
      <c r="A41" s="1485"/>
      <c r="B41" s="245"/>
      <c r="C41" s="253"/>
      <c r="D41" s="277"/>
      <c r="E41" s="275"/>
      <c r="F41" s="288"/>
      <c r="G41" s="50"/>
      <c r="H41" s="259"/>
      <c r="I41" s="4310"/>
      <c r="J41" s="4310"/>
      <c r="K41" s="259"/>
      <c r="L41" s="219">
        <f>IF(M40&gt;0,1,0)</f>
        <v>0</v>
      </c>
      <c r="M41" s="252"/>
      <c r="N41" s="259"/>
      <c r="O41" s="253"/>
      <c r="V41" s="253"/>
      <c r="W41" s="255"/>
      <c r="X41" s="288"/>
      <c r="Y41" s="50"/>
      <c r="Z41" s="259"/>
      <c r="AA41" s="4310"/>
      <c r="AB41" s="4310"/>
      <c r="AC41" s="259"/>
      <c r="AD41" s="219">
        <f>IF(AE40&gt;0,1,0)</f>
        <v>0</v>
      </c>
      <c r="AE41" s="252"/>
      <c r="AF41" s="259"/>
      <c r="AG41" s="253"/>
      <c r="AH41" s="277"/>
      <c r="AI41" s="276"/>
      <c r="AJ41" s="173"/>
    </row>
    <row r="42" spans="1:36" ht="12" customHeight="1" x14ac:dyDescent="0.2">
      <c r="A42" s="1485"/>
      <c r="B42" s="245"/>
      <c r="C42" s="4310" t="s">
        <v>2098</v>
      </c>
      <c r="D42" s="4310"/>
      <c r="E42" s="289">
        <v>2</v>
      </c>
      <c r="F42" s="50"/>
      <c r="G42" s="243"/>
      <c r="H42" s="290"/>
      <c r="I42" s="4310"/>
      <c r="J42" s="4310"/>
      <c r="K42" s="291"/>
      <c r="L42" s="292"/>
      <c r="M42" s="252"/>
      <c r="N42" s="259"/>
      <c r="O42" s="253"/>
      <c r="V42" s="253"/>
      <c r="W42" s="255"/>
      <c r="X42" s="50"/>
      <c r="Y42" s="243"/>
      <c r="Z42" s="290"/>
      <c r="AA42" s="4310"/>
      <c r="AB42" s="4310"/>
      <c r="AC42" s="293"/>
      <c r="AD42" s="292"/>
      <c r="AE42" s="252"/>
      <c r="AF42" s="259"/>
      <c r="AG42" s="4310" t="s">
        <v>2099</v>
      </c>
      <c r="AH42" s="4310"/>
      <c r="AI42" s="272">
        <v>3</v>
      </c>
      <c r="AJ42" s="173"/>
    </row>
    <row r="43" spans="1:36" ht="12" customHeight="1" x14ac:dyDescent="0.2">
      <c r="A43" s="1485"/>
      <c r="B43" s="245"/>
      <c r="C43" s="4310"/>
      <c r="D43" s="4310"/>
      <c r="E43" s="259"/>
      <c r="F43" s="252"/>
      <c r="G43" s="245"/>
      <c r="H43" s="272"/>
      <c r="I43" s="260" t="str">
        <f>IF(PDs!$R$15&lt;Metamagia!K40,"Nv "&amp;Metamagia!K40,"")</f>
        <v>Nv 7</v>
      </c>
      <c r="J43" s="261"/>
      <c r="K43" s="287">
        <v>20</v>
      </c>
      <c r="L43" s="270"/>
      <c r="M43" s="252"/>
      <c r="N43" s="259"/>
      <c r="O43" s="253"/>
      <c r="V43" s="253"/>
      <c r="W43" s="255"/>
      <c r="X43" s="252"/>
      <c r="Y43" s="245"/>
      <c r="Z43" s="272"/>
      <c r="AA43" s="260" t="str">
        <f>IF(PDs!$R$15&lt;Metamagia!AC40,"Nv "&amp;Metamagia!AC40,"")</f>
        <v>Nv 9</v>
      </c>
      <c r="AB43" s="261"/>
      <c r="AC43" s="287">
        <v>20</v>
      </c>
      <c r="AD43" s="270"/>
      <c r="AE43" s="252"/>
      <c r="AF43" s="259"/>
      <c r="AG43" s="4310"/>
      <c r="AH43" s="4310"/>
      <c r="AI43" s="272"/>
      <c r="AJ43" s="173"/>
    </row>
    <row r="44" spans="1:36" ht="12" customHeight="1" x14ac:dyDescent="0.2">
      <c r="A44" s="1485"/>
      <c r="B44" s="245"/>
      <c r="C44" s="4310"/>
      <c r="D44" s="4310"/>
      <c r="E44" s="259"/>
      <c r="F44" s="4310" t="s">
        <v>2100</v>
      </c>
      <c r="G44" s="4310"/>
      <c r="H44" s="259">
        <v>6</v>
      </c>
      <c r="I44" s="219">
        <f>IF(J43&gt;0,1,0)</f>
        <v>0</v>
      </c>
      <c r="J44" s="252"/>
      <c r="K44" s="259"/>
      <c r="L44" s="4310" t="s">
        <v>2101</v>
      </c>
      <c r="M44" s="4310"/>
      <c r="N44" s="259">
        <v>9</v>
      </c>
      <c r="O44" s="252"/>
      <c r="V44" s="67"/>
      <c r="W44" s="255"/>
      <c r="X44" s="4310" t="s">
        <v>2102</v>
      </c>
      <c r="Y44" s="4310"/>
      <c r="Z44" s="259">
        <v>8</v>
      </c>
      <c r="AA44" s="219">
        <f>IF(AB43&gt;0,1,0)</f>
        <v>0</v>
      </c>
      <c r="AB44" s="252"/>
      <c r="AC44" s="259"/>
      <c r="AD44" s="4310" t="s">
        <v>2099</v>
      </c>
      <c r="AE44" s="4310"/>
      <c r="AF44" s="259">
        <v>10</v>
      </c>
      <c r="AG44" s="4310"/>
      <c r="AH44" s="4310"/>
      <c r="AI44" s="272"/>
      <c r="AJ44" s="173"/>
    </row>
    <row r="45" spans="1:36" ht="12" customHeight="1" x14ac:dyDescent="0.2">
      <c r="A45" s="1485"/>
      <c r="B45" s="245"/>
      <c r="C45" s="260" t="str">
        <f>IF(PDs!$R$15&lt;Metamagia!E42,"Nv "&amp;Metamagia!E42,"")</f>
        <v>Nv 2</v>
      </c>
      <c r="D45" s="261"/>
      <c r="E45" s="259">
        <v>5</v>
      </c>
      <c r="F45" s="4310"/>
      <c r="G45" s="4310"/>
      <c r="H45" s="259"/>
      <c r="I45" s="4310" t="s">
        <v>2101</v>
      </c>
      <c r="J45" s="4310"/>
      <c r="K45" s="259">
        <v>6</v>
      </c>
      <c r="L45" s="4310"/>
      <c r="M45" s="4310"/>
      <c r="N45" s="259"/>
      <c r="O45" s="252"/>
      <c r="P45" s="252"/>
      <c r="Q45" s="254"/>
      <c r="R45" s="4310" t="s">
        <v>2098</v>
      </c>
      <c r="S45" s="4310"/>
      <c r="T45" s="259">
        <v>2</v>
      </c>
      <c r="U45" s="67"/>
      <c r="V45" s="67"/>
      <c r="W45" s="255"/>
      <c r="X45" s="4310"/>
      <c r="Y45" s="4310"/>
      <c r="Z45" s="259"/>
      <c r="AA45" s="4310" t="s">
        <v>2103</v>
      </c>
      <c r="AB45" s="4310"/>
      <c r="AC45" s="259">
        <v>6</v>
      </c>
      <c r="AD45" s="4310"/>
      <c r="AE45" s="4310"/>
      <c r="AF45" s="259"/>
      <c r="AG45" s="260" t="str">
        <f>IF(PDs!$R$15&lt;Metamagia!AI42,"Nv "&amp;Metamagia!AI42,"")</f>
        <v>Nv 3</v>
      </c>
      <c r="AH45" s="261"/>
      <c r="AI45" s="272">
        <v>5</v>
      </c>
      <c r="AJ45" s="173"/>
    </row>
    <row r="46" spans="1:36" ht="12" customHeight="1" x14ac:dyDescent="0.2">
      <c r="A46" s="1485"/>
      <c r="B46" s="245"/>
      <c r="C46" s="264">
        <f>IF(D45&gt;0,1,0)</f>
        <v>0</v>
      </c>
      <c r="D46" s="252"/>
      <c r="E46" s="259"/>
      <c r="F46" s="4310"/>
      <c r="G46" s="4310"/>
      <c r="H46" s="259"/>
      <c r="I46" s="4310"/>
      <c r="J46" s="4310"/>
      <c r="K46" s="259"/>
      <c r="L46" s="4310"/>
      <c r="M46" s="4310"/>
      <c r="N46" s="259"/>
      <c r="O46" s="252"/>
      <c r="P46" s="268"/>
      <c r="Q46" s="269"/>
      <c r="R46" s="4310"/>
      <c r="S46" s="4310"/>
      <c r="T46" s="259"/>
      <c r="U46" s="67"/>
      <c r="V46" s="67"/>
      <c r="W46" s="255"/>
      <c r="X46" s="4310"/>
      <c r="Y46" s="4310"/>
      <c r="Z46" s="259"/>
      <c r="AA46" s="4310"/>
      <c r="AB46" s="4310"/>
      <c r="AC46" s="259"/>
      <c r="AD46" s="4310"/>
      <c r="AE46" s="4310"/>
      <c r="AF46" s="259"/>
      <c r="AG46" s="273">
        <f>IF(AH45&gt;0,1,0)</f>
        <v>0</v>
      </c>
      <c r="AH46" s="243"/>
      <c r="AI46" s="272"/>
      <c r="AJ46" s="173"/>
    </row>
    <row r="47" spans="1:36" ht="12" customHeight="1" x14ac:dyDescent="0.2">
      <c r="A47" s="1485"/>
      <c r="B47" s="245"/>
      <c r="C47" s="270"/>
      <c r="D47" s="252"/>
      <c r="E47" s="259"/>
      <c r="F47" s="260" t="str">
        <f>IF(PDs!$R$15&lt;Metamagia!H44,"Nv "&amp;Metamagia!H44,"")</f>
        <v>Nv 6</v>
      </c>
      <c r="G47" s="261"/>
      <c r="H47" s="259">
        <v>10</v>
      </c>
      <c r="I47" s="4310"/>
      <c r="J47" s="4310"/>
      <c r="K47" s="259"/>
      <c r="L47" s="260" t="str">
        <f>IF(PDs!$R$15&lt;Metamagia!N44,"Nv "&amp;Metamagia!N44,"")</f>
        <v>Nv 9</v>
      </c>
      <c r="M47" s="261"/>
      <c r="N47" s="259">
        <v>25</v>
      </c>
      <c r="O47" s="270"/>
      <c r="P47" s="252"/>
      <c r="Q47" s="254"/>
      <c r="R47" s="4310"/>
      <c r="S47" s="4310"/>
      <c r="T47" s="259"/>
      <c r="U47" s="67"/>
      <c r="V47" s="67"/>
      <c r="W47" s="294"/>
      <c r="X47" s="260" t="str">
        <f>IF(PDs!$R$15&lt;Metamagia!Z44,"Nv "&amp;Metamagia!Z44,"")</f>
        <v>Nv 8</v>
      </c>
      <c r="Y47" s="261"/>
      <c r="Z47" s="259">
        <v>5</v>
      </c>
      <c r="AA47" s="4310"/>
      <c r="AB47" s="4310"/>
      <c r="AC47" s="259"/>
      <c r="AD47" s="260" t="str">
        <f>IF(PDs!$R$15&lt;Metamagia!AF44,"Nv "&amp;Metamagia!AF44,"")</f>
        <v>Nv 10</v>
      </c>
      <c r="AE47" s="261"/>
      <c r="AF47" s="259">
        <v>5</v>
      </c>
      <c r="AG47" s="252"/>
      <c r="AH47" s="245"/>
      <c r="AI47" s="272"/>
      <c r="AJ47" s="173"/>
    </row>
    <row r="48" spans="1:36" ht="12" customHeight="1" x14ac:dyDescent="0.2">
      <c r="A48" s="1485"/>
      <c r="B48" s="245"/>
      <c r="C48" s="270"/>
      <c r="D48" s="252"/>
      <c r="E48" s="259"/>
      <c r="F48" s="264">
        <f>IF(G47&gt;0,1,0)</f>
        <v>0</v>
      </c>
      <c r="G48" s="252"/>
      <c r="H48" s="259"/>
      <c r="I48" s="260" t="str">
        <f>IF(PDs!$R$15&lt;Metamagia!K45,"Nv "&amp;Metamagia!K45,"")</f>
        <v>Nv 6</v>
      </c>
      <c r="J48" s="261"/>
      <c r="K48" s="259">
        <v>15</v>
      </c>
      <c r="L48" s="219">
        <f>IF(M47&gt;0,1,0)</f>
        <v>0</v>
      </c>
      <c r="M48" s="243"/>
      <c r="N48" s="259"/>
      <c r="O48" s="270"/>
      <c r="P48" s="252"/>
      <c r="Q48" s="254"/>
      <c r="R48" s="260" t="str">
        <f>IF(PDs!$R$15&lt;Metamagia!T45,"Nv "&amp;Metamagia!T45,"")</f>
        <v>Nv 2</v>
      </c>
      <c r="S48" s="261"/>
      <c r="T48" s="259">
        <v>5</v>
      </c>
      <c r="U48" s="67"/>
      <c r="V48" s="67"/>
      <c r="W48" s="255"/>
      <c r="X48" s="264">
        <f>IF(Y47&gt;0,1,0)</f>
        <v>0</v>
      </c>
      <c r="Y48" s="252"/>
      <c r="Z48" s="259"/>
      <c r="AA48" s="260" t="str">
        <f>IF(PDs!$R$15&lt;Metamagia!AC45,"Nv "&amp;Metamagia!AC45,"")</f>
        <v>Nv 6</v>
      </c>
      <c r="AB48" s="261"/>
      <c r="AC48" s="259">
        <v>5</v>
      </c>
      <c r="AD48" s="219">
        <f>IF(AE47&gt;0,1,0)</f>
        <v>0</v>
      </c>
      <c r="AE48" s="243"/>
      <c r="AF48" s="259"/>
      <c r="AG48" s="252"/>
      <c r="AH48" s="245"/>
      <c r="AI48" s="272"/>
      <c r="AJ48" s="173"/>
    </row>
    <row r="49" spans="1:36" ht="12" customHeight="1" x14ac:dyDescent="0.2">
      <c r="A49" s="1485"/>
      <c r="B49" s="245"/>
      <c r="C49" s="267"/>
      <c r="D49" s="252"/>
      <c r="E49" s="259"/>
      <c r="F49" s="267"/>
      <c r="G49" s="252"/>
      <c r="H49" s="259"/>
      <c r="I49" s="271">
        <f>IF(J48&gt;0,1,0)</f>
        <v>0</v>
      </c>
      <c r="J49" s="252"/>
      <c r="K49" s="259"/>
      <c r="L49" s="252"/>
      <c r="M49" s="265"/>
      <c r="N49" s="259"/>
      <c r="O49" s="267"/>
      <c r="P49" s="252"/>
      <c r="Q49" s="254"/>
      <c r="R49" s="271">
        <f>IF(S48&gt;0,1,0)</f>
        <v>0</v>
      </c>
      <c r="S49" s="252"/>
      <c r="T49" s="259"/>
      <c r="U49" s="67"/>
      <c r="V49" s="67"/>
      <c r="W49" s="259"/>
      <c r="X49" s="267"/>
      <c r="Y49" s="252"/>
      <c r="Z49" s="259"/>
      <c r="AA49" s="271">
        <f>IF(AB48&gt;0,1,0)</f>
        <v>0</v>
      </c>
      <c r="AB49" s="252"/>
      <c r="AC49" s="259"/>
      <c r="AD49" s="252"/>
      <c r="AE49" s="265"/>
      <c r="AF49" s="259"/>
      <c r="AG49" s="268"/>
      <c r="AH49" s="265"/>
      <c r="AI49" s="272"/>
      <c r="AJ49" s="173"/>
    </row>
    <row r="50" spans="1:36" ht="12" customHeight="1" x14ac:dyDescent="0.2">
      <c r="A50" s="1485"/>
      <c r="B50" s="245"/>
      <c r="C50" s="4310" t="s">
        <v>2104</v>
      </c>
      <c r="D50" s="4310"/>
      <c r="E50" s="259"/>
      <c r="F50" s="4310" t="s">
        <v>2105</v>
      </c>
      <c r="G50" s="4310"/>
      <c r="H50" s="259">
        <v>3</v>
      </c>
      <c r="I50" s="4310" t="s">
        <v>2106</v>
      </c>
      <c r="J50" s="4310"/>
      <c r="K50" s="259">
        <v>3</v>
      </c>
      <c r="L50" s="4310" t="s">
        <v>2107</v>
      </c>
      <c r="M50" s="4310"/>
      <c r="N50" s="259">
        <v>3</v>
      </c>
      <c r="O50" s="4310" t="s">
        <v>2108</v>
      </c>
      <c r="P50" s="4310"/>
      <c r="Q50" s="254"/>
      <c r="R50" s="4310" t="s">
        <v>2099</v>
      </c>
      <c r="S50" s="4310"/>
      <c r="T50" s="259">
        <v>5</v>
      </c>
      <c r="U50" s="4310" t="s">
        <v>2099</v>
      </c>
      <c r="V50" s="4310"/>
      <c r="W50" s="259">
        <v>4</v>
      </c>
      <c r="X50" s="4310" t="s">
        <v>2109</v>
      </c>
      <c r="Y50" s="4310"/>
      <c r="Z50" s="259">
        <v>3</v>
      </c>
      <c r="AA50" s="4310" t="s">
        <v>2099</v>
      </c>
      <c r="AB50" s="4310"/>
      <c r="AC50" s="259">
        <v>6</v>
      </c>
      <c r="AD50" s="4310" t="s">
        <v>2110</v>
      </c>
      <c r="AE50" s="4310"/>
      <c r="AF50" s="259">
        <v>3</v>
      </c>
      <c r="AG50" s="4310" t="s">
        <v>2111</v>
      </c>
      <c r="AH50" s="4310"/>
      <c r="AI50" s="272">
        <v>3</v>
      </c>
      <c r="AJ50" s="173"/>
    </row>
    <row r="51" spans="1:36" ht="12" customHeight="1" x14ac:dyDescent="0.2">
      <c r="A51" s="1485"/>
      <c r="B51" s="245"/>
      <c r="C51" s="4310"/>
      <c r="D51" s="4310"/>
      <c r="E51" s="256"/>
      <c r="F51" s="4310"/>
      <c r="G51" s="4310"/>
      <c r="H51" s="256"/>
      <c r="I51" s="4310"/>
      <c r="J51" s="4310"/>
      <c r="K51" s="256"/>
      <c r="L51" s="4310"/>
      <c r="M51" s="4310"/>
      <c r="N51" s="256"/>
      <c r="O51" s="4310"/>
      <c r="P51" s="4310"/>
      <c r="Q51" s="254"/>
      <c r="R51" s="4310"/>
      <c r="S51" s="4310"/>
      <c r="T51" s="259"/>
      <c r="U51" s="4310"/>
      <c r="V51" s="4310"/>
      <c r="W51" s="256"/>
      <c r="X51" s="4310"/>
      <c r="Y51" s="4310"/>
      <c r="Z51" s="256"/>
      <c r="AA51" s="4310"/>
      <c r="AB51" s="4310"/>
      <c r="AC51" s="256"/>
      <c r="AD51" s="4310"/>
      <c r="AE51" s="4310"/>
      <c r="AF51" s="256"/>
      <c r="AG51" s="4310"/>
      <c r="AH51" s="4310"/>
      <c r="AI51" s="272"/>
      <c r="AJ51" s="173"/>
    </row>
    <row r="52" spans="1:36" ht="12" customHeight="1" x14ac:dyDescent="0.2">
      <c r="A52" s="1485"/>
      <c r="B52" s="245"/>
      <c r="C52" s="4310"/>
      <c r="D52" s="4310"/>
      <c r="E52" s="259"/>
      <c r="F52" s="4310"/>
      <c r="G52" s="4310"/>
      <c r="H52" s="259"/>
      <c r="I52" s="4310"/>
      <c r="J52" s="4310"/>
      <c r="K52" s="259"/>
      <c r="L52" s="4310"/>
      <c r="M52" s="4310"/>
      <c r="N52" s="259"/>
      <c r="O52" s="4310"/>
      <c r="P52" s="4310"/>
      <c r="Q52" s="254"/>
      <c r="R52" s="4310"/>
      <c r="S52" s="4310"/>
      <c r="T52" s="259"/>
      <c r="U52" s="4310"/>
      <c r="V52" s="4310"/>
      <c r="W52" s="259"/>
      <c r="X52" s="4310"/>
      <c r="Y52" s="4310"/>
      <c r="Z52" s="259"/>
      <c r="AA52" s="4310"/>
      <c r="AB52" s="4310"/>
      <c r="AC52" s="259"/>
      <c r="AD52" s="4310"/>
      <c r="AE52" s="4310"/>
      <c r="AF52" s="259"/>
      <c r="AG52" s="4310"/>
      <c r="AH52" s="4310"/>
      <c r="AI52" s="272"/>
      <c r="AJ52" s="173"/>
    </row>
    <row r="53" spans="1:36" ht="12" customHeight="1" x14ac:dyDescent="0.2">
      <c r="A53" s="1485"/>
      <c r="B53" s="245"/>
      <c r="C53" s="260" t="str">
        <f>IF(PDs!$R$15&lt;Metamagia!E50,"Nv "&amp;Metamagia!E50,"")</f>
        <v/>
      </c>
      <c r="D53" s="261"/>
      <c r="E53" s="259">
        <v>5</v>
      </c>
      <c r="F53" s="260" t="str">
        <f>IF(PDs!$R$15&lt;Metamagia!H50,"Nv "&amp;Metamagia!H50,"")</f>
        <v>Nv 3</v>
      </c>
      <c r="G53" s="261"/>
      <c r="H53" s="259">
        <v>10</v>
      </c>
      <c r="I53" s="260" t="str">
        <f>IF(PDs!$R$15&lt;Metamagia!K50,"Nv "&amp;Metamagia!K50,"")</f>
        <v>Nv 3</v>
      </c>
      <c r="J53" s="261"/>
      <c r="K53" s="259">
        <v>5</v>
      </c>
      <c r="L53" s="260" t="str">
        <f>IF(PDs!$R$15&lt;Metamagia!N50,"Nv "&amp;Metamagia!N50,"")</f>
        <v>Nv 3</v>
      </c>
      <c r="M53" s="261"/>
      <c r="N53" s="259">
        <v>10</v>
      </c>
      <c r="O53" s="260" t="str">
        <f>IF(PDs!$R$15&lt;Metamagia!Q50,"Nv "&amp;Metamagia!Q50,"")</f>
        <v/>
      </c>
      <c r="P53" s="261"/>
      <c r="Q53" s="259">
        <v>5</v>
      </c>
      <c r="R53" s="260" t="str">
        <f>IF(PDs!$R$15&lt;Metamagia!T50,"Nv "&amp;Metamagia!T50,"")</f>
        <v>Nv 5</v>
      </c>
      <c r="S53" s="261"/>
      <c r="T53" s="259">
        <v>5</v>
      </c>
      <c r="U53" s="260" t="str">
        <f>IF(PDs!$R$15&lt;Metamagia!W50,"Nv "&amp;Metamagia!W50,"")</f>
        <v>Nv 4</v>
      </c>
      <c r="V53" s="261"/>
      <c r="W53" s="259">
        <v>5</v>
      </c>
      <c r="X53" s="260" t="str">
        <f>IF(PDs!$R$15&lt;Metamagia!Z50,"Nv "&amp;Metamagia!Z50,"")</f>
        <v>Nv 3</v>
      </c>
      <c r="Y53" s="261"/>
      <c r="Z53" s="259">
        <v>5</v>
      </c>
      <c r="AA53" s="260" t="str">
        <f>IF(PDs!$R$15&lt;Metamagia!AC50,"Nv "&amp;Metamagia!AC50,"")</f>
        <v>Nv 6</v>
      </c>
      <c r="AB53" s="261"/>
      <c r="AC53" s="259">
        <v>5</v>
      </c>
      <c r="AD53" s="260" t="str">
        <f>IF(PDs!$R$15&lt;Metamagia!AF50,"Nv "&amp;Metamagia!AF50,"")</f>
        <v>Nv 3</v>
      </c>
      <c r="AE53" s="261"/>
      <c r="AF53" s="259">
        <v>5</v>
      </c>
      <c r="AG53" s="260" t="str">
        <f>IF(PDs!$R$15&lt;Metamagia!AI50,"Nv "&amp;Metamagia!AI50,"")</f>
        <v>Nv 3</v>
      </c>
      <c r="AH53" s="261"/>
      <c r="AI53" s="272">
        <v>5</v>
      </c>
      <c r="AJ53" s="173"/>
    </row>
    <row r="54" spans="1:36" ht="12" customHeight="1" x14ac:dyDescent="0.2">
      <c r="A54" s="1485"/>
      <c r="B54" s="245"/>
      <c r="C54" s="219">
        <f>IF(D53&gt;0,1,0)</f>
        <v>0</v>
      </c>
      <c r="D54" s="252"/>
      <c r="E54" s="259"/>
      <c r="F54" s="264">
        <f>IF(G53&gt;0,1,0)</f>
        <v>0</v>
      </c>
      <c r="G54" s="252"/>
      <c r="H54" s="259"/>
      <c r="I54" s="219">
        <f>IF(J53&gt;0,1,0)</f>
        <v>0</v>
      </c>
      <c r="J54" s="252"/>
      <c r="K54" s="259"/>
      <c r="L54" s="219">
        <f>IF(M53&gt;0,1,0)</f>
        <v>0</v>
      </c>
      <c r="M54" s="243"/>
      <c r="N54" s="259"/>
      <c r="O54" s="219">
        <f>IF(P53&gt;0,1,0)</f>
        <v>0</v>
      </c>
      <c r="P54" s="252"/>
      <c r="Q54" s="254"/>
      <c r="R54" s="271">
        <f>IF(S53&gt;0,1,0)</f>
        <v>0</v>
      </c>
      <c r="S54" s="252"/>
      <c r="T54" s="259"/>
      <c r="U54" s="264">
        <f>IF(V53&gt;0,1,0)</f>
        <v>0</v>
      </c>
      <c r="V54" s="67"/>
      <c r="W54" s="255"/>
      <c r="X54" s="264">
        <f>IF(Y53&gt;0,1,0)</f>
        <v>0</v>
      </c>
      <c r="Y54" s="252"/>
      <c r="Z54" s="259"/>
      <c r="AA54" s="219">
        <f>IF(AB53&gt;0,1,0)</f>
        <v>0</v>
      </c>
      <c r="AB54" s="252"/>
      <c r="AC54" s="259"/>
      <c r="AD54" s="219">
        <f>IF(AE53&gt;0,1,0)</f>
        <v>0</v>
      </c>
      <c r="AE54" s="243"/>
      <c r="AF54" s="259"/>
      <c r="AG54" s="219">
        <f>IF(AH53&gt;0,1,0)</f>
        <v>0</v>
      </c>
      <c r="AH54" s="67"/>
      <c r="AI54" s="295"/>
      <c r="AJ54" s="173"/>
    </row>
    <row r="55" spans="1:36" ht="12" customHeight="1" x14ac:dyDescent="0.2">
      <c r="A55" s="1485"/>
      <c r="B55" s="245"/>
      <c r="C55" s="296"/>
      <c r="D55" s="296"/>
      <c r="E55" s="254"/>
      <c r="F55" s="297"/>
      <c r="G55" s="298"/>
      <c r="H55" s="299"/>
      <c r="I55" s="4310" t="s">
        <v>2112</v>
      </c>
      <c r="J55" s="4310"/>
      <c r="K55" s="259"/>
      <c r="L55" s="252"/>
      <c r="M55" s="245"/>
      <c r="N55" s="259"/>
      <c r="O55" s="252"/>
      <c r="P55" s="252"/>
      <c r="Q55" s="254"/>
      <c r="R55" s="4310" t="s">
        <v>2102</v>
      </c>
      <c r="S55" s="4310"/>
      <c r="T55" s="259">
        <v>5</v>
      </c>
      <c r="U55" s="68"/>
      <c r="V55" s="67"/>
      <c r="W55" s="255"/>
      <c r="X55" s="297"/>
      <c r="Y55" s="298"/>
      <c r="Z55" s="299"/>
      <c r="AA55" s="4310" t="s">
        <v>2099</v>
      </c>
      <c r="AB55" s="4310"/>
      <c r="AC55" s="259"/>
      <c r="AD55" s="252"/>
      <c r="AE55" s="245"/>
      <c r="AF55" s="259"/>
      <c r="AG55" s="67"/>
      <c r="AH55" s="67"/>
      <c r="AI55" s="295"/>
      <c r="AJ55" s="173"/>
    </row>
    <row r="56" spans="1:36" ht="12" customHeight="1" x14ac:dyDescent="0.2">
      <c r="A56" s="1485"/>
      <c r="B56" s="65"/>
      <c r="C56" s="103"/>
      <c r="D56" s="103"/>
      <c r="E56" s="119"/>
      <c r="F56" s="300"/>
      <c r="G56" s="301"/>
      <c r="H56" s="302"/>
      <c r="I56" s="4310"/>
      <c r="J56" s="4310"/>
      <c r="K56" s="266"/>
      <c r="L56" s="180"/>
      <c r="M56" s="65"/>
      <c r="N56" s="259"/>
      <c r="O56" s="252"/>
      <c r="P56" s="252"/>
      <c r="Q56" s="254"/>
      <c r="R56" s="4310"/>
      <c r="S56" s="4310"/>
      <c r="T56" s="266"/>
      <c r="U56" s="180"/>
      <c r="V56" s="67"/>
      <c r="W56" s="255"/>
      <c r="X56" s="300"/>
      <c r="Y56" s="301"/>
      <c r="Z56" s="302"/>
      <c r="AA56" s="4310"/>
      <c r="AB56" s="4310"/>
      <c r="AC56" s="266"/>
      <c r="AD56" s="180"/>
      <c r="AE56" s="65"/>
      <c r="AF56" s="259"/>
      <c r="AG56" s="67"/>
      <c r="AH56" s="67"/>
      <c r="AI56" s="68"/>
      <c r="AJ56" s="173"/>
    </row>
    <row r="57" spans="1:36" ht="12" customHeight="1" x14ac:dyDescent="0.2">
      <c r="A57" s="1485"/>
      <c r="B57" s="65"/>
      <c r="C57" s="103"/>
      <c r="D57" s="103"/>
      <c r="E57" s="119"/>
      <c r="F57" s="303"/>
      <c r="G57" s="304"/>
      <c r="H57" s="259"/>
      <c r="I57" s="4310"/>
      <c r="J57" s="4310"/>
      <c r="K57" s="259"/>
      <c r="L57" s="67"/>
      <c r="M57" s="65"/>
      <c r="N57" s="259"/>
      <c r="O57" s="252"/>
      <c r="P57" s="252"/>
      <c r="Q57" s="254"/>
      <c r="R57" s="4310"/>
      <c r="S57" s="4310"/>
      <c r="T57" s="259"/>
      <c r="U57" s="67"/>
      <c r="V57" s="67"/>
      <c r="W57" s="255"/>
      <c r="X57" s="303"/>
      <c r="Y57" s="304"/>
      <c r="Z57" s="259"/>
      <c r="AA57" s="4310"/>
      <c r="AB57" s="4310"/>
      <c r="AC57" s="259"/>
      <c r="AD57" s="67"/>
      <c r="AE57" s="65"/>
      <c r="AF57" s="259"/>
      <c r="AG57" s="67"/>
      <c r="AH57" s="67"/>
      <c r="AI57" s="68"/>
      <c r="AJ57" s="173"/>
    </row>
    <row r="58" spans="1:36" ht="12" customHeight="1" x14ac:dyDescent="0.2">
      <c r="A58" s="1485"/>
      <c r="B58" s="65"/>
      <c r="C58" s="103"/>
      <c r="D58" s="103"/>
      <c r="E58" s="305"/>
      <c r="F58" s="306"/>
      <c r="G58" s="304"/>
      <c r="H58" s="259"/>
      <c r="I58" s="260" t="str">
        <f>IF(PDs!$R$15&lt;Metamagia!K55,"Nv "&amp;Metamagia!K55,"")</f>
        <v/>
      </c>
      <c r="J58" s="261"/>
      <c r="K58" s="259">
        <v>10</v>
      </c>
      <c r="L58" s="67"/>
      <c r="M58" s="178"/>
      <c r="N58" s="259"/>
      <c r="O58" s="252"/>
      <c r="P58" s="252"/>
      <c r="Q58" s="294"/>
      <c r="R58" s="260" t="str">
        <f>IF(PDs!$R$15&lt;Metamagia!T55,"Nv "&amp;Metamagia!T55,"")</f>
        <v>Nv 5</v>
      </c>
      <c r="S58" s="261"/>
      <c r="T58" s="259">
        <v>5</v>
      </c>
      <c r="U58" s="67"/>
      <c r="V58" s="67"/>
      <c r="W58" s="255"/>
      <c r="X58" s="306"/>
      <c r="Y58" s="304"/>
      <c r="Z58" s="259"/>
      <c r="AA58" s="260" t="str">
        <f>IF(PDs!$R$15&lt;Metamagia!AC55,"Nv "&amp;Metamagia!AC55,"")</f>
        <v/>
      </c>
      <c r="AB58" s="261"/>
      <c r="AC58" s="259">
        <v>5</v>
      </c>
      <c r="AD58" s="67"/>
      <c r="AE58" s="178"/>
      <c r="AF58" s="259"/>
      <c r="AG58" s="67"/>
      <c r="AH58" s="67"/>
      <c r="AI58" s="68"/>
      <c r="AJ58" s="173"/>
    </row>
    <row r="59" spans="1:36" ht="12" customHeight="1" x14ac:dyDescent="0.2">
      <c r="A59" s="1485"/>
      <c r="B59" s="65"/>
      <c r="C59" s="103"/>
      <c r="D59" s="103"/>
      <c r="E59" s="305"/>
      <c r="F59" s="4310" t="s">
        <v>2113</v>
      </c>
      <c r="G59" s="4310"/>
      <c r="H59" s="259"/>
      <c r="I59" s="271">
        <f>IF(J58&gt;0,1,0)</f>
        <v>0</v>
      </c>
      <c r="J59" s="67"/>
      <c r="K59" s="259"/>
      <c r="L59" s="4310" t="s">
        <v>2098</v>
      </c>
      <c r="M59" s="4310"/>
      <c r="N59" s="259"/>
      <c r="O59" s="67"/>
      <c r="P59" s="67"/>
      <c r="Q59" s="255"/>
      <c r="R59" s="219">
        <f>IF(S58&gt;0,1,0)</f>
        <v>0</v>
      </c>
      <c r="S59" s="67"/>
      <c r="T59" s="255"/>
      <c r="U59" s="67"/>
      <c r="V59" s="67"/>
      <c r="W59" s="255"/>
      <c r="X59" s="4310" t="s">
        <v>2102</v>
      </c>
      <c r="Y59" s="4310"/>
      <c r="Z59" s="259"/>
      <c r="AA59" s="271">
        <f>IF(AB58&gt;0,1,0)</f>
        <v>0</v>
      </c>
      <c r="AB59" s="67"/>
      <c r="AC59" s="259"/>
      <c r="AD59" s="4310" t="s">
        <v>2111</v>
      </c>
      <c r="AE59" s="4310"/>
      <c r="AF59" s="259"/>
      <c r="AG59" s="67"/>
      <c r="AH59" s="67"/>
      <c r="AI59" s="68"/>
      <c r="AJ59" s="173"/>
    </row>
    <row r="60" spans="1:36" ht="12" customHeight="1" x14ac:dyDescent="0.2">
      <c r="A60" s="1633"/>
      <c r="B60" s="307"/>
      <c r="C60" s="103"/>
      <c r="D60" s="103"/>
      <c r="E60" s="305"/>
      <c r="F60" s="4310"/>
      <c r="G60" s="4310"/>
      <c r="H60" s="256"/>
      <c r="I60" s="4310" t="s">
        <v>2106</v>
      </c>
      <c r="J60" s="4310"/>
      <c r="K60" s="258"/>
      <c r="L60" s="4310"/>
      <c r="M60" s="4310"/>
      <c r="N60" s="259"/>
      <c r="O60" s="67"/>
      <c r="P60" s="67"/>
      <c r="Q60" s="67"/>
      <c r="R60" s="67"/>
      <c r="S60" s="67"/>
      <c r="T60" s="255"/>
      <c r="U60" s="67"/>
      <c r="V60" s="67"/>
      <c r="W60" s="255"/>
      <c r="X60" s="4310"/>
      <c r="Y60" s="4310"/>
      <c r="Z60" s="256"/>
      <c r="AA60" s="4310" t="s">
        <v>2099</v>
      </c>
      <c r="AB60" s="4310"/>
      <c r="AC60" s="256"/>
      <c r="AD60" s="4310"/>
      <c r="AE60" s="4310"/>
      <c r="AF60" s="259"/>
      <c r="AG60" s="67"/>
      <c r="AH60" s="67"/>
      <c r="AI60" s="68"/>
      <c r="AJ60" s="173"/>
    </row>
    <row r="61" spans="1:36" ht="12" customHeight="1" x14ac:dyDescent="0.2">
      <c r="A61" s="1633"/>
      <c r="B61" s="307"/>
      <c r="C61" s="103"/>
      <c r="D61" s="103"/>
      <c r="E61" s="305"/>
      <c r="F61" s="4310"/>
      <c r="G61" s="4310"/>
      <c r="H61" s="259"/>
      <c r="I61" s="4310"/>
      <c r="J61" s="4310"/>
      <c r="K61" s="255"/>
      <c r="L61" s="4310"/>
      <c r="M61" s="4310"/>
      <c r="N61" s="259"/>
      <c r="O61" s="67"/>
      <c r="P61" s="67"/>
      <c r="Q61" s="67"/>
      <c r="R61" s="67"/>
      <c r="S61" s="67"/>
      <c r="T61" s="255"/>
      <c r="U61" s="67"/>
      <c r="V61" s="67"/>
      <c r="W61" s="255"/>
      <c r="X61" s="4310"/>
      <c r="Y61" s="4310"/>
      <c r="Z61" s="259"/>
      <c r="AA61" s="4310"/>
      <c r="AB61" s="4310"/>
      <c r="AC61" s="259"/>
      <c r="AD61" s="4310"/>
      <c r="AE61" s="4310"/>
      <c r="AF61" s="259"/>
      <c r="AG61" s="67"/>
      <c r="AH61" s="67"/>
      <c r="AI61" s="68"/>
      <c r="AJ61" s="173"/>
    </row>
    <row r="62" spans="1:36" ht="12" customHeight="1" x14ac:dyDescent="0.2">
      <c r="A62" s="1633"/>
      <c r="B62" s="307"/>
      <c r="C62" s="103"/>
      <c r="D62" s="103"/>
      <c r="E62" s="157"/>
      <c r="F62" s="260" t="str">
        <f>IF(PDs!$R$15&lt;Metamagia!H59,"Nv "&amp;Metamagia!H59,"")</f>
        <v/>
      </c>
      <c r="G62" s="261"/>
      <c r="H62" s="259">
        <v>5</v>
      </c>
      <c r="I62" s="4310"/>
      <c r="J62" s="4310"/>
      <c r="K62" s="255"/>
      <c r="L62" s="260" t="str">
        <f>IF(PDs!$R$15&lt;Metamagia!N59,"Nv "&amp;Metamagia!N59,"")</f>
        <v/>
      </c>
      <c r="M62" s="261"/>
      <c r="N62" s="259">
        <v>5</v>
      </c>
      <c r="O62" s="67"/>
      <c r="P62" s="67"/>
      <c r="Q62" s="67"/>
      <c r="R62" s="67"/>
      <c r="S62" s="67"/>
      <c r="T62" s="255"/>
      <c r="U62" s="67"/>
      <c r="V62" s="67"/>
      <c r="W62" s="294"/>
      <c r="X62" s="260" t="str">
        <f>IF(PDs!$R$15&lt;Metamagia!Z59,"Nv "&amp;Metamagia!Z59,"")</f>
        <v/>
      </c>
      <c r="Y62" s="261"/>
      <c r="Z62" s="259">
        <v>5</v>
      </c>
      <c r="AA62" s="4310"/>
      <c r="AB62" s="4310"/>
      <c r="AC62" s="259"/>
      <c r="AD62" s="260" t="str">
        <f>IF(PDs!$R$15&lt;Metamagia!AF59,"Nv "&amp;Metamagia!AF59,"")</f>
        <v/>
      </c>
      <c r="AE62" s="261"/>
      <c r="AF62" s="259">
        <v>5</v>
      </c>
      <c r="AG62" s="67"/>
      <c r="AH62" s="67"/>
      <c r="AI62" s="68"/>
      <c r="AJ62" s="173"/>
    </row>
    <row r="63" spans="1:36" ht="12" customHeight="1" x14ac:dyDescent="0.2">
      <c r="A63" s="1633"/>
      <c r="B63" s="307"/>
      <c r="C63" s="103"/>
      <c r="D63" s="103"/>
      <c r="E63" s="157"/>
      <c r="F63" s="219">
        <f>IF(G62&gt;0,1,0)</f>
        <v>0</v>
      </c>
      <c r="G63" s="304"/>
      <c r="H63" s="255"/>
      <c r="I63" s="260" t="str">
        <f>IF(PDs!$R$15&lt;Metamagia!K60,"Nv "&amp;Metamagia!K60,"")</f>
        <v/>
      </c>
      <c r="J63" s="261"/>
      <c r="K63" s="259">
        <v>5</v>
      </c>
      <c r="L63" s="219">
        <f>IF(M62&gt;0,1,0)</f>
        <v>0</v>
      </c>
      <c r="M63" s="67"/>
      <c r="N63" s="106"/>
      <c r="O63" s="67"/>
      <c r="P63" s="67"/>
      <c r="Q63" s="67"/>
      <c r="R63" s="67"/>
      <c r="S63" s="67"/>
      <c r="T63" s="67"/>
      <c r="U63" s="67"/>
      <c r="V63" s="67"/>
      <c r="W63" s="67"/>
      <c r="X63" s="219">
        <f>IF(Y62&gt;0,1,0)</f>
        <v>0</v>
      </c>
      <c r="Y63" s="304"/>
      <c r="Z63" s="255"/>
      <c r="AA63" s="260" t="str">
        <f>IF(PDs!$R$15&lt;Metamagia!AC60,"Nv "&amp;Metamagia!AC60,"")</f>
        <v/>
      </c>
      <c r="AB63" s="261"/>
      <c r="AC63" s="259">
        <v>5</v>
      </c>
      <c r="AD63" s="219">
        <f>IF(AE62&gt;0,1,0)</f>
        <v>0</v>
      </c>
      <c r="AE63" s="67"/>
      <c r="AF63" s="255"/>
      <c r="AG63" s="67"/>
      <c r="AH63" s="67"/>
      <c r="AI63" s="68"/>
      <c r="AJ63" s="173"/>
    </row>
    <row r="64" spans="1:36" ht="12" customHeight="1" x14ac:dyDescent="0.2">
      <c r="A64" s="1633"/>
      <c r="B64" s="307"/>
      <c r="C64" s="67"/>
      <c r="D64" s="103"/>
      <c r="E64" s="103"/>
      <c r="F64" s="157"/>
      <c r="G64" s="308"/>
      <c r="H64" s="309"/>
      <c r="I64" s="219">
        <f>IF(J63&gt;0,1,0)</f>
        <v>0</v>
      </c>
      <c r="J64" s="67"/>
      <c r="K64" s="255"/>
      <c r="L64" s="67"/>
      <c r="M64" s="67"/>
      <c r="N64" s="67"/>
      <c r="O64" s="67"/>
      <c r="P64" s="67"/>
      <c r="Q64" s="67"/>
      <c r="R64" s="67"/>
      <c r="S64" s="67"/>
      <c r="T64" s="67"/>
      <c r="U64" s="67"/>
      <c r="V64" s="67"/>
      <c r="W64" s="67"/>
      <c r="X64" s="67"/>
      <c r="Y64" s="67"/>
      <c r="Z64" s="255"/>
      <c r="AA64" s="219">
        <f>IF(AB63&gt;0,1,0)</f>
        <v>0</v>
      </c>
      <c r="AB64" s="67"/>
      <c r="AC64" s="67"/>
      <c r="AD64" s="67"/>
      <c r="AE64" s="67"/>
      <c r="AF64" s="67"/>
      <c r="AG64" s="67"/>
      <c r="AH64" s="67"/>
      <c r="AI64" s="68"/>
      <c r="AJ64" s="173"/>
    </row>
    <row r="65" spans="1:36" ht="12" customHeight="1" x14ac:dyDescent="0.2">
      <c r="A65" s="1633"/>
      <c r="B65" s="310"/>
      <c r="C65" s="179"/>
      <c r="D65" s="311"/>
      <c r="E65" s="311"/>
      <c r="F65" s="312"/>
      <c r="G65" s="313"/>
      <c r="H65" s="314"/>
      <c r="I65" s="179"/>
      <c r="J65" s="179"/>
      <c r="K65" s="179"/>
      <c r="L65" s="312"/>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x14ac:dyDescent="0.2">
      <c r="A66" s="1634"/>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37"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636" priority="71" stopIfTrue="1" operator="greaterThan">
      <formula>0</formula>
    </cfRule>
  </conditionalFormatting>
  <conditionalFormatting sqref="F11:G13">
    <cfRule type="expression" dxfId="635" priority="69" stopIfTrue="1">
      <formula>$G$14&gt;0</formula>
    </cfRule>
  </conditionalFormatting>
  <conditionalFormatting sqref="AA60:AB62">
    <cfRule type="expression" dxfId="634" priority="68" stopIfTrue="1">
      <formula>$AB$63&gt;0</formula>
    </cfRule>
  </conditionalFormatting>
  <conditionalFormatting sqref="AD59:AE61">
    <cfRule type="expression" dxfId="633" priority="67" stopIfTrue="1">
      <formula>$AE$62&gt;0</formula>
    </cfRule>
  </conditionalFormatting>
  <conditionalFormatting sqref="X59:Y61">
    <cfRule type="expression" dxfId="632" priority="66" stopIfTrue="1">
      <formula>$Y$62&gt;0</formula>
    </cfRule>
  </conditionalFormatting>
  <conditionalFormatting sqref="AA55:AB57">
    <cfRule type="expression" dxfId="631" priority="65" stopIfTrue="1">
      <formula>$AB$58&gt;0</formula>
    </cfRule>
  </conditionalFormatting>
  <conditionalFormatting sqref="AD50:AE52">
    <cfRule type="expression" dxfId="630" priority="64" stopIfTrue="1">
      <formula>$AE$53&gt;0</formula>
    </cfRule>
  </conditionalFormatting>
  <conditionalFormatting sqref="AG50:AH52">
    <cfRule type="expression" dxfId="629" priority="63" stopIfTrue="1">
      <formula>$AH$53&gt;0</formula>
    </cfRule>
  </conditionalFormatting>
  <conditionalFormatting sqref="AG42:AH44">
    <cfRule type="expression" dxfId="628" priority="62" stopIfTrue="1">
      <formula>$AH$45&gt;0</formula>
    </cfRule>
  </conditionalFormatting>
  <conditionalFormatting sqref="AD44:AE46">
    <cfRule type="expression" dxfId="627" priority="61" stopIfTrue="1">
      <formula>$AE$47&gt;0</formula>
    </cfRule>
  </conditionalFormatting>
  <conditionalFormatting sqref="AA50:AB52">
    <cfRule type="expression" dxfId="626" priority="60" stopIfTrue="1">
      <formula>$AB$53&gt;0</formula>
    </cfRule>
  </conditionalFormatting>
  <conditionalFormatting sqref="X50:Y52">
    <cfRule type="expression" dxfId="625" priority="59" stopIfTrue="1">
      <formula>$Y$53&gt;0</formula>
    </cfRule>
  </conditionalFormatting>
  <conditionalFormatting sqref="AA45:AB47">
    <cfRule type="expression" dxfId="624" priority="58" stopIfTrue="1">
      <formula>$AB$48&gt;0</formula>
    </cfRule>
  </conditionalFormatting>
  <conditionalFormatting sqref="U50:V52">
    <cfRule type="expression" dxfId="623" priority="57" stopIfTrue="1">
      <formula>$V$53&gt;0</formula>
    </cfRule>
  </conditionalFormatting>
  <conditionalFormatting sqref="X44:Y46">
    <cfRule type="expression" dxfId="622" priority="56" stopIfTrue="1">
      <formula>$Y$47&gt;0</formula>
    </cfRule>
  </conditionalFormatting>
  <conditionalFormatting sqref="AA40:AB42">
    <cfRule type="expression" dxfId="621" priority="55" stopIfTrue="1">
      <formula>$AB$43&gt;0</formula>
    </cfRule>
  </conditionalFormatting>
  <conditionalFormatting sqref="AD37:AE39">
    <cfRule type="expression" dxfId="620" priority="54" stopIfTrue="1">
      <formula>$AE$40&gt;0</formula>
    </cfRule>
  </conditionalFormatting>
  <conditionalFormatting sqref="AG35:AH37">
    <cfRule type="expression" dxfId="619" priority="53" stopIfTrue="1">
      <formula>$AH$38&gt;0</formula>
    </cfRule>
  </conditionalFormatting>
  <conditionalFormatting sqref="R45:S47">
    <cfRule type="expression" dxfId="618" priority="52" stopIfTrue="1">
      <formula>$S$48&gt;0</formula>
    </cfRule>
  </conditionalFormatting>
  <conditionalFormatting sqref="R50:S52">
    <cfRule type="expression" dxfId="617" priority="51" stopIfTrue="1">
      <formula>$S$53&gt;0</formula>
    </cfRule>
  </conditionalFormatting>
  <conditionalFormatting sqref="R55:S57">
    <cfRule type="expression" dxfId="616" priority="50" stopIfTrue="1">
      <formula>$S$58&gt;0</formula>
    </cfRule>
  </conditionalFormatting>
  <conditionalFormatting sqref="O50:P52">
    <cfRule type="expression" dxfId="615" priority="49" stopIfTrue="1">
      <formula>$P$53&gt;0</formula>
    </cfRule>
  </conditionalFormatting>
  <conditionalFormatting sqref="L59:M61">
    <cfRule type="expression" dxfId="614" priority="48" stopIfTrue="1">
      <formula>$M$62&gt;0</formula>
    </cfRule>
  </conditionalFormatting>
  <conditionalFormatting sqref="I60:J62">
    <cfRule type="expression" dxfId="613" priority="47" stopIfTrue="1">
      <formula>$J$63&gt;0</formula>
    </cfRule>
  </conditionalFormatting>
  <conditionalFormatting sqref="F59:G61">
    <cfRule type="expression" dxfId="612" priority="46" stopIfTrue="1">
      <formula>$G$62&gt;0</formula>
    </cfRule>
  </conditionalFormatting>
  <conditionalFormatting sqref="I55:J57">
    <cfRule type="expression" dxfId="611" priority="45" stopIfTrue="1">
      <formula>$J$58&gt;0</formula>
    </cfRule>
  </conditionalFormatting>
  <conditionalFormatting sqref="L50:M52">
    <cfRule type="expression" dxfId="610" priority="44" stopIfTrue="1">
      <formula>$M$53&gt;0</formula>
    </cfRule>
  </conditionalFormatting>
  <conditionalFormatting sqref="I50:J52">
    <cfRule type="expression" dxfId="609" priority="43" stopIfTrue="1">
      <formula>$J$53&gt;0</formula>
    </cfRule>
  </conditionalFormatting>
  <conditionalFormatting sqref="F50:G52">
    <cfRule type="expression" dxfId="608" priority="42" stopIfTrue="1">
      <formula>$G$53&gt;0</formula>
    </cfRule>
  </conditionalFormatting>
  <conditionalFormatting sqref="C50:D52">
    <cfRule type="expression" dxfId="607" priority="41" stopIfTrue="1">
      <formula>$D$53&gt;0</formula>
    </cfRule>
  </conditionalFormatting>
  <conditionalFormatting sqref="L44:M46">
    <cfRule type="expression" dxfId="606" priority="40" stopIfTrue="1">
      <formula>$M$47&gt;0</formula>
    </cfRule>
  </conditionalFormatting>
  <conditionalFormatting sqref="I45:J47">
    <cfRule type="expression" dxfId="605" priority="39" stopIfTrue="1">
      <formula>$J$48&gt;0</formula>
    </cfRule>
  </conditionalFormatting>
  <conditionalFormatting sqref="F44:G46">
    <cfRule type="expression" dxfId="604" priority="38" stopIfTrue="1">
      <formula>$G$47&gt;0</formula>
    </cfRule>
  </conditionalFormatting>
  <conditionalFormatting sqref="C42:D44">
    <cfRule type="expression" dxfId="603" priority="34" stopIfTrue="1">
      <formula>$D$45&gt;0</formula>
    </cfRule>
    <cfRule type="expression" dxfId="602" priority="37" stopIfTrue="1">
      <formula>$D$45&gt;0</formula>
    </cfRule>
  </conditionalFormatting>
  <conditionalFormatting sqref="I40:J42">
    <cfRule type="expression" dxfId="601" priority="36" stopIfTrue="1">
      <formula>$J$43&gt;0</formula>
    </cfRule>
  </conditionalFormatting>
  <conditionalFormatting sqref="L37:M39">
    <cfRule type="expression" dxfId="600" priority="35" stopIfTrue="1">
      <formula>$M$40&gt;0</formula>
    </cfRule>
  </conditionalFormatting>
  <conditionalFormatting sqref="C35:D37">
    <cfRule type="expression" dxfId="599" priority="33" stopIfTrue="1">
      <formula>$D$38&gt;0</formula>
    </cfRule>
  </conditionalFormatting>
  <conditionalFormatting sqref="F33:G35">
    <cfRule type="expression" dxfId="598" priority="32" stopIfTrue="1">
      <formula>$G$36&gt;0</formula>
    </cfRule>
  </conditionalFormatting>
  <conditionalFormatting sqref="I30:J32">
    <cfRule type="expression" dxfId="597" priority="31" stopIfTrue="1">
      <formula>$J$33&gt;0</formula>
    </cfRule>
  </conditionalFormatting>
  <conditionalFormatting sqref="C28:D30">
    <cfRule type="expression" dxfId="596" priority="30" stopIfTrue="1">
      <formula>$D$31&gt;0</formula>
    </cfRule>
  </conditionalFormatting>
  <conditionalFormatting sqref="F26:G28">
    <cfRule type="expression" dxfId="595" priority="29" stopIfTrue="1">
      <formula>$G$29&gt;0</formula>
    </cfRule>
  </conditionalFormatting>
  <conditionalFormatting sqref="I25:J27">
    <cfRule type="expression" dxfId="594" priority="28" stopIfTrue="1">
      <formula>$J$28&gt;0</formula>
    </cfRule>
  </conditionalFormatting>
  <conditionalFormatting sqref="L26:M28">
    <cfRule type="expression" dxfId="593" priority="27" stopIfTrue="1">
      <formula>$M$29&gt;0</formula>
    </cfRule>
  </conditionalFormatting>
  <conditionalFormatting sqref="C20:D22">
    <cfRule type="expression" dxfId="592" priority="26" stopIfTrue="1">
      <formula>$D$23&gt;0</formula>
    </cfRule>
  </conditionalFormatting>
  <conditionalFormatting sqref="F20:G22">
    <cfRule type="expression" dxfId="591" priority="25" stopIfTrue="1">
      <formula>$G$23&gt;0</formula>
    </cfRule>
  </conditionalFormatting>
  <conditionalFormatting sqref="I20:J22">
    <cfRule type="expression" dxfId="590" priority="24" stopIfTrue="1">
      <formula>$J$23&gt;0</formula>
    </cfRule>
  </conditionalFormatting>
  <conditionalFormatting sqref="I10:J12">
    <cfRule type="expression" dxfId="589" priority="23" stopIfTrue="1">
      <formula>$J$13&gt;0</formula>
    </cfRule>
  </conditionalFormatting>
  <conditionalFormatting sqref="I15:J17">
    <cfRule type="expression" dxfId="588" priority="22" stopIfTrue="1">
      <formula>$J$18&gt;0</formula>
    </cfRule>
  </conditionalFormatting>
  <conditionalFormatting sqref="L11:M13">
    <cfRule type="expression" dxfId="587" priority="21" stopIfTrue="1">
      <formula>$M$14&gt;0</formula>
    </cfRule>
  </conditionalFormatting>
  <conditionalFormatting sqref="L20:M22">
    <cfRule type="expression" dxfId="586" priority="20" stopIfTrue="1">
      <formula>$M$23&gt;0</formula>
    </cfRule>
  </conditionalFormatting>
  <conditionalFormatting sqref="O20:P22">
    <cfRule type="expression" dxfId="585" priority="19" stopIfTrue="1">
      <formula>$P$23&gt;0</formula>
    </cfRule>
  </conditionalFormatting>
  <conditionalFormatting sqref="R15:S17">
    <cfRule type="expression" dxfId="584" priority="18" stopIfTrue="1">
      <formula>$S$18&gt;0</formula>
    </cfRule>
  </conditionalFormatting>
  <conditionalFormatting sqref="R20:S22">
    <cfRule type="expression" dxfId="583" priority="17" stopIfTrue="1">
      <formula>$S$23&gt;0</formula>
    </cfRule>
  </conditionalFormatting>
  <conditionalFormatting sqref="R25:S27">
    <cfRule type="expression" dxfId="582" priority="16" stopIfTrue="1">
      <formula>$S$28&gt;0</formula>
    </cfRule>
  </conditionalFormatting>
  <conditionalFormatting sqref="U20:V22">
    <cfRule type="expression" dxfId="581" priority="15" stopIfTrue="1">
      <formula>$V$23&gt;0</formula>
    </cfRule>
  </conditionalFormatting>
  <conditionalFormatting sqref="X11:Y13">
    <cfRule type="expression" dxfId="580" priority="14" stopIfTrue="1">
      <formula>$Y$14&gt;0</formula>
    </cfRule>
  </conditionalFormatting>
  <conditionalFormatting sqref="X20:Y22">
    <cfRule type="expression" dxfId="579" priority="13" stopIfTrue="1">
      <formula>$Y$23&gt;0</formula>
    </cfRule>
  </conditionalFormatting>
  <conditionalFormatting sqref="X26:Y28">
    <cfRule type="expression" dxfId="578" priority="12" stopIfTrue="1">
      <formula>$Y$29&gt;0</formula>
    </cfRule>
  </conditionalFormatting>
  <conditionalFormatting sqref="X33:Y35">
    <cfRule type="expression" dxfId="577" priority="11" stopIfTrue="1">
      <formula>$Y$36&gt;0</formula>
    </cfRule>
  </conditionalFormatting>
  <conditionalFormatting sqref="AA10:AB12">
    <cfRule type="expression" dxfId="576" priority="10" stopIfTrue="1">
      <formula>$AB$13&gt;0</formula>
    </cfRule>
  </conditionalFormatting>
  <conditionalFormatting sqref="AA15:AB17">
    <cfRule type="expression" dxfId="575" priority="9" stopIfTrue="1">
      <formula>$AB$18&gt;0</formula>
    </cfRule>
  </conditionalFormatting>
  <conditionalFormatting sqref="AA20:AB22">
    <cfRule type="expression" dxfId="574" priority="8" stopIfTrue="1">
      <formula>$AB$23&gt;0</formula>
    </cfRule>
  </conditionalFormatting>
  <conditionalFormatting sqref="AA25:AB27">
    <cfRule type="expression" dxfId="573" priority="7" stopIfTrue="1">
      <formula>$AB$28&gt;0</formula>
    </cfRule>
  </conditionalFormatting>
  <conditionalFormatting sqref="AA30:AB32">
    <cfRule type="expression" dxfId="572" priority="6" stopIfTrue="1">
      <formula>$AB$33&gt;0</formula>
    </cfRule>
  </conditionalFormatting>
  <conditionalFormatting sqref="AD11:AE13">
    <cfRule type="expression" dxfId="571" priority="5" stopIfTrue="1">
      <formula>$AE$14&gt;0</formula>
    </cfRule>
  </conditionalFormatting>
  <conditionalFormatting sqref="AD20:AE22">
    <cfRule type="expression" dxfId="570" priority="4" stopIfTrue="1">
      <formula>$AE$23&gt;0</formula>
    </cfRule>
  </conditionalFormatting>
  <conditionalFormatting sqref="AD26:AE28">
    <cfRule type="expression" dxfId="569" priority="3" stopIfTrue="1">
      <formula>$AE$29&gt;0</formula>
    </cfRule>
  </conditionalFormatting>
  <conditionalFormatting sqref="AG20:AH22">
    <cfRule type="expression" dxfId="568" priority="2" stopIfTrue="1">
      <formula>$AH$23&gt;0</formula>
    </cfRule>
  </conditionalFormatting>
  <conditionalFormatting sqref="AG28:AH30">
    <cfRule type="expression" dxfId="567"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D5" sqref="D5:E5"/>
    </sheetView>
  </sheetViews>
  <sheetFormatPr defaultColWidth="5.7109375" defaultRowHeight="12.75" x14ac:dyDescent="0.2"/>
  <cols>
    <col min="1" max="1" width="1.7109375" style="607" customWidth="1"/>
    <col min="2" max="2" width="4.28515625" style="607" customWidth="1"/>
    <col min="3" max="3" width="8.140625" style="607" customWidth="1"/>
    <col min="4" max="4" width="8.5703125" style="607" customWidth="1"/>
    <col min="5" max="5" width="6.7109375" style="607" customWidth="1"/>
    <col min="6" max="6" width="6.5703125" style="607" customWidth="1"/>
    <col min="7" max="7" width="6" style="607" customWidth="1"/>
    <col min="8" max="9" width="5.7109375" style="607"/>
    <col min="10" max="10" width="6.5703125" style="607" customWidth="1"/>
    <col min="11" max="18" width="5.7109375" style="607"/>
    <col min="19" max="19" width="6.140625" style="624" customWidth="1"/>
    <col min="20" max="20" width="3.5703125" style="607" customWidth="1"/>
    <col min="21" max="21" width="14.28515625" style="607" customWidth="1"/>
    <col min="22" max="22" width="6.5703125" style="607" customWidth="1"/>
    <col min="23" max="23" width="7.28515625" style="607" customWidth="1"/>
    <col min="24" max="24" width="4.5703125" style="607" customWidth="1"/>
    <col min="25" max="25" width="5.85546875" style="607" customWidth="1"/>
    <col min="26" max="26" width="5.140625" style="607" customWidth="1"/>
    <col min="27" max="27" width="4.42578125" style="664" customWidth="1"/>
    <col min="28" max="28" width="0.7109375" style="607" customWidth="1"/>
    <col min="29" max="29" width="3.85546875" style="1821" customWidth="1"/>
    <col min="30" max="30" width="3.42578125" style="1821" customWidth="1"/>
    <col min="31" max="31" width="5.7109375" style="1821"/>
    <col min="32" max="32" width="7.140625" style="1821" bestFit="1" customWidth="1"/>
    <col min="33" max="33" width="5.7109375" style="1821"/>
    <col min="34" max="34" width="9.140625" style="1821" bestFit="1" customWidth="1"/>
    <col min="35" max="35" width="5.7109375" style="1821"/>
    <col min="36" max="36" width="6" style="1821" bestFit="1" customWidth="1"/>
    <col min="37" max="37" width="5.7109375" style="1821"/>
    <col min="38" max="38" width="5.140625" style="1821" customWidth="1"/>
    <col min="39" max="16384" width="5.7109375" style="607"/>
  </cols>
  <sheetData>
    <row r="1" spans="1:53" ht="12" customHeight="1" thickBot="1" x14ac:dyDescent="0.25">
      <c r="A1" s="603"/>
      <c r="B1" s="604"/>
      <c r="C1" s="604"/>
      <c r="D1" s="604"/>
      <c r="E1" s="604"/>
      <c r="F1" s="604"/>
      <c r="G1" s="604"/>
      <c r="H1" s="604"/>
      <c r="I1" s="604"/>
      <c r="J1" s="604"/>
      <c r="K1" s="604"/>
      <c r="L1" s="604"/>
      <c r="M1" s="604"/>
      <c r="N1" s="604"/>
      <c r="O1" s="604"/>
      <c r="P1" s="604"/>
      <c r="Q1" s="604"/>
      <c r="R1" s="604"/>
      <c r="S1" s="604"/>
      <c r="T1" s="604"/>
      <c r="U1" s="604"/>
      <c r="V1" s="604"/>
      <c r="W1" s="604"/>
      <c r="X1" s="604"/>
      <c r="Y1" s="604"/>
      <c r="Z1" s="604"/>
      <c r="AA1" s="605"/>
      <c r="AB1" s="606"/>
    </row>
    <row r="2" spans="1:53" ht="12" customHeight="1" thickBot="1" x14ac:dyDescent="0.25">
      <c r="A2" s="603"/>
      <c r="B2" s="608"/>
      <c r="C2" s="609"/>
      <c r="D2" s="609"/>
      <c r="E2" s="609"/>
      <c r="F2" s="609"/>
      <c r="G2" s="609"/>
      <c r="H2" s="609"/>
      <c r="I2" s="609"/>
      <c r="J2" s="609"/>
      <c r="K2" s="609"/>
      <c r="L2" s="609"/>
      <c r="M2" s="609"/>
      <c r="N2" s="609"/>
      <c r="O2" s="609"/>
      <c r="P2" s="609"/>
      <c r="Q2" s="609"/>
      <c r="R2" s="609"/>
      <c r="S2" s="609"/>
      <c r="T2" s="609"/>
      <c r="U2" s="610"/>
      <c r="V2" s="609"/>
      <c r="W2" s="609"/>
      <c r="X2" s="609"/>
      <c r="Y2" s="609"/>
      <c r="Z2" s="609"/>
      <c r="AA2" s="611"/>
      <c r="AB2" s="606"/>
    </row>
    <row r="3" spans="1:53" ht="12" customHeight="1" thickBot="1" x14ac:dyDescent="0.25">
      <c r="A3" s="603"/>
      <c r="B3" s="612"/>
      <c r="C3" s="613"/>
      <c r="D3" s="614"/>
      <c r="E3" s="614"/>
      <c r="F3" s="614"/>
      <c r="G3" s="614"/>
      <c r="H3" s="614"/>
      <c r="I3" s="614"/>
      <c r="J3" s="614"/>
      <c r="K3" s="614"/>
      <c r="L3" s="4317" t="str">
        <f>"Sheele ("&amp;VLOOKUP(Sheele!D5,'Tablas Sheele'!C5:G12,5,FALSE)&amp;")"</f>
        <v>Sheele (Haley)</v>
      </c>
      <c r="M3" s="4317"/>
      <c r="N3" s="4317"/>
      <c r="O3" s="4317"/>
      <c r="P3" s="4317"/>
      <c r="Q3" s="614"/>
      <c r="R3" s="614"/>
      <c r="S3" s="614"/>
      <c r="T3" s="614"/>
      <c r="U3" s="614"/>
      <c r="V3" s="614"/>
      <c r="W3" s="614"/>
      <c r="X3" s="614"/>
      <c r="Y3" s="614"/>
      <c r="Z3" s="615"/>
      <c r="AA3" s="616"/>
      <c r="AB3" s="606"/>
    </row>
    <row r="4" spans="1:53" ht="12" customHeight="1" x14ac:dyDescent="0.2">
      <c r="A4" s="603"/>
      <c r="B4" s="612"/>
      <c r="C4" s="617"/>
      <c r="D4" s="4320" t="s">
        <v>3258</v>
      </c>
      <c r="E4" s="4321"/>
      <c r="F4" s="4321" t="s">
        <v>3259</v>
      </c>
      <c r="G4" s="4322"/>
      <c r="H4" s="618"/>
      <c r="I4" s="618"/>
      <c r="J4" s="618"/>
      <c r="K4" s="618"/>
      <c r="L4" s="4318"/>
      <c r="M4" s="4318"/>
      <c r="N4" s="4318"/>
      <c r="O4" s="4318"/>
      <c r="P4" s="4318"/>
      <c r="Q4" s="618"/>
      <c r="R4" s="4331" t="s">
        <v>7700</v>
      </c>
      <c r="S4" s="4331"/>
      <c r="T4" s="4331"/>
      <c r="U4" s="1471">
        <f>VALUE(PDs!R15)</f>
        <v>0</v>
      </c>
      <c r="V4" s="618"/>
      <c r="W4" s="618"/>
      <c r="X4" s="618"/>
      <c r="Y4" s="618"/>
      <c r="Z4" s="619"/>
      <c r="AA4" s="616"/>
      <c r="AB4" s="606"/>
    </row>
    <row r="5" spans="1:53" ht="12" customHeight="1" thickBot="1" x14ac:dyDescent="0.25">
      <c r="A5" s="603"/>
      <c r="B5" s="612"/>
      <c r="C5" s="617"/>
      <c r="D5" s="4323" t="s">
        <v>1922</v>
      </c>
      <c r="E5" s="4324"/>
      <c r="F5" s="4324" t="s">
        <v>1690</v>
      </c>
      <c r="G5" s="4325"/>
      <c r="H5" s="618"/>
      <c r="I5" s="618"/>
      <c r="J5" s="618"/>
      <c r="K5" s="618"/>
      <c r="L5" s="4318"/>
      <c r="M5" s="4318"/>
      <c r="N5" s="4318"/>
      <c r="O5" s="4318"/>
      <c r="P5" s="4318"/>
      <c r="Q5" s="618"/>
      <c r="R5" s="4331" t="s">
        <v>3260</v>
      </c>
      <c r="S5" s="4331"/>
      <c r="T5" s="4331"/>
      <c r="U5" s="1555">
        <f>ROUNDUP(IF(U4=0,5,10*U4)/2,0)</f>
        <v>3</v>
      </c>
      <c r="V5" s="4521"/>
      <c r="W5" s="618"/>
      <c r="X5" s="618"/>
      <c r="Y5" s="618"/>
      <c r="Z5" s="619"/>
      <c r="AA5" s="616"/>
      <c r="AB5" s="606"/>
      <c r="AY5" s="620"/>
      <c r="AZ5" s="620"/>
      <c r="BA5" s="620"/>
    </row>
    <row r="6" spans="1:53" ht="12" customHeight="1" thickBot="1" x14ac:dyDescent="0.25">
      <c r="A6" s="603"/>
      <c r="B6" s="612"/>
      <c r="C6" s="621"/>
      <c r="D6" s="622"/>
      <c r="E6" s="622"/>
      <c r="F6" s="622"/>
      <c r="G6" s="622"/>
      <c r="H6" s="622"/>
      <c r="I6" s="622"/>
      <c r="J6" s="622"/>
      <c r="K6" s="622"/>
      <c r="L6" s="4319"/>
      <c r="M6" s="4319"/>
      <c r="N6" s="4319"/>
      <c r="O6" s="4319"/>
      <c r="P6" s="4319"/>
      <c r="Q6" s="622"/>
      <c r="R6" s="622"/>
      <c r="S6" s="622"/>
      <c r="T6" s="2246"/>
      <c r="U6" s="622"/>
      <c r="V6" s="4522"/>
      <c r="W6" s="622"/>
      <c r="X6" s="622"/>
      <c r="Y6" s="622"/>
      <c r="Z6" s="623"/>
      <c r="AA6" s="616"/>
      <c r="AB6" s="606"/>
    </row>
    <row r="7" spans="1:53" ht="12" customHeight="1" thickBot="1" x14ac:dyDescent="0.25">
      <c r="A7" s="603"/>
      <c r="B7" s="612"/>
      <c r="C7" s="663"/>
      <c r="D7" s="663"/>
      <c r="E7" s="663"/>
      <c r="F7" s="663"/>
      <c r="G7" s="663"/>
      <c r="H7" s="663"/>
      <c r="I7" s="663"/>
      <c r="J7" s="663"/>
      <c r="K7" s="663"/>
      <c r="L7" s="663"/>
      <c r="M7" s="663"/>
      <c r="N7" s="663"/>
      <c r="O7" s="663"/>
      <c r="P7" s="663"/>
      <c r="Q7" s="663"/>
      <c r="R7" s="663"/>
      <c r="S7" s="579"/>
      <c r="T7" s="663"/>
      <c r="U7" s="2244"/>
      <c r="V7" s="663"/>
      <c r="W7" s="663"/>
      <c r="X7" s="663"/>
      <c r="Y7" s="663"/>
      <c r="Z7" s="663"/>
      <c r="AA7" s="616"/>
      <c r="AB7" s="606"/>
    </row>
    <row r="8" spans="1:53" ht="12" customHeight="1" x14ac:dyDescent="0.2">
      <c r="A8" s="603"/>
      <c r="B8" s="612"/>
      <c r="C8" s="4379" t="s">
        <v>1673</v>
      </c>
      <c r="D8" s="625"/>
      <c r="E8" s="1560" t="s">
        <v>1674</v>
      </c>
      <c r="F8" s="626" t="s">
        <v>1675</v>
      </c>
      <c r="G8" s="627" t="s">
        <v>1658</v>
      </c>
      <c r="H8" s="628" t="s">
        <v>1676</v>
      </c>
      <c r="I8" s="663"/>
      <c r="J8" s="663"/>
      <c r="K8" s="663"/>
      <c r="L8" s="4320" t="s">
        <v>3261</v>
      </c>
      <c r="M8" s="4321"/>
      <c r="N8" s="4321"/>
      <c r="O8" s="4321"/>
      <c r="P8" s="4321"/>
      <c r="Q8" s="4321"/>
      <c r="R8" s="4321"/>
      <c r="S8" s="4322"/>
      <c r="T8" s="663"/>
      <c r="U8" s="4382" t="s">
        <v>3262</v>
      </c>
      <c r="V8" s="4383"/>
      <c r="W8" s="4383"/>
      <c r="X8" s="4383"/>
      <c r="Y8" s="4383"/>
      <c r="Z8" s="4384"/>
      <c r="AA8" s="616"/>
      <c r="AB8" s="606"/>
      <c r="AT8" s="624"/>
      <c r="AU8" s="620"/>
      <c r="AV8" s="620"/>
    </row>
    <row r="9" spans="1:53" ht="12" customHeight="1" x14ac:dyDescent="0.2">
      <c r="A9" s="603"/>
      <c r="B9" s="612"/>
      <c r="C9" s="4380"/>
      <c r="D9" s="629" t="s">
        <v>1682</v>
      </c>
      <c r="E9" s="1555">
        <f>HLOOKUP($D$5,'Tablas Sheele'!$G$17:$N$25,'Tablas Sheele'!E18,)</f>
        <v>8</v>
      </c>
      <c r="F9" s="1396"/>
      <c r="G9" s="630">
        <f>E9+'Tablas Sheele'!D18+IF('Tablas Sheele'!F143&gt;0,2,0)</f>
        <v>8</v>
      </c>
      <c r="H9" s="1556">
        <f>IF(G9&lt;1,0,VLOOKUP(G9,Tablas!$C$14:$D$33,2))</f>
        <v>10</v>
      </c>
      <c r="I9" s="579"/>
      <c r="J9" s="663"/>
      <c r="K9" s="579"/>
      <c r="L9" s="4388" t="s">
        <v>1819</v>
      </c>
      <c r="M9" s="4389"/>
      <c r="N9" s="4389"/>
      <c r="O9" s="4390"/>
      <c r="P9" s="4391" t="s">
        <v>3263</v>
      </c>
      <c r="Q9" s="4391"/>
      <c r="R9" s="4391"/>
      <c r="S9" s="4392"/>
      <c r="T9" s="663"/>
      <c r="U9" s="4385"/>
      <c r="V9" s="4386"/>
      <c r="W9" s="4386"/>
      <c r="X9" s="4386"/>
      <c r="Y9" s="4386"/>
      <c r="Z9" s="4387"/>
      <c r="AA9" s="616"/>
      <c r="AB9" s="606"/>
      <c r="AT9" s="624"/>
      <c r="AU9" s="620"/>
      <c r="AV9" s="620"/>
    </row>
    <row r="10" spans="1:53" ht="12" customHeight="1" x14ac:dyDescent="0.2">
      <c r="A10" s="603"/>
      <c r="B10" s="612"/>
      <c r="C10" s="4380"/>
      <c r="D10" s="629" t="s">
        <v>1809</v>
      </c>
      <c r="E10" s="1555">
        <f>HLOOKUP($D$5,'Tablas Sheele'!$G$17:$N$25,'Tablas Sheele'!E19,)</f>
        <v>2</v>
      </c>
      <c r="F10" s="1397"/>
      <c r="G10" s="630">
        <f>E10+'Tablas Sheele'!D19</f>
        <v>2</v>
      </c>
      <c r="H10" s="1556">
        <f>IF(G10&lt;1,0,VLOOKUP(G10,Tablas!$C$14:$D$33,2))</f>
        <v>-20</v>
      </c>
      <c r="I10" s="579"/>
      <c r="J10" s="663"/>
      <c r="K10" s="663"/>
      <c r="L10" s="4338" t="s">
        <v>3264</v>
      </c>
      <c r="M10" s="4338"/>
      <c r="N10" s="4339">
        <f>IF(N21*2+20*'Tablas Sheele'!F103&gt;200, IF(N21*2&gt;=200,N21*2+10*'Tablas Sheele'!F103,200+1/2*(20*'Tablas Sheele'!F103-(200-N21*2))),N21*2+20*'Tablas Sheele'!F103 )</f>
        <v>50</v>
      </c>
      <c r="O10" s="4339"/>
      <c r="P10" s="4338" t="s">
        <v>3265</v>
      </c>
      <c r="Q10" s="4338"/>
      <c r="R10" s="4332">
        <f>IF('Tablas Sheele'!F176&gt;0,MAX(Sheele!N10,H11),H11)</f>
        <v>10</v>
      </c>
      <c r="S10" s="4332"/>
      <c r="T10" s="663"/>
      <c r="U10" s="4340" t="s">
        <v>1712</v>
      </c>
      <c r="V10" s="4341"/>
      <c r="W10" s="4326" t="s">
        <v>3266</v>
      </c>
      <c r="X10" s="4326"/>
      <c r="Y10" s="4326"/>
      <c r="Z10" s="4327"/>
      <c r="AA10" s="616"/>
      <c r="AB10" s="606"/>
      <c r="AT10" s="624"/>
      <c r="AU10" s="620"/>
      <c r="AV10" s="620"/>
    </row>
    <row r="11" spans="1:53" ht="12" customHeight="1" x14ac:dyDescent="0.2">
      <c r="A11" s="603"/>
      <c r="B11" s="612"/>
      <c r="C11" s="4380"/>
      <c r="D11" s="629" t="s">
        <v>1687</v>
      </c>
      <c r="E11" s="1555">
        <f>HLOOKUP($D$5,'Tablas Sheele'!$G$17:$N$25,'Tablas Sheele'!E20,)</f>
        <v>8</v>
      </c>
      <c r="F11" s="1397"/>
      <c r="G11" s="630">
        <f>E11+'Tablas Sheele'!D20+IF('Tablas Sheele'!F143&gt;0,2,0)</f>
        <v>8</v>
      </c>
      <c r="H11" s="1556">
        <f>IF(G11&lt;1,0,VLOOKUP(G11,Tablas!$C$14:$D$33,2))</f>
        <v>10</v>
      </c>
      <c r="I11" s="663"/>
      <c r="J11" s="663"/>
      <c r="K11" s="663"/>
      <c r="L11" s="4338"/>
      <c r="M11" s="4338"/>
      <c r="N11" s="4339"/>
      <c r="O11" s="4339"/>
      <c r="P11" s="4338"/>
      <c r="Q11" s="4338"/>
      <c r="R11" s="4332"/>
      <c r="S11" s="4332"/>
      <c r="T11" s="663"/>
      <c r="U11" s="4342"/>
      <c r="V11" s="4343"/>
      <c r="W11" s="4328" t="s">
        <v>3267</v>
      </c>
      <c r="X11" s="4329"/>
      <c r="Y11" s="4329" t="s">
        <v>3268</v>
      </c>
      <c r="Z11" s="4330"/>
      <c r="AA11" s="616"/>
      <c r="AB11" s="606"/>
    </row>
    <row r="12" spans="1:53" ht="12" customHeight="1" thickBot="1" x14ac:dyDescent="0.25">
      <c r="A12" s="603"/>
      <c r="B12" s="537"/>
      <c r="C12" s="4380"/>
      <c r="D12" s="629" t="s">
        <v>1692</v>
      </c>
      <c r="E12" s="1555">
        <f>HLOOKUP($D$5,'Tablas Sheele'!$G$17:$N$25,'Tablas Sheele'!E21,)</f>
        <v>2</v>
      </c>
      <c r="F12" s="1397"/>
      <c r="G12" s="630">
        <f>E12+'Tablas Sheele'!D21+IF('Tablas Sheele'!F143&gt;0,2,0)</f>
        <v>2</v>
      </c>
      <c r="H12" s="1556">
        <f>IF(G12&lt;1,0,VLOOKUP(G12,Tablas!$C$14:$D$33,2))</f>
        <v>-20</v>
      </c>
      <c r="I12" s="579"/>
      <c r="J12" s="663"/>
      <c r="K12" s="663"/>
      <c r="L12" s="4338" t="s">
        <v>3269</v>
      </c>
      <c r="M12" s="4338"/>
      <c r="N12" s="4339">
        <f>IF(N21*2+20*'Tablas Sheele'!F103&gt;200, IF(N21*2&gt;=200,N21*2+10*'Tablas Sheele'!F103,200+1/2*(20*'Tablas Sheele'!F103-(200-N21*2))),N21*2+20*'Tablas Sheele'!F103 )+IF('Tablas Sheele'!F187&gt;0,40,0)</f>
        <v>50</v>
      </c>
      <c r="O12" s="4339"/>
      <c r="P12" s="4338" t="s">
        <v>3270</v>
      </c>
      <c r="Q12" s="4338"/>
      <c r="R12" s="4332">
        <f>IF('Tablas Sheele'!F176&gt;0,MAX(Sheele!N12,H9),IF(D5="Aire",MAX(N12,H9),H9))</f>
        <v>50</v>
      </c>
      <c r="S12" s="4332"/>
      <c r="T12" s="663"/>
      <c r="U12" s="4333" t="str">
        <f>IF('Tablas Sheele'!F98&gt;0,U4+'Tablas Sheele'!F101,"-")</f>
        <v>-</v>
      </c>
      <c r="V12" s="4334"/>
      <c r="W12" s="4335" t="str">
        <f>IF('Tablas Sheele'!F98&gt;0,150,"-")</f>
        <v>-</v>
      </c>
      <c r="X12" s="4336"/>
      <c r="Y12" s="4335" t="str">
        <f>IF('Tablas Sheele'!F98&gt;0,IF('Tablas Sheele'!F99,N21-10,N21)&amp;" / asalto","-")</f>
        <v>-</v>
      </c>
      <c r="Z12" s="4337"/>
      <c r="AA12" s="616"/>
      <c r="AB12" s="606"/>
      <c r="AY12" s="620"/>
      <c r="AZ12" s="620"/>
      <c r="BA12" s="620"/>
    </row>
    <row r="13" spans="1:53" ht="12" customHeight="1" x14ac:dyDescent="0.2">
      <c r="A13" s="603"/>
      <c r="B13" s="631"/>
      <c r="C13" s="4380"/>
      <c r="D13" s="629" t="s">
        <v>1695</v>
      </c>
      <c r="E13" s="1555">
        <f>HLOOKUP($D$5,'Tablas Sheele'!$G$17:$N$25,'Tablas Sheele'!E22,)</f>
        <v>8</v>
      </c>
      <c r="F13" s="1397"/>
      <c r="G13" s="630">
        <f>E13+'Tablas Sheele'!D22</f>
        <v>8</v>
      </c>
      <c r="H13" s="1556">
        <f>IF(G13&lt;1,0,VLOOKUP(G13,Tablas!$C$14:$D$33,2))</f>
        <v>10</v>
      </c>
      <c r="I13" s="663"/>
      <c r="J13" s="663"/>
      <c r="K13" s="663"/>
      <c r="L13" s="4338"/>
      <c r="M13" s="4338"/>
      <c r="N13" s="4339"/>
      <c r="O13" s="4339"/>
      <c r="P13" s="4338"/>
      <c r="Q13" s="4338"/>
      <c r="R13" s="4332"/>
      <c r="S13" s="4332"/>
      <c r="T13" s="663"/>
      <c r="U13" s="4359" t="s">
        <v>3271</v>
      </c>
      <c r="V13" s="4360"/>
      <c r="W13" s="4360"/>
      <c r="X13" s="4360"/>
      <c r="Y13" s="4360"/>
      <c r="Z13" s="4361"/>
      <c r="AA13" s="616"/>
      <c r="AB13" s="606"/>
      <c r="AY13" s="620"/>
      <c r="AZ13" s="620"/>
      <c r="BA13" s="620"/>
    </row>
    <row r="14" spans="1:53" ht="12" customHeight="1" x14ac:dyDescent="0.2">
      <c r="A14" s="603"/>
      <c r="B14" s="631"/>
      <c r="C14" s="4380"/>
      <c r="D14" s="629" t="s">
        <v>1698</v>
      </c>
      <c r="E14" s="1555">
        <f>HLOOKUP($D$5,'Tablas Sheele'!$G$17:$N$25,'Tablas Sheele'!E23,)</f>
        <v>6</v>
      </c>
      <c r="F14" s="1397"/>
      <c r="G14" s="630">
        <f>E14+'Tablas Sheele'!D23</f>
        <v>6</v>
      </c>
      <c r="H14" s="1556">
        <f>IF(G14&lt;1,0,VLOOKUP(G14,Tablas!$C$14:$D$33,2))</f>
        <v>5</v>
      </c>
      <c r="I14" s="663"/>
      <c r="J14" s="663"/>
      <c r="K14" s="663"/>
      <c r="L14" s="4338" t="s">
        <v>3272</v>
      </c>
      <c r="M14" s="4362"/>
      <c r="N14" s="4363" t="str">
        <f>IF(D5="Naturaleza","Esencia",D5)</f>
        <v>Aire</v>
      </c>
      <c r="O14" s="4363"/>
      <c r="P14" s="4364" t="s">
        <v>3273</v>
      </c>
      <c r="Q14" s="4338"/>
      <c r="R14" s="4332">
        <f>IF('Tablas Sheele'!F176&gt;0,MAX(Sheele!N12,H11),H11)</f>
        <v>10</v>
      </c>
      <c r="S14" s="4332"/>
      <c r="T14" s="663"/>
      <c r="U14" s="4365" t="str">
        <f>"Gnosis "&amp;IF('Tablas Sheele'!F100&gt;0,30,20)</f>
        <v>Gnosis 20</v>
      </c>
      <c r="V14" s="4366"/>
      <c r="W14" s="4366"/>
      <c r="X14" s="4366"/>
      <c r="Y14" s="4366"/>
      <c r="Z14" s="4367"/>
      <c r="AA14" s="616"/>
      <c r="AB14" s="606"/>
      <c r="AY14" s="620"/>
      <c r="AZ14" s="620"/>
      <c r="BA14" s="620"/>
    </row>
    <row r="15" spans="1:53" ht="12" customHeight="1" x14ac:dyDescent="0.2">
      <c r="A15" s="603"/>
      <c r="B15" s="631"/>
      <c r="C15" s="4380"/>
      <c r="D15" s="629" t="s">
        <v>1700</v>
      </c>
      <c r="E15" s="1555">
        <f>HLOOKUP($D$5,'Tablas Sheele'!$G$17:$N$25,'Tablas Sheele'!E24,)</f>
        <v>8</v>
      </c>
      <c r="F15" s="1397"/>
      <c r="G15" s="630">
        <f>E15+'Tablas Sheele'!D24</f>
        <v>8</v>
      </c>
      <c r="H15" s="1556">
        <f>IF(G15&lt;1,0,VLOOKUP(G15,Tablas!$C$14:$D$33,2))</f>
        <v>10</v>
      </c>
      <c r="I15" s="663"/>
      <c r="J15" s="663"/>
      <c r="K15" s="663"/>
      <c r="L15" s="4338"/>
      <c r="M15" s="4362"/>
      <c r="N15" s="4368">
        <f>IF(20+10*'Tablas Sheele'!F104&lt;=50,20+10*'Tablas Sheele'!F104,50+1/2*(10*'Tablas Sheele'!F104-(50-20)))</f>
        <v>20</v>
      </c>
      <c r="O15" s="4369"/>
      <c r="P15" s="4364"/>
      <c r="Q15" s="4338"/>
      <c r="R15" s="4332"/>
      <c r="S15" s="4332"/>
      <c r="T15" s="663"/>
      <c r="U15" s="4370" t="s">
        <v>3274</v>
      </c>
      <c r="V15" s="4371"/>
      <c r="W15" s="4371"/>
      <c r="X15" s="4371"/>
      <c r="Y15" s="4371"/>
      <c r="Z15" s="4372"/>
      <c r="AA15" s="616"/>
      <c r="AB15" s="606"/>
      <c r="AY15" s="620"/>
      <c r="AZ15" s="620"/>
      <c r="BA15" s="620"/>
    </row>
    <row r="16" spans="1:53" ht="12" customHeight="1" thickBot="1" x14ac:dyDescent="0.25">
      <c r="A16" s="603"/>
      <c r="B16" s="631"/>
      <c r="C16" s="4381"/>
      <c r="D16" s="632" t="s">
        <v>1701</v>
      </c>
      <c r="E16" s="1557">
        <f>HLOOKUP($D$5,'Tablas Sheele'!$G$17:$N$25,'Tablas Sheele'!E25,)</f>
        <v>6</v>
      </c>
      <c r="F16" s="1398"/>
      <c r="G16" s="633">
        <f>E16+'Tablas Sheele'!D25</f>
        <v>6</v>
      </c>
      <c r="H16" s="1558">
        <f>IF(G16&lt;1,0,VLOOKUP(G16,Tablas!$C$14:$D$33,2))</f>
        <v>5</v>
      </c>
      <c r="I16" s="663"/>
      <c r="J16" s="663"/>
      <c r="K16" s="663"/>
      <c r="L16" s="4338" t="s">
        <v>3275</v>
      </c>
      <c r="M16" s="4338"/>
      <c r="N16" s="4377">
        <f>Místicos!L13</f>
        <v>5</v>
      </c>
      <c r="O16" s="4377"/>
      <c r="P16" s="4338" t="s">
        <v>1702</v>
      </c>
      <c r="Q16" s="4338"/>
      <c r="R16" s="4344">
        <f>Turno_SinArmas_final+IF('Tablas Sheele'!F121,50,0)</f>
        <v>35</v>
      </c>
      <c r="S16" s="4344"/>
      <c r="T16" s="663"/>
      <c r="U16" s="4373"/>
      <c r="V16" s="4374"/>
      <c r="W16" s="4374"/>
      <c r="X16" s="4374"/>
      <c r="Y16" s="4374"/>
      <c r="Z16" s="4375"/>
      <c r="AA16" s="616"/>
      <c r="AB16" s="606"/>
      <c r="AY16" s="620"/>
      <c r="AZ16" s="620"/>
      <c r="BA16" s="620"/>
    </row>
    <row r="17" spans="1:53" ht="12" customHeight="1" thickBot="1" x14ac:dyDescent="0.25">
      <c r="A17" s="603"/>
      <c r="B17" s="631"/>
      <c r="C17" s="663"/>
      <c r="D17" s="663"/>
      <c r="E17" s="663"/>
      <c r="F17" s="663"/>
      <c r="G17" s="663"/>
      <c r="H17" s="663"/>
      <c r="I17" s="663"/>
      <c r="J17" s="663"/>
      <c r="K17" s="663"/>
      <c r="L17" s="4376"/>
      <c r="M17" s="4376"/>
      <c r="N17" s="4378"/>
      <c r="O17" s="4339"/>
      <c r="P17" s="4338"/>
      <c r="Q17" s="4338"/>
      <c r="R17" s="4344"/>
      <c r="S17" s="4344"/>
      <c r="T17" s="663"/>
      <c r="U17" s="4345" t="s">
        <v>3276</v>
      </c>
      <c r="V17" s="4346"/>
      <c r="W17" s="4346"/>
      <c r="X17" s="4346"/>
      <c r="Y17" s="4346"/>
      <c r="Z17" s="4347"/>
      <c r="AA17" s="616"/>
      <c r="AB17" s="606"/>
      <c r="AY17" s="620"/>
      <c r="AZ17" s="620"/>
      <c r="BA17" s="620"/>
    </row>
    <row r="18" spans="1:53" ht="12" customHeight="1" x14ac:dyDescent="0.2">
      <c r="A18" s="603"/>
      <c r="B18" s="631"/>
      <c r="C18" s="4351" t="s">
        <v>3277</v>
      </c>
      <c r="D18" s="4352"/>
      <c r="E18" s="4352"/>
      <c r="F18" s="4352"/>
      <c r="G18" s="4352"/>
      <c r="H18" s="4352"/>
      <c r="I18" s="4353"/>
      <c r="J18" s="634">
        <f>IF(F5='Tablas Sheele'!L4,0,$U$4+IF($F$5='Tablas Sheele'!L6,2,0)+COUNTBLANK(C20:C31)+COUNTBLANK(G20:G31)-24+IF(Tablas!G385&gt;0,2,0))</f>
        <v>0</v>
      </c>
      <c r="K18" s="663"/>
      <c r="L18" s="635"/>
      <c r="M18" s="636"/>
      <c r="N18" s="637" t="s">
        <v>3278</v>
      </c>
      <c r="O18" s="638">
        <f>5*'Tablas Sheele'!F105</f>
        <v>0</v>
      </c>
      <c r="P18" s="639"/>
      <c r="Q18" s="639"/>
      <c r="R18" s="640" t="s">
        <v>1734</v>
      </c>
      <c r="S18" s="638">
        <f>VLOOKUP(G11+G9,Tabla_NumAcciones,2)</f>
        <v>3</v>
      </c>
      <c r="T18" s="663"/>
      <c r="U18" s="4348"/>
      <c r="V18" s="4349"/>
      <c r="W18" s="4349"/>
      <c r="X18" s="4349"/>
      <c r="Y18" s="4349"/>
      <c r="Z18" s="4350"/>
      <c r="AA18" s="616"/>
      <c r="AB18" s="606"/>
      <c r="AY18" s="620"/>
      <c r="AZ18" s="620"/>
      <c r="BA18" s="620"/>
    </row>
    <row r="19" spans="1:53" ht="12" customHeight="1" x14ac:dyDescent="0.2">
      <c r="A19" s="603"/>
      <c r="B19" s="631"/>
      <c r="C19" s="4354" t="s">
        <v>3279</v>
      </c>
      <c r="D19" s="4355"/>
      <c r="E19" s="4355"/>
      <c r="F19" s="4355"/>
      <c r="G19" s="4356" t="str">
        <f>"Mejoras de "&amp;D5</f>
        <v>Mejoras de Aire</v>
      </c>
      <c r="H19" s="4357"/>
      <c r="I19" s="4357"/>
      <c r="J19" s="4358"/>
      <c r="K19" s="663"/>
      <c r="L19" s="663"/>
      <c r="M19" s="663"/>
      <c r="N19" s="663"/>
      <c r="O19" s="663"/>
      <c r="P19" s="663"/>
      <c r="Q19" s="663"/>
      <c r="R19" s="663"/>
      <c r="S19" s="579"/>
      <c r="T19" s="663"/>
      <c r="U19" s="663"/>
      <c r="V19" s="663"/>
      <c r="W19" s="663"/>
      <c r="X19" s="663"/>
      <c r="Y19" s="663"/>
      <c r="Z19" s="663"/>
      <c r="AA19" s="616"/>
      <c r="AB19" s="606"/>
      <c r="AC19" s="1841" t="str">
        <f>"Mejoras_"&amp;D5</f>
        <v>Mejoras_Aire</v>
      </c>
    </row>
    <row r="20" spans="1:53" ht="12" customHeight="1" thickBot="1" x14ac:dyDescent="0.25">
      <c r="A20" s="603"/>
      <c r="B20" s="631"/>
      <c r="C20" s="4399"/>
      <c r="D20" s="4400"/>
      <c r="E20" s="4400"/>
      <c r="F20" s="4401"/>
      <c r="G20" s="4402"/>
      <c r="H20" s="4402"/>
      <c r="I20" s="4402"/>
      <c r="J20" s="4403"/>
      <c r="K20" s="1360" t="s">
        <v>3280</v>
      </c>
      <c r="L20" s="663"/>
      <c r="M20" s="663"/>
      <c r="N20" s="663"/>
      <c r="O20" s="663"/>
      <c r="P20" s="663"/>
      <c r="Q20" s="663"/>
      <c r="R20" s="663"/>
      <c r="S20" s="579"/>
      <c r="T20" s="663"/>
      <c r="U20" s="663"/>
      <c r="V20" s="663"/>
      <c r="W20" s="663"/>
      <c r="X20" s="663"/>
      <c r="Y20" s="663"/>
      <c r="Z20" s="663"/>
      <c r="AA20" s="616"/>
      <c r="AB20" s="606"/>
    </row>
    <row r="21" spans="1:53" ht="12" customHeight="1" thickBot="1" x14ac:dyDescent="0.25">
      <c r="A21" s="603"/>
      <c r="B21" s="612"/>
      <c r="C21" s="4399"/>
      <c r="D21" s="4400"/>
      <c r="E21" s="4400"/>
      <c r="F21" s="4401"/>
      <c r="G21" s="4402"/>
      <c r="H21" s="4402"/>
      <c r="I21" s="4402"/>
      <c r="J21" s="4403"/>
      <c r="K21" s="641"/>
      <c r="L21" s="4415" t="s">
        <v>3281</v>
      </c>
      <c r="M21" s="642" t="s">
        <v>1870</v>
      </c>
      <c r="N21" s="643">
        <f>25+5*U4</f>
        <v>25</v>
      </c>
      <c r="O21" s="663"/>
      <c r="P21" s="4418" t="s">
        <v>3282</v>
      </c>
      <c r="Q21" s="4419"/>
      <c r="R21" s="4419"/>
      <c r="S21" s="4420"/>
      <c r="T21" s="663"/>
      <c r="U21" s="4393" t="s">
        <v>1704</v>
      </c>
      <c r="V21" s="4394"/>
      <c r="W21" s="4394"/>
      <c r="X21" s="4394"/>
      <c r="Y21" s="4394"/>
      <c r="Z21" s="4395"/>
      <c r="AA21" s="616"/>
      <c r="AB21" s="606"/>
    </row>
    <row r="22" spans="1:53" ht="12" customHeight="1" x14ac:dyDescent="0.2">
      <c r="A22" s="603"/>
      <c r="B22" s="612"/>
      <c r="C22" s="4399"/>
      <c r="D22" s="4400"/>
      <c r="E22" s="4400"/>
      <c r="F22" s="4401"/>
      <c r="G22" s="4402"/>
      <c r="H22" s="4402"/>
      <c r="I22" s="4402"/>
      <c r="J22" s="4403"/>
      <c r="K22" s="641"/>
      <c r="L22" s="4416"/>
      <c r="M22" s="644" t="s">
        <v>1769</v>
      </c>
      <c r="N22" s="645">
        <f>Principal!J58-Principal!I58+IF('Tablas Sheele'!F$165&gt;0,50,0)</f>
        <v>20</v>
      </c>
      <c r="O22" s="663"/>
      <c r="P22" s="4404" t="s">
        <v>3283</v>
      </c>
      <c r="Q22" s="4405"/>
      <c r="R22" s="4408">
        <f>20+10*ROUNDDOWN(Controlar_final/50,0)+MIN(100,25*'Tablas Sheele'!F108)</f>
        <v>20</v>
      </c>
      <c r="S22" s="4409"/>
      <c r="T22" s="663"/>
      <c r="U22" s="4396"/>
      <c r="V22" s="4397"/>
      <c r="W22" s="4397"/>
      <c r="X22" s="4397"/>
      <c r="Y22" s="4397"/>
      <c r="Z22" s="4398"/>
      <c r="AA22" s="616"/>
      <c r="AB22" s="606"/>
    </row>
    <row r="23" spans="1:53" ht="12" customHeight="1" thickBot="1" x14ac:dyDescent="0.25">
      <c r="A23" s="603"/>
      <c r="B23" s="612"/>
      <c r="C23" s="4399"/>
      <c r="D23" s="4400"/>
      <c r="E23" s="4400"/>
      <c r="F23" s="4401"/>
      <c r="G23" s="4402"/>
      <c r="H23" s="4402"/>
      <c r="I23" s="4402"/>
      <c r="J23" s="4403"/>
      <c r="K23" s="663"/>
      <c r="L23" s="4416"/>
      <c r="M23" s="644" t="s">
        <v>1771</v>
      </c>
      <c r="N23" s="645">
        <f>Principal!J59-Principal!I59+IF('Tablas Sheele'!F$165&gt;0,50,0)</f>
        <v>20</v>
      </c>
      <c r="O23" s="663"/>
      <c r="P23" s="4406"/>
      <c r="Q23" s="4407"/>
      <c r="R23" s="4410"/>
      <c r="S23" s="4411"/>
      <c r="T23" s="663"/>
      <c r="U23" s="4412" t="s">
        <v>8058</v>
      </c>
      <c r="V23" s="4413"/>
      <c r="W23" s="4413"/>
      <c r="X23" s="4414"/>
      <c r="Y23" s="4413"/>
      <c r="Z23" s="646">
        <f>IF(VALUE($U$4)&lt;2,0,5*($U$4-1)-SUM(Y25:Y80))</f>
        <v>0</v>
      </c>
      <c r="AA23" s="616"/>
      <c r="AB23" s="606"/>
    </row>
    <row r="24" spans="1:53" ht="12" customHeight="1" x14ac:dyDescent="0.2">
      <c r="A24" s="603"/>
      <c r="B24" s="612"/>
      <c r="C24" s="4399"/>
      <c r="D24" s="4400"/>
      <c r="E24" s="4400"/>
      <c r="F24" s="4401"/>
      <c r="G24" s="4402"/>
      <c r="H24" s="4402"/>
      <c r="I24" s="4402"/>
      <c r="J24" s="4403"/>
      <c r="K24" s="663"/>
      <c r="L24" s="4416"/>
      <c r="M24" s="644" t="s">
        <v>1773</v>
      </c>
      <c r="N24" s="645">
        <f>Principal!J60-Principal!I60+IF('Tablas Sheele'!F$165&gt;0,50,0)</f>
        <v>20</v>
      </c>
      <c r="O24" s="663"/>
      <c r="P24" s="4421" t="s">
        <v>3284</v>
      </c>
      <c r="Q24" s="4422"/>
      <c r="R24" s="4422"/>
      <c r="S24" s="4423"/>
      <c r="T24" s="663"/>
      <c r="U24" s="647" t="s">
        <v>1708</v>
      </c>
      <c r="V24" s="4432" t="s">
        <v>1684</v>
      </c>
      <c r="W24" s="4433"/>
      <c r="X24" s="1572" t="s">
        <v>1674</v>
      </c>
      <c r="Y24" s="654" t="s">
        <v>3285</v>
      </c>
      <c r="Z24" s="1573" t="s">
        <v>1658</v>
      </c>
      <c r="AA24" s="616" t="s">
        <v>1728</v>
      </c>
      <c r="AB24" s="606"/>
    </row>
    <row r="25" spans="1:53" ht="12" customHeight="1" x14ac:dyDescent="0.2">
      <c r="A25" s="603"/>
      <c r="B25" s="612"/>
      <c r="C25" s="4399"/>
      <c r="D25" s="4400"/>
      <c r="E25" s="4400"/>
      <c r="F25" s="4401"/>
      <c r="G25" s="4402"/>
      <c r="H25" s="4402"/>
      <c r="I25" s="4402"/>
      <c r="J25" s="4403"/>
      <c r="K25" s="663"/>
      <c r="L25" s="4416"/>
      <c r="M25" s="644" t="s">
        <v>1775</v>
      </c>
      <c r="N25" s="645">
        <f>Principal!J61-Principal!I61+IF('Tablas Sheele'!F$165&gt;0,50,0)</f>
        <v>20</v>
      </c>
      <c r="O25" s="663"/>
      <c r="P25" s="4348" t="s">
        <v>3286</v>
      </c>
      <c r="Q25" s="4349"/>
      <c r="R25" s="4349"/>
      <c r="S25" s="4350"/>
      <c r="T25" s="663"/>
      <c r="U25" s="3524" t="s">
        <v>1713</v>
      </c>
      <c r="V25" s="4434" t="s">
        <v>1714</v>
      </c>
      <c r="W25" s="4434"/>
      <c r="X25" s="1538">
        <f>IF(HLOOKUP(Sheele!$D$5,'Tablas Sheele'!$C$29:$K$86,'Tablas Sheele'!B30,FALSE)=0,"",HLOOKUP(Sheele!$D$5,'Tablas Sheele'!$C$29:$K$86,'Tablas Sheele'!B30,FALSE))</f>
        <v>60</v>
      </c>
      <c r="Y25" s="1399"/>
      <c r="Z25" s="1357">
        <f>IF(X25="",-30,X25+IF('Tablas Sheele'!F$119&gt;0,40+20*('Tablas Sheele'!F$119-1),0))+10*Y25</f>
        <v>60</v>
      </c>
      <c r="AA25" s="616"/>
      <c r="AB25" s="606"/>
    </row>
    <row r="26" spans="1:53" ht="12" customHeight="1" thickBot="1" x14ac:dyDescent="0.25">
      <c r="A26" s="603"/>
      <c r="B26" s="612"/>
      <c r="C26" s="4399"/>
      <c r="D26" s="4400"/>
      <c r="E26" s="4400"/>
      <c r="F26" s="4401"/>
      <c r="G26" s="4402"/>
      <c r="H26" s="4402"/>
      <c r="I26" s="4402"/>
      <c r="J26" s="4403"/>
      <c r="K26" s="663"/>
      <c r="L26" s="4417"/>
      <c r="M26" s="648" t="s">
        <v>1777</v>
      </c>
      <c r="N26" s="649">
        <f>Principal!J62-Principal!I62+IF('Tablas Sheele'!F$165&gt;0,50,0)</f>
        <v>20</v>
      </c>
      <c r="O26" s="663"/>
      <c r="P26" s="663"/>
      <c r="Q26" s="663"/>
      <c r="R26" s="663"/>
      <c r="S26" s="579"/>
      <c r="T26" s="663"/>
      <c r="U26" s="3349"/>
      <c r="V26" s="3276" t="s">
        <v>1716</v>
      </c>
      <c r="W26" s="3276"/>
      <c r="X26" s="1538" t="str">
        <f>IF(HLOOKUP(Sheele!$D$5,'Tablas Sheele'!$C$29:$K$86,'Tablas Sheele'!B31,FALSE)=0,"",HLOOKUP(Sheele!$D$5,'Tablas Sheele'!$C$29:$K$86,'Tablas Sheele'!B31,FALSE))</f>
        <v/>
      </c>
      <c r="Y26" s="1399"/>
      <c r="Z26" s="1357">
        <f>IF(X26="",-30,X26+IF('Tablas Sheele'!F$119&gt;0,40+20*('Tablas Sheele'!F$119-1),0))+10*Y26</f>
        <v>-30</v>
      </c>
      <c r="AA26" s="616"/>
      <c r="AB26" s="606"/>
    </row>
    <row r="27" spans="1:53" ht="12" customHeight="1" x14ac:dyDescent="0.2">
      <c r="A27" s="603"/>
      <c r="B27" s="612"/>
      <c r="C27" s="4429"/>
      <c r="D27" s="4430"/>
      <c r="E27" s="4430"/>
      <c r="F27" s="4431"/>
      <c r="G27" s="4402"/>
      <c r="H27" s="4402"/>
      <c r="I27" s="4402"/>
      <c r="J27" s="4403"/>
      <c r="K27" s="663"/>
      <c r="L27" s="663"/>
      <c r="M27" s="663"/>
      <c r="N27" s="663"/>
      <c r="O27" s="663"/>
      <c r="P27" s="4382" t="s">
        <v>1678</v>
      </c>
      <c r="Q27" s="4383"/>
      <c r="R27" s="4383"/>
      <c r="S27" s="4384"/>
      <c r="T27" s="663"/>
      <c r="U27" s="3349"/>
      <c r="V27" s="3276" t="s">
        <v>1719</v>
      </c>
      <c r="W27" s="3276"/>
      <c r="X27" s="1538" t="str">
        <f>IF(HLOOKUP(Sheele!$D$5,'Tablas Sheele'!$C$29:$K$86,'Tablas Sheele'!B32,FALSE)=0,"",HLOOKUP(Sheele!$D$5,'Tablas Sheele'!$C$29:$K$86,'Tablas Sheele'!B32,FALSE))</f>
        <v/>
      </c>
      <c r="Y27" s="1399"/>
      <c r="Z27" s="1357">
        <f>IF(X27="",-30,X27+IF('Tablas Sheele'!F$119&gt;0,40+20*('Tablas Sheele'!F$119-1),0))+10*Y27</f>
        <v>-30</v>
      </c>
      <c r="AA27" s="616"/>
      <c r="AB27" s="606"/>
    </row>
    <row r="28" spans="1:53" ht="12" customHeight="1" x14ac:dyDescent="0.2">
      <c r="A28" s="603"/>
      <c r="B28" s="612"/>
      <c r="C28" s="4429"/>
      <c r="D28" s="4430"/>
      <c r="E28" s="4430"/>
      <c r="F28" s="4431"/>
      <c r="G28" s="4402"/>
      <c r="H28" s="4402"/>
      <c r="I28" s="4402"/>
      <c r="J28" s="4403"/>
      <c r="K28" s="663"/>
      <c r="L28" s="663"/>
      <c r="M28" s="663"/>
      <c r="N28" s="663"/>
      <c r="O28" s="663"/>
      <c r="P28" s="4426"/>
      <c r="Q28" s="4427"/>
      <c r="R28" s="4427"/>
      <c r="S28" s="4428"/>
      <c r="T28" s="663"/>
      <c r="U28" s="3349"/>
      <c r="V28" s="3276" t="s">
        <v>1723</v>
      </c>
      <c r="W28" s="3276"/>
      <c r="X28" s="1538" t="str">
        <f>IF(HLOOKUP(Sheele!$D$5,'Tablas Sheele'!$C$29:$K$86,'Tablas Sheele'!B33,FALSE)=0,"",HLOOKUP(Sheele!$D$5,'Tablas Sheele'!$C$29:$K$86,'Tablas Sheele'!B33,FALSE))</f>
        <v/>
      </c>
      <c r="Y28" s="1399"/>
      <c r="Z28" s="1357">
        <f>IF(X28="",-30,X28+IF('Tablas Sheele'!F$119&gt;0,40+20*('Tablas Sheele'!F$119-1),0))+10*Y28</f>
        <v>-30</v>
      </c>
      <c r="AA28" s="616"/>
      <c r="AB28" s="606"/>
    </row>
    <row r="29" spans="1:53" ht="12" customHeight="1" thickBot="1" x14ac:dyDescent="0.25">
      <c r="A29" s="603"/>
      <c r="B29" s="612"/>
      <c r="C29" s="4429"/>
      <c r="D29" s="4435"/>
      <c r="E29" s="4435"/>
      <c r="F29" s="4436"/>
      <c r="G29" s="4437"/>
      <c r="H29" s="4402"/>
      <c r="I29" s="4402"/>
      <c r="J29" s="4403"/>
      <c r="K29" s="663"/>
      <c r="L29" s="663"/>
      <c r="M29" s="663"/>
      <c r="N29" s="663"/>
      <c r="O29" s="663"/>
      <c r="P29" s="4438">
        <f>IF('Tablas Sheele'!F107&gt;0, N21*4, N21*2)+IF('Tablas Sheele'!F149&gt;0,250,0)</f>
        <v>50</v>
      </c>
      <c r="Q29" s="4439"/>
      <c r="R29" s="4444"/>
      <c r="S29" s="4445"/>
      <c r="T29" s="663"/>
      <c r="U29" s="3349"/>
      <c r="V29" s="3276" t="s">
        <v>1726</v>
      </c>
      <c r="W29" s="3276"/>
      <c r="X29" s="1538" t="str">
        <f>IF(HLOOKUP(Sheele!$D$5,'Tablas Sheele'!$C$29:$K$86,'Tablas Sheele'!B34,FALSE)=0,"",HLOOKUP(Sheele!$D$5,'Tablas Sheele'!$C$29:$K$86,'Tablas Sheele'!B34,FALSE))</f>
        <v/>
      </c>
      <c r="Y29" s="1399"/>
      <c r="Z29" s="1357">
        <f>IF(X29="",-30,X29+IF('Tablas Sheele'!F$119&gt;0,40+20*('Tablas Sheele'!F$119-1),0))+10*Y29</f>
        <v>-30</v>
      </c>
      <c r="AA29" s="616"/>
      <c r="AB29" s="606"/>
    </row>
    <row r="30" spans="1:53" ht="12" customHeight="1" x14ac:dyDescent="0.2">
      <c r="A30" s="603"/>
      <c r="B30" s="612"/>
      <c r="C30" s="4429"/>
      <c r="D30" s="4435"/>
      <c r="E30" s="4435"/>
      <c r="F30" s="4436"/>
      <c r="G30" s="4437"/>
      <c r="H30" s="4402"/>
      <c r="I30" s="4402"/>
      <c r="J30" s="4403"/>
      <c r="K30" s="663"/>
      <c r="L30" s="4450" t="s">
        <v>1696</v>
      </c>
      <c r="M30" s="4451"/>
      <c r="N30" s="4452"/>
      <c r="O30" s="663"/>
      <c r="P30" s="4440"/>
      <c r="Q30" s="4441"/>
      <c r="R30" s="4446"/>
      <c r="S30" s="4447"/>
      <c r="T30" s="663"/>
      <c r="U30" s="3349"/>
      <c r="V30" s="3276" t="s">
        <v>1729</v>
      </c>
      <c r="W30" s="3276"/>
      <c r="X30" s="1538" t="str">
        <f>IF(HLOOKUP(Sheele!$D$5,'Tablas Sheele'!$C$29:$K$86,'Tablas Sheele'!B35,FALSE)=0,"",HLOOKUP(Sheele!$D$5,'Tablas Sheele'!$C$29:$K$86,'Tablas Sheele'!B35,FALSE))</f>
        <v/>
      </c>
      <c r="Y30" s="1399"/>
      <c r="Z30" s="1357">
        <f>IF(X30="",-30,X30+IF('Tablas Sheele'!F$119&gt;0,40+20*('Tablas Sheele'!F$119-1),0))+10*Y30</f>
        <v>-30</v>
      </c>
      <c r="AA30" s="616"/>
      <c r="AB30" s="606"/>
    </row>
    <row r="31" spans="1:53" ht="12" customHeight="1" x14ac:dyDescent="0.2">
      <c r="A31" s="603"/>
      <c r="B31" s="612"/>
      <c r="C31" s="4429"/>
      <c r="D31" s="4435"/>
      <c r="E31" s="4435"/>
      <c r="F31" s="4436"/>
      <c r="G31" s="1552"/>
      <c r="H31" s="1552"/>
      <c r="I31" s="1552"/>
      <c r="J31" s="1553"/>
      <c r="K31" s="663"/>
      <c r="L31" s="4457">
        <f>G9</f>
        <v>8</v>
      </c>
      <c r="M31" s="4465" t="s">
        <v>1893</v>
      </c>
      <c r="N31" s="4466"/>
      <c r="O31" s="663"/>
      <c r="P31" s="4440"/>
      <c r="Q31" s="4441"/>
      <c r="R31" s="4446"/>
      <c r="S31" s="4447"/>
      <c r="T31" s="663"/>
      <c r="U31" s="3350"/>
      <c r="V31" s="4424" t="s">
        <v>7754</v>
      </c>
      <c r="W31" s="4425"/>
      <c r="X31" s="533" t="str">
        <f>IF(HLOOKUP(Sheele!$D$5,'Tablas Sheele'!$C$29:$K$86,'Tablas Sheele'!B36,FALSE)=0,"",HLOOKUP(Sheele!$D$5,'Tablas Sheele'!$C$29:$K$86,'Tablas Sheele'!B36,FALSE))</f>
        <v/>
      </c>
      <c r="Y31" s="1400"/>
      <c r="Z31" s="1358">
        <f>IF(X31="",-30,X31+IF('Tablas Sheele'!F$119&gt;0,40+20*('Tablas Sheele'!F$119-1),0))+10*Y31</f>
        <v>-30</v>
      </c>
      <c r="AA31" s="653"/>
      <c r="AB31" s="606"/>
    </row>
    <row r="32" spans="1:53" ht="12" customHeight="1" thickBot="1" x14ac:dyDescent="0.25">
      <c r="A32" s="603"/>
      <c r="B32" s="612"/>
      <c r="C32" s="4467" t="s">
        <v>3287</v>
      </c>
      <c r="D32" s="4468"/>
      <c r="E32" s="4468"/>
      <c r="F32" s="4468"/>
      <c r="G32" s="4468"/>
      <c r="H32" s="4468"/>
      <c r="I32" s="4468"/>
      <c r="J32" s="650">
        <f>COUNTBLANK(E33:E36)+COUNTBLANK(G33:G36)+COUNTBLANK(I33:I36)+COUNTBLANK(C33:C36)-16+'Tablas Sheele'!F109</f>
        <v>0</v>
      </c>
      <c r="K32" s="663"/>
      <c r="L32" s="4457"/>
      <c r="M32" s="4465" t="e">
        <f>IF(L31&lt;1,"",VLOOKUP(L31,Tablas!$I$37:$J$57,2,FALSE))</f>
        <v>#N/A</v>
      </c>
      <c r="N32" s="4466"/>
      <c r="O32" s="663"/>
      <c r="P32" s="4442"/>
      <c r="Q32" s="4443"/>
      <c r="R32" s="4448"/>
      <c r="S32" s="4449"/>
      <c r="T32" s="663"/>
      <c r="U32" s="3349" t="s">
        <v>1732</v>
      </c>
      <c r="V32" s="3276" t="s">
        <v>1733</v>
      </c>
      <c r="W32" s="3276"/>
      <c r="X32" s="1538" t="str">
        <f>IF(HLOOKUP(Sheele!$D$5,'Tablas Sheele'!$C$29:$K$86,'Tablas Sheele'!B37,FALSE)=0,"",HLOOKUP(Sheele!$D$5,'Tablas Sheele'!$C$29:$K$86,'Tablas Sheele'!B37,FALSE))</f>
        <v/>
      </c>
      <c r="Y32" s="1399"/>
      <c r="Z32" s="1357">
        <f>IF(X32="",-30,X32+IF('Tablas Sheele'!F$119&gt;0,40+20*('Tablas Sheele'!F$119-1),0))+10*Y32</f>
        <v>-30</v>
      </c>
      <c r="AA32" s="616"/>
      <c r="AB32" s="606"/>
    </row>
    <row r="33" spans="1:28" ht="12" customHeight="1" thickBot="1" x14ac:dyDescent="0.25">
      <c r="A33" s="603"/>
      <c r="B33" s="612"/>
      <c r="C33" s="4469"/>
      <c r="D33" s="4470"/>
      <c r="E33" s="4471"/>
      <c r="F33" s="4470"/>
      <c r="G33" s="4471"/>
      <c r="H33" s="4470"/>
      <c r="I33" s="4471"/>
      <c r="J33" s="4472"/>
      <c r="K33" s="663"/>
      <c r="L33" s="4453">
        <f>IF('Tablas Sheele'!F117&gt;0,14,VLOOKUP(D40,'Tablas Sheele'!C204:M243,10,FALSE))</f>
        <v>10</v>
      </c>
      <c r="M33" s="4455" t="s">
        <v>1945</v>
      </c>
      <c r="N33" s="4456"/>
      <c r="O33" s="663"/>
      <c r="P33" s="663"/>
      <c r="Q33" s="663"/>
      <c r="R33" s="663"/>
      <c r="S33" s="579"/>
      <c r="T33" s="663"/>
      <c r="U33" s="3349"/>
      <c r="V33" s="3276" t="s">
        <v>1735</v>
      </c>
      <c r="W33" s="3276"/>
      <c r="X33" s="1538" t="str">
        <f>IF(HLOOKUP(Sheele!$D$5,'Tablas Sheele'!$C$29:$K$86,'Tablas Sheele'!B38,FALSE)=0,"",HLOOKUP(Sheele!$D$5,'Tablas Sheele'!$C$29:$K$86,'Tablas Sheele'!B38,FALSE))</f>
        <v/>
      </c>
      <c r="Y33" s="1399"/>
      <c r="Z33" s="1357">
        <f>IF(X33="",-30,X33+IF('Tablas Sheele'!F$119&gt;0,40+20*('Tablas Sheele'!F$119-1),0))+10*Y33</f>
        <v>-30</v>
      </c>
      <c r="AA33" s="616"/>
      <c r="AB33" s="606"/>
    </row>
    <row r="34" spans="1:28" ht="12" customHeight="1" thickBot="1" x14ac:dyDescent="0.25">
      <c r="A34" s="603"/>
      <c r="B34" s="651"/>
      <c r="C34" s="4429"/>
      <c r="D34" s="4436"/>
      <c r="E34" s="4458"/>
      <c r="F34" s="4436"/>
      <c r="G34" s="4458"/>
      <c r="H34" s="4436"/>
      <c r="I34" s="4458"/>
      <c r="J34" s="4459"/>
      <c r="K34" s="663"/>
      <c r="L34" s="4454"/>
      <c r="M34" s="4460" t="e">
        <f>IF(L33&lt;1,"",VLOOKUP(L33,Tablas!$I$37:$J$57,2,FALSE))</f>
        <v>#N/A</v>
      </c>
      <c r="N34" s="4461"/>
      <c r="O34" s="663"/>
      <c r="P34" s="4462" t="s">
        <v>1677</v>
      </c>
      <c r="Q34" s="4463"/>
      <c r="R34" s="4463"/>
      <c r="S34" s="4464"/>
      <c r="T34" s="663"/>
      <c r="U34" s="3349"/>
      <c r="V34" s="3276" t="s">
        <v>1738</v>
      </c>
      <c r="W34" s="3276"/>
      <c r="X34" s="1538" t="str">
        <f>IF(HLOOKUP(Sheele!$D$5,'Tablas Sheele'!$C$29:$K$86,'Tablas Sheele'!B39,FALSE)=0,"",HLOOKUP(Sheele!$D$5,'Tablas Sheele'!$C$29:$K$86,'Tablas Sheele'!B39,FALSE))</f>
        <v/>
      </c>
      <c r="Y34" s="1399"/>
      <c r="Z34" s="1357">
        <f>IF(X34="",-30,X34+IF('Tablas Sheele'!F$119&gt;0,40+20*('Tablas Sheele'!F$119-1),0))+10*Y34</f>
        <v>-30</v>
      </c>
      <c r="AA34" s="616"/>
      <c r="AB34" s="606"/>
    </row>
    <row r="35" spans="1:28" ht="12" customHeight="1" x14ac:dyDescent="0.2">
      <c r="A35" s="603"/>
      <c r="B35" s="651"/>
      <c r="C35" s="4429"/>
      <c r="D35" s="4436"/>
      <c r="E35" s="4458"/>
      <c r="F35" s="4436"/>
      <c r="G35" s="4458"/>
      <c r="H35" s="4436"/>
      <c r="I35" s="4458"/>
      <c r="J35" s="4459"/>
      <c r="K35" s="663"/>
      <c r="L35" s="4457" t="str">
        <f>IF('Tablas Sheele'!F128&gt;0,15,IF(D5='Tablas Sheele'!C6,10,IF('Tablas Sheele'!F153&gt;0,L31,"-")))</f>
        <v>-</v>
      </c>
      <c r="M35" s="4465" t="str">
        <f>IF(D5='Tablas Sheele'!C6,"Acuático",IF('Tablas Sheele'!F153&gt;0,"Subterráneo","Otros"))</f>
        <v>Otros</v>
      </c>
      <c r="N35" s="4466"/>
      <c r="O35" s="663"/>
      <c r="P35" s="4473">
        <f>VLOOKUP(G10,Tablas!C37:G65,2)</f>
        <v>0</v>
      </c>
      <c r="Q35" s="4475" t="str">
        <f>IF(D5='Tablas Sheele'!C11,"5 PV / asalto",IF('Tablas Sheele'!F132&gt;0,"10 PV / asalto",VLOOKUP(P35,Tablas!D38:G65,2)))</f>
        <v>Ninguna</v>
      </c>
      <c r="R35" s="4476"/>
      <c r="S35" s="4477"/>
      <c r="T35" s="663"/>
      <c r="U35" s="3349"/>
      <c r="V35" s="3276" t="s">
        <v>1740</v>
      </c>
      <c r="W35" s="3276"/>
      <c r="X35" s="1538" t="str">
        <f>IF(HLOOKUP(Sheele!$D$5,'Tablas Sheele'!$C$29:$K$86,'Tablas Sheele'!B40,FALSE)=0,"",HLOOKUP(Sheele!$D$5,'Tablas Sheele'!$C$29:$K$86,'Tablas Sheele'!B40,FALSE))</f>
        <v/>
      </c>
      <c r="Y35" s="1399"/>
      <c r="Z35" s="1357">
        <f>IF(X35="",-30,X35+IF('Tablas Sheele'!F$119&gt;0,40+20*('Tablas Sheele'!F$119-1),0))+10*Y35</f>
        <v>-30</v>
      </c>
      <c r="AA35" s="616"/>
      <c r="AB35" s="606"/>
    </row>
    <row r="36" spans="1:28" ht="12" customHeight="1" thickBot="1" x14ac:dyDescent="0.25">
      <c r="A36" s="603"/>
      <c r="B36" s="651"/>
      <c r="C36" s="4478"/>
      <c r="D36" s="4479"/>
      <c r="E36" s="4480"/>
      <c r="F36" s="4479"/>
      <c r="G36" s="4480"/>
      <c r="H36" s="4479"/>
      <c r="I36" s="4480"/>
      <c r="J36" s="4481"/>
      <c r="K36" s="663"/>
      <c r="L36" s="4487"/>
      <c r="M36" s="4482" t="str">
        <f>IF(L35="-","-",VLOOKUP(L35,Tablas!$I$37:$J$57,2,FALSE))</f>
        <v>-</v>
      </c>
      <c r="N36" s="4483"/>
      <c r="O36" s="663"/>
      <c r="P36" s="4474"/>
      <c r="Q36" s="4484" t="str">
        <f>VLOOKUP(P35,Tablas!D38:G65,4)</f>
        <v>Ninguna</v>
      </c>
      <c r="R36" s="4485"/>
      <c r="S36" s="4486"/>
      <c r="T36" s="663"/>
      <c r="U36" s="3349"/>
      <c r="V36" s="3276" t="s">
        <v>1085</v>
      </c>
      <c r="W36" s="3276"/>
      <c r="X36" s="1538" t="str">
        <f>IF(HLOOKUP(Sheele!$D$5,'Tablas Sheele'!$C$29:$K$86,'Tablas Sheele'!B41,FALSE)=0,"",HLOOKUP(Sheele!$D$5,'Tablas Sheele'!$C$29:$K$86,'Tablas Sheele'!B41,FALSE))</f>
        <v/>
      </c>
      <c r="Y36" s="1399"/>
      <c r="Z36" s="1357">
        <f>IF(X36="",-30,X36+IF('Tablas Sheele'!F$119&gt;0,40+20*('Tablas Sheele'!F$119-1),0))+10*Y36</f>
        <v>-30</v>
      </c>
      <c r="AA36" s="653"/>
      <c r="AB36" s="606"/>
    </row>
    <row r="37" spans="1:28" ht="12" customHeight="1" thickBot="1" x14ac:dyDescent="0.25">
      <c r="A37" s="603"/>
      <c r="B37" s="651"/>
      <c r="C37" s="663"/>
      <c r="D37" s="663"/>
      <c r="E37" s="663"/>
      <c r="F37" s="663"/>
      <c r="G37" s="663"/>
      <c r="H37" s="663"/>
      <c r="I37" s="663"/>
      <c r="J37" s="663"/>
      <c r="K37" s="663"/>
      <c r="L37" s="663"/>
      <c r="M37" s="663"/>
      <c r="N37" s="663"/>
      <c r="O37" s="663"/>
      <c r="P37" s="663"/>
      <c r="Q37" s="663"/>
      <c r="R37" s="663"/>
      <c r="S37" s="663"/>
      <c r="T37" s="663"/>
      <c r="U37" s="3349"/>
      <c r="V37" s="3276" t="s">
        <v>1086</v>
      </c>
      <c r="W37" s="3276"/>
      <c r="X37" s="1538" t="str">
        <f>IF(HLOOKUP(Sheele!$D$5,'Tablas Sheele'!$C$29:$K$86,'Tablas Sheele'!B42,FALSE)=0,"",HLOOKUP(Sheele!$D$5,'Tablas Sheele'!$C$29:$K$86,'Tablas Sheele'!B42,FALSE))</f>
        <v/>
      </c>
      <c r="Y37" s="1399"/>
      <c r="Z37" s="1357">
        <f>IF(X37="",-30,X37+IF('Tablas Sheele'!F$119&gt;0,40+20*('Tablas Sheele'!F$119-1),0))+10*Y37</f>
        <v>-30</v>
      </c>
      <c r="AA37" s="653"/>
      <c r="AB37" s="606"/>
    </row>
    <row r="38" spans="1:28" ht="12" customHeight="1" x14ac:dyDescent="0.2">
      <c r="A38" s="603"/>
      <c r="B38" s="651"/>
      <c r="C38" s="4393" t="s">
        <v>3289</v>
      </c>
      <c r="D38" s="4394"/>
      <c r="E38" s="4394"/>
      <c r="F38" s="4394"/>
      <c r="G38" s="4394"/>
      <c r="H38" s="4394"/>
      <c r="I38" s="4394"/>
      <c r="J38" s="4394"/>
      <c r="K38" s="4394"/>
      <c r="L38" s="4394"/>
      <c r="M38" s="4394"/>
      <c r="N38" s="4394"/>
      <c r="O38" s="4394"/>
      <c r="P38" s="4394"/>
      <c r="Q38" s="4394"/>
      <c r="R38" s="4394"/>
      <c r="S38" s="4395"/>
      <c r="T38" s="663"/>
      <c r="U38" s="3349"/>
      <c r="V38" s="4424" t="s">
        <v>1087</v>
      </c>
      <c r="W38" s="4425"/>
      <c r="X38" s="533" t="str">
        <f>IF(HLOOKUP(Sheele!$D$5,'Tablas Sheele'!$C$29:$K$86,'Tablas Sheele'!B43,FALSE)=0,"",HLOOKUP(Sheele!$D$5,'Tablas Sheele'!$C$29:$K$86,'Tablas Sheele'!B43,FALSE))</f>
        <v/>
      </c>
      <c r="Y38" s="1400"/>
      <c r="Z38" s="1358">
        <f>IF(X38="",-30,X38+IF('Tablas Sheele'!F$119&gt;0,40+20*('Tablas Sheele'!F$119-1),0))+10*Y38</f>
        <v>-30</v>
      </c>
      <c r="AA38" s="653"/>
      <c r="AB38" s="606"/>
    </row>
    <row r="39" spans="1:28" ht="12" customHeight="1" x14ac:dyDescent="0.2">
      <c r="A39" s="603"/>
      <c r="B39" s="651"/>
      <c r="C39" s="4491" t="s">
        <v>3290</v>
      </c>
      <c r="D39" s="4492"/>
      <c r="E39" s="654" t="s">
        <v>3101</v>
      </c>
      <c r="F39" s="1554" t="s">
        <v>3291</v>
      </c>
      <c r="G39" s="654" t="s">
        <v>1882</v>
      </c>
      <c r="H39" s="4432" t="s">
        <v>1861</v>
      </c>
      <c r="I39" s="4493"/>
      <c r="J39" s="4493"/>
      <c r="K39" s="4493"/>
      <c r="L39" s="4493"/>
      <c r="M39" s="4493"/>
      <c r="N39" s="4493"/>
      <c r="O39" s="4493"/>
      <c r="P39" s="4493"/>
      <c r="Q39" s="4493"/>
      <c r="R39" s="4493"/>
      <c r="S39" s="4494"/>
      <c r="T39" s="663"/>
      <c r="U39" s="3524" t="s">
        <v>1741</v>
      </c>
      <c r="V39" s="3276" t="s">
        <v>1742</v>
      </c>
      <c r="W39" s="3276"/>
      <c r="X39" s="1538">
        <f>IF(HLOOKUP(Sheele!$D$5,'Tablas Sheele'!$C$29:$K$86,'Tablas Sheele'!B44,FALSE)=0,"",HLOOKUP(Sheele!$D$5,'Tablas Sheele'!$C$29:$K$86,'Tablas Sheele'!B44,FALSE))</f>
        <v>30</v>
      </c>
      <c r="Y39" s="1399"/>
      <c r="Z39" s="1357">
        <f>IF(X39="",-30,X39+IF('Tablas Sheele'!F$119&gt;0,40+20*('Tablas Sheele'!F$119-1),0))+10*Y39</f>
        <v>30</v>
      </c>
      <c r="AA39" s="616" t="s">
        <v>3288</v>
      </c>
      <c r="AB39" s="606"/>
    </row>
    <row r="40" spans="1:28" ht="12" customHeight="1" x14ac:dyDescent="0.2">
      <c r="A40" s="603"/>
      <c r="B40" s="651"/>
      <c r="C40" s="655"/>
      <c r="D40" s="1340" t="str">
        <f>VLOOKUP($D$5,'Tablas Sheele'!$C$204:$J$243,ROW()-37,FALSE)</f>
        <v>Vuelo Místico 10</v>
      </c>
      <c r="E40" s="1559" t="str">
        <f>IF($D40=" ","","-")</f>
        <v>-</v>
      </c>
      <c r="F40" s="1559" t="str">
        <f>IF($D40=" ","","-")</f>
        <v>-</v>
      </c>
      <c r="G40" s="656" t="str">
        <f>IF($D40=" ","","-")</f>
        <v>-</v>
      </c>
      <c r="H40" s="4495" t="str">
        <f>IF(D40=" ","",VLOOKUP(D40,'Tablas Sheele'!$C$204:$J$243,3,FALSE))</f>
        <v>Puede volar con Tipo de Movimiento 10</v>
      </c>
      <c r="I40" s="4496"/>
      <c r="J40" s="4496"/>
      <c r="K40" s="4496"/>
      <c r="L40" s="4496"/>
      <c r="M40" s="4496"/>
      <c r="N40" s="4496"/>
      <c r="O40" s="4496"/>
      <c r="P40" s="4496"/>
      <c r="Q40" s="4496"/>
      <c r="R40" s="4496"/>
      <c r="S40" s="4497"/>
      <c r="T40" s="663"/>
      <c r="U40" s="3349"/>
      <c r="V40" s="3276" t="s">
        <v>1743</v>
      </c>
      <c r="W40" s="3276"/>
      <c r="X40" s="1538">
        <f>IF(HLOOKUP(Sheele!$D$5,'Tablas Sheele'!$C$29:$K$86,'Tablas Sheele'!B45,FALSE)=0,"",HLOOKUP(Sheele!$D$5,'Tablas Sheele'!$C$29:$K$86,'Tablas Sheele'!B45,FALSE))</f>
        <v>10</v>
      </c>
      <c r="Y40" s="1399"/>
      <c r="Z40" s="1357">
        <f>IF(X40="",-30,X40+IF('Tablas Sheele'!F$119&gt;0,40+20*('Tablas Sheele'!F$119-1),0))+10*Y40+IF('Tablas Sheele'!F161&gt;0,100,0)</f>
        <v>10</v>
      </c>
      <c r="AA40" s="616" t="s">
        <v>3288</v>
      </c>
      <c r="AB40" s="606"/>
    </row>
    <row r="41" spans="1:28" ht="12" customHeight="1" x14ac:dyDescent="0.2">
      <c r="A41" s="603"/>
      <c r="B41" s="651"/>
      <c r="C41" s="657"/>
      <c r="D41" s="1341" t="str">
        <f>VLOOKUP($D$5,'Tablas Sheele'!$C$204:$J$243,ROW()-37,FALSE)</f>
        <v>Movimiento Defensivo</v>
      </c>
      <c r="E41" s="1342" t="str">
        <f>IF($D41=" ","","-")</f>
        <v>-</v>
      </c>
      <c r="F41" s="1342" t="str">
        <f>IF($D41=" ","",IF(D41='Tablas Sheele'!C216,Sheele!N10,"-"))</f>
        <v>-</v>
      </c>
      <c r="G41" s="658" t="str">
        <f>IF($D41=" ","","-")</f>
        <v>-</v>
      </c>
      <c r="H41" s="4512" t="str">
        <f>IF(D41=" ","",VLOOKUP(D41,'Tablas Sheele'!$C$204:$J$243,3,FALSE))</f>
        <v>Usa su Proyección Mágica como Esquiva.</v>
      </c>
      <c r="I41" s="4513"/>
      <c r="J41" s="4513"/>
      <c r="K41" s="4513"/>
      <c r="L41" s="4513"/>
      <c r="M41" s="4513"/>
      <c r="N41" s="4513"/>
      <c r="O41" s="4513"/>
      <c r="P41" s="4513"/>
      <c r="Q41" s="4513"/>
      <c r="R41" s="4513"/>
      <c r="S41" s="4514"/>
      <c r="T41" s="663"/>
      <c r="U41" s="3350"/>
      <c r="V41" s="4424" t="s">
        <v>1744</v>
      </c>
      <c r="W41" s="4425"/>
      <c r="X41" s="533" t="str">
        <f>IF(HLOOKUP(Sheele!$D$5,'Tablas Sheele'!$C$29:$K$86,'Tablas Sheele'!B46,FALSE)=0,"",HLOOKUP(Sheele!$D$5,'Tablas Sheele'!$C$29:$K$86,'Tablas Sheele'!B46,FALSE))</f>
        <v/>
      </c>
      <c r="Y41" s="1400"/>
      <c r="Z41" s="1358">
        <f>IF(X41="",-30,X41+IF('Tablas Sheele'!F$119&gt;0,40+20*('Tablas Sheele'!F$119-1),0))+10*Y41</f>
        <v>-30</v>
      </c>
      <c r="AA41" s="653"/>
      <c r="AB41" s="606"/>
    </row>
    <row r="42" spans="1:28" ht="12" customHeight="1" x14ac:dyDescent="0.2">
      <c r="A42" s="603"/>
      <c r="B42" s="651"/>
      <c r="C42" s="657"/>
      <c r="D42" s="1341" t="str">
        <f>VLOOKUP($D$5,'Tablas Sheele'!$C$204:$J$243,ROW()-37,FALSE)</f>
        <v xml:space="preserve"> </v>
      </c>
      <c r="E42" s="1342" t="str">
        <f>IF($D42=" ","","-")</f>
        <v/>
      </c>
      <c r="F42" s="1342" t="str">
        <f>IF($D42=" ","","-")</f>
        <v/>
      </c>
      <c r="G42" s="658" t="str">
        <f>IF($D42=" ","","-")</f>
        <v/>
      </c>
      <c r="H42" s="4512" t="str">
        <f>IF(D42=" ","",VLOOKUP(D42,'Tablas Sheele'!$C$204:$J$243,3,FALSE))</f>
        <v/>
      </c>
      <c r="I42" s="4513"/>
      <c r="J42" s="4513"/>
      <c r="K42" s="4513"/>
      <c r="L42" s="4513"/>
      <c r="M42" s="4513"/>
      <c r="N42" s="4513"/>
      <c r="O42" s="4513"/>
      <c r="P42" s="4513"/>
      <c r="Q42" s="4513"/>
      <c r="R42" s="4513"/>
      <c r="S42" s="4514"/>
      <c r="T42" s="663"/>
      <c r="U42" s="3349" t="s">
        <v>1745</v>
      </c>
      <c r="V42" s="3276" t="s">
        <v>1746</v>
      </c>
      <c r="W42" s="3276"/>
      <c r="X42" s="1538" t="str">
        <f>IF(HLOOKUP(Sheele!$D$5,'Tablas Sheele'!$C$29:$K$86,'Tablas Sheele'!B47,FALSE)=0,"",HLOOKUP(Sheele!$D$5,'Tablas Sheele'!$C$29:$K$86,'Tablas Sheele'!B47,FALSE))</f>
        <v/>
      </c>
      <c r="Y42" s="1399"/>
      <c r="Z42" s="1357">
        <f>IF(X42="",-30,X42+IF('Tablas Sheele'!F$119&gt;0,40+20*('Tablas Sheele'!F$119-1),0))+10*Y42</f>
        <v>-30</v>
      </c>
      <c r="AA42" s="653"/>
      <c r="AB42" s="606"/>
    </row>
    <row r="43" spans="1:28" ht="12" customHeight="1" x14ac:dyDescent="0.2">
      <c r="A43" s="603"/>
      <c r="B43" s="612"/>
      <c r="C43" s="1344"/>
      <c r="D43" s="1343" t="str">
        <f>VLOOKUP($D$5,'Tablas Sheele'!$C$204:$J$243,ROW()-37,FALSE)</f>
        <v xml:space="preserve"> </v>
      </c>
      <c r="E43" s="659" t="str">
        <f>IF($D43=" ","","-")</f>
        <v/>
      </c>
      <c r="F43" s="659" t="str">
        <f>IF($D43=" ","","-")</f>
        <v/>
      </c>
      <c r="G43" s="660" t="str">
        <f>IF($D43=" ","","-")</f>
        <v/>
      </c>
      <c r="H43" s="4488" t="str">
        <f>IF(D43=" ","",VLOOKUP(D43,'Tablas Sheele'!$C$204:$J$243,3,FALSE))</f>
        <v/>
      </c>
      <c r="I43" s="4489"/>
      <c r="J43" s="4489"/>
      <c r="K43" s="4489"/>
      <c r="L43" s="4489"/>
      <c r="M43" s="4489"/>
      <c r="N43" s="4489"/>
      <c r="O43" s="4489"/>
      <c r="P43" s="4489"/>
      <c r="Q43" s="4489"/>
      <c r="R43" s="4489"/>
      <c r="S43" s="4490"/>
      <c r="T43" s="663"/>
      <c r="U43" s="3349"/>
      <c r="V43" s="3276" t="str">
        <f>IF($D$5='Tablas Sheele'!$C$8,"Ciencia (geología)","Ciencia")</f>
        <v>Ciencia</v>
      </c>
      <c r="W43" s="3276"/>
      <c r="X43" s="1538" t="str">
        <f>IF(HLOOKUP(Sheele!$D$5,'Tablas Sheele'!$C$29:$K$86,'Tablas Sheele'!B48,FALSE)=0,"",HLOOKUP(Sheele!$D$5,'Tablas Sheele'!$C$29:$K$86,'Tablas Sheele'!B48,FALSE))</f>
        <v/>
      </c>
      <c r="Y43" s="1399"/>
      <c r="Z43" s="1357" t="str">
        <f>IF(Principal!Q40="-","-",MIN(Principal!Q39,IF(X43="",-30,X43+IF('Tablas Sheele'!F$119&gt;0,40+20*('Tablas Sheele'!F$119-1),0))+10*Y43))</f>
        <v>-</v>
      </c>
      <c r="AA43" s="616" t="s">
        <v>7705</v>
      </c>
      <c r="AB43" s="606"/>
    </row>
    <row r="44" spans="1:28" ht="12" customHeight="1" x14ac:dyDescent="0.2">
      <c r="A44" s="603"/>
      <c r="B44" s="612"/>
      <c r="C44" s="4498" t="str">
        <f>IF(COUNTA($C$43:C43)&lt;'Tablas Sheele'!$H$199,VLOOKUP('Tablas Sheele'!A1,'Tablas Sheele'!$B$111:$R$198,2,FALSE),"")</f>
        <v/>
      </c>
      <c r="D44" s="4499"/>
      <c r="E44" s="1559" t="str">
        <f>IF($C44="","",VLOOKUP('Tablas Sheele'!$A1,'Tablas Sheele'!$B$111:$R198,8,FALSE))</f>
        <v/>
      </c>
      <c r="F44" s="1559" t="str">
        <f>IF($C44="","",VLOOKUP('Tablas Sheele'!$A1,'Tablas Sheele'!$B$111:$R198,9,FALSE))</f>
        <v/>
      </c>
      <c r="G44" s="656" t="str">
        <f>IF($C44="","",VLOOKUP('Tablas Sheele'!$A1,'Tablas Sheele'!$B$111:$R198,10,FALSE))</f>
        <v/>
      </c>
      <c r="H44" s="4503" t="str">
        <f>IF($C44="","",VLOOKUP('Tablas Sheele'!$A1,'Tablas Sheele'!$B$111:$R198,11,FALSE))</f>
        <v/>
      </c>
      <c r="I44" s="4504"/>
      <c r="J44" s="4504"/>
      <c r="K44" s="4504"/>
      <c r="L44" s="4504"/>
      <c r="M44" s="4504"/>
      <c r="N44" s="4504"/>
      <c r="O44" s="4504"/>
      <c r="P44" s="4504"/>
      <c r="Q44" s="4504"/>
      <c r="R44" s="4504"/>
      <c r="S44" s="4505"/>
      <c r="T44" s="663"/>
      <c r="U44" s="3349"/>
      <c r="V44" s="3276" t="s">
        <v>2993</v>
      </c>
      <c r="W44" s="3276"/>
      <c r="X44" s="1538" t="str">
        <f>IF(HLOOKUP(Sheele!$D$5,'Tablas Sheele'!$C$29:$K$86,'Tablas Sheele'!B49,FALSE)=0,"",HLOOKUP(Sheele!$D$5,'Tablas Sheele'!$C$29:$K$86,'Tablas Sheele'!B49,FALSE))</f>
        <v/>
      </c>
      <c r="Y44" s="1399"/>
      <c r="Z44" s="1357">
        <f>IF(X44="",-30,X44+IF('Tablas Sheele'!F$119&gt;0,40+20*('Tablas Sheele'!F$119-1),0))+10*Y44</f>
        <v>-30</v>
      </c>
      <c r="AA44" s="653"/>
      <c r="AB44" s="606"/>
    </row>
    <row r="45" spans="1:28" ht="12" customHeight="1" x14ac:dyDescent="0.2">
      <c r="A45" s="603"/>
      <c r="B45" s="612"/>
      <c r="C45" s="4498" t="str">
        <f>IF(COUNTA($C$43:C44)&lt;'Tablas Sheele'!$H$199,VLOOKUP('Tablas Sheele'!A2,'Tablas Sheele'!$B$111:$R$198,2,FALSE),"")</f>
        <v/>
      </c>
      <c r="D45" s="4499"/>
      <c r="E45" s="1342" t="str">
        <f>IF($C45="","",VLOOKUP('Tablas Sheele'!$A2,'Tablas Sheele'!$B$111:$R199,8,FALSE))</f>
        <v/>
      </c>
      <c r="F45" s="1342" t="str">
        <f>IF($C45="","",VLOOKUP('Tablas Sheele'!$A2,'Tablas Sheele'!$B$111:$R199,9,FALSE))</f>
        <v/>
      </c>
      <c r="G45" s="658" t="str">
        <f>IF($C45="","",VLOOKUP('Tablas Sheele'!$A2,'Tablas Sheele'!$B$111:$R199,10,FALSE))</f>
        <v/>
      </c>
      <c r="H45" s="4500" t="str">
        <f>IF($C45="","",VLOOKUP('Tablas Sheele'!$A2,'Tablas Sheele'!$B$111:$R199,11,FALSE))</f>
        <v/>
      </c>
      <c r="I45" s="4501"/>
      <c r="J45" s="4501"/>
      <c r="K45" s="4501"/>
      <c r="L45" s="4501"/>
      <c r="M45" s="4501"/>
      <c r="N45" s="4501"/>
      <c r="O45" s="4501"/>
      <c r="P45" s="4501"/>
      <c r="Q45" s="4501"/>
      <c r="R45" s="4501"/>
      <c r="S45" s="4502"/>
      <c r="T45" s="663"/>
      <c r="U45" s="3349"/>
      <c r="V45" s="3276" t="s">
        <v>1748</v>
      </c>
      <c r="W45" s="3276"/>
      <c r="X45" s="1538" t="str">
        <f>IF(HLOOKUP(Sheele!$D$5,'Tablas Sheele'!$C$29:$K$86,'Tablas Sheele'!B50,FALSE)=0,"",HLOOKUP(Sheele!$D$5,'Tablas Sheele'!$C$29:$K$86,'Tablas Sheele'!B50,FALSE))</f>
        <v/>
      </c>
      <c r="Y45" s="1399"/>
      <c r="Z45" s="1357">
        <f>IF(X45="",-30,X45+IF('Tablas Sheele'!F$119&gt;0,40+20*('Tablas Sheele'!F$119-1),0))+10*Y45</f>
        <v>-30</v>
      </c>
      <c r="AA45" s="616"/>
      <c r="AB45" s="606"/>
    </row>
    <row r="46" spans="1:28" ht="12" customHeight="1" x14ac:dyDescent="0.2">
      <c r="A46" s="603"/>
      <c r="B46" s="612"/>
      <c r="C46" s="4498" t="str">
        <f>IF(COUNTA($C$43:C45)&lt;'Tablas Sheele'!$H$199,VLOOKUP('Tablas Sheele'!A3,'Tablas Sheele'!$B$111:$R$198,2,FALSE),"")</f>
        <v/>
      </c>
      <c r="D46" s="4499"/>
      <c r="E46" s="1342" t="str">
        <f>IF($C46="","",VLOOKUP('Tablas Sheele'!$A3,'Tablas Sheele'!$B$111:$R200,8,FALSE))</f>
        <v/>
      </c>
      <c r="F46" s="1342" t="str">
        <f>IF($C46="","",VLOOKUP('Tablas Sheele'!$A3,'Tablas Sheele'!$B$111:$R200,9,FALSE))</f>
        <v/>
      </c>
      <c r="G46" s="658" t="str">
        <f>IF($C46="","",VLOOKUP('Tablas Sheele'!$A3,'Tablas Sheele'!$B$111:$R200,10,FALSE))</f>
        <v/>
      </c>
      <c r="H46" s="4500" t="str">
        <f>IF($C46="","",VLOOKUP('Tablas Sheele'!$A3,'Tablas Sheele'!$B$111:$R200,11,FALSE))</f>
        <v/>
      </c>
      <c r="I46" s="4501"/>
      <c r="J46" s="4501"/>
      <c r="K46" s="4501"/>
      <c r="L46" s="4501"/>
      <c r="M46" s="4501"/>
      <c r="N46" s="4501"/>
      <c r="O46" s="4501"/>
      <c r="P46" s="4501"/>
      <c r="Q46" s="4501"/>
      <c r="R46" s="4501"/>
      <c r="S46" s="4502"/>
      <c r="T46" s="663"/>
      <c r="U46" s="3349"/>
      <c r="V46" s="3276" t="s">
        <v>1750</v>
      </c>
      <c r="W46" s="3276"/>
      <c r="X46" s="1538" t="str">
        <f>IF(HLOOKUP(Sheele!$D$5,'Tablas Sheele'!$C$29:$K$86,'Tablas Sheele'!B51,FALSE)=0,"",HLOOKUP(Sheele!$D$5,'Tablas Sheele'!$C$29:$K$86,'Tablas Sheele'!B51,FALSE))</f>
        <v/>
      </c>
      <c r="Y46" s="1399"/>
      <c r="Z46" s="1357" t="str">
        <f>IF(Principal!Q43="-","-",MIN(Principal!Q42,IF(X46="",-30,X46+IF('Tablas Sheele'!F$119&gt;0,40+20*('Tablas Sheele'!F$119-1),0))+10*Y46))</f>
        <v>-</v>
      </c>
      <c r="AA46" s="616" t="s">
        <v>7705</v>
      </c>
      <c r="AB46" s="606"/>
    </row>
    <row r="47" spans="1:28" ht="12" customHeight="1" x14ac:dyDescent="0.2">
      <c r="A47" s="603"/>
      <c r="B47" s="612"/>
      <c r="C47" s="4498" t="str">
        <f>IF(COUNTA($C$43:C46)&lt;'Tablas Sheele'!$H$199,VLOOKUP('Tablas Sheele'!A4,'Tablas Sheele'!$B$111:$R$198,2,FALSE),"")</f>
        <v/>
      </c>
      <c r="D47" s="4499"/>
      <c r="E47" s="1342" t="str">
        <f>IF($C47="","",VLOOKUP('Tablas Sheele'!$A4,'Tablas Sheele'!$B$111:$R201,8,FALSE))</f>
        <v/>
      </c>
      <c r="F47" s="1342" t="str">
        <f>IF($C47="","",VLOOKUP('Tablas Sheele'!$A4,'Tablas Sheele'!$B$111:$R201,9,FALSE))</f>
        <v/>
      </c>
      <c r="G47" s="658" t="str">
        <f>IF($C47="","",VLOOKUP('Tablas Sheele'!$A4,'Tablas Sheele'!$B$111:$R201,10,FALSE))</f>
        <v/>
      </c>
      <c r="H47" s="4500" t="str">
        <f>IF($C47="","",VLOOKUP('Tablas Sheele'!$A4,'Tablas Sheele'!$B$111:$R201,11,FALSE))</f>
        <v/>
      </c>
      <c r="I47" s="4501"/>
      <c r="J47" s="4501"/>
      <c r="K47" s="4501"/>
      <c r="L47" s="4501"/>
      <c r="M47" s="4501"/>
      <c r="N47" s="4501"/>
      <c r="O47" s="4501"/>
      <c r="P47" s="4501"/>
      <c r="Q47" s="4501"/>
      <c r="R47" s="4501"/>
      <c r="S47" s="4502"/>
      <c r="T47" s="663"/>
      <c r="U47" s="3349"/>
      <c r="V47" s="3276" t="s">
        <v>1088</v>
      </c>
      <c r="W47" s="3276"/>
      <c r="X47" s="1538" t="str">
        <f>IF(HLOOKUP(Sheele!$D$5,'Tablas Sheele'!$C$29:$K$86,'Tablas Sheele'!B52,FALSE)=0,"",HLOOKUP(Sheele!$D$5,'Tablas Sheele'!$C$29:$K$86,'Tablas Sheele'!B52,FALSE))</f>
        <v/>
      </c>
      <c r="Y47" s="1399"/>
      <c r="Z47" s="1357">
        <f>IF(X47="",-30,X47+IF('Tablas Sheele'!F$119&gt;0,40+20*('Tablas Sheele'!F$119-1),0))+10*Y47</f>
        <v>-30</v>
      </c>
      <c r="AA47" s="653"/>
      <c r="AB47" s="606"/>
    </row>
    <row r="48" spans="1:28" ht="12" customHeight="1" x14ac:dyDescent="0.2">
      <c r="A48" s="603"/>
      <c r="B48" s="612"/>
      <c r="C48" s="4498" t="str">
        <f>IF(COUNTA($C$43:C47)&lt;'Tablas Sheele'!$H$199,VLOOKUP('Tablas Sheele'!A5,'Tablas Sheele'!$B$111:$R$198,2,FALSE),"")</f>
        <v/>
      </c>
      <c r="D48" s="4499"/>
      <c r="E48" s="1342" t="str">
        <f>IF($C48="","",VLOOKUP('Tablas Sheele'!$A5,'Tablas Sheele'!$B$111:$R202,8,FALSE))</f>
        <v/>
      </c>
      <c r="F48" s="1342" t="str">
        <f>IF($C48="","",VLOOKUP('Tablas Sheele'!$A5,'Tablas Sheele'!$B$111:$R202,9,FALSE))</f>
        <v/>
      </c>
      <c r="G48" s="658" t="str">
        <f>IF($C48="","",VLOOKUP('Tablas Sheele'!$A5,'Tablas Sheele'!$B$111:$R202,10,FALSE))</f>
        <v/>
      </c>
      <c r="H48" s="4500" t="str">
        <f>IF($C48="","",VLOOKUP('Tablas Sheele'!$A5,'Tablas Sheele'!$B$111:$R202,11,FALSE))</f>
        <v/>
      </c>
      <c r="I48" s="4501"/>
      <c r="J48" s="4501"/>
      <c r="K48" s="4501"/>
      <c r="L48" s="4501"/>
      <c r="M48" s="4501"/>
      <c r="N48" s="4501"/>
      <c r="O48" s="4501"/>
      <c r="P48" s="4501"/>
      <c r="Q48" s="4501"/>
      <c r="R48" s="4501"/>
      <c r="S48" s="4502"/>
      <c r="T48" s="663"/>
      <c r="U48" s="3349"/>
      <c r="V48" s="3276" t="s">
        <v>1753</v>
      </c>
      <c r="W48" s="3276"/>
      <c r="X48" s="1538" t="str">
        <f>IF(HLOOKUP(Sheele!$D$5,'Tablas Sheele'!$C$29:$K$86,'Tablas Sheele'!B53,FALSE)=0,"",HLOOKUP(Sheele!$D$5,'Tablas Sheele'!$C$29:$K$86,'Tablas Sheele'!B53,FALSE))</f>
        <v/>
      </c>
      <c r="Y48" s="1399"/>
      <c r="Z48" s="1357" t="str">
        <f>IF(Principal!Q45="-","-",MIN(Principal!Q44,IF(X48="",-30,X48+IF('Tablas Sheele'!F$119&gt;0,40+20*('Tablas Sheele'!F$119-1),0))+10*Y48))</f>
        <v>-</v>
      </c>
      <c r="AA48" s="616" t="s">
        <v>7705</v>
      </c>
      <c r="AB48" s="606"/>
    </row>
    <row r="49" spans="1:28" ht="12" customHeight="1" x14ac:dyDescent="0.2">
      <c r="A49" s="603"/>
      <c r="B49" s="612"/>
      <c r="C49" s="4498" t="str">
        <f>IF(COUNTA($C$43:C48)&lt;'Tablas Sheele'!$H$199,VLOOKUP('Tablas Sheele'!A6,'Tablas Sheele'!$B$111:$R$198,2,FALSE),"")</f>
        <v/>
      </c>
      <c r="D49" s="4499"/>
      <c r="E49" s="1342" t="str">
        <f>IF($C49="","",VLOOKUP('Tablas Sheele'!$A6,'Tablas Sheele'!$B$111:$R203,8,FALSE))</f>
        <v/>
      </c>
      <c r="F49" s="1342" t="str">
        <f>IF($C49="","",VLOOKUP('Tablas Sheele'!$A6,'Tablas Sheele'!$B$111:$R203,9,FALSE))</f>
        <v/>
      </c>
      <c r="G49" s="658" t="str">
        <f>IF($C49="","",VLOOKUP('Tablas Sheele'!$A6,'Tablas Sheele'!$B$111:$R203,10,FALSE))</f>
        <v/>
      </c>
      <c r="H49" s="4500" t="str">
        <f>IF($C49="","",VLOOKUP('Tablas Sheele'!$A6,'Tablas Sheele'!$B$111:$R203,11,FALSE))</f>
        <v/>
      </c>
      <c r="I49" s="4501"/>
      <c r="J49" s="4501"/>
      <c r="K49" s="4501"/>
      <c r="L49" s="4501"/>
      <c r="M49" s="4501"/>
      <c r="N49" s="4501"/>
      <c r="O49" s="4501"/>
      <c r="P49" s="4501"/>
      <c r="Q49" s="4501"/>
      <c r="R49" s="4501"/>
      <c r="S49" s="4502"/>
      <c r="T49" s="663"/>
      <c r="U49" s="3349"/>
      <c r="V49" s="3276" t="s">
        <v>1754</v>
      </c>
      <c r="W49" s="3276"/>
      <c r="X49" s="1538" t="str">
        <f>IF(HLOOKUP(Sheele!$D$5,'Tablas Sheele'!$C$29:$K$86,'Tablas Sheele'!B54,FALSE)=0,"",HLOOKUP(Sheele!$D$5,'Tablas Sheele'!$C$29:$K$86,'Tablas Sheele'!B54,FALSE))</f>
        <v/>
      </c>
      <c r="Y49" s="1399"/>
      <c r="Z49" s="1357">
        <f>IF(X49="",-30,X49+IF('Tablas Sheele'!F$119&gt;0,40+20*('Tablas Sheele'!F$119-1),0))+10*Y49</f>
        <v>-30</v>
      </c>
      <c r="AA49" s="616"/>
      <c r="AB49" s="606"/>
    </row>
    <row r="50" spans="1:28" ht="12" customHeight="1" x14ac:dyDescent="0.2">
      <c r="A50" s="603"/>
      <c r="B50" s="612"/>
      <c r="C50" s="4498" t="str">
        <f>IF(COUNTA($C$43:C49)&lt;'Tablas Sheele'!$H$199,VLOOKUP('Tablas Sheele'!A7,'Tablas Sheele'!$B$111:$R$198,2,FALSE),"")</f>
        <v/>
      </c>
      <c r="D50" s="4499"/>
      <c r="E50" s="1342" t="str">
        <f>IF($C50="","",VLOOKUP('Tablas Sheele'!$A7,'Tablas Sheele'!$B$111:$R204,8,FALSE))</f>
        <v/>
      </c>
      <c r="F50" s="1342" t="str">
        <f>IF($C50="","",VLOOKUP('Tablas Sheele'!$A7,'Tablas Sheele'!$B$111:$R204,9,FALSE))</f>
        <v/>
      </c>
      <c r="G50" s="658" t="str">
        <f>IF($C50="","",VLOOKUP('Tablas Sheele'!$A7,'Tablas Sheele'!$B$111:$R204,10,FALSE))</f>
        <v/>
      </c>
      <c r="H50" s="4500" t="str">
        <f>IF($C50="","",VLOOKUP('Tablas Sheele'!$A7,'Tablas Sheele'!$B$111:$R204,11,FALSE))</f>
        <v/>
      </c>
      <c r="I50" s="4501"/>
      <c r="J50" s="4501"/>
      <c r="K50" s="4501"/>
      <c r="L50" s="4501"/>
      <c r="M50" s="4501"/>
      <c r="N50" s="4501"/>
      <c r="O50" s="4501"/>
      <c r="P50" s="4501"/>
      <c r="Q50" s="4501"/>
      <c r="R50" s="4501"/>
      <c r="S50" s="4502"/>
      <c r="T50" s="663"/>
      <c r="U50" s="3349"/>
      <c r="V50" s="3276" t="s">
        <v>1755</v>
      </c>
      <c r="W50" s="3276"/>
      <c r="X50" s="1538" t="str">
        <f>IF(HLOOKUP(Sheele!$D$5,'Tablas Sheele'!$C$29:$K$86,'Tablas Sheele'!B55,FALSE)=0,"",HLOOKUP(Sheele!$D$5,'Tablas Sheele'!$C$29:$K$86,'Tablas Sheele'!B55,FALSE))</f>
        <v/>
      </c>
      <c r="Y50" s="1399"/>
      <c r="Z50" s="1357">
        <f>IF(X50="",-30,X50+IF('Tablas Sheele'!F$119&gt;0,40+20*('Tablas Sheele'!F$119-1),0))+10*Y50</f>
        <v>-30</v>
      </c>
      <c r="AA50" s="616"/>
      <c r="AB50" s="606"/>
    </row>
    <row r="51" spans="1:28" ht="12" customHeight="1" x14ac:dyDescent="0.2">
      <c r="A51" s="603"/>
      <c r="B51" s="612"/>
      <c r="C51" s="4498" t="str">
        <f>IF(COUNTA($C$43:C50)&lt;'Tablas Sheele'!$H$199,VLOOKUP('Tablas Sheele'!A8,'Tablas Sheele'!$B$111:$R$198,2,FALSE),"")</f>
        <v/>
      </c>
      <c r="D51" s="4499"/>
      <c r="E51" s="1342" t="str">
        <f>IF($C51="","",VLOOKUP('Tablas Sheele'!$A8,'Tablas Sheele'!$B$111:$R205,8,FALSE))</f>
        <v/>
      </c>
      <c r="F51" s="1342" t="str">
        <f>IF($C51="","",VLOOKUP('Tablas Sheele'!$A8,'Tablas Sheele'!$B$111:$R205,9,FALSE))</f>
        <v/>
      </c>
      <c r="G51" s="658" t="str">
        <f>IF($C51="","",VLOOKUP('Tablas Sheele'!$A8,'Tablas Sheele'!$B$111:$R205,10,FALSE))</f>
        <v/>
      </c>
      <c r="H51" s="4500" t="str">
        <f>IF($C51="","",VLOOKUP('Tablas Sheele'!$A8,'Tablas Sheele'!$B$111:$R205,11,FALSE))</f>
        <v/>
      </c>
      <c r="I51" s="4501"/>
      <c r="J51" s="4501"/>
      <c r="K51" s="4501"/>
      <c r="L51" s="4501"/>
      <c r="M51" s="4501"/>
      <c r="N51" s="4501"/>
      <c r="O51" s="4501"/>
      <c r="P51" s="4501"/>
      <c r="Q51" s="4501"/>
      <c r="R51" s="4501"/>
      <c r="S51" s="4502"/>
      <c r="T51" s="663"/>
      <c r="U51" s="3349"/>
      <c r="V51" s="3276" t="s">
        <v>1756</v>
      </c>
      <c r="W51" s="3276"/>
      <c r="X51" s="1538" t="str">
        <f>IF(HLOOKUP(Sheele!$D$5,'Tablas Sheele'!$C$29:$K$86,'Tablas Sheele'!B56,FALSE)=0,"",HLOOKUP(Sheele!$D$5,'Tablas Sheele'!$C$29:$K$86,'Tablas Sheele'!B56,FALSE))</f>
        <v/>
      </c>
      <c r="Y51" s="1399"/>
      <c r="Z51" s="1357">
        <f>IF(X51="",-30,X51+IF('Tablas Sheele'!F$119&gt;0,40+20*('Tablas Sheele'!F$119-1),0))+10*Y51</f>
        <v>-30</v>
      </c>
      <c r="AA51" s="616"/>
      <c r="AB51" s="606"/>
    </row>
    <row r="52" spans="1:28" ht="12" customHeight="1" x14ac:dyDescent="0.2">
      <c r="A52" s="603"/>
      <c r="B52" s="612"/>
      <c r="C52" s="4491" t="s">
        <v>3062</v>
      </c>
      <c r="D52" s="4506"/>
      <c r="E52" s="4507" t="s">
        <v>1861</v>
      </c>
      <c r="F52" s="4508"/>
      <c r="G52" s="4508"/>
      <c r="H52" s="4508"/>
      <c r="I52" s="4508"/>
      <c r="J52" s="4508"/>
      <c r="K52" s="4508"/>
      <c r="L52" s="4508"/>
      <c r="M52" s="4508"/>
      <c r="N52" s="4508"/>
      <c r="O52" s="4508"/>
      <c r="P52" s="4508"/>
      <c r="Q52" s="4508"/>
      <c r="R52" s="4508"/>
      <c r="S52" s="4509"/>
      <c r="T52" s="663"/>
      <c r="U52" s="3349"/>
      <c r="V52" s="3276" t="s">
        <v>1757</v>
      </c>
      <c r="W52" s="3276"/>
      <c r="X52" s="1538" t="str">
        <f>IF(HLOOKUP(Sheele!$D$5,'Tablas Sheele'!$C$29:$K$86,'Tablas Sheele'!B57,FALSE)=0,"",HLOOKUP(Sheele!$D$5,'Tablas Sheele'!$C$29:$K$86,'Tablas Sheele'!B57,FALSE))</f>
        <v/>
      </c>
      <c r="Y52" s="1399"/>
      <c r="Z52" s="1357" t="str">
        <f>IF(Principal!Q49="-","-",MIN(Principal!Q48,IF(X52="",-30,X52+IF('Tablas Sheele'!F$119&gt;0,40+20*('Tablas Sheele'!F$119-1),0))+10*Y52))</f>
        <v>-</v>
      </c>
      <c r="AA52" s="616" t="s">
        <v>7705</v>
      </c>
      <c r="AB52" s="606"/>
    </row>
    <row r="53" spans="1:28" ht="12" customHeight="1" x14ac:dyDescent="0.2">
      <c r="A53" s="603"/>
      <c r="B53" s="612"/>
      <c r="C53" s="4515" t="str">
        <f>IF(COUNTA($C$52:C52)&lt;'Tablas Sheele'!$H$110+1,VLOOKUP('Tablas Sheele'!A1,'Tablas Sheele'!$B$91:$C$109,2,FALSE),"")</f>
        <v/>
      </c>
      <c r="D53" s="4516"/>
      <c r="E53" s="4504" t="str">
        <f>IF($C53="","",VLOOKUP(C53,'Tablas Sheele'!C92:Q109,10,FALSE))</f>
        <v/>
      </c>
      <c r="F53" s="4504"/>
      <c r="G53" s="4504"/>
      <c r="H53" s="4504"/>
      <c r="I53" s="4504"/>
      <c r="J53" s="4504"/>
      <c r="K53" s="4504"/>
      <c r="L53" s="4504"/>
      <c r="M53" s="4504"/>
      <c r="N53" s="4504"/>
      <c r="O53" s="4504"/>
      <c r="P53" s="4504"/>
      <c r="Q53" s="4504"/>
      <c r="R53" s="4504"/>
      <c r="S53" s="4505"/>
      <c r="T53" s="663"/>
      <c r="U53" s="3349"/>
      <c r="V53" s="4424" t="s">
        <v>1758</v>
      </c>
      <c r="W53" s="4425"/>
      <c r="X53" s="533">
        <f>IF(HLOOKUP(Sheele!$D$5,'Tablas Sheele'!$C$29:$K$86,'Tablas Sheele'!B58,FALSE)=0,"",HLOOKUP(Sheele!$D$5,'Tablas Sheele'!$C$29:$K$86,'Tablas Sheele'!B58,FALSE))</f>
        <v>80</v>
      </c>
      <c r="Y53" s="1400"/>
      <c r="Z53" s="1358" t="str">
        <f>IF(Principal!Q50="-","-",MIN(Principal!Q49,IF(X53="",-30,X53+IF('Tablas Sheele'!F$119&gt;0,40+20*('Tablas Sheele'!F$119-1),0))+10*Y53))</f>
        <v>-</v>
      </c>
      <c r="AA53" s="616" t="s">
        <v>7705</v>
      </c>
      <c r="AB53" s="606"/>
    </row>
    <row r="54" spans="1:28" ht="12" customHeight="1" x14ac:dyDescent="0.2">
      <c r="A54" s="603"/>
      <c r="B54" s="612"/>
      <c r="C54" s="4517" t="str">
        <f>IF(COUNTA($C$52:C53)&lt;'Tablas Sheele'!$H$110+1,VLOOKUP('Tablas Sheele'!A2,'Tablas Sheele'!$B$91:$C$109,2,FALSE),"")</f>
        <v/>
      </c>
      <c r="D54" s="4518"/>
      <c r="E54" s="4501" t="str">
        <f>IF($C54="","",VLOOKUP(C54,'Tablas Sheele'!C93:Q110,10,FALSE))</f>
        <v/>
      </c>
      <c r="F54" s="4501"/>
      <c r="G54" s="4501"/>
      <c r="H54" s="4501"/>
      <c r="I54" s="4501"/>
      <c r="J54" s="4501"/>
      <c r="K54" s="4501"/>
      <c r="L54" s="4501"/>
      <c r="M54" s="4501"/>
      <c r="N54" s="4501"/>
      <c r="O54" s="4501"/>
      <c r="P54" s="4501"/>
      <c r="Q54" s="4501"/>
      <c r="R54" s="4501"/>
      <c r="S54" s="4502"/>
      <c r="T54" s="663"/>
      <c r="U54" s="3524" t="s">
        <v>1759</v>
      </c>
      <c r="V54" s="3276" t="s">
        <v>1760</v>
      </c>
      <c r="W54" s="3276"/>
      <c r="X54" s="1538" t="str">
        <f>IF(HLOOKUP(Sheele!$D$5,'Tablas Sheele'!$C$29:$K$86,'Tablas Sheele'!B59,FALSE)=0,"",HLOOKUP(Sheele!$D$5,'Tablas Sheele'!$C$29:$K$86,'Tablas Sheele'!B59,FALSE))</f>
        <v/>
      </c>
      <c r="Y54" s="1399"/>
      <c r="Z54" s="1357">
        <f>IF(X54="",-30,X54+IF('Tablas Sheele'!F$119&gt;0,40+20*('Tablas Sheele'!F$119-1),0))+10*Y54</f>
        <v>-30</v>
      </c>
      <c r="AA54" s="616"/>
      <c r="AB54" s="606"/>
    </row>
    <row r="55" spans="1:28" ht="12" customHeight="1" x14ac:dyDescent="0.2">
      <c r="A55" s="603"/>
      <c r="B55" s="612"/>
      <c r="C55" s="4517" t="str">
        <f>IF(COUNTA($C$52:C54)&lt;'Tablas Sheele'!$H$110+1,VLOOKUP('Tablas Sheele'!A3,'Tablas Sheele'!$B$91:$C$109,2,FALSE),"")</f>
        <v/>
      </c>
      <c r="D55" s="4518"/>
      <c r="E55" s="4501" t="str">
        <f>IF($C55="","",VLOOKUP(C55,'Tablas Sheele'!C94:Q111,10,FALSE))</f>
        <v/>
      </c>
      <c r="F55" s="4501"/>
      <c r="G55" s="4501"/>
      <c r="H55" s="4501"/>
      <c r="I55" s="4501"/>
      <c r="J55" s="4501"/>
      <c r="K55" s="4501"/>
      <c r="L55" s="4501"/>
      <c r="M55" s="4501"/>
      <c r="N55" s="4501"/>
      <c r="O55" s="4501"/>
      <c r="P55" s="4501"/>
      <c r="Q55" s="4501"/>
      <c r="R55" s="4501"/>
      <c r="S55" s="4502"/>
      <c r="T55" s="663"/>
      <c r="U55" s="3349"/>
      <c r="V55" s="3276" t="s">
        <v>1761</v>
      </c>
      <c r="W55" s="3276"/>
      <c r="X55" s="1538" t="str">
        <f>IF(HLOOKUP(Sheele!$D$5,'Tablas Sheele'!$C$29:$K$86,'Tablas Sheele'!B60,FALSE)=0,"",HLOOKUP(Sheele!$D$5,'Tablas Sheele'!$C$29:$K$86,'Tablas Sheele'!B60,FALSE))</f>
        <v/>
      </c>
      <c r="Y55" s="1399"/>
      <c r="Z55" s="1357">
        <f>IF(X55="",-30,X55+IF('Tablas Sheele'!F$119&gt;0,40+20*('Tablas Sheele'!F$119-1),0))+10*Y55</f>
        <v>-30</v>
      </c>
      <c r="AA55" s="616"/>
      <c r="AB55" s="606"/>
    </row>
    <row r="56" spans="1:28" ht="12" customHeight="1" x14ac:dyDescent="0.2">
      <c r="A56" s="603"/>
      <c r="B56" s="612"/>
      <c r="C56" s="4517" t="str">
        <f>IF(COUNTA($C$52:C55)&lt;'Tablas Sheele'!$H$110+1,VLOOKUP('Tablas Sheele'!A4,'Tablas Sheele'!$B$91:$C$109,2,FALSE),"")</f>
        <v/>
      </c>
      <c r="D56" s="4518"/>
      <c r="E56" s="4501" t="str">
        <f>IF($C56="","",VLOOKUP(C56,'Tablas Sheele'!C95:Q112,10,FALSE))</f>
        <v/>
      </c>
      <c r="F56" s="4501"/>
      <c r="G56" s="4501"/>
      <c r="H56" s="4501"/>
      <c r="I56" s="4501"/>
      <c r="J56" s="4501"/>
      <c r="K56" s="4501"/>
      <c r="L56" s="4501"/>
      <c r="M56" s="4501"/>
      <c r="N56" s="4501"/>
      <c r="O56" s="4501"/>
      <c r="P56" s="4501"/>
      <c r="Q56" s="4501"/>
      <c r="R56" s="4501"/>
      <c r="S56" s="4502"/>
      <c r="T56" s="663"/>
      <c r="U56" s="3350"/>
      <c r="V56" s="4424" t="s">
        <v>1764</v>
      </c>
      <c r="W56" s="4425"/>
      <c r="X56" s="533" t="str">
        <f>IF(HLOOKUP(Sheele!$D$5,'Tablas Sheele'!$C$29:$K$86,'Tablas Sheele'!B61,FALSE)=0,"",HLOOKUP(Sheele!$D$5,'Tablas Sheele'!$C$29:$K$86,'Tablas Sheele'!B61,FALSE))</f>
        <v/>
      </c>
      <c r="Y56" s="1400"/>
      <c r="Z56" s="1358">
        <f>IF(X56="",-30,X56+IF('Tablas Sheele'!F$119&gt;0,40+20*('Tablas Sheele'!F$119-1),0))+10*Y56</f>
        <v>-30</v>
      </c>
      <c r="AA56" s="616"/>
      <c r="AB56" s="606"/>
    </row>
    <row r="57" spans="1:28" ht="12" customHeight="1" x14ac:dyDescent="0.2">
      <c r="A57" s="603"/>
      <c r="B57" s="612"/>
      <c r="C57" s="4517" t="str">
        <f>IF(COUNTA($C$52:C56)&lt;'Tablas Sheele'!$H$110+1,VLOOKUP('Tablas Sheele'!A5,'Tablas Sheele'!$B$91:$C$109,2,FALSE),"")</f>
        <v/>
      </c>
      <c r="D57" s="4518"/>
      <c r="E57" s="4501" t="str">
        <f>IF($C57="","",VLOOKUP(C57,'Tablas Sheele'!C96:Q113,10,FALSE))</f>
        <v/>
      </c>
      <c r="F57" s="4501"/>
      <c r="G57" s="4501"/>
      <c r="H57" s="4501"/>
      <c r="I57" s="4501"/>
      <c r="J57" s="4501"/>
      <c r="K57" s="4501"/>
      <c r="L57" s="4501"/>
      <c r="M57" s="4501"/>
      <c r="N57" s="4501"/>
      <c r="O57" s="4501"/>
      <c r="P57" s="4501"/>
      <c r="Q57" s="4501"/>
      <c r="R57" s="4501"/>
      <c r="S57" s="4502"/>
      <c r="T57" s="663"/>
      <c r="U57" s="3349" t="s">
        <v>1767</v>
      </c>
      <c r="V57" s="3276" t="s">
        <v>1768</v>
      </c>
      <c r="W57" s="3276"/>
      <c r="X57" s="1538" t="str">
        <f>IF(HLOOKUP(Sheele!$D$5,'Tablas Sheele'!$C$29:$K$86,'Tablas Sheele'!B62,FALSE)=0,"",HLOOKUP(Sheele!$D$5,'Tablas Sheele'!$C$29:$K$86,'Tablas Sheele'!B62,FALSE))</f>
        <v/>
      </c>
      <c r="Y57" s="1399"/>
      <c r="Z57" s="1357">
        <f>IF(X57="",-30,X57+IF('Tablas Sheele'!F$119&gt;0,40+20*('Tablas Sheele'!F$119-1),0))+10*Y57</f>
        <v>-30</v>
      </c>
      <c r="AA57" s="616"/>
      <c r="AB57" s="606"/>
    </row>
    <row r="58" spans="1:28" ht="12" customHeight="1" x14ac:dyDescent="0.2">
      <c r="A58" s="603"/>
      <c r="B58" s="612"/>
      <c r="C58" s="4517" t="str">
        <f>IF(COUNTA($C$52:C57)&lt;'Tablas Sheele'!$H$110+1,VLOOKUP('Tablas Sheele'!A6,'Tablas Sheele'!$B$91:$C$109,2,FALSE),"")</f>
        <v/>
      </c>
      <c r="D58" s="4518"/>
      <c r="E58" s="4501" t="str">
        <f>IF($C58="","",VLOOKUP(C58,'Tablas Sheele'!C97:Q114,10,FALSE))</f>
        <v/>
      </c>
      <c r="F58" s="4501"/>
      <c r="G58" s="4501"/>
      <c r="H58" s="4501"/>
      <c r="I58" s="4501"/>
      <c r="J58" s="4501"/>
      <c r="K58" s="4501"/>
      <c r="L58" s="4501"/>
      <c r="M58" s="4501"/>
      <c r="N58" s="4501"/>
      <c r="O58" s="4501"/>
      <c r="P58" s="4501"/>
      <c r="Q58" s="4501"/>
      <c r="R58" s="4501"/>
      <c r="S58" s="4502"/>
      <c r="T58" s="663"/>
      <c r="U58" s="3349"/>
      <c r="V58" s="3276" t="s">
        <v>1770</v>
      </c>
      <c r="W58" s="3276"/>
      <c r="X58" s="1538" t="str">
        <f>IF(HLOOKUP(Sheele!$D$5,'Tablas Sheele'!$C$29:$K$86,'Tablas Sheele'!B63,FALSE)=0,"",HLOOKUP(Sheele!$D$5,'Tablas Sheele'!$C$29:$K$86,'Tablas Sheele'!B63,FALSE))</f>
        <v/>
      </c>
      <c r="Y58" s="1399"/>
      <c r="Z58" s="1357">
        <f>IF(X58="",-30,X58+IF('Tablas Sheele'!F$119&gt;0,40+20*('Tablas Sheele'!F$119-1),0))+10*Y58</f>
        <v>-30</v>
      </c>
      <c r="AA58" s="616"/>
      <c r="AB58" s="606"/>
    </row>
    <row r="59" spans="1:28" ht="12" customHeight="1" x14ac:dyDescent="0.2">
      <c r="A59" s="603"/>
      <c r="B59" s="612"/>
      <c r="C59" s="4517" t="str">
        <f>IF(COUNTA($C$52:C58)&lt;'Tablas Sheele'!$H$110+1,VLOOKUP('Tablas Sheele'!A7,'Tablas Sheele'!$B$91:$C$109,2,FALSE),"")</f>
        <v/>
      </c>
      <c r="D59" s="4518"/>
      <c r="E59" s="4501" t="str">
        <f>IF($C59="","",VLOOKUP(C59,'Tablas Sheele'!C98:Q115,10,FALSE))</f>
        <v/>
      </c>
      <c r="F59" s="4501"/>
      <c r="G59" s="4501"/>
      <c r="H59" s="4501"/>
      <c r="I59" s="4501"/>
      <c r="J59" s="4501"/>
      <c r="K59" s="4501"/>
      <c r="L59" s="4501"/>
      <c r="M59" s="4501"/>
      <c r="N59" s="4501"/>
      <c r="O59" s="4501"/>
      <c r="P59" s="4501"/>
      <c r="Q59" s="4501"/>
      <c r="R59" s="4501"/>
      <c r="S59" s="4502"/>
      <c r="T59" s="663"/>
      <c r="U59" s="3349"/>
      <c r="V59" s="3276" t="s">
        <v>1772</v>
      </c>
      <c r="W59" s="3276"/>
      <c r="X59" s="1538" t="str">
        <f>IF(HLOOKUP(Sheele!$D$5,'Tablas Sheele'!$C$29:$K$86,'Tablas Sheele'!B64,FALSE)=0,"",HLOOKUP(Sheele!$D$5,'Tablas Sheele'!$C$29:$K$86,'Tablas Sheele'!B64,FALSE))</f>
        <v/>
      </c>
      <c r="Y59" s="1399"/>
      <c r="Z59" s="1357">
        <f>IF(X59="",-30,X59+IF('Tablas Sheele'!F$119&gt;0,40+20*('Tablas Sheele'!F$119-1),0))+10*Y59+IF('Tablas Sheele'!F167&gt;0,100,0)</f>
        <v>-30</v>
      </c>
      <c r="AA59" s="616" t="s">
        <v>3288</v>
      </c>
      <c r="AB59" s="606"/>
    </row>
    <row r="60" spans="1:28" ht="12" customHeight="1" x14ac:dyDescent="0.2">
      <c r="A60" s="603"/>
      <c r="B60" s="612"/>
      <c r="C60" s="4517" t="str">
        <f>IF(COUNTA($C$52:C59)&lt;'Tablas Sheele'!$H$110+1,VLOOKUP('Tablas Sheele'!A8,'Tablas Sheele'!$B$91:$C$109,2,FALSE),"")</f>
        <v/>
      </c>
      <c r="D60" s="4518"/>
      <c r="E60" s="4501" t="str">
        <f>IF($C60="","",VLOOKUP(C60,'Tablas Sheele'!C99:Q116,10,FALSE))</f>
        <v/>
      </c>
      <c r="F60" s="4501"/>
      <c r="G60" s="4501"/>
      <c r="H60" s="4501"/>
      <c r="I60" s="4501"/>
      <c r="J60" s="4501"/>
      <c r="K60" s="4501"/>
      <c r="L60" s="4501"/>
      <c r="M60" s="4501"/>
      <c r="N60" s="4501"/>
      <c r="O60" s="4501"/>
      <c r="P60" s="4501"/>
      <c r="Q60" s="4501"/>
      <c r="R60" s="4501"/>
      <c r="S60" s="4502"/>
      <c r="T60" s="663"/>
      <c r="U60" s="3349"/>
      <c r="V60" s="3276" t="s">
        <v>1774</v>
      </c>
      <c r="W60" s="3276"/>
      <c r="X60" s="1538">
        <f>IF(HLOOKUP(Sheele!$D$5,'Tablas Sheele'!$C$29:$K$86,'Tablas Sheele'!B65,FALSE)=0,"",HLOOKUP(Sheele!$D$5,'Tablas Sheele'!$C$29:$K$86,'Tablas Sheele'!B65,FALSE))</f>
        <v>40</v>
      </c>
      <c r="Y60" s="1399"/>
      <c r="Z60" s="1357">
        <f>IF(X60="",-30,X60+IF('Tablas Sheele'!F$119&gt;0,40+20*('Tablas Sheele'!F$119-1),0))+10*Y60</f>
        <v>40</v>
      </c>
      <c r="AA60" s="616"/>
      <c r="AB60" s="606"/>
    </row>
    <row r="61" spans="1:28" ht="12" customHeight="1" x14ac:dyDescent="0.2">
      <c r="A61" s="603"/>
      <c r="B61" s="612"/>
      <c r="C61" s="4517" t="str">
        <f>IF(COUNTA($C$52:C60)&lt;'Tablas Sheele'!$H$110+1,VLOOKUP('Tablas Sheele'!A9,'Tablas Sheele'!$B$91:$C$109,2,FALSE),"")</f>
        <v/>
      </c>
      <c r="D61" s="4518"/>
      <c r="E61" s="4501" t="str">
        <f>IF($C61="","",VLOOKUP(C61,'Tablas Sheele'!C100:Q117,10,FALSE))</f>
        <v/>
      </c>
      <c r="F61" s="4501"/>
      <c r="G61" s="4501"/>
      <c r="H61" s="4501"/>
      <c r="I61" s="4501"/>
      <c r="J61" s="4501"/>
      <c r="K61" s="4501"/>
      <c r="L61" s="4501"/>
      <c r="M61" s="4501"/>
      <c r="N61" s="4501"/>
      <c r="O61" s="4501"/>
      <c r="P61" s="4501"/>
      <c r="Q61" s="4501"/>
      <c r="R61" s="4501"/>
      <c r="S61" s="4502"/>
      <c r="T61" s="663"/>
      <c r="U61" s="3349"/>
      <c r="V61" s="3276" t="s">
        <v>1776</v>
      </c>
      <c r="W61" s="3276"/>
      <c r="X61" s="1538" t="str">
        <f>IF(HLOOKUP(Sheele!$D$5,'Tablas Sheele'!$C$29:$K$86,'Tablas Sheele'!B66,FALSE)=0,"",HLOOKUP(Sheele!$D$5,'Tablas Sheele'!$C$29:$K$86,'Tablas Sheele'!B66,FALSE))</f>
        <v/>
      </c>
      <c r="Y61" s="1399"/>
      <c r="Z61" s="1357">
        <f>IF(X61="",-30,X61+IF('Tablas Sheele'!F$119&gt;0,40+20*('Tablas Sheele'!F$119-1),0))+10*Y61+IF('Tablas Sheele'!F167&gt;0,100,0)</f>
        <v>-30</v>
      </c>
      <c r="AA61" s="616" t="s">
        <v>3288</v>
      </c>
      <c r="AB61" s="606"/>
    </row>
    <row r="62" spans="1:28" ht="12" customHeight="1" thickBot="1" x14ac:dyDescent="0.25">
      <c r="A62" s="603"/>
      <c r="B62" s="612"/>
      <c r="C62" s="4523" t="str">
        <f>IF(COUNTA($C$52:C61)&lt;'Tablas Sheele'!$H$110+1,VLOOKUP('Tablas Sheele'!A10,'Tablas Sheele'!$B$91:$C$109,2,FALSE),"")</f>
        <v/>
      </c>
      <c r="D62" s="4524"/>
      <c r="E62" s="4519" t="str">
        <f>IF($C62="","",VLOOKUP(C62,'Tablas Sheele'!C101:Q118,10,FALSE))</f>
        <v/>
      </c>
      <c r="F62" s="4519"/>
      <c r="G62" s="4519"/>
      <c r="H62" s="4519"/>
      <c r="I62" s="4519"/>
      <c r="J62" s="4519"/>
      <c r="K62" s="4519"/>
      <c r="L62" s="4519"/>
      <c r="M62" s="4519"/>
      <c r="N62" s="4519"/>
      <c r="O62" s="4519"/>
      <c r="P62" s="4519"/>
      <c r="Q62" s="4519"/>
      <c r="R62" s="4519"/>
      <c r="S62" s="4520"/>
      <c r="T62" s="663"/>
      <c r="U62" s="3349"/>
      <c r="V62" s="3276" t="s">
        <v>1778</v>
      </c>
      <c r="W62" s="3276"/>
      <c r="X62" s="1538" t="str">
        <f>IF(HLOOKUP(Sheele!$D$5,'Tablas Sheele'!$C$29:$K$86,'Tablas Sheele'!B67,FALSE)=0,"",HLOOKUP(Sheele!$D$5,'Tablas Sheele'!$C$29:$K$86,'Tablas Sheele'!B67,FALSE))</f>
        <v/>
      </c>
      <c r="Y62" s="1399"/>
      <c r="Z62" s="1357">
        <f>IF(X62="",-30,X62+IF('Tablas Sheele'!F$119&gt;0,40+20*('Tablas Sheele'!F$119-1),0))+10*Y62</f>
        <v>-30</v>
      </c>
      <c r="AA62" s="616"/>
      <c r="AB62" s="606"/>
    </row>
    <row r="63" spans="1:28" ht="12" customHeight="1" x14ac:dyDescent="0.2">
      <c r="A63" s="603"/>
      <c r="B63" s="537"/>
      <c r="C63" s="663"/>
      <c r="D63" s="663"/>
      <c r="E63" s="663"/>
      <c r="F63" s="663"/>
      <c r="G63" s="663"/>
      <c r="H63" s="663"/>
      <c r="I63" s="663"/>
      <c r="J63" s="663"/>
      <c r="K63" s="663"/>
      <c r="L63" s="663"/>
      <c r="M63" s="663"/>
      <c r="N63" s="663"/>
      <c r="O63" s="663"/>
      <c r="P63" s="663"/>
      <c r="Q63" s="663"/>
      <c r="R63" s="663"/>
      <c r="S63" s="579"/>
      <c r="T63" s="663"/>
      <c r="U63" s="3349"/>
      <c r="V63" s="4424" t="s">
        <v>1779</v>
      </c>
      <c r="W63" s="4425"/>
      <c r="X63" s="533" t="str">
        <f>IF(HLOOKUP(Sheele!$D$5,'Tablas Sheele'!$C$29:$K$86,'Tablas Sheele'!B68,FALSE)=0,"",HLOOKUP(Sheele!$D$5,'Tablas Sheele'!$C$29:$K$86,'Tablas Sheele'!B68,FALSE))</f>
        <v/>
      </c>
      <c r="Y63" s="1400"/>
      <c r="Z63" s="1358">
        <f>IF(X63="",-30,X63+IF('Tablas Sheele'!F$119&gt;0,40+20*('Tablas Sheele'!F$119-1),0))+10*Y63</f>
        <v>-30</v>
      </c>
      <c r="AA63" s="616"/>
      <c r="AB63" s="606"/>
    </row>
    <row r="64" spans="1:28" ht="12" customHeight="1" x14ac:dyDescent="0.2">
      <c r="A64" s="603"/>
      <c r="B64" s="537"/>
      <c r="C64" s="663"/>
      <c r="D64" s="663"/>
      <c r="E64" s="663"/>
      <c r="F64" s="663"/>
      <c r="G64" s="663"/>
      <c r="H64" s="663"/>
      <c r="I64" s="663"/>
      <c r="J64" s="663"/>
      <c r="K64" s="663"/>
      <c r="L64" s="663"/>
      <c r="M64" s="663"/>
      <c r="N64" s="663"/>
      <c r="O64" s="663"/>
      <c r="P64" s="663"/>
      <c r="Q64" s="663"/>
      <c r="R64" s="663"/>
      <c r="S64" s="579"/>
      <c r="T64" s="663"/>
      <c r="U64" s="3524" t="s">
        <v>1780</v>
      </c>
      <c r="V64" s="3276" t="s">
        <v>1781</v>
      </c>
      <c r="W64" s="3276"/>
      <c r="X64" s="1538" t="str">
        <f>IF(HLOOKUP(Sheele!$D$5,'Tablas Sheele'!$C$29:$K$86,'Tablas Sheele'!B69,FALSE)=0,"",HLOOKUP(Sheele!$D$5,'Tablas Sheele'!$C$29:$K$86,'Tablas Sheele'!B69,FALSE))</f>
        <v/>
      </c>
      <c r="Y64" s="1399"/>
      <c r="Z64" s="1357">
        <f>IF(X64="",-30,X64+IF('Tablas Sheele'!F$119&gt;0,40+20*('Tablas Sheele'!F$119-1),0))+10*Y64</f>
        <v>-30</v>
      </c>
      <c r="AA64" s="616"/>
      <c r="AB64" s="606"/>
    </row>
    <row r="65" spans="1:56" ht="12" customHeight="1" x14ac:dyDescent="0.2">
      <c r="A65" s="603"/>
      <c r="B65" s="537"/>
      <c r="C65" s="663"/>
      <c r="D65" s="663"/>
      <c r="E65" s="663"/>
      <c r="F65" s="663"/>
      <c r="G65" s="663"/>
      <c r="H65" s="663"/>
      <c r="I65" s="663"/>
      <c r="J65" s="663"/>
      <c r="K65" s="663"/>
      <c r="L65" s="663"/>
      <c r="M65" s="663"/>
      <c r="N65" s="663"/>
      <c r="O65" s="663"/>
      <c r="P65" s="663"/>
      <c r="Q65" s="663"/>
      <c r="R65" s="663"/>
      <c r="S65" s="663"/>
      <c r="T65" s="663"/>
      <c r="U65" s="3349"/>
      <c r="V65" s="3276" t="s">
        <v>1782</v>
      </c>
      <c r="W65" s="3276"/>
      <c r="X65" s="1538">
        <f>IF(HLOOKUP(Sheele!$D$5,'Tablas Sheele'!$C$29:$K$86,'Tablas Sheele'!B70,FALSE)=0,"",HLOOKUP(Sheele!$D$5,'Tablas Sheele'!$C$29:$K$86,'Tablas Sheele'!B70,FALSE))</f>
        <v>40</v>
      </c>
      <c r="Y65" s="1399"/>
      <c r="Z65" s="1357">
        <f>IF(Principal!Q62="-","-",MIN(Principal!Q61,IF(X65="",-30,X65+IF('Tablas Sheele'!F$119&gt;0,40+20*('Tablas Sheele'!F$119-1),0))+10*Y65))</f>
        <v>-30</v>
      </c>
      <c r="AA65" s="616" t="s">
        <v>7705</v>
      </c>
      <c r="AB65" s="606"/>
    </row>
    <row r="66" spans="1:56" ht="12" customHeight="1" x14ac:dyDescent="0.2">
      <c r="A66" s="603"/>
      <c r="B66" s="537"/>
      <c r="C66" s="663"/>
      <c r="D66" s="663"/>
      <c r="E66" s="663"/>
      <c r="F66" s="663"/>
      <c r="G66" s="663"/>
      <c r="H66" s="663"/>
      <c r="I66" s="663"/>
      <c r="J66" s="663"/>
      <c r="K66" s="663"/>
      <c r="L66" s="663"/>
      <c r="M66" s="663"/>
      <c r="N66" s="663"/>
      <c r="O66" s="663"/>
      <c r="P66" s="663"/>
      <c r="Q66" s="663"/>
      <c r="R66" s="663"/>
      <c r="S66" s="579"/>
      <c r="T66" s="663"/>
      <c r="U66" s="3349"/>
      <c r="V66" s="3276" t="s">
        <v>1783</v>
      </c>
      <c r="W66" s="3276"/>
      <c r="X66" s="1538" t="str">
        <f>IF(HLOOKUP(Sheele!$D$5,'Tablas Sheele'!$C$29:$K$86,'Tablas Sheele'!B71,FALSE)=0,"",HLOOKUP(Sheele!$D$5,'Tablas Sheele'!$C$29:$K$86,'Tablas Sheele'!B71,FALSE))</f>
        <v/>
      </c>
      <c r="Y66" s="1399"/>
      <c r="Z66" s="1357" t="str">
        <f>IF(Principal!Q63="-","-",MIN(Principal!Q62,IF(X66="",-30,X66+IF('Tablas Sheele'!F$119&gt;0,40+20*('Tablas Sheele'!F$119-1),0))+10*Y66))</f>
        <v>-</v>
      </c>
      <c r="AA66" s="616" t="s">
        <v>7705</v>
      </c>
      <c r="AB66" s="606"/>
    </row>
    <row r="67" spans="1:56" ht="12" customHeight="1" x14ac:dyDescent="0.2">
      <c r="A67" s="603"/>
      <c r="B67" s="537"/>
      <c r="C67" s="663"/>
      <c r="D67" s="663"/>
      <c r="E67" s="663"/>
      <c r="F67" s="663"/>
      <c r="G67" s="663"/>
      <c r="H67" s="663"/>
      <c r="I67" s="663"/>
      <c r="J67" s="663"/>
      <c r="K67" s="663"/>
      <c r="L67" s="663"/>
      <c r="M67" s="663"/>
      <c r="N67" s="663"/>
      <c r="O67" s="663"/>
      <c r="P67" s="663"/>
      <c r="Q67" s="663"/>
      <c r="R67" s="663"/>
      <c r="S67" s="579"/>
      <c r="T67" s="663"/>
      <c r="U67" s="3349"/>
      <c r="V67" s="3276" t="s">
        <v>1082</v>
      </c>
      <c r="W67" s="3276"/>
      <c r="X67" s="1538" t="str">
        <f>IF(HLOOKUP(Sheele!$D$5,'Tablas Sheele'!$C$29:$K$86,'Tablas Sheele'!B72,FALSE)=0,"",HLOOKUP(Sheele!$D$5,'Tablas Sheele'!$C$29:$K$86,'Tablas Sheele'!B72,FALSE))</f>
        <v/>
      </c>
      <c r="Y67" s="1399"/>
      <c r="Z67" s="1357" t="str">
        <f>IF(Principal!Q64="-","-",MIN(Principal!Q63,IF(X67="",-30,X67+IF('Tablas Sheele'!F$119&gt;0,40+20*('Tablas Sheele'!F$119-1),0))+10*Y67))</f>
        <v>-</v>
      </c>
      <c r="AA67" s="616" t="s">
        <v>7705</v>
      </c>
      <c r="AB67" s="606"/>
    </row>
    <row r="68" spans="1:56" ht="12" customHeight="1" x14ac:dyDescent="0.2">
      <c r="A68" s="603"/>
      <c r="B68" s="537"/>
      <c r="C68" s="663"/>
      <c r="D68" s="663"/>
      <c r="E68" s="663"/>
      <c r="F68" s="663"/>
      <c r="G68" s="663"/>
      <c r="H68" s="663"/>
      <c r="I68" s="663"/>
      <c r="J68" s="663"/>
      <c r="K68" s="663"/>
      <c r="L68" s="663"/>
      <c r="M68" s="663"/>
      <c r="N68" s="663"/>
      <c r="O68" s="663"/>
      <c r="P68" s="663"/>
      <c r="Q68" s="663"/>
      <c r="R68" s="663"/>
      <c r="S68" s="579"/>
      <c r="T68" s="663"/>
      <c r="U68" s="3349"/>
      <c r="V68" s="3276" t="s">
        <v>1083</v>
      </c>
      <c r="W68" s="3276"/>
      <c r="X68" s="1538" t="str">
        <f>IF(HLOOKUP(Sheele!$D$5,'Tablas Sheele'!$C$29:$K$86,'Tablas Sheele'!B73,FALSE)=0,"",HLOOKUP(Sheele!$D$5,'Tablas Sheele'!$C$29:$K$86,'Tablas Sheele'!B73,FALSE))</f>
        <v/>
      </c>
      <c r="Y68" s="1399"/>
      <c r="Z68" s="1357" t="str">
        <f>IF(Principal!Q65="-","-",MIN(Principal!Q64,IF(X68="",-30,X68+IF('Tablas Sheele'!F$119&gt;0,40+20*('Tablas Sheele'!F$119-1),0))+10*Y68))</f>
        <v>-</v>
      </c>
      <c r="AA68" s="616" t="s">
        <v>7705</v>
      </c>
      <c r="AB68" s="606"/>
    </row>
    <row r="69" spans="1:56" ht="12" customHeight="1" x14ac:dyDescent="0.2">
      <c r="A69" s="603"/>
      <c r="B69" s="537"/>
      <c r="C69" s="663"/>
      <c r="D69" s="663"/>
      <c r="E69" s="663"/>
      <c r="F69" s="663"/>
      <c r="G69" s="663"/>
      <c r="H69" s="663"/>
      <c r="I69" s="663"/>
      <c r="J69" s="663"/>
      <c r="K69" s="663"/>
      <c r="L69" s="663"/>
      <c r="M69" s="663"/>
      <c r="N69" s="663"/>
      <c r="O69" s="663"/>
      <c r="P69" s="663"/>
      <c r="Q69" s="663"/>
      <c r="R69" s="663"/>
      <c r="S69" s="579"/>
      <c r="T69" s="663"/>
      <c r="U69" s="3349"/>
      <c r="V69" s="3276" t="s">
        <v>1084</v>
      </c>
      <c r="W69" s="3276"/>
      <c r="X69" s="1538" t="str">
        <f>IF(HLOOKUP(Sheele!$D$5,'Tablas Sheele'!$C$29:$K$86,'Tablas Sheele'!B74,FALSE)=0,"",HLOOKUP(Sheele!$D$5,'Tablas Sheele'!$C$29:$K$86,'Tablas Sheele'!B74,FALSE))</f>
        <v/>
      </c>
      <c r="Y69" s="1399"/>
      <c r="Z69" s="1357" t="str">
        <f>IF(Principal!Q66="-","-",MIN(Principal!Q65,IF(X69="",-30,X69+IF('Tablas Sheele'!F$119&gt;0,40+20*('Tablas Sheele'!F$119-1),0))+10*Y69))</f>
        <v>-</v>
      </c>
      <c r="AA69" s="616" t="s">
        <v>7705</v>
      </c>
      <c r="AB69" s="606"/>
    </row>
    <row r="70" spans="1:56" ht="12" customHeight="1" x14ac:dyDescent="0.2">
      <c r="A70" s="603"/>
      <c r="B70" s="537"/>
      <c r="C70" s="663"/>
      <c r="D70" s="663"/>
      <c r="E70" s="663"/>
      <c r="F70" s="663"/>
      <c r="G70" s="663"/>
      <c r="H70" s="663"/>
      <c r="I70" s="663"/>
      <c r="J70" s="663"/>
      <c r="K70" s="663"/>
      <c r="L70" s="663"/>
      <c r="M70" s="663"/>
      <c r="N70" s="663"/>
      <c r="O70" s="663"/>
      <c r="P70" s="663"/>
      <c r="Q70" s="663"/>
      <c r="R70" s="663"/>
      <c r="S70" s="579"/>
      <c r="T70" s="663"/>
      <c r="U70" s="3349"/>
      <c r="V70" s="3276" t="s">
        <v>1784</v>
      </c>
      <c r="W70" s="3276"/>
      <c r="X70" s="1538" t="str">
        <f>IF(HLOOKUP(Sheele!$D$5,'Tablas Sheele'!$C$29:$K$86,'Tablas Sheele'!B75,FALSE)=0,"",HLOOKUP(Sheele!$D$5,'Tablas Sheele'!$C$29:$K$86,'Tablas Sheele'!B75,FALSE))</f>
        <v/>
      </c>
      <c r="Y70" s="1399"/>
      <c r="Z70" s="1357" t="str">
        <f>IF(Principal!Q67="-","-",MIN(Principal!Q66,IF(X70="",-30,X70+IF('Tablas Sheele'!F$119&gt;0,40+20*('Tablas Sheele'!F$119-1),0))+10*Y70))</f>
        <v>-</v>
      </c>
      <c r="AA70" s="616" t="s">
        <v>7705</v>
      </c>
      <c r="AB70" s="606"/>
    </row>
    <row r="71" spans="1:56" ht="12" customHeight="1" x14ac:dyDescent="0.2">
      <c r="A71" s="603"/>
      <c r="B71" s="537"/>
      <c r="C71" s="663"/>
      <c r="D71" s="663"/>
      <c r="E71" s="663"/>
      <c r="F71" s="663"/>
      <c r="G71" s="663"/>
      <c r="H71" s="663"/>
      <c r="I71" s="663"/>
      <c r="J71" s="663"/>
      <c r="K71" s="663"/>
      <c r="L71" s="663"/>
      <c r="M71" s="663"/>
      <c r="N71" s="663"/>
      <c r="O71" s="663"/>
      <c r="P71" s="663"/>
      <c r="Q71" s="663"/>
      <c r="R71" s="663"/>
      <c r="S71" s="579"/>
      <c r="T71" s="663"/>
      <c r="U71" s="3349"/>
      <c r="V71" s="3276" t="s">
        <v>1787</v>
      </c>
      <c r="W71" s="3276"/>
      <c r="X71" s="1538">
        <f>IF(HLOOKUP(Sheele!$D$5,'Tablas Sheele'!$C$29:$K$86,'Tablas Sheele'!B76,FALSE)=0,"",HLOOKUP(Sheele!$D$5,'Tablas Sheele'!$C$29:$K$86,'Tablas Sheele'!B76,FALSE))</f>
        <v>20</v>
      </c>
      <c r="Y71" s="1399"/>
      <c r="Z71" s="1357">
        <f>IF(X71="",-30,X71+IF('Tablas Sheele'!F$119&gt;0,40+20*('Tablas Sheele'!F$119-1),0))+10*Y71</f>
        <v>20</v>
      </c>
      <c r="AA71" s="653"/>
      <c r="AB71" s="606"/>
    </row>
    <row r="72" spans="1:56" ht="12" customHeight="1" x14ac:dyDescent="0.2">
      <c r="A72" s="603"/>
      <c r="B72" s="537"/>
      <c r="C72" s="663"/>
      <c r="D72" s="663"/>
      <c r="E72" s="663"/>
      <c r="F72" s="663"/>
      <c r="G72" s="663"/>
      <c r="H72" s="663"/>
      <c r="I72" s="663"/>
      <c r="J72" s="663"/>
      <c r="K72" s="663"/>
      <c r="L72" s="663"/>
      <c r="M72" s="663"/>
      <c r="N72" s="663"/>
      <c r="O72" s="663"/>
      <c r="P72" s="663"/>
      <c r="Q72" s="663"/>
      <c r="R72" s="663"/>
      <c r="S72" s="579"/>
      <c r="T72" s="663"/>
      <c r="U72" s="3349"/>
      <c r="V72" s="3276" t="s">
        <v>7755</v>
      </c>
      <c r="W72" s="3276"/>
      <c r="X72" s="1538" t="str">
        <f>IF(HLOOKUP(Sheele!$D$5,'Tablas Sheele'!$C$29:$K$86,'Tablas Sheele'!B77,FALSE)=0,"",HLOOKUP(Sheele!$D$5,'Tablas Sheele'!$C$29:$K$86,'Tablas Sheele'!B77,FALSE))</f>
        <v/>
      </c>
      <c r="Y72" s="1399"/>
      <c r="Z72" s="1357" t="str">
        <f>IF(Principal!Q69="-","-",MIN(Principal!Q68,IF(X72="",-30,X72+IF('Tablas Sheele'!F$119&gt;0,40+20*('Tablas Sheele'!F$119-1),0))+10*Y72))</f>
        <v>-</v>
      </c>
      <c r="AA72" s="616" t="s">
        <v>7705</v>
      </c>
      <c r="AB72" s="606"/>
    </row>
    <row r="73" spans="1:56" ht="12" customHeight="1" x14ac:dyDescent="0.2">
      <c r="A73" s="603"/>
      <c r="B73" s="537"/>
      <c r="C73" s="663"/>
      <c r="D73" s="663"/>
      <c r="E73" s="663"/>
      <c r="F73" s="663"/>
      <c r="G73" s="663"/>
      <c r="H73" s="663"/>
      <c r="I73" s="663"/>
      <c r="J73" s="663"/>
      <c r="K73" s="663"/>
      <c r="L73" s="663"/>
      <c r="M73" s="663"/>
      <c r="N73" s="663"/>
      <c r="O73" s="663"/>
      <c r="P73" s="663"/>
      <c r="Q73" s="663"/>
      <c r="R73" s="663"/>
      <c r="S73" s="579"/>
      <c r="T73" s="663"/>
      <c r="U73" s="3349"/>
      <c r="V73" s="3276" t="s">
        <v>7756</v>
      </c>
      <c r="W73" s="3276"/>
      <c r="X73" s="1538" t="str">
        <f>IF(HLOOKUP(Sheele!$D$5,'Tablas Sheele'!$C$29:$K$86,'Tablas Sheele'!B78,FALSE)=0,"",HLOOKUP(Sheele!$D$5,'Tablas Sheele'!$C$29:$K$86,'Tablas Sheele'!B78,FALSE))</f>
        <v/>
      </c>
      <c r="Y73" s="1399"/>
      <c r="Z73" s="1357">
        <f>IF(Principal!Q70="-","-",MIN(Principal!Q69,IF(X73="",-30,X73+IF('Tablas Sheele'!F$119&gt;0,40+20*('Tablas Sheele'!F$119-1),0))+10*Y73))</f>
        <v>-30</v>
      </c>
      <c r="AA73" s="616" t="s">
        <v>7705</v>
      </c>
      <c r="AB73" s="606"/>
    </row>
    <row r="74" spans="1:56" ht="12" customHeight="1" x14ac:dyDescent="0.2">
      <c r="A74" s="603"/>
      <c r="B74" s="537"/>
      <c r="C74" s="663"/>
      <c r="D74" s="663"/>
      <c r="E74" s="663"/>
      <c r="F74" s="663"/>
      <c r="G74" s="663"/>
      <c r="H74" s="663"/>
      <c r="I74" s="663"/>
      <c r="J74" s="663"/>
      <c r="K74" s="663"/>
      <c r="L74" s="663"/>
      <c r="M74" s="663"/>
      <c r="N74" s="663"/>
      <c r="O74" s="663"/>
      <c r="P74" s="663"/>
      <c r="Q74" s="663"/>
      <c r="R74" s="663"/>
      <c r="S74" s="579"/>
      <c r="T74" s="663"/>
      <c r="U74" s="3349"/>
      <c r="V74" s="3276" t="s">
        <v>7757</v>
      </c>
      <c r="W74" s="3276"/>
      <c r="X74" s="1538" t="str">
        <f>IF(HLOOKUP(Sheele!$D$5,'Tablas Sheele'!$C$29:$K$86,'Tablas Sheele'!B79,FALSE)=0,"",HLOOKUP(Sheele!$D$5,'Tablas Sheele'!$C$29:$K$86,'Tablas Sheele'!B79,FALSE))</f>
        <v/>
      </c>
      <c r="Y74" s="1399"/>
      <c r="Z74" s="1357" t="str">
        <f>IF(Principal!Q71="-","-",MIN(Principal!Q70,IF(X74="",-30,X74+IF('Tablas Sheele'!F$119&gt;0,40+20*('Tablas Sheele'!F$119-1),0))+10*Y74))</f>
        <v>-</v>
      </c>
      <c r="AA74" s="616" t="s">
        <v>7705</v>
      </c>
      <c r="AB74" s="606"/>
    </row>
    <row r="75" spans="1:56" ht="12" customHeight="1" x14ac:dyDescent="0.2">
      <c r="A75" s="603"/>
      <c r="B75" s="537"/>
      <c r="C75" s="663"/>
      <c r="D75" s="663"/>
      <c r="E75" s="663"/>
      <c r="F75" s="663"/>
      <c r="G75" s="663"/>
      <c r="H75" s="663"/>
      <c r="I75" s="663"/>
      <c r="J75" s="663"/>
      <c r="K75" s="663"/>
      <c r="L75" s="663"/>
      <c r="M75" s="663"/>
      <c r="N75" s="663"/>
      <c r="O75" s="663"/>
      <c r="P75" s="663"/>
      <c r="Q75" s="663"/>
      <c r="R75" s="663"/>
      <c r="S75" s="579"/>
      <c r="T75" s="663"/>
      <c r="U75" s="3350"/>
      <c r="V75" s="4510" t="s">
        <v>7758</v>
      </c>
      <c r="W75" s="4511"/>
      <c r="X75" s="533" t="str">
        <f>IF(HLOOKUP(Sheele!$D$5,'Tablas Sheele'!$C$29:$K$86,'Tablas Sheele'!B80,FALSE)=0,"",HLOOKUP(Sheele!$D$5,'Tablas Sheele'!$C$29:$K$86,'Tablas Sheele'!B80,FALSE))</f>
        <v/>
      </c>
      <c r="Y75" s="1400"/>
      <c r="Z75" s="1358" t="str">
        <f>IF(Principal!Q72="-","-",MIN(Principal!Q71,IF(X75="",-30,X75+IF('Tablas Sheele'!F$119&gt;0,40+20*('Tablas Sheele'!F$119-1),0))+10*Y75))</f>
        <v>-</v>
      </c>
      <c r="AA75" s="616" t="s">
        <v>7705</v>
      </c>
      <c r="AB75" s="606"/>
    </row>
    <row r="76" spans="1:56" ht="12" customHeight="1" x14ac:dyDescent="0.2">
      <c r="A76" s="603"/>
      <c r="B76" s="537"/>
      <c r="C76" s="663"/>
      <c r="D76" s="663"/>
      <c r="E76" s="663"/>
      <c r="F76" s="663"/>
      <c r="G76" s="663"/>
      <c r="H76" s="663"/>
      <c r="I76" s="663"/>
      <c r="J76" s="663"/>
      <c r="K76" s="663"/>
      <c r="L76" s="663"/>
      <c r="M76" s="663"/>
      <c r="N76" s="663"/>
      <c r="O76" s="663"/>
      <c r="P76" s="663"/>
      <c r="Q76" s="663"/>
      <c r="R76" s="663"/>
      <c r="S76" s="579"/>
      <c r="T76" s="663"/>
      <c r="U76" s="3349" t="s">
        <v>1788</v>
      </c>
      <c r="V76" s="3276" t="str">
        <f>IF(PDs!P180="","-",PDs!P180)</f>
        <v>-</v>
      </c>
      <c r="W76" s="3276"/>
      <c r="X76" s="1538" t="str">
        <f>IF(HLOOKUP(Sheele!$D$5,'Tablas Sheele'!$C$29:$K$86,'Tablas Sheele'!B81,FALSE)=0,"",HLOOKUP(Sheele!$D$5,'Tablas Sheele'!$C$29:$K$86,'Tablas Sheele'!B81,FALSE))</f>
        <v/>
      </c>
      <c r="Y76" s="1399"/>
      <c r="Z76" s="1357" t="str">
        <f>IF(Principal!Q73="-","-",MIN(Principal!Q72,IF(X76="",-30,X76+IF('Tablas Sheele'!F$119&gt;0,40+20*('Tablas Sheele'!F$119-1),0))+10*Y76))</f>
        <v>-</v>
      </c>
      <c r="AA76" s="616" t="s">
        <v>7705</v>
      </c>
      <c r="AB76" s="606"/>
    </row>
    <row r="77" spans="1:56" ht="12" customHeight="1" x14ac:dyDescent="0.2">
      <c r="A77" s="603"/>
      <c r="B77" s="537"/>
      <c r="C77" s="663"/>
      <c r="D77" s="663"/>
      <c r="E77" s="663"/>
      <c r="F77" s="663"/>
      <c r="G77" s="663"/>
      <c r="H77" s="663"/>
      <c r="I77" s="663"/>
      <c r="J77" s="663"/>
      <c r="K77" s="663"/>
      <c r="L77" s="663"/>
      <c r="M77" s="663"/>
      <c r="N77" s="663"/>
      <c r="O77" s="663"/>
      <c r="P77" s="663"/>
      <c r="Q77" s="663"/>
      <c r="R77" s="663"/>
      <c r="S77" s="579"/>
      <c r="T77" s="663"/>
      <c r="U77" s="3349"/>
      <c r="V77" s="3276" t="str">
        <f>IF(PDs!P181="","-",PDs!P181)</f>
        <v>-</v>
      </c>
      <c r="W77" s="3276"/>
      <c r="X77" s="1538" t="str">
        <f>IF(HLOOKUP(Sheele!$D$5,'Tablas Sheele'!$C$29:$K$86,'Tablas Sheele'!B82,FALSE)=0,"",HLOOKUP(Sheele!$D$5,'Tablas Sheele'!$C$29:$K$86,'Tablas Sheele'!B82,FALSE))</f>
        <v/>
      </c>
      <c r="Y77" s="1399"/>
      <c r="Z77" s="1357" t="str">
        <f>IF(Principal!Q74="-","-",MIN(Principal!Q73,IF(X77="",-30,X77+IF('Tablas Sheele'!F$119&gt;0,40+20*('Tablas Sheele'!F$119-1),0))+10*Y77))</f>
        <v>-</v>
      </c>
      <c r="AA77" s="616" t="s">
        <v>7705</v>
      </c>
      <c r="AB77" s="606"/>
    </row>
    <row r="78" spans="1:56" ht="12" customHeight="1" x14ac:dyDescent="0.2">
      <c r="A78" s="603"/>
      <c r="B78" s="537"/>
      <c r="C78" s="663"/>
      <c r="D78" s="663"/>
      <c r="E78" s="663"/>
      <c r="F78" s="663"/>
      <c r="G78" s="663"/>
      <c r="H78" s="663"/>
      <c r="I78" s="663"/>
      <c r="J78" s="663"/>
      <c r="K78" s="663"/>
      <c r="L78" s="663"/>
      <c r="M78" s="663"/>
      <c r="N78" s="663"/>
      <c r="O78" s="663"/>
      <c r="P78" s="663"/>
      <c r="Q78" s="663"/>
      <c r="R78" s="663"/>
      <c r="S78" s="579"/>
      <c r="T78" s="663"/>
      <c r="U78" s="3349"/>
      <c r="V78" s="3276" t="str">
        <f>IF(PDs!P182="","-",PDs!P182)</f>
        <v>-</v>
      </c>
      <c r="W78" s="3276"/>
      <c r="X78" s="1538" t="str">
        <f>IF(HLOOKUP(Sheele!$D$5,'Tablas Sheele'!$C$29:$K$86,'Tablas Sheele'!B83,FALSE)=0,"",HLOOKUP(Sheele!$D$5,'Tablas Sheele'!$C$29:$K$86,'Tablas Sheele'!B83,FALSE))</f>
        <v/>
      </c>
      <c r="Y78" s="1399"/>
      <c r="Z78" s="1357" t="str">
        <f>IF(Principal!Q75="-","-",MIN(Principal!Q74,IF(X78="",-30,X78+IF('Tablas Sheele'!F$119&gt;0,40+20*('Tablas Sheele'!F$119-1),0))+10*Y78))</f>
        <v>-</v>
      </c>
      <c r="AA78" s="616" t="s">
        <v>7705</v>
      </c>
      <c r="AB78" s="606"/>
      <c r="BD78" s="665"/>
    </row>
    <row r="79" spans="1:56" ht="12" customHeight="1" x14ac:dyDescent="0.2">
      <c r="A79" s="603"/>
      <c r="B79" s="537"/>
      <c r="C79" s="663"/>
      <c r="D79" s="663"/>
      <c r="E79" s="663"/>
      <c r="F79" s="663"/>
      <c r="G79" s="663"/>
      <c r="H79" s="663"/>
      <c r="I79" s="663"/>
      <c r="J79" s="663"/>
      <c r="K79" s="663"/>
      <c r="L79" s="663"/>
      <c r="M79" s="663"/>
      <c r="N79" s="663"/>
      <c r="O79" s="663"/>
      <c r="P79" s="663"/>
      <c r="Q79" s="663"/>
      <c r="R79" s="663"/>
      <c r="S79" s="579"/>
      <c r="T79" s="663"/>
      <c r="U79" s="3349"/>
      <c r="V79" s="3276" t="str">
        <f>IF(PDs!P183="","-",PDs!P183)</f>
        <v>-</v>
      </c>
      <c r="W79" s="3276"/>
      <c r="X79" s="1538" t="str">
        <f>IF(HLOOKUP(Sheele!$D$5,'Tablas Sheele'!$C$29:$K$86,'Tablas Sheele'!B84,FALSE)=0,"",HLOOKUP(Sheele!$D$5,'Tablas Sheele'!$C$29:$K$86,'Tablas Sheele'!B84,FALSE))</f>
        <v/>
      </c>
      <c r="Y79" s="1399"/>
      <c r="Z79" s="1357" t="str">
        <f>IF(Principal!Q76="-","-",MIN(Principal!Q75,IF(X79="",-30,X79+IF('Tablas Sheele'!F$119&gt;0,40+20*('Tablas Sheele'!F$119-1),0))+10*Y79))</f>
        <v>-</v>
      </c>
      <c r="AA79" s="616" t="s">
        <v>7705</v>
      </c>
      <c r="AB79" s="606"/>
      <c r="BD79" s="665"/>
    </row>
    <row r="80" spans="1:56" ht="12" customHeight="1" thickBot="1" x14ac:dyDescent="0.25">
      <c r="A80" s="603"/>
      <c r="B80" s="537"/>
      <c r="C80" s="663"/>
      <c r="D80" s="663"/>
      <c r="E80" s="663"/>
      <c r="F80" s="663"/>
      <c r="G80" s="663"/>
      <c r="H80" s="663"/>
      <c r="I80" s="663"/>
      <c r="J80" s="663"/>
      <c r="K80" s="663"/>
      <c r="L80" s="663"/>
      <c r="M80" s="663"/>
      <c r="N80" s="663"/>
      <c r="O80" s="663"/>
      <c r="P80" s="663"/>
      <c r="Q80" s="663"/>
      <c r="R80" s="663"/>
      <c r="S80" s="579"/>
      <c r="T80" s="663"/>
      <c r="U80" s="3473"/>
      <c r="V80" s="3474" t="str">
        <f>IF(PDs!P184="","-",PDs!P184)</f>
        <v>-</v>
      </c>
      <c r="W80" s="3474"/>
      <c r="X80" s="1278" t="str">
        <f>IF(HLOOKUP(Sheele!$D$5,'Tablas Sheele'!$C$29:$K$86,'Tablas Sheele'!B85,FALSE)=0,"",HLOOKUP(Sheele!$D$5,'Tablas Sheele'!$C$29:$K$86,'Tablas Sheele'!B85,FALSE))</f>
        <v/>
      </c>
      <c r="Y80" s="1401"/>
      <c r="Z80" s="1359" t="str">
        <f>IF(Principal!Q77="-","-",MIN(Principal!Q76,IF(X80="",-30,X80+IF('Tablas Sheele'!F$119&gt;0,40+20*('Tablas Sheele'!F$119-1),0))+10*Y80))</f>
        <v>-</v>
      </c>
      <c r="AA80" s="616" t="s">
        <v>7705</v>
      </c>
      <c r="AB80" s="606"/>
      <c r="BD80" s="665"/>
    </row>
    <row r="81" spans="1:59" ht="12" customHeight="1" thickBot="1" x14ac:dyDescent="0.25">
      <c r="A81" s="603"/>
      <c r="B81" s="661"/>
      <c r="C81" s="662"/>
      <c r="D81" s="662"/>
      <c r="E81" s="662"/>
      <c r="F81" s="662"/>
      <c r="G81" s="662"/>
      <c r="H81" s="662"/>
      <c r="I81" s="662"/>
      <c r="J81" s="662"/>
      <c r="K81" s="662"/>
      <c r="L81" s="662"/>
      <c r="M81" s="662"/>
      <c r="N81" s="662"/>
      <c r="O81" s="662"/>
      <c r="P81" s="662"/>
      <c r="Q81" s="662"/>
      <c r="R81" s="662"/>
      <c r="S81" s="662"/>
      <c r="T81" s="662"/>
      <c r="U81" s="1168"/>
      <c r="V81" s="1168"/>
      <c r="W81" s="1168"/>
      <c r="X81" s="1168"/>
      <c r="Y81" s="1168"/>
      <c r="Z81" s="1168"/>
      <c r="AA81" s="1361"/>
      <c r="AB81" s="606"/>
      <c r="BD81" s="665"/>
    </row>
    <row r="82" spans="1:59" ht="12" customHeight="1" x14ac:dyDescent="0.2">
      <c r="A82" s="603"/>
      <c r="B82" s="604"/>
      <c r="C82" s="604"/>
      <c r="D82" s="604"/>
      <c r="E82" s="604"/>
      <c r="F82" s="604"/>
      <c r="G82" s="604"/>
      <c r="H82" s="604"/>
      <c r="I82" s="604"/>
      <c r="J82" s="604"/>
      <c r="K82" s="604"/>
      <c r="L82" s="604"/>
      <c r="M82" s="604"/>
      <c r="N82" s="604"/>
      <c r="O82" s="604"/>
      <c r="P82" s="604"/>
      <c r="Q82" s="604"/>
      <c r="R82" s="604"/>
      <c r="S82" s="604"/>
      <c r="T82" s="604"/>
      <c r="U82" s="604"/>
      <c r="V82" s="604"/>
      <c r="W82" s="604"/>
      <c r="X82" s="604"/>
      <c r="Y82" s="604"/>
      <c r="Z82" s="604"/>
      <c r="AA82" s="1362"/>
      <c r="AB82" s="606"/>
      <c r="BD82" s="665"/>
    </row>
    <row r="83" spans="1:59" ht="12" customHeight="1" x14ac:dyDescent="0.2">
      <c r="AM83" s="624"/>
      <c r="AN83" s="624"/>
      <c r="AO83" s="624"/>
      <c r="AP83" s="624"/>
      <c r="AQ83" s="624"/>
      <c r="AR83" s="624"/>
      <c r="AS83" s="624"/>
      <c r="AT83" s="624"/>
      <c r="AU83" s="620"/>
      <c r="AV83" s="620"/>
      <c r="BD83" s="665"/>
    </row>
    <row r="84" spans="1:59" ht="12" customHeight="1" x14ac:dyDescent="0.2">
      <c r="AM84" s="624"/>
      <c r="AN84" s="624"/>
      <c r="AO84" s="624"/>
      <c r="AP84" s="624"/>
      <c r="AQ84" s="624"/>
      <c r="AR84" s="624"/>
      <c r="AS84" s="624"/>
      <c r="AT84" s="624"/>
      <c r="AU84" s="620"/>
      <c r="AV84" s="620"/>
      <c r="BD84" s="665"/>
    </row>
    <row r="85" spans="1:59" ht="12" customHeight="1" x14ac:dyDescent="0.2">
      <c r="A85" s="624"/>
      <c r="AM85" s="624"/>
      <c r="AN85" s="624"/>
      <c r="AO85" s="624"/>
      <c r="AP85" s="624"/>
      <c r="AQ85" s="624"/>
      <c r="AR85" s="624"/>
      <c r="AS85" s="624"/>
      <c r="AT85" s="624"/>
      <c r="AU85" s="620"/>
      <c r="AV85" s="620"/>
      <c r="BD85" s="665"/>
    </row>
    <row r="86" spans="1:59" ht="12" customHeight="1" x14ac:dyDescent="0.2">
      <c r="A86" s="624"/>
      <c r="AM86" s="624"/>
      <c r="AN86" s="624"/>
      <c r="AO86" s="624"/>
      <c r="AP86" s="624"/>
      <c r="AQ86" s="624"/>
      <c r="AR86" s="624"/>
      <c r="AS86" s="624"/>
      <c r="AT86" s="624"/>
      <c r="AU86" s="620"/>
      <c r="AV86" s="620"/>
      <c r="BD86" s="665"/>
    </row>
    <row r="87" spans="1:59" ht="12" customHeight="1" x14ac:dyDescent="0.2">
      <c r="A87" s="624"/>
      <c r="AM87" s="624"/>
      <c r="AN87" s="624"/>
      <c r="AO87" s="624"/>
      <c r="AP87" s="624"/>
      <c r="AQ87" s="624"/>
      <c r="AR87" s="624"/>
      <c r="AS87" s="624"/>
      <c r="AT87" s="624"/>
      <c r="AU87" s="620"/>
      <c r="AV87" s="620"/>
      <c r="BD87" s="665"/>
    </row>
    <row r="88" spans="1:59" ht="12" customHeight="1" x14ac:dyDescent="0.2">
      <c r="A88" s="624"/>
      <c r="B88" s="666"/>
      <c r="AM88" s="624"/>
      <c r="AN88" s="624"/>
      <c r="AO88" s="624"/>
      <c r="AP88" s="624"/>
      <c r="AQ88" s="624"/>
      <c r="AR88" s="624"/>
      <c r="AS88" s="624"/>
      <c r="AT88" s="624"/>
      <c r="AU88" s="620"/>
      <c r="AV88" s="620"/>
      <c r="BD88" s="665"/>
    </row>
    <row r="89" spans="1:59" ht="12" customHeight="1" x14ac:dyDescent="0.2">
      <c r="A89" s="624"/>
      <c r="B89" s="666"/>
      <c r="C89" s="624"/>
      <c r="AM89" s="624"/>
      <c r="AN89" s="624"/>
      <c r="AO89" s="624"/>
      <c r="AP89" s="624"/>
      <c r="AQ89" s="624"/>
      <c r="AR89" s="624"/>
      <c r="AS89" s="624"/>
      <c r="AT89" s="624"/>
      <c r="AU89" s="620"/>
      <c r="AV89" s="620"/>
      <c r="BD89" s="665"/>
    </row>
    <row r="90" spans="1:59" ht="12" customHeight="1" x14ac:dyDescent="0.2">
      <c r="A90" s="579"/>
      <c r="B90" s="667"/>
      <c r="AM90" s="624"/>
      <c r="AN90" s="624"/>
      <c r="AO90" s="624"/>
      <c r="AP90" s="624"/>
      <c r="AQ90" s="624"/>
      <c r="AR90" s="624"/>
      <c r="AS90" s="624"/>
      <c r="AT90" s="624"/>
      <c r="AU90" s="620"/>
      <c r="AV90" s="620"/>
      <c r="BD90" s="665"/>
    </row>
    <row r="91" spans="1:59" ht="12" customHeight="1" x14ac:dyDescent="0.2">
      <c r="A91" s="579"/>
      <c r="AM91" s="624"/>
      <c r="AN91" s="624"/>
      <c r="AO91" s="624"/>
      <c r="AP91" s="624"/>
      <c r="AQ91" s="624"/>
      <c r="AR91" s="624"/>
      <c r="AS91" s="624"/>
      <c r="AT91" s="624"/>
      <c r="AU91" s="620"/>
      <c r="AV91" s="620"/>
      <c r="BD91" s="665"/>
    </row>
    <row r="92" spans="1:59" ht="12" customHeight="1" x14ac:dyDescent="0.2">
      <c r="A92" s="579"/>
      <c r="E92" s="668"/>
      <c r="F92" s="668"/>
      <c r="AM92" s="624"/>
      <c r="AN92" s="624"/>
      <c r="AO92" s="624"/>
      <c r="AP92" s="624"/>
      <c r="AQ92" s="624"/>
      <c r="AR92" s="624"/>
      <c r="AS92" s="624"/>
      <c r="AT92" s="624"/>
      <c r="AU92" s="620"/>
      <c r="AV92" s="620"/>
      <c r="BD92" s="665"/>
    </row>
    <row r="93" spans="1:59" ht="12" customHeight="1" x14ac:dyDescent="0.2">
      <c r="A93" s="579"/>
      <c r="E93" s="668"/>
      <c r="F93" s="668"/>
      <c r="AM93" s="624"/>
      <c r="AN93" s="624"/>
      <c r="AO93" s="624"/>
      <c r="AP93" s="624"/>
      <c r="AQ93" s="624"/>
      <c r="AR93" s="624"/>
      <c r="AS93" s="624"/>
      <c r="AT93" s="624"/>
      <c r="AU93" s="620"/>
      <c r="AV93" s="620"/>
      <c r="BD93" s="665"/>
    </row>
    <row r="94" spans="1:59" ht="12" customHeight="1" x14ac:dyDescent="0.2">
      <c r="A94" s="579"/>
      <c r="E94" s="668"/>
      <c r="F94" s="668"/>
      <c r="AM94" s="624"/>
      <c r="AN94" s="624"/>
      <c r="AO94" s="624"/>
      <c r="AP94" s="624"/>
      <c r="AQ94" s="624"/>
      <c r="AR94" s="624"/>
      <c r="AS94" s="624"/>
      <c r="AT94" s="624"/>
      <c r="AU94" s="620"/>
      <c r="AV94" s="620"/>
      <c r="BD94" s="665"/>
    </row>
    <row r="95" spans="1:59" ht="12" customHeight="1" x14ac:dyDescent="0.2">
      <c r="A95" s="579"/>
      <c r="E95" s="668"/>
      <c r="F95" s="668"/>
      <c r="AM95" s="624"/>
      <c r="AN95" s="624"/>
      <c r="AO95" s="624"/>
      <c r="AP95" s="624"/>
      <c r="AQ95" s="624"/>
      <c r="AR95" s="624"/>
      <c r="AS95" s="624"/>
      <c r="AT95" s="624"/>
      <c r="AU95" s="620"/>
      <c r="AV95" s="620"/>
      <c r="BD95" s="665"/>
    </row>
    <row r="96" spans="1:59" ht="12" customHeight="1" x14ac:dyDescent="0.2">
      <c r="A96" s="579"/>
      <c r="E96" s="579"/>
      <c r="F96" s="579"/>
      <c r="AM96" s="624"/>
      <c r="AN96" s="624"/>
      <c r="AO96" s="624"/>
      <c r="AP96" s="624"/>
      <c r="AQ96" s="624"/>
      <c r="AR96" s="624"/>
      <c r="AS96" s="624"/>
      <c r="AT96" s="624"/>
      <c r="AU96" s="620"/>
      <c r="AV96" s="620"/>
      <c r="BD96" s="665"/>
      <c r="BE96" s="665"/>
      <c r="BF96" s="665"/>
      <c r="BG96" s="665"/>
    </row>
    <row r="97" spans="1:59" ht="12" customHeight="1" x14ac:dyDescent="0.2">
      <c r="A97" s="579"/>
      <c r="S97" s="607"/>
      <c r="U97" s="624"/>
      <c r="V97" s="624"/>
      <c r="W97" s="624"/>
      <c r="AM97" s="624"/>
      <c r="AN97" s="624"/>
      <c r="AO97" s="624"/>
      <c r="AP97" s="624"/>
      <c r="AQ97" s="624"/>
      <c r="AR97" s="624"/>
      <c r="AS97" s="624"/>
      <c r="AT97" s="624"/>
      <c r="AU97" s="620"/>
      <c r="AV97" s="620"/>
      <c r="BD97" s="665"/>
      <c r="BE97" s="665"/>
      <c r="BF97" s="665"/>
      <c r="BG97" s="665"/>
    </row>
    <row r="98" spans="1:59" ht="12" customHeight="1" x14ac:dyDescent="0.2">
      <c r="A98" s="579"/>
      <c r="S98" s="607"/>
      <c r="U98" s="624"/>
      <c r="V98" s="624"/>
      <c r="W98" s="624"/>
      <c r="AM98" s="624"/>
      <c r="AN98" s="624"/>
      <c r="AO98" s="624"/>
      <c r="AP98" s="624"/>
      <c r="AQ98" s="624"/>
      <c r="AR98" s="624"/>
      <c r="AS98" s="624"/>
      <c r="AT98" s="624"/>
      <c r="AU98" s="620"/>
      <c r="AV98" s="620"/>
      <c r="BD98" s="665"/>
      <c r="BE98" s="665"/>
      <c r="BF98" s="665"/>
      <c r="BG98" s="665"/>
    </row>
    <row r="99" spans="1:59" ht="12" customHeight="1" x14ac:dyDescent="0.2">
      <c r="A99" s="579"/>
      <c r="C99" s="669"/>
      <c r="D99" s="669"/>
      <c r="S99" s="607"/>
      <c r="U99" s="624"/>
      <c r="V99" s="624"/>
      <c r="W99" s="624"/>
      <c r="AM99" s="624"/>
      <c r="AN99" s="624"/>
      <c r="AO99" s="624"/>
      <c r="AP99" s="624"/>
      <c r="AQ99" s="624"/>
      <c r="AR99" s="624"/>
      <c r="AS99" s="624"/>
      <c r="AT99" s="624"/>
      <c r="AU99" s="620"/>
      <c r="AV99" s="620"/>
      <c r="BD99" s="665"/>
      <c r="BE99" s="665"/>
      <c r="BF99" s="665"/>
      <c r="BG99" s="665"/>
    </row>
    <row r="100" spans="1:59" ht="12" customHeight="1" x14ac:dyDescent="0.2">
      <c r="A100" s="579"/>
      <c r="C100" s="579"/>
      <c r="D100" s="579"/>
      <c r="Q100" s="624"/>
      <c r="R100" s="624"/>
      <c r="T100" s="624"/>
      <c r="U100" s="624"/>
      <c r="V100" s="624"/>
      <c r="W100" s="624"/>
      <c r="AM100" s="624"/>
      <c r="AN100" s="624"/>
      <c r="AO100" s="624"/>
      <c r="AP100" s="624"/>
      <c r="AQ100" s="624"/>
      <c r="AR100" s="624"/>
      <c r="AS100" s="624"/>
      <c r="AT100" s="624"/>
      <c r="AU100" s="620"/>
      <c r="AV100" s="620"/>
      <c r="BD100" s="665"/>
      <c r="BE100" s="665"/>
      <c r="BF100" s="665"/>
      <c r="BG100" s="665"/>
    </row>
    <row r="101" spans="1:59" ht="12" customHeight="1" x14ac:dyDescent="0.2">
      <c r="A101" s="579"/>
      <c r="C101" s="579"/>
      <c r="D101" s="579"/>
      <c r="Q101" s="624"/>
      <c r="R101" s="624"/>
      <c r="T101" s="624"/>
      <c r="U101" s="624"/>
      <c r="V101" s="624"/>
      <c r="W101" s="624"/>
      <c r="AM101" s="624"/>
      <c r="AN101" s="624"/>
      <c r="AO101" s="624"/>
      <c r="AP101" s="624"/>
      <c r="AQ101" s="624"/>
      <c r="AR101" s="624"/>
      <c r="AS101" s="624"/>
      <c r="AT101" s="624"/>
      <c r="AU101" s="620"/>
      <c r="AV101" s="620"/>
      <c r="BD101" s="665"/>
      <c r="BE101" s="665"/>
      <c r="BF101" s="665"/>
      <c r="BG101" s="665"/>
    </row>
    <row r="102" spans="1:59" ht="12" customHeight="1" x14ac:dyDescent="0.2">
      <c r="A102" s="579"/>
      <c r="C102" s="579"/>
      <c r="D102" s="579"/>
      <c r="E102" s="624"/>
      <c r="F102" s="624"/>
      <c r="G102" s="624"/>
      <c r="H102" s="582"/>
      <c r="I102" s="624"/>
      <c r="J102" s="624"/>
      <c r="Q102" s="624"/>
      <c r="R102" s="624"/>
      <c r="T102" s="624"/>
      <c r="U102" s="624"/>
      <c r="V102" s="624"/>
      <c r="W102" s="624"/>
      <c r="AM102" s="624"/>
      <c r="AN102" s="624"/>
      <c r="AO102" s="624"/>
      <c r="AP102" s="624"/>
      <c r="AQ102" s="624"/>
      <c r="AR102" s="624"/>
      <c r="AS102" s="624"/>
      <c r="AT102" s="624"/>
      <c r="AU102" s="620"/>
      <c r="AV102" s="620"/>
      <c r="BD102" s="665"/>
      <c r="BE102" s="665"/>
      <c r="BF102" s="665"/>
      <c r="BG102" s="665"/>
    </row>
    <row r="103" spans="1:59" ht="12" customHeight="1" x14ac:dyDescent="0.2">
      <c r="A103" s="579"/>
      <c r="B103" s="579"/>
      <c r="C103" s="579"/>
      <c r="D103" s="579"/>
      <c r="E103" s="624"/>
      <c r="F103" s="624"/>
      <c r="G103" s="624"/>
      <c r="H103" s="582"/>
      <c r="I103" s="624"/>
      <c r="J103" s="624"/>
      <c r="Q103" s="624"/>
      <c r="R103" s="624"/>
      <c r="T103" s="624"/>
      <c r="U103" s="624"/>
      <c r="V103" s="624"/>
      <c r="W103" s="624"/>
      <c r="AM103" s="624"/>
      <c r="AN103" s="624"/>
      <c r="AO103" s="624"/>
      <c r="AP103" s="624"/>
      <c r="AQ103" s="624"/>
      <c r="AR103" s="624"/>
      <c r="AS103" s="624"/>
      <c r="AT103" s="624"/>
      <c r="AU103" s="620"/>
      <c r="AV103" s="620"/>
      <c r="BD103" s="665"/>
      <c r="BE103" s="665"/>
      <c r="BF103" s="665"/>
      <c r="BG103" s="665"/>
    </row>
    <row r="104" spans="1:59" ht="12" customHeight="1" x14ac:dyDescent="0.2">
      <c r="A104" s="579"/>
      <c r="B104" s="624"/>
      <c r="C104" s="579"/>
      <c r="D104" s="579"/>
      <c r="E104" s="624"/>
      <c r="F104" s="624"/>
      <c r="G104" s="624"/>
      <c r="H104" s="582"/>
      <c r="I104" s="624"/>
      <c r="J104" s="624"/>
      <c r="Q104" s="624"/>
      <c r="R104" s="624"/>
      <c r="T104" s="624"/>
      <c r="U104" s="624"/>
      <c r="V104" s="624"/>
      <c r="W104" s="624"/>
      <c r="AM104" s="624"/>
      <c r="AN104" s="624"/>
      <c r="AO104" s="624"/>
      <c r="AP104" s="624"/>
      <c r="AQ104" s="624"/>
      <c r="AR104" s="624"/>
      <c r="AS104" s="624"/>
      <c r="AT104" s="624"/>
      <c r="AU104" s="620"/>
      <c r="AV104" s="620"/>
      <c r="BD104" s="665"/>
      <c r="BE104" s="665"/>
      <c r="BF104" s="665"/>
      <c r="BG104" s="665"/>
    </row>
    <row r="105" spans="1:59" ht="12" customHeight="1" x14ac:dyDescent="0.2">
      <c r="A105" s="624"/>
      <c r="B105" s="670"/>
      <c r="C105" s="579"/>
      <c r="D105" s="579"/>
      <c r="E105" s="624"/>
      <c r="F105" s="624"/>
      <c r="G105" s="624"/>
      <c r="H105" s="582"/>
      <c r="I105" s="624"/>
      <c r="J105" s="624"/>
      <c r="Q105" s="624"/>
      <c r="R105" s="624"/>
      <c r="T105" s="624"/>
      <c r="U105" s="624"/>
      <c r="V105" s="624"/>
      <c r="W105" s="624"/>
      <c r="AM105" s="624"/>
      <c r="AN105" s="624"/>
      <c r="AO105" s="624"/>
      <c r="AP105" s="624"/>
      <c r="AQ105" s="624"/>
      <c r="AR105" s="624"/>
      <c r="AS105" s="624"/>
      <c r="AT105" s="624"/>
      <c r="AU105" s="620"/>
      <c r="AV105" s="620"/>
      <c r="BD105" s="665"/>
      <c r="BE105" s="665"/>
      <c r="BF105" s="665"/>
      <c r="BG105" s="665"/>
    </row>
    <row r="106" spans="1:59" ht="12" customHeight="1" x14ac:dyDescent="0.2">
      <c r="A106" s="624"/>
      <c r="B106" s="670"/>
      <c r="C106" s="668"/>
      <c r="D106" s="668"/>
      <c r="E106" s="624"/>
      <c r="F106" s="624"/>
      <c r="G106" s="624"/>
      <c r="H106" s="582"/>
      <c r="I106" s="624"/>
      <c r="J106" s="624"/>
      <c r="Q106" s="624"/>
      <c r="R106" s="624"/>
      <c r="T106" s="624"/>
      <c r="U106" s="624"/>
      <c r="V106" s="624"/>
      <c r="W106" s="624"/>
      <c r="AM106" s="624"/>
      <c r="AN106" s="624"/>
      <c r="AO106" s="624"/>
      <c r="AP106" s="624"/>
      <c r="AQ106" s="624"/>
      <c r="AR106" s="624"/>
      <c r="AS106" s="624"/>
      <c r="AT106" s="624"/>
      <c r="AU106" s="620"/>
      <c r="AV106" s="620"/>
      <c r="BD106" s="665"/>
      <c r="BE106" s="665"/>
      <c r="BF106" s="665"/>
      <c r="BG106" s="665"/>
    </row>
    <row r="107" spans="1:59" ht="12" customHeight="1" x14ac:dyDescent="0.2">
      <c r="A107" s="624"/>
      <c r="B107" s="670"/>
      <c r="C107" s="668"/>
      <c r="D107" s="668"/>
      <c r="E107" s="624"/>
      <c r="F107" s="624"/>
      <c r="G107" s="624"/>
      <c r="H107" s="582"/>
      <c r="I107" s="624"/>
      <c r="J107" s="624"/>
      <c r="Q107" s="624"/>
      <c r="R107" s="624"/>
      <c r="T107" s="624"/>
      <c r="U107" s="624"/>
      <c r="V107" s="624"/>
      <c r="W107" s="624"/>
      <c r="AM107" s="624"/>
      <c r="AN107" s="624"/>
      <c r="AO107" s="624"/>
      <c r="AP107" s="624"/>
      <c r="AQ107" s="624"/>
      <c r="AR107" s="624"/>
      <c r="AS107" s="624"/>
      <c r="AT107" s="624"/>
      <c r="AU107" s="620"/>
      <c r="AV107" s="620"/>
      <c r="BD107" s="665"/>
      <c r="BE107" s="665"/>
      <c r="BF107" s="665"/>
      <c r="BG107" s="665"/>
    </row>
    <row r="108" spans="1:59" ht="12" customHeight="1" x14ac:dyDescent="0.2">
      <c r="A108" s="624"/>
      <c r="B108" s="670"/>
      <c r="C108" s="668"/>
      <c r="D108" s="668"/>
      <c r="E108" s="624"/>
      <c r="F108" s="624"/>
      <c r="G108" s="624"/>
      <c r="H108" s="582"/>
      <c r="I108" s="624"/>
      <c r="J108" s="624"/>
      <c r="Q108" s="624"/>
      <c r="R108" s="624"/>
      <c r="T108" s="624"/>
      <c r="U108" s="624"/>
      <c r="V108" s="624"/>
      <c r="W108" s="624"/>
      <c r="AM108" s="624"/>
      <c r="AN108" s="624"/>
      <c r="AO108" s="624"/>
      <c r="AP108" s="624"/>
      <c r="AQ108" s="624"/>
      <c r="AR108" s="624"/>
      <c r="AS108" s="624"/>
      <c r="AT108" s="624"/>
      <c r="AU108" s="620"/>
      <c r="AV108" s="620"/>
      <c r="BD108" s="665"/>
      <c r="BE108" s="665"/>
      <c r="BF108" s="665"/>
      <c r="BG108" s="665"/>
    </row>
    <row r="109" spans="1:59" ht="12" customHeight="1" x14ac:dyDescent="0.2">
      <c r="A109" s="624"/>
      <c r="B109" s="670"/>
      <c r="C109" s="668"/>
      <c r="D109" s="668"/>
      <c r="E109" s="668"/>
      <c r="F109" s="668"/>
      <c r="G109" s="668"/>
      <c r="H109" s="671"/>
      <c r="T109" s="624"/>
      <c r="U109" s="624"/>
      <c r="AM109" s="624"/>
      <c r="AN109" s="624"/>
      <c r="AO109" s="624"/>
      <c r="AP109" s="624"/>
      <c r="AQ109" s="624"/>
      <c r="AR109" s="624"/>
      <c r="AS109" s="624"/>
      <c r="AT109" s="624"/>
      <c r="AU109" s="620"/>
      <c r="AV109" s="620"/>
      <c r="BD109" s="665"/>
      <c r="BE109" s="665"/>
      <c r="BF109" s="665"/>
      <c r="BG109" s="665"/>
    </row>
    <row r="110" spans="1:59" ht="12" customHeight="1" x14ac:dyDescent="0.2">
      <c r="A110" s="624"/>
      <c r="B110" s="670"/>
      <c r="C110" s="668"/>
      <c r="D110" s="668"/>
      <c r="E110" s="668"/>
      <c r="F110" s="668"/>
      <c r="G110" s="668"/>
      <c r="H110" s="671"/>
      <c r="T110" s="624"/>
      <c r="U110" s="624"/>
      <c r="AB110" s="624"/>
      <c r="AM110" s="624"/>
      <c r="AN110" s="624"/>
      <c r="AO110" s="624"/>
      <c r="AP110" s="624"/>
      <c r="AQ110" s="624"/>
      <c r="AR110" s="624"/>
      <c r="AS110" s="624"/>
      <c r="AT110" s="624"/>
      <c r="AU110" s="620"/>
      <c r="AV110" s="620"/>
      <c r="BD110" s="665"/>
      <c r="BE110" s="665"/>
      <c r="BF110" s="665"/>
      <c r="BG110" s="665"/>
    </row>
    <row r="111" spans="1:59" ht="12" customHeight="1" x14ac:dyDescent="0.2">
      <c r="A111" s="624"/>
      <c r="B111" s="670"/>
      <c r="C111" s="668"/>
      <c r="D111" s="668"/>
      <c r="E111" s="668"/>
      <c r="F111" s="668"/>
      <c r="G111" s="668"/>
      <c r="H111" s="671"/>
      <c r="T111" s="624"/>
      <c r="U111" s="624"/>
      <c r="AB111" s="624"/>
      <c r="AM111" s="624"/>
      <c r="AN111" s="624"/>
      <c r="AO111" s="624"/>
      <c r="AP111" s="624"/>
      <c r="AQ111" s="624"/>
      <c r="AR111" s="624"/>
      <c r="AS111" s="624"/>
      <c r="AT111" s="624"/>
      <c r="AU111" s="620"/>
      <c r="AV111" s="620"/>
      <c r="BD111" s="665"/>
      <c r="BE111" s="665"/>
      <c r="BF111" s="665"/>
      <c r="BG111" s="665"/>
    </row>
    <row r="112" spans="1:59" ht="12" customHeight="1" x14ac:dyDescent="0.2">
      <c r="A112" s="624"/>
      <c r="B112" s="670"/>
      <c r="C112" s="579"/>
      <c r="D112" s="579"/>
      <c r="E112" s="579"/>
      <c r="F112" s="579"/>
      <c r="G112" s="579"/>
      <c r="H112" s="579"/>
      <c r="T112" s="624"/>
      <c r="U112" s="624"/>
      <c r="AM112" s="624"/>
      <c r="AN112" s="624"/>
      <c r="AO112" s="624"/>
      <c r="AP112" s="624"/>
      <c r="AQ112" s="624"/>
      <c r="AR112" s="624"/>
      <c r="AS112" s="624"/>
      <c r="AT112" s="624"/>
      <c r="AU112" s="620"/>
      <c r="AV112" s="620"/>
      <c r="BD112" s="665"/>
      <c r="BE112" s="665"/>
      <c r="BF112" s="665"/>
      <c r="BG112" s="665"/>
    </row>
    <row r="113" spans="1:59" ht="12" customHeight="1" x14ac:dyDescent="0.2">
      <c r="A113" s="624"/>
      <c r="B113" s="670"/>
      <c r="T113" s="624"/>
      <c r="U113" s="624"/>
      <c r="AM113" s="624"/>
      <c r="AN113" s="624"/>
      <c r="AO113" s="624"/>
      <c r="AP113" s="624"/>
      <c r="AQ113" s="624"/>
      <c r="AR113" s="624"/>
      <c r="AS113" s="624"/>
      <c r="AT113" s="624"/>
      <c r="AU113" s="620"/>
      <c r="AV113" s="620"/>
      <c r="BD113" s="665"/>
      <c r="BE113" s="665"/>
      <c r="BF113" s="665"/>
      <c r="BG113" s="665"/>
    </row>
    <row r="114" spans="1:59" ht="12" customHeight="1" x14ac:dyDescent="0.2">
      <c r="A114" s="624"/>
      <c r="B114" s="670"/>
      <c r="T114" s="624"/>
      <c r="U114" s="624"/>
      <c r="AM114" s="624"/>
      <c r="AN114" s="624"/>
      <c r="AO114" s="624"/>
      <c r="AP114" s="624"/>
      <c r="AQ114" s="624"/>
      <c r="AR114" s="624"/>
      <c r="AS114" s="624"/>
      <c r="AT114" s="624"/>
      <c r="AU114" s="620"/>
      <c r="AV114" s="620"/>
      <c r="BD114" s="665"/>
      <c r="BE114" s="665"/>
      <c r="BF114" s="665"/>
      <c r="BG114" s="665"/>
    </row>
    <row r="115" spans="1:59" ht="12" customHeight="1" x14ac:dyDescent="0.2">
      <c r="A115" s="624"/>
      <c r="B115" s="624"/>
      <c r="T115" s="624"/>
      <c r="U115" s="624"/>
      <c r="AM115" s="624"/>
      <c r="AN115" s="624"/>
      <c r="AO115" s="624"/>
      <c r="AP115" s="624"/>
      <c r="AQ115" s="624"/>
      <c r="AR115" s="624"/>
      <c r="AS115" s="624"/>
      <c r="AT115" s="624"/>
      <c r="AU115" s="620"/>
      <c r="AV115" s="620"/>
      <c r="BD115" s="665"/>
      <c r="BE115" s="665"/>
      <c r="BF115" s="665"/>
      <c r="BG115" s="665"/>
    </row>
    <row r="116" spans="1:59" ht="12" customHeight="1" x14ac:dyDescent="0.2">
      <c r="A116" s="624"/>
      <c r="B116" s="624"/>
      <c r="O116" s="624"/>
      <c r="P116" s="624"/>
      <c r="Q116" s="624"/>
      <c r="R116" s="624"/>
      <c r="T116" s="624"/>
      <c r="U116" s="624"/>
      <c r="AM116" s="624"/>
      <c r="AN116" s="624"/>
      <c r="AO116" s="624"/>
      <c r="AP116" s="624"/>
      <c r="AQ116" s="624"/>
      <c r="AR116" s="624"/>
      <c r="AS116" s="624"/>
      <c r="AT116" s="624"/>
      <c r="AU116" s="620"/>
      <c r="AV116" s="620"/>
      <c r="BD116" s="665"/>
      <c r="BE116" s="665"/>
      <c r="BF116" s="665"/>
      <c r="BG116" s="665"/>
    </row>
    <row r="117" spans="1:59" ht="12" customHeight="1" x14ac:dyDescent="0.2">
      <c r="A117" s="624"/>
      <c r="B117" s="582"/>
      <c r="O117" s="624"/>
      <c r="P117" s="624"/>
      <c r="Q117" s="624"/>
      <c r="R117" s="624"/>
      <c r="T117" s="624"/>
      <c r="U117" s="624"/>
      <c r="AM117" s="624"/>
      <c r="AN117" s="624"/>
      <c r="AO117" s="624"/>
      <c r="AP117" s="624"/>
      <c r="AQ117" s="624"/>
      <c r="AR117" s="624"/>
      <c r="AS117" s="624"/>
      <c r="AT117" s="624"/>
      <c r="AU117" s="620"/>
      <c r="AV117" s="620"/>
      <c r="BD117" s="665"/>
      <c r="BE117" s="665"/>
      <c r="BF117" s="665"/>
      <c r="BG117" s="665"/>
    </row>
    <row r="118" spans="1:59" ht="12" customHeight="1" x14ac:dyDescent="0.2">
      <c r="A118" s="624"/>
      <c r="B118" s="582"/>
      <c r="C118" s="624"/>
      <c r="D118" s="624"/>
      <c r="E118" s="624"/>
      <c r="F118" s="582"/>
      <c r="G118" s="624"/>
      <c r="H118" s="624"/>
      <c r="O118" s="624"/>
      <c r="P118" s="624"/>
      <c r="Q118" s="624"/>
      <c r="R118" s="624"/>
      <c r="T118" s="624"/>
      <c r="U118" s="624"/>
      <c r="AM118" s="624"/>
      <c r="AN118" s="624"/>
      <c r="AO118" s="624"/>
      <c r="AP118" s="624"/>
      <c r="AQ118" s="624"/>
      <c r="AR118" s="624"/>
      <c r="AS118" s="624"/>
      <c r="AT118" s="624"/>
      <c r="AU118" s="620"/>
      <c r="AV118" s="620"/>
      <c r="BD118" s="665"/>
      <c r="BE118" s="665"/>
      <c r="BF118" s="665"/>
      <c r="BG118" s="665"/>
    </row>
    <row r="119" spans="1:59" ht="12" customHeight="1" x14ac:dyDescent="0.2">
      <c r="A119" s="624"/>
      <c r="B119" s="582"/>
      <c r="C119" s="624"/>
      <c r="D119" s="624"/>
      <c r="E119" s="624"/>
      <c r="F119" s="582"/>
      <c r="G119" s="624"/>
      <c r="H119" s="624"/>
      <c r="O119" s="624"/>
      <c r="P119" s="624"/>
      <c r="Q119" s="624"/>
      <c r="R119" s="624"/>
      <c r="T119" s="624"/>
      <c r="U119" s="624"/>
      <c r="AM119" s="624"/>
      <c r="AN119" s="624"/>
      <c r="AO119" s="624"/>
      <c r="AP119" s="624"/>
      <c r="AQ119" s="624"/>
      <c r="AR119" s="624"/>
      <c r="AS119" s="624"/>
      <c r="AT119" s="624"/>
      <c r="AU119" s="620"/>
      <c r="AV119" s="620"/>
      <c r="BD119" s="665"/>
      <c r="BE119" s="665"/>
      <c r="BF119" s="665"/>
      <c r="BG119" s="665"/>
    </row>
    <row r="120" spans="1:59" ht="12" customHeight="1" x14ac:dyDescent="0.2">
      <c r="A120" s="624"/>
      <c r="B120" s="582"/>
      <c r="C120" s="624"/>
      <c r="D120" s="624"/>
      <c r="E120" s="624"/>
      <c r="F120" s="582"/>
      <c r="G120" s="624"/>
      <c r="H120" s="624"/>
      <c r="O120" s="624"/>
      <c r="P120" s="624"/>
      <c r="Q120" s="624"/>
      <c r="R120" s="624"/>
      <c r="T120" s="624"/>
      <c r="U120" s="624"/>
      <c r="AM120" s="624"/>
      <c r="AN120" s="624"/>
      <c r="AO120" s="624"/>
      <c r="AP120" s="624"/>
      <c r="AQ120" s="624"/>
      <c r="AR120" s="624"/>
      <c r="AS120" s="624"/>
      <c r="AT120" s="624"/>
      <c r="AU120" s="620"/>
      <c r="AV120" s="620"/>
      <c r="BD120" s="665"/>
      <c r="BE120" s="665"/>
      <c r="BF120" s="665"/>
      <c r="BG120" s="665"/>
    </row>
    <row r="121" spans="1:59" ht="12" customHeight="1" x14ac:dyDescent="0.2">
      <c r="A121" s="624"/>
      <c r="B121" s="582"/>
      <c r="C121" s="624"/>
      <c r="D121" s="624"/>
      <c r="E121" s="624"/>
      <c r="F121" s="582"/>
      <c r="G121" s="624"/>
      <c r="H121" s="624"/>
      <c r="O121" s="624"/>
      <c r="P121" s="624"/>
      <c r="Q121" s="624"/>
      <c r="R121" s="624"/>
      <c r="T121" s="624"/>
      <c r="U121" s="624"/>
      <c r="AM121" s="624"/>
      <c r="AN121" s="624"/>
      <c r="AO121" s="624"/>
      <c r="AP121" s="624"/>
      <c r="AQ121" s="624"/>
      <c r="AR121" s="624"/>
      <c r="AS121" s="624"/>
      <c r="AT121" s="624"/>
      <c r="AU121" s="620"/>
      <c r="AV121" s="620"/>
      <c r="BD121" s="665"/>
      <c r="BE121" s="665"/>
      <c r="BF121" s="665"/>
      <c r="BG121" s="665"/>
    </row>
    <row r="122" spans="1:59" ht="12" customHeight="1" x14ac:dyDescent="0.2">
      <c r="A122" s="624"/>
      <c r="B122" s="582"/>
      <c r="C122" s="624"/>
      <c r="D122" s="624"/>
      <c r="E122" s="624"/>
      <c r="F122" s="582"/>
      <c r="G122" s="624"/>
      <c r="H122" s="624"/>
      <c r="O122" s="624"/>
      <c r="P122" s="624"/>
      <c r="Q122" s="624"/>
      <c r="R122" s="624"/>
      <c r="T122" s="624"/>
      <c r="U122" s="624"/>
      <c r="AB122" s="624"/>
      <c r="AM122" s="624"/>
      <c r="AN122" s="624"/>
      <c r="AO122" s="624"/>
      <c r="AP122" s="624"/>
      <c r="AQ122" s="624"/>
      <c r="AR122" s="624"/>
      <c r="AS122" s="624"/>
      <c r="AT122" s="624"/>
      <c r="AU122" s="620"/>
      <c r="AV122" s="620"/>
      <c r="BD122" s="665"/>
      <c r="BE122" s="665"/>
      <c r="BF122" s="665"/>
      <c r="BG122" s="665"/>
    </row>
    <row r="123" spans="1:59" ht="12" customHeight="1" x14ac:dyDescent="0.2">
      <c r="A123" s="624"/>
      <c r="B123" s="582"/>
      <c r="C123" s="624"/>
      <c r="D123" s="624"/>
      <c r="E123" s="624"/>
      <c r="F123" s="582"/>
      <c r="G123" s="624"/>
      <c r="H123" s="624"/>
      <c r="O123" s="624"/>
      <c r="P123" s="624"/>
      <c r="Q123" s="624"/>
      <c r="R123" s="624"/>
      <c r="T123" s="624"/>
      <c r="U123" s="624"/>
      <c r="AB123" s="624"/>
      <c r="AM123" s="624"/>
      <c r="AN123" s="624"/>
      <c r="AO123" s="624"/>
      <c r="AP123" s="624"/>
      <c r="AQ123" s="624"/>
      <c r="AR123" s="624"/>
      <c r="AS123" s="624"/>
      <c r="AT123" s="624"/>
      <c r="AU123" s="620"/>
      <c r="AV123" s="620"/>
      <c r="BD123" s="665"/>
      <c r="BE123" s="665"/>
      <c r="BF123" s="665"/>
      <c r="BG123" s="665"/>
    </row>
    <row r="124" spans="1:59" ht="12" customHeight="1" x14ac:dyDescent="0.2">
      <c r="A124" s="624"/>
      <c r="B124" s="582"/>
      <c r="C124" s="624"/>
      <c r="D124" s="624"/>
      <c r="E124" s="624"/>
      <c r="F124" s="582"/>
      <c r="G124" s="624"/>
      <c r="H124" s="624"/>
      <c r="O124" s="624"/>
      <c r="P124" s="624"/>
      <c r="Q124" s="624"/>
      <c r="R124" s="624"/>
      <c r="T124" s="624"/>
      <c r="U124" s="624"/>
      <c r="AB124" s="624"/>
      <c r="AM124" s="624"/>
      <c r="AN124" s="624"/>
      <c r="AO124" s="624"/>
      <c r="AP124" s="624"/>
      <c r="AQ124" s="624"/>
      <c r="AR124" s="624"/>
      <c r="AS124" s="624"/>
      <c r="AT124" s="624"/>
      <c r="AU124" s="620"/>
      <c r="AV124" s="620"/>
      <c r="BD124" s="665"/>
      <c r="BE124" s="665"/>
      <c r="BF124" s="665"/>
      <c r="BG124" s="665"/>
    </row>
    <row r="125" spans="1:59" ht="12" customHeight="1" x14ac:dyDescent="0.2">
      <c r="A125" s="624"/>
      <c r="B125" s="624"/>
      <c r="C125" s="624"/>
      <c r="D125" s="624"/>
      <c r="E125" s="624"/>
      <c r="F125" s="582"/>
      <c r="G125" s="624"/>
      <c r="H125" s="624"/>
      <c r="O125" s="624"/>
      <c r="P125" s="624"/>
      <c r="Q125" s="624"/>
      <c r="R125" s="624"/>
      <c r="T125" s="624"/>
      <c r="U125" s="624"/>
      <c r="AB125" s="624"/>
      <c r="AM125" s="624"/>
      <c r="AN125" s="624"/>
      <c r="AO125" s="624"/>
      <c r="AP125" s="624"/>
      <c r="AQ125" s="624"/>
      <c r="AR125" s="624"/>
      <c r="AS125" s="624"/>
      <c r="AT125" s="624"/>
      <c r="AU125" s="620"/>
      <c r="AV125" s="620"/>
      <c r="BD125" s="665"/>
      <c r="BE125" s="665"/>
      <c r="BF125" s="665"/>
      <c r="BG125" s="665"/>
    </row>
    <row r="126" spans="1:59" ht="12" customHeight="1" x14ac:dyDescent="0.2">
      <c r="A126" s="624"/>
      <c r="B126" s="624"/>
      <c r="C126" s="624"/>
      <c r="D126" s="624"/>
      <c r="E126" s="624"/>
      <c r="F126" s="582"/>
      <c r="G126" s="624"/>
      <c r="H126" s="624"/>
      <c r="O126" s="624"/>
      <c r="P126" s="624"/>
      <c r="Q126" s="624"/>
      <c r="R126" s="624"/>
      <c r="T126" s="624"/>
      <c r="U126" s="624"/>
      <c r="AB126" s="624"/>
      <c r="AM126" s="624"/>
      <c r="AN126" s="624"/>
      <c r="AO126" s="624"/>
      <c r="AP126" s="624"/>
      <c r="AQ126" s="624"/>
      <c r="AR126" s="624"/>
      <c r="AS126" s="624"/>
      <c r="AT126" s="624"/>
      <c r="AU126" s="620"/>
      <c r="AV126" s="620"/>
      <c r="BD126" s="665"/>
      <c r="BE126" s="665"/>
      <c r="BF126" s="665"/>
      <c r="BG126" s="665"/>
    </row>
    <row r="127" spans="1:59" ht="12" customHeight="1" x14ac:dyDescent="0.2">
      <c r="A127" s="624"/>
      <c r="B127" s="624"/>
      <c r="C127" s="624"/>
      <c r="D127" s="624"/>
      <c r="E127" s="624"/>
      <c r="F127" s="582"/>
      <c r="G127" s="624"/>
      <c r="H127" s="624"/>
      <c r="O127" s="624"/>
      <c r="P127" s="624"/>
      <c r="Q127" s="624"/>
      <c r="R127" s="624"/>
      <c r="T127" s="624"/>
      <c r="U127" s="624"/>
      <c r="AB127" s="624"/>
      <c r="AM127" s="624"/>
      <c r="AN127" s="624"/>
      <c r="AO127" s="624"/>
      <c r="AP127" s="624"/>
      <c r="AQ127" s="624"/>
      <c r="AR127" s="624"/>
      <c r="AS127" s="624"/>
      <c r="AT127" s="624"/>
      <c r="AU127" s="620"/>
      <c r="AV127" s="620"/>
      <c r="BD127" s="665"/>
      <c r="BE127" s="665"/>
      <c r="BF127" s="665"/>
      <c r="BG127" s="665"/>
    </row>
    <row r="128" spans="1:59" ht="12" customHeight="1" x14ac:dyDescent="0.2">
      <c r="A128" s="624"/>
      <c r="B128" s="624"/>
      <c r="C128" s="624"/>
      <c r="D128" s="624"/>
      <c r="E128" s="624"/>
      <c r="F128" s="582"/>
      <c r="G128" s="624"/>
      <c r="H128" s="624"/>
      <c r="O128" s="624"/>
      <c r="P128" s="624"/>
      <c r="Q128" s="624"/>
      <c r="R128" s="624"/>
      <c r="T128" s="624"/>
      <c r="U128" s="624"/>
      <c r="AB128" s="624"/>
      <c r="AM128" s="624"/>
      <c r="AN128" s="624"/>
      <c r="AO128" s="624"/>
      <c r="AP128" s="624"/>
      <c r="AQ128" s="624"/>
      <c r="AR128" s="624"/>
      <c r="AS128" s="624"/>
      <c r="AT128" s="624"/>
      <c r="AU128" s="620"/>
      <c r="AV128" s="620"/>
      <c r="BD128" s="665"/>
      <c r="BE128" s="665"/>
      <c r="BF128" s="665"/>
      <c r="BG128" s="665"/>
    </row>
    <row r="129" spans="1:59" ht="12" customHeight="1" x14ac:dyDescent="0.2">
      <c r="A129" s="624"/>
      <c r="B129" s="624"/>
      <c r="C129" s="624"/>
      <c r="D129" s="624"/>
      <c r="E129" s="624"/>
      <c r="F129" s="582"/>
      <c r="G129" s="624"/>
      <c r="H129" s="624"/>
      <c r="O129" s="624"/>
      <c r="P129" s="624"/>
      <c r="Q129" s="624"/>
      <c r="R129" s="624"/>
      <c r="T129" s="624"/>
      <c r="U129" s="624"/>
      <c r="AB129" s="624"/>
      <c r="BD129" s="665"/>
      <c r="BE129" s="665"/>
      <c r="BF129" s="665"/>
      <c r="BG129" s="665"/>
    </row>
    <row r="130" spans="1:59" ht="12" customHeight="1" x14ac:dyDescent="0.2">
      <c r="A130" s="624"/>
      <c r="B130" s="624"/>
      <c r="C130" s="624"/>
      <c r="D130" s="624"/>
      <c r="E130" s="624"/>
      <c r="F130" s="582"/>
      <c r="G130" s="624"/>
      <c r="H130" s="624"/>
      <c r="O130" s="624"/>
      <c r="P130" s="624"/>
      <c r="Q130" s="624"/>
      <c r="R130" s="624"/>
      <c r="T130" s="624"/>
      <c r="U130" s="624"/>
      <c r="AB130" s="624"/>
      <c r="BD130" s="665"/>
      <c r="BE130" s="665"/>
      <c r="BF130" s="665"/>
      <c r="BG130" s="665"/>
    </row>
    <row r="131" spans="1:59" ht="12" customHeight="1" x14ac:dyDescent="0.2">
      <c r="A131" s="624"/>
      <c r="B131" s="624"/>
      <c r="C131" s="624"/>
      <c r="D131" s="624"/>
      <c r="E131" s="624"/>
      <c r="F131" s="582"/>
      <c r="G131" s="624"/>
      <c r="H131" s="624"/>
      <c r="O131" s="624"/>
      <c r="P131" s="624"/>
      <c r="Q131" s="624"/>
      <c r="R131" s="624"/>
      <c r="T131" s="624"/>
      <c r="U131" s="624"/>
      <c r="AB131" s="624"/>
      <c r="BD131" s="665"/>
      <c r="BE131" s="665"/>
      <c r="BF131" s="665"/>
      <c r="BG131" s="665"/>
    </row>
    <row r="132" spans="1:59" ht="12" customHeight="1" x14ac:dyDescent="0.2">
      <c r="A132" s="624"/>
      <c r="B132" s="624"/>
      <c r="C132" s="624"/>
      <c r="D132" s="624"/>
      <c r="E132" s="624"/>
      <c r="F132" s="582"/>
      <c r="G132" s="624"/>
      <c r="H132" s="624"/>
      <c r="O132" s="624"/>
      <c r="P132" s="624"/>
      <c r="Q132" s="624"/>
      <c r="R132" s="624"/>
      <c r="T132" s="624"/>
      <c r="U132" s="624"/>
      <c r="V132" s="624"/>
      <c r="W132" s="624"/>
      <c r="Y132" s="624"/>
      <c r="Z132" s="624"/>
      <c r="AB132" s="624"/>
      <c r="BD132" s="665"/>
      <c r="BE132" s="665"/>
      <c r="BF132" s="665"/>
      <c r="BG132" s="665"/>
    </row>
    <row r="133" spans="1:59" ht="12" customHeight="1" x14ac:dyDescent="0.2">
      <c r="A133" s="624"/>
      <c r="B133" s="624"/>
      <c r="C133" s="624"/>
      <c r="D133" s="624"/>
      <c r="E133" s="624"/>
      <c r="F133" s="582"/>
      <c r="G133" s="624"/>
      <c r="H133" s="624"/>
      <c r="O133" s="624"/>
      <c r="P133" s="624"/>
      <c r="Q133" s="624"/>
      <c r="R133" s="624"/>
      <c r="T133" s="624"/>
      <c r="U133" s="624"/>
      <c r="V133" s="624"/>
      <c r="W133" s="624"/>
      <c r="Y133" s="624"/>
      <c r="Z133" s="624"/>
      <c r="AB133" s="624"/>
      <c r="BD133" s="665"/>
      <c r="BE133" s="665"/>
      <c r="BF133" s="665"/>
      <c r="BG133" s="665"/>
    </row>
    <row r="134" spans="1:59" ht="12" customHeight="1" x14ac:dyDescent="0.2">
      <c r="A134" s="624"/>
      <c r="B134" s="624"/>
      <c r="C134" s="624"/>
      <c r="D134" s="624"/>
      <c r="E134" s="624"/>
      <c r="F134" s="582"/>
      <c r="G134" s="624"/>
      <c r="H134" s="624"/>
      <c r="O134" s="624"/>
      <c r="P134" s="624"/>
      <c r="Q134" s="624"/>
      <c r="R134" s="624"/>
      <c r="T134" s="624"/>
      <c r="U134" s="624"/>
      <c r="V134" s="624"/>
      <c r="W134" s="624"/>
      <c r="Y134" s="624"/>
      <c r="Z134" s="624"/>
      <c r="AB134" s="624"/>
      <c r="BD134" s="665"/>
      <c r="BE134" s="665"/>
      <c r="BF134" s="665"/>
      <c r="BG134" s="665"/>
    </row>
    <row r="135" spans="1:59" ht="12" customHeight="1" x14ac:dyDescent="0.2">
      <c r="A135" s="624"/>
      <c r="B135" s="624"/>
      <c r="C135" s="624"/>
      <c r="D135" s="624"/>
      <c r="E135" s="624"/>
      <c r="F135" s="582"/>
      <c r="G135" s="624"/>
      <c r="H135" s="624"/>
      <c r="O135" s="624"/>
      <c r="P135" s="624"/>
      <c r="Q135" s="624"/>
      <c r="R135" s="624"/>
      <c r="T135" s="624"/>
      <c r="U135" s="624"/>
      <c r="V135" s="624"/>
      <c r="W135" s="624"/>
      <c r="Y135" s="624"/>
      <c r="Z135" s="624"/>
      <c r="AB135" s="624"/>
      <c r="BD135" s="665"/>
      <c r="BE135" s="665"/>
      <c r="BF135" s="665"/>
      <c r="BG135" s="665"/>
    </row>
    <row r="136" spans="1:59" ht="12" customHeight="1" x14ac:dyDescent="0.2">
      <c r="A136" s="624"/>
      <c r="B136" s="624"/>
      <c r="C136" s="624"/>
      <c r="D136" s="624"/>
      <c r="E136" s="624"/>
      <c r="F136" s="582"/>
      <c r="G136" s="624"/>
      <c r="H136" s="624"/>
      <c r="O136" s="624"/>
      <c r="P136" s="624"/>
      <c r="Q136" s="624"/>
      <c r="R136" s="624"/>
      <c r="T136" s="624"/>
      <c r="U136" s="624"/>
      <c r="V136" s="624"/>
      <c r="W136" s="624"/>
      <c r="Y136" s="624"/>
      <c r="Z136" s="624"/>
      <c r="AB136" s="624"/>
      <c r="BD136" s="665"/>
      <c r="BE136" s="665"/>
      <c r="BF136" s="665"/>
      <c r="BG136" s="665"/>
    </row>
    <row r="137" spans="1:59" ht="12" customHeight="1" x14ac:dyDescent="0.2">
      <c r="A137" s="624"/>
      <c r="B137" s="624"/>
      <c r="C137" s="624"/>
      <c r="D137" s="624"/>
      <c r="E137" s="624"/>
      <c r="F137" s="582"/>
      <c r="G137" s="624"/>
      <c r="H137" s="624"/>
      <c r="O137" s="624"/>
      <c r="P137" s="624"/>
      <c r="Q137" s="624"/>
      <c r="R137" s="624"/>
      <c r="T137" s="624"/>
      <c r="U137" s="624"/>
      <c r="V137" s="624"/>
      <c r="W137" s="624"/>
      <c r="Y137" s="624"/>
      <c r="Z137" s="624"/>
      <c r="AB137" s="624"/>
      <c r="BD137" s="665"/>
      <c r="BE137" s="665"/>
      <c r="BF137" s="665"/>
      <c r="BG137" s="665"/>
    </row>
    <row r="138" spans="1:59" ht="12" customHeight="1" x14ac:dyDescent="0.2">
      <c r="A138" s="624"/>
      <c r="B138" s="624"/>
      <c r="C138" s="624"/>
      <c r="D138" s="624"/>
      <c r="E138" s="624"/>
      <c r="F138" s="582"/>
      <c r="G138" s="624"/>
      <c r="H138" s="624"/>
      <c r="I138" s="624"/>
      <c r="J138" s="624"/>
      <c r="K138" s="624"/>
      <c r="L138" s="624"/>
      <c r="M138" s="672"/>
      <c r="N138" s="624"/>
      <c r="O138" s="624"/>
      <c r="P138" s="624"/>
      <c r="Q138" s="624"/>
      <c r="R138" s="624"/>
      <c r="T138" s="624"/>
      <c r="U138" s="624"/>
      <c r="V138" s="624"/>
      <c r="W138" s="624"/>
      <c r="Y138" s="624"/>
      <c r="Z138" s="624"/>
      <c r="AB138" s="624"/>
      <c r="BD138" s="665"/>
      <c r="BE138" s="665"/>
      <c r="BF138" s="665"/>
      <c r="BG138" s="665"/>
    </row>
    <row r="139" spans="1:59" ht="12" customHeight="1" x14ac:dyDescent="0.2">
      <c r="A139" s="624"/>
      <c r="B139" s="624"/>
      <c r="C139" s="624"/>
      <c r="D139" s="624"/>
      <c r="E139" s="624"/>
      <c r="F139" s="582"/>
      <c r="G139" s="624"/>
      <c r="H139" s="624"/>
      <c r="I139" s="624"/>
      <c r="J139" s="624"/>
      <c r="K139" s="624"/>
      <c r="L139" s="624"/>
      <c r="M139" s="672"/>
      <c r="N139" s="624"/>
      <c r="O139" s="624"/>
      <c r="P139" s="624"/>
      <c r="Q139" s="624"/>
      <c r="R139" s="624"/>
      <c r="T139" s="624"/>
      <c r="U139" s="624"/>
      <c r="V139" s="624"/>
      <c r="W139" s="624"/>
      <c r="Y139" s="624"/>
      <c r="Z139" s="624"/>
      <c r="AB139" s="624"/>
      <c r="BD139" s="665"/>
      <c r="BE139" s="665"/>
      <c r="BF139" s="665"/>
      <c r="BG139" s="665"/>
    </row>
    <row r="140" spans="1:59" ht="12" customHeight="1" x14ac:dyDescent="0.2">
      <c r="A140" s="624"/>
      <c r="B140" s="624"/>
      <c r="C140" s="624"/>
      <c r="D140" s="624"/>
      <c r="E140" s="624"/>
      <c r="F140" s="582"/>
      <c r="G140" s="624"/>
      <c r="H140" s="624"/>
      <c r="I140" s="624"/>
      <c r="J140" s="624"/>
      <c r="K140" s="624"/>
      <c r="L140" s="624"/>
      <c r="M140" s="672"/>
      <c r="N140" s="624"/>
      <c r="O140" s="624"/>
      <c r="P140" s="624"/>
      <c r="Q140" s="624"/>
      <c r="R140" s="624"/>
      <c r="T140" s="624"/>
      <c r="U140" s="624"/>
      <c r="V140" s="624"/>
      <c r="W140" s="624"/>
      <c r="Y140" s="624"/>
      <c r="Z140" s="624"/>
      <c r="AB140" s="624"/>
      <c r="BD140" s="665"/>
      <c r="BE140" s="665"/>
      <c r="BF140" s="665"/>
      <c r="BG140" s="665"/>
    </row>
    <row r="141" spans="1:59" ht="12" customHeight="1" x14ac:dyDescent="0.2">
      <c r="A141" s="624"/>
      <c r="B141" s="624"/>
      <c r="C141" s="624"/>
      <c r="D141" s="624"/>
      <c r="E141" s="624"/>
      <c r="F141" s="582"/>
      <c r="G141" s="624"/>
      <c r="H141" s="624"/>
      <c r="I141" s="624"/>
      <c r="J141" s="624"/>
      <c r="K141" s="624"/>
      <c r="L141" s="624"/>
      <c r="M141" s="672"/>
      <c r="N141" s="624"/>
      <c r="O141" s="624"/>
      <c r="P141" s="624"/>
      <c r="Q141" s="624"/>
      <c r="R141" s="624"/>
      <c r="T141" s="624"/>
      <c r="U141" s="624"/>
      <c r="V141" s="624"/>
      <c r="W141" s="624"/>
      <c r="Y141" s="624"/>
      <c r="Z141" s="624"/>
      <c r="AB141" s="624"/>
      <c r="BD141" s="665"/>
      <c r="BE141" s="665"/>
      <c r="BF141" s="665"/>
      <c r="BG141" s="665"/>
    </row>
    <row r="142" spans="1:59" ht="12" customHeight="1" x14ac:dyDescent="0.2">
      <c r="A142" s="624"/>
      <c r="B142" s="624"/>
      <c r="C142" s="624"/>
      <c r="D142" s="624"/>
      <c r="E142" s="624"/>
      <c r="F142" s="582"/>
      <c r="G142" s="624"/>
      <c r="H142" s="624"/>
      <c r="I142" s="624"/>
      <c r="J142" s="624"/>
      <c r="K142" s="624"/>
      <c r="L142" s="624"/>
      <c r="M142" s="672"/>
      <c r="N142" s="624"/>
      <c r="O142" s="624"/>
      <c r="P142" s="624"/>
      <c r="Q142" s="624"/>
      <c r="R142" s="624"/>
      <c r="T142" s="624"/>
      <c r="U142" s="624"/>
      <c r="V142" s="624"/>
      <c r="W142" s="624"/>
      <c r="Y142" s="624"/>
      <c r="Z142" s="624"/>
      <c r="AB142" s="624"/>
      <c r="BD142" s="665"/>
      <c r="BE142" s="665"/>
      <c r="BF142" s="665"/>
      <c r="BG142" s="665"/>
    </row>
    <row r="143" spans="1:59" ht="12" customHeight="1" x14ac:dyDescent="0.2">
      <c r="A143" s="624"/>
      <c r="B143" s="624"/>
      <c r="C143" s="624"/>
      <c r="D143" s="624"/>
      <c r="E143" s="624"/>
      <c r="F143" s="582"/>
      <c r="G143" s="624"/>
      <c r="H143" s="624"/>
      <c r="I143" s="624"/>
      <c r="J143" s="624"/>
      <c r="K143" s="624"/>
      <c r="L143" s="624"/>
      <c r="M143" s="672"/>
      <c r="N143" s="624"/>
      <c r="O143" s="624"/>
      <c r="P143" s="624"/>
      <c r="Q143" s="624"/>
      <c r="R143" s="624"/>
      <c r="T143" s="624"/>
      <c r="U143" s="624"/>
      <c r="V143" s="624"/>
      <c r="W143" s="624"/>
      <c r="Y143" s="624"/>
      <c r="Z143" s="624"/>
      <c r="AB143" s="624"/>
      <c r="BB143" s="665"/>
      <c r="BC143" s="665"/>
      <c r="BD143" s="665"/>
      <c r="BE143" s="665"/>
      <c r="BF143" s="665"/>
      <c r="BG143" s="665"/>
    </row>
    <row r="144" spans="1:59" ht="12" customHeight="1" x14ac:dyDescent="0.2">
      <c r="A144" s="624"/>
      <c r="B144" s="624"/>
      <c r="C144" s="624"/>
      <c r="D144" s="624"/>
      <c r="E144" s="624"/>
      <c r="F144" s="582"/>
      <c r="G144" s="624"/>
      <c r="H144" s="624"/>
      <c r="I144" s="624"/>
      <c r="J144" s="624"/>
      <c r="K144" s="624"/>
      <c r="L144" s="624"/>
      <c r="M144" s="672"/>
      <c r="N144" s="624"/>
      <c r="O144" s="624"/>
      <c r="P144" s="624"/>
      <c r="Q144" s="624"/>
      <c r="R144" s="624"/>
      <c r="T144" s="624"/>
      <c r="U144" s="624"/>
      <c r="V144" s="624"/>
      <c r="W144" s="624"/>
      <c r="Y144" s="624"/>
      <c r="Z144" s="624"/>
      <c r="AB144" s="624"/>
      <c r="BB144" s="665"/>
      <c r="BC144" s="665"/>
      <c r="BD144" s="665"/>
      <c r="BE144" s="665"/>
      <c r="BF144" s="665"/>
      <c r="BG144" s="665"/>
    </row>
    <row r="145" spans="1:59" ht="12" customHeight="1" x14ac:dyDescent="0.2">
      <c r="A145" s="624"/>
      <c r="B145" s="624"/>
      <c r="C145" s="624"/>
      <c r="D145" s="624"/>
      <c r="E145" s="624"/>
      <c r="F145" s="582"/>
      <c r="G145" s="624"/>
      <c r="H145" s="624"/>
      <c r="I145" s="624"/>
      <c r="J145" s="624"/>
      <c r="K145" s="624"/>
      <c r="L145" s="624"/>
      <c r="M145" s="672"/>
      <c r="N145" s="624"/>
      <c r="O145" s="624"/>
      <c r="P145" s="624"/>
      <c r="Q145" s="624"/>
      <c r="R145" s="624"/>
      <c r="T145" s="624"/>
      <c r="U145" s="624"/>
      <c r="V145" s="624"/>
      <c r="W145" s="624"/>
      <c r="Y145" s="624"/>
      <c r="Z145" s="624"/>
      <c r="AB145" s="624"/>
      <c r="BB145" s="665"/>
      <c r="BC145" s="665"/>
      <c r="BD145" s="665"/>
      <c r="BE145" s="665"/>
      <c r="BF145" s="665"/>
      <c r="BG145" s="665"/>
    </row>
    <row r="146" spans="1:59" ht="12" customHeight="1" x14ac:dyDescent="0.2">
      <c r="A146" s="624"/>
      <c r="B146" s="624"/>
      <c r="C146" s="624"/>
      <c r="D146" s="624"/>
      <c r="E146" s="624"/>
      <c r="F146" s="582"/>
      <c r="G146" s="624"/>
      <c r="H146" s="624"/>
      <c r="I146" s="624"/>
      <c r="J146" s="624"/>
      <c r="K146" s="624"/>
      <c r="L146" s="624"/>
      <c r="M146" s="672"/>
      <c r="N146" s="624"/>
      <c r="O146" s="624"/>
      <c r="P146" s="624"/>
      <c r="Q146" s="624"/>
      <c r="R146" s="624"/>
      <c r="T146" s="624"/>
      <c r="U146" s="624"/>
      <c r="V146" s="624"/>
      <c r="W146" s="624"/>
      <c r="Y146" s="624"/>
      <c r="Z146" s="624"/>
      <c r="AB146" s="624"/>
      <c r="AW146" s="673"/>
      <c r="AX146" s="673"/>
      <c r="AY146" s="673"/>
      <c r="AZ146" s="674"/>
      <c r="BA146" s="674"/>
      <c r="BB146" s="665"/>
      <c r="BC146" s="665"/>
      <c r="BD146" s="665"/>
      <c r="BE146" s="665"/>
      <c r="BF146" s="665"/>
      <c r="BG146" s="665"/>
    </row>
    <row r="147" spans="1:59" ht="12" customHeight="1" x14ac:dyDescent="0.2">
      <c r="A147" s="624"/>
      <c r="B147" s="624"/>
      <c r="C147" s="624"/>
      <c r="D147" s="624"/>
      <c r="E147" s="624"/>
      <c r="F147" s="582"/>
      <c r="G147" s="624"/>
      <c r="H147" s="624"/>
      <c r="I147" s="624"/>
      <c r="J147" s="624"/>
      <c r="K147" s="624"/>
      <c r="L147" s="624"/>
      <c r="M147" s="672"/>
      <c r="N147" s="624"/>
      <c r="O147" s="624"/>
      <c r="P147" s="624"/>
      <c r="Q147" s="624"/>
      <c r="R147" s="624"/>
      <c r="T147" s="624"/>
      <c r="U147" s="624"/>
      <c r="V147" s="624"/>
      <c r="W147" s="624"/>
      <c r="Y147" s="624"/>
      <c r="Z147" s="624"/>
      <c r="AB147" s="624"/>
      <c r="AW147" s="673"/>
      <c r="AX147" s="673"/>
      <c r="AY147" s="673"/>
      <c r="AZ147" s="674"/>
      <c r="BA147" s="674"/>
      <c r="BB147" s="665"/>
      <c r="BC147" s="665"/>
      <c r="BD147" s="665"/>
      <c r="BE147" s="665"/>
      <c r="BF147" s="665"/>
      <c r="BG147" s="665"/>
    </row>
    <row r="148" spans="1:59" ht="12" customHeight="1" x14ac:dyDescent="0.2">
      <c r="A148" s="624"/>
      <c r="B148" s="624"/>
      <c r="C148" s="624"/>
      <c r="D148" s="624"/>
      <c r="E148" s="624"/>
      <c r="F148" s="582"/>
      <c r="G148" s="624"/>
      <c r="H148" s="624"/>
      <c r="I148" s="624"/>
      <c r="J148" s="624"/>
      <c r="K148" s="624"/>
      <c r="L148" s="624"/>
      <c r="M148" s="672"/>
      <c r="N148" s="624"/>
      <c r="O148" s="624"/>
      <c r="P148" s="624"/>
      <c r="Q148" s="624"/>
      <c r="R148" s="624"/>
      <c r="T148" s="624"/>
      <c r="U148" s="624"/>
      <c r="V148" s="624"/>
      <c r="W148" s="624"/>
      <c r="Y148" s="624"/>
      <c r="Z148" s="624"/>
      <c r="AB148" s="624"/>
      <c r="AW148" s="673"/>
      <c r="AX148" s="673"/>
      <c r="AY148" s="673"/>
      <c r="AZ148" s="674"/>
      <c r="BA148" s="674"/>
      <c r="BB148" s="665"/>
      <c r="BC148" s="665"/>
      <c r="BD148" s="665"/>
      <c r="BE148" s="665"/>
      <c r="BF148" s="665"/>
      <c r="BG148" s="665"/>
    </row>
    <row r="149" spans="1:59" ht="12" customHeight="1" x14ac:dyDescent="0.2">
      <c r="A149" s="624"/>
      <c r="B149" s="624"/>
      <c r="C149" s="624"/>
      <c r="D149" s="624"/>
      <c r="E149" s="624"/>
      <c r="F149" s="582"/>
      <c r="G149" s="624"/>
      <c r="H149" s="624"/>
      <c r="I149" s="624"/>
      <c r="J149" s="624"/>
      <c r="K149" s="624"/>
      <c r="L149" s="624"/>
      <c r="M149" s="672"/>
      <c r="N149" s="624"/>
      <c r="O149" s="624"/>
      <c r="P149" s="624"/>
      <c r="Q149" s="624"/>
      <c r="R149" s="624"/>
      <c r="T149" s="624"/>
      <c r="U149" s="624"/>
      <c r="V149" s="624"/>
      <c r="W149" s="624"/>
      <c r="X149" s="624"/>
      <c r="Y149" s="624"/>
      <c r="Z149" s="624"/>
      <c r="AB149" s="624"/>
      <c r="AW149" s="673"/>
      <c r="AX149" s="673"/>
      <c r="AY149" s="673"/>
      <c r="AZ149" s="674"/>
      <c r="BA149" s="674"/>
      <c r="BB149" s="665"/>
      <c r="BC149" s="665"/>
      <c r="BD149" s="665"/>
      <c r="BE149" s="665"/>
      <c r="BF149" s="665"/>
      <c r="BG149" s="665"/>
    </row>
    <row r="150" spans="1:59" ht="12" customHeight="1" x14ac:dyDescent="0.2">
      <c r="A150" s="624"/>
      <c r="B150" s="624"/>
      <c r="C150" s="624"/>
      <c r="D150" s="624"/>
      <c r="E150" s="624"/>
      <c r="F150" s="582"/>
      <c r="G150" s="624"/>
      <c r="H150" s="624"/>
      <c r="I150" s="624"/>
      <c r="J150" s="624"/>
      <c r="K150" s="624"/>
      <c r="L150" s="624"/>
      <c r="M150" s="672"/>
      <c r="N150" s="624"/>
      <c r="O150" s="624"/>
      <c r="P150" s="624"/>
      <c r="Q150" s="624"/>
      <c r="R150" s="624"/>
      <c r="T150" s="624"/>
      <c r="U150" s="624"/>
      <c r="V150" s="624"/>
      <c r="W150" s="624"/>
      <c r="X150" s="624"/>
      <c r="Y150" s="624"/>
      <c r="Z150" s="624"/>
      <c r="AB150" s="624"/>
      <c r="AW150" s="673"/>
      <c r="AX150" s="673"/>
      <c r="AY150" s="673"/>
      <c r="AZ150" s="674"/>
      <c r="BA150" s="674"/>
      <c r="BB150" s="665"/>
      <c r="BC150" s="665"/>
      <c r="BD150" s="665"/>
      <c r="BE150" s="665"/>
      <c r="BF150" s="665"/>
      <c r="BG150" s="665"/>
    </row>
    <row r="151" spans="1:59" ht="12" customHeight="1" x14ac:dyDescent="0.2">
      <c r="A151" s="624"/>
      <c r="B151" s="624"/>
      <c r="C151" s="624"/>
      <c r="D151" s="624"/>
      <c r="E151" s="624"/>
      <c r="F151" s="582"/>
      <c r="G151" s="624"/>
      <c r="H151" s="624"/>
      <c r="I151" s="624"/>
      <c r="J151" s="624"/>
      <c r="K151" s="624"/>
      <c r="L151" s="624"/>
      <c r="M151" s="672"/>
      <c r="N151" s="624"/>
      <c r="O151" s="624"/>
      <c r="P151" s="624"/>
      <c r="Q151" s="624"/>
      <c r="R151" s="624"/>
      <c r="T151" s="624"/>
      <c r="U151" s="624"/>
      <c r="V151" s="624"/>
      <c r="W151" s="624"/>
      <c r="X151" s="624"/>
      <c r="Y151" s="624"/>
      <c r="Z151" s="624"/>
      <c r="AB151" s="624"/>
      <c r="AW151" s="673"/>
      <c r="AX151" s="673"/>
      <c r="AY151" s="673"/>
      <c r="AZ151" s="674"/>
      <c r="BA151" s="674"/>
      <c r="BB151" s="665"/>
      <c r="BC151" s="665"/>
      <c r="BD151" s="665"/>
      <c r="BE151" s="665"/>
      <c r="BF151" s="665"/>
      <c r="BG151" s="665"/>
    </row>
    <row r="152" spans="1:59" ht="12" customHeight="1" x14ac:dyDescent="0.2">
      <c r="A152" s="624"/>
      <c r="B152" s="624"/>
      <c r="C152" s="624"/>
      <c r="D152" s="624"/>
      <c r="E152" s="624"/>
      <c r="F152" s="582"/>
      <c r="G152" s="624"/>
      <c r="H152" s="624"/>
      <c r="I152" s="624"/>
      <c r="J152" s="624"/>
      <c r="K152" s="624"/>
      <c r="L152" s="624"/>
      <c r="M152" s="672"/>
      <c r="N152" s="624"/>
      <c r="O152" s="624"/>
      <c r="P152" s="624"/>
      <c r="Q152" s="624"/>
      <c r="R152" s="624"/>
      <c r="T152" s="624"/>
      <c r="U152" s="624"/>
      <c r="V152" s="624"/>
      <c r="W152" s="624"/>
      <c r="X152" s="624"/>
      <c r="Y152" s="624"/>
      <c r="Z152" s="624"/>
      <c r="AB152" s="675"/>
      <c r="AW152" s="673"/>
      <c r="AX152" s="673"/>
      <c r="AY152" s="673"/>
      <c r="AZ152" s="674"/>
      <c r="BA152" s="674"/>
      <c r="BB152" s="665"/>
      <c r="BC152" s="665"/>
      <c r="BD152" s="665"/>
      <c r="BE152" s="665"/>
      <c r="BF152" s="665"/>
      <c r="BG152" s="665"/>
    </row>
    <row r="153" spans="1:59" ht="12" customHeight="1" x14ac:dyDescent="0.2">
      <c r="A153" s="624"/>
      <c r="B153" s="624"/>
      <c r="C153" s="624"/>
      <c r="D153" s="624"/>
      <c r="E153" s="624"/>
      <c r="F153" s="582"/>
      <c r="G153" s="624"/>
      <c r="H153" s="624"/>
      <c r="I153" s="624"/>
      <c r="J153" s="624"/>
      <c r="K153" s="624"/>
      <c r="L153" s="624"/>
      <c r="M153" s="672"/>
      <c r="N153" s="624"/>
      <c r="O153" s="624"/>
      <c r="P153" s="624"/>
      <c r="Q153" s="624"/>
      <c r="R153" s="624"/>
      <c r="T153" s="624"/>
      <c r="U153" s="624"/>
      <c r="V153" s="624"/>
      <c r="W153" s="624"/>
      <c r="X153" s="624"/>
      <c r="Y153" s="624"/>
      <c r="Z153" s="624"/>
      <c r="AB153" s="675"/>
      <c r="AW153" s="673"/>
      <c r="AX153" s="673"/>
      <c r="AY153" s="673"/>
      <c r="AZ153" s="674"/>
      <c r="BA153" s="674"/>
      <c r="BB153" s="665"/>
      <c r="BC153" s="665"/>
      <c r="BD153" s="665"/>
      <c r="BE153" s="665"/>
      <c r="BF153" s="665"/>
      <c r="BG153" s="665"/>
    </row>
    <row r="154" spans="1:59" ht="12" customHeight="1" x14ac:dyDescent="0.2">
      <c r="A154" s="624"/>
      <c r="B154" s="624"/>
      <c r="C154" s="624"/>
      <c r="D154" s="624"/>
      <c r="E154" s="624"/>
      <c r="F154" s="582"/>
      <c r="G154" s="624"/>
      <c r="H154" s="624"/>
      <c r="I154" s="624"/>
      <c r="J154" s="624"/>
      <c r="K154" s="624"/>
      <c r="L154" s="624"/>
      <c r="M154" s="672"/>
      <c r="N154" s="624"/>
      <c r="O154" s="624"/>
      <c r="P154" s="624"/>
      <c r="Q154" s="624"/>
      <c r="R154" s="624"/>
      <c r="T154" s="624"/>
      <c r="U154" s="624"/>
      <c r="V154" s="624"/>
      <c r="W154" s="624"/>
      <c r="X154" s="624"/>
      <c r="Y154" s="624"/>
      <c r="Z154" s="624"/>
      <c r="AB154" s="624"/>
      <c r="AW154" s="673"/>
      <c r="AX154" s="673"/>
      <c r="AY154" s="673"/>
      <c r="AZ154" s="674"/>
      <c r="BA154" s="674"/>
      <c r="BB154" s="665"/>
      <c r="BC154" s="665"/>
      <c r="BD154" s="665"/>
      <c r="BE154" s="665"/>
      <c r="BF154" s="665"/>
      <c r="BG154" s="665"/>
    </row>
    <row r="155" spans="1:59" ht="12" customHeight="1" x14ac:dyDescent="0.2">
      <c r="A155" s="624"/>
      <c r="B155" s="624"/>
      <c r="C155" s="624"/>
      <c r="D155" s="624"/>
      <c r="E155" s="624"/>
      <c r="F155" s="582"/>
      <c r="G155" s="624"/>
      <c r="H155" s="624"/>
      <c r="I155" s="624"/>
      <c r="J155" s="624"/>
      <c r="K155" s="624"/>
      <c r="L155" s="624"/>
      <c r="M155" s="672"/>
      <c r="N155" s="624"/>
      <c r="O155" s="624"/>
      <c r="P155" s="624"/>
      <c r="Q155" s="624"/>
      <c r="R155" s="624"/>
      <c r="T155" s="624"/>
      <c r="U155" s="624"/>
      <c r="V155" s="624"/>
      <c r="W155" s="624"/>
      <c r="X155" s="624"/>
      <c r="Y155" s="624"/>
      <c r="Z155" s="624"/>
      <c r="AB155" s="624"/>
      <c r="AW155" s="673"/>
      <c r="AX155" s="673"/>
      <c r="AY155" s="673"/>
      <c r="AZ155" s="674"/>
      <c r="BA155" s="674"/>
      <c r="BB155" s="665"/>
      <c r="BC155" s="665"/>
      <c r="BD155" s="665"/>
      <c r="BE155" s="665"/>
      <c r="BF155" s="665"/>
      <c r="BG155" s="665"/>
    </row>
    <row r="156" spans="1:59" ht="12" customHeight="1" x14ac:dyDescent="0.2">
      <c r="A156" s="624"/>
      <c r="B156" s="624"/>
      <c r="C156" s="624"/>
      <c r="D156" s="624"/>
      <c r="E156" s="624"/>
      <c r="F156" s="582"/>
      <c r="G156" s="624"/>
      <c r="H156" s="624"/>
      <c r="I156" s="624"/>
      <c r="J156" s="624"/>
      <c r="K156" s="624"/>
      <c r="L156" s="624"/>
      <c r="M156" s="672"/>
      <c r="N156" s="624"/>
      <c r="O156" s="624"/>
      <c r="P156" s="624"/>
      <c r="Q156" s="624"/>
      <c r="R156" s="624"/>
      <c r="T156" s="624"/>
      <c r="U156" s="624"/>
      <c r="V156" s="624"/>
      <c r="W156" s="624"/>
      <c r="X156" s="624"/>
      <c r="Y156" s="624"/>
      <c r="Z156" s="624"/>
      <c r="AB156" s="624"/>
      <c r="AW156" s="673"/>
      <c r="AX156" s="673"/>
      <c r="AY156" s="673"/>
      <c r="AZ156" s="674"/>
      <c r="BA156" s="674"/>
      <c r="BB156" s="665"/>
      <c r="BC156" s="665"/>
      <c r="BD156" s="665"/>
      <c r="BE156" s="665"/>
      <c r="BF156" s="665"/>
      <c r="BG156" s="665"/>
    </row>
    <row r="157" spans="1:59" ht="12" customHeight="1" x14ac:dyDescent="0.2">
      <c r="A157" s="624"/>
      <c r="B157" s="624"/>
      <c r="C157" s="624"/>
      <c r="D157" s="624"/>
      <c r="E157" s="624"/>
      <c r="F157" s="582"/>
      <c r="G157" s="624"/>
      <c r="H157" s="624"/>
      <c r="I157" s="624"/>
      <c r="J157" s="624"/>
      <c r="K157" s="624"/>
      <c r="L157" s="624"/>
      <c r="M157" s="672"/>
      <c r="N157" s="624"/>
      <c r="O157" s="624"/>
      <c r="P157" s="624"/>
      <c r="Q157" s="624"/>
      <c r="R157" s="624"/>
      <c r="T157" s="624"/>
      <c r="U157" s="624"/>
      <c r="V157" s="624"/>
      <c r="W157" s="624"/>
      <c r="X157" s="624"/>
      <c r="Y157" s="624"/>
      <c r="Z157" s="624"/>
      <c r="AB157" s="624"/>
      <c r="AW157" s="673"/>
      <c r="AX157" s="673"/>
      <c r="AY157" s="673"/>
      <c r="AZ157" s="674"/>
      <c r="BA157" s="674"/>
      <c r="BB157" s="665"/>
      <c r="BC157" s="665"/>
      <c r="BD157" s="665"/>
      <c r="BE157" s="665"/>
      <c r="BF157" s="665"/>
      <c r="BG157" s="665"/>
    </row>
    <row r="158" spans="1:59" ht="12" customHeight="1" x14ac:dyDescent="0.2">
      <c r="A158" s="624"/>
      <c r="B158" s="624"/>
      <c r="C158" s="624"/>
      <c r="D158" s="624"/>
      <c r="E158" s="624"/>
      <c r="F158" s="582"/>
      <c r="G158" s="624"/>
      <c r="H158" s="624"/>
      <c r="I158" s="624"/>
      <c r="J158" s="624"/>
      <c r="K158" s="624"/>
      <c r="L158" s="624"/>
      <c r="M158" s="672"/>
      <c r="N158" s="624"/>
      <c r="O158" s="624"/>
      <c r="P158" s="624"/>
      <c r="Q158" s="624"/>
      <c r="R158" s="624"/>
      <c r="T158" s="624"/>
      <c r="U158" s="624"/>
      <c r="V158" s="624"/>
      <c r="W158" s="624"/>
      <c r="X158" s="624"/>
      <c r="Y158" s="624"/>
      <c r="Z158" s="624"/>
      <c r="AB158" s="624"/>
      <c r="AW158" s="673"/>
      <c r="AX158" s="673"/>
      <c r="AY158" s="673"/>
      <c r="AZ158" s="674"/>
      <c r="BA158" s="674"/>
      <c r="BB158" s="665"/>
      <c r="BC158" s="665"/>
      <c r="BD158" s="665"/>
      <c r="BE158" s="665"/>
      <c r="BF158" s="665"/>
      <c r="BG158" s="665"/>
    </row>
    <row r="159" spans="1:59" ht="12" customHeight="1" x14ac:dyDescent="0.2">
      <c r="A159" s="624"/>
      <c r="B159" s="624"/>
      <c r="C159" s="624"/>
      <c r="D159" s="624"/>
      <c r="E159" s="624"/>
      <c r="F159" s="582"/>
      <c r="G159" s="624"/>
      <c r="H159" s="624"/>
      <c r="I159" s="624"/>
      <c r="J159" s="624"/>
      <c r="K159" s="624"/>
      <c r="L159" s="624"/>
      <c r="M159" s="672"/>
      <c r="N159" s="624"/>
      <c r="O159" s="624"/>
      <c r="P159" s="624"/>
      <c r="Q159" s="624"/>
      <c r="R159" s="624"/>
      <c r="T159" s="624"/>
      <c r="U159" s="624"/>
      <c r="V159" s="624"/>
      <c r="W159" s="624"/>
      <c r="X159" s="624"/>
      <c r="Y159" s="624"/>
      <c r="Z159" s="624"/>
      <c r="AB159" s="624"/>
      <c r="AW159" s="673"/>
      <c r="AX159" s="673"/>
      <c r="AY159" s="673"/>
      <c r="AZ159" s="674"/>
      <c r="BA159" s="674"/>
      <c r="BB159" s="665"/>
      <c r="BC159" s="665"/>
      <c r="BD159" s="665"/>
      <c r="BE159" s="665"/>
      <c r="BF159" s="665"/>
      <c r="BG159" s="665"/>
    </row>
    <row r="160" spans="1:59" ht="12" customHeight="1" x14ac:dyDescent="0.2">
      <c r="A160" s="624"/>
      <c r="B160" s="624"/>
      <c r="C160" s="624"/>
      <c r="D160" s="624"/>
      <c r="E160" s="624"/>
      <c r="F160" s="582"/>
      <c r="G160" s="624"/>
      <c r="H160" s="624"/>
      <c r="I160" s="624"/>
      <c r="J160" s="624"/>
      <c r="K160" s="624"/>
      <c r="L160" s="624"/>
      <c r="M160" s="672"/>
      <c r="N160" s="624"/>
      <c r="O160" s="624"/>
      <c r="P160" s="624"/>
      <c r="Q160" s="624"/>
      <c r="R160" s="624"/>
      <c r="T160" s="624"/>
      <c r="U160" s="624"/>
      <c r="V160" s="624"/>
      <c r="W160" s="624"/>
      <c r="X160" s="624"/>
      <c r="Y160" s="624"/>
      <c r="Z160" s="624"/>
      <c r="AB160" s="624"/>
      <c r="AW160" s="673"/>
      <c r="AX160" s="673"/>
      <c r="AY160" s="673"/>
      <c r="AZ160" s="674"/>
      <c r="BA160" s="674"/>
      <c r="BB160" s="665"/>
      <c r="BC160" s="665"/>
      <c r="BD160" s="665"/>
      <c r="BE160" s="665"/>
      <c r="BF160" s="665"/>
      <c r="BG160" s="665"/>
    </row>
    <row r="161" spans="1:59" ht="12" customHeight="1" x14ac:dyDescent="0.2">
      <c r="A161" s="624"/>
      <c r="B161" s="624"/>
      <c r="C161" s="624"/>
      <c r="D161" s="624"/>
      <c r="E161" s="624"/>
      <c r="F161" s="582"/>
      <c r="G161" s="624"/>
      <c r="H161" s="624"/>
      <c r="I161" s="624"/>
      <c r="J161" s="624"/>
      <c r="K161" s="624"/>
      <c r="L161" s="624"/>
      <c r="M161" s="672"/>
      <c r="N161" s="624"/>
      <c r="O161" s="624"/>
      <c r="P161" s="624"/>
      <c r="Q161" s="624"/>
      <c r="R161" s="624"/>
      <c r="T161" s="624"/>
      <c r="U161" s="624"/>
      <c r="V161" s="624"/>
      <c r="W161" s="624"/>
      <c r="X161" s="624"/>
      <c r="Y161" s="624"/>
      <c r="Z161" s="624"/>
      <c r="AB161" s="624"/>
      <c r="AW161" s="673"/>
      <c r="AX161" s="673"/>
      <c r="AY161" s="673"/>
      <c r="AZ161" s="674"/>
      <c r="BA161" s="674"/>
      <c r="BB161" s="665"/>
      <c r="BC161" s="665"/>
      <c r="BD161" s="665"/>
      <c r="BE161" s="665"/>
      <c r="BF161" s="665"/>
      <c r="BG161" s="665"/>
    </row>
    <row r="162" spans="1:59" ht="12" customHeight="1" x14ac:dyDescent="0.2">
      <c r="A162" s="624"/>
      <c r="B162" s="624"/>
      <c r="C162" s="624"/>
      <c r="D162" s="624"/>
      <c r="E162" s="624"/>
      <c r="F162" s="582"/>
      <c r="G162" s="624"/>
      <c r="H162" s="624"/>
      <c r="I162" s="624"/>
      <c r="J162" s="624"/>
      <c r="K162" s="624"/>
      <c r="L162" s="624"/>
      <c r="M162" s="672"/>
      <c r="N162" s="624"/>
      <c r="O162" s="624"/>
      <c r="P162" s="624"/>
      <c r="Q162" s="624"/>
      <c r="R162" s="624"/>
      <c r="T162" s="624"/>
      <c r="U162" s="624"/>
      <c r="V162" s="624"/>
      <c r="W162" s="624"/>
      <c r="X162" s="624"/>
      <c r="Y162" s="624"/>
      <c r="Z162" s="624"/>
      <c r="AB162" s="624"/>
      <c r="AW162" s="673"/>
      <c r="AX162" s="673"/>
      <c r="AY162" s="673"/>
      <c r="AZ162" s="674"/>
      <c r="BA162" s="674"/>
      <c r="BB162" s="665"/>
      <c r="BC162" s="665"/>
      <c r="BD162" s="665"/>
      <c r="BE162" s="665"/>
      <c r="BF162" s="665"/>
      <c r="BG162" s="665"/>
    </row>
    <row r="163" spans="1:59" ht="12" customHeight="1" x14ac:dyDescent="0.2">
      <c r="A163" s="624"/>
      <c r="B163" s="624"/>
      <c r="C163" s="624"/>
      <c r="D163" s="624"/>
      <c r="E163" s="624"/>
      <c r="F163" s="582"/>
      <c r="G163" s="624"/>
      <c r="H163" s="624"/>
      <c r="I163" s="624"/>
      <c r="J163" s="624"/>
      <c r="K163" s="624"/>
      <c r="L163" s="624"/>
      <c r="M163" s="672"/>
      <c r="N163" s="624"/>
      <c r="O163" s="624"/>
      <c r="P163" s="624"/>
      <c r="Q163" s="624"/>
      <c r="R163" s="624"/>
      <c r="T163" s="624"/>
      <c r="U163" s="624"/>
      <c r="V163" s="624"/>
      <c r="W163" s="624"/>
      <c r="X163" s="624"/>
      <c r="Y163" s="624"/>
      <c r="Z163" s="624"/>
      <c r="AB163" s="624"/>
      <c r="AW163" s="673"/>
      <c r="AX163" s="673"/>
      <c r="AY163" s="673"/>
      <c r="AZ163" s="674"/>
      <c r="BA163" s="674"/>
      <c r="BB163" s="665"/>
      <c r="BC163" s="665"/>
      <c r="BD163" s="665"/>
      <c r="BE163" s="665"/>
      <c r="BF163" s="665"/>
      <c r="BG163" s="665"/>
    </row>
    <row r="164" spans="1:59" ht="12" customHeight="1" x14ac:dyDescent="0.2">
      <c r="A164" s="624"/>
      <c r="B164" s="624"/>
      <c r="C164" s="624"/>
      <c r="D164" s="624"/>
      <c r="E164" s="624"/>
      <c r="F164" s="582"/>
      <c r="G164" s="624"/>
      <c r="H164" s="624"/>
      <c r="I164" s="624"/>
      <c r="J164" s="624"/>
      <c r="K164" s="624"/>
      <c r="L164" s="624"/>
      <c r="M164" s="672"/>
      <c r="N164" s="624"/>
      <c r="O164" s="624"/>
      <c r="P164" s="624"/>
      <c r="Q164" s="624"/>
      <c r="R164" s="624"/>
      <c r="T164" s="624"/>
      <c r="U164" s="624"/>
      <c r="V164" s="624"/>
      <c r="W164" s="624"/>
      <c r="X164" s="624"/>
      <c r="Y164" s="624"/>
      <c r="Z164" s="624"/>
      <c r="AB164" s="624"/>
      <c r="AW164" s="673"/>
      <c r="AX164" s="673"/>
      <c r="AY164" s="673"/>
      <c r="AZ164" s="674"/>
      <c r="BA164" s="674"/>
      <c r="BB164" s="665"/>
      <c r="BC164" s="665"/>
      <c r="BD164" s="665"/>
      <c r="BE164" s="665"/>
      <c r="BF164" s="665"/>
      <c r="BG164" s="665"/>
    </row>
    <row r="165" spans="1:59" ht="12" customHeight="1" x14ac:dyDescent="0.2">
      <c r="A165" s="624"/>
      <c r="B165" s="624"/>
      <c r="C165" s="624"/>
      <c r="D165" s="624"/>
      <c r="E165" s="624"/>
      <c r="F165" s="582"/>
      <c r="G165" s="624"/>
      <c r="H165" s="624"/>
      <c r="I165" s="624"/>
      <c r="J165" s="624"/>
      <c r="K165" s="624"/>
      <c r="L165" s="624"/>
      <c r="M165" s="672"/>
      <c r="N165" s="624"/>
      <c r="O165" s="624"/>
      <c r="P165" s="624"/>
      <c r="Q165" s="624"/>
      <c r="R165" s="624"/>
      <c r="T165" s="624"/>
      <c r="U165" s="624"/>
      <c r="V165" s="624"/>
      <c r="W165" s="624"/>
      <c r="X165" s="624"/>
      <c r="Y165" s="624"/>
      <c r="Z165" s="624"/>
      <c r="AB165" s="624"/>
      <c r="AW165" s="673"/>
      <c r="AX165" s="673"/>
      <c r="AY165" s="673"/>
      <c r="AZ165" s="674"/>
      <c r="BA165" s="674"/>
      <c r="BB165" s="665"/>
      <c r="BC165" s="665"/>
      <c r="BD165" s="665"/>
      <c r="BE165" s="665"/>
      <c r="BF165" s="665"/>
      <c r="BG165" s="665"/>
    </row>
    <row r="166" spans="1:59" ht="12" customHeight="1" x14ac:dyDescent="0.2">
      <c r="A166" s="624"/>
      <c r="B166" s="624"/>
      <c r="C166" s="624"/>
      <c r="D166" s="624"/>
      <c r="E166" s="624"/>
      <c r="F166" s="582"/>
      <c r="G166" s="624"/>
      <c r="H166" s="624"/>
      <c r="I166" s="624"/>
      <c r="J166" s="624"/>
      <c r="K166" s="624"/>
      <c r="L166" s="624"/>
      <c r="M166" s="672"/>
      <c r="N166" s="624"/>
      <c r="O166" s="624"/>
      <c r="P166" s="624"/>
      <c r="Q166" s="624"/>
      <c r="R166" s="624"/>
      <c r="T166" s="624"/>
      <c r="U166" s="624"/>
      <c r="V166" s="624"/>
      <c r="W166" s="624"/>
      <c r="X166" s="624"/>
      <c r="Y166" s="624"/>
      <c r="Z166" s="624"/>
      <c r="AB166" s="624"/>
      <c r="AW166" s="673"/>
      <c r="AX166" s="673"/>
      <c r="AY166" s="673"/>
      <c r="AZ166" s="674"/>
      <c r="BA166" s="674"/>
      <c r="BB166" s="665"/>
      <c r="BC166" s="665"/>
      <c r="BD166" s="665"/>
      <c r="BE166" s="665"/>
      <c r="BF166" s="665"/>
      <c r="BG166" s="665"/>
    </row>
    <row r="167" spans="1:59" ht="12" customHeight="1" x14ac:dyDescent="0.2">
      <c r="A167" s="624"/>
      <c r="B167" s="624"/>
      <c r="C167" s="624"/>
      <c r="D167" s="624"/>
      <c r="E167" s="624"/>
      <c r="F167" s="582"/>
      <c r="G167" s="624"/>
      <c r="H167" s="624"/>
      <c r="I167" s="624"/>
      <c r="J167" s="624"/>
      <c r="K167" s="624"/>
      <c r="L167" s="624"/>
      <c r="M167" s="672"/>
      <c r="N167" s="624"/>
      <c r="O167" s="624"/>
      <c r="P167" s="624"/>
      <c r="Q167" s="624"/>
      <c r="R167" s="624"/>
      <c r="T167" s="624"/>
      <c r="U167" s="624"/>
      <c r="V167" s="624"/>
      <c r="W167" s="624"/>
      <c r="X167" s="624"/>
      <c r="Y167" s="624"/>
      <c r="Z167" s="624"/>
      <c r="AB167" s="624"/>
      <c r="AW167" s="673"/>
      <c r="AX167" s="673"/>
      <c r="AY167" s="673"/>
      <c r="AZ167" s="674"/>
      <c r="BA167" s="674"/>
      <c r="BB167" s="665"/>
      <c r="BC167" s="665"/>
      <c r="BD167" s="665"/>
      <c r="BE167" s="665"/>
      <c r="BF167" s="665"/>
      <c r="BG167" s="665"/>
    </row>
    <row r="168" spans="1:59" ht="12" customHeight="1" x14ac:dyDescent="0.2">
      <c r="A168" s="624"/>
      <c r="B168" s="624"/>
      <c r="C168" s="624"/>
      <c r="D168" s="624"/>
      <c r="E168" s="624"/>
      <c r="F168" s="582"/>
      <c r="G168" s="624"/>
      <c r="H168" s="624"/>
      <c r="I168" s="624"/>
      <c r="J168" s="624"/>
      <c r="K168" s="624"/>
      <c r="L168" s="624"/>
      <c r="M168" s="672"/>
      <c r="N168" s="624"/>
      <c r="O168" s="624"/>
      <c r="P168" s="624"/>
      <c r="Q168" s="624"/>
      <c r="R168" s="624"/>
      <c r="T168" s="624"/>
      <c r="U168" s="624"/>
      <c r="V168" s="624"/>
      <c r="W168" s="624"/>
      <c r="X168" s="624"/>
      <c r="Y168" s="624"/>
      <c r="Z168" s="624"/>
      <c r="AB168" s="624"/>
      <c r="AW168" s="673"/>
      <c r="AX168" s="673"/>
      <c r="AY168" s="673"/>
      <c r="AZ168" s="674"/>
      <c r="BA168" s="674"/>
      <c r="BB168" s="665"/>
      <c r="BC168" s="665"/>
      <c r="BD168" s="665"/>
      <c r="BE168" s="665"/>
      <c r="BF168" s="665"/>
      <c r="BG168" s="665"/>
    </row>
    <row r="169" spans="1:59" ht="12" customHeight="1" x14ac:dyDescent="0.2">
      <c r="A169" s="624"/>
      <c r="B169" s="624"/>
      <c r="C169" s="624"/>
      <c r="D169" s="624"/>
      <c r="E169" s="624"/>
      <c r="F169" s="582"/>
      <c r="G169" s="624"/>
      <c r="H169" s="624"/>
      <c r="I169" s="624"/>
      <c r="J169" s="624"/>
      <c r="K169" s="624"/>
      <c r="L169" s="624"/>
      <c r="M169" s="672"/>
      <c r="N169" s="624"/>
      <c r="O169" s="624"/>
      <c r="P169" s="624"/>
      <c r="Q169" s="624"/>
      <c r="R169" s="624"/>
      <c r="T169" s="624"/>
      <c r="U169" s="624"/>
      <c r="V169" s="624"/>
      <c r="W169" s="624"/>
      <c r="X169" s="624"/>
      <c r="Y169" s="624"/>
      <c r="Z169" s="624"/>
      <c r="AB169" s="624"/>
      <c r="AW169" s="673"/>
      <c r="AX169" s="673"/>
      <c r="AY169" s="673"/>
      <c r="AZ169" s="674"/>
      <c r="BA169" s="674"/>
      <c r="BB169" s="665"/>
      <c r="BC169" s="665"/>
      <c r="BD169" s="665"/>
      <c r="BE169" s="665"/>
      <c r="BF169" s="665"/>
      <c r="BG169" s="665"/>
    </row>
    <row r="170" spans="1:59" ht="12" customHeight="1" x14ac:dyDescent="0.2">
      <c r="A170" s="624"/>
      <c r="B170" s="624"/>
      <c r="C170" s="624"/>
      <c r="D170" s="624"/>
      <c r="E170" s="624"/>
      <c r="F170" s="582"/>
      <c r="G170" s="624"/>
      <c r="H170" s="624"/>
      <c r="I170" s="624"/>
      <c r="J170" s="624"/>
      <c r="K170" s="624"/>
      <c r="L170" s="624"/>
      <c r="M170" s="672"/>
      <c r="N170" s="624"/>
      <c r="O170" s="624"/>
      <c r="P170" s="624"/>
      <c r="Q170" s="624"/>
      <c r="R170" s="624"/>
      <c r="T170" s="624"/>
      <c r="U170" s="624"/>
      <c r="V170" s="624"/>
      <c r="W170" s="624"/>
      <c r="X170" s="624"/>
      <c r="Y170" s="624"/>
      <c r="Z170" s="624"/>
      <c r="AB170" s="624"/>
      <c r="AW170" s="673"/>
      <c r="AX170" s="673"/>
      <c r="AY170" s="673"/>
      <c r="AZ170" s="674"/>
      <c r="BA170" s="674"/>
      <c r="BB170" s="665"/>
      <c r="BC170" s="665"/>
      <c r="BD170" s="665"/>
      <c r="BE170" s="665"/>
      <c r="BF170" s="665"/>
      <c r="BG170" s="665"/>
    </row>
    <row r="171" spans="1:59" ht="12" customHeight="1" x14ac:dyDescent="0.2">
      <c r="A171" s="624"/>
      <c r="B171" s="624"/>
      <c r="C171" s="624"/>
      <c r="D171" s="624"/>
      <c r="E171" s="624"/>
      <c r="F171" s="582"/>
      <c r="G171" s="624"/>
      <c r="H171" s="624"/>
      <c r="I171" s="624"/>
      <c r="J171" s="624"/>
      <c r="K171" s="624"/>
      <c r="L171" s="624"/>
      <c r="M171" s="672"/>
      <c r="N171" s="624"/>
      <c r="O171" s="624"/>
      <c r="P171" s="624"/>
      <c r="Q171" s="624"/>
      <c r="R171" s="624"/>
      <c r="T171" s="624"/>
      <c r="U171" s="624"/>
      <c r="V171" s="624"/>
      <c r="W171" s="624"/>
      <c r="X171" s="624"/>
      <c r="Y171" s="624"/>
      <c r="Z171" s="624"/>
      <c r="AB171" s="624"/>
      <c r="AW171" s="673"/>
      <c r="AX171" s="673"/>
      <c r="AY171" s="673"/>
      <c r="AZ171" s="674"/>
      <c r="BA171" s="674"/>
      <c r="BB171" s="665"/>
      <c r="BC171" s="665"/>
      <c r="BD171" s="665"/>
      <c r="BE171" s="665"/>
      <c r="BF171" s="665"/>
      <c r="BG171" s="665"/>
    </row>
    <row r="172" spans="1:59" ht="12" customHeight="1" x14ac:dyDescent="0.2">
      <c r="A172" s="624"/>
      <c r="B172" s="624"/>
      <c r="C172" s="624"/>
      <c r="D172" s="624"/>
      <c r="E172" s="624"/>
      <c r="F172" s="582"/>
      <c r="G172" s="624"/>
      <c r="H172" s="624"/>
      <c r="I172" s="624"/>
      <c r="J172" s="624"/>
      <c r="K172" s="624"/>
      <c r="L172" s="624"/>
      <c r="M172" s="672"/>
      <c r="N172" s="624"/>
      <c r="O172" s="624"/>
      <c r="P172" s="624"/>
      <c r="Q172" s="624"/>
      <c r="R172" s="624"/>
      <c r="T172" s="624"/>
      <c r="U172" s="624"/>
      <c r="V172" s="624"/>
      <c r="W172" s="624"/>
      <c r="X172" s="624"/>
      <c r="Y172" s="624"/>
      <c r="Z172" s="624"/>
      <c r="AB172" s="624"/>
      <c r="AW172" s="673"/>
      <c r="AX172" s="673"/>
      <c r="AY172" s="673"/>
      <c r="AZ172" s="674"/>
      <c r="BA172" s="674"/>
      <c r="BB172" s="665"/>
      <c r="BC172" s="665"/>
      <c r="BD172" s="665"/>
      <c r="BE172" s="665"/>
      <c r="BF172" s="665"/>
      <c r="BG172" s="665"/>
    </row>
    <row r="173" spans="1:59" ht="12" customHeight="1" x14ac:dyDescent="0.2">
      <c r="A173" s="624"/>
      <c r="B173" s="624"/>
      <c r="C173" s="624"/>
      <c r="D173" s="624"/>
      <c r="E173" s="624"/>
      <c r="F173" s="582"/>
      <c r="G173" s="624"/>
      <c r="H173" s="624"/>
      <c r="I173" s="624"/>
      <c r="J173" s="624"/>
      <c r="K173" s="624"/>
      <c r="L173" s="624"/>
      <c r="M173" s="672"/>
      <c r="N173" s="624"/>
      <c r="O173" s="624"/>
      <c r="P173" s="624"/>
      <c r="Q173" s="624"/>
      <c r="R173" s="624"/>
      <c r="T173" s="624"/>
      <c r="U173" s="624"/>
      <c r="V173" s="624"/>
      <c r="W173" s="624"/>
      <c r="X173" s="624"/>
      <c r="Y173" s="624"/>
      <c r="Z173" s="624"/>
      <c r="AB173" s="624"/>
      <c r="AW173" s="673"/>
      <c r="AX173" s="673"/>
      <c r="AY173" s="673"/>
      <c r="AZ173" s="674"/>
      <c r="BA173" s="674"/>
      <c r="BB173" s="665"/>
      <c r="BC173" s="665"/>
      <c r="BD173" s="665"/>
      <c r="BE173" s="665"/>
      <c r="BF173" s="665"/>
      <c r="BG173" s="665"/>
    </row>
    <row r="174" spans="1:59" ht="12" customHeight="1" x14ac:dyDescent="0.2">
      <c r="A174" s="624"/>
      <c r="B174" s="624"/>
      <c r="C174" s="624"/>
      <c r="D174" s="624"/>
      <c r="E174" s="624"/>
      <c r="F174" s="582"/>
      <c r="G174" s="624"/>
      <c r="H174" s="624"/>
      <c r="I174" s="624"/>
      <c r="J174" s="624"/>
      <c r="K174" s="624"/>
      <c r="L174" s="624"/>
      <c r="M174" s="672"/>
      <c r="N174" s="624"/>
      <c r="O174" s="624"/>
      <c r="P174" s="624"/>
      <c r="Q174" s="624"/>
      <c r="R174" s="624"/>
      <c r="T174" s="624"/>
      <c r="U174" s="624"/>
      <c r="V174" s="624"/>
      <c r="W174" s="624"/>
      <c r="X174" s="624"/>
      <c r="Y174" s="624"/>
      <c r="Z174" s="624"/>
      <c r="AB174" s="624"/>
      <c r="AW174" s="673"/>
      <c r="AX174" s="673"/>
      <c r="AY174" s="673"/>
      <c r="AZ174" s="674"/>
      <c r="BA174" s="674"/>
      <c r="BB174" s="665"/>
      <c r="BC174" s="665"/>
      <c r="BD174" s="665"/>
      <c r="BE174" s="665"/>
      <c r="BF174" s="665"/>
      <c r="BG174" s="665"/>
    </row>
    <row r="175" spans="1:59" ht="12" customHeight="1" x14ac:dyDescent="0.2">
      <c r="A175" s="624"/>
      <c r="B175" s="624"/>
      <c r="C175" s="624"/>
      <c r="D175" s="624"/>
      <c r="E175" s="624"/>
      <c r="F175" s="582"/>
      <c r="G175" s="624"/>
      <c r="H175" s="624"/>
      <c r="I175" s="624"/>
      <c r="J175" s="624"/>
      <c r="K175" s="624"/>
      <c r="L175" s="624"/>
      <c r="M175" s="672"/>
      <c r="N175" s="624"/>
      <c r="O175" s="624"/>
      <c r="P175" s="624"/>
      <c r="Q175" s="624"/>
      <c r="R175" s="624"/>
      <c r="T175" s="624"/>
      <c r="U175" s="624"/>
      <c r="V175" s="624"/>
      <c r="W175" s="624"/>
      <c r="X175" s="624"/>
      <c r="Y175" s="624"/>
      <c r="Z175" s="624"/>
      <c r="AB175" s="624"/>
      <c r="AW175" s="673"/>
      <c r="AX175" s="673"/>
      <c r="AY175" s="673"/>
      <c r="AZ175" s="674"/>
      <c r="BA175" s="674"/>
      <c r="BB175" s="665"/>
      <c r="BC175" s="665"/>
      <c r="BD175" s="665"/>
      <c r="BE175" s="665"/>
      <c r="BF175" s="665"/>
      <c r="BG175" s="665"/>
    </row>
    <row r="176" spans="1:59" ht="12" customHeight="1" x14ac:dyDescent="0.2">
      <c r="A176" s="624"/>
      <c r="B176" s="624"/>
      <c r="C176" s="624"/>
      <c r="D176" s="624"/>
      <c r="E176" s="624"/>
      <c r="F176" s="582"/>
      <c r="G176" s="624"/>
      <c r="H176" s="624"/>
      <c r="I176" s="624"/>
      <c r="J176" s="624"/>
      <c r="K176" s="624"/>
      <c r="L176" s="624"/>
      <c r="M176" s="672"/>
      <c r="N176" s="624"/>
      <c r="O176" s="624"/>
      <c r="P176" s="624"/>
      <c r="Q176" s="624"/>
      <c r="R176" s="624"/>
      <c r="T176" s="624"/>
      <c r="U176" s="624"/>
      <c r="V176" s="624"/>
      <c r="W176" s="624"/>
      <c r="X176" s="624"/>
      <c r="Y176" s="624"/>
      <c r="Z176" s="624"/>
      <c r="AB176" s="624"/>
      <c r="AW176" s="673"/>
      <c r="AX176" s="673"/>
      <c r="AY176" s="673"/>
      <c r="AZ176" s="674"/>
      <c r="BA176" s="674"/>
      <c r="BB176" s="665"/>
      <c r="BC176" s="665"/>
      <c r="BD176" s="665"/>
      <c r="BE176" s="665"/>
      <c r="BF176" s="665"/>
      <c r="BG176" s="665"/>
    </row>
    <row r="177" spans="1:59" ht="12" customHeight="1" x14ac:dyDescent="0.2">
      <c r="A177" s="624"/>
      <c r="B177" s="624"/>
      <c r="C177" s="624"/>
      <c r="D177" s="624"/>
      <c r="E177" s="624"/>
      <c r="F177" s="582"/>
      <c r="G177" s="624"/>
      <c r="H177" s="624"/>
      <c r="I177" s="624"/>
      <c r="J177" s="624"/>
      <c r="K177" s="624"/>
      <c r="L177" s="624"/>
      <c r="M177" s="672"/>
      <c r="N177" s="624"/>
      <c r="O177" s="624"/>
      <c r="P177" s="624"/>
      <c r="Q177" s="624"/>
      <c r="R177" s="624"/>
      <c r="T177" s="624"/>
      <c r="U177" s="624"/>
      <c r="V177" s="624"/>
      <c r="W177" s="624"/>
      <c r="X177" s="624"/>
      <c r="Y177" s="624"/>
      <c r="Z177" s="624"/>
      <c r="AB177" s="624"/>
      <c r="AW177" s="673"/>
      <c r="AX177" s="673"/>
      <c r="AY177" s="673"/>
      <c r="AZ177" s="674"/>
      <c r="BA177" s="674"/>
      <c r="BB177" s="665"/>
      <c r="BC177" s="665"/>
      <c r="BD177" s="665"/>
      <c r="BE177" s="665"/>
      <c r="BF177" s="665"/>
      <c r="BG177" s="665"/>
    </row>
    <row r="178" spans="1:59" ht="12" customHeight="1" x14ac:dyDescent="0.2">
      <c r="A178" s="624"/>
      <c r="B178" s="624"/>
      <c r="C178" s="624"/>
      <c r="D178" s="624"/>
      <c r="E178" s="624"/>
      <c r="F178" s="582"/>
      <c r="G178" s="624"/>
      <c r="H178" s="624"/>
      <c r="I178" s="624"/>
      <c r="J178" s="624"/>
      <c r="K178" s="624"/>
      <c r="L178" s="624"/>
      <c r="M178" s="672"/>
      <c r="N178" s="624"/>
      <c r="O178" s="624"/>
      <c r="P178" s="624"/>
      <c r="Q178" s="624"/>
      <c r="R178" s="624"/>
      <c r="T178" s="624"/>
      <c r="U178" s="624"/>
      <c r="V178" s="624"/>
      <c r="W178" s="624"/>
      <c r="X178" s="624"/>
      <c r="Y178" s="624"/>
      <c r="Z178" s="624"/>
      <c r="AB178" s="624"/>
      <c r="AW178" s="673"/>
      <c r="AX178" s="673"/>
      <c r="AY178" s="673"/>
      <c r="AZ178" s="674"/>
      <c r="BA178" s="674"/>
      <c r="BB178" s="665"/>
      <c r="BC178" s="665"/>
      <c r="BD178" s="665"/>
      <c r="BE178" s="665"/>
      <c r="BF178" s="665"/>
      <c r="BG178" s="665"/>
    </row>
    <row r="179" spans="1:59" ht="12" customHeight="1" x14ac:dyDescent="0.2">
      <c r="A179" s="624"/>
      <c r="B179" s="624"/>
      <c r="C179" s="624"/>
      <c r="D179" s="624"/>
      <c r="E179" s="624"/>
      <c r="F179" s="582"/>
      <c r="G179" s="624"/>
      <c r="H179" s="624"/>
      <c r="I179" s="624"/>
      <c r="J179" s="624"/>
      <c r="K179" s="624"/>
      <c r="L179" s="624"/>
      <c r="M179" s="672"/>
      <c r="N179" s="624"/>
      <c r="O179" s="624"/>
      <c r="P179" s="624"/>
      <c r="Q179" s="624"/>
      <c r="R179" s="624"/>
      <c r="T179" s="624"/>
      <c r="U179" s="624"/>
      <c r="V179" s="624"/>
      <c r="W179" s="624"/>
      <c r="X179" s="624"/>
      <c r="Y179" s="624"/>
      <c r="Z179" s="624"/>
      <c r="AB179" s="624"/>
      <c r="AW179" s="673"/>
      <c r="AX179" s="673"/>
      <c r="AY179" s="673"/>
      <c r="AZ179" s="674"/>
      <c r="BA179" s="674"/>
      <c r="BB179" s="665"/>
      <c r="BC179" s="665"/>
      <c r="BD179" s="665"/>
      <c r="BE179" s="665"/>
      <c r="BF179" s="665"/>
      <c r="BG179" s="665"/>
    </row>
    <row r="180" spans="1:59" ht="12" customHeight="1" x14ac:dyDescent="0.2">
      <c r="A180" s="624"/>
      <c r="B180" s="624"/>
      <c r="C180" s="624"/>
      <c r="D180" s="624"/>
      <c r="E180" s="624"/>
      <c r="F180" s="582"/>
      <c r="G180" s="624"/>
      <c r="H180" s="624"/>
      <c r="I180" s="624"/>
      <c r="J180" s="624"/>
      <c r="K180" s="624"/>
      <c r="L180" s="624"/>
      <c r="M180" s="672"/>
      <c r="N180" s="624"/>
      <c r="O180" s="624"/>
      <c r="P180" s="624"/>
      <c r="Q180" s="624"/>
      <c r="R180" s="624"/>
      <c r="T180" s="624"/>
      <c r="U180" s="624"/>
      <c r="V180" s="624"/>
      <c r="W180" s="624"/>
      <c r="X180" s="624"/>
      <c r="Y180" s="624"/>
      <c r="Z180" s="624"/>
      <c r="AB180" s="624"/>
      <c r="AW180" s="673"/>
      <c r="AX180" s="673"/>
      <c r="AY180" s="673"/>
      <c r="AZ180" s="674"/>
      <c r="BA180" s="674"/>
      <c r="BB180" s="665"/>
      <c r="BC180" s="665"/>
      <c r="BD180" s="665"/>
      <c r="BE180" s="665"/>
      <c r="BF180" s="665"/>
      <c r="BG180" s="665"/>
    </row>
    <row r="181" spans="1:59" ht="12" customHeight="1" x14ac:dyDescent="0.2">
      <c r="A181" s="624"/>
      <c r="B181" s="624"/>
      <c r="C181" s="624"/>
      <c r="D181" s="624"/>
      <c r="E181" s="624"/>
      <c r="F181" s="582"/>
      <c r="G181" s="624"/>
      <c r="H181" s="624"/>
      <c r="I181" s="624"/>
      <c r="J181" s="624"/>
      <c r="K181" s="624"/>
      <c r="L181" s="624"/>
      <c r="M181" s="672"/>
      <c r="N181" s="624"/>
      <c r="O181" s="624"/>
      <c r="P181" s="624"/>
      <c r="Q181" s="624"/>
      <c r="R181" s="624"/>
      <c r="T181" s="624"/>
      <c r="U181" s="624"/>
      <c r="V181" s="624"/>
      <c r="W181" s="624"/>
      <c r="X181" s="624"/>
      <c r="Y181" s="624"/>
      <c r="Z181" s="624"/>
      <c r="AB181" s="624"/>
      <c r="AW181" s="673"/>
      <c r="AX181" s="673"/>
      <c r="AY181" s="673"/>
      <c r="AZ181" s="674"/>
      <c r="BA181" s="674"/>
      <c r="BB181" s="665"/>
      <c r="BC181" s="665"/>
      <c r="BD181" s="665"/>
      <c r="BE181" s="665"/>
      <c r="BF181" s="665"/>
      <c r="BG181" s="665"/>
    </row>
    <row r="182" spans="1:59" ht="12" customHeight="1" x14ac:dyDescent="0.2">
      <c r="A182" s="624"/>
      <c r="B182" s="624"/>
      <c r="C182" s="624"/>
      <c r="D182" s="624"/>
      <c r="E182" s="624"/>
      <c r="F182" s="582"/>
      <c r="G182" s="624"/>
      <c r="H182" s="624"/>
      <c r="I182" s="624"/>
      <c r="J182" s="624"/>
      <c r="K182" s="624"/>
      <c r="L182" s="624"/>
      <c r="M182" s="672"/>
      <c r="N182" s="624"/>
      <c r="O182" s="624"/>
      <c r="P182" s="624"/>
      <c r="Q182" s="624"/>
      <c r="R182" s="624"/>
      <c r="T182" s="624"/>
      <c r="U182" s="624"/>
      <c r="V182" s="624"/>
      <c r="W182" s="624"/>
      <c r="X182" s="624"/>
      <c r="Y182" s="624"/>
      <c r="Z182" s="624"/>
      <c r="AB182" s="624"/>
      <c r="AW182" s="673"/>
      <c r="AX182" s="673"/>
      <c r="AY182" s="673"/>
      <c r="AZ182" s="674"/>
      <c r="BA182" s="674"/>
      <c r="BB182" s="665"/>
      <c r="BC182" s="665"/>
      <c r="BD182" s="665"/>
      <c r="BE182" s="665"/>
      <c r="BF182" s="665"/>
      <c r="BG182" s="665"/>
    </row>
    <row r="183" spans="1:59" ht="12" customHeight="1" x14ac:dyDescent="0.2">
      <c r="A183" s="624"/>
      <c r="B183" s="624"/>
      <c r="C183" s="624"/>
      <c r="D183" s="624"/>
      <c r="E183" s="624"/>
      <c r="F183" s="582"/>
      <c r="G183" s="624"/>
      <c r="H183" s="624"/>
      <c r="I183" s="624"/>
      <c r="J183" s="624"/>
      <c r="K183" s="624"/>
      <c r="L183" s="624"/>
      <c r="M183" s="672"/>
      <c r="N183" s="624"/>
      <c r="O183" s="624"/>
      <c r="P183" s="624"/>
      <c r="Q183" s="624"/>
      <c r="R183" s="624"/>
      <c r="T183" s="624"/>
      <c r="U183" s="624"/>
      <c r="V183" s="624"/>
      <c r="W183" s="624"/>
      <c r="X183" s="624"/>
      <c r="Y183" s="624"/>
      <c r="Z183" s="624"/>
      <c r="AB183" s="624"/>
      <c r="AW183" s="673"/>
      <c r="AX183" s="673"/>
      <c r="AY183" s="673"/>
      <c r="AZ183" s="674"/>
      <c r="BA183" s="674"/>
      <c r="BB183" s="665"/>
      <c r="BC183" s="665"/>
      <c r="BD183" s="665"/>
      <c r="BE183" s="665"/>
      <c r="BF183" s="665"/>
      <c r="BG183" s="665"/>
    </row>
    <row r="184" spans="1:59" ht="12" customHeight="1" x14ac:dyDescent="0.2">
      <c r="A184" s="624"/>
      <c r="B184" s="624"/>
      <c r="C184" s="624"/>
      <c r="D184" s="624"/>
      <c r="E184" s="624"/>
      <c r="F184" s="582"/>
      <c r="G184" s="624"/>
      <c r="H184" s="624"/>
      <c r="I184" s="624"/>
      <c r="J184" s="624"/>
      <c r="K184" s="624"/>
      <c r="L184" s="624"/>
      <c r="M184" s="672"/>
      <c r="N184" s="624"/>
      <c r="O184" s="624"/>
      <c r="P184" s="624"/>
      <c r="Q184" s="624"/>
      <c r="R184" s="624"/>
      <c r="T184" s="624"/>
      <c r="U184" s="624"/>
      <c r="V184" s="624"/>
      <c r="W184" s="624"/>
      <c r="X184" s="624"/>
      <c r="Y184" s="624"/>
      <c r="Z184" s="624"/>
      <c r="AB184" s="624"/>
      <c r="AW184" s="673"/>
      <c r="AX184" s="673"/>
      <c r="AY184" s="673"/>
      <c r="AZ184" s="674"/>
      <c r="BA184" s="674"/>
      <c r="BB184" s="665"/>
      <c r="BC184" s="665"/>
      <c r="BD184" s="665"/>
      <c r="BE184" s="665"/>
      <c r="BF184" s="665"/>
      <c r="BG184" s="665"/>
    </row>
    <row r="185" spans="1:59" ht="12" customHeight="1" x14ac:dyDescent="0.2">
      <c r="A185" s="624"/>
      <c r="B185" s="624"/>
      <c r="C185" s="624"/>
      <c r="D185" s="624"/>
      <c r="E185" s="624"/>
      <c r="F185" s="582"/>
      <c r="G185" s="624"/>
      <c r="H185" s="624"/>
      <c r="I185" s="624"/>
      <c r="J185" s="624"/>
      <c r="K185" s="624"/>
      <c r="L185" s="624"/>
      <c r="M185" s="672"/>
      <c r="N185" s="624"/>
      <c r="O185" s="624"/>
      <c r="P185" s="624"/>
      <c r="Q185" s="624"/>
      <c r="R185" s="624"/>
      <c r="T185" s="624"/>
      <c r="U185" s="624"/>
      <c r="V185" s="624"/>
      <c r="W185" s="624"/>
      <c r="X185" s="624"/>
      <c r="Y185" s="624"/>
      <c r="Z185" s="624"/>
      <c r="AB185" s="624"/>
      <c r="AW185" s="673"/>
      <c r="AX185" s="673"/>
      <c r="AY185" s="673"/>
      <c r="AZ185" s="674"/>
      <c r="BA185" s="674"/>
      <c r="BB185" s="665"/>
      <c r="BC185" s="665"/>
      <c r="BD185" s="665"/>
      <c r="BE185" s="665"/>
      <c r="BF185" s="665"/>
      <c r="BG185" s="665"/>
    </row>
    <row r="186" spans="1:59" ht="12" customHeight="1" x14ac:dyDescent="0.2">
      <c r="A186" s="624"/>
      <c r="B186" s="624"/>
      <c r="C186" s="624"/>
      <c r="D186" s="624"/>
      <c r="E186" s="624"/>
      <c r="F186" s="582"/>
      <c r="G186" s="624"/>
      <c r="H186" s="624"/>
      <c r="I186" s="624"/>
      <c r="J186" s="624"/>
      <c r="K186" s="624"/>
      <c r="L186" s="624"/>
      <c r="M186" s="672"/>
      <c r="N186" s="624"/>
      <c r="O186" s="624"/>
      <c r="P186" s="624"/>
      <c r="Q186" s="624"/>
      <c r="R186" s="624"/>
      <c r="T186" s="624"/>
      <c r="U186" s="624"/>
      <c r="V186" s="624"/>
      <c r="W186" s="624"/>
      <c r="X186" s="624"/>
      <c r="Y186" s="624"/>
      <c r="Z186" s="624"/>
      <c r="AB186" s="624"/>
      <c r="AW186" s="673"/>
      <c r="AX186" s="673"/>
      <c r="AY186" s="673"/>
      <c r="AZ186" s="674"/>
      <c r="BA186" s="674"/>
      <c r="BB186" s="665"/>
      <c r="BC186" s="665"/>
      <c r="BD186" s="665"/>
      <c r="BE186" s="665"/>
      <c r="BF186" s="665"/>
      <c r="BG186" s="665"/>
    </row>
    <row r="187" spans="1:59" ht="12" customHeight="1" x14ac:dyDescent="0.2">
      <c r="A187" s="624"/>
      <c r="B187" s="624"/>
      <c r="C187" s="624"/>
      <c r="D187" s="624"/>
      <c r="E187" s="624"/>
      <c r="F187" s="582"/>
      <c r="G187" s="624"/>
      <c r="H187" s="624"/>
      <c r="I187" s="624"/>
      <c r="J187" s="624"/>
      <c r="K187" s="624"/>
      <c r="L187" s="624"/>
      <c r="M187" s="672"/>
      <c r="N187" s="624"/>
      <c r="O187" s="624"/>
      <c r="P187" s="624"/>
      <c r="Q187" s="624"/>
      <c r="R187" s="624"/>
      <c r="T187" s="624"/>
      <c r="U187" s="624"/>
      <c r="V187" s="624"/>
      <c r="W187" s="624"/>
      <c r="X187" s="624"/>
      <c r="Y187" s="624"/>
      <c r="Z187" s="624"/>
      <c r="AB187" s="624"/>
      <c r="AW187" s="673"/>
      <c r="AX187" s="673"/>
      <c r="AY187" s="673"/>
      <c r="AZ187" s="674"/>
      <c r="BA187" s="674"/>
      <c r="BB187" s="665"/>
      <c r="BC187" s="665"/>
      <c r="BD187" s="665"/>
      <c r="BE187" s="665"/>
      <c r="BF187" s="665"/>
      <c r="BG187" s="665"/>
    </row>
    <row r="188" spans="1:59" ht="12" customHeight="1" x14ac:dyDescent="0.2">
      <c r="A188" s="624"/>
      <c r="B188" s="624"/>
      <c r="C188" s="624"/>
      <c r="D188" s="624"/>
      <c r="E188" s="624"/>
      <c r="F188" s="582"/>
      <c r="G188" s="624"/>
      <c r="H188" s="624"/>
      <c r="I188" s="624"/>
      <c r="J188" s="624"/>
      <c r="K188" s="624"/>
      <c r="L188" s="624"/>
      <c r="M188" s="672"/>
      <c r="N188" s="624"/>
      <c r="O188" s="624"/>
      <c r="P188" s="624"/>
      <c r="Q188" s="624"/>
      <c r="R188" s="624"/>
      <c r="T188" s="624"/>
      <c r="U188" s="624"/>
      <c r="V188" s="624"/>
      <c r="W188" s="624"/>
      <c r="X188" s="624"/>
      <c r="Y188" s="624"/>
      <c r="Z188" s="624"/>
      <c r="AB188" s="624"/>
      <c r="AW188" s="673"/>
      <c r="AX188" s="673"/>
      <c r="AY188" s="673"/>
      <c r="AZ188" s="674"/>
      <c r="BA188" s="674"/>
      <c r="BB188" s="665"/>
      <c r="BC188" s="665"/>
      <c r="BD188" s="665"/>
      <c r="BE188" s="665"/>
      <c r="BF188" s="665"/>
      <c r="BG188" s="665"/>
    </row>
    <row r="189" spans="1:59" ht="12" customHeight="1" x14ac:dyDescent="0.2">
      <c r="A189" s="624"/>
      <c r="B189" s="624"/>
      <c r="C189" s="624"/>
      <c r="D189" s="624"/>
      <c r="E189" s="624"/>
      <c r="F189" s="582"/>
      <c r="G189" s="624"/>
      <c r="H189" s="624"/>
      <c r="I189" s="624"/>
      <c r="J189" s="624"/>
      <c r="K189" s="624"/>
      <c r="L189" s="624"/>
      <c r="M189" s="672"/>
      <c r="N189" s="624"/>
      <c r="O189" s="624"/>
      <c r="P189" s="624"/>
      <c r="Q189" s="624"/>
      <c r="R189" s="624"/>
      <c r="T189" s="624"/>
      <c r="U189" s="624"/>
      <c r="V189" s="624"/>
      <c r="W189" s="624"/>
      <c r="X189" s="624"/>
      <c r="Y189" s="624"/>
      <c r="Z189" s="624"/>
      <c r="AB189" s="624"/>
      <c r="AW189" s="673"/>
      <c r="AX189" s="673"/>
      <c r="AY189" s="673"/>
      <c r="AZ189" s="674"/>
      <c r="BA189" s="674"/>
      <c r="BB189" s="665"/>
      <c r="BC189" s="665"/>
      <c r="BD189" s="665"/>
      <c r="BE189" s="665"/>
      <c r="BF189" s="665"/>
      <c r="BG189" s="665"/>
    </row>
    <row r="190" spans="1:59" ht="12" customHeight="1" x14ac:dyDescent="0.2">
      <c r="A190" s="624"/>
      <c r="B190" s="624"/>
      <c r="C190" s="624"/>
      <c r="D190" s="624"/>
      <c r="E190" s="624"/>
      <c r="F190" s="582"/>
      <c r="G190" s="624"/>
      <c r="H190" s="624"/>
      <c r="I190" s="624"/>
      <c r="J190" s="624"/>
      <c r="K190" s="624"/>
      <c r="L190" s="624"/>
      <c r="M190" s="672"/>
      <c r="N190" s="624"/>
      <c r="O190" s="624"/>
      <c r="P190" s="624"/>
      <c r="Q190" s="624"/>
      <c r="R190" s="624"/>
      <c r="T190" s="624"/>
      <c r="U190" s="624"/>
      <c r="V190" s="624"/>
      <c r="W190" s="624"/>
      <c r="X190" s="624"/>
      <c r="Y190" s="624"/>
      <c r="Z190" s="624"/>
      <c r="AB190" s="624"/>
      <c r="AW190" s="673"/>
      <c r="AX190" s="673"/>
      <c r="AY190" s="673"/>
      <c r="AZ190" s="674"/>
      <c r="BA190" s="674"/>
      <c r="BB190" s="665"/>
      <c r="BC190" s="665"/>
      <c r="BD190" s="665"/>
      <c r="BE190" s="665"/>
      <c r="BF190" s="665"/>
      <c r="BG190" s="665"/>
    </row>
    <row r="191" spans="1:59" ht="12" customHeight="1" x14ac:dyDescent="0.2">
      <c r="A191" s="624"/>
      <c r="B191" s="624"/>
      <c r="C191" s="624"/>
      <c r="D191" s="624"/>
      <c r="E191" s="624"/>
      <c r="F191" s="582"/>
      <c r="G191" s="624"/>
      <c r="H191" s="624"/>
      <c r="I191" s="624"/>
      <c r="J191" s="624"/>
      <c r="K191" s="624"/>
      <c r="L191" s="624"/>
      <c r="M191" s="672"/>
      <c r="N191" s="624"/>
      <c r="O191" s="624"/>
      <c r="P191" s="624"/>
      <c r="Q191" s="624"/>
      <c r="R191" s="624"/>
      <c r="T191" s="624"/>
      <c r="U191" s="624"/>
      <c r="V191" s="624"/>
      <c r="W191" s="624"/>
      <c r="X191" s="624"/>
      <c r="Y191" s="624"/>
      <c r="Z191" s="624"/>
      <c r="AB191" s="624"/>
      <c r="AW191" s="673"/>
      <c r="AX191" s="673"/>
      <c r="AY191" s="673"/>
      <c r="AZ191" s="674"/>
      <c r="BA191" s="674"/>
      <c r="BB191" s="665"/>
      <c r="BC191" s="665"/>
      <c r="BD191" s="665"/>
      <c r="BE191" s="665"/>
      <c r="BF191" s="665"/>
      <c r="BG191" s="665"/>
    </row>
    <row r="192" spans="1:59" ht="12" customHeight="1" x14ac:dyDescent="0.2">
      <c r="A192" s="624"/>
      <c r="B192" s="624"/>
      <c r="C192" s="624"/>
      <c r="D192" s="624"/>
      <c r="E192" s="624"/>
      <c r="F192" s="582"/>
      <c r="G192" s="624"/>
      <c r="H192" s="624"/>
      <c r="I192" s="624"/>
      <c r="J192" s="624"/>
      <c r="K192" s="624"/>
      <c r="L192" s="624"/>
      <c r="M192" s="672"/>
      <c r="N192" s="624"/>
      <c r="O192" s="624"/>
      <c r="P192" s="624"/>
      <c r="Q192" s="624"/>
      <c r="R192" s="624"/>
      <c r="T192" s="624"/>
      <c r="U192" s="624"/>
      <c r="V192" s="624"/>
      <c r="W192" s="624"/>
      <c r="X192" s="624"/>
      <c r="Y192" s="624"/>
      <c r="Z192" s="624"/>
      <c r="AB192" s="624"/>
      <c r="AM192" s="624"/>
      <c r="AN192" s="624"/>
      <c r="AO192" s="624"/>
      <c r="AP192" s="624"/>
      <c r="AQ192" s="624"/>
      <c r="AR192" s="624"/>
      <c r="AS192" s="624"/>
      <c r="AT192" s="624"/>
      <c r="AU192" s="620"/>
      <c r="AV192" s="620"/>
      <c r="AW192" s="673"/>
      <c r="AX192" s="673"/>
      <c r="AY192" s="673"/>
      <c r="AZ192" s="674"/>
      <c r="BA192" s="674"/>
      <c r="BB192" s="665"/>
      <c r="BC192" s="665"/>
      <c r="BD192" s="665"/>
      <c r="BE192" s="665"/>
      <c r="BF192" s="665"/>
      <c r="BG192" s="665"/>
    </row>
    <row r="193" spans="1:59" ht="12" customHeight="1" x14ac:dyDescent="0.2">
      <c r="A193" s="624"/>
      <c r="B193" s="624"/>
      <c r="C193" s="624"/>
      <c r="D193" s="624"/>
      <c r="E193" s="624"/>
      <c r="F193" s="582"/>
      <c r="G193" s="624"/>
      <c r="H193" s="624"/>
      <c r="I193" s="624"/>
      <c r="J193" s="624"/>
      <c r="K193" s="624"/>
      <c r="L193" s="624"/>
      <c r="M193" s="672"/>
      <c r="N193" s="624"/>
      <c r="O193" s="624"/>
      <c r="P193" s="624"/>
      <c r="Q193" s="624"/>
      <c r="R193" s="624"/>
      <c r="T193" s="624"/>
      <c r="U193" s="624"/>
      <c r="V193" s="624"/>
      <c r="W193" s="624"/>
      <c r="X193" s="624"/>
      <c r="Y193" s="624"/>
      <c r="Z193" s="624"/>
      <c r="AB193" s="624"/>
      <c r="AM193" s="624"/>
      <c r="AN193" s="624"/>
      <c r="AO193" s="624"/>
      <c r="AP193" s="624"/>
      <c r="AQ193" s="624"/>
      <c r="AR193" s="624"/>
      <c r="AS193" s="624"/>
      <c r="AT193" s="624"/>
      <c r="AU193" s="620"/>
      <c r="AV193" s="620"/>
      <c r="AW193" s="673"/>
      <c r="AX193" s="673"/>
      <c r="AY193" s="673"/>
      <c r="AZ193" s="674"/>
      <c r="BA193" s="674"/>
      <c r="BB193" s="665"/>
      <c r="BC193" s="665"/>
      <c r="BD193" s="665"/>
      <c r="BE193" s="665"/>
      <c r="BF193" s="665"/>
      <c r="BG193" s="665"/>
    </row>
    <row r="194" spans="1:59" ht="12" customHeight="1" x14ac:dyDescent="0.2">
      <c r="A194" s="624"/>
      <c r="B194" s="624"/>
      <c r="C194" s="624"/>
      <c r="D194" s="624"/>
      <c r="E194" s="624"/>
      <c r="F194" s="582"/>
      <c r="G194" s="624"/>
      <c r="H194" s="624"/>
      <c r="I194" s="624"/>
      <c r="J194" s="624"/>
      <c r="K194" s="624"/>
      <c r="L194" s="624"/>
      <c r="M194" s="672"/>
      <c r="N194" s="624"/>
      <c r="O194" s="624"/>
      <c r="P194" s="624"/>
      <c r="Q194" s="624"/>
      <c r="R194" s="624"/>
      <c r="T194" s="624"/>
      <c r="U194" s="624"/>
      <c r="V194" s="624"/>
      <c r="W194" s="624"/>
      <c r="X194" s="624"/>
      <c r="Y194" s="624"/>
      <c r="Z194" s="624"/>
      <c r="AB194" s="624"/>
      <c r="AM194" s="624"/>
      <c r="AN194" s="624"/>
      <c r="AO194" s="624"/>
      <c r="AP194" s="624"/>
      <c r="AQ194" s="624"/>
      <c r="AR194" s="624"/>
      <c r="AS194" s="624"/>
      <c r="AT194" s="624"/>
      <c r="AU194" s="620"/>
      <c r="AV194" s="620"/>
      <c r="AW194" s="673"/>
      <c r="AX194" s="673"/>
      <c r="AY194" s="673"/>
      <c r="AZ194" s="674"/>
      <c r="BA194" s="674"/>
      <c r="BB194" s="665"/>
      <c r="BC194" s="665"/>
      <c r="BD194" s="665"/>
      <c r="BE194" s="665"/>
      <c r="BF194" s="665"/>
      <c r="BG194" s="665"/>
    </row>
    <row r="195" spans="1:59" ht="12" customHeight="1" x14ac:dyDescent="0.2">
      <c r="A195" s="624"/>
      <c r="B195" s="624"/>
      <c r="C195" s="624"/>
      <c r="D195" s="624"/>
      <c r="E195" s="624"/>
      <c r="F195" s="582"/>
      <c r="G195" s="624"/>
      <c r="H195" s="624"/>
      <c r="I195" s="624"/>
      <c r="J195" s="624"/>
      <c r="K195" s="624"/>
      <c r="L195" s="624"/>
      <c r="M195" s="672"/>
      <c r="N195" s="624"/>
      <c r="O195" s="624"/>
      <c r="P195" s="624"/>
      <c r="Q195" s="624"/>
      <c r="R195" s="624"/>
      <c r="T195" s="624"/>
      <c r="U195" s="624"/>
      <c r="V195" s="624"/>
      <c r="W195" s="624"/>
      <c r="X195" s="624"/>
      <c r="Y195" s="624"/>
      <c r="Z195" s="624"/>
      <c r="AB195" s="624"/>
      <c r="AM195" s="624"/>
      <c r="AN195" s="624"/>
      <c r="AO195" s="624"/>
      <c r="AP195" s="624"/>
      <c r="AQ195" s="624"/>
      <c r="AR195" s="624"/>
      <c r="AS195" s="624"/>
      <c r="AT195" s="624"/>
      <c r="AU195" s="620"/>
      <c r="AV195" s="620"/>
      <c r="AW195" s="673"/>
      <c r="AX195" s="673"/>
      <c r="AY195" s="673"/>
      <c r="AZ195" s="674"/>
      <c r="BA195" s="674"/>
      <c r="BB195" s="665"/>
      <c r="BC195" s="665"/>
      <c r="BD195" s="665"/>
      <c r="BE195" s="665"/>
      <c r="BF195" s="665"/>
      <c r="BG195" s="665"/>
    </row>
    <row r="196" spans="1:59" ht="12" customHeight="1" x14ac:dyDescent="0.2">
      <c r="A196" s="624"/>
      <c r="B196" s="624"/>
      <c r="C196" s="624"/>
      <c r="D196" s="624"/>
      <c r="E196" s="624"/>
      <c r="F196" s="582"/>
      <c r="G196" s="624"/>
      <c r="H196" s="624"/>
      <c r="I196" s="624"/>
      <c r="J196" s="624"/>
      <c r="K196" s="624"/>
      <c r="L196" s="624"/>
      <c r="M196" s="672"/>
      <c r="N196" s="624"/>
      <c r="O196" s="624"/>
      <c r="P196" s="624"/>
      <c r="Q196" s="624"/>
      <c r="R196" s="624"/>
      <c r="T196" s="624"/>
      <c r="U196" s="624"/>
      <c r="V196" s="624"/>
      <c r="W196" s="624"/>
      <c r="X196" s="624"/>
      <c r="Y196" s="624"/>
      <c r="Z196" s="624"/>
      <c r="AB196" s="624"/>
      <c r="AM196" s="624"/>
      <c r="AN196" s="624"/>
      <c r="AO196" s="624"/>
      <c r="AP196" s="624"/>
      <c r="AQ196" s="624"/>
      <c r="AR196" s="624"/>
      <c r="AS196" s="624"/>
      <c r="AT196" s="624"/>
      <c r="AU196" s="620"/>
      <c r="AV196" s="620"/>
      <c r="AW196" s="673"/>
      <c r="AX196" s="673"/>
      <c r="AY196" s="673"/>
      <c r="AZ196" s="674"/>
      <c r="BA196" s="674"/>
      <c r="BB196" s="665"/>
      <c r="BC196" s="665"/>
      <c r="BD196" s="665"/>
      <c r="BE196" s="665"/>
      <c r="BF196" s="665"/>
      <c r="BG196" s="665"/>
    </row>
    <row r="197" spans="1:59" ht="12" customHeight="1" x14ac:dyDescent="0.2">
      <c r="A197" s="624"/>
      <c r="B197" s="624"/>
      <c r="C197" s="624"/>
      <c r="D197" s="624"/>
      <c r="E197" s="624"/>
      <c r="F197" s="582"/>
      <c r="G197" s="624"/>
      <c r="H197" s="624"/>
      <c r="I197" s="624"/>
      <c r="J197" s="624"/>
      <c r="K197" s="624"/>
      <c r="L197" s="624"/>
      <c r="M197" s="672"/>
      <c r="N197" s="624"/>
      <c r="O197" s="624"/>
      <c r="P197" s="624"/>
      <c r="Q197" s="624"/>
      <c r="R197" s="624"/>
      <c r="T197" s="624"/>
      <c r="U197" s="624"/>
      <c r="V197" s="624"/>
      <c r="W197" s="624"/>
      <c r="X197" s="624"/>
      <c r="Y197" s="624"/>
      <c r="Z197" s="624"/>
      <c r="AB197" s="624"/>
      <c r="AM197" s="624"/>
      <c r="AN197" s="624"/>
      <c r="AO197" s="624"/>
      <c r="AP197" s="624"/>
      <c r="AQ197" s="624"/>
      <c r="AR197" s="624"/>
      <c r="AS197" s="624"/>
      <c r="AT197" s="624"/>
      <c r="AU197" s="620"/>
      <c r="AV197" s="620"/>
      <c r="AW197" s="673"/>
      <c r="AX197" s="673"/>
      <c r="AY197" s="673"/>
      <c r="AZ197" s="674"/>
      <c r="BA197" s="674"/>
      <c r="BB197" s="665"/>
      <c r="BC197" s="665"/>
      <c r="BD197" s="665"/>
      <c r="BE197" s="665"/>
      <c r="BF197" s="665"/>
      <c r="BG197" s="665"/>
    </row>
    <row r="198" spans="1:59" ht="12" customHeight="1" x14ac:dyDescent="0.2">
      <c r="A198" s="624"/>
      <c r="B198" s="624"/>
      <c r="C198" s="624"/>
      <c r="D198" s="624"/>
      <c r="E198" s="624"/>
      <c r="F198" s="582"/>
      <c r="G198" s="624"/>
      <c r="H198" s="624"/>
      <c r="I198" s="624"/>
      <c r="J198" s="624"/>
      <c r="K198" s="624"/>
      <c r="L198" s="624"/>
      <c r="M198" s="672"/>
      <c r="N198" s="624"/>
      <c r="O198" s="624"/>
      <c r="P198" s="624"/>
      <c r="Q198" s="624"/>
      <c r="R198" s="624"/>
      <c r="T198" s="624"/>
      <c r="U198" s="624"/>
      <c r="V198" s="624"/>
      <c r="W198" s="624"/>
      <c r="X198" s="624"/>
      <c r="Y198" s="624"/>
      <c r="Z198" s="624"/>
      <c r="AB198" s="624"/>
      <c r="AM198" s="624"/>
      <c r="AN198" s="624"/>
      <c r="AO198" s="624"/>
      <c r="AP198" s="624"/>
      <c r="AQ198" s="624"/>
      <c r="AR198" s="624"/>
      <c r="AS198" s="624"/>
      <c r="AT198" s="624"/>
      <c r="AU198" s="620"/>
      <c r="AV198" s="620"/>
      <c r="AW198" s="673"/>
      <c r="AX198" s="673"/>
      <c r="AY198" s="673"/>
      <c r="AZ198" s="674"/>
      <c r="BA198" s="674"/>
      <c r="BB198" s="665"/>
      <c r="BC198" s="665"/>
      <c r="BD198" s="665"/>
      <c r="BE198" s="665"/>
      <c r="BF198" s="665"/>
      <c r="BG198" s="665"/>
    </row>
    <row r="199" spans="1:59" ht="12" customHeight="1" x14ac:dyDescent="0.2">
      <c r="A199" s="624"/>
      <c r="B199" s="624"/>
      <c r="C199" s="624"/>
      <c r="D199" s="624"/>
      <c r="E199" s="624"/>
      <c r="F199" s="582"/>
      <c r="G199" s="624"/>
      <c r="H199" s="624"/>
      <c r="I199" s="624"/>
      <c r="J199" s="624"/>
      <c r="K199" s="624"/>
      <c r="L199" s="624"/>
      <c r="M199" s="672"/>
      <c r="N199" s="624"/>
      <c r="O199" s="624"/>
      <c r="P199" s="624"/>
      <c r="Q199" s="624"/>
      <c r="R199" s="624"/>
      <c r="T199" s="624"/>
      <c r="U199" s="624"/>
      <c r="V199" s="624"/>
      <c r="W199" s="624"/>
      <c r="X199" s="624"/>
      <c r="Y199" s="624"/>
      <c r="Z199" s="624"/>
      <c r="AB199" s="624"/>
      <c r="AM199" s="624"/>
      <c r="AN199" s="624"/>
      <c r="AO199" s="624"/>
      <c r="AP199" s="624"/>
      <c r="AQ199" s="624"/>
      <c r="AR199" s="624"/>
      <c r="AS199" s="624"/>
      <c r="AT199" s="624"/>
      <c r="AU199" s="620"/>
      <c r="AV199" s="620"/>
      <c r="AW199" s="673"/>
      <c r="AX199" s="673"/>
      <c r="AY199" s="673"/>
      <c r="AZ199" s="674"/>
      <c r="BA199" s="674"/>
      <c r="BB199" s="665"/>
      <c r="BC199" s="665"/>
      <c r="BD199" s="665"/>
      <c r="BE199" s="665"/>
      <c r="BF199" s="665"/>
      <c r="BG199" s="665"/>
    </row>
    <row r="200" spans="1:59" ht="12" customHeight="1" x14ac:dyDescent="0.2">
      <c r="A200" s="624"/>
      <c r="B200" s="624"/>
      <c r="C200" s="624"/>
      <c r="D200" s="624"/>
      <c r="E200" s="624"/>
      <c r="F200" s="582"/>
      <c r="G200" s="624"/>
      <c r="H200" s="624"/>
      <c r="I200" s="624"/>
      <c r="J200" s="624"/>
      <c r="K200" s="624"/>
      <c r="L200" s="624"/>
      <c r="M200" s="672"/>
      <c r="N200" s="624"/>
      <c r="O200" s="624"/>
      <c r="P200" s="624"/>
      <c r="Q200" s="624"/>
      <c r="R200" s="624"/>
      <c r="T200" s="624"/>
      <c r="U200" s="624"/>
      <c r="V200" s="624"/>
      <c r="W200" s="624"/>
      <c r="X200" s="624"/>
      <c r="Y200" s="624"/>
      <c r="Z200" s="624"/>
      <c r="AB200" s="624"/>
      <c r="AM200" s="624"/>
      <c r="AN200" s="624"/>
      <c r="AO200" s="624"/>
      <c r="AP200" s="624"/>
      <c r="AQ200" s="624"/>
      <c r="AR200" s="624"/>
      <c r="AS200" s="624"/>
      <c r="AT200" s="624"/>
      <c r="AU200" s="620"/>
      <c r="AV200" s="620"/>
      <c r="AW200" s="673"/>
      <c r="AX200" s="673"/>
      <c r="AY200" s="673"/>
      <c r="AZ200" s="674"/>
      <c r="BA200" s="674"/>
      <c r="BB200" s="665"/>
      <c r="BC200" s="665"/>
      <c r="BD200" s="665"/>
      <c r="BE200" s="665"/>
      <c r="BF200" s="665"/>
      <c r="BG200" s="665"/>
    </row>
    <row r="201" spans="1:59" ht="12" customHeight="1" x14ac:dyDescent="0.2">
      <c r="A201" s="624"/>
      <c r="B201" s="624"/>
      <c r="C201" s="624"/>
      <c r="D201" s="624"/>
      <c r="E201" s="624"/>
      <c r="F201" s="582"/>
      <c r="G201" s="624"/>
      <c r="H201" s="624"/>
      <c r="I201" s="624"/>
      <c r="J201" s="624"/>
      <c r="K201" s="624"/>
      <c r="L201" s="624"/>
      <c r="M201" s="672"/>
      <c r="N201" s="624"/>
      <c r="O201" s="624"/>
      <c r="P201" s="624"/>
      <c r="Q201" s="624"/>
      <c r="R201" s="624"/>
      <c r="T201" s="624"/>
      <c r="U201" s="624"/>
      <c r="V201" s="624"/>
      <c r="W201" s="624"/>
      <c r="X201" s="624"/>
      <c r="Y201" s="624"/>
      <c r="Z201" s="624"/>
      <c r="AB201" s="624"/>
      <c r="AM201" s="624"/>
      <c r="AN201" s="624"/>
      <c r="AO201" s="624"/>
      <c r="AP201" s="624"/>
      <c r="AQ201" s="624"/>
      <c r="AR201" s="624"/>
      <c r="AS201" s="624"/>
      <c r="AT201" s="624"/>
      <c r="AU201" s="620"/>
      <c r="AV201" s="620"/>
      <c r="AW201" s="673"/>
      <c r="AX201" s="673"/>
      <c r="AY201" s="673"/>
      <c r="AZ201" s="674"/>
      <c r="BA201" s="674"/>
      <c r="BB201" s="665"/>
      <c r="BC201" s="665"/>
      <c r="BD201" s="665"/>
      <c r="BE201" s="665"/>
      <c r="BF201" s="665"/>
      <c r="BG201" s="665"/>
    </row>
    <row r="202" spans="1:59" ht="12" customHeight="1" x14ac:dyDescent="0.2">
      <c r="A202" s="624"/>
      <c r="B202" s="624"/>
      <c r="C202" s="624"/>
      <c r="D202" s="624"/>
      <c r="E202" s="624"/>
      <c r="F202" s="582"/>
      <c r="G202" s="624"/>
      <c r="H202" s="624"/>
      <c r="I202" s="624"/>
      <c r="J202" s="624"/>
      <c r="K202" s="624"/>
      <c r="L202" s="624"/>
      <c r="M202" s="672"/>
      <c r="N202" s="624"/>
      <c r="O202" s="624"/>
      <c r="P202" s="624"/>
      <c r="Q202" s="624"/>
      <c r="R202" s="624"/>
      <c r="T202" s="624"/>
      <c r="U202" s="624"/>
      <c r="V202" s="624"/>
      <c r="W202" s="624"/>
      <c r="X202" s="624"/>
      <c r="Y202" s="624"/>
      <c r="Z202" s="624"/>
      <c r="AB202" s="624"/>
      <c r="AM202" s="624"/>
      <c r="AN202" s="624"/>
      <c r="AO202" s="624"/>
      <c r="AP202" s="624"/>
      <c r="AQ202" s="624"/>
      <c r="AR202" s="624"/>
      <c r="AS202" s="624"/>
      <c r="AT202" s="624"/>
      <c r="AU202" s="620"/>
      <c r="AV202" s="620"/>
      <c r="AW202" s="673"/>
      <c r="AX202" s="673"/>
      <c r="AY202" s="673"/>
      <c r="AZ202" s="674"/>
      <c r="BA202" s="674"/>
      <c r="BB202" s="665"/>
      <c r="BC202" s="665"/>
      <c r="BD202" s="665"/>
      <c r="BE202" s="665"/>
      <c r="BF202" s="665"/>
      <c r="BG202" s="665"/>
    </row>
    <row r="203" spans="1:59" ht="12" customHeight="1" x14ac:dyDescent="0.2">
      <c r="A203" s="624"/>
      <c r="B203" s="624"/>
      <c r="C203" s="624"/>
      <c r="D203" s="624"/>
      <c r="E203" s="624"/>
      <c r="F203" s="582"/>
      <c r="G203" s="624"/>
      <c r="H203" s="624"/>
      <c r="I203" s="624"/>
      <c r="J203" s="624"/>
      <c r="K203" s="624"/>
      <c r="L203" s="624"/>
      <c r="M203" s="672"/>
      <c r="N203" s="624"/>
      <c r="O203" s="624"/>
      <c r="P203" s="624"/>
      <c r="Q203" s="624"/>
      <c r="R203" s="624"/>
      <c r="T203" s="624"/>
      <c r="U203" s="624"/>
      <c r="V203" s="624"/>
      <c r="W203" s="624"/>
      <c r="X203" s="624"/>
      <c r="Y203" s="624"/>
      <c r="Z203" s="624"/>
      <c r="AB203" s="624"/>
      <c r="AM203" s="624"/>
      <c r="AN203" s="624"/>
      <c r="AO203" s="624"/>
      <c r="AP203" s="624"/>
      <c r="AQ203" s="624"/>
      <c r="AR203" s="624"/>
      <c r="AS203" s="624"/>
      <c r="AT203" s="624"/>
      <c r="AU203" s="620"/>
      <c r="AV203" s="620"/>
      <c r="AW203" s="673"/>
      <c r="AX203" s="673"/>
      <c r="AY203" s="673"/>
      <c r="AZ203" s="674"/>
      <c r="BA203" s="674"/>
      <c r="BB203" s="665"/>
      <c r="BC203" s="665"/>
      <c r="BD203" s="665"/>
      <c r="BE203" s="665"/>
      <c r="BF203" s="665"/>
      <c r="BG203" s="665"/>
    </row>
    <row r="204" spans="1:59" ht="12" customHeight="1" x14ac:dyDescent="0.2">
      <c r="A204" s="624"/>
      <c r="B204" s="624"/>
      <c r="C204" s="624"/>
      <c r="D204" s="624"/>
      <c r="E204" s="624"/>
      <c r="F204" s="582"/>
      <c r="G204" s="624"/>
      <c r="H204" s="624"/>
      <c r="I204" s="624"/>
      <c r="J204" s="624"/>
      <c r="K204" s="624"/>
      <c r="L204" s="624"/>
      <c r="M204" s="672"/>
      <c r="N204" s="624"/>
      <c r="O204" s="624"/>
      <c r="P204" s="624"/>
      <c r="Q204" s="624"/>
      <c r="R204" s="624"/>
      <c r="T204" s="624"/>
      <c r="U204" s="624"/>
      <c r="V204" s="624"/>
      <c r="W204" s="624"/>
      <c r="X204" s="624"/>
      <c r="Y204" s="624"/>
      <c r="Z204" s="624"/>
      <c r="AB204" s="624"/>
      <c r="AM204" s="624"/>
      <c r="AN204" s="624"/>
      <c r="AO204" s="624"/>
      <c r="AP204" s="624"/>
      <c r="AQ204" s="624"/>
      <c r="AR204" s="624"/>
      <c r="AS204" s="624"/>
      <c r="AT204" s="624"/>
      <c r="AU204" s="620"/>
      <c r="AV204" s="620"/>
      <c r="AW204" s="673"/>
      <c r="AX204" s="673"/>
      <c r="AY204" s="673"/>
      <c r="AZ204" s="674"/>
      <c r="BA204" s="674"/>
      <c r="BB204" s="665"/>
      <c r="BC204" s="665"/>
      <c r="BD204" s="665"/>
      <c r="BE204" s="665"/>
      <c r="BF204" s="665"/>
      <c r="BG204" s="665"/>
    </row>
    <row r="205" spans="1:59" ht="12" customHeight="1" x14ac:dyDescent="0.2">
      <c r="A205" s="624"/>
      <c r="B205" s="624"/>
      <c r="C205" s="624"/>
      <c r="D205" s="624"/>
      <c r="E205" s="624"/>
      <c r="F205" s="582"/>
      <c r="G205" s="624"/>
      <c r="H205" s="624"/>
      <c r="I205" s="624"/>
      <c r="J205" s="624"/>
      <c r="K205" s="624"/>
      <c r="L205" s="624"/>
      <c r="M205" s="672"/>
      <c r="N205" s="624"/>
      <c r="O205" s="624"/>
      <c r="P205" s="624"/>
      <c r="Q205" s="624"/>
      <c r="R205" s="624"/>
      <c r="T205" s="624"/>
      <c r="U205" s="624"/>
      <c r="V205" s="624"/>
      <c r="W205" s="624"/>
      <c r="X205" s="624"/>
      <c r="Y205" s="624"/>
      <c r="Z205" s="624"/>
      <c r="AB205" s="624"/>
      <c r="AM205" s="624"/>
      <c r="AN205" s="624"/>
      <c r="AO205" s="624"/>
      <c r="AP205" s="624"/>
      <c r="AQ205" s="624"/>
      <c r="AR205" s="624"/>
      <c r="AS205" s="624"/>
      <c r="AT205" s="624"/>
      <c r="AU205" s="620"/>
      <c r="AV205" s="620"/>
      <c r="AW205" s="673"/>
      <c r="AX205" s="673"/>
      <c r="AY205" s="673"/>
      <c r="AZ205" s="674"/>
      <c r="BA205" s="674"/>
      <c r="BB205" s="665"/>
      <c r="BC205" s="665"/>
      <c r="BD205" s="665"/>
      <c r="BE205" s="665"/>
      <c r="BF205" s="665"/>
      <c r="BG205" s="665"/>
    </row>
    <row r="206" spans="1:59" ht="12" customHeight="1" x14ac:dyDescent="0.2">
      <c r="A206" s="624"/>
      <c r="B206" s="624"/>
      <c r="C206" s="624"/>
      <c r="D206" s="624"/>
      <c r="E206" s="624"/>
      <c r="F206" s="582"/>
      <c r="G206" s="624"/>
      <c r="H206" s="624"/>
      <c r="I206" s="624"/>
      <c r="J206" s="624"/>
      <c r="K206" s="624"/>
      <c r="L206" s="624"/>
      <c r="M206" s="672"/>
      <c r="N206" s="624"/>
      <c r="O206" s="624"/>
      <c r="P206" s="624"/>
      <c r="Q206" s="624"/>
      <c r="R206" s="624"/>
      <c r="T206" s="624"/>
      <c r="U206" s="624"/>
      <c r="V206" s="624"/>
      <c r="W206" s="624"/>
      <c r="X206" s="624"/>
      <c r="Y206" s="624"/>
      <c r="Z206" s="624"/>
      <c r="AB206" s="624"/>
      <c r="AM206" s="624"/>
      <c r="AN206" s="624"/>
      <c r="AO206" s="624"/>
      <c r="AP206" s="624"/>
      <c r="AQ206" s="624"/>
      <c r="AR206" s="624"/>
      <c r="AS206" s="624"/>
      <c r="AT206" s="624"/>
      <c r="AU206" s="620"/>
      <c r="AV206" s="620"/>
      <c r="AW206" s="673"/>
      <c r="AX206" s="673"/>
      <c r="AY206" s="673"/>
      <c r="AZ206" s="674"/>
      <c r="BA206" s="674"/>
      <c r="BB206" s="665"/>
      <c r="BC206" s="665"/>
      <c r="BD206" s="665"/>
      <c r="BE206" s="665"/>
      <c r="BF206" s="665"/>
      <c r="BG206" s="665"/>
    </row>
    <row r="207" spans="1:59" ht="12" customHeight="1" x14ac:dyDescent="0.2">
      <c r="A207" s="624"/>
      <c r="B207" s="624"/>
      <c r="C207" s="624"/>
      <c r="D207" s="624"/>
      <c r="E207" s="624"/>
      <c r="F207" s="582"/>
      <c r="G207" s="624"/>
      <c r="H207" s="624"/>
      <c r="I207" s="624"/>
      <c r="J207" s="624"/>
      <c r="K207" s="624"/>
      <c r="L207" s="624"/>
      <c r="M207" s="672"/>
      <c r="N207" s="624"/>
      <c r="O207" s="624"/>
      <c r="P207" s="624"/>
      <c r="Q207" s="624"/>
      <c r="R207" s="624"/>
      <c r="T207" s="624"/>
      <c r="U207" s="624"/>
      <c r="V207" s="624"/>
      <c r="W207" s="624"/>
      <c r="X207" s="624"/>
      <c r="Y207" s="624"/>
      <c r="Z207" s="624"/>
      <c r="AB207" s="624"/>
      <c r="AM207" s="624"/>
      <c r="AN207" s="624"/>
      <c r="AO207" s="624"/>
      <c r="AP207" s="624"/>
      <c r="AQ207" s="624"/>
      <c r="AR207" s="624"/>
      <c r="AS207" s="624"/>
      <c r="AT207" s="624"/>
      <c r="AU207" s="620"/>
      <c r="AV207" s="620"/>
      <c r="AW207" s="673"/>
      <c r="AX207" s="673"/>
      <c r="AY207" s="673"/>
      <c r="AZ207" s="674"/>
      <c r="BA207" s="674"/>
      <c r="BB207" s="665"/>
      <c r="BC207" s="665"/>
      <c r="BD207" s="665"/>
      <c r="BE207" s="665"/>
      <c r="BF207" s="665"/>
      <c r="BG207" s="665"/>
    </row>
    <row r="208" spans="1:59" ht="12" customHeight="1" x14ac:dyDescent="0.2">
      <c r="A208" s="624"/>
      <c r="B208" s="624"/>
      <c r="C208" s="624"/>
      <c r="D208" s="624"/>
      <c r="E208" s="624"/>
      <c r="F208" s="582"/>
      <c r="G208" s="624"/>
      <c r="H208" s="624"/>
      <c r="I208" s="624"/>
      <c r="J208" s="624"/>
      <c r="K208" s="624"/>
      <c r="L208" s="624"/>
      <c r="M208" s="672"/>
      <c r="N208" s="624"/>
      <c r="O208" s="624"/>
      <c r="P208" s="624"/>
      <c r="Q208" s="624"/>
      <c r="R208" s="624"/>
      <c r="T208" s="624"/>
      <c r="U208" s="624"/>
      <c r="V208" s="624"/>
      <c r="W208" s="624"/>
      <c r="X208" s="624"/>
      <c r="Y208" s="624"/>
      <c r="Z208" s="624"/>
      <c r="AB208" s="624"/>
      <c r="AM208" s="624"/>
      <c r="AN208" s="624"/>
      <c r="AO208" s="624"/>
      <c r="AP208" s="624"/>
      <c r="AQ208" s="624"/>
      <c r="AR208" s="624"/>
      <c r="AS208" s="624"/>
      <c r="AT208" s="624"/>
      <c r="AU208" s="620"/>
      <c r="AV208" s="620"/>
      <c r="AW208" s="673"/>
      <c r="AX208" s="673"/>
      <c r="AY208" s="673"/>
      <c r="AZ208" s="674"/>
      <c r="BA208" s="674"/>
      <c r="BB208" s="665"/>
      <c r="BC208" s="665"/>
      <c r="BD208" s="665"/>
      <c r="BE208" s="665"/>
      <c r="BF208" s="665"/>
      <c r="BG208" s="665"/>
    </row>
    <row r="209" spans="1:59" ht="12" customHeight="1" x14ac:dyDescent="0.2">
      <c r="A209" s="624"/>
      <c r="B209" s="624"/>
      <c r="C209" s="624"/>
      <c r="D209" s="624"/>
      <c r="E209" s="624"/>
      <c r="F209" s="582"/>
      <c r="G209" s="624"/>
      <c r="H209" s="624"/>
      <c r="I209" s="624"/>
      <c r="J209" s="624"/>
      <c r="K209" s="624"/>
      <c r="L209" s="624"/>
      <c r="M209" s="672"/>
      <c r="N209" s="624"/>
      <c r="O209" s="624"/>
      <c r="P209" s="624"/>
      <c r="Q209" s="624"/>
      <c r="R209" s="624"/>
      <c r="T209" s="624"/>
      <c r="U209" s="624"/>
      <c r="V209" s="624"/>
      <c r="W209" s="624"/>
      <c r="X209" s="624"/>
      <c r="Y209" s="624"/>
      <c r="Z209" s="624"/>
      <c r="AB209" s="624"/>
      <c r="AM209" s="624"/>
      <c r="AN209" s="624"/>
      <c r="AO209" s="624"/>
      <c r="AP209" s="624"/>
      <c r="AQ209" s="624"/>
      <c r="AR209" s="624"/>
      <c r="AS209" s="624"/>
      <c r="AT209" s="624"/>
      <c r="AU209" s="620"/>
      <c r="AV209" s="620"/>
      <c r="AW209" s="673"/>
      <c r="AX209" s="673"/>
      <c r="AY209" s="673"/>
      <c r="AZ209" s="674"/>
      <c r="BA209" s="674"/>
      <c r="BB209" s="665"/>
      <c r="BC209" s="665"/>
      <c r="BD209" s="665"/>
      <c r="BE209" s="665"/>
      <c r="BF209" s="665"/>
      <c r="BG209" s="665"/>
    </row>
    <row r="210" spans="1:59" ht="12" customHeight="1" x14ac:dyDescent="0.2">
      <c r="A210" s="624"/>
      <c r="B210" s="624"/>
      <c r="C210" s="624"/>
      <c r="D210" s="624"/>
      <c r="E210" s="624"/>
      <c r="F210" s="582"/>
      <c r="G210" s="624"/>
      <c r="H210" s="624"/>
      <c r="I210" s="624"/>
      <c r="J210" s="624"/>
      <c r="K210" s="624"/>
      <c r="L210" s="624"/>
      <c r="M210" s="672"/>
      <c r="N210" s="624"/>
      <c r="O210" s="624"/>
      <c r="P210" s="624"/>
      <c r="Q210" s="624"/>
      <c r="R210" s="624"/>
      <c r="T210" s="624"/>
      <c r="U210" s="624"/>
      <c r="V210" s="624"/>
      <c r="W210" s="624"/>
      <c r="X210" s="624"/>
      <c r="Y210" s="624"/>
      <c r="Z210" s="624"/>
      <c r="AB210" s="624"/>
      <c r="AM210" s="624"/>
      <c r="AN210" s="624"/>
      <c r="AO210" s="624"/>
      <c r="AP210" s="624"/>
      <c r="AQ210" s="624"/>
      <c r="AR210" s="624"/>
      <c r="AS210" s="624"/>
      <c r="AT210" s="624"/>
      <c r="AU210" s="620"/>
      <c r="AV210" s="620"/>
      <c r="AW210" s="673"/>
      <c r="AX210" s="673"/>
      <c r="AY210" s="673"/>
      <c r="AZ210" s="674"/>
      <c r="BA210" s="674"/>
      <c r="BB210" s="665"/>
      <c r="BC210" s="665"/>
      <c r="BD210" s="665"/>
      <c r="BE210" s="665"/>
      <c r="BF210" s="665"/>
      <c r="BG210" s="665"/>
    </row>
    <row r="211" spans="1:59" ht="12" customHeight="1" x14ac:dyDescent="0.2">
      <c r="A211" s="624"/>
      <c r="B211" s="624"/>
      <c r="C211" s="624"/>
      <c r="D211" s="624"/>
      <c r="E211" s="624"/>
      <c r="F211" s="582"/>
      <c r="G211" s="624"/>
      <c r="H211" s="624"/>
      <c r="I211" s="624"/>
      <c r="J211" s="624"/>
      <c r="K211" s="624"/>
      <c r="L211" s="624"/>
      <c r="M211" s="672"/>
      <c r="N211" s="624"/>
      <c r="O211" s="624"/>
      <c r="P211" s="624"/>
      <c r="Q211" s="624"/>
      <c r="R211" s="624"/>
      <c r="T211" s="624"/>
      <c r="U211" s="624"/>
      <c r="V211" s="624"/>
      <c r="W211" s="624"/>
      <c r="X211" s="624"/>
      <c r="Y211" s="624"/>
      <c r="Z211" s="624"/>
      <c r="AB211" s="624"/>
      <c r="AM211" s="624"/>
      <c r="AN211" s="624"/>
      <c r="AO211" s="624"/>
      <c r="AP211" s="624"/>
      <c r="AQ211" s="624"/>
      <c r="AR211" s="624"/>
      <c r="AS211" s="624"/>
      <c r="AT211" s="624"/>
      <c r="AU211" s="620"/>
      <c r="AV211" s="620"/>
      <c r="AW211" s="673"/>
      <c r="AX211" s="673"/>
      <c r="AY211" s="673"/>
      <c r="AZ211" s="674"/>
      <c r="BA211" s="674"/>
      <c r="BB211" s="665"/>
      <c r="BC211" s="665"/>
      <c r="BD211" s="665"/>
      <c r="BE211" s="665"/>
      <c r="BF211" s="665"/>
      <c r="BG211" s="665"/>
    </row>
    <row r="212" spans="1:59" ht="12" customHeight="1" x14ac:dyDescent="0.2">
      <c r="A212" s="624"/>
      <c r="B212" s="624"/>
      <c r="C212" s="624"/>
      <c r="D212" s="624"/>
      <c r="E212" s="624"/>
      <c r="F212" s="582"/>
      <c r="G212" s="624"/>
      <c r="H212" s="624"/>
      <c r="I212" s="624"/>
      <c r="J212" s="624"/>
      <c r="K212" s="624"/>
      <c r="L212" s="624"/>
      <c r="M212" s="672"/>
      <c r="N212" s="624"/>
      <c r="O212" s="624"/>
      <c r="P212" s="624"/>
      <c r="Q212" s="624"/>
      <c r="R212" s="624"/>
      <c r="T212" s="624"/>
      <c r="U212" s="624"/>
      <c r="V212" s="624"/>
      <c r="W212" s="624"/>
      <c r="X212" s="624"/>
      <c r="Y212" s="624"/>
      <c r="Z212" s="624"/>
      <c r="AB212" s="624"/>
      <c r="AM212" s="624"/>
      <c r="AN212" s="624"/>
      <c r="AO212" s="624"/>
      <c r="AP212" s="624"/>
      <c r="AQ212" s="624"/>
      <c r="AR212" s="624"/>
      <c r="AS212" s="624"/>
      <c r="AT212" s="624"/>
      <c r="AU212" s="620"/>
      <c r="AV212" s="620"/>
      <c r="AW212" s="673"/>
      <c r="AX212" s="673"/>
      <c r="AY212" s="673"/>
      <c r="AZ212" s="674"/>
      <c r="BA212" s="674"/>
      <c r="BB212" s="665"/>
      <c r="BC212" s="665"/>
      <c r="BD212" s="665"/>
      <c r="BE212" s="665"/>
      <c r="BF212" s="665"/>
      <c r="BG212" s="665"/>
    </row>
    <row r="213" spans="1:59" ht="12" customHeight="1" x14ac:dyDescent="0.2">
      <c r="A213" s="624"/>
      <c r="B213" s="624"/>
      <c r="C213" s="624"/>
      <c r="D213" s="624"/>
      <c r="E213" s="624"/>
      <c r="F213" s="582"/>
      <c r="G213" s="624"/>
      <c r="H213" s="624"/>
      <c r="I213" s="624"/>
      <c r="J213" s="624"/>
      <c r="K213" s="624"/>
      <c r="L213" s="624"/>
      <c r="M213" s="672"/>
      <c r="N213" s="624"/>
      <c r="O213" s="624"/>
      <c r="P213" s="624"/>
      <c r="Q213" s="624"/>
      <c r="R213" s="624"/>
      <c r="T213" s="624"/>
      <c r="U213" s="624"/>
      <c r="V213" s="624"/>
      <c r="W213" s="624"/>
      <c r="X213" s="624"/>
      <c r="Y213" s="624"/>
      <c r="Z213" s="624"/>
      <c r="AB213" s="624"/>
      <c r="AM213" s="624"/>
      <c r="AN213" s="624"/>
      <c r="AO213" s="624"/>
      <c r="AP213" s="624"/>
      <c r="AQ213" s="624"/>
      <c r="AR213" s="624"/>
      <c r="AS213" s="624"/>
      <c r="AT213" s="624"/>
      <c r="AU213" s="620"/>
      <c r="AV213" s="620"/>
      <c r="AW213" s="673"/>
      <c r="AX213" s="673"/>
      <c r="AY213" s="673"/>
      <c r="AZ213" s="674"/>
      <c r="BA213" s="674"/>
      <c r="BB213" s="665"/>
      <c r="BC213" s="665"/>
      <c r="BD213" s="665"/>
      <c r="BE213" s="665"/>
      <c r="BF213" s="665"/>
      <c r="BG213" s="665"/>
    </row>
    <row r="214" spans="1:59" ht="12" customHeight="1" x14ac:dyDescent="0.2">
      <c r="A214" s="624"/>
      <c r="B214" s="624"/>
      <c r="C214" s="624"/>
      <c r="D214" s="624"/>
      <c r="E214" s="624"/>
      <c r="F214" s="582"/>
      <c r="G214" s="624"/>
      <c r="H214" s="624"/>
      <c r="I214" s="624"/>
      <c r="J214" s="624"/>
      <c r="K214" s="624"/>
      <c r="L214" s="624"/>
      <c r="M214" s="672"/>
      <c r="N214" s="624"/>
      <c r="O214" s="624"/>
      <c r="P214" s="624"/>
      <c r="Q214" s="624"/>
      <c r="R214" s="624"/>
      <c r="T214" s="624"/>
      <c r="U214" s="624"/>
      <c r="V214" s="624"/>
      <c r="W214" s="624"/>
      <c r="X214" s="624"/>
      <c r="Y214" s="624"/>
      <c r="Z214" s="624"/>
      <c r="AB214" s="624"/>
      <c r="AM214" s="624"/>
      <c r="AN214" s="624"/>
      <c r="AO214" s="624"/>
      <c r="AP214" s="624"/>
      <c r="AQ214" s="624"/>
      <c r="AR214" s="624"/>
      <c r="AS214" s="624"/>
      <c r="AT214" s="624"/>
      <c r="AU214" s="620"/>
      <c r="AV214" s="620"/>
      <c r="AW214" s="673"/>
      <c r="AX214" s="673"/>
      <c r="AY214" s="673"/>
      <c r="AZ214" s="674"/>
      <c r="BA214" s="674"/>
      <c r="BB214" s="665"/>
      <c r="BC214" s="665"/>
      <c r="BD214" s="665"/>
      <c r="BE214" s="665"/>
      <c r="BF214" s="665"/>
      <c r="BG214" s="665"/>
    </row>
    <row r="215" spans="1:59" ht="12" customHeight="1" x14ac:dyDescent="0.2">
      <c r="A215" s="624"/>
      <c r="B215" s="624"/>
      <c r="C215" s="624"/>
      <c r="D215" s="624"/>
      <c r="E215" s="624"/>
      <c r="F215" s="582"/>
      <c r="G215" s="624"/>
      <c r="H215" s="624"/>
      <c r="I215" s="624"/>
      <c r="J215" s="624"/>
      <c r="K215" s="624"/>
      <c r="L215" s="624"/>
      <c r="M215" s="672"/>
      <c r="N215" s="624"/>
      <c r="O215" s="624"/>
      <c r="P215" s="624"/>
      <c r="Q215" s="624"/>
      <c r="R215" s="624"/>
      <c r="T215" s="624"/>
      <c r="U215" s="624"/>
      <c r="V215" s="624"/>
      <c r="W215" s="624"/>
      <c r="X215" s="624"/>
      <c r="Y215" s="624"/>
      <c r="Z215" s="624"/>
      <c r="AB215" s="624"/>
      <c r="AM215" s="624"/>
      <c r="AN215" s="624"/>
      <c r="AO215" s="624"/>
      <c r="AP215" s="624"/>
      <c r="AQ215" s="624"/>
      <c r="AR215" s="624"/>
      <c r="AS215" s="624"/>
      <c r="AT215" s="624"/>
      <c r="AU215" s="620"/>
      <c r="AV215" s="620"/>
      <c r="AW215" s="673"/>
      <c r="AX215" s="673"/>
      <c r="AY215" s="673"/>
      <c r="AZ215" s="674"/>
      <c r="BA215" s="674"/>
      <c r="BB215" s="665"/>
      <c r="BC215" s="665"/>
      <c r="BD215" s="665"/>
      <c r="BE215" s="665"/>
      <c r="BF215" s="665"/>
      <c r="BG215" s="665"/>
    </row>
    <row r="216" spans="1:59" ht="12" customHeight="1" x14ac:dyDescent="0.2">
      <c r="A216" s="624"/>
      <c r="B216" s="624"/>
      <c r="C216" s="624"/>
      <c r="D216" s="624"/>
      <c r="E216" s="624"/>
      <c r="F216" s="582"/>
      <c r="G216" s="624"/>
      <c r="H216" s="624"/>
      <c r="I216" s="624"/>
      <c r="J216" s="624"/>
      <c r="K216" s="624"/>
      <c r="L216" s="624"/>
      <c r="M216" s="672"/>
      <c r="N216" s="624"/>
      <c r="O216" s="624"/>
      <c r="P216" s="624"/>
      <c r="Q216" s="624"/>
      <c r="R216" s="624"/>
      <c r="T216" s="624"/>
      <c r="U216" s="624"/>
      <c r="V216" s="624"/>
      <c r="W216" s="624"/>
      <c r="X216" s="624"/>
      <c r="Y216" s="624"/>
      <c r="Z216" s="624"/>
      <c r="AB216" s="624"/>
      <c r="AM216" s="624"/>
      <c r="AN216" s="624"/>
      <c r="AO216" s="624"/>
      <c r="AP216" s="624"/>
      <c r="AQ216" s="624"/>
      <c r="AR216" s="624"/>
      <c r="AS216" s="624"/>
      <c r="AT216" s="624"/>
      <c r="AU216" s="620"/>
      <c r="AV216" s="620"/>
      <c r="AW216" s="673"/>
      <c r="AX216" s="673"/>
      <c r="AY216" s="673"/>
      <c r="AZ216" s="674"/>
      <c r="BA216" s="674"/>
      <c r="BB216" s="665"/>
      <c r="BC216" s="665"/>
      <c r="BD216" s="665"/>
      <c r="BE216" s="665"/>
      <c r="BF216" s="665"/>
      <c r="BG216" s="665"/>
    </row>
    <row r="217" spans="1:59" ht="12" customHeight="1" x14ac:dyDescent="0.2">
      <c r="A217" s="624"/>
      <c r="B217" s="624"/>
      <c r="C217" s="624"/>
      <c r="D217" s="624"/>
      <c r="E217" s="624"/>
      <c r="F217" s="582"/>
      <c r="G217" s="624"/>
      <c r="H217" s="624"/>
      <c r="I217" s="624"/>
      <c r="J217" s="624"/>
      <c r="K217" s="624"/>
      <c r="L217" s="624"/>
      <c r="M217" s="672"/>
      <c r="N217" s="624"/>
      <c r="O217" s="624"/>
      <c r="P217" s="624"/>
      <c r="Q217" s="624"/>
      <c r="R217" s="624"/>
      <c r="T217" s="624"/>
      <c r="U217" s="624"/>
      <c r="V217" s="624"/>
      <c r="W217" s="624"/>
      <c r="X217" s="624"/>
      <c r="Y217" s="624"/>
      <c r="Z217" s="624"/>
      <c r="AB217" s="624"/>
      <c r="AM217" s="624"/>
      <c r="AN217" s="624"/>
      <c r="AO217" s="624"/>
      <c r="AP217" s="624"/>
      <c r="AQ217" s="624"/>
      <c r="AR217" s="624"/>
      <c r="AS217" s="624"/>
      <c r="AT217" s="624"/>
      <c r="AU217" s="620"/>
      <c r="AV217" s="620"/>
      <c r="AW217" s="673"/>
      <c r="AX217" s="673"/>
      <c r="AY217" s="673"/>
      <c r="AZ217" s="674"/>
      <c r="BA217" s="674"/>
      <c r="BB217" s="665"/>
      <c r="BC217" s="665"/>
      <c r="BD217" s="665"/>
      <c r="BE217" s="665"/>
      <c r="BF217" s="665"/>
      <c r="BG217" s="665"/>
    </row>
    <row r="218" spans="1:59" ht="12" customHeight="1" x14ac:dyDescent="0.2">
      <c r="A218" s="624"/>
      <c r="B218" s="624"/>
      <c r="C218" s="624"/>
      <c r="D218" s="624"/>
      <c r="E218" s="624"/>
      <c r="F218" s="582"/>
      <c r="G218" s="624"/>
      <c r="H218" s="624"/>
      <c r="I218" s="624"/>
      <c r="J218" s="624"/>
      <c r="K218" s="624"/>
      <c r="L218" s="624"/>
      <c r="M218" s="672"/>
      <c r="N218" s="624"/>
      <c r="O218" s="624"/>
      <c r="P218" s="624"/>
      <c r="Q218" s="624"/>
      <c r="R218" s="624"/>
      <c r="T218" s="624"/>
      <c r="U218" s="624"/>
      <c r="V218" s="624"/>
      <c r="W218" s="624"/>
      <c r="X218" s="624"/>
      <c r="Y218" s="624"/>
      <c r="Z218" s="624"/>
      <c r="AB218" s="624"/>
      <c r="AM218" s="624"/>
      <c r="AN218" s="624"/>
      <c r="AO218" s="624"/>
      <c r="AP218" s="624"/>
      <c r="AQ218" s="624"/>
      <c r="AR218" s="624"/>
      <c r="AS218" s="624"/>
      <c r="AT218" s="624"/>
      <c r="AU218" s="620"/>
      <c r="AV218" s="620"/>
      <c r="AW218" s="673"/>
      <c r="AX218" s="673"/>
      <c r="AY218" s="673"/>
      <c r="AZ218" s="674"/>
      <c r="BA218" s="674"/>
      <c r="BB218" s="665"/>
      <c r="BC218" s="665"/>
      <c r="BD218" s="665"/>
      <c r="BE218" s="665"/>
      <c r="BF218" s="665"/>
      <c r="BG218" s="665"/>
    </row>
    <row r="219" spans="1:59" ht="12" customHeight="1" x14ac:dyDescent="0.2">
      <c r="A219" s="624"/>
      <c r="B219" s="624"/>
      <c r="C219" s="624"/>
      <c r="D219" s="624"/>
      <c r="E219" s="624"/>
      <c r="F219" s="582"/>
      <c r="G219" s="624"/>
      <c r="H219" s="624"/>
      <c r="I219" s="624"/>
      <c r="J219" s="624"/>
      <c r="K219" s="624"/>
      <c r="L219" s="624"/>
      <c r="M219" s="672"/>
      <c r="N219" s="624"/>
      <c r="O219" s="624"/>
      <c r="P219" s="624"/>
      <c r="Q219" s="624"/>
      <c r="R219" s="624"/>
      <c r="T219" s="624"/>
      <c r="U219" s="624"/>
      <c r="V219" s="624"/>
      <c r="W219" s="624"/>
      <c r="X219" s="624"/>
      <c r="Y219" s="624"/>
      <c r="Z219" s="624"/>
      <c r="AB219" s="624"/>
      <c r="AM219" s="624"/>
      <c r="AN219" s="624"/>
      <c r="AO219" s="624"/>
      <c r="AP219" s="624"/>
      <c r="AQ219" s="624"/>
      <c r="AR219" s="624"/>
      <c r="AS219" s="624"/>
      <c r="AT219" s="624"/>
      <c r="AU219" s="620"/>
      <c r="AV219" s="620"/>
      <c r="AW219" s="673"/>
      <c r="AX219" s="673"/>
      <c r="AY219" s="673"/>
      <c r="AZ219" s="674"/>
      <c r="BA219" s="674"/>
      <c r="BB219" s="665"/>
      <c r="BC219" s="665"/>
      <c r="BD219" s="665"/>
      <c r="BE219" s="665"/>
      <c r="BF219" s="665"/>
      <c r="BG219" s="665"/>
    </row>
    <row r="220" spans="1:59" ht="12" customHeight="1" x14ac:dyDescent="0.2">
      <c r="A220" s="624"/>
      <c r="B220" s="624"/>
      <c r="C220" s="624"/>
      <c r="D220" s="624"/>
      <c r="E220" s="624"/>
      <c r="F220" s="582"/>
      <c r="G220" s="624"/>
      <c r="H220" s="624"/>
      <c r="I220" s="624"/>
      <c r="J220" s="624"/>
      <c r="K220" s="624"/>
      <c r="L220" s="624"/>
      <c r="M220" s="672"/>
      <c r="N220" s="624"/>
      <c r="O220" s="624"/>
      <c r="P220" s="624"/>
      <c r="Q220" s="624"/>
      <c r="R220" s="624"/>
      <c r="T220" s="624"/>
      <c r="U220" s="624"/>
      <c r="V220" s="624"/>
      <c r="W220" s="624"/>
      <c r="X220" s="624"/>
      <c r="Y220" s="624"/>
      <c r="Z220" s="624"/>
      <c r="AB220" s="624"/>
      <c r="AM220" s="624"/>
      <c r="AN220" s="624"/>
      <c r="AO220" s="624"/>
      <c r="AP220" s="624"/>
      <c r="AQ220" s="624"/>
      <c r="AR220" s="624"/>
      <c r="AS220" s="624"/>
      <c r="AT220" s="624"/>
      <c r="AU220" s="620"/>
      <c r="AV220" s="620"/>
      <c r="AW220" s="673"/>
      <c r="AX220" s="673"/>
      <c r="AY220" s="673"/>
      <c r="AZ220" s="674"/>
      <c r="BA220" s="674"/>
      <c r="BB220" s="665"/>
      <c r="BC220" s="665"/>
      <c r="BD220" s="665"/>
      <c r="BE220" s="665"/>
      <c r="BF220" s="665"/>
      <c r="BG220" s="665"/>
    </row>
    <row r="221" spans="1:59" ht="12" customHeight="1" x14ac:dyDescent="0.2">
      <c r="A221" s="624"/>
      <c r="B221" s="624"/>
      <c r="C221" s="624"/>
      <c r="D221" s="624"/>
      <c r="E221" s="624"/>
      <c r="F221" s="582"/>
      <c r="G221" s="624"/>
      <c r="H221" s="624"/>
      <c r="I221" s="624"/>
      <c r="J221" s="624"/>
      <c r="K221" s="624"/>
      <c r="L221" s="624"/>
      <c r="M221" s="672"/>
      <c r="N221" s="624"/>
      <c r="O221" s="624"/>
      <c r="P221" s="624"/>
      <c r="Q221" s="624"/>
      <c r="R221" s="624"/>
      <c r="T221" s="624"/>
      <c r="U221" s="624"/>
      <c r="V221" s="624"/>
      <c r="W221" s="624"/>
      <c r="X221" s="624"/>
      <c r="Y221" s="624"/>
      <c r="Z221" s="624"/>
      <c r="AB221" s="624"/>
      <c r="AM221" s="624"/>
      <c r="AN221" s="624"/>
      <c r="AO221" s="624"/>
      <c r="AP221" s="624"/>
      <c r="AQ221" s="624"/>
      <c r="AR221" s="624"/>
      <c r="AS221" s="624"/>
      <c r="AT221" s="624"/>
      <c r="AU221" s="620"/>
      <c r="AV221" s="620"/>
      <c r="AW221" s="673"/>
      <c r="AX221" s="673"/>
      <c r="AY221" s="673"/>
      <c r="AZ221" s="674"/>
      <c r="BA221" s="674"/>
      <c r="BB221" s="665"/>
      <c r="BC221" s="665"/>
      <c r="BD221" s="665"/>
      <c r="BE221" s="665"/>
      <c r="BF221" s="665"/>
      <c r="BG221" s="665"/>
    </row>
    <row r="222" spans="1:59" ht="12" customHeight="1" x14ac:dyDescent="0.2">
      <c r="A222" s="624"/>
      <c r="B222" s="624"/>
      <c r="C222" s="624"/>
      <c r="D222" s="624"/>
      <c r="E222" s="624"/>
      <c r="F222" s="582"/>
      <c r="G222" s="624"/>
      <c r="H222" s="624"/>
      <c r="I222" s="624"/>
      <c r="J222" s="624"/>
      <c r="K222" s="624"/>
      <c r="L222" s="624"/>
      <c r="M222" s="672"/>
      <c r="N222" s="624"/>
      <c r="O222" s="624"/>
      <c r="P222" s="624"/>
      <c r="Q222" s="624"/>
      <c r="R222" s="624"/>
      <c r="T222" s="624"/>
      <c r="U222" s="624"/>
      <c r="V222" s="624"/>
      <c r="W222" s="624"/>
      <c r="X222" s="624"/>
      <c r="Y222" s="624"/>
      <c r="Z222" s="624"/>
      <c r="AB222" s="624"/>
      <c r="AM222" s="624"/>
      <c r="AN222" s="624"/>
      <c r="AO222" s="624"/>
      <c r="AP222" s="624"/>
      <c r="AQ222" s="624"/>
      <c r="AR222" s="624"/>
      <c r="AS222" s="624"/>
      <c r="AT222" s="624"/>
      <c r="AU222" s="620"/>
      <c r="AV222" s="620"/>
      <c r="AW222" s="673"/>
      <c r="AX222" s="673"/>
      <c r="AY222" s="673"/>
      <c r="AZ222" s="674"/>
      <c r="BA222" s="674"/>
      <c r="BB222" s="665"/>
      <c r="BC222" s="665"/>
      <c r="BD222" s="665"/>
      <c r="BE222" s="665"/>
      <c r="BF222" s="665"/>
      <c r="BG222" s="665"/>
    </row>
    <row r="223" spans="1:59" ht="12" customHeight="1" x14ac:dyDescent="0.2">
      <c r="A223" s="624"/>
      <c r="B223" s="624"/>
      <c r="C223" s="624"/>
      <c r="D223" s="624"/>
      <c r="E223" s="624"/>
      <c r="F223" s="582"/>
      <c r="G223" s="624"/>
      <c r="H223" s="624"/>
      <c r="I223" s="624"/>
      <c r="J223" s="624"/>
      <c r="K223" s="624"/>
      <c r="L223" s="624"/>
      <c r="M223" s="672"/>
      <c r="N223" s="624"/>
      <c r="O223" s="624"/>
      <c r="P223" s="624"/>
      <c r="Q223" s="624"/>
      <c r="R223" s="624"/>
      <c r="T223" s="624"/>
      <c r="U223" s="624"/>
      <c r="V223" s="624"/>
      <c r="W223" s="624"/>
      <c r="X223" s="624"/>
      <c r="Y223" s="624"/>
      <c r="Z223" s="624"/>
      <c r="AB223" s="624"/>
      <c r="AM223" s="624"/>
      <c r="AN223" s="624"/>
      <c r="AO223" s="624"/>
      <c r="AP223" s="624"/>
      <c r="AQ223" s="624"/>
      <c r="AR223" s="624"/>
      <c r="AS223" s="624"/>
      <c r="AT223" s="624"/>
      <c r="AU223" s="620"/>
      <c r="AV223" s="620"/>
      <c r="AW223" s="673"/>
      <c r="AX223" s="673"/>
      <c r="AY223" s="673"/>
      <c r="AZ223" s="674"/>
      <c r="BA223" s="674"/>
      <c r="BB223" s="665"/>
      <c r="BC223" s="665"/>
      <c r="BD223" s="665"/>
      <c r="BE223" s="665"/>
      <c r="BF223" s="665"/>
      <c r="BG223" s="665"/>
    </row>
    <row r="224" spans="1:59" ht="12" customHeight="1" x14ac:dyDescent="0.2">
      <c r="A224" s="624"/>
      <c r="B224" s="624"/>
      <c r="C224" s="624"/>
      <c r="D224" s="624"/>
      <c r="E224" s="624"/>
      <c r="F224" s="582"/>
      <c r="G224" s="624"/>
      <c r="H224" s="624"/>
      <c r="I224" s="624"/>
      <c r="J224" s="624"/>
      <c r="K224" s="624"/>
      <c r="L224" s="624"/>
      <c r="M224" s="672"/>
      <c r="N224" s="624"/>
      <c r="O224" s="624"/>
      <c r="P224" s="624"/>
      <c r="Q224" s="624"/>
      <c r="R224" s="624"/>
      <c r="T224" s="624"/>
      <c r="U224" s="624"/>
      <c r="V224" s="624"/>
      <c r="W224" s="624"/>
      <c r="X224" s="624"/>
      <c r="Y224" s="624"/>
      <c r="Z224" s="624"/>
      <c r="AB224" s="624"/>
      <c r="AM224" s="624"/>
      <c r="AN224" s="624"/>
      <c r="AO224" s="624"/>
      <c r="AP224" s="624"/>
      <c r="AQ224" s="624"/>
      <c r="AR224" s="624"/>
      <c r="AS224" s="624"/>
      <c r="AT224" s="624"/>
      <c r="AU224" s="620"/>
      <c r="AV224" s="620"/>
      <c r="AW224" s="673"/>
      <c r="AX224" s="673"/>
      <c r="AY224" s="673"/>
      <c r="AZ224" s="674"/>
      <c r="BA224" s="674"/>
      <c r="BB224" s="665"/>
      <c r="BC224" s="665"/>
      <c r="BD224" s="665"/>
      <c r="BE224" s="665"/>
      <c r="BF224" s="665"/>
      <c r="BG224" s="665"/>
    </row>
    <row r="225" spans="1:59" ht="12" customHeight="1" x14ac:dyDescent="0.2">
      <c r="A225" s="624"/>
      <c r="B225" s="624"/>
      <c r="C225" s="624"/>
      <c r="D225" s="624"/>
      <c r="E225" s="624"/>
      <c r="F225" s="582"/>
      <c r="G225" s="624"/>
      <c r="H225" s="624"/>
      <c r="I225" s="624"/>
      <c r="J225" s="624"/>
      <c r="K225" s="624"/>
      <c r="L225" s="624"/>
      <c r="M225" s="672"/>
      <c r="N225" s="624"/>
      <c r="O225" s="624"/>
      <c r="P225" s="624"/>
      <c r="Q225" s="624"/>
      <c r="R225" s="624"/>
      <c r="T225" s="624"/>
      <c r="U225" s="624"/>
      <c r="V225" s="624"/>
      <c r="W225" s="624"/>
      <c r="X225" s="624"/>
      <c r="Y225" s="624"/>
      <c r="Z225" s="624"/>
      <c r="AB225" s="624"/>
      <c r="AM225" s="624"/>
      <c r="AN225" s="624"/>
      <c r="AO225" s="624"/>
      <c r="AP225" s="624"/>
      <c r="AQ225" s="624"/>
      <c r="AR225" s="624"/>
      <c r="AS225" s="624"/>
      <c r="AT225" s="624"/>
      <c r="AU225" s="620"/>
      <c r="AV225" s="620"/>
      <c r="AW225" s="673"/>
      <c r="AX225" s="673"/>
      <c r="AY225" s="673"/>
      <c r="AZ225" s="674"/>
      <c r="BA225" s="674"/>
      <c r="BB225" s="665"/>
      <c r="BC225" s="665"/>
      <c r="BD225" s="665"/>
      <c r="BE225" s="665"/>
      <c r="BF225" s="665"/>
      <c r="BG225" s="665"/>
    </row>
    <row r="226" spans="1:59" ht="12" customHeight="1" x14ac:dyDescent="0.2">
      <c r="A226" s="624"/>
      <c r="B226" s="624"/>
      <c r="C226" s="624"/>
      <c r="D226" s="624"/>
      <c r="E226" s="624"/>
      <c r="F226" s="582"/>
      <c r="G226" s="624"/>
      <c r="H226" s="624"/>
      <c r="I226" s="624"/>
      <c r="J226" s="624"/>
      <c r="K226" s="624"/>
      <c r="L226" s="624"/>
      <c r="M226" s="672"/>
      <c r="N226" s="624"/>
      <c r="O226" s="624"/>
      <c r="P226" s="624"/>
      <c r="Q226" s="624"/>
      <c r="R226" s="624"/>
      <c r="T226" s="624"/>
      <c r="U226" s="624"/>
      <c r="V226" s="624"/>
      <c r="W226" s="624"/>
      <c r="X226" s="624"/>
      <c r="Y226" s="624"/>
      <c r="Z226" s="624"/>
      <c r="AB226" s="624"/>
      <c r="AM226" s="624"/>
      <c r="AN226" s="624"/>
      <c r="AO226" s="624"/>
      <c r="AP226" s="624"/>
      <c r="AQ226" s="624"/>
      <c r="AR226" s="624"/>
      <c r="AS226" s="624"/>
      <c r="AT226" s="624"/>
      <c r="AU226" s="620"/>
      <c r="AV226" s="620"/>
      <c r="AW226" s="673"/>
      <c r="AX226" s="673"/>
      <c r="AY226" s="673"/>
      <c r="AZ226" s="674"/>
      <c r="BA226" s="674"/>
      <c r="BB226" s="665"/>
      <c r="BC226" s="665"/>
      <c r="BD226" s="665"/>
      <c r="BE226" s="665"/>
      <c r="BF226" s="665"/>
      <c r="BG226" s="665"/>
    </row>
    <row r="227" spans="1:59" ht="12" customHeight="1" x14ac:dyDescent="0.2">
      <c r="A227" s="624"/>
      <c r="B227" s="624"/>
      <c r="C227" s="624"/>
      <c r="D227" s="624"/>
      <c r="E227" s="624"/>
      <c r="F227" s="582"/>
      <c r="G227" s="624"/>
      <c r="H227" s="624"/>
      <c r="I227" s="624"/>
      <c r="J227" s="624"/>
      <c r="K227" s="624"/>
      <c r="L227" s="624"/>
      <c r="M227" s="672"/>
      <c r="N227" s="624"/>
      <c r="O227" s="624"/>
      <c r="P227" s="624"/>
      <c r="Q227" s="624"/>
      <c r="R227" s="624"/>
      <c r="T227" s="624"/>
      <c r="U227" s="624"/>
      <c r="V227" s="624"/>
      <c r="W227" s="624"/>
      <c r="X227" s="624"/>
      <c r="Y227" s="624"/>
      <c r="Z227" s="624"/>
      <c r="AB227" s="624"/>
      <c r="AM227" s="624"/>
      <c r="AN227" s="624"/>
      <c r="AO227" s="624"/>
      <c r="AP227" s="624"/>
      <c r="AQ227" s="624"/>
      <c r="AR227" s="624"/>
      <c r="AS227" s="624"/>
      <c r="AT227" s="624"/>
      <c r="AU227" s="620"/>
      <c r="AV227" s="620"/>
      <c r="AW227" s="673"/>
      <c r="AX227" s="673"/>
      <c r="AY227" s="673"/>
      <c r="AZ227" s="674"/>
      <c r="BA227" s="674"/>
      <c r="BB227" s="665"/>
      <c r="BC227" s="665"/>
      <c r="BD227" s="665"/>
      <c r="BE227" s="665"/>
      <c r="BF227" s="665"/>
      <c r="BG227" s="665"/>
    </row>
    <row r="228" spans="1:59" ht="12" customHeight="1" x14ac:dyDescent="0.2">
      <c r="A228" s="624"/>
      <c r="B228" s="624"/>
      <c r="C228" s="624"/>
      <c r="D228" s="624"/>
      <c r="E228" s="624"/>
      <c r="F228" s="582"/>
      <c r="G228" s="624"/>
      <c r="H228" s="624"/>
      <c r="I228" s="624"/>
      <c r="J228" s="624"/>
      <c r="K228" s="624"/>
      <c r="L228" s="624"/>
      <c r="M228" s="672"/>
      <c r="N228" s="624"/>
      <c r="O228" s="624"/>
      <c r="P228" s="624"/>
      <c r="Q228" s="624"/>
      <c r="R228" s="624"/>
      <c r="T228" s="624"/>
      <c r="U228" s="624"/>
      <c r="V228" s="624"/>
      <c r="W228" s="624"/>
      <c r="X228" s="624"/>
      <c r="Y228" s="624"/>
      <c r="Z228" s="624"/>
      <c r="AB228" s="624"/>
      <c r="AM228" s="624"/>
      <c r="AN228" s="624"/>
      <c r="AO228" s="624"/>
      <c r="AP228" s="624"/>
      <c r="AQ228" s="624"/>
      <c r="AR228" s="624"/>
      <c r="AS228" s="624"/>
      <c r="AT228" s="624"/>
      <c r="AU228" s="620"/>
      <c r="AV228" s="620"/>
      <c r="AW228" s="673"/>
      <c r="AX228" s="673"/>
      <c r="AY228" s="673"/>
      <c r="AZ228" s="674"/>
      <c r="BA228" s="674"/>
      <c r="BB228" s="665"/>
      <c r="BC228" s="665"/>
      <c r="BD228" s="665"/>
      <c r="BE228" s="665"/>
      <c r="BF228" s="665"/>
      <c r="BG228" s="665"/>
    </row>
    <row r="229" spans="1:59" ht="12" customHeight="1" x14ac:dyDescent="0.2">
      <c r="A229" s="624"/>
      <c r="B229" s="624"/>
      <c r="C229" s="624"/>
      <c r="D229" s="624"/>
      <c r="E229" s="624"/>
      <c r="F229" s="582"/>
      <c r="G229" s="624"/>
      <c r="H229" s="624"/>
      <c r="I229" s="624"/>
      <c r="J229" s="624"/>
      <c r="K229" s="624"/>
      <c r="L229" s="624"/>
      <c r="M229" s="672"/>
      <c r="N229" s="624"/>
      <c r="O229" s="624"/>
      <c r="P229" s="624"/>
      <c r="Q229" s="624"/>
      <c r="R229" s="624"/>
      <c r="T229" s="624"/>
      <c r="U229" s="624"/>
      <c r="V229" s="624"/>
      <c r="W229" s="624"/>
      <c r="X229" s="624"/>
      <c r="Y229" s="624"/>
      <c r="Z229" s="624"/>
      <c r="AB229" s="624"/>
      <c r="AM229" s="624"/>
      <c r="AN229" s="624"/>
      <c r="AO229" s="624"/>
      <c r="AP229" s="624"/>
      <c r="AQ229" s="624"/>
      <c r="AR229" s="624"/>
      <c r="AS229" s="624"/>
      <c r="AT229" s="624"/>
      <c r="AU229" s="620"/>
      <c r="AV229" s="620"/>
      <c r="AW229" s="673"/>
      <c r="AX229" s="673"/>
      <c r="AY229" s="673"/>
      <c r="AZ229" s="674"/>
      <c r="BA229" s="674"/>
      <c r="BB229" s="665"/>
      <c r="BC229" s="665"/>
      <c r="BD229" s="665"/>
      <c r="BE229" s="665"/>
      <c r="BF229" s="665"/>
      <c r="BG229" s="665"/>
    </row>
    <row r="230" spans="1:59" ht="12" customHeight="1" x14ac:dyDescent="0.2">
      <c r="A230" s="624"/>
      <c r="B230" s="624"/>
      <c r="C230" s="624"/>
      <c r="D230" s="624"/>
      <c r="E230" s="624"/>
      <c r="F230" s="582"/>
      <c r="G230" s="624"/>
      <c r="H230" s="624"/>
      <c r="I230" s="624"/>
      <c r="J230" s="624"/>
      <c r="K230" s="624"/>
      <c r="L230" s="624"/>
      <c r="M230" s="672"/>
      <c r="N230" s="624"/>
      <c r="O230" s="624"/>
      <c r="P230" s="624"/>
      <c r="Q230" s="624"/>
      <c r="R230" s="624"/>
      <c r="T230" s="624"/>
      <c r="U230" s="624"/>
      <c r="V230" s="624"/>
      <c r="W230" s="624"/>
      <c r="X230" s="624"/>
      <c r="Y230" s="624"/>
      <c r="Z230" s="624"/>
      <c r="AB230" s="624"/>
      <c r="AM230" s="624"/>
      <c r="AN230" s="624"/>
      <c r="AO230" s="624"/>
      <c r="AP230" s="624"/>
      <c r="AQ230" s="624"/>
      <c r="AR230" s="624"/>
      <c r="AS230" s="624"/>
      <c r="AT230" s="624"/>
      <c r="AU230" s="620"/>
      <c r="AV230" s="620"/>
      <c r="AW230" s="673"/>
      <c r="AX230" s="673"/>
      <c r="AY230" s="673"/>
      <c r="AZ230" s="674"/>
      <c r="BA230" s="674"/>
      <c r="BB230" s="665"/>
      <c r="BC230" s="665"/>
      <c r="BD230" s="665"/>
      <c r="BE230" s="665"/>
      <c r="BF230" s="665"/>
      <c r="BG230" s="665"/>
    </row>
    <row r="231" spans="1:59" ht="12" customHeight="1" x14ac:dyDescent="0.2">
      <c r="A231" s="624"/>
      <c r="B231" s="624"/>
      <c r="C231" s="624"/>
      <c r="D231" s="624"/>
      <c r="E231" s="624"/>
      <c r="F231" s="582"/>
      <c r="G231" s="624"/>
      <c r="H231" s="624"/>
      <c r="I231" s="624"/>
      <c r="J231" s="624"/>
      <c r="K231" s="624"/>
      <c r="L231" s="624"/>
      <c r="M231" s="672"/>
      <c r="N231" s="624"/>
      <c r="O231" s="624"/>
      <c r="P231" s="624"/>
      <c r="Q231" s="624"/>
      <c r="R231" s="624"/>
      <c r="T231" s="624"/>
      <c r="U231" s="624"/>
      <c r="V231" s="624"/>
      <c r="W231" s="624"/>
      <c r="X231" s="624"/>
      <c r="Y231" s="624"/>
      <c r="Z231" s="624"/>
      <c r="AB231" s="624"/>
      <c r="AM231" s="624"/>
      <c r="AN231" s="624"/>
      <c r="AO231" s="624"/>
      <c r="AP231" s="624"/>
      <c r="AQ231" s="624"/>
      <c r="AR231" s="624"/>
      <c r="AS231" s="624"/>
      <c r="AT231" s="624"/>
      <c r="AU231" s="620"/>
      <c r="AV231" s="620"/>
      <c r="AW231" s="673"/>
      <c r="AX231" s="673"/>
      <c r="AY231" s="673"/>
      <c r="AZ231" s="674"/>
      <c r="BA231" s="674"/>
      <c r="BB231" s="665"/>
      <c r="BC231" s="665"/>
      <c r="BD231" s="665"/>
      <c r="BE231" s="665"/>
      <c r="BF231" s="665"/>
      <c r="BG231" s="665"/>
    </row>
    <row r="232" spans="1:59" ht="12" customHeight="1" x14ac:dyDescent="0.2">
      <c r="A232" s="624"/>
      <c r="B232" s="624"/>
      <c r="C232" s="624"/>
      <c r="D232" s="624"/>
      <c r="E232" s="624"/>
      <c r="F232" s="582"/>
      <c r="G232" s="624"/>
      <c r="H232" s="624"/>
      <c r="I232" s="624"/>
      <c r="J232" s="624"/>
      <c r="K232" s="624"/>
      <c r="L232" s="624"/>
      <c r="M232" s="672"/>
      <c r="N232" s="624"/>
      <c r="O232" s="624"/>
      <c r="P232" s="624"/>
      <c r="Q232" s="624"/>
      <c r="R232" s="624"/>
      <c r="T232" s="624"/>
      <c r="U232" s="624"/>
      <c r="V232" s="624"/>
      <c r="W232" s="624"/>
      <c r="X232" s="624"/>
      <c r="Y232" s="624"/>
      <c r="Z232" s="624"/>
      <c r="AB232" s="624"/>
      <c r="AM232" s="624"/>
      <c r="AN232" s="624"/>
      <c r="AO232" s="624"/>
      <c r="AP232" s="624"/>
      <c r="AQ232" s="624"/>
      <c r="AR232" s="624"/>
      <c r="AS232" s="624"/>
      <c r="AT232" s="624"/>
      <c r="AU232" s="620"/>
      <c r="AV232" s="620"/>
      <c r="AW232" s="673"/>
      <c r="AX232" s="673"/>
      <c r="AY232" s="673"/>
      <c r="AZ232" s="674"/>
      <c r="BA232" s="674"/>
      <c r="BB232" s="665"/>
      <c r="BC232" s="665"/>
      <c r="BD232" s="665"/>
      <c r="BE232" s="665"/>
      <c r="BF232" s="665"/>
      <c r="BG232" s="665"/>
    </row>
    <row r="233" spans="1:59" ht="12" customHeight="1" x14ac:dyDescent="0.2">
      <c r="A233" s="624"/>
      <c r="B233" s="624"/>
      <c r="C233" s="624"/>
      <c r="D233" s="624"/>
      <c r="E233" s="624"/>
      <c r="F233" s="582"/>
      <c r="G233" s="624"/>
      <c r="H233" s="624"/>
      <c r="I233" s="624"/>
      <c r="J233" s="624"/>
      <c r="K233" s="624"/>
      <c r="L233" s="624"/>
      <c r="M233" s="672"/>
      <c r="N233" s="624"/>
      <c r="O233" s="624"/>
      <c r="P233" s="624"/>
      <c r="Q233" s="624"/>
      <c r="R233" s="624"/>
      <c r="T233" s="624"/>
      <c r="U233" s="624"/>
      <c r="V233" s="624"/>
      <c r="W233" s="624"/>
      <c r="X233" s="624"/>
      <c r="Y233" s="624"/>
      <c r="Z233" s="624"/>
      <c r="AB233" s="624"/>
      <c r="AM233" s="624"/>
      <c r="AN233" s="624"/>
      <c r="AO233" s="624"/>
      <c r="AP233" s="624"/>
      <c r="AQ233" s="624"/>
      <c r="AR233" s="624"/>
      <c r="AS233" s="624"/>
      <c r="AT233" s="624"/>
      <c r="AU233" s="620"/>
      <c r="AV233" s="620"/>
      <c r="AW233" s="673"/>
      <c r="AX233" s="673"/>
      <c r="AY233" s="673"/>
      <c r="AZ233" s="674"/>
      <c r="BA233" s="674"/>
      <c r="BB233" s="665"/>
      <c r="BC233" s="665"/>
      <c r="BD233" s="665"/>
      <c r="BE233" s="665"/>
      <c r="BF233" s="665"/>
      <c r="BG233" s="665"/>
    </row>
    <row r="234" spans="1:59" ht="12" customHeight="1" x14ac:dyDescent="0.2">
      <c r="A234" s="624"/>
      <c r="B234" s="624"/>
      <c r="C234" s="624"/>
      <c r="D234" s="624"/>
      <c r="E234" s="624"/>
      <c r="F234" s="582"/>
      <c r="G234" s="624"/>
      <c r="H234" s="624"/>
      <c r="I234" s="624"/>
      <c r="J234" s="624"/>
      <c r="K234" s="624"/>
      <c r="L234" s="624"/>
      <c r="M234" s="672"/>
      <c r="N234" s="624"/>
      <c r="O234" s="624"/>
      <c r="P234" s="624"/>
      <c r="Q234" s="624"/>
      <c r="R234" s="624"/>
      <c r="T234" s="624"/>
      <c r="U234" s="624"/>
      <c r="V234" s="624"/>
      <c r="W234" s="624"/>
      <c r="X234" s="624"/>
      <c r="Y234" s="624"/>
      <c r="Z234" s="624"/>
      <c r="AB234" s="624"/>
      <c r="AM234" s="624"/>
      <c r="AN234" s="624"/>
      <c r="AO234" s="624"/>
      <c r="AP234" s="624"/>
      <c r="AQ234" s="624"/>
      <c r="AR234" s="624"/>
      <c r="AS234" s="624"/>
      <c r="AT234" s="624"/>
      <c r="AU234" s="620"/>
      <c r="AV234" s="620"/>
      <c r="AW234" s="673"/>
      <c r="AX234" s="673"/>
      <c r="AY234" s="673"/>
      <c r="AZ234" s="674"/>
      <c r="BA234" s="674"/>
      <c r="BB234" s="665"/>
      <c r="BC234" s="665"/>
      <c r="BD234" s="665"/>
      <c r="BE234" s="665"/>
      <c r="BF234" s="665"/>
      <c r="BG234" s="665"/>
    </row>
    <row r="235" spans="1:59" ht="12" customHeight="1" x14ac:dyDescent="0.2">
      <c r="A235" s="624"/>
      <c r="B235" s="624"/>
      <c r="C235" s="624"/>
      <c r="D235" s="624"/>
      <c r="E235" s="624"/>
      <c r="F235" s="582"/>
      <c r="G235" s="624"/>
      <c r="H235" s="624"/>
      <c r="I235" s="624"/>
      <c r="J235" s="624"/>
      <c r="K235" s="624"/>
      <c r="L235" s="624"/>
      <c r="M235" s="672"/>
      <c r="N235" s="624"/>
      <c r="O235" s="624"/>
      <c r="P235" s="624"/>
      <c r="Q235" s="624"/>
      <c r="R235" s="624"/>
      <c r="T235" s="624"/>
      <c r="U235" s="624"/>
      <c r="V235" s="624"/>
      <c r="W235" s="624"/>
      <c r="X235" s="624"/>
      <c r="Y235" s="624"/>
      <c r="Z235" s="624"/>
      <c r="AB235" s="624"/>
      <c r="AM235" s="624"/>
      <c r="AN235" s="624"/>
      <c r="AO235" s="624"/>
      <c r="AP235" s="624"/>
      <c r="AQ235" s="624"/>
      <c r="AR235" s="624"/>
      <c r="AS235" s="624"/>
      <c r="AT235" s="624"/>
      <c r="AU235" s="620"/>
      <c r="AV235" s="620"/>
      <c r="AW235" s="673"/>
      <c r="AX235" s="673"/>
      <c r="AY235" s="673"/>
      <c r="AZ235" s="674"/>
      <c r="BA235" s="674"/>
      <c r="BB235" s="665"/>
      <c r="BC235" s="665"/>
      <c r="BD235" s="665"/>
      <c r="BE235" s="665"/>
      <c r="BF235" s="665"/>
      <c r="BG235" s="665"/>
    </row>
    <row r="236" spans="1:59" ht="12" customHeight="1" x14ac:dyDescent="0.2">
      <c r="A236" s="624"/>
      <c r="B236" s="624"/>
      <c r="C236" s="624"/>
      <c r="D236" s="624"/>
      <c r="E236" s="624"/>
      <c r="F236" s="582"/>
      <c r="G236" s="624"/>
      <c r="H236" s="624"/>
      <c r="I236" s="624"/>
      <c r="J236" s="624"/>
      <c r="K236" s="624"/>
      <c r="L236" s="624"/>
      <c r="M236" s="672"/>
      <c r="N236" s="624"/>
      <c r="O236" s="624"/>
      <c r="P236" s="624"/>
      <c r="Q236" s="624"/>
      <c r="R236" s="624"/>
      <c r="T236" s="624"/>
      <c r="U236" s="624"/>
      <c r="V236" s="624"/>
      <c r="W236" s="624"/>
      <c r="X236" s="624"/>
      <c r="Y236" s="624"/>
      <c r="Z236" s="624"/>
      <c r="AB236" s="624"/>
      <c r="AM236" s="624"/>
      <c r="AN236" s="624"/>
      <c r="AO236" s="624"/>
      <c r="AP236" s="624"/>
      <c r="AQ236" s="624"/>
      <c r="AR236" s="624"/>
      <c r="AS236" s="624"/>
      <c r="AT236" s="624"/>
      <c r="AU236" s="620"/>
      <c r="AV236" s="620"/>
      <c r="AW236" s="673"/>
      <c r="AX236" s="673"/>
      <c r="AY236" s="673"/>
      <c r="AZ236" s="674"/>
      <c r="BA236" s="674"/>
      <c r="BB236" s="665"/>
      <c r="BC236" s="665"/>
      <c r="BD236" s="665"/>
      <c r="BE236" s="665"/>
      <c r="BF236" s="665"/>
      <c r="BG236" s="665"/>
    </row>
    <row r="237" spans="1:59" ht="12" customHeight="1" x14ac:dyDescent="0.2">
      <c r="A237" s="624"/>
      <c r="B237" s="624"/>
      <c r="C237" s="624"/>
      <c r="D237" s="624"/>
      <c r="E237" s="624"/>
      <c r="F237" s="582"/>
      <c r="G237" s="624"/>
      <c r="H237" s="624"/>
      <c r="I237" s="624"/>
      <c r="J237" s="624"/>
      <c r="K237" s="624"/>
      <c r="L237" s="624"/>
      <c r="M237" s="672"/>
      <c r="N237" s="624"/>
      <c r="O237" s="624"/>
      <c r="P237" s="624"/>
      <c r="Q237" s="624"/>
      <c r="R237" s="624"/>
      <c r="T237" s="624"/>
      <c r="U237" s="624"/>
      <c r="V237" s="624"/>
      <c r="W237" s="624"/>
      <c r="X237" s="624"/>
      <c r="Y237" s="624"/>
      <c r="Z237" s="624"/>
      <c r="AB237" s="624"/>
      <c r="AM237" s="624"/>
      <c r="AN237" s="624"/>
      <c r="AO237" s="624"/>
      <c r="AP237" s="624"/>
      <c r="AQ237" s="624"/>
      <c r="AR237" s="624"/>
      <c r="AS237" s="624"/>
      <c r="AT237" s="624"/>
      <c r="AU237" s="620"/>
      <c r="AV237" s="620"/>
      <c r="AW237" s="673"/>
      <c r="AX237" s="673"/>
      <c r="AY237" s="673"/>
      <c r="AZ237" s="674"/>
      <c r="BA237" s="674"/>
      <c r="BB237" s="665"/>
      <c r="BC237" s="665"/>
      <c r="BD237" s="665"/>
      <c r="BE237" s="665"/>
      <c r="BF237" s="665"/>
      <c r="BG237" s="665"/>
    </row>
    <row r="238" spans="1:59" ht="12" customHeight="1" x14ac:dyDescent="0.2">
      <c r="A238" s="624"/>
      <c r="B238" s="624"/>
      <c r="C238" s="624"/>
      <c r="D238" s="624"/>
      <c r="E238" s="624"/>
      <c r="F238" s="582"/>
      <c r="G238" s="624"/>
      <c r="H238" s="624"/>
      <c r="I238" s="624"/>
      <c r="J238" s="624"/>
      <c r="K238" s="624"/>
      <c r="L238" s="624"/>
      <c r="M238" s="672"/>
      <c r="N238" s="624"/>
      <c r="O238" s="624"/>
      <c r="P238" s="624"/>
      <c r="Q238" s="624"/>
      <c r="R238" s="624"/>
      <c r="T238" s="624"/>
      <c r="U238" s="624"/>
      <c r="V238" s="624"/>
      <c r="W238" s="624"/>
      <c r="X238" s="624"/>
      <c r="Y238" s="624"/>
      <c r="Z238" s="624"/>
      <c r="AB238" s="624"/>
      <c r="AM238" s="624"/>
      <c r="AN238" s="624"/>
      <c r="AO238" s="624"/>
      <c r="AP238" s="624"/>
      <c r="AQ238" s="624"/>
      <c r="AR238" s="624"/>
      <c r="AS238" s="624"/>
      <c r="AT238" s="624"/>
      <c r="AU238" s="620"/>
      <c r="AV238" s="620"/>
      <c r="AW238" s="673"/>
      <c r="AX238" s="673"/>
      <c r="AY238" s="673"/>
      <c r="AZ238" s="674"/>
      <c r="BA238" s="674"/>
      <c r="BB238" s="665"/>
      <c r="BC238" s="665"/>
      <c r="BD238" s="665"/>
      <c r="BE238" s="665"/>
      <c r="BF238" s="665"/>
      <c r="BG238" s="665"/>
    </row>
    <row r="239" spans="1:59" ht="12" customHeight="1" x14ac:dyDescent="0.2">
      <c r="A239" s="624"/>
      <c r="B239" s="624"/>
      <c r="C239" s="624"/>
      <c r="D239" s="624"/>
      <c r="E239" s="624"/>
      <c r="F239" s="582"/>
      <c r="G239" s="624"/>
      <c r="H239" s="624"/>
      <c r="I239" s="624"/>
      <c r="J239" s="624"/>
      <c r="K239" s="624"/>
      <c r="L239" s="624"/>
      <c r="M239" s="672"/>
      <c r="N239" s="624"/>
      <c r="O239" s="624"/>
      <c r="P239" s="624"/>
      <c r="Q239" s="624"/>
      <c r="R239" s="624"/>
      <c r="T239" s="624"/>
      <c r="U239" s="624"/>
      <c r="V239" s="624"/>
      <c r="W239" s="624"/>
      <c r="X239" s="624"/>
      <c r="Y239" s="624"/>
      <c r="Z239" s="624"/>
      <c r="AB239" s="624"/>
      <c r="AM239" s="624"/>
      <c r="AN239" s="624"/>
      <c r="AO239" s="624"/>
      <c r="AP239" s="624"/>
      <c r="AQ239" s="624"/>
      <c r="AR239" s="624"/>
      <c r="AS239" s="624"/>
      <c r="AT239" s="624"/>
      <c r="AU239" s="620"/>
      <c r="AV239" s="620"/>
      <c r="AW239" s="673"/>
      <c r="AX239" s="673"/>
      <c r="AY239" s="673"/>
      <c r="AZ239" s="674"/>
      <c r="BA239" s="674"/>
      <c r="BB239" s="665"/>
      <c r="BC239" s="665"/>
      <c r="BD239" s="665"/>
      <c r="BE239" s="665"/>
      <c r="BF239" s="665"/>
      <c r="BG239" s="665"/>
    </row>
    <row r="240" spans="1:59" ht="12" customHeight="1" x14ac:dyDescent="0.2">
      <c r="A240" s="624"/>
      <c r="B240" s="624"/>
      <c r="C240" s="624"/>
      <c r="D240" s="624"/>
      <c r="E240" s="624"/>
      <c r="F240" s="582"/>
      <c r="G240" s="624"/>
      <c r="H240" s="624"/>
      <c r="I240" s="624"/>
      <c r="J240" s="624"/>
      <c r="K240" s="624"/>
      <c r="L240" s="624"/>
      <c r="M240" s="672"/>
      <c r="N240" s="624"/>
      <c r="O240" s="624"/>
      <c r="P240" s="624"/>
      <c r="Q240" s="624"/>
      <c r="R240" s="624"/>
      <c r="T240" s="624"/>
      <c r="U240" s="624"/>
      <c r="V240" s="624"/>
      <c r="W240" s="624"/>
      <c r="X240" s="624"/>
      <c r="Y240" s="624"/>
      <c r="Z240" s="624"/>
      <c r="AB240" s="624"/>
      <c r="AM240" s="624"/>
      <c r="AN240" s="624"/>
      <c r="AO240" s="624"/>
      <c r="AP240" s="624"/>
      <c r="AQ240" s="624"/>
      <c r="AR240" s="624"/>
      <c r="AS240" s="624"/>
      <c r="AT240" s="624"/>
      <c r="AU240" s="620"/>
      <c r="AV240" s="620"/>
      <c r="AW240" s="673"/>
      <c r="AX240" s="673"/>
      <c r="AY240" s="673"/>
      <c r="AZ240" s="674"/>
      <c r="BA240" s="674"/>
      <c r="BB240" s="665"/>
      <c r="BC240" s="665"/>
      <c r="BD240" s="665"/>
      <c r="BE240" s="665"/>
      <c r="BF240" s="665"/>
      <c r="BG240" s="665"/>
    </row>
    <row r="241" spans="1:59" ht="12" customHeight="1" x14ac:dyDescent="0.2">
      <c r="A241" s="624"/>
      <c r="B241" s="624"/>
      <c r="C241" s="624"/>
      <c r="D241" s="624"/>
      <c r="E241" s="624"/>
      <c r="F241" s="582"/>
      <c r="G241" s="579"/>
      <c r="H241" s="579"/>
      <c r="I241" s="579"/>
      <c r="J241" s="579"/>
      <c r="K241" s="579"/>
      <c r="L241" s="624"/>
      <c r="M241" s="672"/>
      <c r="N241" s="624"/>
      <c r="O241" s="624"/>
      <c r="P241" s="624"/>
      <c r="Q241" s="624"/>
      <c r="R241" s="624"/>
      <c r="T241" s="624"/>
      <c r="U241" s="624"/>
      <c r="V241" s="624"/>
      <c r="W241" s="624"/>
      <c r="X241" s="624"/>
      <c r="Y241" s="624"/>
      <c r="Z241" s="624"/>
      <c r="AB241" s="624"/>
      <c r="AM241" s="624"/>
      <c r="AN241" s="624"/>
      <c r="AO241" s="624"/>
      <c r="AP241" s="624"/>
      <c r="AQ241" s="624"/>
      <c r="AR241" s="624"/>
      <c r="AS241" s="624"/>
      <c r="AT241" s="624"/>
      <c r="AU241" s="620"/>
      <c r="AV241" s="620"/>
      <c r="AW241" s="673"/>
      <c r="AX241" s="673"/>
      <c r="AY241" s="673"/>
      <c r="AZ241" s="674"/>
      <c r="BA241" s="674"/>
      <c r="BB241" s="665"/>
      <c r="BC241" s="665"/>
      <c r="BD241" s="665"/>
      <c r="BE241" s="665"/>
      <c r="BF241" s="665"/>
      <c r="BG241" s="665"/>
    </row>
    <row r="242" spans="1:59" ht="12" customHeight="1" x14ac:dyDescent="0.2">
      <c r="A242" s="624"/>
      <c r="B242" s="624"/>
      <c r="C242" s="624"/>
      <c r="D242" s="624"/>
      <c r="E242" s="624"/>
      <c r="F242" s="582"/>
      <c r="G242" s="579"/>
      <c r="H242" s="579"/>
      <c r="I242" s="579"/>
      <c r="J242" s="676"/>
      <c r="K242" s="579"/>
      <c r="L242" s="624"/>
      <c r="M242" s="672"/>
      <c r="N242" s="624"/>
      <c r="O242" s="624"/>
      <c r="P242" s="624"/>
      <c r="Q242" s="624"/>
      <c r="R242" s="624"/>
      <c r="T242" s="624"/>
      <c r="U242" s="624"/>
      <c r="V242" s="624"/>
      <c r="W242" s="624"/>
      <c r="X242" s="624"/>
      <c r="Y242" s="624"/>
      <c r="Z242" s="624"/>
      <c r="AB242" s="624"/>
      <c r="AM242" s="624"/>
      <c r="AN242" s="624"/>
      <c r="AO242" s="624"/>
      <c r="AP242" s="624"/>
      <c r="AQ242" s="624"/>
      <c r="AR242" s="624"/>
      <c r="AS242" s="624"/>
      <c r="AT242" s="624"/>
      <c r="AU242" s="620"/>
      <c r="AV242" s="620"/>
      <c r="AW242" s="673"/>
      <c r="AX242" s="673"/>
      <c r="AY242" s="673"/>
      <c r="AZ242" s="674"/>
      <c r="BA242" s="674"/>
      <c r="BB242" s="665"/>
      <c r="BC242" s="665"/>
      <c r="BD242" s="665"/>
      <c r="BE242" s="665"/>
      <c r="BF242" s="665"/>
      <c r="BG242" s="665"/>
    </row>
    <row r="243" spans="1:59" ht="12" customHeight="1" x14ac:dyDescent="0.2">
      <c r="A243" s="624"/>
      <c r="B243" s="624"/>
      <c r="C243" s="624"/>
      <c r="D243" s="624"/>
      <c r="E243" s="624"/>
      <c r="F243" s="582"/>
      <c r="G243" s="579"/>
      <c r="H243" s="579"/>
      <c r="I243" s="579"/>
      <c r="J243" s="676"/>
      <c r="K243" s="579"/>
      <c r="L243" s="624"/>
      <c r="M243" s="672"/>
      <c r="N243" s="624"/>
      <c r="O243" s="624"/>
      <c r="P243" s="624"/>
      <c r="Q243" s="624"/>
      <c r="R243" s="624"/>
      <c r="T243" s="624"/>
      <c r="U243" s="624"/>
      <c r="V243" s="624"/>
      <c r="W243" s="624"/>
      <c r="X243" s="624"/>
      <c r="Y243" s="624"/>
      <c r="Z243" s="624"/>
      <c r="AB243" s="624"/>
      <c r="AM243" s="624"/>
      <c r="AN243" s="624"/>
      <c r="AO243" s="624"/>
      <c r="AP243" s="624"/>
      <c r="AQ243" s="624"/>
      <c r="AR243" s="624"/>
      <c r="AS243" s="624"/>
      <c r="AT243" s="624"/>
      <c r="AU243" s="620"/>
      <c r="AV243" s="620"/>
      <c r="AW243" s="673"/>
      <c r="AX243" s="673"/>
      <c r="AY243" s="673"/>
      <c r="AZ243" s="674"/>
      <c r="BA243" s="674"/>
      <c r="BB243" s="665"/>
      <c r="BC243" s="665"/>
      <c r="BD243" s="665"/>
      <c r="BE243" s="665"/>
      <c r="BF243" s="665"/>
      <c r="BG243" s="665"/>
    </row>
    <row r="244" spans="1:59" ht="12" customHeight="1" x14ac:dyDescent="0.2">
      <c r="A244" s="624"/>
      <c r="B244" s="624"/>
      <c r="C244" s="624"/>
      <c r="D244" s="624"/>
      <c r="E244" s="624"/>
      <c r="F244" s="582"/>
      <c r="G244" s="579"/>
      <c r="H244" s="579"/>
      <c r="I244" s="579"/>
      <c r="J244" s="676"/>
      <c r="K244" s="579"/>
      <c r="L244" s="624"/>
      <c r="M244" s="672"/>
      <c r="N244" s="624"/>
      <c r="O244" s="624"/>
      <c r="P244" s="624"/>
      <c r="Q244" s="624"/>
      <c r="R244" s="624"/>
      <c r="T244" s="624"/>
      <c r="U244" s="624"/>
      <c r="V244" s="624"/>
      <c r="W244" s="624"/>
      <c r="X244" s="624"/>
      <c r="Y244" s="624"/>
      <c r="Z244" s="624"/>
      <c r="AB244" s="624"/>
      <c r="AM244" s="624"/>
      <c r="AN244" s="624"/>
      <c r="AO244" s="624"/>
      <c r="AP244" s="624"/>
      <c r="AQ244" s="624"/>
      <c r="AR244" s="624"/>
      <c r="AS244" s="624"/>
      <c r="AT244" s="624"/>
      <c r="AU244" s="620"/>
      <c r="AV244" s="620"/>
      <c r="AW244" s="673"/>
      <c r="AX244" s="673"/>
      <c r="AY244" s="673"/>
      <c r="AZ244" s="674"/>
      <c r="BA244" s="674"/>
      <c r="BB244" s="665"/>
      <c r="BC244" s="665"/>
      <c r="BD244" s="665"/>
      <c r="BE244" s="665"/>
      <c r="BF244" s="665"/>
      <c r="BG244" s="665"/>
    </row>
    <row r="245" spans="1:59" ht="12" customHeight="1" x14ac:dyDescent="0.2">
      <c r="A245" s="624"/>
      <c r="B245" s="624"/>
      <c r="C245" s="624"/>
      <c r="D245" s="624"/>
      <c r="E245" s="624"/>
      <c r="F245" s="582"/>
      <c r="G245" s="579"/>
      <c r="H245" s="579"/>
      <c r="I245" s="579"/>
      <c r="J245" s="676"/>
      <c r="K245" s="579"/>
      <c r="L245" s="624"/>
      <c r="M245" s="672"/>
      <c r="N245" s="624"/>
      <c r="O245" s="624"/>
      <c r="P245" s="624"/>
      <c r="Q245" s="624"/>
      <c r="R245" s="624"/>
      <c r="T245" s="624"/>
      <c r="U245" s="624"/>
      <c r="V245" s="624"/>
      <c r="W245" s="624"/>
      <c r="X245" s="624"/>
      <c r="Y245" s="624"/>
      <c r="Z245" s="624"/>
      <c r="AB245" s="624"/>
      <c r="AM245" s="624"/>
      <c r="AN245" s="624"/>
      <c r="AO245" s="624"/>
      <c r="AP245" s="624"/>
      <c r="AQ245" s="624"/>
      <c r="AR245" s="624"/>
      <c r="AS245" s="624"/>
      <c r="AT245" s="624"/>
      <c r="AU245" s="620"/>
      <c r="AV245" s="620"/>
      <c r="AW245" s="673"/>
      <c r="AX245" s="673"/>
      <c r="AY245" s="673"/>
      <c r="AZ245" s="674"/>
      <c r="BA245" s="674"/>
      <c r="BB245" s="665"/>
      <c r="BC245" s="665"/>
      <c r="BD245" s="665"/>
      <c r="BE245" s="665"/>
      <c r="BF245" s="665"/>
      <c r="BG245" s="665"/>
    </row>
    <row r="246" spans="1:59" ht="12" customHeight="1" x14ac:dyDescent="0.2">
      <c r="A246" s="624"/>
      <c r="B246" s="624"/>
      <c r="C246" s="624"/>
      <c r="D246" s="624"/>
      <c r="E246" s="624"/>
      <c r="F246" s="582"/>
      <c r="G246" s="579"/>
      <c r="H246" s="579"/>
      <c r="I246" s="579"/>
      <c r="J246" s="676"/>
      <c r="K246" s="579"/>
      <c r="L246" s="624"/>
      <c r="M246" s="672"/>
      <c r="N246" s="624"/>
      <c r="O246" s="624"/>
      <c r="P246" s="624"/>
      <c r="Q246" s="624"/>
      <c r="R246" s="624"/>
      <c r="T246" s="624"/>
      <c r="U246" s="624"/>
      <c r="V246" s="624"/>
      <c r="W246" s="624"/>
      <c r="X246" s="624"/>
      <c r="Y246" s="624"/>
      <c r="Z246" s="624"/>
      <c r="AB246" s="624"/>
      <c r="AM246" s="624"/>
      <c r="AN246" s="624"/>
      <c r="AO246" s="624"/>
      <c r="AP246" s="624"/>
      <c r="AQ246" s="624"/>
      <c r="AR246" s="624"/>
      <c r="AS246" s="624"/>
      <c r="AT246" s="624"/>
      <c r="AU246" s="620"/>
      <c r="AV246" s="620"/>
      <c r="AW246" s="673"/>
      <c r="AX246" s="673"/>
      <c r="AY246" s="673"/>
      <c r="AZ246" s="674"/>
      <c r="BA246" s="674"/>
      <c r="BB246" s="665"/>
      <c r="BC246" s="665"/>
      <c r="BD246" s="665"/>
      <c r="BE246" s="665"/>
      <c r="BF246" s="665"/>
      <c r="BG246" s="665"/>
    </row>
    <row r="247" spans="1:59" ht="12" customHeight="1" x14ac:dyDescent="0.2">
      <c r="A247" s="624"/>
      <c r="B247" s="624"/>
      <c r="C247" s="624"/>
      <c r="D247" s="624"/>
      <c r="E247" s="624"/>
      <c r="F247" s="582"/>
      <c r="G247" s="579"/>
      <c r="H247" s="579"/>
      <c r="I247" s="579"/>
      <c r="J247" s="676"/>
      <c r="K247" s="579"/>
      <c r="L247" s="624"/>
      <c r="M247" s="672"/>
      <c r="N247" s="624"/>
      <c r="O247" s="624"/>
      <c r="P247" s="624"/>
      <c r="Q247" s="624"/>
      <c r="R247" s="624"/>
      <c r="T247" s="624"/>
      <c r="U247" s="624"/>
      <c r="V247" s="624"/>
      <c r="W247" s="624"/>
      <c r="X247" s="624"/>
      <c r="Y247" s="624"/>
      <c r="Z247" s="624"/>
      <c r="AB247" s="624"/>
      <c r="AM247" s="624"/>
      <c r="AN247" s="624"/>
      <c r="AO247" s="624"/>
      <c r="AP247" s="624"/>
      <c r="AQ247" s="624"/>
      <c r="AR247" s="624"/>
      <c r="AS247" s="624"/>
      <c r="AT247" s="624"/>
      <c r="AU247" s="620"/>
      <c r="AV247" s="620"/>
      <c r="AW247" s="673"/>
      <c r="AX247" s="673"/>
      <c r="AY247" s="673"/>
      <c r="AZ247" s="674"/>
      <c r="BA247" s="674"/>
      <c r="BB247" s="665"/>
      <c r="BC247" s="665"/>
      <c r="BD247" s="665"/>
      <c r="BE247" s="665"/>
      <c r="BF247" s="665"/>
      <c r="BG247" s="665"/>
    </row>
    <row r="248" spans="1:59" ht="12" customHeight="1" x14ac:dyDescent="0.2">
      <c r="A248" s="624"/>
      <c r="B248" s="624"/>
      <c r="C248" s="624"/>
      <c r="D248" s="624"/>
      <c r="E248" s="624"/>
      <c r="F248" s="582"/>
      <c r="G248" s="579"/>
      <c r="H248" s="579"/>
      <c r="I248" s="579"/>
      <c r="J248" s="676"/>
      <c r="K248" s="579"/>
      <c r="L248" s="624"/>
      <c r="M248" s="672"/>
      <c r="N248" s="624"/>
      <c r="O248" s="624"/>
      <c r="P248" s="624"/>
      <c r="Q248" s="624"/>
      <c r="R248" s="624"/>
      <c r="T248" s="624"/>
      <c r="U248" s="624"/>
      <c r="V248" s="624"/>
      <c r="W248" s="624"/>
      <c r="X248" s="624"/>
      <c r="Y248" s="624"/>
      <c r="Z248" s="624"/>
      <c r="AB248" s="624"/>
      <c r="AM248" s="624"/>
      <c r="AN248" s="624"/>
      <c r="AO248" s="624"/>
      <c r="AP248" s="624"/>
      <c r="AQ248" s="624"/>
      <c r="AR248" s="624"/>
      <c r="AS248" s="624"/>
      <c r="AT248" s="624"/>
      <c r="AU248" s="620"/>
      <c r="AV248" s="620"/>
      <c r="AW248" s="673"/>
      <c r="AX248" s="673"/>
      <c r="AY248" s="673"/>
      <c r="AZ248" s="674"/>
      <c r="BA248" s="674"/>
      <c r="BB248" s="665"/>
      <c r="BC248" s="665"/>
      <c r="BD248" s="665"/>
      <c r="BE248" s="665"/>
      <c r="BF248" s="665"/>
      <c r="BG248" s="665"/>
    </row>
    <row r="249" spans="1:59" ht="12" customHeight="1" x14ac:dyDescent="0.2">
      <c r="A249" s="624"/>
      <c r="B249" s="624"/>
      <c r="C249" s="624"/>
      <c r="D249" s="624"/>
      <c r="E249" s="624"/>
      <c r="F249" s="582"/>
      <c r="G249" s="579"/>
      <c r="H249" s="579"/>
      <c r="I249" s="579"/>
      <c r="J249" s="676"/>
      <c r="K249" s="579"/>
      <c r="L249" s="624"/>
      <c r="M249" s="672"/>
      <c r="N249" s="624"/>
      <c r="O249" s="624"/>
      <c r="P249" s="624"/>
      <c r="Q249" s="624"/>
      <c r="R249" s="624"/>
      <c r="T249" s="624"/>
      <c r="U249" s="624"/>
      <c r="V249" s="624"/>
      <c r="W249" s="624"/>
      <c r="X249" s="624"/>
      <c r="Y249" s="624"/>
      <c r="Z249" s="624"/>
      <c r="AB249" s="624"/>
      <c r="AM249" s="624"/>
      <c r="AN249" s="624"/>
      <c r="AO249" s="624"/>
      <c r="AP249" s="624"/>
      <c r="AQ249" s="624"/>
      <c r="AR249" s="624"/>
      <c r="AS249" s="624"/>
      <c r="AT249" s="624"/>
      <c r="AU249" s="620"/>
      <c r="AV249" s="620"/>
      <c r="AW249" s="673"/>
      <c r="AX249" s="673"/>
      <c r="AY249" s="673"/>
      <c r="AZ249" s="674"/>
      <c r="BA249" s="674"/>
      <c r="BB249" s="665"/>
      <c r="BC249" s="665"/>
      <c r="BD249" s="665"/>
      <c r="BE249" s="665"/>
      <c r="BF249" s="665"/>
      <c r="BG249" s="665"/>
    </row>
    <row r="250" spans="1:59" ht="12" customHeight="1" x14ac:dyDescent="0.2">
      <c r="A250" s="624"/>
      <c r="B250" s="624"/>
      <c r="C250" s="624"/>
      <c r="D250" s="624"/>
      <c r="E250" s="624"/>
      <c r="F250" s="582"/>
      <c r="G250" s="579"/>
      <c r="H250" s="579"/>
      <c r="I250" s="579"/>
      <c r="J250" s="676"/>
      <c r="K250" s="579"/>
      <c r="L250" s="624"/>
      <c r="M250" s="672"/>
      <c r="N250" s="624"/>
      <c r="O250" s="624"/>
      <c r="P250" s="624"/>
      <c r="Q250" s="624"/>
      <c r="R250" s="624"/>
      <c r="T250" s="624"/>
      <c r="U250" s="624"/>
      <c r="V250" s="624"/>
      <c r="W250" s="624"/>
      <c r="X250" s="624"/>
      <c r="Y250" s="624"/>
      <c r="Z250" s="624"/>
      <c r="AB250" s="624"/>
      <c r="AM250" s="624"/>
      <c r="AN250" s="624"/>
      <c r="AO250" s="624"/>
      <c r="AP250" s="624"/>
      <c r="AQ250" s="624"/>
      <c r="AR250" s="624"/>
      <c r="AS250" s="624"/>
      <c r="AT250" s="624"/>
      <c r="AU250" s="620"/>
      <c r="AV250" s="620"/>
      <c r="AW250" s="673"/>
      <c r="AX250" s="673"/>
      <c r="AY250" s="673"/>
      <c r="AZ250" s="674"/>
      <c r="BA250" s="674"/>
      <c r="BB250" s="665"/>
      <c r="BC250" s="665"/>
      <c r="BD250" s="665"/>
      <c r="BE250" s="665"/>
      <c r="BF250" s="665"/>
      <c r="BG250" s="665"/>
    </row>
    <row r="251" spans="1:59" ht="12" customHeight="1" x14ac:dyDescent="0.2">
      <c r="A251" s="624"/>
      <c r="B251" s="624"/>
      <c r="C251" s="624"/>
      <c r="D251" s="624"/>
      <c r="E251" s="624"/>
      <c r="F251" s="582"/>
      <c r="G251" s="579"/>
      <c r="H251" s="579"/>
      <c r="I251" s="579"/>
      <c r="J251" s="579"/>
      <c r="K251" s="579"/>
      <c r="L251" s="624"/>
      <c r="M251" s="672"/>
      <c r="N251" s="624"/>
      <c r="O251" s="624"/>
      <c r="P251" s="624"/>
      <c r="Q251" s="624"/>
      <c r="R251" s="624"/>
      <c r="T251" s="624"/>
      <c r="U251" s="624"/>
      <c r="V251" s="624"/>
      <c r="W251" s="624"/>
      <c r="X251" s="624"/>
      <c r="Y251" s="624"/>
      <c r="Z251" s="624"/>
      <c r="AB251" s="624"/>
      <c r="AM251" s="624"/>
      <c r="AN251" s="624"/>
      <c r="AO251" s="624"/>
      <c r="AP251" s="624"/>
      <c r="AQ251" s="624"/>
      <c r="AR251" s="624"/>
      <c r="AS251" s="624"/>
      <c r="AT251" s="624"/>
      <c r="AU251" s="620"/>
      <c r="AV251" s="620"/>
      <c r="AW251" s="673"/>
      <c r="AX251" s="673"/>
      <c r="AY251" s="673"/>
      <c r="AZ251" s="674"/>
      <c r="BA251" s="674"/>
      <c r="BB251" s="665"/>
      <c r="BC251" s="665"/>
      <c r="BD251" s="665"/>
      <c r="BE251" s="665"/>
      <c r="BF251" s="665"/>
      <c r="BG251" s="665"/>
    </row>
    <row r="252" spans="1:59" ht="12" customHeight="1" x14ac:dyDescent="0.2">
      <c r="A252" s="624"/>
      <c r="B252" s="624"/>
      <c r="C252" s="624"/>
      <c r="D252" s="624"/>
      <c r="E252" s="624"/>
      <c r="F252" s="582"/>
      <c r="G252" s="624"/>
      <c r="H252" s="624"/>
      <c r="I252" s="624"/>
      <c r="J252" s="624"/>
      <c r="K252" s="624"/>
      <c r="L252" s="624"/>
      <c r="M252" s="672"/>
      <c r="N252" s="624"/>
      <c r="O252" s="624"/>
      <c r="P252" s="624"/>
      <c r="Q252" s="624"/>
      <c r="R252" s="624"/>
      <c r="T252" s="624"/>
      <c r="U252" s="624"/>
      <c r="V252" s="624"/>
      <c r="W252" s="624"/>
      <c r="X252" s="624"/>
      <c r="Y252" s="624"/>
      <c r="Z252" s="624"/>
      <c r="AB252" s="624"/>
      <c r="AM252" s="624"/>
      <c r="AN252" s="624"/>
      <c r="AO252" s="624"/>
      <c r="AP252" s="624"/>
      <c r="AQ252" s="624"/>
      <c r="AR252" s="624"/>
      <c r="AS252" s="624"/>
      <c r="AT252" s="624"/>
      <c r="AU252" s="620"/>
      <c r="AV252" s="620"/>
      <c r="AW252" s="673"/>
      <c r="AX252" s="673"/>
      <c r="AY252" s="673"/>
      <c r="AZ252" s="674"/>
      <c r="BA252" s="674"/>
      <c r="BB252" s="665"/>
      <c r="BC252" s="665"/>
      <c r="BD252" s="665"/>
      <c r="BE252" s="665"/>
      <c r="BF252" s="665"/>
      <c r="BG252" s="665"/>
    </row>
    <row r="253" spans="1:59" ht="12" customHeight="1" x14ac:dyDescent="0.2">
      <c r="A253" s="624"/>
      <c r="B253" s="624"/>
      <c r="C253" s="624"/>
      <c r="D253" s="624"/>
      <c r="E253" s="624"/>
      <c r="F253" s="582"/>
      <c r="G253" s="624"/>
      <c r="H253" s="624"/>
      <c r="I253" s="624"/>
      <c r="J253" s="624"/>
      <c r="K253" s="624"/>
      <c r="L253" s="624"/>
      <c r="M253" s="672"/>
      <c r="N253" s="624"/>
      <c r="O253" s="624"/>
      <c r="P253" s="624"/>
      <c r="Q253" s="624"/>
      <c r="R253" s="624"/>
      <c r="T253" s="624"/>
      <c r="U253" s="624"/>
      <c r="V253" s="624"/>
      <c r="W253" s="624"/>
      <c r="X253" s="624"/>
      <c r="Y253" s="624"/>
      <c r="Z253" s="624"/>
      <c r="AB253" s="624"/>
      <c r="AM253" s="624"/>
      <c r="AN253" s="624"/>
      <c r="AO253" s="624"/>
      <c r="AP253" s="624"/>
      <c r="AQ253" s="624"/>
      <c r="AR253" s="624"/>
      <c r="AS253" s="624"/>
      <c r="AT253" s="624"/>
      <c r="AU253" s="620"/>
      <c r="AV253" s="620"/>
      <c r="AW253" s="673"/>
      <c r="AX253" s="673"/>
      <c r="AY253" s="673"/>
      <c r="AZ253" s="674"/>
      <c r="BA253" s="674"/>
      <c r="BB253" s="665"/>
      <c r="BC253" s="665"/>
      <c r="BD253" s="665"/>
      <c r="BE253" s="665"/>
      <c r="BF253" s="665"/>
      <c r="BG253" s="665"/>
    </row>
    <row r="254" spans="1:59" ht="12" customHeight="1" x14ac:dyDescent="0.2">
      <c r="A254" s="624"/>
      <c r="B254" s="624"/>
      <c r="C254" s="624"/>
      <c r="D254" s="624"/>
      <c r="E254" s="624"/>
      <c r="F254" s="582"/>
      <c r="G254" s="624"/>
      <c r="H254" s="624"/>
      <c r="I254" s="624"/>
      <c r="J254" s="624"/>
      <c r="K254" s="624"/>
      <c r="L254" s="624"/>
      <c r="M254" s="672"/>
      <c r="N254" s="624"/>
      <c r="O254" s="624"/>
      <c r="P254" s="624"/>
      <c r="Q254" s="624"/>
      <c r="R254" s="624"/>
      <c r="T254" s="624"/>
      <c r="U254" s="624"/>
      <c r="V254" s="624"/>
      <c r="W254" s="624"/>
      <c r="X254" s="624"/>
      <c r="Y254" s="624"/>
      <c r="Z254" s="624"/>
      <c r="AB254" s="624"/>
      <c r="AM254" s="624"/>
      <c r="AN254" s="624"/>
      <c r="AO254" s="624"/>
      <c r="AP254" s="624"/>
      <c r="AQ254" s="624"/>
      <c r="AR254" s="624"/>
      <c r="AS254" s="624"/>
      <c r="AT254" s="624"/>
      <c r="AU254" s="620"/>
      <c r="AV254" s="620"/>
      <c r="AW254" s="673"/>
      <c r="AX254" s="673"/>
      <c r="AY254" s="673"/>
      <c r="AZ254" s="674"/>
      <c r="BA254" s="674"/>
      <c r="BB254" s="665"/>
      <c r="BC254" s="665"/>
      <c r="BD254" s="665"/>
      <c r="BE254" s="665"/>
      <c r="BF254" s="665"/>
      <c r="BG254" s="665"/>
    </row>
    <row r="255" spans="1:59" ht="12" customHeight="1" x14ac:dyDescent="0.2">
      <c r="A255" s="624"/>
      <c r="B255" s="624"/>
      <c r="C255" s="624"/>
      <c r="D255" s="624"/>
      <c r="E255" s="624"/>
      <c r="F255" s="582"/>
      <c r="G255" s="624"/>
      <c r="H255" s="624"/>
      <c r="I255" s="624"/>
      <c r="J255" s="624"/>
      <c r="K255" s="624"/>
      <c r="L255" s="624"/>
      <c r="M255" s="672"/>
      <c r="N255" s="624"/>
      <c r="O255" s="624"/>
      <c r="P255" s="624"/>
      <c r="Q255" s="624"/>
      <c r="R255" s="624"/>
      <c r="T255" s="624"/>
      <c r="U255" s="624"/>
      <c r="V255" s="624"/>
      <c r="W255" s="624"/>
      <c r="X255" s="624"/>
      <c r="Y255" s="624"/>
      <c r="Z255" s="624"/>
      <c r="AB255" s="624"/>
      <c r="AM255" s="624"/>
      <c r="AN255" s="624"/>
      <c r="AO255" s="624"/>
      <c r="AP255" s="624"/>
      <c r="AQ255" s="624"/>
      <c r="AR255" s="624"/>
      <c r="AS255" s="624"/>
      <c r="AT255" s="624"/>
      <c r="AU255" s="620"/>
      <c r="AV255" s="620"/>
      <c r="AW255" s="673"/>
      <c r="AX255" s="673"/>
      <c r="AY255" s="673"/>
      <c r="AZ255" s="674"/>
      <c r="BA255" s="674"/>
      <c r="BB255" s="665"/>
      <c r="BC255" s="665"/>
      <c r="BD255" s="665"/>
      <c r="BE255" s="665"/>
      <c r="BF255" s="665"/>
      <c r="BG255" s="665"/>
    </row>
    <row r="256" spans="1:59" ht="12" customHeight="1" x14ac:dyDescent="0.2">
      <c r="A256" s="624"/>
      <c r="B256" s="624"/>
      <c r="C256" s="624"/>
      <c r="D256" s="624"/>
      <c r="E256" s="624"/>
      <c r="F256" s="582"/>
      <c r="G256" s="624"/>
      <c r="H256" s="624"/>
      <c r="I256" s="624"/>
      <c r="J256" s="624"/>
      <c r="K256" s="624"/>
      <c r="L256" s="624"/>
      <c r="M256" s="672"/>
      <c r="N256" s="624"/>
      <c r="O256" s="624"/>
      <c r="P256" s="624"/>
      <c r="Q256" s="624"/>
      <c r="R256" s="624"/>
      <c r="T256" s="624"/>
      <c r="U256" s="624"/>
      <c r="V256" s="624"/>
      <c r="W256" s="624"/>
      <c r="X256" s="624"/>
      <c r="Y256" s="624"/>
      <c r="Z256" s="624"/>
      <c r="AB256" s="624"/>
      <c r="AM256" s="624"/>
      <c r="AN256" s="624"/>
      <c r="AO256" s="624"/>
      <c r="AP256" s="624"/>
      <c r="AQ256" s="624"/>
      <c r="AR256" s="624"/>
      <c r="AS256" s="624"/>
      <c r="AT256" s="624"/>
      <c r="AU256" s="620"/>
      <c r="AV256" s="620"/>
      <c r="AW256" s="673"/>
      <c r="AX256" s="673"/>
      <c r="AY256" s="673"/>
      <c r="AZ256" s="674"/>
      <c r="BA256" s="674"/>
      <c r="BB256" s="665"/>
      <c r="BC256" s="665"/>
      <c r="BD256" s="665"/>
      <c r="BE256" s="665"/>
      <c r="BF256" s="665"/>
      <c r="BG256" s="665"/>
    </row>
    <row r="257" spans="1:59" ht="12" customHeight="1" x14ac:dyDescent="0.2">
      <c r="A257" s="624"/>
      <c r="B257" s="624"/>
      <c r="C257" s="624"/>
      <c r="D257" s="624"/>
      <c r="E257" s="624"/>
      <c r="F257" s="582"/>
      <c r="G257" s="624"/>
      <c r="H257" s="624"/>
      <c r="I257" s="624"/>
      <c r="J257" s="624"/>
      <c r="K257" s="624"/>
      <c r="L257" s="624"/>
      <c r="M257" s="672"/>
      <c r="N257" s="624"/>
      <c r="O257" s="624"/>
      <c r="P257" s="624"/>
      <c r="Q257" s="624"/>
      <c r="R257" s="624"/>
      <c r="T257" s="624"/>
      <c r="U257" s="624"/>
      <c r="V257" s="624"/>
      <c r="W257" s="624"/>
      <c r="X257" s="624"/>
      <c r="Y257" s="624"/>
      <c r="Z257" s="624"/>
      <c r="AB257" s="624"/>
      <c r="AM257" s="624"/>
      <c r="AN257" s="624"/>
      <c r="AO257" s="624"/>
      <c r="AP257" s="624"/>
      <c r="AQ257" s="624"/>
      <c r="AR257" s="624"/>
      <c r="AS257" s="624"/>
      <c r="AT257" s="624"/>
      <c r="AU257" s="620"/>
      <c r="AV257" s="620"/>
      <c r="AW257" s="673"/>
      <c r="AX257" s="673"/>
      <c r="AY257" s="673"/>
      <c r="AZ257" s="674"/>
      <c r="BA257" s="674"/>
      <c r="BB257" s="665"/>
      <c r="BC257" s="665"/>
      <c r="BD257" s="665"/>
      <c r="BE257" s="665"/>
      <c r="BF257" s="665"/>
      <c r="BG257" s="665"/>
    </row>
    <row r="258" spans="1:59" ht="12" customHeight="1" x14ac:dyDescent="0.2">
      <c r="A258" s="624"/>
      <c r="B258" s="624"/>
      <c r="C258" s="624"/>
      <c r="D258" s="624"/>
      <c r="E258" s="624"/>
      <c r="F258" s="582"/>
      <c r="G258" s="624"/>
      <c r="H258" s="624"/>
      <c r="I258" s="624"/>
      <c r="J258" s="624"/>
      <c r="K258" s="624"/>
      <c r="L258" s="624"/>
      <c r="M258" s="672"/>
      <c r="N258" s="624"/>
      <c r="O258" s="624"/>
      <c r="P258" s="624"/>
      <c r="Q258" s="624"/>
      <c r="R258" s="624"/>
      <c r="T258" s="624"/>
      <c r="U258" s="624"/>
      <c r="V258" s="624"/>
      <c r="W258" s="624"/>
      <c r="X258" s="624"/>
      <c r="Y258" s="624"/>
      <c r="Z258" s="624"/>
      <c r="AB258" s="624"/>
      <c r="AM258" s="624"/>
      <c r="AN258" s="624"/>
      <c r="AO258" s="624"/>
      <c r="AP258" s="624"/>
      <c r="AQ258" s="624"/>
      <c r="AR258" s="624"/>
      <c r="AS258" s="624"/>
      <c r="AT258" s="624"/>
      <c r="AU258" s="620"/>
      <c r="AV258" s="620"/>
      <c r="AW258" s="673"/>
      <c r="AX258" s="673"/>
      <c r="AY258" s="673"/>
      <c r="AZ258" s="674"/>
      <c r="BA258" s="674"/>
      <c r="BB258" s="665"/>
      <c r="BC258" s="665"/>
      <c r="BD258" s="665"/>
      <c r="BE258" s="665"/>
      <c r="BF258" s="665"/>
      <c r="BG258" s="665"/>
    </row>
    <row r="259" spans="1:59" ht="12" customHeight="1" x14ac:dyDescent="0.2">
      <c r="A259" s="624"/>
      <c r="B259" s="624"/>
      <c r="C259" s="624"/>
      <c r="D259" s="624"/>
      <c r="E259" s="624"/>
      <c r="F259" s="582"/>
      <c r="G259" s="624"/>
      <c r="H259" s="624"/>
      <c r="I259" s="624"/>
      <c r="J259" s="624"/>
      <c r="K259" s="624"/>
      <c r="L259" s="624"/>
      <c r="M259" s="672"/>
      <c r="N259" s="624"/>
      <c r="O259" s="624"/>
      <c r="P259" s="624"/>
      <c r="Q259" s="624"/>
      <c r="R259" s="624"/>
      <c r="T259" s="624"/>
      <c r="U259" s="624"/>
      <c r="V259" s="624"/>
      <c r="W259" s="624"/>
      <c r="X259" s="624"/>
      <c r="Y259" s="624"/>
      <c r="Z259" s="624"/>
      <c r="AB259" s="624"/>
      <c r="AM259" s="624"/>
      <c r="AN259" s="624"/>
      <c r="AO259" s="624"/>
      <c r="AP259" s="624"/>
      <c r="AQ259" s="624"/>
      <c r="AR259" s="624"/>
      <c r="AS259" s="624"/>
      <c r="AT259" s="624"/>
      <c r="AU259" s="620"/>
      <c r="AV259" s="620"/>
      <c r="AW259" s="673"/>
      <c r="AX259" s="673"/>
      <c r="AY259" s="673"/>
      <c r="AZ259" s="674"/>
      <c r="BA259" s="674"/>
      <c r="BB259" s="665"/>
      <c r="BC259" s="665"/>
      <c r="BD259" s="665"/>
      <c r="BE259" s="665"/>
      <c r="BF259" s="665"/>
      <c r="BG259" s="665"/>
    </row>
    <row r="260" spans="1:59" ht="12" customHeight="1" x14ac:dyDescent="0.2">
      <c r="A260" s="624"/>
      <c r="B260" s="624"/>
      <c r="C260" s="624"/>
      <c r="D260" s="624"/>
      <c r="E260" s="624"/>
      <c r="F260" s="582"/>
      <c r="G260" s="624"/>
      <c r="H260" s="624"/>
      <c r="I260" s="624"/>
      <c r="J260" s="624"/>
      <c r="K260" s="624"/>
      <c r="L260" s="624"/>
      <c r="M260" s="672"/>
      <c r="N260" s="624"/>
      <c r="O260" s="624"/>
      <c r="P260" s="624"/>
      <c r="Q260" s="624"/>
      <c r="R260" s="624"/>
      <c r="T260" s="624"/>
      <c r="U260" s="624"/>
      <c r="V260" s="624"/>
      <c r="W260" s="624"/>
      <c r="X260" s="624"/>
      <c r="Y260" s="624"/>
      <c r="Z260" s="624"/>
      <c r="AB260" s="624"/>
      <c r="AM260" s="624"/>
      <c r="AN260" s="624"/>
      <c r="AO260" s="624"/>
      <c r="AP260" s="624"/>
      <c r="AQ260" s="624"/>
      <c r="AR260" s="624"/>
      <c r="AS260" s="624"/>
      <c r="AT260" s="624"/>
      <c r="AU260" s="620"/>
      <c r="AV260" s="620"/>
      <c r="AW260" s="673"/>
      <c r="AX260" s="673"/>
      <c r="AY260" s="673"/>
      <c r="AZ260" s="674"/>
      <c r="BA260" s="674"/>
      <c r="BB260" s="665"/>
      <c r="BC260" s="665"/>
      <c r="BD260" s="665"/>
      <c r="BE260" s="665"/>
      <c r="BF260" s="665"/>
      <c r="BG260" s="665"/>
    </row>
    <row r="261" spans="1:59" ht="12" customHeight="1" x14ac:dyDescent="0.2">
      <c r="A261" s="624"/>
      <c r="B261" s="624"/>
      <c r="C261" s="624"/>
      <c r="D261" s="624"/>
      <c r="E261" s="624"/>
      <c r="F261" s="582"/>
      <c r="G261" s="624"/>
      <c r="H261" s="624"/>
      <c r="I261" s="624"/>
      <c r="J261" s="624"/>
      <c r="K261" s="624"/>
      <c r="L261" s="624"/>
      <c r="M261" s="672"/>
      <c r="N261" s="624"/>
      <c r="O261" s="624"/>
      <c r="P261" s="624"/>
      <c r="Q261" s="624"/>
      <c r="R261" s="624"/>
      <c r="T261" s="624"/>
      <c r="U261" s="624"/>
      <c r="V261" s="624"/>
      <c r="W261" s="624"/>
      <c r="X261" s="624"/>
      <c r="Y261" s="624"/>
      <c r="Z261" s="624"/>
      <c r="AB261" s="624"/>
      <c r="AM261" s="624"/>
      <c r="AN261" s="624"/>
      <c r="AO261" s="624"/>
      <c r="AP261" s="624"/>
      <c r="AQ261" s="624"/>
      <c r="AR261" s="624"/>
      <c r="AS261" s="624"/>
      <c r="AT261" s="624"/>
      <c r="AU261" s="620"/>
      <c r="AV261" s="620"/>
      <c r="AW261" s="673"/>
      <c r="AX261" s="673"/>
      <c r="AY261" s="673"/>
      <c r="AZ261" s="674"/>
      <c r="BA261" s="674"/>
      <c r="BB261" s="665"/>
      <c r="BC261" s="665"/>
      <c r="BD261" s="665"/>
      <c r="BE261" s="665"/>
      <c r="BF261" s="665"/>
      <c r="BG261" s="665"/>
    </row>
    <row r="262" spans="1:59" ht="12" customHeight="1" x14ac:dyDescent="0.2">
      <c r="A262" s="624"/>
      <c r="B262" s="624"/>
      <c r="C262" s="624"/>
      <c r="D262" s="624"/>
      <c r="E262" s="624"/>
      <c r="F262" s="582"/>
      <c r="G262" s="624"/>
      <c r="H262" s="624"/>
      <c r="I262" s="624"/>
      <c r="J262" s="624"/>
      <c r="K262" s="624"/>
      <c r="L262" s="624"/>
      <c r="M262" s="672"/>
      <c r="N262" s="624"/>
      <c r="O262" s="624"/>
      <c r="P262" s="624"/>
      <c r="Q262" s="624"/>
      <c r="R262" s="624"/>
      <c r="T262" s="624"/>
      <c r="U262" s="624"/>
      <c r="V262" s="624"/>
      <c r="W262" s="624"/>
      <c r="X262" s="624"/>
      <c r="Y262" s="624"/>
      <c r="Z262" s="624"/>
      <c r="AB262" s="624"/>
      <c r="AM262" s="624"/>
      <c r="AN262" s="624"/>
      <c r="AO262" s="624"/>
      <c r="AP262" s="624"/>
      <c r="AQ262" s="624"/>
      <c r="AR262" s="624"/>
      <c r="AS262" s="624"/>
      <c r="AT262" s="624"/>
      <c r="AU262" s="620"/>
      <c r="AV262" s="620"/>
      <c r="AW262" s="673"/>
      <c r="AX262" s="673"/>
      <c r="AY262" s="673"/>
      <c r="AZ262" s="674"/>
      <c r="BA262" s="674"/>
      <c r="BB262" s="665"/>
      <c r="BC262" s="665"/>
      <c r="BD262" s="665"/>
      <c r="BE262" s="665"/>
      <c r="BF262" s="665"/>
      <c r="BG262" s="665"/>
    </row>
    <row r="263" spans="1:59" ht="12" customHeight="1" x14ac:dyDescent="0.2">
      <c r="A263" s="624"/>
      <c r="B263" s="624"/>
      <c r="C263" s="624"/>
      <c r="D263" s="624"/>
      <c r="E263" s="624"/>
      <c r="F263" s="582"/>
      <c r="G263" s="624"/>
      <c r="H263" s="624"/>
      <c r="I263" s="624"/>
      <c r="J263" s="624"/>
      <c r="K263" s="624"/>
      <c r="L263" s="624"/>
      <c r="M263" s="672"/>
      <c r="N263" s="624"/>
      <c r="O263" s="624"/>
      <c r="P263" s="624"/>
      <c r="Q263" s="624"/>
      <c r="R263" s="624"/>
      <c r="T263" s="624"/>
      <c r="U263" s="624"/>
      <c r="V263" s="624"/>
      <c r="W263" s="624"/>
      <c r="X263" s="624"/>
      <c r="Y263" s="624"/>
      <c r="Z263" s="624"/>
      <c r="AB263" s="624"/>
      <c r="AM263" s="624"/>
      <c r="AN263" s="624"/>
      <c r="AO263" s="624"/>
      <c r="AP263" s="624"/>
      <c r="AQ263" s="624"/>
      <c r="AR263" s="624"/>
      <c r="AS263" s="624"/>
      <c r="AT263" s="624"/>
      <c r="AU263" s="620"/>
      <c r="AV263" s="620"/>
      <c r="AW263" s="673"/>
      <c r="AX263" s="673"/>
      <c r="AY263" s="673"/>
      <c r="AZ263" s="674"/>
      <c r="BA263" s="674"/>
      <c r="BB263" s="665"/>
      <c r="BC263" s="665"/>
      <c r="BD263" s="665"/>
      <c r="BE263" s="665"/>
      <c r="BF263" s="665"/>
      <c r="BG263" s="665"/>
    </row>
    <row r="264" spans="1:59" ht="12" customHeight="1" x14ac:dyDescent="0.2">
      <c r="A264" s="624"/>
      <c r="B264" s="624"/>
      <c r="C264" s="624"/>
      <c r="D264" s="624"/>
      <c r="E264" s="624"/>
      <c r="F264" s="582"/>
      <c r="G264" s="624"/>
      <c r="H264" s="624"/>
      <c r="I264" s="624"/>
      <c r="J264" s="624"/>
      <c r="K264" s="624"/>
      <c r="L264" s="624"/>
      <c r="M264" s="672"/>
      <c r="N264" s="624"/>
      <c r="O264" s="624"/>
      <c r="P264" s="624"/>
      <c r="Q264" s="624"/>
      <c r="R264" s="624"/>
      <c r="T264" s="624"/>
      <c r="U264" s="624"/>
      <c r="V264" s="624"/>
      <c r="W264" s="624"/>
      <c r="X264" s="624"/>
      <c r="Y264" s="624"/>
      <c r="Z264" s="624"/>
      <c r="AB264" s="624"/>
      <c r="AM264" s="624"/>
      <c r="AN264" s="624"/>
      <c r="AO264" s="624"/>
      <c r="AP264" s="624"/>
      <c r="AQ264" s="624"/>
      <c r="AR264" s="624"/>
      <c r="AS264" s="624"/>
      <c r="AT264" s="624"/>
      <c r="AU264" s="620"/>
      <c r="AV264" s="620"/>
      <c r="AW264" s="673"/>
      <c r="AX264" s="673"/>
      <c r="AY264" s="673"/>
      <c r="AZ264" s="674"/>
      <c r="BA264" s="674"/>
      <c r="BB264" s="665"/>
      <c r="BC264" s="665"/>
      <c r="BD264" s="665"/>
      <c r="BE264" s="665"/>
      <c r="BF264" s="665"/>
      <c r="BG264" s="665"/>
    </row>
    <row r="265" spans="1:59" ht="12" customHeight="1" x14ac:dyDescent="0.2">
      <c r="A265" s="624"/>
      <c r="B265" s="624"/>
      <c r="C265" s="624"/>
      <c r="D265" s="624"/>
      <c r="E265" s="624"/>
      <c r="F265" s="582"/>
      <c r="G265" s="624"/>
      <c r="H265" s="624"/>
      <c r="I265" s="624"/>
      <c r="J265" s="624"/>
      <c r="K265" s="624"/>
      <c r="L265" s="624"/>
      <c r="M265" s="672"/>
      <c r="N265" s="624"/>
      <c r="O265" s="624"/>
      <c r="P265" s="624"/>
      <c r="Q265" s="624"/>
      <c r="R265" s="624"/>
      <c r="T265" s="624"/>
      <c r="U265" s="624"/>
      <c r="V265" s="624"/>
      <c r="W265" s="624"/>
      <c r="X265" s="624"/>
      <c r="Y265" s="624"/>
      <c r="Z265" s="624"/>
      <c r="AB265" s="624"/>
      <c r="AM265" s="624"/>
      <c r="AN265" s="624"/>
      <c r="AO265" s="624"/>
      <c r="AP265" s="624"/>
      <c r="AQ265" s="624"/>
      <c r="AR265" s="624"/>
      <c r="AS265" s="624"/>
      <c r="AT265" s="624"/>
      <c r="AU265" s="620"/>
      <c r="AV265" s="620"/>
      <c r="AW265" s="673"/>
      <c r="AX265" s="673"/>
      <c r="AY265" s="673"/>
      <c r="AZ265" s="674"/>
      <c r="BA265" s="674"/>
      <c r="BB265" s="665"/>
      <c r="BC265" s="665"/>
      <c r="BD265" s="665"/>
      <c r="BE265" s="665"/>
      <c r="BF265" s="665"/>
      <c r="BG265" s="665"/>
    </row>
    <row r="266" spans="1:59" ht="12" customHeight="1" x14ac:dyDescent="0.2">
      <c r="A266" s="624"/>
      <c r="B266" s="624"/>
      <c r="C266" s="624"/>
      <c r="D266" s="624"/>
      <c r="E266" s="624"/>
      <c r="F266" s="582"/>
      <c r="G266" s="624"/>
      <c r="H266" s="624"/>
      <c r="I266" s="624"/>
      <c r="J266" s="624"/>
      <c r="K266" s="624"/>
      <c r="L266" s="624"/>
      <c r="M266" s="672"/>
      <c r="N266" s="624"/>
      <c r="O266" s="624"/>
      <c r="P266" s="624"/>
      <c r="Q266" s="624"/>
      <c r="R266" s="624"/>
      <c r="T266" s="624"/>
      <c r="U266" s="624"/>
      <c r="V266" s="624"/>
      <c r="W266" s="624"/>
      <c r="X266" s="624"/>
      <c r="Y266" s="624"/>
      <c r="Z266" s="624"/>
      <c r="AB266" s="624"/>
      <c r="AM266" s="624"/>
      <c r="AN266" s="624"/>
      <c r="AO266" s="624"/>
      <c r="AP266" s="624"/>
      <c r="AQ266" s="624"/>
      <c r="AR266" s="624"/>
      <c r="AS266" s="624"/>
      <c r="AT266" s="624"/>
      <c r="AU266" s="620"/>
      <c r="AV266" s="620"/>
      <c r="AW266" s="673"/>
      <c r="AX266" s="673"/>
      <c r="AY266" s="673"/>
      <c r="AZ266" s="674"/>
      <c r="BA266" s="674"/>
      <c r="BB266" s="665"/>
      <c r="BC266" s="665"/>
      <c r="BD266" s="665"/>
      <c r="BE266" s="665"/>
      <c r="BF266" s="665"/>
      <c r="BG266" s="665"/>
    </row>
    <row r="267" spans="1:59" ht="12" customHeight="1" x14ac:dyDescent="0.2">
      <c r="A267" s="624"/>
      <c r="B267" s="624"/>
      <c r="C267" s="624"/>
      <c r="D267" s="624"/>
      <c r="E267" s="624"/>
      <c r="F267" s="582"/>
      <c r="G267" s="624"/>
      <c r="H267" s="624"/>
      <c r="I267" s="624"/>
      <c r="J267" s="624"/>
      <c r="K267" s="624"/>
      <c r="L267" s="624"/>
      <c r="M267" s="672"/>
      <c r="N267" s="624"/>
      <c r="O267" s="624"/>
      <c r="P267" s="624"/>
      <c r="Q267" s="624"/>
      <c r="R267" s="624"/>
      <c r="T267" s="624"/>
      <c r="U267" s="624"/>
      <c r="V267" s="624"/>
      <c r="W267" s="624"/>
      <c r="X267" s="624"/>
      <c r="Y267" s="624"/>
      <c r="Z267" s="624"/>
      <c r="AB267" s="624"/>
      <c r="AM267" s="624"/>
      <c r="AN267" s="624"/>
      <c r="AO267" s="624"/>
      <c r="AP267" s="624"/>
      <c r="AQ267" s="624"/>
      <c r="AR267" s="624"/>
      <c r="AS267" s="624"/>
      <c r="AT267" s="624"/>
      <c r="AU267" s="620"/>
      <c r="AV267" s="620"/>
      <c r="AW267" s="673"/>
      <c r="AX267" s="673"/>
      <c r="AY267" s="673"/>
      <c r="AZ267" s="674"/>
      <c r="BA267" s="674"/>
      <c r="BB267" s="665"/>
      <c r="BC267" s="665"/>
      <c r="BD267" s="665"/>
      <c r="BE267" s="665"/>
      <c r="BF267" s="665"/>
      <c r="BG267" s="665"/>
    </row>
    <row r="268" spans="1:59" ht="12" customHeight="1" x14ac:dyDescent="0.2">
      <c r="A268" s="624"/>
      <c r="B268" s="624"/>
      <c r="C268" s="624"/>
      <c r="D268" s="624"/>
      <c r="E268" s="624"/>
      <c r="F268" s="582"/>
      <c r="G268" s="624"/>
      <c r="H268" s="624"/>
      <c r="I268" s="624"/>
      <c r="J268" s="624"/>
      <c r="K268" s="624"/>
      <c r="L268" s="624"/>
      <c r="M268" s="672"/>
      <c r="N268" s="624"/>
      <c r="O268" s="624"/>
      <c r="P268" s="624"/>
      <c r="Q268" s="624"/>
      <c r="R268" s="624"/>
      <c r="T268" s="624"/>
      <c r="U268" s="624"/>
      <c r="V268" s="624"/>
      <c r="W268" s="624"/>
      <c r="X268" s="624"/>
      <c r="Y268" s="624"/>
      <c r="Z268" s="624"/>
      <c r="AB268" s="624"/>
      <c r="AM268" s="624"/>
      <c r="AN268" s="624"/>
      <c r="AO268" s="624"/>
      <c r="AP268" s="624"/>
      <c r="AQ268" s="624"/>
      <c r="AR268" s="624"/>
      <c r="AS268" s="624"/>
      <c r="AT268" s="624"/>
      <c r="AU268" s="620"/>
      <c r="AV268" s="620"/>
      <c r="AW268" s="673"/>
      <c r="AX268" s="673"/>
      <c r="AY268" s="673"/>
      <c r="AZ268" s="674"/>
      <c r="BA268" s="674"/>
      <c r="BB268" s="665"/>
      <c r="BC268" s="665"/>
      <c r="BD268" s="665"/>
      <c r="BE268" s="665"/>
      <c r="BF268" s="665"/>
      <c r="BG268" s="665"/>
    </row>
    <row r="269" spans="1:59" ht="12" customHeight="1" x14ac:dyDescent="0.2">
      <c r="A269" s="624"/>
      <c r="B269" s="624"/>
      <c r="C269" s="624"/>
      <c r="D269" s="624"/>
      <c r="E269" s="624"/>
      <c r="F269" s="582"/>
      <c r="G269" s="624"/>
      <c r="H269" s="624"/>
      <c r="I269" s="624"/>
      <c r="J269" s="624"/>
      <c r="K269" s="624"/>
      <c r="L269" s="624"/>
      <c r="M269" s="672"/>
      <c r="N269" s="624"/>
      <c r="O269" s="624"/>
      <c r="P269" s="624"/>
      <c r="Q269" s="624"/>
      <c r="R269" s="624"/>
      <c r="T269" s="624"/>
      <c r="U269" s="624"/>
      <c r="V269" s="624"/>
      <c r="W269" s="624"/>
      <c r="X269" s="624"/>
      <c r="Y269" s="624"/>
      <c r="Z269" s="624"/>
      <c r="AB269" s="624"/>
      <c r="AM269" s="624"/>
      <c r="AN269" s="624"/>
      <c r="AO269" s="624"/>
      <c r="AP269" s="624"/>
      <c r="AQ269" s="624"/>
      <c r="AR269" s="624"/>
      <c r="AS269" s="624"/>
      <c r="AT269" s="624"/>
      <c r="AU269" s="620"/>
      <c r="AV269" s="620"/>
      <c r="AW269" s="673"/>
      <c r="AX269" s="673"/>
      <c r="AY269" s="673"/>
      <c r="AZ269" s="674"/>
      <c r="BA269" s="674"/>
      <c r="BB269" s="665"/>
      <c r="BC269" s="665"/>
      <c r="BD269" s="665"/>
      <c r="BE269" s="665"/>
      <c r="BF269" s="665"/>
      <c r="BG269" s="665"/>
    </row>
    <row r="270" spans="1:59" ht="12" customHeight="1" x14ac:dyDescent="0.2">
      <c r="A270" s="624"/>
      <c r="B270" s="624"/>
      <c r="C270" s="624"/>
      <c r="D270" s="624"/>
      <c r="E270" s="624"/>
      <c r="F270" s="582"/>
      <c r="G270" s="624"/>
      <c r="H270" s="624"/>
      <c r="I270" s="624"/>
      <c r="J270" s="624"/>
      <c r="K270" s="624"/>
      <c r="L270" s="624"/>
      <c r="M270" s="672"/>
      <c r="N270" s="624"/>
      <c r="O270" s="624"/>
      <c r="P270" s="624"/>
      <c r="Q270" s="624"/>
      <c r="R270" s="624"/>
      <c r="T270" s="624"/>
      <c r="U270" s="624"/>
      <c r="V270" s="624"/>
      <c r="W270" s="624"/>
      <c r="X270" s="624"/>
      <c r="Y270" s="624"/>
      <c r="Z270" s="624"/>
      <c r="AB270" s="624"/>
      <c r="AM270" s="624"/>
      <c r="AN270" s="624"/>
      <c r="AO270" s="624"/>
      <c r="AP270" s="624"/>
      <c r="AQ270" s="624"/>
      <c r="AR270" s="624"/>
      <c r="AS270" s="624"/>
      <c r="AT270" s="624"/>
      <c r="AU270" s="620"/>
      <c r="AV270" s="620"/>
      <c r="AW270" s="673"/>
      <c r="AX270" s="673"/>
      <c r="AY270" s="673"/>
      <c r="AZ270" s="674"/>
      <c r="BA270" s="674"/>
      <c r="BB270" s="665"/>
      <c r="BC270" s="665"/>
      <c r="BD270" s="665"/>
      <c r="BE270" s="665"/>
      <c r="BF270" s="665"/>
      <c r="BG270" s="665"/>
    </row>
    <row r="271" spans="1:59" ht="12" customHeight="1" x14ac:dyDescent="0.2">
      <c r="A271" s="624"/>
      <c r="B271" s="624"/>
      <c r="C271" s="624"/>
      <c r="D271" s="624"/>
      <c r="E271" s="624"/>
      <c r="F271" s="582"/>
      <c r="G271" s="624"/>
      <c r="H271" s="624"/>
      <c r="I271" s="624"/>
      <c r="J271" s="624"/>
      <c r="K271" s="624"/>
      <c r="L271" s="624"/>
      <c r="M271" s="672"/>
      <c r="N271" s="624"/>
      <c r="O271" s="624"/>
      <c r="P271" s="624"/>
      <c r="Q271" s="624"/>
      <c r="R271" s="624"/>
      <c r="T271" s="624"/>
      <c r="U271" s="624"/>
      <c r="V271" s="624"/>
      <c r="W271" s="624"/>
      <c r="X271" s="624"/>
      <c r="Y271" s="624"/>
      <c r="Z271" s="624"/>
      <c r="AB271" s="624"/>
      <c r="AM271" s="624"/>
      <c r="AN271" s="624"/>
      <c r="AO271" s="624"/>
      <c r="AP271" s="624"/>
      <c r="AQ271" s="624"/>
      <c r="AR271" s="624"/>
      <c r="AS271" s="624"/>
      <c r="AT271" s="624"/>
      <c r="AU271" s="620"/>
      <c r="AV271" s="620"/>
      <c r="AW271" s="673"/>
      <c r="AX271" s="673"/>
      <c r="AY271" s="673"/>
      <c r="AZ271" s="674"/>
      <c r="BA271" s="674"/>
      <c r="BB271" s="665"/>
      <c r="BC271" s="665"/>
      <c r="BD271" s="665"/>
      <c r="BE271" s="665"/>
      <c r="BF271" s="665"/>
      <c r="BG271" s="665"/>
    </row>
    <row r="272" spans="1:59" ht="12" customHeight="1" x14ac:dyDescent="0.2">
      <c r="A272" s="624"/>
      <c r="B272" s="624"/>
      <c r="C272" s="624"/>
      <c r="D272" s="624"/>
      <c r="E272" s="624"/>
      <c r="F272" s="582"/>
      <c r="G272" s="624"/>
      <c r="H272" s="624"/>
      <c r="I272" s="624"/>
      <c r="J272" s="624"/>
      <c r="K272" s="624"/>
      <c r="L272" s="624"/>
      <c r="M272" s="672"/>
      <c r="N272" s="624"/>
      <c r="O272" s="624"/>
      <c r="P272" s="624"/>
      <c r="Q272" s="624"/>
      <c r="R272" s="624"/>
      <c r="T272" s="624"/>
      <c r="U272" s="624"/>
      <c r="V272" s="624"/>
      <c r="W272" s="624"/>
      <c r="X272" s="624"/>
      <c r="Y272" s="624"/>
      <c r="Z272" s="624"/>
      <c r="AB272" s="624"/>
      <c r="AM272" s="624"/>
      <c r="AN272" s="624"/>
      <c r="AO272" s="624"/>
      <c r="AP272" s="624"/>
      <c r="AQ272" s="624"/>
      <c r="AR272" s="624"/>
      <c r="AS272" s="624"/>
      <c r="AT272" s="624"/>
      <c r="AU272" s="620"/>
      <c r="AV272" s="620"/>
      <c r="AW272" s="673"/>
      <c r="AX272" s="673"/>
      <c r="AY272" s="673"/>
      <c r="AZ272" s="674"/>
      <c r="BA272" s="674"/>
      <c r="BB272" s="665"/>
      <c r="BC272" s="665"/>
      <c r="BD272" s="665"/>
      <c r="BE272" s="665"/>
      <c r="BF272" s="665"/>
      <c r="BG272" s="665"/>
    </row>
    <row r="273" spans="1:59" ht="12" customHeight="1" x14ac:dyDescent="0.2">
      <c r="A273" s="624"/>
      <c r="B273" s="624"/>
      <c r="C273" s="624"/>
      <c r="D273" s="624"/>
      <c r="E273" s="624"/>
      <c r="F273" s="582"/>
      <c r="G273" s="624"/>
      <c r="H273" s="624"/>
      <c r="I273" s="624"/>
      <c r="J273" s="624"/>
      <c r="K273" s="624"/>
      <c r="L273" s="624"/>
      <c r="M273" s="672"/>
      <c r="N273" s="624"/>
      <c r="O273" s="624"/>
      <c r="P273" s="624"/>
      <c r="Q273" s="624"/>
      <c r="R273" s="624"/>
      <c r="T273" s="624"/>
      <c r="U273" s="624"/>
      <c r="V273" s="624"/>
      <c r="W273" s="624"/>
      <c r="X273" s="624"/>
      <c r="Y273" s="624"/>
      <c r="Z273" s="624"/>
      <c r="AB273" s="624"/>
      <c r="AM273" s="624"/>
      <c r="AN273" s="624"/>
      <c r="AO273" s="624"/>
      <c r="AP273" s="624"/>
      <c r="AQ273" s="624"/>
      <c r="AR273" s="624"/>
      <c r="AS273" s="624"/>
      <c r="AT273" s="624"/>
      <c r="AU273" s="620"/>
      <c r="AV273" s="620"/>
      <c r="AW273" s="673"/>
      <c r="AX273" s="673"/>
      <c r="AY273" s="673"/>
      <c r="AZ273" s="674"/>
      <c r="BA273" s="674"/>
      <c r="BB273" s="665"/>
      <c r="BC273" s="665"/>
      <c r="BD273" s="665"/>
      <c r="BE273" s="665"/>
      <c r="BF273" s="665"/>
      <c r="BG273" s="665"/>
    </row>
    <row r="274" spans="1:59" ht="12" customHeight="1" x14ac:dyDescent="0.2">
      <c r="A274" s="624"/>
      <c r="B274" s="624"/>
      <c r="C274" s="624"/>
      <c r="D274" s="624"/>
      <c r="E274" s="624"/>
      <c r="F274" s="582"/>
      <c r="G274" s="624"/>
      <c r="H274" s="624"/>
      <c r="I274" s="624"/>
      <c r="J274" s="624"/>
      <c r="K274" s="624"/>
      <c r="L274" s="624"/>
      <c r="M274" s="672"/>
      <c r="N274" s="624"/>
      <c r="O274" s="624"/>
      <c r="P274" s="624"/>
      <c r="Q274" s="624"/>
      <c r="R274" s="624"/>
      <c r="T274" s="624"/>
      <c r="U274" s="624"/>
      <c r="V274" s="624"/>
      <c r="W274" s="624"/>
      <c r="X274" s="624"/>
      <c r="Y274" s="624"/>
      <c r="Z274" s="624"/>
      <c r="AB274" s="624"/>
      <c r="AM274" s="624"/>
      <c r="AN274" s="624"/>
      <c r="AO274" s="624"/>
      <c r="AP274" s="624"/>
      <c r="AQ274" s="624"/>
      <c r="AR274" s="624"/>
      <c r="AS274" s="624"/>
      <c r="AT274" s="624"/>
      <c r="AU274" s="620"/>
      <c r="AV274" s="620"/>
      <c r="AW274" s="673"/>
      <c r="AX274" s="673"/>
      <c r="AY274" s="673"/>
      <c r="AZ274" s="674"/>
      <c r="BA274" s="674"/>
      <c r="BB274" s="665"/>
      <c r="BC274" s="665"/>
      <c r="BD274" s="665"/>
      <c r="BE274" s="665"/>
      <c r="BF274" s="665"/>
      <c r="BG274" s="665"/>
    </row>
    <row r="275" spans="1:59" ht="12" customHeight="1" x14ac:dyDescent="0.2">
      <c r="A275" s="624"/>
      <c r="B275" s="624"/>
      <c r="C275" s="624"/>
      <c r="D275" s="624"/>
      <c r="E275" s="624"/>
      <c r="F275" s="582"/>
      <c r="G275" s="624"/>
      <c r="H275" s="624"/>
      <c r="I275" s="624"/>
      <c r="J275" s="624"/>
      <c r="K275" s="624"/>
      <c r="L275" s="624"/>
      <c r="M275" s="672"/>
      <c r="N275" s="624"/>
      <c r="O275" s="624"/>
      <c r="P275" s="624"/>
      <c r="Q275" s="624"/>
      <c r="R275" s="624"/>
      <c r="T275" s="677"/>
      <c r="U275" s="677"/>
      <c r="V275" s="624"/>
      <c r="W275" s="624"/>
      <c r="X275" s="624"/>
      <c r="Y275" s="624"/>
      <c r="Z275" s="624"/>
      <c r="AB275" s="624"/>
      <c r="AM275" s="624"/>
      <c r="AN275" s="624"/>
      <c r="AO275" s="624"/>
      <c r="AP275" s="624"/>
      <c r="AQ275" s="624"/>
      <c r="AR275" s="624"/>
      <c r="AS275" s="624"/>
      <c r="AT275" s="624"/>
      <c r="AU275" s="620"/>
      <c r="AV275" s="620"/>
      <c r="AW275" s="673"/>
      <c r="AX275" s="673"/>
      <c r="AY275" s="673"/>
      <c r="AZ275" s="674"/>
      <c r="BA275" s="674"/>
      <c r="BB275" s="665"/>
      <c r="BC275" s="665"/>
      <c r="BD275" s="665"/>
      <c r="BE275" s="665"/>
      <c r="BF275" s="665"/>
      <c r="BG275" s="665"/>
    </row>
    <row r="276" spans="1:59" ht="12" customHeight="1" x14ac:dyDescent="0.2">
      <c r="A276" s="624"/>
      <c r="B276" s="624"/>
      <c r="C276" s="624"/>
      <c r="D276" s="624"/>
      <c r="E276" s="624"/>
      <c r="F276" s="582"/>
      <c r="G276" s="624"/>
      <c r="H276" s="624"/>
      <c r="I276" s="624"/>
      <c r="J276" s="624"/>
      <c r="K276" s="624"/>
      <c r="L276" s="624"/>
      <c r="M276" s="672"/>
      <c r="N276" s="624"/>
      <c r="O276" s="624"/>
      <c r="P276" s="624"/>
      <c r="Q276" s="624"/>
      <c r="R276" s="624"/>
      <c r="T276" s="677"/>
      <c r="U276" s="677"/>
      <c r="V276" s="624"/>
      <c r="W276" s="624"/>
      <c r="X276" s="624"/>
      <c r="Y276" s="624"/>
      <c r="Z276" s="624"/>
      <c r="AB276" s="624"/>
      <c r="AM276" s="624"/>
      <c r="AN276" s="624"/>
      <c r="AO276" s="624"/>
      <c r="AP276" s="624"/>
      <c r="AQ276" s="624"/>
      <c r="AR276" s="624"/>
      <c r="AS276" s="624"/>
      <c r="AT276" s="624"/>
      <c r="AU276" s="620"/>
      <c r="AV276" s="620"/>
      <c r="AW276" s="673"/>
      <c r="AX276" s="673"/>
      <c r="AY276" s="673"/>
      <c r="AZ276" s="674"/>
      <c r="BA276" s="674"/>
      <c r="BB276" s="665"/>
      <c r="BC276" s="665"/>
      <c r="BD276" s="665"/>
      <c r="BE276" s="665"/>
      <c r="BF276" s="665"/>
      <c r="BG276" s="665"/>
    </row>
    <row r="277" spans="1:59" ht="12" customHeight="1" x14ac:dyDescent="0.2">
      <c r="A277" s="624"/>
      <c r="B277" s="624"/>
      <c r="C277" s="624"/>
      <c r="D277" s="624"/>
      <c r="E277" s="624"/>
      <c r="F277" s="582"/>
      <c r="G277" s="624"/>
      <c r="H277" s="624"/>
      <c r="I277" s="624"/>
      <c r="J277" s="624"/>
      <c r="K277" s="624"/>
      <c r="L277" s="624"/>
      <c r="M277" s="672"/>
      <c r="N277" s="624"/>
      <c r="O277" s="624"/>
      <c r="P277" s="624"/>
      <c r="Q277" s="624"/>
      <c r="R277" s="624"/>
      <c r="T277" s="677"/>
      <c r="U277" s="677"/>
      <c r="V277" s="624"/>
      <c r="W277" s="624"/>
      <c r="X277" s="624"/>
      <c r="Y277" s="624"/>
      <c r="Z277" s="624"/>
      <c r="AB277" s="624"/>
      <c r="AM277" s="624"/>
      <c r="AN277" s="624"/>
      <c r="AO277" s="624"/>
      <c r="AP277" s="624"/>
      <c r="AQ277" s="624"/>
      <c r="AR277" s="624"/>
      <c r="AS277" s="624"/>
      <c r="AT277" s="624"/>
      <c r="AU277" s="620"/>
      <c r="AV277" s="620"/>
      <c r="AW277" s="673"/>
      <c r="AX277" s="673"/>
      <c r="AY277" s="673"/>
      <c r="AZ277" s="674"/>
      <c r="BA277" s="674"/>
      <c r="BB277" s="665"/>
      <c r="BC277" s="665"/>
      <c r="BD277" s="665"/>
      <c r="BE277" s="665"/>
      <c r="BF277" s="665"/>
      <c r="BG277" s="665"/>
    </row>
    <row r="278" spans="1:59" ht="12" customHeight="1" x14ac:dyDescent="0.2">
      <c r="A278" s="624"/>
      <c r="B278" s="624"/>
      <c r="C278" s="624"/>
      <c r="D278" s="624"/>
      <c r="E278" s="624"/>
      <c r="F278" s="582"/>
      <c r="G278" s="624"/>
      <c r="H278" s="624"/>
      <c r="I278" s="624"/>
      <c r="J278" s="624"/>
      <c r="K278" s="624"/>
      <c r="L278" s="624"/>
      <c r="M278" s="672"/>
      <c r="N278" s="624"/>
      <c r="O278" s="624"/>
      <c r="P278" s="624"/>
      <c r="Q278" s="624"/>
      <c r="R278" s="624"/>
      <c r="T278" s="677"/>
      <c r="U278" s="677"/>
      <c r="V278" s="624"/>
      <c r="W278" s="624"/>
      <c r="X278" s="624"/>
      <c r="Y278" s="624"/>
      <c r="Z278" s="624"/>
      <c r="AB278" s="624"/>
      <c r="AM278" s="624"/>
      <c r="AN278" s="624"/>
      <c r="AO278" s="624"/>
      <c r="AP278" s="624"/>
      <c r="AQ278" s="624"/>
      <c r="AR278" s="624"/>
      <c r="AS278" s="624"/>
      <c r="AT278" s="624"/>
      <c r="AU278" s="620"/>
      <c r="AV278" s="620"/>
      <c r="AW278" s="673"/>
      <c r="AX278" s="673"/>
      <c r="AY278" s="673"/>
      <c r="AZ278" s="674"/>
      <c r="BA278" s="674"/>
      <c r="BB278" s="665"/>
      <c r="BC278" s="665"/>
      <c r="BD278" s="665"/>
      <c r="BE278" s="665"/>
      <c r="BF278" s="665"/>
      <c r="BG278" s="665"/>
    </row>
    <row r="279" spans="1:59" ht="12" customHeight="1" x14ac:dyDescent="0.2">
      <c r="A279" s="624"/>
      <c r="B279" s="624"/>
      <c r="C279" s="624"/>
      <c r="D279" s="624"/>
      <c r="E279" s="624"/>
      <c r="F279" s="582"/>
      <c r="G279" s="624"/>
      <c r="H279" s="624"/>
      <c r="I279" s="624"/>
      <c r="J279" s="624"/>
      <c r="K279" s="624"/>
      <c r="L279" s="624"/>
      <c r="M279" s="672"/>
      <c r="N279" s="624"/>
      <c r="O279" s="624"/>
      <c r="P279" s="624"/>
      <c r="Q279" s="624"/>
      <c r="R279" s="624"/>
      <c r="T279" s="677"/>
      <c r="U279" s="677"/>
      <c r="V279" s="624"/>
      <c r="W279" s="624"/>
      <c r="X279" s="624"/>
      <c r="Y279" s="624"/>
      <c r="Z279" s="624"/>
      <c r="AB279" s="624"/>
      <c r="AM279" s="624"/>
      <c r="AN279" s="624"/>
      <c r="AO279" s="624"/>
      <c r="AP279" s="624"/>
      <c r="AQ279" s="624"/>
      <c r="AR279" s="624"/>
      <c r="AS279" s="624"/>
      <c r="AT279" s="624"/>
      <c r="AU279" s="620"/>
      <c r="AV279" s="620"/>
      <c r="AW279" s="673"/>
      <c r="AX279" s="673"/>
      <c r="AY279" s="673"/>
      <c r="AZ279" s="674"/>
      <c r="BA279" s="674"/>
      <c r="BB279" s="665"/>
      <c r="BC279" s="665"/>
      <c r="BD279" s="665"/>
      <c r="BE279" s="665"/>
      <c r="BF279" s="665"/>
      <c r="BG279" s="665"/>
    </row>
    <row r="280" spans="1:59" ht="12" customHeight="1" x14ac:dyDescent="0.2">
      <c r="A280" s="624"/>
      <c r="B280" s="624"/>
      <c r="C280" s="624"/>
      <c r="D280" s="624"/>
      <c r="E280" s="624"/>
      <c r="F280" s="582"/>
      <c r="G280" s="624"/>
      <c r="H280" s="624"/>
      <c r="I280" s="624"/>
      <c r="J280" s="624"/>
      <c r="K280" s="624"/>
      <c r="L280" s="624"/>
      <c r="M280" s="672"/>
      <c r="N280" s="624"/>
      <c r="O280" s="624"/>
      <c r="P280" s="624"/>
      <c r="Q280" s="624"/>
      <c r="R280" s="624"/>
      <c r="T280" s="677"/>
      <c r="U280" s="677"/>
      <c r="V280" s="624"/>
      <c r="W280" s="624"/>
      <c r="X280" s="624"/>
      <c r="Y280" s="624"/>
      <c r="Z280" s="624"/>
      <c r="AB280" s="624"/>
      <c r="AM280" s="624"/>
      <c r="AN280" s="624"/>
      <c r="AO280" s="624"/>
      <c r="AP280" s="624"/>
      <c r="AQ280" s="624"/>
      <c r="AR280" s="624"/>
      <c r="AS280" s="624"/>
      <c r="AT280" s="624"/>
      <c r="AU280" s="620"/>
      <c r="AV280" s="620"/>
      <c r="AW280" s="673"/>
      <c r="AX280" s="673"/>
      <c r="AY280" s="673"/>
      <c r="AZ280" s="674"/>
      <c r="BA280" s="674"/>
      <c r="BB280" s="665"/>
      <c r="BC280" s="665"/>
      <c r="BD280" s="665"/>
      <c r="BE280" s="665"/>
      <c r="BF280" s="665"/>
      <c r="BG280" s="665"/>
    </row>
    <row r="281" spans="1:59" ht="12" customHeight="1" x14ac:dyDescent="0.2">
      <c r="A281" s="624"/>
      <c r="B281" s="624"/>
      <c r="C281" s="624"/>
      <c r="D281" s="624"/>
      <c r="E281" s="624"/>
      <c r="F281" s="582"/>
      <c r="G281" s="624"/>
      <c r="H281" s="624"/>
      <c r="I281" s="624"/>
      <c r="J281" s="624"/>
      <c r="K281" s="624"/>
      <c r="L281" s="624"/>
      <c r="M281" s="672"/>
      <c r="N281" s="624"/>
      <c r="O281" s="624"/>
      <c r="P281" s="624"/>
      <c r="Q281" s="624"/>
      <c r="R281" s="624"/>
      <c r="T281" s="677"/>
      <c r="U281" s="677"/>
      <c r="V281" s="624"/>
      <c r="W281" s="624"/>
      <c r="X281" s="624"/>
      <c r="Y281" s="624"/>
      <c r="Z281" s="624"/>
      <c r="AB281" s="624"/>
      <c r="AM281" s="624"/>
      <c r="AN281" s="624"/>
      <c r="AO281" s="624"/>
      <c r="AP281" s="624"/>
      <c r="AQ281" s="624"/>
      <c r="AR281" s="624"/>
      <c r="AS281" s="624"/>
      <c r="AT281" s="624"/>
      <c r="AU281" s="620"/>
      <c r="AV281" s="620"/>
      <c r="AW281" s="673"/>
      <c r="AX281" s="673"/>
      <c r="AY281" s="673"/>
      <c r="AZ281" s="674"/>
      <c r="BA281" s="674"/>
      <c r="BB281" s="665"/>
      <c r="BC281" s="665"/>
      <c r="BD281" s="665"/>
      <c r="BE281" s="665"/>
      <c r="BF281" s="665"/>
      <c r="BG281" s="665"/>
    </row>
    <row r="282" spans="1:59" ht="12" customHeight="1" x14ac:dyDescent="0.2">
      <c r="A282" s="624"/>
      <c r="B282" s="624"/>
      <c r="C282" s="624"/>
      <c r="D282" s="624"/>
      <c r="E282" s="624"/>
      <c r="F282" s="582"/>
      <c r="G282" s="624"/>
      <c r="H282" s="624"/>
      <c r="I282" s="624"/>
      <c r="J282" s="624"/>
      <c r="K282" s="624"/>
      <c r="L282" s="624"/>
      <c r="M282" s="672"/>
      <c r="N282" s="624"/>
      <c r="O282" s="624"/>
      <c r="P282" s="624"/>
      <c r="Q282" s="624"/>
      <c r="R282" s="624"/>
      <c r="T282" s="677"/>
      <c r="U282" s="677"/>
      <c r="V282" s="624"/>
      <c r="W282" s="624"/>
      <c r="X282" s="624"/>
      <c r="Y282" s="624"/>
      <c r="Z282" s="624"/>
      <c r="AB282" s="624"/>
      <c r="AM282" s="624"/>
      <c r="AN282" s="624"/>
      <c r="AO282" s="624"/>
      <c r="AP282" s="624"/>
      <c r="AQ282" s="624"/>
      <c r="AR282" s="624"/>
      <c r="AS282" s="624"/>
      <c r="AT282" s="624"/>
      <c r="AU282" s="620"/>
      <c r="AV282" s="620"/>
      <c r="AW282" s="673"/>
      <c r="AX282" s="673"/>
      <c r="AY282" s="673"/>
      <c r="AZ282" s="674"/>
      <c r="BA282" s="674"/>
      <c r="BB282" s="665"/>
      <c r="BC282" s="665"/>
      <c r="BD282" s="665"/>
      <c r="BE282" s="665"/>
      <c r="BF282" s="665"/>
      <c r="BG282" s="665"/>
    </row>
    <row r="283" spans="1:59" ht="12" customHeight="1" x14ac:dyDescent="0.2">
      <c r="A283" s="624"/>
      <c r="B283" s="624"/>
      <c r="C283" s="624"/>
      <c r="D283" s="624"/>
      <c r="E283" s="624"/>
      <c r="F283" s="582"/>
      <c r="G283" s="624"/>
      <c r="H283" s="624"/>
      <c r="I283" s="624"/>
      <c r="J283" s="624"/>
      <c r="K283" s="624"/>
      <c r="L283" s="624"/>
      <c r="M283" s="672"/>
      <c r="N283" s="624"/>
      <c r="O283" s="624"/>
      <c r="P283" s="624"/>
      <c r="Q283" s="624"/>
      <c r="R283" s="624"/>
      <c r="T283" s="677"/>
      <c r="U283" s="677"/>
      <c r="V283" s="624"/>
      <c r="W283" s="624"/>
      <c r="X283" s="624"/>
      <c r="Y283" s="624"/>
      <c r="Z283" s="624"/>
      <c r="AB283" s="624"/>
      <c r="AM283" s="624"/>
      <c r="AN283" s="624"/>
      <c r="AO283" s="624"/>
      <c r="AP283" s="624"/>
      <c r="AQ283" s="624"/>
      <c r="AR283" s="624"/>
      <c r="AS283" s="624"/>
      <c r="AT283" s="624"/>
      <c r="AU283" s="620"/>
      <c r="AV283" s="620"/>
      <c r="AW283" s="673"/>
      <c r="AX283" s="673"/>
      <c r="AY283" s="673"/>
      <c r="AZ283" s="674"/>
      <c r="BA283" s="674"/>
      <c r="BB283" s="665"/>
      <c r="BC283" s="665"/>
      <c r="BD283" s="665"/>
      <c r="BE283" s="665"/>
      <c r="BF283" s="665"/>
      <c r="BG283" s="665"/>
    </row>
    <row r="284" spans="1:59" ht="12" customHeight="1" x14ac:dyDescent="0.2">
      <c r="A284" s="624"/>
      <c r="B284" s="624"/>
      <c r="C284" s="624"/>
      <c r="D284" s="624"/>
      <c r="E284" s="624"/>
      <c r="F284" s="582"/>
      <c r="G284" s="624"/>
      <c r="H284" s="624"/>
      <c r="I284" s="624"/>
      <c r="J284" s="624"/>
      <c r="K284" s="624"/>
      <c r="L284" s="624"/>
      <c r="M284" s="672"/>
      <c r="N284" s="624"/>
      <c r="O284" s="624"/>
      <c r="P284" s="624"/>
      <c r="Q284" s="624"/>
      <c r="R284" s="624"/>
      <c r="T284" s="677"/>
      <c r="U284" s="677"/>
      <c r="V284" s="624"/>
      <c r="W284" s="624"/>
      <c r="X284" s="624"/>
      <c r="Y284" s="624"/>
      <c r="Z284" s="624"/>
      <c r="AB284" s="624"/>
      <c r="AM284" s="624"/>
      <c r="AN284" s="624"/>
      <c r="AO284" s="624"/>
      <c r="AP284" s="624"/>
      <c r="AQ284" s="624"/>
      <c r="AR284" s="624"/>
      <c r="AS284" s="624"/>
      <c r="AT284" s="624"/>
      <c r="AU284" s="620"/>
      <c r="AV284" s="620"/>
      <c r="AW284" s="673"/>
      <c r="AX284" s="673"/>
      <c r="AY284" s="673"/>
      <c r="AZ284" s="674"/>
      <c r="BA284" s="674"/>
      <c r="BB284" s="665"/>
      <c r="BC284" s="665"/>
      <c r="BD284" s="665"/>
      <c r="BE284" s="665"/>
      <c r="BF284" s="665"/>
      <c r="BG284" s="665"/>
    </row>
    <row r="285" spans="1:59" ht="12" customHeight="1" x14ac:dyDescent="0.2">
      <c r="A285" s="624"/>
      <c r="B285" s="624"/>
      <c r="C285" s="624"/>
      <c r="D285" s="624"/>
      <c r="E285" s="624"/>
      <c r="F285" s="582"/>
      <c r="G285" s="624"/>
      <c r="H285" s="624"/>
      <c r="I285" s="624"/>
      <c r="J285" s="624"/>
      <c r="K285" s="624"/>
      <c r="L285" s="624"/>
      <c r="M285" s="672"/>
      <c r="N285" s="624"/>
      <c r="O285" s="624"/>
      <c r="P285" s="624"/>
      <c r="Q285" s="624"/>
      <c r="R285" s="624"/>
      <c r="T285" s="677"/>
      <c r="U285" s="677"/>
      <c r="V285" s="624"/>
      <c r="W285" s="624"/>
      <c r="X285" s="624"/>
      <c r="Y285" s="624"/>
      <c r="Z285" s="624"/>
      <c r="AB285" s="624"/>
      <c r="AM285" s="624"/>
      <c r="AN285" s="624"/>
      <c r="AO285" s="624"/>
      <c r="AP285" s="624"/>
      <c r="AQ285" s="624"/>
      <c r="AR285" s="624"/>
      <c r="AS285" s="624"/>
      <c r="AT285" s="624"/>
      <c r="AU285" s="620"/>
      <c r="AV285" s="620"/>
      <c r="AW285" s="673"/>
      <c r="AX285" s="673"/>
      <c r="AY285" s="673"/>
      <c r="AZ285" s="674"/>
      <c r="BA285" s="674"/>
      <c r="BB285" s="665"/>
      <c r="BC285" s="665"/>
      <c r="BD285" s="665"/>
      <c r="BE285" s="665"/>
      <c r="BF285" s="665"/>
      <c r="BG285" s="665"/>
    </row>
    <row r="286" spans="1:59" ht="12" customHeight="1" x14ac:dyDescent="0.2">
      <c r="A286" s="624"/>
      <c r="B286" s="624"/>
      <c r="C286" s="624"/>
      <c r="D286" s="624"/>
      <c r="E286" s="624"/>
      <c r="F286" s="582"/>
      <c r="G286" s="624"/>
      <c r="H286" s="624"/>
      <c r="I286" s="624"/>
      <c r="J286" s="624"/>
      <c r="K286" s="624"/>
      <c r="L286" s="624"/>
      <c r="M286" s="672"/>
      <c r="N286" s="624"/>
      <c r="O286" s="624"/>
      <c r="P286" s="624"/>
      <c r="Q286" s="624"/>
      <c r="R286" s="624"/>
      <c r="T286" s="677"/>
      <c r="U286" s="677"/>
      <c r="V286" s="624"/>
      <c r="W286" s="624"/>
      <c r="X286" s="624"/>
      <c r="Y286" s="624"/>
      <c r="Z286" s="624"/>
      <c r="AB286" s="624"/>
      <c r="AM286" s="624"/>
      <c r="AN286" s="624"/>
      <c r="AO286" s="624"/>
      <c r="AP286" s="624"/>
      <c r="AQ286" s="624"/>
      <c r="AR286" s="624"/>
      <c r="AS286" s="624"/>
      <c r="AT286" s="624"/>
      <c r="AU286" s="620"/>
      <c r="AV286" s="620"/>
      <c r="AW286" s="673"/>
      <c r="AX286" s="673"/>
      <c r="AY286" s="673"/>
      <c r="AZ286" s="674"/>
      <c r="BA286" s="674"/>
      <c r="BB286" s="665"/>
      <c r="BC286" s="665"/>
      <c r="BD286" s="665"/>
      <c r="BE286" s="665"/>
      <c r="BF286" s="665"/>
      <c r="BG286" s="665"/>
    </row>
    <row r="287" spans="1:59" ht="12" customHeight="1" x14ac:dyDescent="0.2">
      <c r="A287" s="624"/>
      <c r="B287" s="624"/>
      <c r="C287" s="624"/>
      <c r="D287" s="624"/>
      <c r="E287" s="624"/>
      <c r="F287" s="582"/>
      <c r="G287" s="624"/>
      <c r="H287" s="624"/>
      <c r="I287" s="624"/>
      <c r="J287" s="624"/>
      <c r="K287" s="624"/>
      <c r="L287" s="624"/>
      <c r="M287" s="672"/>
      <c r="N287" s="624"/>
      <c r="O287" s="624"/>
      <c r="P287" s="624"/>
      <c r="Q287" s="624"/>
      <c r="R287" s="624"/>
      <c r="T287" s="678"/>
      <c r="U287" s="678"/>
      <c r="V287" s="624"/>
      <c r="W287" s="624"/>
      <c r="X287" s="624"/>
      <c r="Y287" s="624"/>
      <c r="Z287" s="624"/>
      <c r="AB287" s="624"/>
      <c r="AM287" s="624"/>
      <c r="AN287" s="624"/>
      <c r="AO287" s="624"/>
      <c r="AP287" s="624"/>
      <c r="AQ287" s="624"/>
      <c r="AR287" s="624"/>
      <c r="AS287" s="624"/>
      <c r="AT287" s="624"/>
      <c r="AU287" s="620"/>
      <c r="AV287" s="620"/>
      <c r="AW287" s="673"/>
      <c r="AX287" s="673"/>
      <c r="AY287" s="673"/>
      <c r="AZ287" s="674"/>
      <c r="BA287" s="674"/>
      <c r="BB287" s="665"/>
      <c r="BC287" s="665"/>
      <c r="BD287" s="665"/>
      <c r="BE287" s="665"/>
      <c r="BF287" s="665"/>
      <c r="BG287" s="665"/>
    </row>
    <row r="288" spans="1:59" ht="12" customHeight="1" x14ac:dyDescent="0.2">
      <c r="A288" s="624"/>
      <c r="B288" s="624"/>
      <c r="C288" s="624"/>
      <c r="D288" s="624"/>
      <c r="E288" s="624"/>
      <c r="F288" s="582"/>
      <c r="G288" s="624"/>
      <c r="H288" s="624"/>
      <c r="I288" s="624"/>
      <c r="J288" s="624"/>
      <c r="K288" s="624"/>
      <c r="L288" s="624"/>
      <c r="M288" s="672"/>
      <c r="N288" s="624"/>
      <c r="O288" s="624"/>
      <c r="P288" s="624"/>
      <c r="Q288" s="624"/>
      <c r="R288" s="624"/>
      <c r="T288" s="624"/>
      <c r="U288" s="624"/>
      <c r="V288" s="624"/>
      <c r="W288" s="624"/>
      <c r="X288" s="624"/>
      <c r="Y288" s="624"/>
      <c r="Z288" s="624"/>
      <c r="AB288" s="624"/>
      <c r="AM288" s="624"/>
      <c r="AN288" s="624"/>
      <c r="AO288" s="624"/>
      <c r="AP288" s="624"/>
      <c r="AQ288" s="624"/>
      <c r="AR288" s="624"/>
      <c r="AS288" s="624"/>
      <c r="AT288" s="624"/>
      <c r="AU288" s="620"/>
      <c r="AV288" s="620"/>
      <c r="AW288" s="673"/>
      <c r="AX288" s="673"/>
      <c r="AY288" s="673"/>
      <c r="AZ288" s="674"/>
      <c r="BA288" s="674"/>
      <c r="BB288" s="665"/>
      <c r="BC288" s="665"/>
      <c r="BD288" s="665"/>
      <c r="BE288" s="665"/>
      <c r="BF288" s="665"/>
      <c r="BG288" s="665"/>
    </row>
    <row r="289" spans="1:59" ht="12" customHeight="1" x14ac:dyDescent="0.2">
      <c r="A289" s="624"/>
      <c r="B289" s="624"/>
      <c r="C289" s="624"/>
      <c r="D289" s="624"/>
      <c r="E289" s="624"/>
      <c r="F289" s="582"/>
      <c r="G289" s="624"/>
      <c r="H289" s="624"/>
      <c r="I289" s="624"/>
      <c r="J289" s="624"/>
      <c r="K289" s="624"/>
      <c r="L289" s="624"/>
      <c r="M289" s="672"/>
      <c r="N289" s="624"/>
      <c r="O289" s="624"/>
      <c r="P289" s="624"/>
      <c r="Q289" s="624"/>
      <c r="R289" s="624"/>
      <c r="T289" s="624"/>
      <c r="U289" s="624"/>
      <c r="V289" s="624"/>
      <c r="W289" s="624"/>
      <c r="X289" s="624"/>
      <c r="Y289" s="624"/>
      <c r="Z289" s="624"/>
      <c r="AB289" s="624"/>
      <c r="AM289" s="624"/>
      <c r="AN289" s="624"/>
      <c r="AO289" s="624"/>
      <c r="AP289" s="624"/>
      <c r="AQ289" s="624"/>
      <c r="AR289" s="624"/>
      <c r="AS289" s="624"/>
      <c r="AT289" s="624"/>
      <c r="AU289" s="620"/>
      <c r="AV289" s="620"/>
      <c r="AW289" s="673"/>
      <c r="AX289" s="673"/>
      <c r="AY289" s="673"/>
      <c r="AZ289" s="674"/>
      <c r="BA289" s="674"/>
      <c r="BB289" s="665"/>
      <c r="BC289" s="665"/>
      <c r="BD289" s="665"/>
      <c r="BE289" s="665"/>
      <c r="BF289" s="665"/>
      <c r="BG289" s="665"/>
    </row>
    <row r="290" spans="1:59" ht="12" customHeight="1" x14ac:dyDescent="0.2">
      <c r="A290" s="624"/>
      <c r="B290" s="624"/>
      <c r="C290" s="624"/>
      <c r="D290" s="624"/>
      <c r="E290" s="624"/>
      <c r="F290" s="582"/>
      <c r="G290" s="624"/>
      <c r="H290" s="624"/>
      <c r="I290" s="624"/>
      <c r="J290" s="624"/>
      <c r="K290" s="624"/>
      <c r="L290" s="624"/>
      <c r="M290" s="672"/>
      <c r="N290" s="624"/>
      <c r="O290" s="624"/>
      <c r="P290" s="624"/>
      <c r="Q290" s="624"/>
      <c r="R290" s="624"/>
      <c r="T290" s="624"/>
      <c r="U290" s="624"/>
      <c r="V290" s="624"/>
      <c r="W290" s="624"/>
      <c r="X290" s="624"/>
      <c r="Y290" s="624"/>
      <c r="Z290" s="624"/>
      <c r="AB290" s="624"/>
      <c r="AM290" s="624"/>
      <c r="AN290" s="624"/>
      <c r="AO290" s="624"/>
      <c r="AP290" s="624"/>
      <c r="AQ290" s="624"/>
      <c r="AR290" s="624"/>
      <c r="AS290" s="624"/>
      <c r="AT290" s="624"/>
      <c r="AU290" s="620"/>
      <c r="AV290" s="620"/>
      <c r="AW290" s="673"/>
      <c r="AX290" s="673"/>
      <c r="AY290" s="673"/>
      <c r="AZ290" s="674"/>
      <c r="BA290" s="674"/>
      <c r="BB290" s="665"/>
      <c r="BC290" s="665"/>
      <c r="BD290" s="665"/>
      <c r="BE290" s="665"/>
      <c r="BF290" s="665"/>
      <c r="BG290" s="665"/>
    </row>
    <row r="291" spans="1:59" ht="12" customHeight="1" x14ac:dyDescent="0.2">
      <c r="A291" s="624"/>
      <c r="B291" s="624"/>
      <c r="C291" s="624"/>
      <c r="D291" s="624"/>
      <c r="E291" s="624"/>
      <c r="F291" s="582"/>
      <c r="G291" s="624"/>
      <c r="H291" s="624"/>
      <c r="I291" s="624"/>
      <c r="J291" s="624"/>
      <c r="K291" s="624"/>
      <c r="L291" s="624"/>
      <c r="M291" s="672"/>
      <c r="N291" s="624"/>
      <c r="O291" s="624"/>
      <c r="P291" s="624"/>
      <c r="Q291" s="624"/>
      <c r="R291" s="624"/>
      <c r="T291" s="624"/>
      <c r="U291" s="624"/>
      <c r="V291" s="624"/>
      <c r="W291" s="624"/>
      <c r="X291" s="624"/>
      <c r="Y291" s="624"/>
      <c r="Z291" s="624"/>
      <c r="AB291" s="624"/>
      <c r="AM291" s="624"/>
      <c r="AN291" s="624"/>
      <c r="AO291" s="624"/>
      <c r="AP291" s="624"/>
      <c r="AQ291" s="624"/>
      <c r="AR291" s="624"/>
      <c r="AS291" s="624"/>
      <c r="AT291" s="624"/>
      <c r="AU291" s="620"/>
      <c r="AV291" s="620"/>
      <c r="AW291" s="673"/>
      <c r="AX291" s="673"/>
      <c r="AY291" s="673"/>
      <c r="AZ291" s="674"/>
      <c r="BA291" s="674"/>
      <c r="BB291" s="665"/>
      <c r="BC291" s="665"/>
      <c r="BD291" s="665"/>
      <c r="BE291" s="665"/>
      <c r="BF291" s="665"/>
      <c r="BG291" s="665"/>
    </row>
    <row r="292" spans="1:59" ht="12" customHeight="1" x14ac:dyDescent="0.2">
      <c r="A292" s="624"/>
      <c r="B292" s="624"/>
      <c r="C292" s="624"/>
      <c r="D292" s="624"/>
      <c r="E292" s="624"/>
      <c r="F292" s="582"/>
      <c r="G292" s="624"/>
      <c r="H292" s="624"/>
      <c r="I292" s="624"/>
      <c r="J292" s="624"/>
      <c r="K292" s="624"/>
      <c r="L292" s="624"/>
      <c r="M292" s="672"/>
      <c r="N292" s="624"/>
      <c r="O292" s="624"/>
      <c r="P292" s="624"/>
      <c r="Q292" s="624"/>
      <c r="R292" s="624"/>
      <c r="T292" s="624"/>
      <c r="U292" s="624"/>
      <c r="V292" s="624"/>
      <c r="W292" s="624"/>
      <c r="X292" s="624"/>
      <c r="Y292" s="624"/>
      <c r="Z292" s="624"/>
      <c r="AB292" s="624"/>
      <c r="AM292" s="624"/>
      <c r="AN292" s="624"/>
      <c r="AO292" s="624"/>
      <c r="AP292" s="624"/>
      <c r="AQ292" s="624"/>
      <c r="AR292" s="624"/>
      <c r="AS292" s="624"/>
      <c r="AT292" s="624"/>
      <c r="AU292" s="620"/>
      <c r="AV292" s="620"/>
      <c r="AW292" s="673"/>
      <c r="AX292" s="673"/>
      <c r="AY292" s="673"/>
      <c r="AZ292" s="674"/>
      <c r="BA292" s="674"/>
      <c r="BB292" s="665"/>
      <c r="BC292" s="665"/>
      <c r="BD292" s="665"/>
      <c r="BE292" s="665"/>
      <c r="BF292" s="665"/>
      <c r="BG292" s="665"/>
    </row>
    <row r="293" spans="1:59" ht="12" customHeight="1" x14ac:dyDescent="0.2">
      <c r="A293" s="624"/>
      <c r="B293" s="624"/>
      <c r="C293" s="624"/>
      <c r="D293" s="624"/>
      <c r="E293" s="624"/>
      <c r="F293" s="582"/>
      <c r="G293" s="624"/>
      <c r="H293" s="624"/>
      <c r="I293" s="624"/>
      <c r="J293" s="624"/>
      <c r="K293" s="624"/>
      <c r="L293" s="624"/>
      <c r="M293" s="672"/>
      <c r="N293" s="624"/>
      <c r="O293" s="624"/>
      <c r="P293" s="624"/>
      <c r="Q293" s="624"/>
      <c r="R293" s="624"/>
      <c r="T293" s="624"/>
      <c r="U293" s="624"/>
      <c r="V293" s="624"/>
      <c r="W293" s="624"/>
      <c r="X293" s="624"/>
      <c r="Y293" s="624"/>
      <c r="Z293" s="624"/>
      <c r="AB293" s="624"/>
      <c r="AM293" s="624"/>
      <c r="AN293" s="624"/>
      <c r="AO293" s="624"/>
      <c r="AP293" s="624"/>
      <c r="AQ293" s="624"/>
      <c r="AR293" s="624"/>
      <c r="AS293" s="624"/>
      <c r="AT293" s="624"/>
      <c r="AU293" s="620"/>
      <c r="AV293" s="620"/>
      <c r="AW293" s="673"/>
      <c r="AX293" s="673"/>
      <c r="AY293" s="673"/>
      <c r="AZ293" s="674"/>
      <c r="BA293" s="674"/>
      <c r="BB293" s="665"/>
      <c r="BC293" s="665"/>
      <c r="BD293" s="665"/>
      <c r="BE293" s="665"/>
      <c r="BF293" s="665"/>
      <c r="BG293" s="665"/>
    </row>
    <row r="294" spans="1:59" ht="12" customHeight="1" x14ac:dyDescent="0.2">
      <c r="A294" s="624"/>
      <c r="B294" s="624"/>
      <c r="C294" s="624"/>
      <c r="D294" s="624"/>
      <c r="E294" s="624"/>
      <c r="F294" s="582"/>
      <c r="G294" s="624"/>
      <c r="H294" s="624"/>
      <c r="I294" s="624"/>
      <c r="J294" s="624"/>
      <c r="K294" s="624"/>
      <c r="L294" s="624"/>
      <c r="M294" s="672"/>
      <c r="N294" s="624"/>
      <c r="O294" s="624"/>
      <c r="P294" s="624"/>
      <c r="Q294" s="624"/>
      <c r="R294" s="624"/>
      <c r="T294" s="624"/>
      <c r="U294" s="624"/>
      <c r="V294" s="624"/>
      <c r="W294" s="624"/>
      <c r="X294" s="624"/>
      <c r="Y294" s="624"/>
      <c r="Z294" s="624"/>
      <c r="AB294" s="624"/>
      <c r="AM294" s="624"/>
      <c r="AN294" s="624"/>
      <c r="AO294" s="624"/>
      <c r="AP294" s="624"/>
      <c r="AQ294" s="624"/>
      <c r="AR294" s="624"/>
      <c r="AS294" s="624"/>
      <c r="AT294" s="624"/>
      <c r="AU294" s="620"/>
      <c r="AV294" s="620"/>
      <c r="AW294" s="673"/>
      <c r="AX294" s="673"/>
      <c r="AY294" s="673"/>
      <c r="AZ294" s="674"/>
      <c r="BA294" s="674"/>
      <c r="BB294" s="665"/>
      <c r="BC294" s="665"/>
      <c r="BD294" s="665"/>
      <c r="BE294" s="665"/>
      <c r="BF294" s="665"/>
      <c r="BG294" s="665"/>
    </row>
    <row r="295" spans="1:59" ht="12" customHeight="1" x14ac:dyDescent="0.2">
      <c r="A295" s="624"/>
      <c r="B295" s="624"/>
      <c r="C295" s="624"/>
      <c r="D295" s="624"/>
      <c r="E295" s="624"/>
      <c r="F295" s="582"/>
      <c r="G295" s="624"/>
      <c r="H295" s="624"/>
      <c r="I295" s="624"/>
      <c r="J295" s="624"/>
      <c r="K295" s="624"/>
      <c r="L295" s="624"/>
      <c r="M295" s="672"/>
      <c r="N295" s="624"/>
      <c r="O295" s="624"/>
      <c r="P295" s="624"/>
      <c r="Q295" s="624"/>
      <c r="R295" s="624"/>
      <c r="T295" s="624"/>
      <c r="U295" s="624"/>
      <c r="V295" s="624"/>
      <c r="W295" s="624"/>
      <c r="X295" s="624"/>
      <c r="Y295" s="624"/>
      <c r="Z295" s="624"/>
      <c r="AB295" s="624"/>
      <c r="AM295" s="624"/>
      <c r="AN295" s="624"/>
      <c r="AO295" s="624"/>
      <c r="AP295" s="624"/>
      <c r="AQ295" s="624"/>
      <c r="AR295" s="624"/>
      <c r="AS295" s="624"/>
      <c r="AT295" s="624"/>
      <c r="AU295" s="620"/>
      <c r="AV295" s="620"/>
      <c r="AW295" s="673"/>
      <c r="AX295" s="673"/>
      <c r="AY295" s="673"/>
      <c r="AZ295" s="674"/>
      <c r="BA295" s="674"/>
      <c r="BB295" s="665"/>
      <c r="BC295" s="665"/>
      <c r="BD295" s="665"/>
      <c r="BE295" s="665"/>
      <c r="BF295" s="665"/>
      <c r="BG295" s="665"/>
    </row>
    <row r="296" spans="1:59" ht="12" customHeight="1" x14ac:dyDescent="0.2">
      <c r="A296" s="624"/>
      <c r="B296" s="624"/>
      <c r="C296" s="624"/>
      <c r="D296" s="624"/>
      <c r="E296" s="624"/>
      <c r="F296" s="582"/>
      <c r="G296" s="624"/>
      <c r="H296" s="624"/>
      <c r="I296" s="624"/>
      <c r="J296" s="624"/>
      <c r="K296" s="624"/>
      <c r="L296" s="624"/>
      <c r="M296" s="672"/>
      <c r="N296" s="624"/>
      <c r="O296" s="624"/>
      <c r="P296" s="624"/>
      <c r="Q296" s="624"/>
      <c r="R296" s="624"/>
      <c r="T296" s="624"/>
      <c r="U296" s="624"/>
      <c r="V296" s="624"/>
      <c r="W296" s="624"/>
      <c r="X296" s="624"/>
      <c r="Y296" s="624"/>
      <c r="Z296" s="624"/>
      <c r="AB296" s="624"/>
      <c r="AM296" s="624"/>
      <c r="AN296" s="624"/>
      <c r="AO296" s="624"/>
      <c r="AP296" s="624"/>
      <c r="AQ296" s="624"/>
      <c r="AR296" s="624"/>
      <c r="AS296" s="624"/>
      <c r="AT296" s="624"/>
      <c r="AU296" s="620"/>
      <c r="AV296" s="620"/>
      <c r="AW296" s="673"/>
      <c r="AX296" s="673"/>
      <c r="AY296" s="673"/>
      <c r="AZ296" s="674"/>
      <c r="BA296" s="674"/>
      <c r="BB296" s="665"/>
      <c r="BC296" s="665"/>
      <c r="BD296" s="665"/>
      <c r="BE296" s="665"/>
      <c r="BF296" s="665"/>
      <c r="BG296" s="665"/>
    </row>
    <row r="297" spans="1:59" ht="12" customHeight="1" x14ac:dyDescent="0.2">
      <c r="A297" s="624"/>
      <c r="B297" s="624"/>
      <c r="C297" s="624"/>
      <c r="D297" s="624"/>
      <c r="E297" s="624"/>
      <c r="F297" s="582"/>
      <c r="G297" s="624"/>
      <c r="H297" s="624"/>
      <c r="I297" s="624"/>
      <c r="J297" s="624"/>
      <c r="K297" s="624"/>
      <c r="L297" s="624"/>
      <c r="M297" s="672"/>
      <c r="N297" s="624"/>
      <c r="O297" s="624"/>
      <c r="P297" s="624"/>
      <c r="Q297" s="624"/>
      <c r="R297" s="624"/>
      <c r="T297" s="624"/>
      <c r="U297" s="624"/>
      <c r="V297" s="624"/>
      <c r="W297" s="624"/>
      <c r="X297" s="624"/>
      <c r="Y297" s="624"/>
      <c r="Z297" s="624"/>
      <c r="AB297" s="624"/>
      <c r="AM297" s="624"/>
      <c r="AN297" s="624"/>
      <c r="AO297" s="624"/>
      <c r="AP297" s="624"/>
      <c r="AQ297" s="624"/>
      <c r="AR297" s="624"/>
      <c r="AS297" s="624"/>
      <c r="AT297" s="624"/>
      <c r="AU297" s="620"/>
      <c r="AV297" s="620"/>
      <c r="AW297" s="673"/>
      <c r="AX297" s="673"/>
      <c r="AY297" s="673"/>
      <c r="AZ297" s="674"/>
      <c r="BA297" s="674"/>
      <c r="BB297" s="665"/>
      <c r="BC297" s="665"/>
      <c r="BD297" s="665"/>
      <c r="BE297" s="665"/>
      <c r="BF297" s="665"/>
      <c r="BG297" s="665"/>
    </row>
    <row r="298" spans="1:59" ht="12" customHeight="1" x14ac:dyDescent="0.2">
      <c r="A298" s="624"/>
      <c r="B298" s="624"/>
      <c r="C298" s="624"/>
      <c r="D298" s="624"/>
      <c r="E298" s="624"/>
      <c r="F298" s="582"/>
      <c r="G298" s="624"/>
      <c r="H298" s="624"/>
      <c r="I298" s="624"/>
      <c r="J298" s="624"/>
      <c r="K298" s="624"/>
      <c r="L298" s="624"/>
      <c r="M298" s="672"/>
      <c r="N298" s="624"/>
      <c r="O298" s="624"/>
      <c r="P298" s="624"/>
      <c r="Q298" s="624"/>
      <c r="R298" s="624"/>
      <c r="T298" s="624"/>
      <c r="U298" s="624"/>
      <c r="V298" s="624"/>
      <c r="W298" s="624"/>
      <c r="X298" s="624"/>
      <c r="Y298" s="624"/>
      <c r="Z298" s="624"/>
      <c r="AB298" s="624"/>
      <c r="AM298" s="624"/>
      <c r="AN298" s="624"/>
      <c r="AO298" s="624"/>
      <c r="AP298" s="624"/>
      <c r="AQ298" s="624"/>
      <c r="AR298" s="624"/>
      <c r="AS298" s="624"/>
      <c r="AT298" s="624"/>
      <c r="AU298" s="620"/>
      <c r="AV298" s="620"/>
      <c r="AW298" s="673"/>
      <c r="AX298" s="673"/>
      <c r="AY298" s="673"/>
      <c r="AZ298" s="674"/>
      <c r="BA298" s="674"/>
      <c r="BB298" s="665"/>
      <c r="BC298" s="665"/>
      <c r="BD298" s="665"/>
      <c r="BE298" s="665"/>
      <c r="BF298" s="665"/>
      <c r="BG298" s="665"/>
    </row>
    <row r="299" spans="1:59" ht="12" customHeight="1" x14ac:dyDescent="0.2">
      <c r="A299" s="624"/>
      <c r="B299" s="624"/>
      <c r="C299" s="624"/>
      <c r="D299" s="624"/>
      <c r="E299" s="624"/>
      <c r="F299" s="582"/>
      <c r="G299" s="624"/>
      <c r="H299" s="624"/>
      <c r="I299" s="624"/>
      <c r="J299" s="624"/>
      <c r="K299" s="624"/>
      <c r="L299" s="624"/>
      <c r="M299" s="672"/>
      <c r="N299" s="624"/>
      <c r="O299" s="624"/>
      <c r="P299" s="624"/>
      <c r="Q299" s="624"/>
      <c r="R299" s="624"/>
      <c r="T299" s="624"/>
      <c r="U299" s="624"/>
      <c r="V299" s="624"/>
      <c r="W299" s="624"/>
      <c r="X299" s="624"/>
      <c r="Y299" s="624"/>
      <c r="Z299" s="624"/>
      <c r="AB299" s="624"/>
      <c r="AM299" s="624"/>
      <c r="AN299" s="624"/>
      <c r="AO299" s="624"/>
      <c r="AP299" s="624"/>
      <c r="AQ299" s="624"/>
      <c r="AR299" s="624"/>
      <c r="AS299" s="624"/>
      <c r="AT299" s="624"/>
      <c r="AU299" s="620"/>
      <c r="AV299" s="620"/>
      <c r="AW299" s="673"/>
      <c r="AX299" s="673"/>
      <c r="AY299" s="673"/>
      <c r="AZ299" s="674"/>
      <c r="BA299" s="674"/>
      <c r="BB299" s="665"/>
      <c r="BC299" s="665"/>
      <c r="BD299" s="665"/>
      <c r="BE299" s="665"/>
      <c r="BF299" s="665"/>
      <c r="BG299" s="665"/>
    </row>
    <row r="300" spans="1:59" ht="12" customHeight="1" x14ac:dyDescent="0.2">
      <c r="A300" s="624"/>
      <c r="B300" s="624"/>
      <c r="C300" s="624"/>
      <c r="D300" s="624"/>
      <c r="E300" s="624"/>
      <c r="F300" s="582"/>
      <c r="G300" s="624"/>
      <c r="H300" s="624"/>
      <c r="I300" s="624"/>
      <c r="J300" s="624"/>
      <c r="K300" s="624"/>
      <c r="L300" s="624"/>
      <c r="M300" s="672"/>
      <c r="N300" s="624"/>
      <c r="O300" s="624"/>
      <c r="P300" s="624"/>
      <c r="Q300" s="624"/>
      <c r="R300" s="624"/>
      <c r="T300" s="624"/>
      <c r="U300" s="624"/>
      <c r="V300" s="624"/>
      <c r="W300" s="624"/>
      <c r="X300" s="624"/>
      <c r="Y300" s="624"/>
      <c r="Z300" s="624"/>
      <c r="AB300" s="624"/>
      <c r="AM300" s="624"/>
      <c r="AN300" s="624"/>
      <c r="AO300" s="624"/>
      <c r="AP300" s="624"/>
      <c r="AQ300" s="624"/>
      <c r="AR300" s="624"/>
      <c r="AS300" s="624"/>
      <c r="AT300" s="624"/>
      <c r="AU300" s="620"/>
      <c r="AV300" s="620"/>
      <c r="AW300" s="673"/>
      <c r="AX300" s="673"/>
      <c r="AY300" s="673"/>
      <c r="AZ300" s="674"/>
      <c r="BA300" s="674"/>
      <c r="BB300" s="665"/>
      <c r="BC300" s="665"/>
      <c r="BD300" s="665"/>
      <c r="BE300" s="665"/>
      <c r="BF300" s="665"/>
      <c r="BG300" s="665"/>
    </row>
    <row r="301" spans="1:59" ht="12" customHeight="1" x14ac:dyDescent="0.2">
      <c r="A301" s="624"/>
      <c r="B301" s="624"/>
      <c r="C301" s="624"/>
      <c r="D301" s="624"/>
      <c r="E301" s="624"/>
      <c r="F301" s="582"/>
      <c r="G301" s="624"/>
      <c r="H301" s="624"/>
      <c r="I301" s="624"/>
      <c r="J301" s="624"/>
      <c r="K301" s="624"/>
      <c r="L301" s="624"/>
      <c r="M301" s="672"/>
      <c r="N301" s="624"/>
      <c r="O301" s="624"/>
      <c r="P301" s="624"/>
      <c r="Q301" s="624"/>
      <c r="R301" s="624"/>
      <c r="T301" s="624"/>
      <c r="U301" s="624"/>
      <c r="V301" s="624"/>
      <c r="W301" s="624"/>
      <c r="X301" s="624"/>
      <c r="Y301" s="624"/>
      <c r="Z301" s="624"/>
      <c r="AB301" s="624"/>
      <c r="AM301" s="624"/>
      <c r="AN301" s="624"/>
      <c r="AO301" s="624"/>
      <c r="AP301" s="624"/>
      <c r="AQ301" s="624"/>
      <c r="AR301" s="624"/>
      <c r="AS301" s="624"/>
      <c r="AT301" s="624"/>
      <c r="AU301" s="620"/>
      <c r="AV301" s="620"/>
      <c r="AW301" s="673"/>
      <c r="AX301" s="673"/>
      <c r="AY301" s="673"/>
      <c r="AZ301" s="674"/>
      <c r="BA301" s="674"/>
      <c r="BB301" s="665"/>
      <c r="BC301" s="665"/>
      <c r="BD301" s="665"/>
      <c r="BE301" s="665"/>
      <c r="BF301" s="665"/>
      <c r="BG301" s="665"/>
    </row>
    <row r="302" spans="1:59" ht="12" customHeight="1" x14ac:dyDescent="0.2">
      <c r="A302" s="624"/>
      <c r="B302" s="624"/>
      <c r="C302" s="624"/>
      <c r="D302" s="624"/>
      <c r="E302" s="624"/>
      <c r="F302" s="582"/>
      <c r="G302" s="624"/>
      <c r="H302" s="624"/>
      <c r="I302" s="624"/>
      <c r="J302" s="624"/>
      <c r="K302" s="624"/>
      <c r="L302" s="624"/>
      <c r="M302" s="672"/>
      <c r="N302" s="624"/>
      <c r="O302" s="624"/>
      <c r="P302" s="624"/>
      <c r="Q302" s="624"/>
      <c r="R302" s="624"/>
      <c r="T302" s="624"/>
      <c r="U302" s="624"/>
      <c r="V302" s="624"/>
      <c r="W302" s="624"/>
      <c r="X302" s="624"/>
      <c r="Y302" s="624"/>
      <c r="Z302" s="624"/>
      <c r="AB302" s="624"/>
      <c r="AM302" s="624"/>
      <c r="AN302" s="624"/>
      <c r="AO302" s="624"/>
      <c r="AP302" s="624"/>
      <c r="AQ302" s="624"/>
      <c r="AR302" s="624"/>
      <c r="AS302" s="624"/>
      <c r="AT302" s="624"/>
      <c r="AU302" s="620"/>
      <c r="AV302" s="620"/>
      <c r="AW302" s="673"/>
      <c r="AX302" s="673"/>
      <c r="AY302" s="673"/>
      <c r="AZ302" s="674"/>
      <c r="BA302" s="674"/>
      <c r="BB302" s="665"/>
      <c r="BC302" s="665"/>
      <c r="BD302" s="665"/>
      <c r="BE302" s="665"/>
      <c r="BF302" s="665"/>
      <c r="BG302" s="665"/>
    </row>
    <row r="303" spans="1:59" ht="12" customHeight="1" x14ac:dyDescent="0.2">
      <c r="A303" s="624"/>
      <c r="B303" s="624"/>
      <c r="C303" s="624"/>
      <c r="D303" s="624"/>
      <c r="E303" s="624"/>
      <c r="F303" s="582"/>
      <c r="G303" s="624"/>
      <c r="H303" s="624"/>
      <c r="I303" s="624"/>
      <c r="J303" s="624"/>
      <c r="K303" s="624"/>
      <c r="L303" s="624"/>
      <c r="M303" s="672"/>
      <c r="N303" s="624"/>
      <c r="O303" s="624"/>
      <c r="P303" s="624"/>
      <c r="Q303" s="624"/>
      <c r="R303" s="624"/>
      <c r="T303" s="624"/>
      <c r="U303" s="624"/>
      <c r="V303" s="624"/>
      <c r="W303" s="624"/>
      <c r="X303" s="624"/>
      <c r="Y303" s="624"/>
      <c r="Z303" s="624"/>
      <c r="AB303" s="624"/>
      <c r="AM303" s="624"/>
      <c r="AN303" s="624"/>
      <c r="AO303" s="624"/>
      <c r="AP303" s="624"/>
      <c r="AQ303" s="624"/>
      <c r="AR303" s="624"/>
      <c r="AS303" s="624"/>
      <c r="AT303" s="624"/>
      <c r="AU303" s="620"/>
      <c r="AV303" s="620"/>
      <c r="AW303" s="673"/>
      <c r="AX303" s="673"/>
      <c r="AY303" s="673"/>
      <c r="AZ303" s="674"/>
      <c r="BA303" s="674"/>
      <c r="BB303" s="665"/>
      <c r="BC303" s="665"/>
      <c r="BD303" s="665"/>
      <c r="BE303" s="665"/>
      <c r="BF303" s="665"/>
      <c r="BG303" s="665"/>
    </row>
    <row r="304" spans="1:59" ht="12" customHeight="1" x14ac:dyDescent="0.2">
      <c r="A304" s="624"/>
      <c r="B304" s="624"/>
      <c r="C304" s="624"/>
      <c r="D304" s="624"/>
      <c r="E304" s="624"/>
      <c r="F304" s="582"/>
      <c r="G304" s="624"/>
      <c r="H304" s="624"/>
      <c r="I304" s="624"/>
      <c r="J304" s="624"/>
      <c r="K304" s="624"/>
      <c r="L304" s="624"/>
      <c r="M304" s="672"/>
      <c r="N304" s="624"/>
      <c r="O304" s="624"/>
      <c r="P304" s="624"/>
      <c r="Q304" s="624"/>
      <c r="R304" s="624"/>
      <c r="T304" s="624"/>
      <c r="U304" s="624"/>
      <c r="V304" s="624"/>
      <c r="W304" s="624"/>
      <c r="X304" s="624"/>
      <c r="Y304" s="624"/>
      <c r="Z304" s="624"/>
      <c r="AB304" s="624"/>
      <c r="AM304" s="624"/>
      <c r="AN304" s="624"/>
      <c r="AO304" s="624"/>
      <c r="AP304" s="624"/>
      <c r="AQ304" s="624"/>
      <c r="AR304" s="624"/>
      <c r="AS304" s="624"/>
      <c r="AT304" s="624"/>
      <c r="AU304" s="620"/>
      <c r="AV304" s="620"/>
      <c r="AW304" s="673"/>
      <c r="AX304" s="673"/>
      <c r="AY304" s="673"/>
      <c r="AZ304" s="674"/>
      <c r="BA304" s="674"/>
      <c r="BB304" s="665"/>
      <c r="BC304" s="665"/>
      <c r="BD304" s="665"/>
      <c r="BE304" s="665"/>
      <c r="BF304" s="665"/>
      <c r="BG304" s="665"/>
    </row>
    <row r="305" spans="1:59" ht="12" customHeight="1" x14ac:dyDescent="0.2">
      <c r="A305" s="624"/>
      <c r="B305" s="624"/>
      <c r="C305" s="624"/>
      <c r="D305" s="624"/>
      <c r="E305" s="624"/>
      <c r="F305" s="582"/>
      <c r="G305" s="624"/>
      <c r="H305" s="624"/>
      <c r="I305" s="624"/>
      <c r="J305" s="624"/>
      <c r="K305" s="624"/>
      <c r="L305" s="624"/>
      <c r="M305" s="672"/>
      <c r="N305" s="624"/>
      <c r="O305" s="624"/>
      <c r="P305" s="624"/>
      <c r="Q305" s="624"/>
      <c r="R305" s="624"/>
      <c r="T305" s="624"/>
      <c r="U305" s="624"/>
      <c r="V305" s="624"/>
      <c r="W305" s="624"/>
      <c r="X305" s="624"/>
      <c r="Y305" s="624"/>
      <c r="Z305" s="624"/>
      <c r="AB305" s="624"/>
      <c r="AM305" s="624"/>
      <c r="AN305" s="624"/>
      <c r="AO305" s="624"/>
      <c r="AP305" s="624"/>
      <c r="AQ305" s="624"/>
      <c r="AR305" s="624"/>
      <c r="AS305" s="624"/>
      <c r="AT305" s="624"/>
      <c r="AU305" s="620"/>
      <c r="AV305" s="620"/>
      <c r="AW305" s="673"/>
      <c r="AX305" s="673"/>
      <c r="AY305" s="673"/>
      <c r="AZ305" s="674"/>
      <c r="BA305" s="674"/>
      <c r="BB305" s="665"/>
      <c r="BC305" s="665"/>
      <c r="BD305" s="665"/>
      <c r="BE305" s="665"/>
      <c r="BF305" s="665"/>
      <c r="BG305" s="665"/>
    </row>
    <row r="306" spans="1:59" ht="12" customHeight="1" x14ac:dyDescent="0.2">
      <c r="A306" s="624"/>
      <c r="B306" s="624"/>
      <c r="C306" s="624"/>
      <c r="D306" s="624"/>
      <c r="E306" s="624"/>
      <c r="F306" s="582"/>
      <c r="G306" s="624"/>
      <c r="H306" s="624"/>
      <c r="I306" s="624"/>
      <c r="J306" s="624"/>
      <c r="K306" s="624"/>
      <c r="L306" s="624"/>
      <c r="M306" s="672"/>
      <c r="N306" s="624"/>
      <c r="O306" s="624"/>
      <c r="P306" s="624"/>
      <c r="Q306" s="624"/>
      <c r="R306" s="624"/>
      <c r="T306" s="624"/>
      <c r="U306" s="624"/>
      <c r="V306" s="624"/>
      <c r="W306" s="624"/>
      <c r="X306" s="624"/>
      <c r="Y306" s="624"/>
      <c r="Z306" s="624"/>
      <c r="AB306" s="624"/>
      <c r="AM306" s="624"/>
      <c r="AN306" s="624"/>
      <c r="AO306" s="624"/>
      <c r="AP306" s="624"/>
      <c r="AQ306" s="624"/>
      <c r="AR306" s="624"/>
      <c r="AS306" s="624"/>
      <c r="AT306" s="624"/>
      <c r="AU306" s="620"/>
      <c r="AV306" s="620"/>
      <c r="AW306" s="673"/>
      <c r="AX306" s="673"/>
      <c r="AY306" s="673"/>
      <c r="AZ306" s="674"/>
      <c r="BA306" s="674"/>
      <c r="BB306" s="665"/>
      <c r="BC306" s="665"/>
      <c r="BD306" s="665"/>
      <c r="BE306" s="665"/>
      <c r="BF306" s="665"/>
      <c r="BG306" s="665"/>
    </row>
    <row r="307" spans="1:59" ht="12" customHeight="1" x14ac:dyDescent="0.2">
      <c r="A307" s="624"/>
      <c r="B307" s="624"/>
      <c r="C307" s="624"/>
      <c r="D307" s="624"/>
      <c r="E307" s="624"/>
      <c r="F307" s="582"/>
      <c r="G307" s="624"/>
      <c r="H307" s="624"/>
      <c r="I307" s="624"/>
      <c r="J307" s="624"/>
      <c r="K307" s="624"/>
      <c r="L307" s="624"/>
      <c r="M307" s="672"/>
      <c r="N307" s="624"/>
      <c r="O307" s="624"/>
      <c r="P307" s="624"/>
      <c r="Q307" s="624"/>
      <c r="R307" s="624"/>
      <c r="T307" s="624"/>
      <c r="U307" s="624"/>
      <c r="V307" s="624"/>
      <c r="W307" s="624"/>
      <c r="X307" s="624"/>
      <c r="Y307" s="624"/>
      <c r="Z307" s="624"/>
      <c r="AB307" s="624"/>
      <c r="AM307" s="624"/>
      <c r="AN307" s="624"/>
      <c r="AO307" s="624"/>
      <c r="AP307" s="624"/>
      <c r="AQ307" s="624"/>
      <c r="AR307" s="624"/>
      <c r="AS307" s="624"/>
      <c r="AT307" s="624"/>
      <c r="AU307" s="620"/>
      <c r="AV307" s="620"/>
      <c r="AW307" s="673"/>
      <c r="AX307" s="673"/>
      <c r="AY307" s="673"/>
      <c r="AZ307" s="674"/>
      <c r="BA307" s="674"/>
      <c r="BB307" s="665"/>
      <c r="BC307" s="665"/>
      <c r="BD307" s="665"/>
      <c r="BE307" s="665"/>
      <c r="BF307" s="665"/>
      <c r="BG307" s="665"/>
    </row>
    <row r="308" spans="1:59" ht="12" customHeight="1" x14ac:dyDescent="0.2">
      <c r="A308" s="624"/>
      <c r="B308" s="624"/>
      <c r="C308" s="624"/>
      <c r="D308" s="624"/>
      <c r="E308" s="624"/>
      <c r="F308" s="582"/>
      <c r="G308" s="624"/>
      <c r="H308" s="624"/>
      <c r="I308" s="624"/>
      <c r="J308" s="624"/>
      <c r="K308" s="624"/>
      <c r="L308" s="624"/>
      <c r="M308" s="672"/>
      <c r="N308" s="624"/>
      <c r="O308" s="624"/>
      <c r="P308" s="624"/>
      <c r="Q308" s="624"/>
      <c r="R308" s="624"/>
      <c r="T308" s="624"/>
      <c r="U308" s="624"/>
      <c r="V308" s="624"/>
      <c r="W308" s="624"/>
      <c r="X308" s="624"/>
      <c r="Y308" s="624"/>
      <c r="Z308" s="624"/>
      <c r="AB308" s="624"/>
      <c r="AM308" s="624"/>
      <c r="AN308" s="624"/>
      <c r="AO308" s="624"/>
      <c r="AP308" s="624"/>
      <c r="AQ308" s="624"/>
      <c r="AR308" s="624"/>
      <c r="AS308" s="624"/>
      <c r="AT308" s="624"/>
      <c r="AU308" s="620"/>
      <c r="AV308" s="620"/>
      <c r="AW308" s="673"/>
      <c r="AX308" s="673"/>
      <c r="AY308" s="673"/>
      <c r="AZ308" s="674"/>
      <c r="BA308" s="674"/>
      <c r="BB308" s="665"/>
      <c r="BC308" s="665"/>
      <c r="BD308" s="665"/>
      <c r="BE308" s="665"/>
      <c r="BF308" s="665"/>
      <c r="BG308" s="665"/>
    </row>
    <row r="309" spans="1:59" ht="12" customHeight="1" x14ac:dyDescent="0.2">
      <c r="A309" s="624"/>
      <c r="B309" s="624"/>
      <c r="C309" s="624"/>
      <c r="D309" s="624"/>
      <c r="E309" s="624"/>
      <c r="F309" s="582"/>
      <c r="G309" s="624"/>
      <c r="H309" s="624"/>
      <c r="I309" s="624"/>
      <c r="J309" s="624"/>
      <c r="K309" s="624"/>
      <c r="L309" s="624"/>
      <c r="M309" s="672"/>
      <c r="N309" s="624"/>
      <c r="O309" s="624"/>
      <c r="P309" s="624"/>
      <c r="Q309" s="624"/>
      <c r="R309" s="624"/>
      <c r="T309" s="624"/>
      <c r="U309" s="624"/>
      <c r="V309" s="624"/>
      <c r="W309" s="624"/>
      <c r="X309" s="624"/>
      <c r="Y309" s="624"/>
      <c r="Z309" s="624"/>
      <c r="AB309" s="624"/>
      <c r="AM309" s="624"/>
      <c r="AN309" s="624"/>
      <c r="AO309" s="624"/>
      <c r="AP309" s="624"/>
      <c r="AQ309" s="624"/>
      <c r="AR309" s="624"/>
      <c r="AS309" s="624"/>
      <c r="AT309" s="624"/>
      <c r="AU309" s="620"/>
      <c r="AV309" s="620"/>
      <c r="AW309" s="673"/>
      <c r="AX309" s="673"/>
      <c r="AY309" s="673"/>
      <c r="AZ309" s="674"/>
      <c r="BA309" s="674"/>
      <c r="BB309" s="665"/>
      <c r="BC309" s="665"/>
      <c r="BD309" s="665"/>
      <c r="BE309" s="665"/>
      <c r="BF309" s="665"/>
      <c r="BG309" s="665"/>
    </row>
    <row r="310" spans="1:59" ht="12" customHeight="1" x14ac:dyDescent="0.2">
      <c r="A310" s="624"/>
      <c r="B310" s="624"/>
      <c r="C310" s="624"/>
      <c r="D310" s="624"/>
      <c r="E310" s="624"/>
      <c r="F310" s="582"/>
      <c r="G310" s="624"/>
      <c r="H310" s="624"/>
      <c r="I310" s="624"/>
      <c r="J310" s="624"/>
      <c r="K310" s="624"/>
      <c r="L310" s="624"/>
      <c r="M310" s="672"/>
      <c r="N310" s="624"/>
      <c r="O310" s="624"/>
      <c r="P310" s="624"/>
      <c r="Q310" s="624"/>
      <c r="R310" s="624"/>
      <c r="T310" s="624"/>
      <c r="U310" s="624"/>
      <c r="V310" s="624"/>
      <c r="W310" s="624"/>
      <c r="X310" s="624"/>
      <c r="Y310" s="624"/>
      <c r="Z310" s="624"/>
      <c r="AB310" s="624"/>
      <c r="AM310" s="624"/>
      <c r="AN310" s="624"/>
      <c r="AO310" s="624"/>
      <c r="AP310" s="624"/>
      <c r="AQ310" s="624"/>
      <c r="AR310" s="624"/>
      <c r="AS310" s="624"/>
      <c r="AT310" s="624"/>
      <c r="AU310" s="620"/>
      <c r="AV310" s="620"/>
      <c r="AW310" s="673"/>
      <c r="AX310" s="673"/>
      <c r="AY310" s="673"/>
      <c r="AZ310" s="674"/>
      <c r="BA310" s="674"/>
      <c r="BB310" s="665"/>
      <c r="BC310" s="665"/>
      <c r="BD310" s="665"/>
      <c r="BE310" s="665"/>
      <c r="BF310" s="665"/>
      <c r="BG310" s="665"/>
    </row>
    <row r="311" spans="1:59" ht="12" customHeight="1" x14ac:dyDescent="0.2">
      <c r="A311" s="624"/>
      <c r="B311" s="624"/>
      <c r="C311" s="624"/>
      <c r="D311" s="624"/>
      <c r="E311" s="624"/>
      <c r="F311" s="582"/>
      <c r="G311" s="624"/>
      <c r="H311" s="624"/>
      <c r="I311" s="624"/>
      <c r="J311" s="624"/>
      <c r="K311" s="624"/>
      <c r="L311" s="624"/>
      <c r="M311" s="672"/>
      <c r="N311" s="624"/>
      <c r="O311" s="624"/>
      <c r="P311" s="624"/>
      <c r="Q311" s="624"/>
      <c r="R311" s="624"/>
      <c r="T311" s="624"/>
      <c r="U311" s="624"/>
      <c r="V311" s="624"/>
      <c r="W311" s="624"/>
      <c r="X311" s="624"/>
      <c r="Y311" s="624"/>
      <c r="Z311" s="624"/>
      <c r="AB311" s="624"/>
      <c r="AM311" s="624"/>
      <c r="AN311" s="624"/>
      <c r="AO311" s="624"/>
      <c r="AP311" s="624"/>
      <c r="AQ311" s="624"/>
      <c r="AR311" s="624"/>
      <c r="AS311" s="624"/>
      <c r="AT311" s="624"/>
      <c r="AU311" s="620"/>
      <c r="AV311" s="620"/>
      <c r="AW311" s="673"/>
      <c r="AX311" s="673"/>
      <c r="AY311" s="673"/>
      <c r="AZ311" s="674"/>
      <c r="BA311" s="674"/>
      <c r="BB311" s="665"/>
      <c r="BC311" s="665"/>
      <c r="BD311" s="665"/>
      <c r="BE311" s="665"/>
      <c r="BF311" s="665"/>
      <c r="BG311" s="665"/>
    </row>
    <row r="312" spans="1:59" ht="12" customHeight="1" x14ac:dyDescent="0.2">
      <c r="A312" s="624"/>
      <c r="B312" s="624"/>
      <c r="C312" s="624"/>
      <c r="D312" s="624"/>
      <c r="E312" s="624"/>
      <c r="F312" s="582"/>
      <c r="G312" s="624"/>
      <c r="H312" s="624"/>
      <c r="I312" s="624"/>
      <c r="J312" s="624"/>
      <c r="K312" s="624"/>
      <c r="L312" s="624"/>
      <c r="M312" s="672"/>
      <c r="N312" s="624"/>
      <c r="O312" s="624"/>
      <c r="P312" s="624"/>
      <c r="Q312" s="624"/>
      <c r="R312" s="624"/>
      <c r="T312" s="624"/>
      <c r="U312" s="624"/>
      <c r="V312" s="624"/>
      <c r="W312" s="624"/>
      <c r="X312" s="624"/>
      <c r="Y312" s="624"/>
      <c r="Z312" s="624"/>
      <c r="AB312" s="624"/>
      <c r="AM312" s="624"/>
      <c r="AN312" s="624"/>
      <c r="AO312" s="624"/>
      <c r="AP312" s="624"/>
      <c r="AQ312" s="624"/>
      <c r="AR312" s="624"/>
      <c r="AS312" s="624"/>
      <c r="AT312" s="624"/>
      <c r="AU312" s="620"/>
      <c r="AV312" s="620"/>
      <c r="AW312" s="673"/>
      <c r="AX312" s="673"/>
      <c r="AY312" s="673"/>
      <c r="AZ312" s="674"/>
      <c r="BA312" s="674"/>
      <c r="BB312" s="665"/>
      <c r="BC312" s="665"/>
      <c r="BD312" s="665"/>
      <c r="BE312" s="665"/>
      <c r="BF312" s="665"/>
      <c r="BG312" s="665"/>
    </row>
    <row r="313" spans="1:59" ht="12" customHeight="1" x14ac:dyDescent="0.2">
      <c r="A313" s="624"/>
      <c r="B313" s="624"/>
      <c r="C313" s="624"/>
      <c r="D313" s="624"/>
      <c r="E313" s="624"/>
      <c r="F313" s="624"/>
      <c r="G313" s="624"/>
      <c r="H313" s="624"/>
      <c r="I313" s="624"/>
      <c r="J313" s="624"/>
      <c r="K313" s="624"/>
      <c r="L313" s="624"/>
      <c r="M313" s="672"/>
      <c r="N313" s="624"/>
      <c r="O313" s="624"/>
      <c r="P313" s="624"/>
      <c r="Q313" s="624"/>
      <c r="R313" s="624"/>
      <c r="T313" s="624"/>
      <c r="U313" s="624"/>
      <c r="V313" s="624"/>
      <c r="W313" s="624"/>
      <c r="X313" s="624"/>
      <c r="Y313" s="624"/>
      <c r="Z313" s="624"/>
      <c r="AB313" s="624"/>
      <c r="AM313" s="624"/>
      <c r="AN313" s="624"/>
      <c r="AO313" s="624"/>
      <c r="AP313" s="624"/>
      <c r="AQ313" s="624"/>
      <c r="AR313" s="624"/>
      <c r="AS313" s="624"/>
      <c r="AT313" s="624"/>
      <c r="AU313" s="620"/>
      <c r="AV313" s="620"/>
      <c r="AW313" s="673"/>
      <c r="AX313" s="673"/>
      <c r="AY313" s="673"/>
      <c r="AZ313" s="674"/>
      <c r="BA313" s="674"/>
      <c r="BB313" s="665"/>
      <c r="BC313" s="665"/>
      <c r="BD313" s="665"/>
      <c r="BE313" s="665"/>
      <c r="BF313" s="665"/>
      <c r="BG313" s="665"/>
    </row>
    <row r="314" spans="1:59" ht="12" customHeight="1" x14ac:dyDescent="0.2">
      <c r="A314" s="624"/>
      <c r="B314" s="624"/>
      <c r="C314" s="624"/>
      <c r="D314" s="624"/>
      <c r="E314" s="624"/>
      <c r="F314" s="624"/>
      <c r="G314" s="624"/>
      <c r="H314" s="624"/>
      <c r="I314" s="624"/>
      <c r="J314" s="624"/>
      <c r="K314" s="624"/>
      <c r="L314" s="624"/>
      <c r="M314" s="672"/>
      <c r="N314" s="624"/>
      <c r="O314" s="624"/>
      <c r="P314" s="624"/>
      <c r="Q314" s="624"/>
      <c r="R314" s="624"/>
      <c r="T314" s="624"/>
      <c r="U314" s="624"/>
      <c r="V314" s="624"/>
      <c r="W314" s="624"/>
      <c r="X314" s="624"/>
      <c r="Y314" s="624"/>
      <c r="Z314" s="624"/>
      <c r="AB314" s="624"/>
      <c r="AM314" s="624"/>
      <c r="AN314" s="624"/>
      <c r="AO314" s="624"/>
      <c r="AP314" s="624"/>
      <c r="AQ314" s="624"/>
      <c r="AR314" s="624"/>
      <c r="AS314" s="624"/>
      <c r="AT314" s="624"/>
      <c r="AU314" s="620"/>
      <c r="AV314" s="620"/>
      <c r="AW314" s="673"/>
      <c r="AX314" s="673"/>
      <c r="AY314" s="673"/>
      <c r="AZ314" s="674"/>
      <c r="BA314" s="674"/>
      <c r="BB314" s="665"/>
      <c r="BC314" s="665"/>
      <c r="BD314" s="665"/>
      <c r="BE314" s="665"/>
      <c r="BF314" s="665"/>
      <c r="BG314" s="665"/>
    </row>
    <row r="315" spans="1:59" ht="12" customHeight="1" x14ac:dyDescent="0.2">
      <c r="A315" s="624"/>
      <c r="B315" s="624"/>
      <c r="C315" s="624"/>
      <c r="D315" s="624"/>
      <c r="E315" s="624"/>
      <c r="F315" s="624"/>
      <c r="G315" s="624"/>
      <c r="H315" s="624"/>
      <c r="I315" s="624"/>
      <c r="J315" s="624"/>
      <c r="K315" s="624"/>
      <c r="L315" s="624"/>
      <c r="M315" s="672"/>
      <c r="N315" s="624"/>
      <c r="O315" s="624"/>
      <c r="P315" s="624"/>
      <c r="Q315" s="624"/>
      <c r="R315" s="624"/>
      <c r="T315" s="624"/>
      <c r="U315" s="624"/>
      <c r="V315" s="624"/>
      <c r="W315" s="624"/>
      <c r="X315" s="624"/>
      <c r="Y315" s="624"/>
      <c r="Z315" s="624"/>
      <c r="AB315" s="624"/>
      <c r="AM315" s="624"/>
      <c r="AN315" s="624"/>
      <c r="AO315" s="624"/>
      <c r="AP315" s="624"/>
      <c r="AQ315" s="624"/>
      <c r="AR315" s="624"/>
      <c r="AS315" s="624"/>
      <c r="AT315" s="624"/>
      <c r="AU315" s="620"/>
      <c r="AV315" s="620"/>
      <c r="AW315" s="673"/>
      <c r="AX315" s="673"/>
      <c r="AY315" s="673"/>
      <c r="AZ315" s="674"/>
      <c r="BA315" s="674"/>
      <c r="BB315" s="665"/>
      <c r="BC315" s="665"/>
      <c r="BD315" s="665"/>
      <c r="BE315" s="665"/>
      <c r="BF315" s="665"/>
      <c r="BG315" s="665"/>
    </row>
    <row r="316" spans="1:59" ht="12" customHeight="1" x14ac:dyDescent="0.2">
      <c r="A316" s="624"/>
      <c r="B316" s="624"/>
      <c r="C316" s="624"/>
      <c r="D316" s="624"/>
      <c r="E316" s="624"/>
      <c r="F316" s="624"/>
      <c r="G316" s="624"/>
      <c r="H316" s="624"/>
      <c r="I316" s="624"/>
      <c r="J316" s="624"/>
      <c r="K316" s="624"/>
      <c r="L316" s="624"/>
      <c r="M316" s="672"/>
      <c r="N316" s="624"/>
      <c r="O316" s="624"/>
      <c r="P316" s="624"/>
      <c r="Q316" s="624"/>
      <c r="R316" s="624"/>
      <c r="T316" s="624"/>
      <c r="U316" s="624"/>
      <c r="V316" s="624"/>
      <c r="W316" s="624"/>
      <c r="X316" s="624"/>
      <c r="Y316" s="624"/>
      <c r="Z316" s="624"/>
      <c r="AB316" s="624"/>
      <c r="AM316" s="624"/>
      <c r="AN316" s="624"/>
      <c r="AO316" s="624"/>
      <c r="AP316" s="624"/>
      <c r="AQ316" s="624"/>
      <c r="AR316" s="624"/>
      <c r="AS316" s="624"/>
      <c r="AT316" s="624"/>
      <c r="AU316" s="620"/>
      <c r="AV316" s="620"/>
      <c r="AW316" s="673"/>
      <c r="AX316" s="673"/>
      <c r="AY316" s="673"/>
      <c r="AZ316" s="674"/>
      <c r="BA316" s="674"/>
      <c r="BB316" s="665"/>
      <c r="BC316" s="665"/>
      <c r="BD316" s="665"/>
      <c r="BE316" s="665"/>
      <c r="BF316" s="665"/>
      <c r="BG316" s="665"/>
    </row>
    <row r="317" spans="1:59" ht="12" customHeight="1" x14ac:dyDescent="0.2">
      <c r="A317" s="624"/>
      <c r="B317" s="624"/>
      <c r="C317" s="624"/>
      <c r="D317" s="624"/>
      <c r="E317" s="624"/>
      <c r="F317" s="624"/>
      <c r="G317" s="624"/>
      <c r="H317" s="624"/>
      <c r="I317" s="624"/>
      <c r="J317" s="624"/>
      <c r="K317" s="624"/>
      <c r="L317" s="624"/>
      <c r="M317" s="672"/>
      <c r="N317" s="624"/>
      <c r="O317" s="624"/>
      <c r="P317" s="624"/>
      <c r="Q317" s="624"/>
      <c r="R317" s="624"/>
      <c r="T317" s="624"/>
      <c r="U317" s="624"/>
      <c r="V317" s="624"/>
      <c r="W317" s="624"/>
      <c r="X317" s="624"/>
      <c r="Y317" s="624"/>
      <c r="Z317" s="624"/>
      <c r="AB317" s="624"/>
      <c r="AM317" s="624"/>
      <c r="AN317" s="624"/>
      <c r="AO317" s="624"/>
      <c r="AP317" s="624"/>
      <c r="AQ317" s="624"/>
      <c r="AR317" s="624"/>
      <c r="AS317" s="624"/>
      <c r="AT317" s="624"/>
      <c r="AU317" s="620"/>
      <c r="AV317" s="620"/>
      <c r="AW317" s="673"/>
      <c r="AX317" s="673"/>
      <c r="AY317" s="673"/>
      <c r="AZ317" s="674"/>
      <c r="BA317" s="674"/>
      <c r="BB317" s="665"/>
      <c r="BC317" s="665"/>
      <c r="BD317" s="665"/>
      <c r="BE317" s="665"/>
      <c r="BF317" s="665"/>
      <c r="BG317" s="665"/>
    </row>
    <row r="318" spans="1:59" ht="12" customHeight="1" x14ac:dyDescent="0.2">
      <c r="A318" s="624"/>
      <c r="B318" s="624"/>
      <c r="C318" s="624"/>
      <c r="D318" s="624"/>
      <c r="E318" s="624"/>
      <c r="F318" s="624"/>
      <c r="G318" s="624"/>
      <c r="H318" s="624"/>
      <c r="I318" s="624"/>
      <c r="J318" s="624"/>
      <c r="K318" s="624"/>
      <c r="L318" s="624"/>
      <c r="M318" s="672"/>
      <c r="N318" s="624"/>
      <c r="O318" s="624"/>
      <c r="P318" s="624"/>
      <c r="Q318" s="624"/>
      <c r="R318" s="624"/>
      <c r="T318" s="624"/>
      <c r="U318" s="624"/>
      <c r="V318" s="624"/>
      <c r="W318" s="624"/>
      <c r="X318" s="624"/>
      <c r="Y318" s="624"/>
      <c r="Z318" s="624"/>
      <c r="AB318" s="624"/>
      <c r="AM318" s="624"/>
      <c r="AN318" s="624"/>
      <c r="AO318" s="624"/>
      <c r="AP318" s="624"/>
      <c r="AQ318" s="624"/>
      <c r="AR318" s="624"/>
      <c r="AS318" s="624"/>
      <c r="AT318" s="624"/>
      <c r="AU318" s="620"/>
      <c r="AV318" s="620"/>
      <c r="AW318" s="673"/>
      <c r="AX318" s="673"/>
      <c r="AY318" s="673"/>
      <c r="AZ318" s="674"/>
      <c r="BA318" s="674"/>
      <c r="BB318" s="665"/>
      <c r="BC318" s="665"/>
      <c r="BD318" s="665"/>
      <c r="BE318" s="665"/>
      <c r="BF318" s="665"/>
      <c r="BG318" s="665"/>
    </row>
    <row r="319" spans="1:59" ht="12" customHeight="1" x14ac:dyDescent="0.2">
      <c r="A319" s="624"/>
      <c r="B319" s="624"/>
      <c r="C319" s="624"/>
      <c r="D319" s="624"/>
      <c r="E319" s="624"/>
      <c r="F319" s="624"/>
      <c r="G319" s="624"/>
      <c r="H319" s="624"/>
      <c r="I319" s="624"/>
      <c r="J319" s="624"/>
      <c r="K319" s="624"/>
      <c r="L319" s="624"/>
      <c r="M319" s="672"/>
      <c r="N319" s="624"/>
      <c r="O319" s="624"/>
      <c r="P319" s="624"/>
      <c r="Q319" s="624"/>
      <c r="R319" s="624"/>
      <c r="T319" s="624"/>
      <c r="U319" s="624"/>
      <c r="V319" s="624"/>
      <c r="W319" s="624"/>
      <c r="X319" s="624"/>
      <c r="Y319" s="624"/>
      <c r="Z319" s="624"/>
      <c r="AB319" s="624"/>
      <c r="AM319" s="624"/>
      <c r="AN319" s="624"/>
      <c r="AO319" s="624"/>
      <c r="AP319" s="624"/>
      <c r="AQ319" s="624"/>
      <c r="AR319" s="624"/>
      <c r="AS319" s="624"/>
      <c r="AT319" s="624"/>
      <c r="AU319" s="620"/>
      <c r="AV319" s="620"/>
      <c r="AW319" s="673"/>
      <c r="AX319" s="673"/>
      <c r="AY319" s="673"/>
      <c r="AZ319" s="674"/>
      <c r="BA319" s="674"/>
      <c r="BB319" s="665"/>
      <c r="BC319" s="665"/>
      <c r="BD319" s="665"/>
      <c r="BE319" s="665"/>
      <c r="BF319" s="665"/>
      <c r="BG319" s="665"/>
    </row>
    <row r="320" spans="1:59" ht="12" customHeight="1" x14ac:dyDescent="0.2">
      <c r="A320" s="624"/>
      <c r="B320" s="624"/>
      <c r="C320" s="624"/>
      <c r="D320" s="624"/>
      <c r="E320" s="624"/>
      <c r="F320" s="624"/>
      <c r="G320" s="624"/>
      <c r="H320" s="624"/>
      <c r="I320" s="624"/>
      <c r="J320" s="624"/>
      <c r="K320" s="624"/>
      <c r="L320" s="624"/>
      <c r="M320" s="672"/>
      <c r="N320" s="624"/>
      <c r="O320" s="624"/>
      <c r="P320" s="624"/>
      <c r="Q320" s="624"/>
      <c r="R320" s="624"/>
      <c r="T320" s="624"/>
      <c r="U320" s="624"/>
      <c r="V320" s="624"/>
      <c r="W320" s="624"/>
      <c r="X320" s="624"/>
      <c r="Y320" s="624"/>
      <c r="Z320" s="624"/>
      <c r="AB320" s="624"/>
      <c r="AM320" s="624"/>
      <c r="AN320" s="624"/>
      <c r="AO320" s="624"/>
      <c r="AP320" s="624"/>
      <c r="AQ320" s="624"/>
      <c r="AR320" s="624"/>
      <c r="AS320" s="624"/>
      <c r="AT320" s="624"/>
      <c r="AU320" s="620"/>
      <c r="AV320" s="620"/>
      <c r="AW320" s="673"/>
      <c r="AX320" s="673"/>
      <c r="AY320" s="673"/>
      <c r="AZ320" s="674"/>
      <c r="BA320" s="674"/>
      <c r="BB320" s="665"/>
      <c r="BC320" s="665"/>
      <c r="BD320" s="665"/>
      <c r="BE320" s="665"/>
      <c r="BF320" s="665"/>
      <c r="BG320" s="665"/>
    </row>
    <row r="321" spans="1:59" ht="12" customHeight="1" x14ac:dyDescent="0.2">
      <c r="A321" s="624"/>
      <c r="B321" s="624"/>
      <c r="C321" s="624"/>
      <c r="D321" s="624"/>
      <c r="E321" s="624"/>
      <c r="F321" s="582"/>
      <c r="G321" s="624"/>
      <c r="H321" s="624"/>
      <c r="I321" s="624"/>
      <c r="J321" s="624"/>
      <c r="K321" s="624"/>
      <c r="L321" s="624"/>
      <c r="M321" s="672"/>
      <c r="N321" s="624"/>
      <c r="O321" s="624"/>
      <c r="P321" s="624"/>
      <c r="Q321" s="624"/>
      <c r="R321" s="624"/>
      <c r="T321" s="624"/>
      <c r="U321" s="624"/>
      <c r="V321" s="624"/>
      <c r="W321" s="624"/>
      <c r="X321" s="624"/>
      <c r="Y321" s="624"/>
      <c r="Z321" s="624"/>
      <c r="AB321" s="624"/>
      <c r="AM321" s="624"/>
      <c r="AN321" s="624"/>
      <c r="AO321" s="624"/>
      <c r="AP321" s="624"/>
      <c r="AQ321" s="624"/>
      <c r="AR321" s="624"/>
      <c r="AS321" s="624"/>
      <c r="AT321" s="624"/>
      <c r="AU321" s="620"/>
      <c r="AV321" s="620"/>
      <c r="AW321" s="673"/>
      <c r="AX321" s="673"/>
      <c r="AY321" s="673"/>
      <c r="AZ321" s="674"/>
      <c r="BA321" s="674"/>
      <c r="BB321" s="665"/>
      <c r="BC321" s="665"/>
      <c r="BD321" s="665"/>
      <c r="BE321" s="665"/>
      <c r="BF321" s="665"/>
      <c r="BG321" s="665"/>
    </row>
    <row r="322" spans="1:59" ht="12" customHeight="1" x14ac:dyDescent="0.2">
      <c r="A322" s="624"/>
      <c r="B322" s="624"/>
      <c r="C322" s="624"/>
      <c r="D322" s="624"/>
      <c r="E322" s="624"/>
      <c r="F322" s="582"/>
      <c r="G322" s="624"/>
      <c r="H322" s="624"/>
      <c r="I322" s="624"/>
      <c r="J322" s="624"/>
      <c r="K322" s="624"/>
      <c r="L322" s="624"/>
      <c r="M322" s="672"/>
      <c r="N322" s="624"/>
      <c r="O322" s="624"/>
      <c r="P322" s="624"/>
      <c r="Q322" s="624"/>
      <c r="R322" s="624"/>
      <c r="T322" s="624"/>
      <c r="U322" s="624"/>
      <c r="V322" s="624"/>
      <c r="W322" s="624"/>
      <c r="X322" s="624"/>
      <c r="Y322" s="624"/>
      <c r="Z322" s="624"/>
      <c r="AB322" s="624"/>
      <c r="AM322" s="624"/>
      <c r="AN322" s="624"/>
      <c r="AO322" s="624"/>
      <c r="AP322" s="624"/>
      <c r="AQ322" s="624"/>
      <c r="AR322" s="624"/>
      <c r="AS322" s="624"/>
      <c r="AT322" s="624"/>
      <c r="AU322" s="620"/>
      <c r="AV322" s="620"/>
      <c r="AW322" s="673"/>
      <c r="AX322" s="673"/>
      <c r="AY322" s="673"/>
      <c r="AZ322" s="674"/>
      <c r="BA322" s="674"/>
      <c r="BB322" s="665"/>
      <c r="BC322" s="665"/>
      <c r="BD322" s="665"/>
      <c r="BE322" s="665"/>
      <c r="BF322" s="665"/>
      <c r="BG322" s="665"/>
    </row>
    <row r="323" spans="1:59" ht="12" customHeight="1" x14ac:dyDescent="0.2">
      <c r="A323" s="624"/>
      <c r="B323" s="624"/>
      <c r="C323" s="624"/>
      <c r="D323" s="624"/>
      <c r="E323" s="624"/>
      <c r="F323" s="582"/>
      <c r="G323" s="624"/>
      <c r="H323" s="624"/>
      <c r="I323" s="624"/>
      <c r="J323" s="624"/>
      <c r="K323" s="624"/>
      <c r="L323" s="624"/>
      <c r="M323" s="672"/>
      <c r="N323" s="624"/>
      <c r="O323" s="624"/>
      <c r="P323" s="624"/>
      <c r="Q323" s="624"/>
      <c r="R323" s="624"/>
      <c r="T323" s="624"/>
      <c r="U323" s="624"/>
      <c r="V323" s="624"/>
      <c r="W323" s="624"/>
      <c r="X323" s="624"/>
      <c r="Y323" s="624"/>
      <c r="Z323" s="624"/>
      <c r="AB323" s="624"/>
      <c r="AM323" s="624"/>
      <c r="AN323" s="624"/>
      <c r="AO323" s="624"/>
      <c r="AP323" s="624"/>
      <c r="AQ323" s="624"/>
      <c r="AR323" s="624"/>
      <c r="AS323" s="624"/>
      <c r="AT323" s="624"/>
      <c r="AU323" s="620"/>
      <c r="AV323" s="620"/>
      <c r="AW323" s="673"/>
      <c r="AX323" s="673"/>
      <c r="AY323" s="673"/>
      <c r="AZ323" s="674"/>
      <c r="BA323" s="674"/>
      <c r="BB323" s="665"/>
      <c r="BC323" s="665"/>
      <c r="BD323" s="665"/>
      <c r="BE323" s="665"/>
      <c r="BF323" s="665"/>
      <c r="BG323" s="665"/>
    </row>
    <row r="324" spans="1:59" ht="12" customHeight="1" x14ac:dyDescent="0.2">
      <c r="A324" s="624"/>
      <c r="B324" s="624"/>
      <c r="C324" s="624"/>
      <c r="D324" s="624"/>
      <c r="E324" s="624"/>
      <c r="F324" s="582"/>
      <c r="G324" s="624"/>
      <c r="H324" s="624"/>
      <c r="I324" s="624"/>
      <c r="J324" s="624"/>
      <c r="K324" s="624"/>
      <c r="L324" s="624"/>
      <c r="M324" s="672"/>
      <c r="N324" s="624"/>
      <c r="O324" s="624"/>
      <c r="P324" s="624"/>
      <c r="Q324" s="624"/>
      <c r="R324" s="624"/>
      <c r="T324" s="624"/>
      <c r="U324" s="624"/>
      <c r="V324" s="624"/>
      <c r="W324" s="624"/>
      <c r="X324" s="624"/>
      <c r="Y324" s="624"/>
      <c r="Z324" s="624"/>
      <c r="AB324" s="624"/>
      <c r="AM324" s="624"/>
      <c r="AN324" s="624"/>
      <c r="AO324" s="624"/>
      <c r="AP324" s="624"/>
      <c r="AQ324" s="624"/>
      <c r="AR324" s="624"/>
      <c r="AS324" s="624"/>
      <c r="AT324" s="624"/>
      <c r="AU324" s="620"/>
      <c r="AV324" s="620"/>
      <c r="AW324" s="673"/>
      <c r="AX324" s="673"/>
      <c r="AY324" s="673"/>
      <c r="AZ324" s="674"/>
      <c r="BA324" s="674"/>
      <c r="BB324" s="665"/>
      <c r="BC324" s="665"/>
      <c r="BD324" s="665"/>
      <c r="BE324" s="665"/>
      <c r="BF324" s="665"/>
      <c r="BG324" s="665"/>
    </row>
    <row r="325" spans="1:59" ht="12" customHeight="1" x14ac:dyDescent="0.2">
      <c r="A325" s="624"/>
      <c r="B325" s="624"/>
      <c r="C325" s="624"/>
      <c r="D325" s="624"/>
      <c r="E325" s="624"/>
      <c r="F325" s="582"/>
      <c r="G325" s="624"/>
      <c r="H325" s="624"/>
      <c r="I325" s="624"/>
      <c r="J325" s="624"/>
      <c r="K325" s="624"/>
      <c r="L325" s="624"/>
      <c r="M325" s="672"/>
      <c r="N325" s="624"/>
      <c r="O325" s="624"/>
      <c r="P325" s="624"/>
      <c r="Q325" s="624"/>
      <c r="R325" s="624"/>
      <c r="T325" s="624"/>
      <c r="U325" s="624"/>
      <c r="V325" s="624"/>
      <c r="W325" s="624"/>
      <c r="X325" s="624"/>
      <c r="Y325" s="624"/>
      <c r="Z325" s="624"/>
      <c r="AB325" s="624"/>
      <c r="AM325" s="624"/>
      <c r="AN325" s="624"/>
      <c r="AO325" s="624"/>
      <c r="AP325" s="624"/>
      <c r="AQ325" s="624"/>
      <c r="AR325" s="624"/>
      <c r="AS325" s="624"/>
      <c r="AT325" s="624"/>
      <c r="AU325" s="620"/>
      <c r="AV325" s="620"/>
      <c r="AW325" s="673"/>
      <c r="AX325" s="673"/>
      <c r="AY325" s="673"/>
      <c r="AZ325" s="674"/>
      <c r="BA325" s="674"/>
      <c r="BB325" s="665"/>
      <c r="BC325" s="665"/>
      <c r="BD325" s="665"/>
      <c r="BE325" s="665"/>
      <c r="BF325" s="665"/>
      <c r="BG325" s="665"/>
    </row>
    <row r="326" spans="1:59" ht="12" customHeight="1" x14ac:dyDescent="0.2">
      <c r="A326" s="624"/>
      <c r="B326" s="624"/>
      <c r="C326" s="624"/>
      <c r="D326" s="624"/>
      <c r="E326" s="624"/>
      <c r="F326" s="582"/>
      <c r="G326" s="624"/>
      <c r="H326" s="624"/>
      <c r="I326" s="624"/>
      <c r="J326" s="624"/>
      <c r="K326" s="624"/>
      <c r="L326" s="624"/>
      <c r="M326" s="672"/>
      <c r="N326" s="624"/>
      <c r="O326" s="624"/>
      <c r="P326" s="624"/>
      <c r="Q326" s="624"/>
      <c r="R326" s="624"/>
      <c r="T326" s="624"/>
      <c r="U326" s="624"/>
      <c r="V326" s="624"/>
      <c r="W326" s="624"/>
      <c r="X326" s="624"/>
      <c r="Y326" s="624"/>
      <c r="Z326" s="624"/>
      <c r="AB326" s="624"/>
      <c r="AM326" s="624"/>
      <c r="AN326" s="624"/>
      <c r="AO326" s="624"/>
      <c r="AP326" s="624"/>
      <c r="AQ326" s="624"/>
      <c r="AR326" s="624"/>
      <c r="AS326" s="624"/>
      <c r="AT326" s="624"/>
      <c r="AU326" s="620"/>
      <c r="AV326" s="620"/>
      <c r="AW326" s="673"/>
      <c r="AX326" s="673"/>
      <c r="AY326" s="673"/>
      <c r="AZ326" s="674"/>
      <c r="BA326" s="674"/>
      <c r="BB326" s="665"/>
      <c r="BC326" s="665"/>
      <c r="BD326" s="665"/>
      <c r="BE326" s="665"/>
      <c r="BF326" s="665"/>
      <c r="BG326" s="665"/>
    </row>
    <row r="327" spans="1:59" ht="12" customHeight="1" x14ac:dyDescent="0.2">
      <c r="A327" s="624"/>
      <c r="B327" s="624"/>
      <c r="C327" s="624"/>
      <c r="D327" s="624"/>
      <c r="E327" s="624"/>
      <c r="F327" s="582"/>
      <c r="G327" s="624"/>
      <c r="H327" s="624"/>
      <c r="I327" s="624"/>
      <c r="J327" s="624"/>
      <c r="K327" s="624"/>
      <c r="L327" s="624"/>
      <c r="M327" s="672"/>
      <c r="N327" s="624"/>
      <c r="O327" s="624"/>
      <c r="P327" s="624"/>
      <c r="Q327" s="624"/>
      <c r="R327" s="624"/>
      <c r="T327" s="624"/>
      <c r="U327" s="624"/>
      <c r="V327" s="624"/>
      <c r="W327" s="624"/>
      <c r="X327" s="624"/>
      <c r="Y327" s="624"/>
      <c r="Z327" s="624"/>
      <c r="AB327" s="624"/>
      <c r="AM327" s="624"/>
      <c r="AN327" s="624"/>
      <c r="AO327" s="624"/>
      <c r="AP327" s="624"/>
      <c r="AQ327" s="624"/>
      <c r="AR327" s="624"/>
      <c r="AS327" s="624"/>
      <c r="AT327" s="624"/>
      <c r="AU327" s="620"/>
      <c r="AV327" s="620"/>
      <c r="AW327" s="673"/>
      <c r="AX327" s="673"/>
      <c r="AY327" s="673"/>
      <c r="AZ327" s="674"/>
      <c r="BA327" s="674"/>
      <c r="BB327" s="665"/>
      <c r="BC327" s="665"/>
      <c r="BD327" s="665"/>
      <c r="BE327" s="665"/>
      <c r="BF327" s="665"/>
      <c r="BG327" s="665"/>
    </row>
    <row r="328" spans="1:59" ht="12" customHeight="1" x14ac:dyDescent="0.2">
      <c r="A328" s="624"/>
      <c r="B328" s="624"/>
      <c r="C328" s="624"/>
      <c r="D328" s="624"/>
      <c r="E328" s="624"/>
      <c r="F328" s="582"/>
      <c r="G328" s="624"/>
      <c r="H328" s="624"/>
      <c r="I328" s="624"/>
      <c r="J328" s="624"/>
      <c r="K328" s="624"/>
      <c r="L328" s="624"/>
      <c r="M328" s="672"/>
      <c r="N328" s="624"/>
      <c r="O328" s="624"/>
      <c r="P328" s="624"/>
      <c r="Q328" s="624"/>
      <c r="R328" s="624"/>
      <c r="T328" s="624"/>
      <c r="U328" s="624"/>
      <c r="V328" s="624"/>
      <c r="W328" s="624"/>
      <c r="X328" s="624"/>
      <c r="Y328" s="624"/>
      <c r="Z328" s="624"/>
      <c r="AB328" s="624"/>
      <c r="AM328" s="624"/>
      <c r="AN328" s="624"/>
      <c r="AO328" s="624"/>
      <c r="AP328" s="624"/>
      <c r="AQ328" s="624"/>
      <c r="AR328" s="624"/>
      <c r="AS328" s="624"/>
      <c r="AT328" s="624"/>
      <c r="AU328" s="620"/>
      <c r="AV328" s="620"/>
      <c r="AW328" s="673"/>
      <c r="AX328" s="673"/>
      <c r="AY328" s="673"/>
      <c r="AZ328" s="674"/>
      <c r="BA328" s="674"/>
      <c r="BB328" s="665"/>
      <c r="BC328" s="665"/>
      <c r="BD328" s="665"/>
      <c r="BE328" s="665"/>
      <c r="BF328" s="665"/>
      <c r="BG328" s="665"/>
    </row>
    <row r="329" spans="1:59" ht="12" customHeight="1" x14ac:dyDescent="0.2">
      <c r="A329" s="624"/>
      <c r="B329" s="624"/>
      <c r="C329" s="624"/>
      <c r="D329" s="624"/>
      <c r="E329" s="624"/>
      <c r="F329" s="582"/>
      <c r="G329" s="624"/>
      <c r="H329" s="624"/>
      <c r="I329" s="624"/>
      <c r="J329" s="624"/>
      <c r="K329" s="624"/>
      <c r="L329" s="624"/>
      <c r="M329" s="672"/>
      <c r="N329" s="624"/>
      <c r="O329" s="624"/>
      <c r="P329" s="624"/>
      <c r="Q329" s="624"/>
      <c r="R329" s="624"/>
      <c r="T329" s="624"/>
      <c r="U329" s="624"/>
      <c r="V329" s="624"/>
      <c r="W329" s="624"/>
      <c r="X329" s="624"/>
      <c r="Y329" s="624"/>
      <c r="Z329" s="624"/>
      <c r="AB329" s="624"/>
      <c r="AM329" s="624"/>
      <c r="AN329" s="624"/>
      <c r="AO329" s="624"/>
      <c r="AP329" s="624"/>
      <c r="AQ329" s="624"/>
      <c r="AR329" s="624"/>
      <c r="AS329" s="624"/>
      <c r="AT329" s="624"/>
      <c r="AU329" s="620"/>
      <c r="AV329" s="620"/>
      <c r="AW329" s="673"/>
      <c r="AX329" s="673"/>
      <c r="AY329" s="673"/>
      <c r="AZ329" s="674"/>
      <c r="BA329" s="674"/>
      <c r="BB329" s="665"/>
      <c r="BC329" s="665"/>
      <c r="BD329" s="665"/>
      <c r="BE329" s="665"/>
      <c r="BF329" s="665"/>
      <c r="BG329" s="665"/>
    </row>
    <row r="330" spans="1:59" ht="12" customHeight="1" x14ac:dyDescent="0.2">
      <c r="A330" s="624"/>
      <c r="B330" s="624"/>
      <c r="C330" s="624"/>
      <c r="D330" s="624"/>
      <c r="E330" s="624"/>
      <c r="F330" s="582"/>
      <c r="G330" s="624"/>
      <c r="H330" s="624"/>
      <c r="I330" s="624"/>
      <c r="J330" s="624"/>
      <c r="K330" s="624"/>
      <c r="L330" s="624"/>
      <c r="M330" s="672"/>
      <c r="N330" s="624"/>
      <c r="O330" s="624"/>
      <c r="P330" s="624"/>
      <c r="Q330" s="624"/>
      <c r="R330" s="624"/>
      <c r="T330" s="624"/>
      <c r="U330" s="624"/>
      <c r="V330" s="624"/>
      <c r="W330" s="624"/>
      <c r="X330" s="624"/>
      <c r="Y330" s="624"/>
      <c r="Z330" s="624"/>
      <c r="AB330" s="624"/>
      <c r="AM330" s="624"/>
      <c r="AN330" s="624"/>
      <c r="AO330" s="624"/>
      <c r="AP330" s="624"/>
      <c r="AQ330" s="624"/>
      <c r="AR330" s="624"/>
      <c r="AS330" s="624"/>
      <c r="AT330" s="624"/>
      <c r="AU330" s="620"/>
      <c r="AV330" s="620"/>
      <c r="AW330" s="673"/>
      <c r="AX330" s="673"/>
      <c r="AY330" s="673"/>
      <c r="AZ330" s="674"/>
      <c r="BA330" s="674"/>
      <c r="BB330" s="665"/>
      <c r="BC330" s="665"/>
      <c r="BD330" s="665"/>
      <c r="BE330" s="665"/>
      <c r="BF330" s="665"/>
      <c r="BG330" s="665"/>
    </row>
    <row r="331" spans="1:59" ht="12" customHeight="1" x14ac:dyDescent="0.2">
      <c r="A331" s="624"/>
      <c r="B331" s="624"/>
      <c r="C331" s="624"/>
      <c r="D331" s="624"/>
      <c r="E331" s="624"/>
      <c r="F331" s="582"/>
      <c r="G331" s="624"/>
      <c r="H331" s="624"/>
      <c r="I331" s="624"/>
      <c r="J331" s="624"/>
      <c r="K331" s="624"/>
      <c r="L331" s="624"/>
      <c r="M331" s="672"/>
      <c r="N331" s="624"/>
      <c r="O331" s="624"/>
      <c r="P331" s="624"/>
      <c r="Q331" s="624"/>
      <c r="R331" s="624"/>
      <c r="T331" s="624"/>
      <c r="U331" s="624"/>
      <c r="V331" s="624"/>
      <c r="W331" s="624"/>
      <c r="X331" s="624"/>
      <c r="Y331" s="624"/>
      <c r="Z331" s="624"/>
      <c r="AB331" s="624"/>
      <c r="AM331" s="624"/>
      <c r="AN331" s="624"/>
      <c r="AO331" s="624"/>
      <c r="AP331" s="624"/>
      <c r="AQ331" s="624"/>
      <c r="AR331" s="624"/>
      <c r="AS331" s="624"/>
      <c r="AT331" s="624"/>
      <c r="AU331" s="620"/>
      <c r="AV331" s="620"/>
      <c r="AW331" s="673"/>
      <c r="AX331" s="673"/>
      <c r="AY331" s="673"/>
      <c r="AZ331" s="674"/>
      <c r="BA331" s="674"/>
      <c r="BB331" s="665"/>
      <c r="BC331" s="665"/>
      <c r="BD331" s="665"/>
      <c r="BE331" s="665"/>
      <c r="BF331" s="665"/>
      <c r="BG331" s="665"/>
    </row>
    <row r="332" spans="1:59" ht="12" customHeight="1" x14ac:dyDescent="0.2">
      <c r="A332" s="624"/>
      <c r="B332" s="624"/>
      <c r="C332" s="624"/>
      <c r="D332" s="624"/>
      <c r="E332" s="624"/>
      <c r="F332" s="582"/>
      <c r="G332" s="624"/>
      <c r="H332" s="624"/>
      <c r="I332" s="624"/>
      <c r="J332" s="624"/>
      <c r="K332" s="624"/>
      <c r="L332" s="624"/>
      <c r="M332" s="672"/>
      <c r="N332" s="624"/>
      <c r="O332" s="624"/>
      <c r="P332" s="624"/>
      <c r="Q332" s="624"/>
      <c r="R332" s="624"/>
      <c r="T332" s="624"/>
      <c r="U332" s="624"/>
      <c r="V332" s="624"/>
      <c r="W332" s="624"/>
      <c r="X332" s="624"/>
      <c r="Y332" s="624"/>
      <c r="Z332" s="624"/>
      <c r="AB332" s="624"/>
      <c r="AM332" s="624"/>
      <c r="AN332" s="624"/>
      <c r="AO332" s="624"/>
      <c r="AP332" s="624"/>
      <c r="AQ332" s="624"/>
      <c r="AR332" s="624"/>
      <c r="AS332" s="624"/>
      <c r="AT332" s="624"/>
      <c r="AU332" s="620"/>
      <c r="AV332" s="620"/>
      <c r="AW332" s="673"/>
      <c r="AX332" s="673"/>
      <c r="AY332" s="673"/>
      <c r="AZ332" s="674"/>
      <c r="BA332" s="674"/>
      <c r="BB332" s="665"/>
      <c r="BC332" s="665"/>
      <c r="BD332" s="665"/>
      <c r="BE332" s="665"/>
      <c r="BF332" s="665"/>
      <c r="BG332" s="665"/>
    </row>
    <row r="333" spans="1:59" ht="12" customHeight="1" x14ac:dyDescent="0.2">
      <c r="A333" s="624"/>
      <c r="B333" s="624"/>
      <c r="C333" s="624"/>
      <c r="D333" s="624"/>
      <c r="E333" s="624"/>
      <c r="F333" s="582"/>
      <c r="G333" s="624"/>
      <c r="H333" s="624"/>
      <c r="I333" s="624"/>
      <c r="J333" s="624"/>
      <c r="K333" s="624"/>
      <c r="L333" s="624"/>
      <c r="M333" s="672"/>
      <c r="N333" s="624"/>
      <c r="O333" s="624"/>
      <c r="P333" s="624"/>
      <c r="Q333" s="624"/>
      <c r="R333" s="624"/>
      <c r="T333" s="624"/>
      <c r="U333" s="624"/>
      <c r="V333" s="624"/>
      <c r="W333" s="624"/>
      <c r="X333" s="624"/>
      <c r="Y333" s="624"/>
      <c r="Z333" s="624"/>
      <c r="AB333" s="624"/>
      <c r="AM333" s="624"/>
      <c r="AN333" s="624"/>
      <c r="AO333" s="624"/>
      <c r="AP333" s="624"/>
      <c r="AQ333" s="624"/>
      <c r="AR333" s="624"/>
      <c r="AS333" s="624"/>
      <c r="AT333" s="624"/>
      <c r="AU333" s="620"/>
      <c r="AV333" s="620"/>
      <c r="AW333" s="673"/>
      <c r="AX333" s="673"/>
      <c r="AY333" s="673"/>
      <c r="AZ333" s="674"/>
      <c r="BA333" s="674"/>
      <c r="BB333" s="665"/>
      <c r="BC333" s="665"/>
      <c r="BD333" s="665"/>
      <c r="BE333" s="665"/>
      <c r="BF333" s="665"/>
      <c r="BG333" s="665"/>
    </row>
    <row r="334" spans="1:59" ht="12" customHeight="1" x14ac:dyDescent="0.2">
      <c r="A334" s="624"/>
      <c r="B334" s="624"/>
      <c r="C334" s="624"/>
      <c r="D334" s="624"/>
      <c r="E334" s="624"/>
      <c r="F334" s="582"/>
      <c r="G334" s="624"/>
      <c r="H334" s="624"/>
      <c r="I334" s="624"/>
      <c r="J334" s="624"/>
      <c r="K334" s="624"/>
      <c r="L334" s="624"/>
      <c r="M334" s="672"/>
      <c r="N334" s="624"/>
      <c r="O334" s="624"/>
      <c r="P334" s="624"/>
      <c r="Q334" s="624"/>
      <c r="R334" s="624"/>
      <c r="T334" s="624"/>
      <c r="U334" s="624"/>
      <c r="V334" s="624"/>
      <c r="W334" s="624"/>
      <c r="X334" s="624"/>
      <c r="Y334" s="624"/>
      <c r="Z334" s="624"/>
      <c r="AB334" s="624"/>
      <c r="AM334" s="624"/>
      <c r="AN334" s="624"/>
      <c r="AO334" s="624"/>
      <c r="AP334" s="624"/>
      <c r="AQ334" s="624"/>
      <c r="AR334" s="624"/>
      <c r="AS334" s="624"/>
      <c r="AT334" s="624"/>
      <c r="AU334" s="620"/>
      <c r="AV334" s="620"/>
      <c r="AW334" s="673"/>
      <c r="AX334" s="673"/>
      <c r="AY334" s="673"/>
      <c r="AZ334" s="674"/>
      <c r="BA334" s="674"/>
      <c r="BB334" s="665"/>
      <c r="BC334" s="665"/>
      <c r="BD334" s="665"/>
      <c r="BE334" s="665"/>
      <c r="BF334" s="665"/>
      <c r="BG334" s="665"/>
    </row>
    <row r="335" spans="1:59" ht="12" customHeight="1" x14ac:dyDescent="0.2">
      <c r="A335" s="624"/>
      <c r="B335" s="624"/>
      <c r="C335" s="624"/>
      <c r="D335" s="624"/>
      <c r="E335" s="624"/>
      <c r="F335" s="582"/>
      <c r="G335" s="624"/>
      <c r="H335" s="624"/>
      <c r="I335" s="624"/>
      <c r="J335" s="624"/>
      <c r="K335" s="624"/>
      <c r="L335" s="624"/>
      <c r="M335" s="672"/>
      <c r="N335" s="624"/>
      <c r="O335" s="624"/>
      <c r="P335" s="624"/>
      <c r="Q335" s="624"/>
      <c r="R335" s="624"/>
      <c r="T335" s="624"/>
      <c r="U335" s="624"/>
      <c r="V335" s="624"/>
      <c r="W335" s="624"/>
      <c r="X335" s="624"/>
      <c r="Y335" s="624"/>
      <c r="Z335" s="624"/>
      <c r="AB335" s="624"/>
      <c r="AM335" s="624"/>
      <c r="AN335" s="624"/>
      <c r="AO335" s="624"/>
      <c r="AP335" s="624"/>
      <c r="AQ335" s="624"/>
      <c r="AR335" s="624"/>
      <c r="AS335" s="624"/>
      <c r="AT335" s="624"/>
      <c r="AU335" s="620"/>
      <c r="AV335" s="620"/>
      <c r="AW335" s="673"/>
      <c r="AX335" s="673"/>
      <c r="AY335" s="673"/>
      <c r="AZ335" s="674"/>
      <c r="BA335" s="674"/>
      <c r="BB335" s="665"/>
      <c r="BC335" s="665"/>
      <c r="BD335" s="665"/>
      <c r="BE335" s="665"/>
      <c r="BF335" s="665"/>
      <c r="BG335" s="665"/>
    </row>
    <row r="336" spans="1:59" ht="12" customHeight="1" x14ac:dyDescent="0.2">
      <c r="A336" s="624"/>
      <c r="B336" s="624"/>
      <c r="C336" s="624"/>
      <c r="D336" s="624"/>
      <c r="E336" s="624"/>
      <c r="F336" s="582"/>
      <c r="G336" s="624"/>
      <c r="H336" s="624"/>
      <c r="I336" s="624"/>
      <c r="J336" s="624"/>
      <c r="K336" s="624"/>
      <c r="L336" s="624"/>
      <c r="M336" s="672"/>
      <c r="N336" s="624"/>
      <c r="O336" s="624"/>
      <c r="P336" s="624"/>
      <c r="Q336" s="624"/>
      <c r="R336" s="624"/>
      <c r="T336" s="624"/>
      <c r="U336" s="624"/>
      <c r="V336" s="624"/>
      <c r="W336" s="624"/>
      <c r="X336" s="624"/>
      <c r="Y336" s="624"/>
      <c r="Z336" s="624"/>
      <c r="AB336" s="624"/>
      <c r="AM336" s="624"/>
      <c r="AN336" s="624"/>
      <c r="AO336" s="624"/>
      <c r="AP336" s="624"/>
      <c r="AQ336" s="624"/>
      <c r="AR336" s="624"/>
      <c r="AS336" s="624"/>
      <c r="AT336" s="624"/>
      <c r="AU336" s="620"/>
      <c r="AV336" s="620"/>
      <c r="AW336" s="673"/>
      <c r="AX336" s="673"/>
      <c r="AY336" s="673"/>
      <c r="AZ336" s="674"/>
      <c r="BA336" s="674"/>
      <c r="BB336" s="665"/>
      <c r="BC336" s="665"/>
      <c r="BD336" s="665"/>
      <c r="BE336" s="665"/>
      <c r="BF336" s="665"/>
      <c r="BG336" s="665"/>
    </row>
    <row r="337" spans="1:59" ht="12" customHeight="1" x14ac:dyDescent="0.2">
      <c r="A337" s="624"/>
      <c r="B337" s="624"/>
      <c r="C337" s="624"/>
      <c r="D337" s="624"/>
      <c r="E337" s="624"/>
      <c r="F337" s="582"/>
      <c r="G337" s="624"/>
      <c r="H337" s="624"/>
      <c r="I337" s="624"/>
      <c r="J337" s="624"/>
      <c r="K337" s="624"/>
      <c r="L337" s="624"/>
      <c r="M337" s="672"/>
      <c r="N337" s="624"/>
      <c r="O337" s="624"/>
      <c r="P337" s="624"/>
      <c r="Q337" s="624"/>
      <c r="R337" s="624"/>
      <c r="T337" s="624"/>
      <c r="U337" s="624"/>
      <c r="V337" s="624"/>
      <c r="W337" s="624"/>
      <c r="X337" s="624"/>
      <c r="Y337" s="624"/>
      <c r="Z337" s="624"/>
      <c r="AB337" s="624"/>
      <c r="AM337" s="624"/>
      <c r="AN337" s="624"/>
      <c r="AO337" s="624"/>
      <c r="AP337" s="624"/>
      <c r="AQ337" s="624"/>
      <c r="AR337" s="624"/>
      <c r="AS337" s="624"/>
      <c r="AT337" s="624"/>
      <c r="AU337" s="620"/>
      <c r="AV337" s="620"/>
      <c r="AW337" s="673"/>
      <c r="AX337" s="673"/>
      <c r="AY337" s="673"/>
      <c r="AZ337" s="674"/>
      <c r="BA337" s="674"/>
      <c r="BB337" s="665"/>
      <c r="BC337" s="665"/>
      <c r="BD337" s="665"/>
      <c r="BE337" s="665"/>
      <c r="BF337" s="665"/>
      <c r="BG337" s="665"/>
    </row>
    <row r="338" spans="1:59" ht="12" customHeight="1" x14ac:dyDescent="0.2">
      <c r="A338" s="624"/>
      <c r="B338" s="624"/>
      <c r="C338" s="624"/>
      <c r="D338" s="624"/>
      <c r="E338" s="624"/>
      <c r="F338" s="582"/>
      <c r="G338" s="624"/>
      <c r="H338" s="624"/>
      <c r="I338" s="624"/>
      <c r="J338" s="624"/>
      <c r="K338" s="624"/>
      <c r="L338" s="624"/>
      <c r="M338" s="672"/>
      <c r="N338" s="624"/>
      <c r="O338" s="624"/>
      <c r="P338" s="624"/>
      <c r="Q338" s="624"/>
      <c r="R338" s="624"/>
      <c r="T338" s="624"/>
      <c r="U338" s="624"/>
      <c r="V338" s="624"/>
      <c r="W338" s="624"/>
      <c r="X338" s="624"/>
      <c r="Y338" s="624"/>
      <c r="Z338" s="624"/>
      <c r="AB338" s="624"/>
      <c r="AM338" s="624"/>
      <c r="AN338" s="624"/>
      <c r="AO338" s="624"/>
      <c r="AP338" s="624"/>
      <c r="AQ338" s="624"/>
      <c r="AR338" s="624"/>
      <c r="AS338" s="624"/>
      <c r="AT338" s="624"/>
      <c r="AU338" s="620"/>
      <c r="AV338" s="620"/>
      <c r="AW338" s="673"/>
      <c r="AX338" s="673"/>
      <c r="AY338" s="673"/>
      <c r="AZ338" s="674"/>
      <c r="BA338" s="674"/>
      <c r="BB338" s="665"/>
      <c r="BC338" s="665"/>
      <c r="BD338" s="665"/>
      <c r="BE338" s="665"/>
      <c r="BF338" s="665"/>
      <c r="BG338" s="665"/>
    </row>
    <row r="339" spans="1:59" ht="12" customHeight="1" x14ac:dyDescent="0.2">
      <c r="B339" s="677"/>
      <c r="C339" s="677"/>
      <c r="D339" s="677"/>
      <c r="E339" s="677"/>
      <c r="F339" s="679"/>
      <c r="G339" s="677"/>
      <c r="H339" s="677"/>
      <c r="I339" s="677"/>
      <c r="J339" s="677"/>
      <c r="K339" s="677"/>
      <c r="L339" s="677"/>
      <c r="M339" s="678"/>
      <c r="N339" s="677"/>
      <c r="O339" s="677"/>
      <c r="P339" s="677"/>
      <c r="Q339" s="677"/>
      <c r="R339" s="677"/>
      <c r="S339" s="677"/>
      <c r="T339" s="677"/>
      <c r="U339" s="677"/>
      <c r="V339" s="677"/>
      <c r="W339" s="677"/>
      <c r="X339" s="677"/>
      <c r="Y339" s="677"/>
      <c r="Z339" s="677"/>
      <c r="AB339" s="677"/>
      <c r="AN339" s="620"/>
      <c r="AO339" s="620"/>
      <c r="AP339" s="620"/>
      <c r="AQ339" s="620"/>
      <c r="AR339" s="620"/>
      <c r="AS339" s="620"/>
      <c r="AT339" s="620"/>
      <c r="AU339" s="620"/>
      <c r="AV339" s="620"/>
      <c r="AW339" s="673"/>
      <c r="AX339" s="673"/>
      <c r="AY339" s="673"/>
      <c r="AZ339" s="674"/>
      <c r="BA339" s="674"/>
      <c r="BB339" s="665"/>
      <c r="BC339" s="665"/>
      <c r="BD339" s="665"/>
      <c r="BE339" s="665"/>
      <c r="BF339" s="665"/>
      <c r="BG339" s="665"/>
    </row>
    <row r="340" spans="1:59" ht="12" customHeight="1" x14ac:dyDescent="0.2">
      <c r="B340" s="677"/>
      <c r="C340" s="677"/>
      <c r="D340" s="677"/>
      <c r="E340" s="677"/>
      <c r="F340" s="679"/>
      <c r="G340" s="677"/>
      <c r="H340" s="677"/>
      <c r="I340" s="677"/>
      <c r="J340" s="677"/>
      <c r="K340" s="677"/>
      <c r="L340" s="677"/>
      <c r="M340" s="678"/>
      <c r="N340" s="677"/>
      <c r="O340" s="677"/>
      <c r="P340" s="677"/>
      <c r="Q340" s="677"/>
      <c r="R340" s="677"/>
      <c r="S340" s="677"/>
      <c r="T340" s="677"/>
      <c r="U340" s="677"/>
      <c r="V340" s="677"/>
      <c r="W340" s="677"/>
      <c r="X340" s="677"/>
      <c r="Y340" s="677"/>
      <c r="Z340" s="677"/>
      <c r="AB340" s="677"/>
      <c r="AN340" s="620"/>
      <c r="AO340" s="620"/>
      <c r="AP340" s="620"/>
      <c r="AQ340" s="620"/>
      <c r="AR340" s="620"/>
      <c r="AS340" s="620"/>
      <c r="AT340" s="620"/>
      <c r="AU340" s="620"/>
      <c r="AV340" s="620"/>
      <c r="AW340" s="673"/>
      <c r="AX340" s="673"/>
      <c r="AY340" s="673"/>
      <c r="AZ340" s="674"/>
      <c r="BA340" s="674"/>
      <c r="BB340" s="665"/>
      <c r="BC340" s="665"/>
      <c r="BD340" s="665"/>
      <c r="BE340" s="665"/>
      <c r="BF340" s="665"/>
      <c r="BG340" s="665"/>
    </row>
    <row r="341" spans="1:59" ht="12" customHeight="1" x14ac:dyDescent="0.2">
      <c r="B341" s="677"/>
      <c r="C341" s="677"/>
      <c r="D341" s="677"/>
      <c r="E341" s="677"/>
      <c r="F341" s="679"/>
      <c r="G341" s="677"/>
      <c r="H341" s="677"/>
      <c r="I341" s="677"/>
      <c r="J341" s="677"/>
      <c r="K341" s="677"/>
      <c r="L341" s="677"/>
      <c r="M341" s="678"/>
      <c r="N341" s="677"/>
      <c r="O341" s="677"/>
      <c r="P341" s="677"/>
      <c r="Q341" s="677"/>
      <c r="R341" s="677"/>
      <c r="S341" s="677"/>
      <c r="T341" s="677"/>
      <c r="U341" s="677"/>
      <c r="V341" s="677"/>
      <c r="W341" s="677"/>
      <c r="X341" s="677"/>
      <c r="Y341" s="677"/>
      <c r="Z341" s="677"/>
      <c r="AB341" s="677"/>
      <c r="AN341" s="620"/>
      <c r="AO341" s="620"/>
      <c r="AP341" s="620"/>
      <c r="AQ341" s="620"/>
      <c r="AR341" s="620"/>
      <c r="AS341" s="620"/>
      <c r="AT341" s="620"/>
      <c r="AU341" s="620"/>
      <c r="AV341" s="620"/>
      <c r="AW341" s="673"/>
      <c r="AX341" s="673"/>
      <c r="AY341" s="673"/>
      <c r="AZ341" s="674"/>
      <c r="BA341" s="674"/>
      <c r="BB341" s="665"/>
      <c r="BC341" s="665"/>
      <c r="BD341" s="665"/>
      <c r="BE341" s="665"/>
      <c r="BF341" s="665"/>
      <c r="BG341" s="665"/>
    </row>
    <row r="342" spans="1:59" ht="12" customHeight="1" x14ac:dyDescent="0.2">
      <c r="B342" s="677"/>
      <c r="C342" s="677"/>
      <c r="D342" s="677"/>
      <c r="E342" s="677"/>
      <c r="F342" s="679"/>
      <c r="G342" s="677"/>
      <c r="H342" s="677"/>
      <c r="I342" s="677"/>
      <c r="J342" s="677"/>
      <c r="K342" s="677"/>
      <c r="L342" s="677"/>
      <c r="M342" s="678"/>
      <c r="N342" s="677"/>
      <c r="O342" s="677"/>
      <c r="P342" s="677"/>
      <c r="Q342" s="677"/>
      <c r="R342" s="677"/>
      <c r="S342" s="677"/>
      <c r="T342" s="677"/>
      <c r="U342" s="677"/>
      <c r="V342" s="677"/>
      <c r="W342" s="677"/>
      <c r="X342" s="677"/>
      <c r="Y342" s="677"/>
      <c r="Z342" s="677"/>
      <c r="AB342" s="677"/>
      <c r="AN342" s="620"/>
      <c r="AO342" s="620"/>
      <c r="AP342" s="620"/>
      <c r="AQ342" s="620"/>
      <c r="AR342" s="620"/>
      <c r="AS342" s="620"/>
      <c r="AT342" s="620"/>
      <c r="AU342" s="620"/>
      <c r="AV342" s="620"/>
      <c r="AW342" s="673"/>
      <c r="AX342" s="673"/>
      <c r="AY342" s="673"/>
      <c r="AZ342" s="674"/>
      <c r="BA342" s="674"/>
      <c r="BB342" s="665"/>
      <c r="BC342" s="665"/>
      <c r="BD342" s="665"/>
      <c r="BE342" s="665"/>
      <c r="BF342" s="665"/>
      <c r="BG342" s="665"/>
    </row>
    <row r="343" spans="1:59" ht="12" customHeight="1" x14ac:dyDescent="0.2">
      <c r="B343" s="677"/>
      <c r="C343" s="677"/>
      <c r="D343" s="677"/>
      <c r="E343" s="677"/>
      <c r="F343" s="679"/>
      <c r="G343" s="677"/>
      <c r="H343" s="677"/>
      <c r="I343" s="677"/>
      <c r="J343" s="677"/>
      <c r="K343" s="677"/>
      <c r="L343" s="677"/>
      <c r="M343" s="678"/>
      <c r="N343" s="677"/>
      <c r="O343" s="677"/>
      <c r="P343" s="677"/>
      <c r="Q343" s="677"/>
      <c r="R343" s="677"/>
      <c r="S343" s="677"/>
      <c r="T343" s="677"/>
      <c r="U343" s="677"/>
      <c r="V343" s="677"/>
      <c r="W343" s="677"/>
      <c r="X343" s="677"/>
      <c r="Y343" s="677"/>
      <c r="Z343" s="677"/>
      <c r="AB343" s="677"/>
      <c r="AN343" s="620"/>
      <c r="AO343" s="620"/>
      <c r="AP343" s="620"/>
      <c r="AQ343" s="620"/>
      <c r="AR343" s="620"/>
      <c r="AS343" s="620"/>
      <c r="AT343" s="620"/>
      <c r="AU343" s="620"/>
      <c r="AV343" s="620"/>
      <c r="AW343" s="673"/>
      <c r="AX343" s="673"/>
      <c r="AY343" s="673"/>
      <c r="AZ343" s="674"/>
      <c r="BA343" s="674"/>
      <c r="BB343" s="665"/>
      <c r="BC343" s="665"/>
      <c r="BD343" s="665"/>
      <c r="BE343" s="665"/>
      <c r="BF343" s="665"/>
      <c r="BG343" s="665"/>
    </row>
    <row r="344" spans="1:59" ht="12" customHeight="1" x14ac:dyDescent="0.2">
      <c r="B344" s="677"/>
      <c r="C344" s="677"/>
      <c r="D344" s="677"/>
      <c r="E344" s="677"/>
      <c r="F344" s="679"/>
      <c r="G344" s="677"/>
      <c r="H344" s="677"/>
      <c r="I344" s="677"/>
      <c r="J344" s="677"/>
      <c r="K344" s="677"/>
      <c r="L344" s="677"/>
      <c r="M344" s="678"/>
      <c r="N344" s="677"/>
      <c r="O344" s="677"/>
      <c r="P344" s="677"/>
      <c r="Q344" s="677"/>
      <c r="R344" s="677"/>
      <c r="S344" s="677"/>
      <c r="T344" s="677"/>
      <c r="U344" s="677"/>
      <c r="V344" s="677"/>
      <c r="W344" s="677"/>
      <c r="X344" s="677"/>
      <c r="Y344" s="677"/>
      <c r="Z344" s="677"/>
      <c r="AB344" s="677"/>
      <c r="AN344" s="620"/>
      <c r="AO344" s="620"/>
      <c r="AP344" s="620"/>
      <c r="AQ344" s="620"/>
      <c r="AR344" s="620"/>
      <c r="AS344" s="620"/>
      <c r="AT344" s="620"/>
      <c r="AU344" s="620"/>
      <c r="AV344" s="620"/>
      <c r="AW344" s="673"/>
      <c r="AX344" s="673"/>
      <c r="AY344" s="673"/>
      <c r="AZ344" s="674"/>
      <c r="BA344" s="674"/>
      <c r="BB344" s="665"/>
      <c r="BC344" s="665"/>
      <c r="BD344" s="665"/>
      <c r="BE344" s="665"/>
      <c r="BF344" s="665"/>
      <c r="BG344" s="665"/>
    </row>
    <row r="345" spans="1:59" ht="12" customHeight="1" x14ac:dyDescent="0.2">
      <c r="B345" s="677"/>
      <c r="C345" s="677"/>
      <c r="D345" s="677"/>
      <c r="E345" s="677"/>
      <c r="F345" s="679"/>
      <c r="G345" s="677"/>
      <c r="H345" s="677"/>
      <c r="I345" s="677"/>
      <c r="J345" s="677"/>
      <c r="K345" s="677"/>
      <c r="L345" s="677"/>
      <c r="M345" s="678"/>
      <c r="N345" s="677"/>
      <c r="O345" s="677"/>
      <c r="P345" s="677"/>
      <c r="Q345" s="677"/>
      <c r="R345" s="677"/>
      <c r="S345" s="677"/>
      <c r="T345" s="677"/>
      <c r="U345" s="677"/>
      <c r="V345" s="677"/>
      <c r="W345" s="677"/>
      <c r="X345" s="677"/>
      <c r="Y345" s="677"/>
      <c r="Z345" s="677"/>
      <c r="AB345" s="677"/>
      <c r="AN345" s="620"/>
      <c r="AO345" s="620"/>
      <c r="AP345" s="620"/>
      <c r="AQ345" s="620"/>
      <c r="AR345" s="620"/>
      <c r="AS345" s="620"/>
      <c r="AT345" s="620"/>
      <c r="AU345" s="620"/>
      <c r="AV345" s="620"/>
      <c r="AW345" s="673"/>
      <c r="AX345" s="673"/>
      <c r="AY345" s="673"/>
      <c r="AZ345" s="674"/>
      <c r="BA345" s="674"/>
      <c r="BB345" s="665"/>
      <c r="BC345" s="665"/>
      <c r="BD345" s="665"/>
      <c r="BE345" s="665"/>
      <c r="BF345" s="665"/>
      <c r="BG345" s="665"/>
    </row>
    <row r="346" spans="1:59" ht="12" customHeight="1" x14ac:dyDescent="0.2">
      <c r="B346" s="677"/>
      <c r="C346" s="677"/>
      <c r="D346" s="677"/>
      <c r="E346" s="677"/>
      <c r="F346" s="679"/>
      <c r="G346" s="677"/>
      <c r="H346" s="677"/>
      <c r="I346" s="677"/>
      <c r="J346" s="677"/>
      <c r="K346" s="677"/>
      <c r="L346" s="677"/>
      <c r="M346" s="678"/>
      <c r="N346" s="677"/>
      <c r="O346" s="677"/>
      <c r="P346" s="677"/>
      <c r="Q346" s="677"/>
      <c r="R346" s="677"/>
      <c r="S346" s="677"/>
      <c r="T346" s="677"/>
      <c r="U346" s="677"/>
      <c r="V346" s="677"/>
      <c r="W346" s="677"/>
      <c r="X346" s="677"/>
      <c r="Y346" s="677"/>
      <c r="Z346" s="677"/>
      <c r="AB346" s="677"/>
      <c r="AN346" s="620"/>
      <c r="AO346" s="620"/>
      <c r="AP346" s="620"/>
      <c r="AQ346" s="620"/>
      <c r="AR346" s="620"/>
      <c r="AS346" s="620"/>
      <c r="AT346" s="620"/>
      <c r="AU346" s="620"/>
      <c r="AV346" s="620"/>
      <c r="AW346" s="673"/>
      <c r="AX346" s="673"/>
      <c r="AY346" s="673"/>
      <c r="AZ346" s="674"/>
      <c r="BA346" s="674"/>
      <c r="BB346" s="665"/>
      <c r="BC346" s="665"/>
      <c r="BD346" s="665"/>
      <c r="BE346" s="665"/>
      <c r="BF346" s="665"/>
      <c r="BG346" s="665"/>
    </row>
    <row r="347" spans="1:59" ht="12" customHeight="1" x14ac:dyDescent="0.2">
      <c r="B347" s="677"/>
      <c r="C347" s="677"/>
      <c r="D347" s="677"/>
      <c r="E347" s="677"/>
      <c r="F347" s="679"/>
      <c r="G347" s="677"/>
      <c r="H347" s="677"/>
      <c r="I347" s="677"/>
      <c r="J347" s="677"/>
      <c r="K347" s="677"/>
      <c r="L347" s="677"/>
      <c r="M347" s="678"/>
      <c r="N347" s="677"/>
      <c r="O347" s="677"/>
      <c r="P347" s="677"/>
      <c r="Q347" s="677"/>
      <c r="R347" s="677"/>
      <c r="S347" s="677"/>
      <c r="T347" s="677"/>
      <c r="U347" s="677"/>
      <c r="V347" s="677"/>
      <c r="W347" s="677"/>
      <c r="X347" s="677"/>
      <c r="Y347" s="677"/>
      <c r="Z347" s="677"/>
      <c r="AB347" s="677"/>
      <c r="AN347" s="620"/>
      <c r="AO347" s="620"/>
      <c r="AP347" s="620"/>
      <c r="AQ347" s="620"/>
      <c r="AR347" s="620"/>
      <c r="AS347" s="620"/>
      <c r="AT347" s="620"/>
      <c r="AU347" s="620"/>
      <c r="AV347" s="620"/>
      <c r="AW347" s="673"/>
      <c r="AX347" s="673"/>
      <c r="AY347" s="673"/>
      <c r="AZ347" s="674"/>
      <c r="BA347" s="674"/>
      <c r="BB347" s="665"/>
      <c r="BC347" s="665"/>
      <c r="BD347" s="665"/>
      <c r="BE347" s="665"/>
      <c r="BF347" s="665"/>
      <c r="BG347" s="665"/>
    </row>
    <row r="348" spans="1:59" ht="12" customHeight="1" x14ac:dyDescent="0.2">
      <c r="B348" s="677"/>
      <c r="C348" s="677"/>
      <c r="D348" s="677"/>
      <c r="E348" s="677"/>
      <c r="F348" s="679"/>
      <c r="G348" s="677"/>
      <c r="H348" s="677"/>
      <c r="I348" s="677"/>
      <c r="J348" s="677"/>
      <c r="K348" s="677"/>
      <c r="L348" s="677"/>
      <c r="M348" s="678"/>
      <c r="N348" s="677"/>
      <c r="O348" s="677"/>
      <c r="P348" s="677"/>
      <c r="Q348" s="677"/>
      <c r="R348" s="677"/>
      <c r="S348" s="677"/>
      <c r="T348" s="677"/>
      <c r="U348" s="677"/>
      <c r="V348" s="677"/>
      <c r="W348" s="677"/>
      <c r="X348" s="677"/>
      <c r="Y348" s="677"/>
      <c r="Z348" s="677"/>
      <c r="AB348" s="677"/>
      <c r="AN348" s="620"/>
      <c r="AO348" s="620"/>
      <c r="AP348" s="620"/>
      <c r="AQ348" s="620"/>
      <c r="AR348" s="620"/>
      <c r="AS348" s="620"/>
      <c r="AT348" s="620"/>
      <c r="AU348" s="620"/>
      <c r="AV348" s="620"/>
      <c r="AW348" s="673"/>
      <c r="AX348" s="673"/>
      <c r="AY348" s="673"/>
      <c r="AZ348" s="674"/>
      <c r="BA348" s="674"/>
      <c r="BB348" s="665"/>
      <c r="BC348" s="665"/>
      <c r="BD348" s="665"/>
      <c r="BE348" s="665"/>
      <c r="BF348" s="665"/>
      <c r="BG348" s="665"/>
    </row>
    <row r="349" spans="1:59" ht="12" customHeight="1" x14ac:dyDescent="0.2">
      <c r="B349" s="677"/>
      <c r="C349" s="677"/>
      <c r="D349" s="677"/>
      <c r="E349" s="677"/>
      <c r="F349" s="679"/>
      <c r="G349" s="677"/>
      <c r="H349" s="677"/>
      <c r="I349" s="677"/>
      <c r="J349" s="677"/>
      <c r="K349" s="677"/>
      <c r="L349" s="677"/>
      <c r="M349" s="678"/>
      <c r="N349" s="677"/>
      <c r="O349" s="677"/>
      <c r="P349" s="677"/>
      <c r="Q349" s="677"/>
      <c r="R349" s="677"/>
      <c r="S349" s="677"/>
      <c r="T349" s="677"/>
      <c r="U349" s="677"/>
      <c r="V349" s="677"/>
      <c r="W349" s="677"/>
      <c r="X349" s="677"/>
      <c r="Y349" s="677"/>
      <c r="Z349" s="677"/>
      <c r="AB349" s="677"/>
      <c r="AN349" s="620"/>
      <c r="AO349" s="620"/>
      <c r="AP349" s="620"/>
      <c r="AQ349" s="620"/>
      <c r="AR349" s="620"/>
      <c r="AS349" s="620"/>
      <c r="AT349" s="620"/>
      <c r="AU349" s="620"/>
      <c r="AV349" s="620"/>
      <c r="AW349" s="673"/>
      <c r="AX349" s="673"/>
      <c r="AY349" s="673"/>
      <c r="AZ349" s="674"/>
      <c r="BA349" s="674"/>
      <c r="BB349" s="665"/>
      <c r="BC349" s="665"/>
      <c r="BD349" s="665"/>
      <c r="BE349" s="665"/>
      <c r="BF349" s="665"/>
      <c r="BG349" s="665"/>
    </row>
    <row r="350" spans="1:59" ht="12" customHeight="1" x14ac:dyDescent="0.2">
      <c r="B350" s="677"/>
      <c r="C350" s="677"/>
      <c r="D350" s="677"/>
      <c r="E350" s="677"/>
      <c r="F350" s="679"/>
      <c r="G350" s="677"/>
      <c r="H350" s="677"/>
      <c r="I350" s="677"/>
      <c r="J350" s="677"/>
      <c r="K350" s="677"/>
      <c r="L350" s="677"/>
      <c r="M350" s="678"/>
      <c r="N350" s="677"/>
      <c r="O350" s="677"/>
      <c r="P350" s="677"/>
      <c r="Q350" s="677"/>
      <c r="R350" s="677"/>
      <c r="S350" s="677"/>
      <c r="T350" s="677"/>
      <c r="U350" s="677"/>
      <c r="V350" s="677"/>
      <c r="W350" s="677"/>
      <c r="X350" s="677"/>
      <c r="Y350" s="677"/>
      <c r="Z350" s="677"/>
      <c r="AB350" s="677"/>
      <c r="AN350" s="620"/>
      <c r="AO350" s="620"/>
      <c r="AP350" s="620"/>
      <c r="AQ350" s="620"/>
      <c r="AR350" s="620"/>
      <c r="AS350" s="620"/>
      <c r="AT350" s="620"/>
      <c r="AU350" s="620"/>
      <c r="AV350" s="620"/>
      <c r="AW350" s="673"/>
      <c r="AX350" s="673"/>
      <c r="AY350" s="673"/>
      <c r="AZ350" s="674"/>
      <c r="BA350" s="674"/>
      <c r="BB350" s="665"/>
      <c r="BC350" s="665"/>
      <c r="BD350" s="665"/>
      <c r="BE350" s="665"/>
      <c r="BF350" s="665"/>
      <c r="BG350" s="665"/>
    </row>
    <row r="351" spans="1:59" ht="12" customHeight="1" x14ac:dyDescent="0.2">
      <c r="B351" s="677"/>
      <c r="C351" s="677"/>
      <c r="D351" s="677"/>
      <c r="E351" s="677"/>
      <c r="F351" s="679"/>
      <c r="G351" s="677"/>
      <c r="H351" s="677"/>
      <c r="I351" s="677"/>
      <c r="J351" s="677"/>
      <c r="K351" s="677"/>
      <c r="L351" s="677"/>
      <c r="M351" s="678"/>
      <c r="N351" s="677"/>
      <c r="O351" s="678"/>
      <c r="P351" s="678"/>
      <c r="Q351" s="678"/>
      <c r="R351" s="678"/>
      <c r="S351" s="678"/>
      <c r="T351" s="677"/>
      <c r="U351" s="678"/>
      <c r="V351" s="678"/>
      <c r="W351" s="678"/>
      <c r="X351" s="678"/>
      <c r="Y351" s="678"/>
      <c r="Z351" s="678"/>
      <c r="AB351" s="677"/>
      <c r="AN351" s="673"/>
      <c r="AO351" s="673"/>
      <c r="AP351" s="673"/>
      <c r="AQ351" s="673"/>
      <c r="AR351" s="673"/>
      <c r="AS351" s="673"/>
      <c r="AT351" s="673"/>
      <c r="AU351" s="673"/>
      <c r="AV351" s="673"/>
      <c r="AW351" s="673"/>
      <c r="AX351" s="673"/>
      <c r="AY351" s="673"/>
      <c r="AZ351" s="674"/>
      <c r="BA351" s="674"/>
      <c r="BB351" s="665"/>
      <c r="BC351" s="665"/>
      <c r="BD351" s="665"/>
      <c r="BE351" s="665"/>
      <c r="BF351" s="665"/>
      <c r="BG351" s="665"/>
    </row>
    <row r="352" spans="1:59" ht="12" customHeight="1" x14ac:dyDescent="0.2">
      <c r="B352" s="677"/>
      <c r="C352" s="677"/>
      <c r="D352" s="677"/>
      <c r="E352" s="677"/>
      <c r="F352" s="679"/>
      <c r="G352" s="677"/>
      <c r="H352" s="677"/>
      <c r="I352" s="677"/>
      <c r="J352" s="677"/>
      <c r="K352" s="677"/>
      <c r="L352" s="677"/>
      <c r="M352" s="678"/>
      <c r="N352" s="677"/>
      <c r="O352" s="678"/>
      <c r="P352" s="678"/>
      <c r="Q352" s="678"/>
      <c r="R352" s="678"/>
      <c r="S352" s="678"/>
      <c r="T352" s="677"/>
      <c r="U352" s="678"/>
      <c r="V352" s="678"/>
      <c r="W352" s="678"/>
      <c r="X352" s="678"/>
      <c r="Y352" s="678"/>
      <c r="Z352" s="678"/>
      <c r="AB352" s="677"/>
      <c r="AN352" s="673"/>
      <c r="AO352" s="673"/>
      <c r="AP352" s="673"/>
      <c r="AQ352" s="673"/>
      <c r="AR352" s="673"/>
      <c r="AS352" s="673"/>
      <c r="AT352" s="673"/>
      <c r="AU352" s="673"/>
      <c r="AV352" s="673"/>
      <c r="AW352" s="673"/>
      <c r="AX352" s="673"/>
      <c r="AY352" s="673"/>
      <c r="AZ352" s="674"/>
      <c r="BA352" s="674"/>
      <c r="BB352" s="665"/>
      <c r="BC352" s="665"/>
      <c r="BD352" s="665"/>
      <c r="BE352" s="665"/>
      <c r="BF352" s="665"/>
      <c r="BG352" s="665"/>
    </row>
    <row r="353" spans="2:59" ht="12" customHeight="1" x14ac:dyDescent="0.2">
      <c r="B353" s="677"/>
      <c r="C353" s="677"/>
      <c r="D353" s="677"/>
      <c r="E353" s="677"/>
      <c r="F353" s="679"/>
      <c r="G353" s="677"/>
      <c r="H353" s="677"/>
      <c r="I353" s="677"/>
      <c r="J353" s="677"/>
      <c r="K353" s="677"/>
      <c r="L353" s="677"/>
      <c r="M353" s="678"/>
      <c r="N353" s="677"/>
      <c r="O353" s="678"/>
      <c r="P353" s="678"/>
      <c r="Q353" s="678"/>
      <c r="R353" s="678"/>
      <c r="S353" s="678"/>
      <c r="T353" s="677"/>
      <c r="U353" s="678"/>
      <c r="V353" s="678"/>
      <c r="W353" s="678"/>
      <c r="X353" s="678"/>
      <c r="Y353" s="678"/>
      <c r="Z353" s="678"/>
      <c r="AB353" s="677"/>
      <c r="AN353" s="673"/>
      <c r="AO353" s="673"/>
      <c r="AP353" s="673"/>
      <c r="AQ353" s="673"/>
      <c r="AR353" s="673"/>
      <c r="AS353" s="673"/>
      <c r="AT353" s="673"/>
      <c r="AU353" s="673"/>
      <c r="AV353" s="673"/>
      <c r="AW353" s="673"/>
      <c r="AX353" s="673"/>
      <c r="AY353" s="673"/>
      <c r="AZ353" s="674"/>
      <c r="BA353" s="674"/>
      <c r="BB353" s="665"/>
      <c r="BC353" s="665"/>
      <c r="BD353" s="665"/>
      <c r="BE353" s="665"/>
      <c r="BF353" s="665"/>
      <c r="BG353" s="665"/>
    </row>
    <row r="354" spans="2:59" ht="12" customHeight="1" x14ac:dyDescent="0.2">
      <c r="B354" s="677"/>
      <c r="C354" s="677"/>
      <c r="D354" s="677"/>
      <c r="E354" s="677"/>
      <c r="F354" s="679"/>
      <c r="G354" s="677"/>
      <c r="H354" s="677"/>
      <c r="I354" s="677"/>
      <c r="J354" s="677"/>
      <c r="K354" s="677"/>
      <c r="L354" s="677"/>
      <c r="M354" s="678"/>
      <c r="N354" s="677"/>
      <c r="O354" s="678"/>
      <c r="P354" s="678"/>
      <c r="Q354" s="678"/>
      <c r="R354" s="678"/>
      <c r="S354" s="678"/>
      <c r="T354" s="677"/>
      <c r="U354" s="678"/>
      <c r="V354" s="678"/>
      <c r="W354" s="678"/>
      <c r="X354" s="678"/>
      <c r="Y354" s="678"/>
      <c r="Z354" s="678"/>
      <c r="AB354" s="677"/>
      <c r="AN354" s="673"/>
      <c r="AO354" s="673"/>
      <c r="AP354" s="673"/>
      <c r="AQ354" s="673"/>
      <c r="AR354" s="673"/>
      <c r="AS354" s="673"/>
      <c r="AT354" s="673"/>
      <c r="AU354" s="673"/>
      <c r="AV354" s="673"/>
      <c r="AW354" s="673"/>
      <c r="AX354" s="673"/>
      <c r="AY354" s="673"/>
      <c r="AZ354" s="674"/>
      <c r="BA354" s="674"/>
      <c r="BB354" s="665"/>
      <c r="BC354" s="665"/>
      <c r="BD354" s="665"/>
      <c r="BE354" s="665"/>
      <c r="BF354" s="665"/>
      <c r="BG354" s="665"/>
    </row>
    <row r="355" spans="2:59" ht="12" customHeight="1" x14ac:dyDescent="0.2">
      <c r="B355" s="677"/>
      <c r="C355" s="677"/>
      <c r="D355" s="677"/>
      <c r="E355" s="677"/>
      <c r="F355" s="679"/>
      <c r="G355" s="677"/>
      <c r="H355" s="677"/>
      <c r="I355" s="677"/>
      <c r="J355" s="677"/>
      <c r="K355" s="677"/>
      <c r="L355" s="677"/>
      <c r="M355" s="678"/>
      <c r="N355" s="677"/>
      <c r="O355" s="678"/>
      <c r="P355" s="678"/>
      <c r="Q355" s="678"/>
      <c r="R355" s="678"/>
      <c r="S355" s="678"/>
      <c r="T355" s="677"/>
      <c r="U355" s="678"/>
      <c r="V355" s="678"/>
      <c r="W355" s="678"/>
      <c r="X355" s="678"/>
      <c r="Y355" s="678"/>
      <c r="Z355" s="678"/>
      <c r="AB355" s="677"/>
      <c r="AN355" s="673"/>
      <c r="AO355" s="673"/>
      <c r="AP355" s="673"/>
      <c r="AQ355" s="673"/>
      <c r="AR355" s="673"/>
      <c r="AS355" s="673"/>
      <c r="AT355" s="673"/>
      <c r="AU355" s="673"/>
      <c r="AV355" s="673"/>
      <c r="AW355" s="673"/>
      <c r="AX355" s="673"/>
      <c r="AY355" s="673"/>
      <c r="AZ355" s="674"/>
      <c r="BA355" s="674"/>
      <c r="BB355" s="665"/>
      <c r="BC355" s="665"/>
      <c r="BD355" s="665"/>
      <c r="BE355" s="665"/>
      <c r="BF355" s="665"/>
      <c r="BG355" s="665"/>
    </row>
    <row r="356" spans="2:59" ht="12" customHeight="1" x14ac:dyDescent="0.2">
      <c r="B356" s="677"/>
      <c r="C356" s="677"/>
      <c r="D356" s="677"/>
      <c r="E356" s="677"/>
      <c r="F356" s="679"/>
      <c r="G356" s="677"/>
      <c r="H356" s="677"/>
      <c r="I356" s="677"/>
      <c r="J356" s="677"/>
      <c r="K356" s="677"/>
      <c r="L356" s="677"/>
      <c r="M356" s="678"/>
      <c r="N356" s="677"/>
      <c r="O356" s="678"/>
      <c r="P356" s="678"/>
      <c r="Q356" s="678"/>
      <c r="R356" s="678"/>
      <c r="S356" s="678"/>
      <c r="T356" s="677"/>
      <c r="U356" s="678"/>
      <c r="V356" s="678"/>
      <c r="W356" s="678"/>
      <c r="X356" s="678"/>
      <c r="Y356" s="678"/>
      <c r="Z356" s="678"/>
      <c r="AB356" s="677"/>
      <c r="AN356" s="673"/>
      <c r="AO356" s="673"/>
      <c r="AP356" s="673"/>
      <c r="AQ356" s="673"/>
      <c r="AR356" s="673"/>
      <c r="AS356" s="673"/>
      <c r="AT356" s="673"/>
      <c r="AU356" s="673"/>
      <c r="AV356" s="673"/>
      <c r="AW356" s="673"/>
      <c r="AX356" s="673"/>
      <c r="AY356" s="673"/>
      <c r="AZ356" s="674"/>
      <c r="BA356" s="674"/>
      <c r="BB356" s="665"/>
      <c r="BC356" s="665"/>
      <c r="BD356" s="665"/>
      <c r="BE356" s="665"/>
      <c r="BF356" s="665"/>
      <c r="BG356" s="665"/>
    </row>
    <row r="357" spans="2:59" ht="12" customHeight="1" x14ac:dyDescent="0.2">
      <c r="B357" s="677"/>
      <c r="C357" s="677"/>
      <c r="D357" s="677"/>
      <c r="E357" s="677"/>
      <c r="F357" s="679"/>
      <c r="G357" s="677"/>
      <c r="H357" s="677"/>
      <c r="I357" s="677"/>
      <c r="J357" s="677"/>
      <c r="K357" s="677"/>
      <c r="L357" s="677"/>
      <c r="M357" s="678"/>
      <c r="N357" s="677"/>
      <c r="O357" s="678"/>
      <c r="P357" s="678"/>
      <c r="Q357" s="678"/>
      <c r="R357" s="678"/>
      <c r="S357" s="678"/>
      <c r="T357" s="677"/>
      <c r="U357" s="678"/>
      <c r="V357" s="678"/>
      <c r="W357" s="678"/>
      <c r="X357" s="678"/>
      <c r="Y357" s="678"/>
      <c r="Z357" s="678"/>
      <c r="AB357" s="677"/>
      <c r="AN357" s="673"/>
      <c r="AO357" s="673"/>
      <c r="AP357" s="673"/>
      <c r="AQ357" s="673"/>
      <c r="AR357" s="673"/>
      <c r="AS357" s="673"/>
      <c r="AT357" s="673"/>
      <c r="AU357" s="673"/>
      <c r="AV357" s="673"/>
      <c r="AW357" s="673"/>
      <c r="AX357" s="673"/>
      <c r="AY357" s="673"/>
      <c r="AZ357" s="674"/>
      <c r="BA357" s="674"/>
      <c r="BB357" s="665"/>
      <c r="BC357" s="665"/>
      <c r="BD357" s="665"/>
      <c r="BE357" s="665"/>
      <c r="BF357" s="665"/>
      <c r="BG357" s="665"/>
    </row>
    <row r="358" spans="2:59" ht="12" customHeight="1" x14ac:dyDescent="0.2">
      <c r="B358" s="677"/>
      <c r="C358" s="677"/>
      <c r="D358" s="677"/>
      <c r="E358" s="677"/>
      <c r="F358" s="679"/>
      <c r="G358" s="677"/>
      <c r="H358" s="677"/>
      <c r="I358" s="677"/>
      <c r="J358" s="677"/>
      <c r="K358" s="677"/>
      <c r="L358" s="677"/>
      <c r="M358" s="678"/>
      <c r="N358" s="677"/>
      <c r="O358" s="678"/>
      <c r="P358" s="678"/>
      <c r="Q358" s="678"/>
      <c r="R358" s="678"/>
      <c r="S358" s="678"/>
      <c r="T358" s="677"/>
      <c r="U358" s="678"/>
      <c r="V358" s="678"/>
      <c r="W358" s="678"/>
      <c r="X358" s="678"/>
      <c r="Y358" s="678"/>
      <c r="Z358" s="678"/>
      <c r="AB358" s="677"/>
      <c r="AN358" s="673"/>
      <c r="AO358" s="673"/>
      <c r="AP358" s="673"/>
      <c r="AQ358" s="673"/>
      <c r="AR358" s="673"/>
      <c r="AS358" s="673"/>
      <c r="AT358" s="673"/>
      <c r="AU358" s="673"/>
      <c r="AV358" s="673"/>
      <c r="AW358" s="673"/>
      <c r="AX358" s="673"/>
      <c r="AY358" s="673"/>
      <c r="AZ358" s="674"/>
      <c r="BA358" s="674"/>
      <c r="BB358" s="665"/>
      <c r="BC358" s="665"/>
      <c r="BD358" s="665"/>
      <c r="BE358" s="665"/>
      <c r="BF358" s="665"/>
      <c r="BG358" s="665"/>
    </row>
    <row r="359" spans="2:59" ht="12" customHeight="1" x14ac:dyDescent="0.2">
      <c r="B359" s="677"/>
      <c r="C359" s="677"/>
      <c r="D359" s="677"/>
      <c r="E359" s="677"/>
      <c r="F359" s="679"/>
      <c r="G359" s="677"/>
      <c r="H359" s="677"/>
      <c r="I359" s="677"/>
      <c r="J359" s="677"/>
      <c r="K359" s="677"/>
      <c r="L359" s="677"/>
      <c r="M359" s="678"/>
      <c r="N359" s="677"/>
      <c r="O359" s="678"/>
      <c r="P359" s="678"/>
      <c r="Q359" s="678"/>
      <c r="R359" s="678"/>
      <c r="S359" s="678"/>
      <c r="T359" s="677"/>
      <c r="U359" s="678"/>
      <c r="V359" s="678"/>
      <c r="W359" s="678"/>
      <c r="X359" s="678"/>
      <c r="Y359" s="678"/>
      <c r="Z359" s="678"/>
      <c r="AB359" s="677"/>
      <c r="AN359" s="673"/>
      <c r="AO359" s="673"/>
      <c r="AP359" s="673"/>
      <c r="AQ359" s="673"/>
      <c r="AR359" s="673"/>
      <c r="AS359" s="673"/>
      <c r="AT359" s="673"/>
      <c r="AU359" s="673"/>
      <c r="AV359" s="673"/>
      <c r="AW359" s="673"/>
      <c r="AX359" s="673"/>
      <c r="AY359" s="673"/>
      <c r="AZ359" s="674"/>
      <c r="BA359" s="674"/>
      <c r="BB359" s="665"/>
      <c r="BC359" s="665"/>
      <c r="BD359" s="665"/>
      <c r="BE359" s="665"/>
      <c r="BF359" s="665"/>
      <c r="BG359" s="665"/>
    </row>
    <row r="360" spans="2:59" ht="12" customHeight="1" x14ac:dyDescent="0.2">
      <c r="F360" s="582"/>
      <c r="M360" s="673"/>
      <c r="O360" s="673"/>
      <c r="P360" s="673"/>
      <c r="Q360" s="673"/>
      <c r="R360" s="673"/>
      <c r="S360" s="673"/>
      <c r="U360" s="673"/>
      <c r="V360" s="673"/>
      <c r="W360" s="673"/>
      <c r="X360" s="673"/>
      <c r="Y360" s="673"/>
      <c r="Z360" s="673"/>
      <c r="AN360" s="673"/>
      <c r="AO360" s="673"/>
      <c r="AP360" s="673"/>
      <c r="AQ360" s="673"/>
      <c r="AR360" s="673"/>
      <c r="AS360" s="673"/>
      <c r="AT360" s="673"/>
      <c r="AU360" s="673"/>
      <c r="AV360" s="673"/>
      <c r="AW360" s="673"/>
      <c r="AX360" s="673"/>
      <c r="AY360" s="673"/>
      <c r="AZ360" s="674"/>
      <c r="BA360" s="674"/>
      <c r="BB360" s="665"/>
      <c r="BC360" s="665"/>
      <c r="BD360" s="665"/>
      <c r="BE360" s="665"/>
      <c r="BF360" s="665"/>
      <c r="BG360" s="665"/>
    </row>
    <row r="361" spans="2:59" ht="12" customHeight="1" x14ac:dyDescent="0.2">
      <c r="F361" s="582"/>
      <c r="M361" s="673"/>
      <c r="O361" s="673"/>
      <c r="P361" s="673"/>
      <c r="Q361" s="673"/>
      <c r="R361" s="673"/>
      <c r="S361" s="673"/>
      <c r="U361" s="673"/>
      <c r="V361" s="673"/>
      <c r="W361" s="673"/>
      <c r="X361" s="673"/>
      <c r="Y361" s="673"/>
      <c r="Z361" s="673"/>
      <c r="AN361" s="673"/>
      <c r="AO361" s="673"/>
      <c r="AP361" s="673"/>
      <c r="AQ361" s="673"/>
      <c r="AR361" s="673"/>
      <c r="AS361" s="673"/>
      <c r="AT361" s="673"/>
      <c r="AU361" s="673"/>
      <c r="AV361" s="673"/>
      <c r="AW361" s="673"/>
      <c r="AX361" s="673"/>
      <c r="AY361" s="673"/>
      <c r="AZ361" s="674"/>
      <c r="BA361" s="674"/>
      <c r="BB361" s="665"/>
      <c r="BC361" s="665"/>
      <c r="BD361" s="665"/>
      <c r="BE361" s="665"/>
      <c r="BF361" s="665"/>
      <c r="BG361" s="665"/>
    </row>
    <row r="362" spans="2:59" ht="12" customHeight="1" x14ac:dyDescent="0.2">
      <c r="F362" s="582"/>
      <c r="M362" s="673"/>
      <c r="O362" s="673"/>
      <c r="P362" s="673"/>
      <c r="Q362" s="673"/>
      <c r="R362" s="673"/>
      <c r="S362" s="673"/>
      <c r="U362" s="673"/>
      <c r="V362" s="673"/>
      <c r="W362" s="673"/>
      <c r="X362" s="673"/>
      <c r="Y362" s="673"/>
      <c r="Z362" s="673"/>
      <c r="AN362" s="673"/>
      <c r="AO362" s="673"/>
      <c r="AP362" s="673"/>
      <c r="AQ362" s="673"/>
      <c r="AR362" s="673"/>
      <c r="AS362" s="673"/>
      <c r="AT362" s="673"/>
      <c r="AU362" s="673"/>
      <c r="AV362" s="673"/>
      <c r="AW362" s="673"/>
      <c r="AX362" s="673"/>
      <c r="AY362" s="673"/>
      <c r="AZ362" s="674"/>
      <c r="BA362" s="674"/>
      <c r="BB362" s="665"/>
      <c r="BC362" s="665"/>
      <c r="BD362" s="665"/>
      <c r="BE362" s="665"/>
      <c r="BF362" s="665"/>
      <c r="BG362" s="665"/>
    </row>
    <row r="363" spans="2:59" ht="12" customHeight="1" x14ac:dyDescent="0.2">
      <c r="F363" s="582"/>
      <c r="M363" s="673"/>
      <c r="O363" s="673"/>
      <c r="P363" s="673"/>
      <c r="Q363" s="673"/>
      <c r="R363" s="673"/>
      <c r="S363" s="673"/>
      <c r="U363" s="673"/>
      <c r="V363" s="673"/>
      <c r="W363" s="673"/>
      <c r="X363" s="673"/>
      <c r="Y363" s="673"/>
      <c r="Z363" s="673"/>
      <c r="AN363" s="673"/>
      <c r="AO363" s="673"/>
      <c r="AP363" s="673"/>
      <c r="AQ363" s="673"/>
      <c r="AR363" s="673"/>
      <c r="AS363" s="673"/>
      <c r="AT363" s="673"/>
      <c r="AU363" s="673"/>
      <c r="AV363" s="673"/>
      <c r="AW363" s="673"/>
      <c r="AX363" s="673"/>
      <c r="AY363" s="673"/>
      <c r="AZ363" s="674"/>
      <c r="BA363" s="674"/>
      <c r="BB363" s="665"/>
      <c r="BC363" s="665"/>
      <c r="BD363" s="665"/>
      <c r="BE363" s="665"/>
      <c r="BF363" s="665"/>
      <c r="BG363" s="665"/>
    </row>
    <row r="364" spans="2:59" ht="12" customHeight="1" x14ac:dyDescent="0.2">
      <c r="F364" s="582"/>
      <c r="M364" s="673"/>
      <c r="O364" s="673"/>
      <c r="P364" s="673"/>
      <c r="Q364" s="673"/>
      <c r="R364" s="673"/>
      <c r="S364" s="673"/>
      <c r="U364" s="673"/>
      <c r="V364" s="673"/>
      <c r="W364" s="673"/>
      <c r="X364" s="673"/>
      <c r="Y364" s="673"/>
      <c r="Z364" s="673"/>
      <c r="AN364" s="673"/>
      <c r="AO364" s="673"/>
      <c r="AP364" s="673"/>
      <c r="AQ364" s="673"/>
      <c r="AR364" s="673"/>
      <c r="AS364" s="673"/>
      <c r="AT364" s="673"/>
      <c r="AU364" s="673"/>
      <c r="AV364" s="673"/>
      <c r="AW364" s="673"/>
      <c r="AX364" s="673"/>
      <c r="AY364" s="673"/>
      <c r="AZ364" s="674"/>
      <c r="BA364" s="674"/>
      <c r="BB364" s="665"/>
      <c r="BC364" s="665"/>
      <c r="BD364" s="665"/>
      <c r="BE364" s="665"/>
      <c r="BF364" s="665"/>
      <c r="BG364" s="665"/>
    </row>
    <row r="365" spans="2:59" ht="12" customHeight="1" x14ac:dyDescent="0.2">
      <c r="F365" s="582"/>
      <c r="M365" s="673"/>
      <c r="O365" s="673"/>
      <c r="P365" s="673"/>
      <c r="Q365" s="673"/>
      <c r="R365" s="673"/>
      <c r="S365" s="673"/>
      <c r="U365" s="673"/>
      <c r="V365" s="673"/>
      <c r="W365" s="673"/>
      <c r="X365" s="673"/>
      <c r="Y365" s="673"/>
      <c r="Z365" s="673"/>
      <c r="AN365" s="673"/>
      <c r="AO365" s="673"/>
      <c r="AP365" s="673"/>
      <c r="AQ365" s="673"/>
      <c r="AR365" s="673"/>
      <c r="AS365" s="673"/>
      <c r="AT365" s="673"/>
      <c r="AU365" s="673"/>
      <c r="AV365" s="673"/>
      <c r="AW365" s="673"/>
      <c r="AX365" s="673"/>
      <c r="AY365" s="673"/>
      <c r="AZ365" s="674"/>
      <c r="BA365" s="674"/>
      <c r="BB365" s="665"/>
      <c r="BC365" s="665"/>
      <c r="BD365" s="665"/>
      <c r="BE365" s="665"/>
      <c r="BF365" s="665"/>
      <c r="BG365" s="665"/>
    </row>
    <row r="366" spans="2:59" ht="12" customHeight="1" x14ac:dyDescent="0.2">
      <c r="F366" s="582"/>
      <c r="M366" s="673"/>
      <c r="O366" s="673"/>
      <c r="P366" s="673"/>
      <c r="Q366" s="673"/>
      <c r="R366" s="673"/>
      <c r="S366" s="673"/>
      <c r="U366" s="673"/>
      <c r="V366" s="673"/>
      <c r="W366" s="673"/>
      <c r="X366" s="673"/>
      <c r="Y366" s="673"/>
      <c r="Z366" s="673"/>
      <c r="AN366" s="673"/>
      <c r="AO366" s="673"/>
      <c r="AP366" s="673"/>
      <c r="AQ366" s="673"/>
      <c r="AR366" s="673"/>
      <c r="AS366" s="673"/>
      <c r="AT366" s="673"/>
      <c r="AU366" s="673"/>
      <c r="AV366" s="673"/>
      <c r="AW366" s="673"/>
      <c r="AX366" s="673"/>
      <c r="AY366" s="673"/>
      <c r="AZ366" s="674"/>
      <c r="BA366" s="674"/>
      <c r="BB366" s="665"/>
      <c r="BC366" s="665"/>
      <c r="BD366" s="665"/>
      <c r="BE366" s="665"/>
      <c r="BF366" s="665"/>
      <c r="BG366" s="665"/>
    </row>
    <row r="367" spans="2:59" ht="12" customHeight="1" x14ac:dyDescent="0.2">
      <c r="F367" s="582"/>
      <c r="M367" s="673"/>
      <c r="O367" s="673"/>
      <c r="P367" s="673"/>
      <c r="Q367" s="673"/>
      <c r="R367" s="673"/>
      <c r="S367" s="673"/>
      <c r="U367" s="673"/>
      <c r="V367" s="673"/>
      <c r="W367" s="673"/>
      <c r="X367" s="673"/>
      <c r="Y367" s="673"/>
      <c r="Z367" s="673"/>
      <c r="AN367" s="673"/>
      <c r="AO367" s="673"/>
      <c r="AP367" s="673"/>
      <c r="AQ367" s="673"/>
      <c r="AR367" s="673"/>
      <c r="AS367" s="673"/>
      <c r="AT367" s="673"/>
      <c r="AU367" s="673"/>
      <c r="AV367" s="673"/>
      <c r="AW367" s="673"/>
      <c r="AX367" s="673"/>
      <c r="AY367" s="673"/>
      <c r="AZ367" s="674"/>
      <c r="BA367" s="674"/>
      <c r="BB367" s="665"/>
      <c r="BC367" s="665"/>
      <c r="BD367" s="665"/>
      <c r="BE367" s="665"/>
      <c r="BF367" s="665"/>
      <c r="BG367" s="665"/>
    </row>
    <row r="368" spans="2:59" ht="12" customHeight="1" x14ac:dyDescent="0.2">
      <c r="F368" s="582"/>
      <c r="M368" s="673"/>
      <c r="O368" s="673"/>
      <c r="P368" s="673"/>
      <c r="Q368" s="673"/>
      <c r="R368" s="673"/>
      <c r="S368" s="673"/>
      <c r="U368" s="673"/>
      <c r="V368" s="673"/>
      <c r="W368" s="673"/>
      <c r="X368" s="673"/>
      <c r="Y368" s="673"/>
      <c r="Z368" s="673"/>
      <c r="AN368" s="673"/>
      <c r="AO368" s="673"/>
      <c r="AP368" s="673"/>
      <c r="AQ368" s="673"/>
      <c r="AR368" s="673"/>
      <c r="AS368" s="673"/>
      <c r="AT368" s="673"/>
      <c r="AU368" s="673"/>
      <c r="AV368" s="673"/>
      <c r="AW368" s="673"/>
      <c r="AX368" s="673"/>
      <c r="AY368" s="673"/>
      <c r="AZ368" s="674"/>
      <c r="BA368" s="674"/>
      <c r="BB368" s="665"/>
      <c r="BC368" s="665"/>
      <c r="BD368" s="665"/>
      <c r="BE368" s="665"/>
      <c r="BF368" s="665"/>
      <c r="BG368" s="665"/>
    </row>
    <row r="369" spans="6:59" ht="12" customHeight="1" x14ac:dyDescent="0.2">
      <c r="F369" s="582"/>
      <c r="M369" s="673"/>
      <c r="O369" s="673"/>
      <c r="P369" s="673"/>
      <c r="Q369" s="673"/>
      <c r="R369" s="673"/>
      <c r="S369" s="673"/>
      <c r="U369" s="673"/>
      <c r="V369" s="673"/>
      <c r="W369" s="673"/>
      <c r="X369" s="673"/>
      <c r="Y369" s="673"/>
      <c r="Z369" s="673"/>
      <c r="AN369" s="673"/>
      <c r="AO369" s="673"/>
      <c r="AP369" s="673"/>
      <c r="AQ369" s="673"/>
      <c r="AR369" s="673"/>
      <c r="AS369" s="673"/>
      <c r="AT369" s="673"/>
      <c r="AU369" s="673"/>
      <c r="AV369" s="673"/>
      <c r="AW369" s="673"/>
      <c r="AX369" s="673"/>
      <c r="AY369" s="673"/>
      <c r="AZ369" s="674"/>
      <c r="BA369" s="674"/>
      <c r="BB369" s="665"/>
      <c r="BC369" s="665"/>
      <c r="BD369" s="665"/>
      <c r="BE369" s="665"/>
      <c r="BF369" s="665"/>
      <c r="BG369" s="665"/>
    </row>
    <row r="370" spans="6:59" ht="12" customHeight="1" x14ac:dyDescent="0.2">
      <c r="F370" s="582"/>
      <c r="M370" s="673"/>
      <c r="O370" s="673"/>
      <c r="P370" s="673"/>
      <c r="Q370" s="673"/>
      <c r="R370" s="673"/>
      <c r="S370" s="673"/>
      <c r="U370" s="673"/>
      <c r="V370" s="673"/>
      <c r="W370" s="673"/>
      <c r="X370" s="673"/>
      <c r="Y370" s="673"/>
      <c r="Z370" s="673"/>
      <c r="AN370" s="673"/>
      <c r="AO370" s="673"/>
      <c r="AP370" s="673"/>
      <c r="AQ370" s="673"/>
      <c r="AR370" s="673"/>
      <c r="AS370" s="673"/>
      <c r="AT370" s="673"/>
      <c r="AU370" s="673"/>
      <c r="AV370" s="673"/>
      <c r="AW370" s="673"/>
      <c r="AX370" s="673"/>
      <c r="AY370" s="673"/>
      <c r="AZ370" s="674"/>
      <c r="BA370" s="674"/>
      <c r="BB370" s="665"/>
      <c r="BC370" s="665"/>
      <c r="BD370" s="665"/>
      <c r="BE370" s="665"/>
      <c r="BF370" s="665"/>
      <c r="BG370" s="665"/>
    </row>
    <row r="371" spans="6:59" ht="12" customHeight="1" x14ac:dyDescent="0.2">
      <c r="F371" s="582"/>
      <c r="M371" s="673"/>
      <c r="O371" s="673"/>
      <c r="P371" s="673"/>
      <c r="Q371" s="673"/>
      <c r="R371" s="673"/>
      <c r="S371" s="673"/>
      <c r="U371" s="673"/>
      <c r="V371" s="673"/>
      <c r="W371" s="673"/>
      <c r="X371" s="673"/>
      <c r="Y371" s="673"/>
      <c r="Z371" s="673"/>
      <c r="AN371" s="673"/>
      <c r="AO371" s="673"/>
      <c r="AP371" s="673"/>
      <c r="AQ371" s="673"/>
      <c r="AR371" s="673"/>
      <c r="AS371" s="673"/>
      <c r="AT371" s="673"/>
      <c r="AU371" s="673"/>
      <c r="AV371" s="673"/>
      <c r="AW371" s="673"/>
      <c r="AX371" s="673"/>
      <c r="AY371" s="673"/>
      <c r="AZ371" s="674"/>
      <c r="BA371" s="674"/>
      <c r="BB371" s="665"/>
      <c r="BC371" s="665"/>
      <c r="BD371" s="665"/>
      <c r="BE371" s="665"/>
      <c r="BF371" s="665"/>
      <c r="BG371" s="665"/>
    </row>
    <row r="372" spans="6:59" ht="12" customHeight="1" x14ac:dyDescent="0.2">
      <c r="F372" s="582"/>
      <c r="M372" s="673"/>
      <c r="O372" s="673"/>
      <c r="P372" s="673"/>
      <c r="Q372" s="673"/>
      <c r="R372" s="673"/>
      <c r="S372" s="673"/>
      <c r="U372" s="673"/>
      <c r="V372" s="673"/>
      <c r="W372" s="673"/>
      <c r="X372" s="673"/>
      <c r="Y372" s="673"/>
      <c r="Z372" s="673"/>
      <c r="AN372" s="673"/>
      <c r="AO372" s="673"/>
      <c r="AP372" s="673"/>
      <c r="AQ372" s="673"/>
      <c r="AR372" s="673"/>
      <c r="AS372" s="673"/>
      <c r="AT372" s="673"/>
      <c r="AU372" s="673"/>
      <c r="AV372" s="673"/>
      <c r="AW372" s="673"/>
      <c r="AX372" s="673"/>
      <c r="AY372" s="673"/>
      <c r="AZ372" s="674"/>
      <c r="BA372" s="674"/>
      <c r="BB372" s="665"/>
      <c r="BC372" s="665"/>
      <c r="BD372" s="665"/>
      <c r="BE372" s="665"/>
      <c r="BF372" s="665"/>
      <c r="BG372" s="665"/>
    </row>
    <row r="373" spans="6:59" ht="12" customHeight="1" x14ac:dyDescent="0.2">
      <c r="F373" s="582"/>
      <c r="M373" s="673"/>
      <c r="O373" s="673"/>
      <c r="P373" s="673"/>
      <c r="Q373" s="673"/>
      <c r="R373" s="673"/>
      <c r="S373" s="673"/>
      <c r="U373" s="673"/>
      <c r="V373" s="673"/>
      <c r="W373" s="673"/>
      <c r="X373" s="673"/>
      <c r="Y373" s="673"/>
      <c r="Z373" s="673"/>
      <c r="AN373" s="673"/>
      <c r="AO373" s="673"/>
      <c r="AP373" s="673"/>
      <c r="AQ373" s="673"/>
      <c r="AR373" s="673"/>
      <c r="AS373" s="673"/>
      <c r="AT373" s="673"/>
      <c r="AU373" s="673"/>
      <c r="AV373" s="673"/>
      <c r="AW373" s="673"/>
      <c r="AX373" s="673"/>
      <c r="AY373" s="673"/>
      <c r="AZ373" s="674"/>
      <c r="BA373" s="674"/>
      <c r="BB373" s="665"/>
      <c r="BC373" s="665"/>
      <c r="BD373" s="665"/>
      <c r="BE373" s="665"/>
      <c r="BF373" s="665"/>
      <c r="BG373" s="665"/>
    </row>
    <row r="374" spans="6:59" ht="12" customHeight="1" x14ac:dyDescent="0.2">
      <c r="F374" s="582"/>
      <c r="M374" s="673"/>
      <c r="O374" s="673"/>
      <c r="P374" s="673"/>
      <c r="Q374" s="673"/>
      <c r="R374" s="673"/>
      <c r="S374" s="673"/>
      <c r="U374" s="673"/>
      <c r="V374" s="673"/>
      <c r="W374" s="673"/>
      <c r="X374" s="673"/>
      <c r="Y374" s="673"/>
      <c r="Z374" s="673"/>
      <c r="AN374" s="673"/>
      <c r="AO374" s="673"/>
      <c r="AP374" s="673"/>
      <c r="AQ374" s="673"/>
      <c r="AR374" s="673"/>
      <c r="AS374" s="673"/>
      <c r="AT374" s="673"/>
      <c r="AU374" s="673"/>
      <c r="AV374" s="673"/>
      <c r="AW374" s="673"/>
      <c r="AX374" s="673"/>
      <c r="AY374" s="673"/>
      <c r="AZ374" s="674"/>
      <c r="BA374" s="674"/>
      <c r="BB374" s="665"/>
      <c r="BC374" s="665"/>
      <c r="BD374" s="665"/>
      <c r="BE374" s="665"/>
      <c r="BF374" s="665"/>
      <c r="BG374" s="665"/>
    </row>
    <row r="375" spans="6:59" ht="12" customHeight="1" x14ac:dyDescent="0.2">
      <c r="F375" s="582"/>
      <c r="M375" s="673"/>
      <c r="O375" s="673"/>
      <c r="P375" s="673"/>
      <c r="Q375" s="673"/>
      <c r="R375" s="673"/>
      <c r="S375" s="673"/>
      <c r="U375" s="673"/>
      <c r="V375" s="673"/>
      <c r="W375" s="673"/>
      <c r="X375" s="673"/>
      <c r="Y375" s="673"/>
      <c r="Z375" s="673"/>
      <c r="AN375" s="673"/>
      <c r="AO375" s="673"/>
      <c r="AP375" s="673"/>
      <c r="AQ375" s="673"/>
      <c r="AR375" s="673"/>
      <c r="AS375" s="673"/>
      <c r="AT375" s="673"/>
      <c r="AU375" s="673"/>
      <c r="AV375" s="673"/>
      <c r="AW375" s="673"/>
      <c r="AX375" s="673"/>
      <c r="AY375" s="673"/>
      <c r="AZ375" s="674"/>
      <c r="BA375" s="674"/>
      <c r="BB375" s="665"/>
      <c r="BC375" s="665"/>
      <c r="BD375" s="665"/>
      <c r="BE375" s="665"/>
      <c r="BF375" s="665"/>
      <c r="BG375" s="665"/>
    </row>
    <row r="376" spans="6:59" ht="12" customHeight="1" x14ac:dyDescent="0.2">
      <c r="F376" s="582"/>
      <c r="M376" s="673"/>
      <c r="O376" s="673"/>
      <c r="P376" s="673"/>
      <c r="Q376" s="673"/>
      <c r="R376" s="673"/>
      <c r="S376" s="673"/>
      <c r="U376" s="673"/>
      <c r="V376" s="673"/>
      <c r="W376" s="673"/>
      <c r="X376" s="673"/>
      <c r="Y376" s="673"/>
      <c r="Z376" s="673"/>
      <c r="AN376" s="673"/>
      <c r="AO376" s="673"/>
      <c r="AP376" s="673"/>
      <c r="AQ376" s="673"/>
      <c r="AR376" s="673"/>
      <c r="AS376" s="673"/>
      <c r="AT376" s="673"/>
      <c r="AU376" s="673"/>
      <c r="AV376" s="673"/>
      <c r="AW376" s="673"/>
      <c r="AX376" s="673"/>
      <c r="AY376" s="673"/>
      <c r="AZ376" s="674"/>
      <c r="BA376" s="674"/>
      <c r="BB376" s="665"/>
      <c r="BC376" s="665"/>
      <c r="BD376" s="665"/>
      <c r="BE376" s="665"/>
      <c r="BF376" s="665"/>
      <c r="BG376" s="665"/>
    </row>
    <row r="377" spans="6:59" ht="12" customHeight="1" x14ac:dyDescent="0.2">
      <c r="F377" s="582"/>
      <c r="M377" s="673"/>
      <c r="O377" s="673"/>
      <c r="P377" s="673"/>
      <c r="Q377" s="673"/>
      <c r="R377" s="673"/>
      <c r="S377" s="673"/>
      <c r="U377" s="673"/>
      <c r="V377" s="673"/>
      <c r="W377" s="673"/>
      <c r="X377" s="673"/>
      <c r="Y377" s="673"/>
      <c r="Z377" s="673"/>
      <c r="AN377" s="673"/>
      <c r="AO377" s="673"/>
      <c r="AP377" s="673"/>
      <c r="AQ377" s="673"/>
      <c r="AR377" s="673"/>
      <c r="AS377" s="673"/>
      <c r="AT377" s="673"/>
      <c r="AU377" s="673"/>
      <c r="AV377" s="673"/>
      <c r="AW377" s="673"/>
      <c r="AX377" s="673"/>
      <c r="AY377" s="673"/>
      <c r="AZ377" s="674"/>
      <c r="BA377" s="674"/>
      <c r="BB377" s="665"/>
      <c r="BC377" s="665"/>
      <c r="BD377" s="665"/>
      <c r="BE377" s="665"/>
      <c r="BF377" s="665"/>
      <c r="BG377" s="665"/>
    </row>
    <row r="378" spans="6:59" ht="12" customHeight="1" x14ac:dyDescent="0.2">
      <c r="F378" s="582"/>
      <c r="M378" s="673"/>
      <c r="O378" s="673"/>
      <c r="P378" s="673"/>
      <c r="Q378" s="673"/>
      <c r="R378" s="673"/>
      <c r="S378" s="673"/>
      <c r="U378" s="673"/>
      <c r="V378" s="673"/>
      <c r="W378" s="673"/>
      <c r="X378" s="673"/>
      <c r="Y378" s="673"/>
      <c r="Z378" s="673"/>
      <c r="AN378" s="673"/>
      <c r="AO378" s="673"/>
      <c r="AP378" s="673"/>
      <c r="AQ378" s="673"/>
      <c r="AR378" s="673"/>
      <c r="AS378" s="673"/>
      <c r="AT378" s="673"/>
      <c r="AU378" s="673"/>
      <c r="AV378" s="673"/>
      <c r="AW378" s="673"/>
      <c r="AX378" s="673"/>
      <c r="AY378" s="673"/>
      <c r="AZ378" s="674"/>
      <c r="BA378" s="674"/>
      <c r="BB378" s="665"/>
      <c r="BC378" s="665"/>
      <c r="BD378" s="665"/>
      <c r="BE378" s="665"/>
      <c r="BF378" s="665"/>
      <c r="BG378" s="665"/>
    </row>
    <row r="379" spans="6:59" ht="12" customHeight="1" x14ac:dyDescent="0.2">
      <c r="F379" s="582"/>
      <c r="M379" s="673"/>
      <c r="O379" s="673"/>
      <c r="P379" s="673"/>
      <c r="Q379" s="673"/>
      <c r="R379" s="673"/>
      <c r="S379" s="673"/>
      <c r="U379" s="673"/>
      <c r="V379" s="673"/>
      <c r="W379" s="673"/>
      <c r="X379" s="673"/>
      <c r="Y379" s="673"/>
      <c r="Z379" s="673"/>
      <c r="AN379" s="673"/>
      <c r="AO379" s="673"/>
      <c r="AP379" s="673"/>
      <c r="AQ379" s="673"/>
      <c r="AR379" s="673"/>
      <c r="AS379" s="673"/>
      <c r="AT379" s="673"/>
      <c r="AU379" s="673"/>
      <c r="AV379" s="673"/>
      <c r="AW379" s="673"/>
      <c r="AX379" s="673"/>
      <c r="AY379" s="673"/>
      <c r="AZ379" s="674"/>
      <c r="BA379" s="674"/>
      <c r="BB379" s="665"/>
      <c r="BC379" s="665"/>
      <c r="BD379" s="665"/>
      <c r="BE379" s="665"/>
      <c r="BF379" s="665"/>
      <c r="BG379" s="665"/>
    </row>
    <row r="380" spans="6:59" ht="12" customHeight="1" x14ac:dyDescent="0.2">
      <c r="F380" s="582"/>
      <c r="M380" s="673"/>
      <c r="O380" s="673"/>
      <c r="P380" s="673"/>
      <c r="Q380" s="673"/>
      <c r="R380" s="673"/>
      <c r="S380" s="673"/>
      <c r="U380" s="673"/>
      <c r="V380" s="673"/>
      <c r="W380" s="673"/>
      <c r="X380" s="673"/>
      <c r="Y380" s="673"/>
      <c r="Z380" s="673"/>
      <c r="AN380" s="673"/>
      <c r="AO380" s="673"/>
      <c r="AP380" s="673"/>
      <c r="AQ380" s="673"/>
      <c r="AR380" s="673"/>
      <c r="AS380" s="673"/>
      <c r="AT380" s="673"/>
      <c r="AU380" s="673"/>
      <c r="AV380" s="673"/>
      <c r="AW380" s="673"/>
      <c r="AX380" s="673"/>
      <c r="AY380" s="673"/>
      <c r="AZ380" s="674"/>
      <c r="BA380" s="674"/>
      <c r="BB380" s="665"/>
      <c r="BC380" s="665"/>
      <c r="BD380" s="665"/>
      <c r="BE380" s="665"/>
      <c r="BF380" s="665"/>
      <c r="BG380" s="665"/>
    </row>
    <row r="381" spans="6:59" ht="12" customHeight="1" x14ac:dyDescent="0.2">
      <c r="F381" s="582"/>
      <c r="M381" s="673"/>
      <c r="O381" s="673"/>
      <c r="P381" s="673"/>
      <c r="Q381" s="673"/>
      <c r="R381" s="673"/>
      <c r="S381" s="673"/>
      <c r="U381" s="673"/>
      <c r="V381" s="673"/>
      <c r="W381" s="673"/>
      <c r="X381" s="673"/>
      <c r="Y381" s="673"/>
      <c r="Z381" s="673"/>
      <c r="AN381" s="673"/>
      <c r="AO381" s="673"/>
      <c r="AP381" s="673"/>
      <c r="AQ381" s="673"/>
      <c r="AR381" s="673"/>
      <c r="AS381" s="673"/>
      <c r="AT381" s="673"/>
      <c r="AU381" s="673"/>
      <c r="AV381" s="673"/>
      <c r="AW381" s="673"/>
      <c r="AX381" s="673"/>
      <c r="AY381" s="673"/>
      <c r="AZ381" s="674"/>
      <c r="BA381" s="674"/>
      <c r="BB381" s="665"/>
      <c r="BC381" s="665"/>
      <c r="BD381" s="665"/>
      <c r="BE381" s="665"/>
      <c r="BF381" s="665"/>
      <c r="BG381" s="665"/>
    </row>
    <row r="382" spans="6:59" ht="12" customHeight="1" x14ac:dyDescent="0.2">
      <c r="F382" s="582"/>
      <c r="M382" s="673"/>
      <c r="O382" s="673"/>
      <c r="P382" s="673"/>
      <c r="Q382" s="673"/>
      <c r="R382" s="673"/>
      <c r="S382" s="673"/>
      <c r="U382" s="673"/>
      <c r="V382" s="673"/>
      <c r="W382" s="673"/>
      <c r="X382" s="673"/>
      <c r="Y382" s="673"/>
      <c r="Z382" s="673"/>
      <c r="AN382" s="673"/>
      <c r="AO382" s="673"/>
      <c r="AP382" s="673"/>
      <c r="AQ382" s="673"/>
      <c r="AR382" s="673"/>
      <c r="AS382" s="673"/>
      <c r="AT382" s="673"/>
      <c r="AU382" s="673"/>
      <c r="AV382" s="673"/>
      <c r="AW382" s="673"/>
      <c r="AX382" s="673"/>
      <c r="AY382" s="673"/>
      <c r="AZ382" s="674"/>
      <c r="BA382" s="674"/>
      <c r="BB382" s="665"/>
      <c r="BC382" s="665"/>
      <c r="BD382" s="665"/>
      <c r="BE382" s="665"/>
      <c r="BF382" s="665"/>
      <c r="BG382" s="665"/>
    </row>
    <row r="383" spans="6:59" ht="12" customHeight="1" x14ac:dyDescent="0.2">
      <c r="F383" s="582"/>
      <c r="M383" s="673"/>
      <c r="O383" s="673"/>
      <c r="P383" s="673"/>
      <c r="Q383" s="673"/>
      <c r="R383" s="673"/>
      <c r="S383" s="673"/>
      <c r="U383" s="673"/>
      <c r="V383" s="673"/>
      <c r="W383" s="673"/>
      <c r="X383" s="673"/>
      <c r="Y383" s="673"/>
      <c r="Z383" s="673"/>
      <c r="AN383" s="673"/>
      <c r="AO383" s="673"/>
      <c r="AP383" s="673"/>
      <c r="AQ383" s="673"/>
      <c r="AR383" s="673"/>
      <c r="AS383" s="673"/>
      <c r="AT383" s="673"/>
      <c r="AU383" s="673"/>
      <c r="AV383" s="673"/>
      <c r="AW383" s="673"/>
      <c r="AX383" s="673"/>
      <c r="AY383" s="673"/>
      <c r="AZ383" s="674"/>
      <c r="BA383" s="674"/>
      <c r="BB383" s="665"/>
      <c r="BC383" s="665"/>
      <c r="BD383" s="665"/>
      <c r="BE383" s="665"/>
      <c r="BF383" s="665"/>
      <c r="BG383" s="665"/>
    </row>
    <row r="384" spans="6:59" ht="12" customHeight="1" x14ac:dyDescent="0.2">
      <c r="F384" s="582"/>
      <c r="M384" s="673"/>
      <c r="O384" s="673"/>
      <c r="P384" s="673"/>
      <c r="Q384" s="673"/>
      <c r="R384" s="673"/>
      <c r="S384" s="673"/>
      <c r="U384" s="673"/>
      <c r="V384" s="673"/>
      <c r="W384" s="673"/>
      <c r="X384" s="673"/>
      <c r="Y384" s="673"/>
      <c r="Z384" s="673"/>
      <c r="AN384" s="673"/>
      <c r="AO384" s="673"/>
      <c r="AP384" s="673"/>
      <c r="AQ384" s="673"/>
      <c r="AR384" s="673"/>
      <c r="AS384" s="673"/>
      <c r="AT384" s="673"/>
      <c r="AU384" s="673"/>
      <c r="AV384" s="673"/>
      <c r="AW384" s="673"/>
      <c r="AX384" s="673"/>
      <c r="AY384" s="673"/>
      <c r="AZ384" s="674"/>
      <c r="BA384" s="674"/>
      <c r="BB384" s="665"/>
      <c r="BC384" s="665"/>
      <c r="BD384" s="665"/>
      <c r="BE384" s="665"/>
      <c r="BF384" s="665"/>
      <c r="BG384" s="665"/>
    </row>
    <row r="385" spans="6:59" ht="12" customHeight="1" x14ac:dyDescent="0.2">
      <c r="F385" s="582"/>
      <c r="M385" s="673"/>
      <c r="O385" s="673"/>
      <c r="P385" s="673"/>
      <c r="Q385" s="673"/>
      <c r="R385" s="673"/>
      <c r="S385" s="673"/>
      <c r="U385" s="673"/>
      <c r="V385" s="673"/>
      <c r="W385" s="673"/>
      <c r="X385" s="673"/>
      <c r="Y385" s="673"/>
      <c r="Z385" s="673"/>
      <c r="AN385" s="673"/>
      <c r="AO385" s="673"/>
      <c r="AP385" s="673"/>
      <c r="AQ385" s="673"/>
      <c r="AR385" s="673"/>
      <c r="AS385" s="673"/>
      <c r="AT385" s="673"/>
      <c r="AU385" s="673"/>
      <c r="AV385" s="673"/>
      <c r="AW385" s="673"/>
      <c r="AX385" s="673"/>
      <c r="AY385" s="673"/>
      <c r="AZ385" s="674"/>
      <c r="BA385" s="674"/>
      <c r="BB385" s="665"/>
      <c r="BC385" s="665"/>
      <c r="BD385" s="665"/>
      <c r="BE385" s="665"/>
      <c r="BF385" s="665"/>
      <c r="BG385" s="665"/>
    </row>
    <row r="386" spans="6:59" ht="12" customHeight="1" x14ac:dyDescent="0.2">
      <c r="F386" s="582"/>
      <c r="M386" s="673"/>
      <c r="O386" s="673"/>
      <c r="P386" s="673"/>
      <c r="Q386" s="673"/>
      <c r="R386" s="673"/>
      <c r="S386" s="673"/>
      <c r="U386" s="673"/>
      <c r="V386" s="673"/>
      <c r="W386" s="673"/>
      <c r="X386" s="673"/>
      <c r="Y386" s="673"/>
      <c r="Z386" s="673"/>
      <c r="AN386" s="673"/>
      <c r="AO386" s="673"/>
      <c r="AP386" s="673"/>
      <c r="AQ386" s="673"/>
      <c r="AR386" s="673"/>
      <c r="AS386" s="673"/>
      <c r="AT386" s="673"/>
      <c r="AU386" s="673"/>
      <c r="AV386" s="673"/>
      <c r="AW386" s="673"/>
      <c r="AX386" s="673"/>
      <c r="AY386" s="673"/>
      <c r="AZ386" s="674"/>
      <c r="BA386" s="674"/>
      <c r="BB386" s="665"/>
      <c r="BC386" s="665"/>
      <c r="BD386" s="665"/>
      <c r="BE386" s="665"/>
      <c r="BF386" s="665"/>
      <c r="BG386" s="665"/>
    </row>
    <row r="387" spans="6:59" ht="12" customHeight="1" x14ac:dyDescent="0.2">
      <c r="F387" s="582"/>
      <c r="M387" s="673"/>
      <c r="O387" s="673"/>
      <c r="P387" s="673"/>
      <c r="Q387" s="673"/>
      <c r="R387" s="673"/>
      <c r="S387" s="673"/>
      <c r="U387" s="673"/>
      <c r="V387" s="673"/>
      <c r="W387" s="673"/>
      <c r="X387" s="673"/>
      <c r="Y387" s="673"/>
      <c r="Z387" s="673"/>
      <c r="AN387" s="673"/>
      <c r="AO387" s="673"/>
      <c r="AP387" s="673"/>
      <c r="AQ387" s="673"/>
      <c r="AR387" s="673"/>
      <c r="AS387" s="673"/>
      <c r="AT387" s="673"/>
      <c r="AU387" s="673"/>
      <c r="AV387" s="673"/>
      <c r="AW387" s="673"/>
      <c r="AX387" s="673"/>
      <c r="AY387" s="673"/>
      <c r="AZ387" s="674"/>
      <c r="BA387" s="674"/>
      <c r="BB387" s="665"/>
      <c r="BC387" s="665"/>
      <c r="BD387" s="665"/>
      <c r="BE387" s="665"/>
      <c r="BF387" s="665"/>
      <c r="BG387" s="665"/>
    </row>
    <row r="388" spans="6:59" ht="12" customHeight="1" x14ac:dyDescent="0.2">
      <c r="F388" s="582"/>
      <c r="M388" s="673"/>
      <c r="O388" s="673"/>
      <c r="P388" s="673"/>
      <c r="Q388" s="673"/>
      <c r="R388" s="673"/>
      <c r="S388" s="673"/>
      <c r="U388" s="673"/>
      <c r="V388" s="673"/>
      <c r="W388" s="673"/>
      <c r="X388" s="673"/>
      <c r="Y388" s="673"/>
      <c r="Z388" s="673"/>
      <c r="AN388" s="673"/>
      <c r="AO388" s="673"/>
      <c r="AP388" s="673"/>
      <c r="AQ388" s="673"/>
      <c r="AR388" s="673"/>
      <c r="AS388" s="673"/>
      <c r="AT388" s="673"/>
      <c r="AU388" s="673"/>
      <c r="AV388" s="673"/>
      <c r="AW388" s="673"/>
      <c r="AX388" s="673"/>
      <c r="AY388" s="673"/>
      <c r="AZ388" s="674"/>
      <c r="BA388" s="674"/>
      <c r="BB388" s="665"/>
      <c r="BC388" s="665"/>
      <c r="BD388" s="665"/>
      <c r="BE388" s="665"/>
      <c r="BF388" s="665"/>
      <c r="BG388" s="665"/>
    </row>
    <row r="389" spans="6:59" ht="12" customHeight="1" x14ac:dyDescent="0.2">
      <c r="F389" s="582"/>
      <c r="M389" s="673"/>
      <c r="O389" s="673"/>
      <c r="P389" s="673"/>
      <c r="Q389" s="673"/>
      <c r="R389" s="673"/>
      <c r="S389" s="673"/>
      <c r="U389" s="673"/>
      <c r="V389" s="673"/>
      <c r="W389" s="673"/>
      <c r="X389" s="673"/>
      <c r="Y389" s="673"/>
      <c r="Z389" s="673"/>
      <c r="AN389" s="673"/>
      <c r="AO389" s="673"/>
      <c r="AP389" s="673"/>
      <c r="AQ389" s="673"/>
      <c r="AR389" s="673"/>
      <c r="AS389" s="673"/>
      <c r="AT389" s="673"/>
      <c r="AU389" s="673"/>
      <c r="AV389" s="673"/>
      <c r="AW389" s="673"/>
      <c r="AX389" s="673"/>
      <c r="AY389" s="673"/>
      <c r="AZ389" s="674"/>
      <c r="BA389" s="674"/>
      <c r="BB389" s="665"/>
      <c r="BC389" s="665"/>
      <c r="BD389" s="665"/>
      <c r="BE389" s="665"/>
      <c r="BF389" s="665"/>
      <c r="BG389" s="665"/>
    </row>
    <row r="390" spans="6:59" ht="12" customHeight="1" x14ac:dyDescent="0.2">
      <c r="F390" s="582"/>
      <c r="M390" s="673"/>
      <c r="O390" s="673"/>
      <c r="P390" s="673"/>
      <c r="Q390" s="673"/>
      <c r="R390" s="673"/>
      <c r="S390" s="673"/>
      <c r="U390" s="673"/>
      <c r="V390" s="673"/>
      <c r="W390" s="673"/>
      <c r="X390" s="673"/>
      <c r="Y390" s="673"/>
      <c r="Z390" s="673"/>
      <c r="AN390" s="673"/>
      <c r="AO390" s="673"/>
      <c r="AP390" s="673"/>
      <c r="AQ390" s="673"/>
      <c r="AR390" s="673"/>
      <c r="AS390" s="673"/>
      <c r="AT390" s="673"/>
      <c r="AU390" s="673"/>
      <c r="AV390" s="673"/>
      <c r="AW390" s="673"/>
      <c r="AX390" s="673"/>
      <c r="AY390" s="673"/>
      <c r="AZ390" s="674"/>
      <c r="BA390" s="674"/>
      <c r="BB390" s="665"/>
      <c r="BC390" s="665"/>
      <c r="BD390" s="665"/>
      <c r="BE390" s="665"/>
      <c r="BF390" s="665"/>
      <c r="BG390" s="665"/>
    </row>
    <row r="391" spans="6:59" ht="12" customHeight="1" x14ac:dyDescent="0.2">
      <c r="F391" s="582"/>
      <c r="M391" s="673"/>
      <c r="O391" s="673"/>
      <c r="P391" s="673"/>
      <c r="Q391" s="673"/>
      <c r="R391" s="673"/>
      <c r="S391" s="673"/>
      <c r="U391" s="673"/>
      <c r="V391" s="673"/>
      <c r="W391" s="673"/>
      <c r="X391" s="673"/>
      <c r="Y391" s="673"/>
      <c r="Z391" s="673"/>
      <c r="AN391" s="673"/>
      <c r="AO391" s="673"/>
      <c r="AP391" s="673"/>
      <c r="AQ391" s="673"/>
      <c r="AR391" s="673"/>
      <c r="AS391" s="673"/>
      <c r="AT391" s="673"/>
      <c r="AU391" s="673"/>
      <c r="AV391" s="673"/>
      <c r="AW391" s="673"/>
      <c r="AX391" s="673"/>
      <c r="AY391" s="673"/>
      <c r="AZ391" s="674"/>
      <c r="BA391" s="674"/>
      <c r="BB391" s="665"/>
      <c r="BC391" s="665"/>
      <c r="BD391" s="665"/>
      <c r="BE391" s="665"/>
      <c r="BF391" s="665"/>
      <c r="BG391" s="665"/>
    </row>
    <row r="392" spans="6:59" ht="12" customHeight="1" x14ac:dyDescent="0.2">
      <c r="F392" s="582"/>
      <c r="M392" s="673"/>
      <c r="O392" s="673"/>
      <c r="P392" s="673"/>
      <c r="Q392" s="673"/>
      <c r="R392" s="673"/>
      <c r="S392" s="673"/>
      <c r="U392" s="673"/>
      <c r="V392" s="673"/>
      <c r="W392" s="673"/>
      <c r="X392" s="673"/>
      <c r="Y392" s="673"/>
      <c r="Z392" s="673"/>
      <c r="AN392" s="673"/>
      <c r="AO392" s="673"/>
      <c r="AP392" s="673"/>
      <c r="AQ392" s="673"/>
      <c r="AR392" s="673"/>
      <c r="AS392" s="673"/>
      <c r="AT392" s="673"/>
      <c r="AU392" s="673"/>
      <c r="AV392" s="673"/>
      <c r="AW392" s="673"/>
      <c r="AX392" s="673"/>
      <c r="AY392" s="673"/>
      <c r="AZ392" s="674"/>
      <c r="BA392" s="674"/>
      <c r="BB392" s="665"/>
      <c r="BC392" s="665"/>
      <c r="BD392" s="665"/>
      <c r="BE392" s="665"/>
      <c r="BF392" s="665"/>
      <c r="BG392" s="665"/>
    </row>
    <row r="393" spans="6:59" ht="12" customHeight="1" x14ac:dyDescent="0.2">
      <c r="F393" s="582"/>
      <c r="M393" s="673"/>
      <c r="O393" s="673"/>
      <c r="P393" s="673"/>
      <c r="Q393" s="673"/>
      <c r="R393" s="673"/>
      <c r="S393" s="673"/>
      <c r="U393" s="673"/>
      <c r="V393" s="673"/>
      <c r="W393" s="673"/>
      <c r="X393" s="673"/>
      <c r="Y393" s="673"/>
      <c r="Z393" s="673"/>
      <c r="AN393" s="673"/>
      <c r="AO393" s="673"/>
      <c r="AP393" s="673"/>
      <c r="AQ393" s="673"/>
      <c r="AR393" s="673"/>
      <c r="AS393" s="673"/>
      <c r="AT393" s="673"/>
      <c r="AU393" s="673"/>
      <c r="AV393" s="673"/>
      <c r="AW393" s="673"/>
      <c r="AX393" s="673"/>
      <c r="AY393" s="673"/>
      <c r="AZ393" s="674"/>
      <c r="BA393" s="674"/>
      <c r="BB393" s="665"/>
      <c r="BC393" s="665"/>
      <c r="BD393" s="665"/>
      <c r="BE393" s="665"/>
      <c r="BF393" s="665"/>
      <c r="BG393" s="665"/>
    </row>
    <row r="394" spans="6:59" ht="12" customHeight="1" x14ac:dyDescent="0.2">
      <c r="F394" s="582"/>
      <c r="M394" s="673"/>
      <c r="O394" s="673"/>
      <c r="P394" s="673"/>
      <c r="Q394" s="673"/>
      <c r="R394" s="673"/>
      <c r="S394" s="673"/>
      <c r="U394" s="673"/>
      <c r="V394" s="673"/>
      <c r="W394" s="673"/>
      <c r="X394" s="673"/>
      <c r="Y394" s="673"/>
      <c r="Z394" s="673"/>
      <c r="AN394" s="673"/>
      <c r="AO394" s="673"/>
      <c r="AP394" s="673"/>
      <c r="AQ394" s="673"/>
      <c r="AR394" s="673"/>
      <c r="AS394" s="673"/>
      <c r="AT394" s="673"/>
      <c r="AU394" s="673"/>
      <c r="AV394" s="673"/>
      <c r="AW394" s="673"/>
      <c r="AX394" s="673"/>
      <c r="AY394" s="673"/>
      <c r="AZ394" s="674"/>
      <c r="BA394" s="674"/>
      <c r="BB394" s="665"/>
      <c r="BC394" s="665"/>
      <c r="BD394" s="665"/>
      <c r="BE394" s="665"/>
      <c r="BF394" s="665"/>
      <c r="BG394" s="665"/>
    </row>
    <row r="395" spans="6:59" ht="12" customHeight="1" x14ac:dyDescent="0.2">
      <c r="F395" s="582"/>
      <c r="M395" s="673"/>
      <c r="O395" s="673"/>
      <c r="P395" s="673"/>
      <c r="Q395" s="673"/>
      <c r="R395" s="673"/>
      <c r="S395" s="673"/>
      <c r="U395" s="673"/>
      <c r="V395" s="673"/>
      <c r="W395" s="673"/>
      <c r="X395" s="673"/>
      <c r="Y395" s="673"/>
      <c r="Z395" s="673"/>
      <c r="AN395" s="673"/>
      <c r="AO395" s="673"/>
      <c r="AP395" s="673"/>
      <c r="AQ395" s="673"/>
      <c r="AR395" s="673"/>
      <c r="AS395" s="673"/>
      <c r="AT395" s="673"/>
      <c r="AU395" s="673"/>
      <c r="AV395" s="673"/>
      <c r="AW395" s="673"/>
      <c r="AX395" s="673"/>
      <c r="AY395" s="673"/>
      <c r="AZ395" s="674"/>
      <c r="BA395" s="674"/>
      <c r="BB395" s="665"/>
      <c r="BC395" s="665"/>
      <c r="BD395" s="665"/>
      <c r="BE395" s="665"/>
      <c r="BF395" s="665"/>
      <c r="BG395" s="665"/>
    </row>
    <row r="396" spans="6:59" ht="12" customHeight="1" x14ac:dyDescent="0.2">
      <c r="F396" s="582"/>
      <c r="M396" s="673"/>
      <c r="O396" s="673"/>
      <c r="P396" s="673"/>
      <c r="Q396" s="673"/>
      <c r="R396" s="673"/>
      <c r="S396" s="673"/>
      <c r="U396" s="673"/>
      <c r="V396" s="673"/>
      <c r="W396" s="673"/>
      <c r="X396" s="673"/>
      <c r="Y396" s="673"/>
      <c r="Z396" s="673"/>
      <c r="AN396" s="673"/>
      <c r="AO396" s="673"/>
      <c r="AP396" s="673"/>
      <c r="AQ396" s="673"/>
      <c r="AR396" s="673"/>
      <c r="AS396" s="673"/>
      <c r="AT396" s="673"/>
      <c r="AU396" s="673"/>
      <c r="AV396" s="673"/>
      <c r="AW396" s="673"/>
      <c r="AX396" s="673"/>
      <c r="AY396" s="673"/>
      <c r="AZ396" s="674"/>
      <c r="BA396" s="674"/>
      <c r="BB396" s="665"/>
      <c r="BC396" s="665"/>
      <c r="BD396" s="665"/>
      <c r="BE396" s="665"/>
      <c r="BF396" s="665"/>
      <c r="BG396" s="665"/>
    </row>
    <row r="397" spans="6:59" ht="12" customHeight="1" x14ac:dyDescent="0.2">
      <c r="F397" s="582"/>
      <c r="M397" s="673"/>
      <c r="O397" s="673"/>
      <c r="P397" s="673"/>
      <c r="Q397" s="673"/>
      <c r="R397" s="673"/>
      <c r="S397" s="673"/>
      <c r="U397" s="673"/>
      <c r="V397" s="673"/>
      <c r="W397" s="673"/>
      <c r="X397" s="673"/>
      <c r="Y397" s="673"/>
      <c r="Z397" s="673"/>
      <c r="AN397" s="673"/>
      <c r="AO397" s="673"/>
      <c r="AP397" s="673"/>
      <c r="AQ397" s="673"/>
      <c r="AR397" s="673"/>
      <c r="AS397" s="673"/>
      <c r="AT397" s="673"/>
      <c r="AU397" s="673"/>
      <c r="AV397" s="673"/>
      <c r="AW397" s="673"/>
      <c r="AX397" s="673"/>
      <c r="AY397" s="673"/>
      <c r="AZ397" s="674"/>
      <c r="BA397" s="674"/>
      <c r="BB397" s="665"/>
      <c r="BC397" s="665"/>
      <c r="BD397" s="665"/>
      <c r="BE397" s="665"/>
      <c r="BF397" s="665"/>
      <c r="BG397" s="665"/>
    </row>
    <row r="398" spans="6:59" ht="12" customHeight="1" x14ac:dyDescent="0.2">
      <c r="F398" s="582"/>
      <c r="M398" s="673"/>
      <c r="O398" s="673"/>
      <c r="P398" s="673"/>
      <c r="Q398" s="673"/>
      <c r="R398" s="673"/>
      <c r="S398" s="673"/>
      <c r="U398" s="673"/>
      <c r="V398" s="673"/>
      <c r="W398" s="673"/>
      <c r="X398" s="673"/>
      <c r="Y398" s="673"/>
      <c r="Z398" s="673"/>
      <c r="AN398" s="673"/>
      <c r="AO398" s="673"/>
      <c r="AP398" s="673"/>
      <c r="AQ398" s="673"/>
      <c r="AR398" s="673"/>
      <c r="AS398" s="673"/>
      <c r="AT398" s="673"/>
      <c r="AU398" s="673"/>
      <c r="AV398" s="673"/>
      <c r="AW398" s="673"/>
      <c r="AX398" s="673"/>
      <c r="AY398" s="673"/>
      <c r="AZ398" s="674"/>
      <c r="BA398" s="674"/>
      <c r="BB398" s="665"/>
      <c r="BC398" s="665"/>
      <c r="BD398" s="665"/>
      <c r="BE398" s="665"/>
      <c r="BF398" s="665"/>
      <c r="BG398" s="665"/>
    </row>
    <row r="399" spans="6:59" ht="12" customHeight="1" x14ac:dyDescent="0.2">
      <c r="F399" s="582"/>
      <c r="M399" s="673"/>
      <c r="O399" s="673"/>
      <c r="P399" s="673"/>
      <c r="Q399" s="673"/>
      <c r="R399" s="673"/>
      <c r="S399" s="673"/>
      <c r="U399" s="673"/>
      <c r="V399" s="673"/>
      <c r="W399" s="673"/>
      <c r="X399" s="673"/>
      <c r="Y399" s="673"/>
      <c r="Z399" s="673"/>
      <c r="AN399" s="673"/>
      <c r="AO399" s="673"/>
      <c r="AP399" s="673"/>
      <c r="AQ399" s="673"/>
      <c r="AR399" s="673"/>
      <c r="AS399" s="673"/>
      <c r="AT399" s="673"/>
      <c r="AU399" s="673"/>
      <c r="AV399" s="673"/>
      <c r="AW399" s="673"/>
      <c r="AX399" s="673"/>
      <c r="AY399" s="673"/>
      <c r="AZ399" s="674"/>
      <c r="BA399" s="674"/>
      <c r="BB399" s="665"/>
      <c r="BC399" s="665"/>
      <c r="BD399" s="665"/>
      <c r="BE399" s="665"/>
      <c r="BF399" s="665"/>
      <c r="BG399" s="665"/>
    </row>
    <row r="400" spans="6:59" ht="12" customHeight="1" x14ac:dyDescent="0.2">
      <c r="F400" s="582"/>
      <c r="M400" s="673"/>
      <c r="O400" s="673"/>
      <c r="P400" s="673"/>
      <c r="Q400" s="673"/>
      <c r="R400" s="673"/>
      <c r="S400" s="673"/>
      <c r="U400" s="673"/>
      <c r="V400" s="673"/>
      <c r="W400" s="673"/>
      <c r="X400" s="673"/>
      <c r="Y400" s="673"/>
      <c r="Z400" s="673"/>
      <c r="AN400" s="673"/>
      <c r="AO400" s="673"/>
      <c r="AP400" s="673"/>
      <c r="AQ400" s="673"/>
      <c r="AR400" s="673"/>
      <c r="AS400" s="673"/>
      <c r="AT400" s="673"/>
      <c r="AU400" s="673"/>
      <c r="AV400" s="673"/>
      <c r="AW400" s="673"/>
      <c r="AX400" s="673"/>
      <c r="AY400" s="673"/>
      <c r="AZ400" s="674"/>
      <c r="BA400" s="674"/>
      <c r="BB400" s="665"/>
      <c r="BC400" s="665"/>
      <c r="BD400" s="665"/>
      <c r="BE400" s="665"/>
      <c r="BF400" s="665"/>
      <c r="BG400" s="665"/>
    </row>
    <row r="401" spans="6:59" ht="12" customHeight="1" x14ac:dyDescent="0.2">
      <c r="F401" s="582"/>
      <c r="M401" s="673"/>
      <c r="O401" s="673"/>
      <c r="P401" s="673"/>
      <c r="Q401" s="673"/>
      <c r="R401" s="673"/>
      <c r="S401" s="673"/>
      <c r="U401" s="673"/>
      <c r="V401" s="673"/>
      <c r="W401" s="673"/>
      <c r="X401" s="673"/>
      <c r="Y401" s="673"/>
      <c r="Z401" s="673"/>
      <c r="AN401" s="673"/>
      <c r="AO401" s="673"/>
      <c r="AP401" s="673"/>
      <c r="AQ401" s="673"/>
      <c r="AR401" s="673"/>
      <c r="AS401" s="673"/>
      <c r="AT401" s="673"/>
      <c r="AU401" s="673"/>
      <c r="AV401" s="673"/>
      <c r="AW401" s="673"/>
      <c r="AX401" s="673"/>
      <c r="AY401" s="673"/>
      <c r="AZ401" s="674"/>
      <c r="BA401" s="674"/>
      <c r="BB401" s="665"/>
      <c r="BC401" s="665"/>
      <c r="BD401" s="665"/>
      <c r="BE401" s="665"/>
      <c r="BF401" s="665"/>
      <c r="BG401" s="665"/>
    </row>
    <row r="402" spans="6:59" ht="12" customHeight="1" x14ac:dyDescent="0.2">
      <c r="F402" s="582"/>
      <c r="M402" s="673"/>
      <c r="O402" s="673"/>
      <c r="P402" s="673"/>
      <c r="Q402" s="673"/>
      <c r="R402" s="673"/>
      <c r="S402" s="673"/>
      <c r="U402" s="673"/>
      <c r="V402" s="673"/>
      <c r="W402" s="673"/>
      <c r="X402" s="673"/>
      <c r="Y402" s="673"/>
      <c r="Z402" s="673"/>
      <c r="AN402" s="673"/>
      <c r="AO402" s="673"/>
      <c r="AP402" s="673"/>
      <c r="AQ402" s="673"/>
      <c r="AR402" s="673"/>
      <c r="AS402" s="673"/>
      <c r="AT402" s="673"/>
      <c r="AU402" s="673"/>
      <c r="AV402" s="673"/>
      <c r="AW402" s="673"/>
      <c r="AX402" s="673"/>
      <c r="AY402" s="673"/>
      <c r="AZ402" s="674"/>
      <c r="BA402" s="674"/>
      <c r="BB402" s="665"/>
      <c r="BC402" s="665"/>
      <c r="BD402" s="665"/>
      <c r="BE402" s="665"/>
      <c r="BF402" s="665"/>
      <c r="BG402" s="665"/>
    </row>
    <row r="403" spans="6:59" ht="12" customHeight="1" x14ac:dyDescent="0.2">
      <c r="F403" s="582"/>
      <c r="M403" s="673"/>
      <c r="O403" s="673"/>
      <c r="P403" s="673"/>
      <c r="Q403" s="673"/>
      <c r="R403" s="673"/>
      <c r="S403" s="673"/>
      <c r="U403" s="673"/>
      <c r="V403" s="673"/>
      <c r="W403" s="673"/>
      <c r="X403" s="673"/>
      <c r="Y403" s="673"/>
      <c r="Z403" s="673"/>
      <c r="AN403" s="673"/>
      <c r="AO403" s="673"/>
      <c r="AP403" s="673"/>
      <c r="AQ403" s="673"/>
      <c r="AR403" s="673"/>
      <c r="AS403" s="673"/>
      <c r="AT403" s="673"/>
      <c r="AU403" s="673"/>
      <c r="AV403" s="673"/>
      <c r="AW403" s="673"/>
      <c r="AX403" s="673"/>
      <c r="AY403" s="673"/>
      <c r="AZ403" s="674"/>
      <c r="BA403" s="674"/>
      <c r="BB403" s="665"/>
      <c r="BC403" s="665"/>
      <c r="BD403" s="665"/>
      <c r="BE403" s="665"/>
      <c r="BF403" s="665"/>
      <c r="BG403" s="665"/>
    </row>
    <row r="404" spans="6:59" ht="12" customHeight="1" x14ac:dyDescent="0.2">
      <c r="F404" s="582"/>
      <c r="M404" s="673"/>
      <c r="O404" s="673"/>
      <c r="P404" s="673"/>
      <c r="Q404" s="673"/>
      <c r="R404" s="673"/>
      <c r="S404" s="673"/>
      <c r="U404" s="673"/>
      <c r="V404" s="673"/>
      <c r="W404" s="673"/>
      <c r="X404" s="673"/>
      <c r="Y404" s="673"/>
      <c r="Z404" s="673"/>
      <c r="AN404" s="673"/>
      <c r="AO404" s="673"/>
      <c r="AP404" s="673"/>
      <c r="AQ404" s="673"/>
      <c r="AR404" s="673"/>
      <c r="AS404" s="673"/>
      <c r="AT404" s="673"/>
      <c r="AU404" s="673"/>
      <c r="AV404" s="673"/>
      <c r="AW404" s="673"/>
      <c r="AX404" s="673"/>
      <c r="AY404" s="673"/>
      <c r="AZ404" s="674"/>
      <c r="BA404" s="674"/>
      <c r="BB404" s="665"/>
      <c r="BC404" s="665"/>
      <c r="BD404" s="665"/>
      <c r="BE404" s="665"/>
      <c r="BF404" s="665"/>
      <c r="BG404" s="665"/>
    </row>
    <row r="405" spans="6:59" ht="12" customHeight="1" x14ac:dyDescent="0.2">
      <c r="F405" s="582"/>
      <c r="M405" s="673"/>
      <c r="O405" s="673"/>
      <c r="P405" s="673"/>
      <c r="Q405" s="673"/>
      <c r="R405" s="673"/>
      <c r="S405" s="673"/>
      <c r="U405" s="673"/>
      <c r="V405" s="673"/>
      <c r="W405" s="673"/>
      <c r="X405" s="673"/>
      <c r="Y405" s="673"/>
      <c r="Z405" s="673"/>
      <c r="AN405" s="673"/>
      <c r="AO405" s="673"/>
      <c r="AP405" s="673"/>
      <c r="AQ405" s="673"/>
      <c r="AR405" s="673"/>
      <c r="AS405" s="673"/>
      <c r="AT405" s="673"/>
      <c r="AU405" s="673"/>
      <c r="AV405" s="673"/>
      <c r="AW405" s="673"/>
      <c r="AX405" s="673"/>
      <c r="AY405" s="673"/>
      <c r="AZ405" s="674"/>
      <c r="BA405" s="674"/>
      <c r="BB405" s="665"/>
      <c r="BC405" s="665"/>
      <c r="BD405" s="665"/>
      <c r="BE405" s="665"/>
      <c r="BF405" s="665"/>
      <c r="BG405" s="665"/>
    </row>
    <row r="406" spans="6:59" ht="12" customHeight="1" x14ac:dyDescent="0.2">
      <c r="F406" s="582"/>
      <c r="M406" s="673"/>
      <c r="O406" s="673"/>
      <c r="P406" s="673"/>
      <c r="Q406" s="673"/>
      <c r="R406" s="673"/>
      <c r="S406" s="673"/>
      <c r="U406" s="673"/>
      <c r="V406" s="673"/>
      <c r="W406" s="673"/>
      <c r="X406" s="673"/>
      <c r="Y406" s="673"/>
      <c r="Z406" s="673"/>
      <c r="AN406" s="673"/>
      <c r="AO406" s="673"/>
      <c r="AP406" s="673"/>
      <c r="AQ406" s="673"/>
      <c r="AR406" s="673"/>
      <c r="AS406" s="673"/>
      <c r="AT406" s="673"/>
      <c r="AU406" s="673"/>
      <c r="AV406" s="673"/>
      <c r="AW406" s="673"/>
      <c r="AX406" s="673"/>
      <c r="AY406" s="673"/>
      <c r="AZ406" s="674"/>
      <c r="BA406" s="674"/>
      <c r="BB406" s="665"/>
      <c r="BC406" s="665"/>
      <c r="BD406" s="665"/>
      <c r="BE406" s="665"/>
      <c r="BF406" s="665"/>
      <c r="BG406" s="665"/>
    </row>
    <row r="407" spans="6:59" ht="12" customHeight="1" x14ac:dyDescent="0.2">
      <c r="F407" s="582"/>
      <c r="M407" s="673"/>
      <c r="O407" s="673"/>
      <c r="P407" s="673"/>
      <c r="Q407" s="673"/>
      <c r="R407" s="673"/>
      <c r="S407" s="673"/>
      <c r="U407" s="673"/>
      <c r="V407" s="673"/>
      <c r="W407" s="673"/>
      <c r="X407" s="673"/>
      <c r="Y407" s="673"/>
      <c r="Z407" s="673"/>
      <c r="AN407" s="673"/>
      <c r="AO407" s="673"/>
      <c r="AP407" s="673"/>
      <c r="AQ407" s="673"/>
      <c r="AR407" s="673"/>
      <c r="AS407" s="673"/>
      <c r="AT407" s="673"/>
      <c r="AU407" s="673"/>
      <c r="AV407" s="673"/>
      <c r="AW407" s="673"/>
      <c r="AX407" s="673"/>
      <c r="AY407" s="673"/>
      <c r="AZ407" s="674"/>
      <c r="BA407" s="674"/>
      <c r="BB407" s="665"/>
      <c r="BC407" s="665"/>
      <c r="BD407" s="665"/>
      <c r="BE407" s="665"/>
      <c r="BF407" s="665"/>
      <c r="BG407" s="665"/>
    </row>
    <row r="408" spans="6:59" ht="12" customHeight="1" x14ac:dyDescent="0.2">
      <c r="F408" s="582"/>
      <c r="M408" s="673"/>
      <c r="O408" s="673"/>
      <c r="P408" s="673"/>
      <c r="Q408" s="673"/>
      <c r="R408" s="673"/>
      <c r="S408" s="673"/>
      <c r="U408" s="673"/>
      <c r="V408" s="673"/>
      <c r="W408" s="673"/>
      <c r="X408" s="673"/>
      <c r="Y408" s="673"/>
      <c r="Z408" s="673"/>
      <c r="AN408" s="673"/>
      <c r="AO408" s="673"/>
      <c r="AP408" s="673"/>
      <c r="AQ408" s="673"/>
      <c r="AR408" s="673"/>
      <c r="AS408" s="673"/>
      <c r="AT408" s="673"/>
      <c r="AU408" s="673"/>
      <c r="AV408" s="673"/>
      <c r="AW408" s="673"/>
      <c r="AX408" s="673"/>
      <c r="AY408" s="673"/>
      <c r="AZ408" s="674"/>
      <c r="BA408" s="674"/>
      <c r="BB408" s="665"/>
      <c r="BC408" s="665"/>
      <c r="BD408" s="665"/>
      <c r="BE408" s="665"/>
      <c r="BF408" s="665"/>
      <c r="BG408" s="665"/>
    </row>
    <row r="409" spans="6:59" ht="12" customHeight="1" x14ac:dyDescent="0.2">
      <c r="F409" s="582"/>
      <c r="M409" s="673"/>
      <c r="O409" s="673"/>
      <c r="P409" s="673"/>
      <c r="Q409" s="673"/>
      <c r="R409" s="673"/>
      <c r="S409" s="673"/>
      <c r="U409" s="673"/>
      <c r="V409" s="673"/>
      <c r="W409" s="673"/>
      <c r="X409" s="673"/>
      <c r="Y409" s="673"/>
      <c r="Z409" s="673"/>
      <c r="AN409" s="673"/>
      <c r="AO409" s="673"/>
      <c r="AP409" s="673"/>
      <c r="AQ409" s="673"/>
      <c r="AR409" s="673"/>
      <c r="AS409" s="673"/>
      <c r="AT409" s="673"/>
      <c r="AU409" s="673"/>
      <c r="AV409" s="673"/>
      <c r="AW409" s="673"/>
      <c r="AX409" s="673"/>
      <c r="AY409" s="673"/>
      <c r="AZ409" s="674"/>
      <c r="BA409" s="674"/>
      <c r="BB409" s="665"/>
      <c r="BC409" s="665"/>
      <c r="BD409" s="665"/>
      <c r="BE409" s="665"/>
      <c r="BF409" s="665"/>
      <c r="BG409" s="665"/>
    </row>
    <row r="410" spans="6:59" ht="12" customHeight="1" x14ac:dyDescent="0.2">
      <c r="F410" s="582"/>
      <c r="M410" s="673"/>
      <c r="O410" s="673"/>
      <c r="P410" s="673"/>
      <c r="Q410" s="673"/>
      <c r="R410" s="673"/>
      <c r="S410" s="673"/>
      <c r="U410" s="673"/>
      <c r="V410" s="673"/>
      <c r="W410" s="673"/>
      <c r="X410" s="673"/>
      <c r="Y410" s="673"/>
      <c r="Z410" s="673"/>
      <c r="AN410" s="673"/>
      <c r="AO410" s="673"/>
      <c r="AP410" s="673"/>
      <c r="AQ410" s="673"/>
      <c r="AR410" s="673"/>
      <c r="AS410" s="673"/>
      <c r="AT410" s="673"/>
      <c r="AU410" s="673"/>
      <c r="AV410" s="673"/>
      <c r="AW410" s="673"/>
      <c r="AX410" s="673"/>
      <c r="AY410" s="673"/>
      <c r="AZ410" s="674"/>
      <c r="BA410" s="674"/>
      <c r="BB410" s="665"/>
      <c r="BC410" s="665"/>
      <c r="BD410" s="665"/>
      <c r="BE410" s="665"/>
      <c r="BF410" s="665"/>
      <c r="BG410" s="665"/>
    </row>
    <row r="411" spans="6:59" ht="12" customHeight="1" x14ac:dyDescent="0.2">
      <c r="F411" s="582"/>
      <c r="M411" s="673"/>
      <c r="O411" s="673"/>
      <c r="P411" s="673"/>
      <c r="Q411" s="673"/>
      <c r="R411" s="673"/>
      <c r="S411" s="673"/>
      <c r="U411" s="673"/>
      <c r="V411" s="673"/>
      <c r="W411" s="673"/>
      <c r="X411" s="673"/>
      <c r="Y411" s="673"/>
      <c r="Z411" s="673"/>
      <c r="AN411" s="673"/>
      <c r="AO411" s="673"/>
      <c r="AP411" s="673"/>
      <c r="AQ411" s="673"/>
      <c r="AR411" s="673"/>
      <c r="AS411" s="673"/>
      <c r="AT411" s="673"/>
      <c r="AU411" s="673"/>
      <c r="AV411" s="673"/>
      <c r="AW411" s="673"/>
      <c r="AX411" s="673"/>
      <c r="AY411" s="673"/>
      <c r="AZ411" s="674"/>
      <c r="BA411" s="674"/>
      <c r="BB411" s="665"/>
      <c r="BC411" s="665"/>
      <c r="BD411" s="665"/>
      <c r="BE411" s="665"/>
      <c r="BF411" s="665"/>
      <c r="BG411" s="665"/>
    </row>
    <row r="412" spans="6:59" ht="12" customHeight="1" x14ac:dyDescent="0.2">
      <c r="F412" s="582"/>
      <c r="M412" s="673"/>
      <c r="O412" s="673"/>
      <c r="P412" s="673"/>
      <c r="Q412" s="673"/>
      <c r="R412" s="673"/>
      <c r="S412" s="673"/>
      <c r="U412" s="673"/>
      <c r="V412" s="673"/>
      <c r="W412" s="673"/>
      <c r="X412" s="673"/>
      <c r="Y412" s="673"/>
      <c r="Z412" s="673"/>
      <c r="AN412" s="673"/>
      <c r="AO412" s="673"/>
      <c r="AP412" s="673"/>
      <c r="AQ412" s="673"/>
      <c r="AR412" s="673"/>
      <c r="AS412" s="673"/>
      <c r="AT412" s="673"/>
      <c r="AU412" s="673"/>
      <c r="AV412" s="673"/>
      <c r="AW412" s="673"/>
      <c r="AX412" s="673"/>
      <c r="AY412" s="673"/>
      <c r="AZ412" s="674"/>
      <c r="BA412" s="674"/>
      <c r="BB412" s="665"/>
      <c r="BC412" s="665"/>
      <c r="BD412" s="665"/>
      <c r="BE412" s="665"/>
      <c r="BF412" s="665"/>
      <c r="BG412" s="665"/>
    </row>
    <row r="413" spans="6:59" ht="12" customHeight="1" x14ac:dyDescent="0.2">
      <c r="F413" s="582"/>
      <c r="M413" s="673"/>
      <c r="O413" s="673"/>
      <c r="P413" s="673"/>
      <c r="Q413" s="673"/>
      <c r="R413" s="673"/>
      <c r="S413" s="673"/>
      <c r="U413" s="673"/>
      <c r="V413" s="673"/>
      <c r="W413" s="673"/>
      <c r="X413" s="673"/>
      <c r="Y413" s="673"/>
      <c r="Z413" s="673"/>
      <c r="AN413" s="673"/>
      <c r="AO413" s="673"/>
      <c r="AP413" s="673"/>
      <c r="AQ413" s="673"/>
      <c r="AR413" s="673"/>
      <c r="AS413" s="673"/>
      <c r="AT413" s="673"/>
      <c r="AU413" s="673"/>
      <c r="AV413" s="673"/>
      <c r="AW413" s="673"/>
      <c r="AX413" s="673"/>
      <c r="AY413" s="673"/>
      <c r="AZ413" s="674"/>
      <c r="BA413" s="674"/>
      <c r="BB413" s="665"/>
      <c r="BC413" s="665"/>
      <c r="BD413" s="665"/>
      <c r="BE413" s="665"/>
      <c r="BF413" s="665"/>
      <c r="BG413" s="665"/>
    </row>
    <row r="414" spans="6:59" ht="12" customHeight="1" x14ac:dyDescent="0.2">
      <c r="F414" s="582"/>
      <c r="M414" s="673"/>
      <c r="O414" s="673"/>
      <c r="P414" s="673"/>
      <c r="Q414" s="673"/>
      <c r="R414" s="673"/>
      <c r="S414" s="673"/>
      <c r="U414" s="673"/>
      <c r="V414" s="673"/>
      <c r="W414" s="673"/>
      <c r="X414" s="673"/>
      <c r="Y414" s="673"/>
      <c r="Z414" s="673"/>
      <c r="AN414" s="673"/>
      <c r="AO414" s="673"/>
      <c r="AP414" s="673"/>
      <c r="AQ414" s="673"/>
      <c r="AR414" s="673"/>
      <c r="AS414" s="673"/>
      <c r="AT414" s="673"/>
      <c r="AU414" s="673"/>
      <c r="AV414" s="673"/>
      <c r="AW414" s="673"/>
      <c r="AX414" s="673"/>
      <c r="AY414" s="673"/>
      <c r="AZ414" s="674"/>
      <c r="BA414" s="674"/>
      <c r="BB414" s="665"/>
      <c r="BC414" s="665"/>
      <c r="BD414" s="665"/>
      <c r="BE414" s="665"/>
      <c r="BF414" s="665"/>
      <c r="BG414" s="665"/>
    </row>
    <row r="415" spans="6:59" ht="12" customHeight="1" x14ac:dyDescent="0.2">
      <c r="F415" s="582"/>
      <c r="M415" s="673"/>
      <c r="O415" s="673"/>
      <c r="P415" s="673"/>
      <c r="Q415" s="673"/>
      <c r="R415" s="673"/>
      <c r="S415" s="673"/>
      <c r="U415" s="673"/>
      <c r="V415" s="673"/>
      <c r="W415" s="673"/>
      <c r="X415" s="673"/>
      <c r="Y415" s="673"/>
      <c r="Z415" s="673"/>
      <c r="AN415" s="673"/>
      <c r="AO415" s="673"/>
      <c r="AP415" s="673"/>
      <c r="AQ415" s="673"/>
      <c r="AR415" s="673"/>
      <c r="AS415" s="673"/>
      <c r="AT415" s="673"/>
      <c r="AU415" s="673"/>
      <c r="AV415" s="673"/>
      <c r="AW415" s="673"/>
      <c r="AX415" s="673"/>
      <c r="AY415" s="673"/>
      <c r="AZ415" s="674"/>
      <c r="BA415" s="674"/>
      <c r="BB415" s="665"/>
      <c r="BC415" s="665"/>
      <c r="BD415" s="665"/>
      <c r="BE415" s="665"/>
      <c r="BF415" s="665"/>
      <c r="BG415" s="665"/>
    </row>
    <row r="416" spans="6:59" ht="12" customHeight="1" x14ac:dyDescent="0.2">
      <c r="F416" s="582"/>
      <c r="M416" s="673"/>
      <c r="O416" s="673"/>
      <c r="P416" s="673"/>
      <c r="Q416" s="673"/>
      <c r="R416" s="673"/>
      <c r="S416" s="673"/>
      <c r="U416" s="673"/>
      <c r="V416" s="673"/>
      <c r="W416" s="673"/>
      <c r="X416" s="673"/>
      <c r="Y416" s="673"/>
      <c r="Z416" s="673"/>
      <c r="AN416" s="673"/>
      <c r="AO416" s="673"/>
      <c r="AP416" s="673"/>
      <c r="AQ416" s="673"/>
      <c r="AR416" s="673"/>
      <c r="AS416" s="673"/>
      <c r="AT416" s="673"/>
      <c r="AU416" s="673"/>
      <c r="AV416" s="673"/>
      <c r="AW416" s="673"/>
      <c r="AX416" s="673"/>
      <c r="AY416" s="673"/>
      <c r="AZ416" s="674"/>
      <c r="BA416" s="674"/>
      <c r="BB416" s="665"/>
      <c r="BC416" s="665"/>
      <c r="BD416" s="665"/>
      <c r="BE416" s="665"/>
      <c r="BF416" s="665"/>
      <c r="BG416" s="665"/>
    </row>
    <row r="417" spans="6:59" ht="12" customHeight="1" x14ac:dyDescent="0.2">
      <c r="F417" s="582"/>
      <c r="M417" s="673"/>
      <c r="O417" s="673"/>
      <c r="P417" s="673"/>
      <c r="Q417" s="673"/>
      <c r="R417" s="673"/>
      <c r="S417" s="673"/>
      <c r="U417" s="673"/>
      <c r="V417" s="673"/>
      <c r="W417" s="673"/>
      <c r="X417" s="673"/>
      <c r="Y417" s="673"/>
      <c r="Z417" s="673"/>
      <c r="AN417" s="673"/>
      <c r="AO417" s="673"/>
      <c r="AP417" s="673"/>
      <c r="AQ417" s="673"/>
      <c r="AR417" s="673"/>
      <c r="AS417" s="673"/>
      <c r="AT417" s="673"/>
      <c r="AU417" s="673"/>
      <c r="AV417" s="673"/>
      <c r="AW417" s="673"/>
      <c r="AX417" s="673"/>
      <c r="AY417" s="673"/>
      <c r="AZ417" s="674"/>
      <c r="BA417" s="674"/>
      <c r="BB417" s="665"/>
      <c r="BC417" s="665"/>
      <c r="BD417" s="665"/>
      <c r="BE417" s="665"/>
      <c r="BF417" s="665"/>
      <c r="BG417" s="665"/>
    </row>
    <row r="418" spans="6:59" ht="12" customHeight="1" x14ac:dyDescent="0.2">
      <c r="F418" s="582"/>
      <c r="M418" s="673"/>
      <c r="O418" s="673"/>
      <c r="P418" s="673"/>
      <c r="Q418" s="673"/>
      <c r="R418" s="673"/>
      <c r="S418" s="673"/>
      <c r="U418" s="673"/>
      <c r="V418" s="673"/>
      <c r="W418" s="673"/>
      <c r="X418" s="673"/>
      <c r="Y418" s="673"/>
      <c r="Z418" s="673"/>
      <c r="AN418" s="673"/>
      <c r="AO418" s="673"/>
      <c r="AP418" s="673"/>
      <c r="AQ418" s="673"/>
      <c r="AR418" s="673"/>
      <c r="AS418" s="673"/>
      <c r="AT418" s="673"/>
      <c r="AU418" s="673"/>
      <c r="AV418" s="673"/>
      <c r="AW418" s="673"/>
      <c r="AX418" s="673"/>
      <c r="AY418" s="673"/>
      <c r="AZ418" s="674"/>
      <c r="BA418" s="674"/>
      <c r="BB418" s="665"/>
      <c r="BC418" s="665"/>
      <c r="BD418" s="665"/>
      <c r="BE418" s="665"/>
      <c r="BF418" s="665"/>
      <c r="BG418" s="665"/>
    </row>
    <row r="419" spans="6:59" ht="12" customHeight="1" x14ac:dyDescent="0.2">
      <c r="F419" s="582"/>
      <c r="M419" s="673"/>
      <c r="O419" s="673"/>
      <c r="P419" s="673"/>
      <c r="Q419" s="673"/>
      <c r="R419" s="673"/>
      <c r="S419" s="673"/>
      <c r="U419" s="673"/>
      <c r="V419" s="673"/>
      <c r="W419" s="673"/>
      <c r="X419" s="673"/>
      <c r="Y419" s="673"/>
      <c r="Z419" s="673"/>
      <c r="AN419" s="673"/>
      <c r="AO419" s="673"/>
      <c r="AP419" s="673"/>
      <c r="AQ419" s="673"/>
      <c r="AR419" s="673"/>
      <c r="AS419" s="673"/>
      <c r="AT419" s="673"/>
      <c r="AU419" s="673"/>
      <c r="AV419" s="673"/>
      <c r="AW419" s="673"/>
      <c r="AX419" s="673"/>
      <c r="AY419" s="673"/>
      <c r="AZ419" s="674"/>
      <c r="BA419" s="674"/>
      <c r="BB419" s="665"/>
      <c r="BC419" s="665"/>
      <c r="BD419" s="665"/>
      <c r="BE419" s="665"/>
      <c r="BF419" s="665"/>
      <c r="BG419" s="665"/>
    </row>
    <row r="420" spans="6:59" ht="12" customHeight="1" x14ac:dyDescent="0.2">
      <c r="F420" s="582"/>
      <c r="M420" s="673"/>
      <c r="O420" s="673"/>
      <c r="P420" s="673"/>
      <c r="Q420" s="673"/>
      <c r="R420" s="673"/>
      <c r="S420" s="673"/>
      <c r="U420" s="673"/>
      <c r="V420" s="673"/>
      <c r="W420" s="673"/>
      <c r="X420" s="673"/>
      <c r="Y420" s="673"/>
      <c r="Z420" s="673"/>
      <c r="AN420" s="673"/>
      <c r="AO420" s="673"/>
      <c r="AP420" s="673"/>
      <c r="AQ420" s="673"/>
      <c r="AR420" s="673"/>
      <c r="AS420" s="673"/>
      <c r="AT420" s="673"/>
      <c r="AU420" s="673"/>
      <c r="AV420" s="673"/>
      <c r="AW420" s="673"/>
      <c r="AX420" s="673"/>
      <c r="AY420" s="673"/>
      <c r="AZ420" s="674"/>
      <c r="BA420" s="674"/>
      <c r="BB420" s="665"/>
      <c r="BC420" s="665"/>
      <c r="BD420" s="665"/>
      <c r="BE420" s="665"/>
      <c r="BF420" s="665"/>
      <c r="BG420" s="665"/>
    </row>
    <row r="421" spans="6:59" ht="12" customHeight="1" x14ac:dyDescent="0.2">
      <c r="F421" s="582"/>
      <c r="M421" s="673"/>
      <c r="O421" s="673"/>
      <c r="P421" s="673"/>
      <c r="Q421" s="673"/>
      <c r="R421" s="673"/>
      <c r="S421" s="673"/>
      <c r="U421" s="673"/>
      <c r="V421" s="673"/>
      <c r="W421" s="673"/>
      <c r="X421" s="673"/>
      <c r="Y421" s="673"/>
      <c r="Z421" s="673"/>
      <c r="AN421" s="673"/>
      <c r="AO421" s="673"/>
      <c r="AP421" s="673"/>
      <c r="AQ421" s="673"/>
      <c r="AR421" s="673"/>
      <c r="AS421" s="673"/>
      <c r="AT421" s="673"/>
      <c r="AU421" s="673"/>
      <c r="AV421" s="673"/>
      <c r="AW421" s="673"/>
      <c r="AX421" s="673"/>
      <c r="AY421" s="673"/>
      <c r="AZ421" s="674"/>
      <c r="BA421" s="674"/>
      <c r="BB421" s="665"/>
      <c r="BC421" s="665"/>
      <c r="BD421" s="665"/>
      <c r="BE421" s="665"/>
      <c r="BF421" s="665"/>
      <c r="BG421" s="665"/>
    </row>
    <row r="422" spans="6:59" ht="12" customHeight="1" x14ac:dyDescent="0.2">
      <c r="F422" s="582"/>
      <c r="M422" s="673"/>
      <c r="O422" s="673"/>
      <c r="P422" s="673"/>
      <c r="Q422" s="673"/>
      <c r="R422" s="673"/>
      <c r="S422" s="673"/>
      <c r="U422" s="673"/>
      <c r="V422" s="673"/>
      <c r="W422" s="673"/>
      <c r="X422" s="673"/>
      <c r="Y422" s="673"/>
      <c r="Z422" s="673"/>
      <c r="AN422" s="673"/>
      <c r="AO422" s="673"/>
      <c r="AP422" s="673"/>
      <c r="AQ422" s="673"/>
      <c r="AR422" s="673"/>
      <c r="AS422" s="673"/>
      <c r="AT422" s="673"/>
      <c r="AU422" s="673"/>
      <c r="AV422" s="673"/>
      <c r="AW422" s="673"/>
      <c r="AX422" s="673"/>
      <c r="AY422" s="673"/>
      <c r="AZ422" s="674"/>
      <c r="BA422" s="674"/>
      <c r="BB422" s="665"/>
      <c r="BC422" s="665"/>
      <c r="BD422" s="665"/>
      <c r="BE422" s="665"/>
      <c r="BF422" s="665"/>
      <c r="BG422" s="665"/>
    </row>
    <row r="423" spans="6:59" ht="12" customHeight="1" x14ac:dyDescent="0.2">
      <c r="F423" s="582"/>
      <c r="M423" s="673"/>
      <c r="O423" s="673"/>
      <c r="P423" s="673"/>
      <c r="Q423" s="673"/>
      <c r="R423" s="673"/>
      <c r="S423" s="673"/>
      <c r="U423" s="673"/>
      <c r="V423" s="673"/>
      <c r="W423" s="673"/>
      <c r="X423" s="673"/>
      <c r="Y423" s="673"/>
      <c r="Z423" s="673"/>
      <c r="AN423" s="673"/>
      <c r="AO423" s="673"/>
      <c r="AP423" s="673"/>
      <c r="AQ423" s="673"/>
      <c r="AR423" s="673"/>
      <c r="AS423" s="673"/>
      <c r="AT423" s="673"/>
      <c r="AU423" s="673"/>
      <c r="AV423" s="673"/>
      <c r="AW423" s="673"/>
      <c r="AX423" s="673"/>
      <c r="AY423" s="673"/>
      <c r="AZ423" s="674"/>
      <c r="BA423" s="674"/>
      <c r="BB423" s="665"/>
      <c r="BC423" s="665"/>
      <c r="BD423" s="665"/>
      <c r="BE423" s="665"/>
      <c r="BF423" s="665"/>
      <c r="BG423" s="665"/>
    </row>
    <row r="424" spans="6:59" ht="12" customHeight="1" x14ac:dyDescent="0.2">
      <c r="F424" s="582"/>
      <c r="M424" s="673"/>
      <c r="O424" s="673"/>
      <c r="P424" s="673"/>
      <c r="Q424" s="673"/>
      <c r="R424" s="673"/>
      <c r="S424" s="673"/>
      <c r="U424" s="673"/>
      <c r="V424" s="673"/>
      <c r="W424" s="673"/>
      <c r="X424" s="673"/>
      <c r="Y424" s="673"/>
      <c r="Z424" s="673"/>
      <c r="AN424" s="673"/>
      <c r="AO424" s="673"/>
      <c r="AP424" s="673"/>
      <c r="AQ424" s="673"/>
      <c r="AR424" s="673"/>
      <c r="AS424" s="673"/>
      <c r="AT424" s="673"/>
      <c r="AU424" s="673"/>
      <c r="AV424" s="673"/>
      <c r="AW424" s="673"/>
      <c r="AX424" s="673"/>
      <c r="AY424" s="673"/>
      <c r="AZ424" s="674"/>
      <c r="BA424" s="674"/>
      <c r="BB424" s="665"/>
      <c r="BC424" s="665"/>
      <c r="BD424" s="665"/>
      <c r="BE424" s="665"/>
      <c r="BF424" s="665"/>
      <c r="BG424" s="665"/>
    </row>
    <row r="425" spans="6:59" ht="12" customHeight="1" x14ac:dyDescent="0.2">
      <c r="F425" s="582"/>
      <c r="M425" s="673"/>
      <c r="O425" s="673"/>
      <c r="P425" s="673"/>
      <c r="Q425" s="673"/>
      <c r="R425" s="673"/>
      <c r="S425" s="673"/>
      <c r="U425" s="673"/>
      <c r="V425" s="673"/>
      <c r="W425" s="673"/>
      <c r="X425" s="673"/>
      <c r="Y425" s="673"/>
      <c r="Z425" s="673"/>
      <c r="AN425" s="673"/>
      <c r="AO425" s="673"/>
      <c r="AP425" s="673"/>
      <c r="AQ425" s="673"/>
      <c r="AR425" s="673"/>
      <c r="AS425" s="673"/>
      <c r="AT425" s="673"/>
      <c r="AU425" s="673"/>
      <c r="AV425" s="673"/>
      <c r="AW425" s="673"/>
      <c r="AX425" s="673"/>
      <c r="AY425" s="673"/>
      <c r="AZ425" s="674"/>
      <c r="BA425" s="674"/>
      <c r="BB425" s="665"/>
      <c r="BC425" s="665"/>
      <c r="BD425" s="665"/>
      <c r="BE425" s="665"/>
      <c r="BF425" s="665"/>
      <c r="BG425" s="665"/>
    </row>
    <row r="426" spans="6:59" ht="12" customHeight="1" x14ac:dyDescent="0.2">
      <c r="F426" s="582"/>
      <c r="M426" s="673"/>
      <c r="O426" s="673"/>
      <c r="P426" s="673"/>
      <c r="Q426" s="673"/>
      <c r="R426" s="673"/>
      <c r="S426" s="673"/>
      <c r="U426" s="673"/>
      <c r="V426" s="673"/>
      <c r="W426" s="673"/>
      <c r="X426" s="673"/>
      <c r="Y426" s="673"/>
      <c r="Z426" s="673"/>
      <c r="AN426" s="673"/>
      <c r="AO426" s="673"/>
      <c r="AP426" s="673"/>
      <c r="AQ426" s="673"/>
      <c r="AR426" s="673"/>
      <c r="AS426" s="673"/>
      <c r="AT426" s="673"/>
      <c r="AU426" s="673"/>
      <c r="AV426" s="673"/>
      <c r="AW426" s="673"/>
      <c r="AX426" s="673"/>
      <c r="AY426" s="673"/>
      <c r="AZ426" s="674"/>
      <c r="BA426" s="674"/>
      <c r="BB426" s="665"/>
      <c r="BC426" s="665"/>
      <c r="BD426" s="665"/>
      <c r="BE426" s="665"/>
      <c r="BF426" s="665"/>
      <c r="BG426" s="665"/>
    </row>
    <row r="427" spans="6:59" ht="12" customHeight="1" x14ac:dyDescent="0.2">
      <c r="F427" s="582"/>
      <c r="M427" s="673"/>
      <c r="O427" s="673"/>
      <c r="P427" s="673"/>
      <c r="Q427" s="673"/>
      <c r="R427" s="673"/>
      <c r="S427" s="673"/>
      <c r="U427" s="673"/>
      <c r="V427" s="673"/>
      <c r="W427" s="673"/>
      <c r="X427" s="673"/>
      <c r="Y427" s="673"/>
      <c r="Z427" s="673"/>
      <c r="AN427" s="673"/>
      <c r="AO427" s="673"/>
      <c r="AP427" s="673"/>
      <c r="AQ427" s="673"/>
      <c r="AR427" s="673"/>
      <c r="AS427" s="673"/>
      <c r="AT427" s="673"/>
      <c r="AU427" s="673"/>
      <c r="AV427" s="673"/>
      <c r="AW427" s="673"/>
      <c r="AX427" s="673"/>
      <c r="AY427" s="673"/>
      <c r="AZ427" s="674"/>
      <c r="BA427" s="674"/>
      <c r="BB427" s="665"/>
      <c r="BC427" s="665"/>
      <c r="BD427" s="665"/>
      <c r="BE427" s="665"/>
      <c r="BF427" s="665"/>
      <c r="BG427" s="665"/>
    </row>
    <row r="428" spans="6:59" ht="12" customHeight="1" x14ac:dyDescent="0.2">
      <c r="F428" s="582"/>
      <c r="M428" s="673"/>
      <c r="O428" s="673"/>
      <c r="P428" s="673"/>
      <c r="Q428" s="673"/>
      <c r="R428" s="673"/>
      <c r="S428" s="673"/>
      <c r="U428" s="673"/>
      <c r="V428" s="673"/>
      <c r="W428" s="673"/>
      <c r="X428" s="673"/>
      <c r="Y428" s="673"/>
      <c r="Z428" s="673"/>
      <c r="AN428" s="673"/>
      <c r="AO428" s="673"/>
      <c r="AP428" s="673"/>
      <c r="AQ428" s="673"/>
      <c r="AR428" s="673"/>
      <c r="AS428" s="673"/>
      <c r="AT428" s="673"/>
      <c r="AU428" s="673"/>
      <c r="AV428" s="673"/>
      <c r="AW428" s="673"/>
      <c r="AX428" s="673"/>
      <c r="AY428" s="673"/>
      <c r="AZ428" s="674"/>
      <c r="BA428" s="674"/>
      <c r="BB428" s="665"/>
      <c r="BC428" s="665"/>
      <c r="BD428" s="665"/>
      <c r="BE428" s="665"/>
      <c r="BF428" s="665"/>
      <c r="BG428" s="665"/>
    </row>
    <row r="429" spans="6:59" ht="12" customHeight="1" x14ac:dyDescent="0.2">
      <c r="F429" s="582"/>
      <c r="M429" s="673"/>
      <c r="O429" s="673"/>
      <c r="P429" s="673"/>
      <c r="Q429" s="673"/>
      <c r="R429" s="673"/>
      <c r="S429" s="673"/>
      <c r="U429" s="673"/>
      <c r="V429" s="673"/>
      <c r="W429" s="673"/>
      <c r="X429" s="673"/>
      <c r="Y429" s="673"/>
      <c r="Z429" s="673"/>
      <c r="AN429" s="673"/>
      <c r="AO429" s="673"/>
      <c r="AP429" s="673"/>
      <c r="AQ429" s="673"/>
      <c r="AR429" s="673"/>
      <c r="AS429" s="673"/>
      <c r="AT429" s="673"/>
      <c r="AU429" s="673"/>
      <c r="AV429" s="673"/>
      <c r="AW429" s="673"/>
      <c r="AX429" s="673"/>
      <c r="AY429" s="673"/>
      <c r="AZ429" s="674"/>
      <c r="BA429" s="674"/>
      <c r="BB429" s="665"/>
      <c r="BC429" s="665"/>
      <c r="BD429" s="665"/>
      <c r="BE429" s="665"/>
      <c r="BF429" s="665"/>
      <c r="BG429" s="665"/>
    </row>
    <row r="430" spans="6:59" ht="12" customHeight="1" x14ac:dyDescent="0.2">
      <c r="F430" s="582"/>
      <c r="M430" s="673"/>
      <c r="O430" s="673"/>
      <c r="P430" s="673"/>
      <c r="Q430" s="673"/>
      <c r="R430" s="673"/>
      <c r="S430" s="673"/>
      <c r="U430" s="673"/>
      <c r="V430" s="673"/>
      <c r="W430" s="673"/>
      <c r="X430" s="673"/>
      <c r="Y430" s="673"/>
      <c r="Z430" s="673"/>
      <c r="AN430" s="673"/>
      <c r="AO430" s="673"/>
      <c r="AP430" s="673"/>
      <c r="AQ430" s="673"/>
      <c r="AR430" s="673"/>
      <c r="AS430" s="673"/>
      <c r="AT430" s="673"/>
      <c r="AU430" s="673"/>
      <c r="AV430" s="673"/>
      <c r="AW430" s="673"/>
      <c r="AX430" s="673"/>
      <c r="AY430" s="673"/>
      <c r="AZ430" s="674"/>
      <c r="BA430" s="674"/>
      <c r="BB430" s="665"/>
      <c r="BC430" s="665"/>
      <c r="BD430" s="665"/>
      <c r="BE430" s="665"/>
      <c r="BF430" s="665"/>
      <c r="BG430" s="665"/>
    </row>
    <row r="431" spans="6:59" ht="12" customHeight="1" x14ac:dyDescent="0.2">
      <c r="F431" s="582"/>
      <c r="M431" s="673"/>
      <c r="O431" s="673"/>
      <c r="P431" s="673"/>
      <c r="Q431" s="673"/>
      <c r="R431" s="673"/>
      <c r="S431" s="673"/>
      <c r="U431" s="673"/>
      <c r="V431" s="673"/>
      <c r="W431" s="673"/>
      <c r="X431" s="673"/>
      <c r="Y431" s="673"/>
      <c r="Z431" s="673"/>
      <c r="AN431" s="673"/>
      <c r="AO431" s="673"/>
      <c r="AP431" s="673"/>
      <c r="AQ431" s="673"/>
      <c r="AR431" s="673"/>
      <c r="AS431" s="673"/>
      <c r="AT431" s="673"/>
      <c r="AU431" s="673"/>
      <c r="AV431" s="673"/>
      <c r="AW431" s="673"/>
      <c r="AX431" s="673"/>
      <c r="AY431" s="673"/>
      <c r="AZ431" s="674"/>
      <c r="BA431" s="674"/>
      <c r="BB431" s="665"/>
      <c r="BC431" s="665"/>
      <c r="BD431" s="665"/>
      <c r="BE431" s="665"/>
      <c r="BF431" s="665"/>
      <c r="BG431" s="665"/>
    </row>
    <row r="432" spans="6:59" ht="12" customHeight="1" x14ac:dyDescent="0.2">
      <c r="F432" s="582"/>
      <c r="M432" s="673"/>
      <c r="O432" s="673"/>
      <c r="P432" s="673"/>
      <c r="Q432" s="673"/>
      <c r="R432" s="673"/>
      <c r="S432" s="673"/>
      <c r="U432" s="673"/>
      <c r="V432" s="673"/>
      <c r="W432" s="673"/>
      <c r="X432" s="673"/>
      <c r="Y432" s="673"/>
      <c r="Z432" s="673"/>
      <c r="AN432" s="673"/>
      <c r="AO432" s="673"/>
      <c r="AP432" s="673"/>
      <c r="AQ432" s="673"/>
      <c r="AR432" s="673"/>
      <c r="AS432" s="673"/>
      <c r="AT432" s="673"/>
      <c r="AU432" s="673"/>
      <c r="AV432" s="673"/>
      <c r="AW432" s="673"/>
      <c r="AX432" s="673"/>
      <c r="AY432" s="673"/>
      <c r="AZ432" s="674"/>
      <c r="BA432" s="674"/>
      <c r="BB432" s="665"/>
      <c r="BC432" s="665"/>
      <c r="BD432" s="665"/>
      <c r="BE432" s="665"/>
      <c r="BF432" s="665"/>
      <c r="BG432" s="665"/>
    </row>
    <row r="433" spans="6:59" ht="12" customHeight="1" x14ac:dyDescent="0.2">
      <c r="F433" s="582"/>
      <c r="M433" s="673"/>
      <c r="O433" s="673"/>
      <c r="P433" s="673"/>
      <c r="Q433" s="673"/>
      <c r="R433" s="673"/>
      <c r="S433" s="673"/>
      <c r="U433" s="673"/>
      <c r="V433" s="673"/>
      <c r="W433" s="673"/>
      <c r="X433" s="673"/>
      <c r="Y433" s="673"/>
      <c r="Z433" s="673"/>
      <c r="AN433" s="673"/>
      <c r="AO433" s="673"/>
      <c r="AP433" s="673"/>
      <c r="AQ433" s="673"/>
      <c r="AR433" s="673"/>
      <c r="AS433" s="673"/>
      <c r="AT433" s="673"/>
      <c r="AU433" s="673"/>
      <c r="AV433" s="673"/>
      <c r="AW433" s="673"/>
      <c r="AX433" s="673"/>
      <c r="AY433" s="673"/>
      <c r="AZ433" s="674"/>
      <c r="BA433" s="674"/>
      <c r="BB433" s="665"/>
      <c r="BC433" s="665"/>
      <c r="BD433" s="665"/>
      <c r="BE433" s="665"/>
      <c r="BF433" s="665"/>
      <c r="BG433" s="665"/>
    </row>
    <row r="434" spans="6:59" ht="12" customHeight="1" x14ac:dyDescent="0.2">
      <c r="F434" s="582"/>
      <c r="M434" s="673"/>
      <c r="O434" s="673"/>
      <c r="P434" s="673"/>
      <c r="Q434" s="673"/>
      <c r="R434" s="673"/>
      <c r="S434" s="673"/>
      <c r="U434" s="673"/>
      <c r="V434" s="673"/>
      <c r="W434" s="673"/>
      <c r="X434" s="673"/>
      <c r="Y434" s="673"/>
      <c r="Z434" s="673"/>
      <c r="AN434" s="673"/>
      <c r="AO434" s="673"/>
      <c r="AP434" s="673"/>
      <c r="AQ434" s="673"/>
      <c r="AR434" s="673"/>
      <c r="AS434" s="673"/>
      <c r="AT434" s="673"/>
      <c r="AU434" s="673"/>
      <c r="AV434" s="673"/>
      <c r="AW434" s="673"/>
      <c r="AX434" s="673"/>
      <c r="AY434" s="673"/>
      <c r="AZ434" s="674"/>
      <c r="BA434" s="674"/>
      <c r="BB434" s="665"/>
      <c r="BC434" s="665"/>
      <c r="BD434" s="665"/>
      <c r="BE434" s="665"/>
      <c r="BF434" s="665"/>
      <c r="BG434" s="665"/>
    </row>
    <row r="435" spans="6:59" ht="12" customHeight="1" x14ac:dyDescent="0.2">
      <c r="F435" s="582"/>
      <c r="M435" s="673"/>
      <c r="O435" s="673"/>
      <c r="P435" s="673"/>
      <c r="Q435" s="673"/>
      <c r="R435" s="673"/>
      <c r="S435" s="673"/>
      <c r="U435" s="673"/>
      <c r="V435" s="673"/>
      <c r="W435" s="673"/>
      <c r="X435" s="673"/>
      <c r="Y435" s="673"/>
      <c r="Z435" s="673"/>
      <c r="AN435" s="673"/>
      <c r="AO435" s="673"/>
      <c r="AP435" s="673"/>
      <c r="AQ435" s="673"/>
      <c r="AR435" s="673"/>
      <c r="AS435" s="673"/>
      <c r="AT435" s="673"/>
      <c r="AU435" s="673"/>
      <c r="AV435" s="673"/>
      <c r="AW435" s="673"/>
      <c r="AX435" s="673"/>
      <c r="AY435" s="673"/>
      <c r="AZ435" s="674"/>
      <c r="BA435" s="674"/>
      <c r="BB435" s="665"/>
      <c r="BC435" s="665"/>
      <c r="BD435" s="665"/>
      <c r="BE435" s="665"/>
      <c r="BF435" s="665"/>
      <c r="BG435" s="665"/>
    </row>
    <row r="436" spans="6:59" ht="12" customHeight="1" x14ac:dyDescent="0.2">
      <c r="F436" s="582"/>
      <c r="M436" s="673"/>
      <c r="O436" s="673"/>
      <c r="P436" s="673"/>
      <c r="Q436" s="673"/>
      <c r="R436" s="673"/>
      <c r="S436" s="673"/>
      <c r="U436" s="673"/>
      <c r="V436" s="673"/>
      <c r="W436" s="673"/>
      <c r="X436" s="673"/>
      <c r="Y436" s="673"/>
      <c r="Z436" s="673"/>
      <c r="AN436" s="673"/>
      <c r="AO436" s="673"/>
      <c r="AP436" s="673"/>
      <c r="AQ436" s="673"/>
      <c r="AR436" s="673"/>
      <c r="AS436" s="673"/>
      <c r="AT436" s="673"/>
      <c r="AU436" s="673"/>
      <c r="AV436" s="673"/>
      <c r="AW436" s="673"/>
      <c r="AX436" s="673"/>
      <c r="AY436" s="673"/>
      <c r="AZ436" s="674"/>
      <c r="BA436" s="674"/>
      <c r="BB436" s="665"/>
      <c r="BC436" s="665"/>
      <c r="BD436" s="665"/>
      <c r="BE436" s="665"/>
      <c r="BF436" s="665"/>
      <c r="BG436" s="665"/>
    </row>
    <row r="437" spans="6:59" ht="12" customHeight="1" x14ac:dyDescent="0.2">
      <c r="F437" s="582"/>
      <c r="M437" s="673"/>
      <c r="O437" s="673"/>
      <c r="P437" s="673"/>
      <c r="Q437" s="673"/>
      <c r="R437" s="673"/>
      <c r="S437" s="673"/>
      <c r="U437" s="673"/>
      <c r="V437" s="673"/>
      <c r="W437" s="673"/>
      <c r="X437" s="673"/>
      <c r="Y437" s="673"/>
      <c r="Z437" s="673"/>
      <c r="AN437" s="673"/>
      <c r="AO437" s="673"/>
      <c r="AP437" s="673"/>
      <c r="AQ437" s="673"/>
      <c r="AR437" s="673"/>
      <c r="AS437" s="673"/>
      <c r="AT437" s="673"/>
      <c r="AU437" s="673"/>
      <c r="AV437" s="673"/>
      <c r="AW437" s="673"/>
      <c r="AX437" s="673"/>
      <c r="AY437" s="673"/>
      <c r="AZ437" s="674"/>
      <c r="BA437" s="674"/>
      <c r="BB437" s="665"/>
      <c r="BC437" s="665"/>
      <c r="BD437" s="665"/>
      <c r="BE437" s="665"/>
      <c r="BF437" s="665"/>
      <c r="BG437" s="665"/>
    </row>
    <row r="438" spans="6:59" ht="12" customHeight="1" x14ac:dyDescent="0.2">
      <c r="F438" s="582"/>
      <c r="M438" s="673"/>
      <c r="O438" s="673"/>
      <c r="P438" s="673"/>
      <c r="Q438" s="673"/>
      <c r="R438" s="673"/>
      <c r="S438" s="673"/>
      <c r="U438" s="673"/>
      <c r="V438" s="673"/>
      <c r="W438" s="673"/>
      <c r="X438" s="673"/>
      <c r="Y438" s="673"/>
      <c r="Z438" s="673"/>
      <c r="AN438" s="673"/>
      <c r="AO438" s="673"/>
      <c r="AP438" s="673"/>
      <c r="AQ438" s="673"/>
      <c r="AR438" s="673"/>
      <c r="AS438" s="673"/>
      <c r="AT438" s="673"/>
      <c r="AU438" s="673"/>
      <c r="AV438" s="673"/>
      <c r="AW438" s="673"/>
      <c r="AX438" s="673"/>
      <c r="AY438" s="673"/>
      <c r="AZ438" s="674"/>
      <c r="BA438" s="674"/>
      <c r="BB438" s="665"/>
      <c r="BC438" s="665"/>
      <c r="BD438" s="665"/>
      <c r="BE438" s="665"/>
      <c r="BF438" s="665"/>
      <c r="BG438" s="665"/>
    </row>
    <row r="439" spans="6:59" ht="12" customHeight="1" x14ac:dyDescent="0.2">
      <c r="F439" s="582"/>
      <c r="M439" s="673"/>
      <c r="O439" s="673"/>
      <c r="P439" s="673"/>
      <c r="Q439" s="673"/>
      <c r="R439" s="673"/>
      <c r="S439" s="673"/>
      <c r="U439" s="673"/>
      <c r="V439" s="673"/>
      <c r="W439" s="673"/>
      <c r="X439" s="673"/>
      <c r="Y439" s="673"/>
      <c r="Z439" s="673"/>
      <c r="AN439" s="673"/>
      <c r="AO439" s="673"/>
      <c r="AP439" s="673"/>
      <c r="AQ439" s="673"/>
      <c r="AR439" s="673"/>
      <c r="AS439" s="673"/>
      <c r="AT439" s="673"/>
      <c r="AU439" s="673"/>
      <c r="AV439" s="673"/>
      <c r="AW439" s="673"/>
      <c r="AX439" s="673"/>
      <c r="AY439" s="673"/>
      <c r="AZ439" s="674"/>
      <c r="BA439" s="674"/>
      <c r="BB439" s="665"/>
      <c r="BC439" s="665"/>
      <c r="BD439" s="665"/>
      <c r="BE439" s="665"/>
      <c r="BF439" s="665"/>
      <c r="BG439" s="665"/>
    </row>
    <row r="440" spans="6:59" ht="12" customHeight="1" x14ac:dyDescent="0.2">
      <c r="F440" s="582"/>
      <c r="M440" s="673"/>
      <c r="O440" s="673"/>
      <c r="P440" s="673"/>
      <c r="Q440" s="673"/>
      <c r="R440" s="673"/>
      <c r="S440" s="673"/>
      <c r="U440" s="673"/>
      <c r="V440" s="673"/>
      <c r="W440" s="673"/>
      <c r="X440" s="673"/>
      <c r="Y440" s="673"/>
      <c r="Z440" s="673"/>
      <c r="AN440" s="673"/>
      <c r="AO440" s="673"/>
      <c r="AP440" s="673"/>
      <c r="AQ440" s="673"/>
      <c r="AR440" s="673"/>
      <c r="AS440" s="673"/>
      <c r="AT440" s="673"/>
      <c r="AU440" s="673"/>
      <c r="AV440" s="673"/>
      <c r="AW440" s="673"/>
      <c r="AX440" s="673"/>
      <c r="AY440" s="673"/>
      <c r="AZ440" s="674"/>
      <c r="BA440" s="674"/>
      <c r="BB440" s="665"/>
      <c r="BC440" s="665"/>
      <c r="BD440" s="665"/>
      <c r="BE440" s="665"/>
      <c r="BF440" s="665"/>
      <c r="BG440" s="665"/>
    </row>
    <row r="441" spans="6:59" ht="12" customHeight="1" x14ac:dyDescent="0.2">
      <c r="F441" s="582"/>
      <c r="M441" s="673"/>
      <c r="O441" s="673"/>
      <c r="P441" s="673"/>
      <c r="Q441" s="673"/>
      <c r="R441" s="673"/>
      <c r="S441" s="673"/>
      <c r="U441" s="673"/>
      <c r="V441" s="673"/>
      <c r="W441" s="673"/>
      <c r="X441" s="673"/>
      <c r="Y441" s="673"/>
      <c r="Z441" s="673"/>
      <c r="AN441" s="673"/>
      <c r="AO441" s="673"/>
      <c r="AP441" s="673"/>
      <c r="AQ441" s="673"/>
      <c r="AR441" s="673"/>
      <c r="AS441" s="673"/>
      <c r="AT441" s="673"/>
      <c r="AU441" s="673"/>
      <c r="AV441" s="673"/>
      <c r="AW441" s="673"/>
      <c r="AX441" s="673"/>
      <c r="AY441" s="673"/>
      <c r="AZ441" s="674"/>
      <c r="BA441" s="674"/>
      <c r="BB441" s="665"/>
      <c r="BC441" s="665"/>
      <c r="BD441" s="665"/>
      <c r="BE441" s="665"/>
      <c r="BF441" s="665"/>
      <c r="BG441" s="665"/>
    </row>
    <row r="442" spans="6:59" ht="12" customHeight="1" x14ac:dyDescent="0.2">
      <c r="F442" s="582"/>
      <c r="M442" s="673"/>
      <c r="O442" s="673"/>
      <c r="P442" s="673"/>
      <c r="Q442" s="673"/>
      <c r="R442" s="673"/>
      <c r="S442" s="673"/>
      <c r="U442" s="673"/>
      <c r="V442" s="673"/>
      <c r="W442" s="673"/>
      <c r="X442" s="673"/>
      <c r="Y442" s="673"/>
      <c r="Z442" s="673"/>
      <c r="AN442" s="673"/>
      <c r="AO442" s="673"/>
      <c r="AP442" s="673"/>
      <c r="AQ442" s="673"/>
      <c r="AR442" s="673"/>
      <c r="AS442" s="673"/>
      <c r="AT442" s="673"/>
      <c r="AU442" s="673"/>
      <c r="AV442" s="673"/>
      <c r="AW442" s="673"/>
      <c r="AX442" s="673"/>
      <c r="AY442" s="673"/>
      <c r="AZ442" s="674"/>
      <c r="BA442" s="674"/>
      <c r="BB442" s="665"/>
      <c r="BC442" s="665"/>
      <c r="BD442" s="665"/>
      <c r="BE442" s="665"/>
      <c r="BF442" s="665"/>
      <c r="BG442" s="665"/>
    </row>
    <row r="443" spans="6:59" ht="12" customHeight="1" x14ac:dyDescent="0.2">
      <c r="F443" s="582"/>
      <c r="M443" s="673"/>
      <c r="O443" s="673"/>
      <c r="P443" s="673"/>
      <c r="Q443" s="673"/>
      <c r="R443" s="673"/>
      <c r="S443" s="673"/>
      <c r="U443" s="673"/>
      <c r="V443" s="673"/>
      <c r="W443" s="673"/>
      <c r="X443" s="673"/>
      <c r="Y443" s="673"/>
      <c r="Z443" s="673"/>
      <c r="AN443" s="673"/>
      <c r="AO443" s="673"/>
      <c r="AP443" s="673"/>
      <c r="AQ443" s="673"/>
      <c r="AR443" s="673"/>
      <c r="AS443" s="673"/>
      <c r="AT443" s="673"/>
      <c r="AU443" s="673"/>
      <c r="AV443" s="673"/>
      <c r="AW443" s="673"/>
      <c r="AX443" s="673"/>
      <c r="AY443" s="673"/>
      <c r="AZ443" s="674"/>
      <c r="BA443" s="674"/>
      <c r="BB443" s="665"/>
      <c r="BC443" s="665"/>
      <c r="BD443" s="665"/>
      <c r="BE443" s="665"/>
      <c r="BF443" s="665"/>
      <c r="BG443" s="665"/>
    </row>
    <row r="444" spans="6:59" ht="12" customHeight="1" x14ac:dyDescent="0.2">
      <c r="F444" s="582"/>
      <c r="M444" s="673"/>
      <c r="O444" s="673"/>
      <c r="P444" s="673"/>
      <c r="Q444" s="673"/>
      <c r="R444" s="673"/>
      <c r="S444" s="673"/>
      <c r="U444" s="673"/>
      <c r="V444" s="673"/>
      <c r="W444" s="673"/>
      <c r="X444" s="673"/>
      <c r="Y444" s="673"/>
      <c r="Z444" s="673"/>
      <c r="AN444" s="673"/>
      <c r="AO444" s="673"/>
      <c r="AP444" s="673"/>
      <c r="AQ444" s="673"/>
      <c r="AR444" s="673"/>
      <c r="AS444" s="673"/>
      <c r="AT444" s="673"/>
      <c r="AU444" s="673"/>
      <c r="AV444" s="673"/>
      <c r="AW444" s="673"/>
      <c r="AX444" s="673"/>
      <c r="AY444" s="673"/>
      <c r="AZ444" s="674"/>
      <c r="BA444" s="674"/>
      <c r="BB444" s="665"/>
      <c r="BC444" s="665"/>
      <c r="BD444" s="665"/>
      <c r="BE444" s="665"/>
      <c r="BF444" s="665"/>
      <c r="BG444" s="665"/>
    </row>
    <row r="445" spans="6:59" ht="12" customHeight="1" x14ac:dyDescent="0.2">
      <c r="F445" s="582"/>
      <c r="M445" s="673"/>
      <c r="O445" s="673"/>
      <c r="P445" s="673"/>
      <c r="Q445" s="673"/>
      <c r="R445" s="673"/>
      <c r="S445" s="673"/>
      <c r="U445" s="673"/>
      <c r="V445" s="673"/>
      <c r="W445" s="673"/>
      <c r="X445" s="673"/>
      <c r="Y445" s="673"/>
      <c r="Z445" s="673"/>
      <c r="AN445" s="673"/>
      <c r="AO445" s="673"/>
      <c r="AP445" s="673"/>
      <c r="AQ445" s="673"/>
      <c r="AR445" s="673"/>
      <c r="AS445" s="673"/>
      <c r="AT445" s="673"/>
      <c r="AU445" s="673"/>
      <c r="AV445" s="673"/>
      <c r="AW445" s="673"/>
      <c r="AX445" s="673"/>
      <c r="AY445" s="673"/>
      <c r="AZ445" s="674"/>
      <c r="BA445" s="674"/>
      <c r="BB445" s="665"/>
      <c r="BC445" s="665"/>
      <c r="BD445" s="665"/>
      <c r="BE445" s="665"/>
      <c r="BF445" s="665"/>
      <c r="BG445" s="665"/>
    </row>
    <row r="446" spans="6:59" ht="12" customHeight="1" x14ac:dyDescent="0.2">
      <c r="F446" s="582"/>
      <c r="M446" s="673"/>
      <c r="O446" s="673"/>
      <c r="P446" s="673"/>
      <c r="Q446" s="673"/>
      <c r="R446" s="673"/>
      <c r="S446" s="673"/>
      <c r="U446" s="673"/>
      <c r="V446" s="673"/>
      <c r="W446" s="673"/>
      <c r="X446" s="673"/>
      <c r="Y446" s="673"/>
      <c r="Z446" s="673"/>
      <c r="AN446" s="673"/>
      <c r="AO446" s="673"/>
      <c r="AP446" s="673"/>
      <c r="AQ446" s="673"/>
      <c r="AR446" s="673"/>
      <c r="AS446" s="673"/>
      <c r="AT446" s="673"/>
      <c r="AU446" s="673"/>
      <c r="AV446" s="673"/>
      <c r="AW446" s="673"/>
      <c r="AX446" s="673"/>
      <c r="AY446" s="673"/>
      <c r="AZ446" s="674"/>
      <c r="BA446" s="674"/>
      <c r="BB446" s="665"/>
      <c r="BC446" s="665"/>
      <c r="BD446" s="665"/>
      <c r="BE446" s="665"/>
      <c r="BF446" s="665"/>
      <c r="BG446" s="665"/>
    </row>
    <row r="447" spans="6:59" ht="12" customHeight="1" x14ac:dyDescent="0.2">
      <c r="F447" s="582"/>
      <c r="M447" s="673"/>
      <c r="O447" s="673"/>
      <c r="P447" s="673"/>
      <c r="Q447" s="673"/>
      <c r="R447" s="673"/>
      <c r="S447" s="673"/>
      <c r="U447" s="673"/>
      <c r="V447" s="673"/>
      <c r="W447" s="673"/>
      <c r="X447" s="673"/>
      <c r="Y447" s="673"/>
      <c r="Z447" s="673"/>
      <c r="AN447" s="673"/>
      <c r="AO447" s="673"/>
      <c r="AP447" s="673"/>
      <c r="AQ447" s="673"/>
      <c r="AR447" s="673"/>
      <c r="AS447" s="673"/>
      <c r="AT447" s="673"/>
      <c r="AU447" s="673"/>
      <c r="AV447" s="673"/>
      <c r="AW447" s="673"/>
      <c r="AX447" s="673"/>
      <c r="AY447" s="673"/>
      <c r="AZ447" s="674"/>
      <c r="BA447" s="674"/>
      <c r="BB447" s="665"/>
      <c r="BC447" s="665"/>
      <c r="BD447" s="665"/>
      <c r="BE447" s="665"/>
      <c r="BF447" s="665"/>
      <c r="BG447" s="665"/>
    </row>
    <row r="448" spans="6:59" ht="12" customHeight="1" x14ac:dyDescent="0.2">
      <c r="F448" s="582"/>
      <c r="M448" s="673"/>
      <c r="O448" s="673"/>
      <c r="P448" s="673"/>
      <c r="Q448" s="673"/>
      <c r="R448" s="673"/>
      <c r="S448" s="673"/>
      <c r="U448" s="673"/>
      <c r="V448" s="673"/>
      <c r="W448" s="673"/>
      <c r="X448" s="673"/>
      <c r="Y448" s="673"/>
      <c r="Z448" s="673"/>
      <c r="AN448" s="673"/>
      <c r="AO448" s="673"/>
      <c r="AP448" s="673"/>
      <c r="AQ448" s="673"/>
      <c r="AR448" s="673"/>
      <c r="AS448" s="673"/>
      <c r="AT448" s="673"/>
      <c r="AU448" s="673"/>
      <c r="AV448" s="673"/>
      <c r="AW448" s="673"/>
      <c r="AX448" s="673"/>
      <c r="AY448" s="673"/>
      <c r="AZ448" s="674"/>
      <c r="BA448" s="674"/>
      <c r="BB448" s="665"/>
      <c r="BC448" s="665"/>
      <c r="BD448" s="665"/>
      <c r="BE448" s="665"/>
      <c r="BF448" s="665"/>
      <c r="BG448" s="665"/>
    </row>
    <row r="449" spans="6:59" ht="12" customHeight="1" x14ac:dyDescent="0.2">
      <c r="F449" s="582"/>
      <c r="M449" s="673"/>
      <c r="O449" s="673"/>
      <c r="P449" s="673"/>
      <c r="Q449" s="673"/>
      <c r="R449" s="673"/>
      <c r="S449" s="673"/>
      <c r="U449" s="673"/>
      <c r="V449" s="673"/>
      <c r="W449" s="673"/>
      <c r="X449" s="673"/>
      <c r="Y449" s="673"/>
      <c r="Z449" s="673"/>
      <c r="AN449" s="673"/>
      <c r="AO449" s="673"/>
      <c r="AP449" s="673"/>
      <c r="AQ449" s="673"/>
      <c r="AR449" s="673"/>
      <c r="AS449" s="673"/>
      <c r="AT449" s="673"/>
      <c r="AU449" s="673"/>
      <c r="AV449" s="673"/>
      <c r="AW449" s="673"/>
      <c r="AX449" s="673"/>
      <c r="AY449" s="673"/>
      <c r="AZ449" s="674"/>
      <c r="BA449" s="674"/>
      <c r="BB449" s="665"/>
      <c r="BC449" s="665"/>
      <c r="BD449" s="665"/>
      <c r="BE449" s="665"/>
      <c r="BF449" s="665"/>
      <c r="BG449" s="665"/>
    </row>
    <row r="450" spans="6:59" ht="12" customHeight="1" x14ac:dyDescent="0.2">
      <c r="F450" s="582"/>
      <c r="M450" s="673"/>
      <c r="O450" s="673"/>
      <c r="P450" s="673"/>
      <c r="Q450" s="673"/>
      <c r="R450" s="673"/>
      <c r="S450" s="673"/>
      <c r="U450" s="673"/>
      <c r="V450" s="673"/>
      <c r="W450" s="673"/>
      <c r="X450" s="673"/>
      <c r="Y450" s="673"/>
      <c r="Z450" s="673"/>
      <c r="AN450" s="673"/>
      <c r="AO450" s="673"/>
      <c r="AP450" s="673"/>
      <c r="AQ450" s="673"/>
      <c r="AR450" s="673"/>
      <c r="AS450" s="673"/>
      <c r="AT450" s="673"/>
      <c r="AU450" s="673"/>
      <c r="AV450" s="673"/>
      <c r="AW450" s="673"/>
      <c r="AX450" s="673"/>
      <c r="AY450" s="673"/>
      <c r="AZ450" s="674"/>
      <c r="BA450" s="674"/>
      <c r="BB450" s="665"/>
      <c r="BC450" s="665"/>
      <c r="BD450" s="665"/>
      <c r="BE450" s="665"/>
      <c r="BF450" s="665"/>
      <c r="BG450" s="665"/>
    </row>
    <row r="451" spans="6:59" ht="12" customHeight="1" x14ac:dyDescent="0.2">
      <c r="F451" s="582"/>
      <c r="M451" s="673"/>
      <c r="O451" s="673"/>
      <c r="P451" s="673"/>
      <c r="Q451" s="673"/>
      <c r="R451" s="673"/>
      <c r="S451" s="673"/>
      <c r="U451" s="673"/>
      <c r="V451" s="673"/>
      <c r="W451" s="673"/>
      <c r="X451" s="673"/>
      <c r="Y451" s="673"/>
      <c r="Z451" s="673"/>
      <c r="AN451" s="673"/>
      <c r="AO451" s="673"/>
      <c r="AP451" s="673"/>
      <c r="AQ451" s="673"/>
      <c r="AR451" s="673"/>
      <c r="AS451" s="673"/>
      <c r="AT451" s="673"/>
      <c r="AU451" s="673"/>
      <c r="AV451" s="673"/>
      <c r="AW451" s="673"/>
      <c r="AX451" s="673"/>
      <c r="AY451" s="673"/>
      <c r="AZ451" s="674"/>
      <c r="BA451" s="674"/>
      <c r="BB451" s="665"/>
      <c r="BC451" s="665"/>
      <c r="BD451" s="665"/>
      <c r="BE451" s="665"/>
      <c r="BF451" s="665"/>
      <c r="BG451" s="665"/>
    </row>
    <row r="452" spans="6:59" ht="12" customHeight="1" x14ac:dyDescent="0.2">
      <c r="F452" s="582"/>
      <c r="M452" s="673"/>
      <c r="O452" s="673"/>
      <c r="P452" s="673"/>
      <c r="Q452" s="673"/>
      <c r="R452" s="673"/>
      <c r="S452" s="673"/>
      <c r="U452" s="673"/>
      <c r="V452" s="673"/>
      <c r="W452" s="673"/>
      <c r="X452" s="673"/>
      <c r="Y452" s="673"/>
      <c r="Z452" s="673"/>
      <c r="AN452" s="673"/>
      <c r="AO452" s="673"/>
      <c r="AP452" s="673"/>
      <c r="AQ452" s="673"/>
      <c r="AR452" s="673"/>
      <c r="AS452" s="673"/>
      <c r="AT452" s="673"/>
      <c r="AU452" s="673"/>
      <c r="AV452" s="673"/>
      <c r="AW452" s="673"/>
      <c r="AX452" s="673"/>
      <c r="AY452" s="673"/>
      <c r="AZ452" s="674"/>
      <c r="BA452" s="674"/>
      <c r="BB452" s="665"/>
      <c r="BC452" s="665"/>
      <c r="BD452" s="665"/>
      <c r="BE452" s="665"/>
      <c r="BF452" s="665"/>
      <c r="BG452" s="665"/>
    </row>
    <row r="453" spans="6:59" ht="12" customHeight="1" x14ac:dyDescent="0.2">
      <c r="F453" s="582"/>
      <c r="M453" s="673"/>
      <c r="O453" s="673"/>
      <c r="P453" s="673"/>
      <c r="Q453" s="673"/>
      <c r="R453" s="673"/>
      <c r="S453" s="673"/>
      <c r="U453" s="673"/>
      <c r="V453" s="673"/>
      <c r="W453" s="673"/>
      <c r="X453" s="673"/>
      <c r="Y453" s="673"/>
      <c r="Z453" s="673"/>
      <c r="AN453" s="673"/>
      <c r="AO453" s="673"/>
      <c r="AP453" s="673"/>
      <c r="AQ453" s="673"/>
      <c r="AR453" s="673"/>
      <c r="AS453" s="673"/>
      <c r="AT453" s="673"/>
      <c r="AU453" s="673"/>
      <c r="AV453" s="673"/>
      <c r="AW453" s="673"/>
      <c r="AX453" s="673"/>
      <c r="AY453" s="673"/>
      <c r="AZ453" s="674"/>
      <c r="BA453" s="674"/>
      <c r="BB453" s="665"/>
      <c r="BC453" s="665"/>
      <c r="BD453" s="665"/>
      <c r="BE453" s="665"/>
      <c r="BF453" s="665"/>
      <c r="BG453" s="665"/>
    </row>
    <row r="454" spans="6:59" ht="12" customHeight="1" x14ac:dyDescent="0.2">
      <c r="F454" s="582"/>
      <c r="M454" s="673"/>
      <c r="O454" s="673"/>
      <c r="P454" s="673"/>
      <c r="Q454" s="673"/>
      <c r="R454" s="673"/>
      <c r="S454" s="673"/>
      <c r="U454" s="673"/>
      <c r="V454" s="673"/>
      <c r="W454" s="673"/>
      <c r="X454" s="673"/>
      <c r="Y454" s="673"/>
      <c r="Z454" s="673"/>
      <c r="AN454" s="673"/>
      <c r="AO454" s="673"/>
      <c r="AP454" s="673"/>
      <c r="AQ454" s="673"/>
      <c r="AR454" s="673"/>
      <c r="AS454" s="673"/>
      <c r="AT454" s="673"/>
      <c r="AU454" s="673"/>
      <c r="AV454" s="673"/>
      <c r="AW454" s="673"/>
      <c r="AX454" s="673"/>
      <c r="AY454" s="673"/>
      <c r="AZ454" s="674"/>
      <c r="BA454" s="674"/>
      <c r="BB454" s="665"/>
      <c r="BC454" s="665"/>
      <c r="BD454" s="665"/>
      <c r="BE454" s="665"/>
      <c r="BF454" s="665"/>
      <c r="BG454" s="665"/>
    </row>
    <row r="455" spans="6:59" ht="12" customHeight="1" x14ac:dyDescent="0.2">
      <c r="F455" s="582"/>
      <c r="M455" s="673"/>
      <c r="O455" s="673"/>
      <c r="P455" s="673"/>
      <c r="Q455" s="673"/>
      <c r="R455" s="673"/>
      <c r="S455" s="673"/>
      <c r="U455" s="673"/>
      <c r="V455" s="673"/>
      <c r="W455" s="673"/>
      <c r="X455" s="673"/>
      <c r="Y455" s="673"/>
      <c r="Z455" s="673"/>
      <c r="AN455" s="673"/>
      <c r="AO455" s="673"/>
      <c r="AP455" s="673"/>
      <c r="AQ455" s="673"/>
      <c r="AR455" s="673"/>
      <c r="AS455" s="673"/>
      <c r="AT455" s="673"/>
      <c r="AU455" s="673"/>
      <c r="AV455" s="673"/>
      <c r="AW455" s="673"/>
      <c r="AX455" s="673"/>
      <c r="AY455" s="673"/>
      <c r="AZ455" s="674"/>
      <c r="BA455" s="674"/>
      <c r="BB455" s="665"/>
      <c r="BC455" s="665"/>
      <c r="BD455" s="665"/>
      <c r="BE455" s="665"/>
      <c r="BF455" s="665"/>
      <c r="BG455" s="665"/>
    </row>
    <row r="456" spans="6:59" ht="12" customHeight="1" x14ac:dyDescent="0.2">
      <c r="F456" s="582"/>
      <c r="M456" s="673"/>
      <c r="O456" s="673"/>
      <c r="P456" s="673"/>
      <c r="Q456" s="673"/>
      <c r="R456" s="673"/>
      <c r="S456" s="673"/>
      <c r="U456" s="673"/>
      <c r="V456" s="673"/>
      <c r="W456" s="673"/>
      <c r="X456" s="673"/>
      <c r="Y456" s="673"/>
      <c r="Z456" s="673"/>
      <c r="AN456" s="673"/>
      <c r="AO456" s="673"/>
      <c r="AP456" s="673"/>
      <c r="AQ456" s="673"/>
      <c r="AR456" s="673"/>
      <c r="AS456" s="673"/>
      <c r="AT456" s="673"/>
      <c r="AU456" s="673"/>
      <c r="AV456" s="673"/>
      <c r="AW456" s="673"/>
      <c r="AX456" s="673"/>
      <c r="AY456" s="673"/>
      <c r="AZ456" s="674"/>
      <c r="BA456" s="674"/>
      <c r="BB456" s="665"/>
      <c r="BC456" s="665"/>
      <c r="BD456" s="665"/>
      <c r="BE456" s="665"/>
      <c r="BF456" s="665"/>
      <c r="BG456" s="665"/>
    </row>
    <row r="457" spans="6:59" ht="12" customHeight="1" x14ac:dyDescent="0.2">
      <c r="F457" s="582"/>
      <c r="M457" s="673"/>
      <c r="O457" s="673"/>
      <c r="P457" s="673"/>
      <c r="Q457" s="673"/>
      <c r="R457" s="673"/>
      <c r="S457" s="673"/>
      <c r="U457" s="673"/>
      <c r="V457" s="673"/>
      <c r="W457" s="673"/>
      <c r="X457" s="673"/>
      <c r="Y457" s="673"/>
      <c r="Z457" s="673"/>
      <c r="AN457" s="673"/>
      <c r="AO457" s="673"/>
      <c r="AP457" s="673"/>
      <c r="AQ457" s="673"/>
      <c r="AR457" s="673"/>
      <c r="AS457" s="673"/>
      <c r="AT457" s="673"/>
      <c r="AU457" s="673"/>
      <c r="AV457" s="673"/>
      <c r="AW457" s="673"/>
      <c r="AX457" s="673"/>
      <c r="AY457" s="673"/>
      <c r="AZ457" s="674"/>
      <c r="BA457" s="674"/>
      <c r="BB457" s="665"/>
      <c r="BC457" s="665"/>
      <c r="BD457" s="665"/>
      <c r="BE457" s="665"/>
      <c r="BF457" s="665"/>
      <c r="BG457" s="665"/>
    </row>
    <row r="458" spans="6:59" ht="12" customHeight="1" x14ac:dyDescent="0.2">
      <c r="F458" s="582"/>
      <c r="M458" s="673"/>
      <c r="O458" s="673"/>
      <c r="P458" s="673"/>
      <c r="Q458" s="673"/>
      <c r="R458" s="673"/>
      <c r="S458" s="673"/>
      <c r="U458" s="673"/>
      <c r="V458" s="673"/>
      <c r="W458" s="673"/>
      <c r="X458" s="673"/>
      <c r="Y458" s="673"/>
      <c r="Z458" s="673"/>
      <c r="AN458" s="673"/>
      <c r="AO458" s="673"/>
      <c r="AP458" s="673"/>
      <c r="AQ458" s="673"/>
      <c r="AR458" s="673"/>
      <c r="AS458" s="673"/>
      <c r="AT458" s="673"/>
      <c r="AU458" s="673"/>
      <c r="AV458" s="673"/>
      <c r="AW458" s="673"/>
      <c r="AX458" s="673"/>
      <c r="AY458" s="673"/>
      <c r="AZ458" s="674"/>
      <c r="BA458" s="674"/>
      <c r="BB458" s="665"/>
      <c r="BC458" s="665"/>
      <c r="BD458" s="665"/>
      <c r="BE458" s="665"/>
      <c r="BF458" s="665"/>
      <c r="BG458" s="665"/>
    </row>
    <row r="459" spans="6:59" ht="12" customHeight="1" x14ac:dyDescent="0.2">
      <c r="F459" s="582"/>
      <c r="M459" s="673"/>
      <c r="O459" s="673"/>
      <c r="P459" s="673"/>
      <c r="Q459" s="673"/>
      <c r="R459" s="673"/>
      <c r="S459" s="673"/>
      <c r="U459" s="673"/>
      <c r="V459" s="673"/>
      <c r="W459" s="673"/>
      <c r="X459" s="673"/>
      <c r="Y459" s="673"/>
      <c r="Z459" s="673"/>
      <c r="AN459" s="673"/>
      <c r="AO459" s="673"/>
      <c r="AP459" s="673"/>
      <c r="AQ459" s="673"/>
      <c r="AR459" s="673"/>
      <c r="AS459" s="673"/>
      <c r="AT459" s="673"/>
      <c r="AU459" s="673"/>
      <c r="AV459" s="673"/>
      <c r="AW459" s="673"/>
      <c r="AX459" s="673"/>
      <c r="AY459" s="673"/>
      <c r="AZ459" s="674"/>
      <c r="BA459" s="674"/>
      <c r="BB459" s="665"/>
      <c r="BC459" s="665"/>
      <c r="BD459" s="665"/>
      <c r="BE459" s="665"/>
      <c r="BF459" s="665"/>
      <c r="BG459" s="665"/>
    </row>
    <row r="460" spans="6:59" ht="12" customHeight="1" x14ac:dyDescent="0.2">
      <c r="F460" s="582"/>
      <c r="M460" s="673"/>
      <c r="O460" s="673"/>
      <c r="P460" s="673"/>
      <c r="Q460" s="673"/>
      <c r="R460" s="673"/>
      <c r="S460" s="673"/>
      <c r="U460" s="673"/>
      <c r="V460" s="673"/>
      <c r="W460" s="673"/>
      <c r="X460" s="673"/>
      <c r="Y460" s="673"/>
      <c r="Z460" s="673"/>
      <c r="AN460" s="673"/>
      <c r="AO460" s="673"/>
      <c r="AP460" s="673"/>
      <c r="AQ460" s="673"/>
      <c r="AR460" s="673"/>
      <c r="AS460" s="673"/>
      <c r="AT460" s="673"/>
      <c r="AU460" s="673"/>
      <c r="AV460" s="673"/>
      <c r="AW460" s="673"/>
      <c r="AX460" s="673"/>
      <c r="AY460" s="673"/>
      <c r="AZ460" s="674"/>
      <c r="BA460" s="674"/>
      <c r="BB460" s="665"/>
      <c r="BC460" s="665"/>
      <c r="BD460" s="665"/>
      <c r="BE460" s="665"/>
      <c r="BF460" s="665"/>
      <c r="BG460" s="665"/>
    </row>
    <row r="461" spans="6:59" ht="12" customHeight="1" x14ac:dyDescent="0.2">
      <c r="F461" s="582"/>
      <c r="M461" s="673"/>
      <c r="O461" s="673"/>
      <c r="P461" s="673"/>
      <c r="Q461" s="673"/>
      <c r="R461" s="673"/>
      <c r="S461" s="673"/>
      <c r="U461" s="673"/>
      <c r="V461" s="673"/>
      <c r="W461" s="673"/>
      <c r="X461" s="673"/>
      <c r="Y461" s="673"/>
      <c r="Z461" s="673"/>
      <c r="AN461" s="673"/>
      <c r="AO461" s="673"/>
      <c r="AP461" s="673"/>
      <c r="AQ461" s="673"/>
      <c r="AR461" s="673"/>
      <c r="AS461" s="673"/>
      <c r="AT461" s="673"/>
      <c r="AU461" s="673"/>
      <c r="AV461" s="673"/>
      <c r="AW461" s="673"/>
      <c r="AX461" s="673"/>
      <c r="AY461" s="673"/>
      <c r="AZ461" s="674"/>
      <c r="BA461" s="674"/>
      <c r="BB461" s="665"/>
      <c r="BC461" s="665"/>
      <c r="BD461" s="665"/>
      <c r="BE461" s="665"/>
      <c r="BF461" s="665"/>
      <c r="BG461" s="665"/>
    </row>
    <row r="462" spans="6:59" ht="12" customHeight="1" x14ac:dyDescent="0.2">
      <c r="F462" s="582"/>
      <c r="M462" s="673"/>
      <c r="O462" s="673"/>
      <c r="P462" s="673"/>
      <c r="Q462" s="673"/>
      <c r="R462" s="673"/>
      <c r="S462" s="673"/>
      <c r="U462" s="673"/>
      <c r="V462" s="673"/>
      <c r="W462" s="673"/>
      <c r="X462" s="673"/>
      <c r="Y462" s="673"/>
      <c r="Z462" s="673"/>
      <c r="AN462" s="673"/>
      <c r="AO462" s="673"/>
      <c r="AP462" s="673"/>
      <c r="AQ462" s="673"/>
      <c r="AR462" s="673"/>
      <c r="AS462" s="673"/>
      <c r="AT462" s="673"/>
      <c r="AU462" s="673"/>
      <c r="AV462" s="673"/>
      <c r="AW462" s="673"/>
      <c r="AX462" s="673"/>
      <c r="AY462" s="673"/>
      <c r="AZ462" s="674"/>
      <c r="BA462" s="674"/>
      <c r="BB462" s="665"/>
      <c r="BC462" s="665"/>
      <c r="BD462" s="665"/>
      <c r="BE462" s="665"/>
      <c r="BF462" s="665"/>
      <c r="BG462" s="665"/>
    </row>
    <row r="463" spans="6:59" ht="12" customHeight="1" x14ac:dyDescent="0.2">
      <c r="F463" s="582"/>
      <c r="M463" s="673"/>
      <c r="O463" s="673"/>
      <c r="P463" s="673"/>
      <c r="Q463" s="673"/>
      <c r="R463" s="673"/>
      <c r="S463" s="673"/>
      <c r="U463" s="673"/>
      <c r="V463" s="673"/>
      <c r="W463" s="673"/>
      <c r="X463" s="673"/>
      <c r="Y463" s="673"/>
      <c r="Z463" s="673"/>
      <c r="AN463" s="673"/>
      <c r="AO463" s="673"/>
      <c r="AP463" s="673"/>
      <c r="AQ463" s="673"/>
      <c r="AR463" s="673"/>
      <c r="AS463" s="673"/>
      <c r="AT463" s="673"/>
      <c r="AU463" s="673"/>
      <c r="AV463" s="673"/>
      <c r="AW463" s="673"/>
      <c r="AX463" s="673"/>
      <c r="AY463" s="673"/>
      <c r="AZ463" s="674"/>
      <c r="BA463" s="674"/>
      <c r="BB463" s="665"/>
      <c r="BC463" s="665"/>
      <c r="BD463" s="665"/>
      <c r="BE463" s="665"/>
      <c r="BF463" s="665"/>
      <c r="BG463" s="665"/>
    </row>
    <row r="464" spans="6:59" ht="12" customHeight="1" x14ac:dyDescent="0.2">
      <c r="F464" s="582"/>
      <c r="M464" s="673"/>
      <c r="O464" s="673"/>
      <c r="P464" s="673"/>
      <c r="Q464" s="673"/>
      <c r="R464" s="673"/>
      <c r="S464" s="673"/>
      <c r="U464" s="673"/>
      <c r="V464" s="673"/>
      <c r="W464" s="673"/>
      <c r="X464" s="673"/>
      <c r="Y464" s="673"/>
      <c r="Z464" s="673"/>
      <c r="AN464" s="673"/>
      <c r="AO464" s="673"/>
      <c r="AP464" s="673"/>
      <c r="AQ464" s="673"/>
      <c r="AR464" s="673"/>
      <c r="AS464" s="673"/>
      <c r="AT464" s="673"/>
      <c r="AU464" s="673"/>
      <c r="AV464" s="673"/>
      <c r="AW464" s="673"/>
      <c r="AX464" s="673"/>
      <c r="AY464" s="673"/>
      <c r="AZ464" s="674"/>
      <c r="BA464" s="674"/>
      <c r="BB464" s="665"/>
      <c r="BC464" s="665"/>
      <c r="BD464" s="665"/>
      <c r="BE464" s="665"/>
      <c r="BF464" s="665"/>
      <c r="BG464" s="665"/>
    </row>
    <row r="465" spans="6:59" ht="12" customHeight="1" x14ac:dyDescent="0.2">
      <c r="F465" s="582"/>
      <c r="M465" s="673"/>
      <c r="O465" s="673"/>
      <c r="P465" s="673"/>
      <c r="Q465" s="673"/>
      <c r="R465" s="673"/>
      <c r="S465" s="673"/>
      <c r="U465" s="673"/>
      <c r="V465" s="673"/>
      <c r="W465" s="673"/>
      <c r="X465" s="673"/>
      <c r="Y465" s="673"/>
      <c r="Z465" s="673"/>
      <c r="AN465" s="673"/>
      <c r="AO465" s="673"/>
      <c r="AP465" s="673"/>
      <c r="AQ465" s="673"/>
      <c r="AR465" s="673"/>
      <c r="AS465" s="673"/>
      <c r="AT465" s="673"/>
      <c r="AU465" s="673"/>
      <c r="AV465" s="673"/>
      <c r="AW465" s="673"/>
      <c r="AX465" s="673"/>
      <c r="AY465" s="673"/>
      <c r="AZ465" s="674"/>
      <c r="BA465" s="674"/>
      <c r="BB465" s="665"/>
      <c r="BC465" s="665"/>
      <c r="BD465" s="665"/>
      <c r="BE465" s="665"/>
      <c r="BF465" s="665"/>
      <c r="BG465" s="665"/>
    </row>
    <row r="466" spans="6:59" ht="12" customHeight="1" x14ac:dyDescent="0.2">
      <c r="F466" s="582"/>
      <c r="M466" s="673"/>
      <c r="O466" s="673"/>
      <c r="P466" s="673"/>
      <c r="Q466" s="673"/>
      <c r="R466" s="673"/>
      <c r="S466" s="673"/>
      <c r="U466" s="673"/>
      <c r="V466" s="673"/>
      <c r="W466" s="673"/>
      <c r="X466" s="673"/>
      <c r="Y466" s="673"/>
      <c r="Z466" s="673"/>
      <c r="AN466" s="673"/>
      <c r="AO466" s="673"/>
      <c r="AP466" s="673"/>
      <c r="AQ466" s="673"/>
      <c r="AR466" s="673"/>
      <c r="AS466" s="673"/>
      <c r="AT466" s="673"/>
      <c r="AU466" s="673"/>
      <c r="AV466" s="673"/>
      <c r="AW466" s="673"/>
      <c r="AX466" s="673"/>
      <c r="AY466" s="673"/>
      <c r="AZ466" s="674"/>
      <c r="BA466" s="674"/>
      <c r="BB466" s="665"/>
      <c r="BC466" s="665"/>
      <c r="BD466" s="665"/>
      <c r="BE466" s="665"/>
      <c r="BF466" s="665"/>
      <c r="BG466" s="665"/>
    </row>
    <row r="467" spans="6:59" ht="12" customHeight="1" x14ac:dyDescent="0.2">
      <c r="F467" s="582"/>
      <c r="M467" s="673"/>
      <c r="O467" s="673"/>
      <c r="P467" s="673"/>
      <c r="Q467" s="673"/>
      <c r="R467" s="673"/>
      <c r="S467" s="673"/>
      <c r="U467" s="673"/>
      <c r="V467" s="673"/>
      <c r="W467" s="673"/>
      <c r="X467" s="673"/>
      <c r="Y467" s="673"/>
      <c r="Z467" s="673"/>
      <c r="AN467" s="673"/>
      <c r="AO467" s="673"/>
      <c r="AP467" s="673"/>
      <c r="AQ467" s="673"/>
      <c r="AR467" s="673"/>
      <c r="AS467" s="673"/>
      <c r="AT467" s="673"/>
      <c r="AU467" s="673"/>
      <c r="AV467" s="673"/>
      <c r="AW467" s="673"/>
      <c r="AX467" s="673"/>
      <c r="AY467" s="673"/>
      <c r="AZ467" s="674"/>
      <c r="BA467" s="674"/>
      <c r="BB467" s="665"/>
      <c r="BC467" s="665"/>
      <c r="BD467" s="665"/>
      <c r="BE467" s="665"/>
      <c r="BF467" s="665"/>
      <c r="BG467" s="665"/>
    </row>
    <row r="468" spans="6:59" ht="12" customHeight="1" x14ac:dyDescent="0.2">
      <c r="F468" s="582"/>
      <c r="M468" s="673"/>
      <c r="O468" s="673"/>
      <c r="P468" s="673"/>
      <c r="Q468" s="673"/>
      <c r="R468" s="673"/>
      <c r="S468" s="673"/>
      <c r="U468" s="673"/>
      <c r="V468" s="673"/>
      <c r="W468" s="673"/>
      <c r="X468" s="673"/>
      <c r="Y468" s="673"/>
      <c r="Z468" s="673"/>
      <c r="AN468" s="673"/>
      <c r="AO468" s="673"/>
      <c r="AP468" s="673"/>
      <c r="AQ468" s="673"/>
      <c r="AR468" s="673"/>
      <c r="AS468" s="673"/>
      <c r="AT468" s="673"/>
      <c r="AU468" s="673"/>
      <c r="AV468" s="673"/>
      <c r="AW468" s="673"/>
      <c r="AX468" s="673"/>
      <c r="AY468" s="673"/>
      <c r="AZ468" s="674"/>
      <c r="BA468" s="674"/>
      <c r="BB468" s="665"/>
      <c r="BC468" s="665"/>
      <c r="BD468" s="665"/>
      <c r="BE468" s="665"/>
      <c r="BF468" s="665"/>
      <c r="BG468" s="665"/>
    </row>
    <row r="469" spans="6:59" ht="12" customHeight="1" x14ac:dyDescent="0.2">
      <c r="F469" s="582"/>
      <c r="M469" s="673"/>
      <c r="O469" s="673"/>
      <c r="P469" s="673"/>
      <c r="Q469" s="673"/>
      <c r="R469" s="673"/>
      <c r="S469" s="673"/>
      <c r="U469" s="673"/>
      <c r="V469" s="673"/>
      <c r="W469" s="673"/>
      <c r="X469" s="673"/>
      <c r="Y469" s="673"/>
      <c r="Z469" s="673"/>
      <c r="AN469" s="673"/>
      <c r="AO469" s="673"/>
      <c r="AP469" s="673"/>
      <c r="AQ469" s="673"/>
      <c r="AR469" s="673"/>
      <c r="AS469" s="673"/>
      <c r="AT469" s="673"/>
      <c r="AU469" s="673"/>
      <c r="AV469" s="673"/>
      <c r="AW469" s="673"/>
      <c r="AX469" s="673"/>
      <c r="AY469" s="673"/>
      <c r="AZ469" s="674"/>
      <c r="BA469" s="674"/>
      <c r="BB469" s="665"/>
      <c r="BC469" s="665"/>
      <c r="BD469" s="665"/>
      <c r="BE469" s="665"/>
      <c r="BF469" s="665"/>
      <c r="BG469" s="665"/>
    </row>
    <row r="470" spans="6:59" ht="12" customHeight="1" x14ac:dyDescent="0.2">
      <c r="F470" s="582"/>
      <c r="M470" s="673"/>
      <c r="O470" s="673"/>
      <c r="P470" s="673"/>
      <c r="Q470" s="673"/>
      <c r="R470" s="673"/>
      <c r="S470" s="673"/>
      <c r="U470" s="673"/>
      <c r="V470" s="673"/>
      <c r="W470" s="673"/>
      <c r="X470" s="673"/>
      <c r="Y470" s="673"/>
      <c r="Z470" s="673"/>
      <c r="AN470" s="673"/>
      <c r="AO470" s="673"/>
      <c r="AP470" s="673"/>
      <c r="AQ470" s="673"/>
      <c r="AR470" s="673"/>
      <c r="AS470" s="673"/>
      <c r="AT470" s="673"/>
      <c r="AU470" s="673"/>
      <c r="AV470" s="673"/>
      <c r="AW470" s="673"/>
      <c r="AX470" s="673"/>
      <c r="AY470" s="673"/>
      <c r="AZ470" s="674"/>
      <c r="BA470" s="674"/>
      <c r="BB470" s="665"/>
      <c r="BC470" s="665"/>
      <c r="BD470" s="665"/>
      <c r="BE470" s="665"/>
      <c r="BF470" s="665"/>
      <c r="BG470" s="665"/>
    </row>
    <row r="471" spans="6:59" ht="12" customHeight="1" x14ac:dyDescent="0.2">
      <c r="F471" s="582"/>
      <c r="M471" s="673"/>
      <c r="O471" s="673"/>
      <c r="P471" s="673"/>
      <c r="Q471" s="673"/>
      <c r="R471" s="673"/>
      <c r="S471" s="673"/>
      <c r="U471" s="673"/>
      <c r="V471" s="673"/>
      <c r="W471" s="673"/>
      <c r="X471" s="673"/>
      <c r="Y471" s="673"/>
      <c r="Z471" s="673"/>
      <c r="AN471" s="673"/>
      <c r="AO471" s="673"/>
      <c r="AP471" s="673"/>
      <c r="AQ471" s="673"/>
      <c r="AR471" s="673"/>
      <c r="AS471" s="673"/>
      <c r="AT471" s="673"/>
      <c r="AU471" s="673"/>
      <c r="AV471" s="673"/>
      <c r="AW471" s="673"/>
      <c r="AX471" s="673"/>
      <c r="AY471" s="673"/>
      <c r="AZ471" s="674"/>
      <c r="BA471" s="674"/>
      <c r="BB471" s="665"/>
      <c r="BC471" s="665"/>
      <c r="BD471" s="665"/>
      <c r="BE471" s="665"/>
      <c r="BF471" s="665"/>
      <c r="BG471" s="665"/>
    </row>
    <row r="472" spans="6:59" ht="12" customHeight="1" x14ac:dyDescent="0.2">
      <c r="F472" s="582"/>
      <c r="M472" s="673"/>
      <c r="O472" s="673"/>
      <c r="P472" s="673"/>
      <c r="Q472" s="673"/>
      <c r="R472" s="673"/>
      <c r="S472" s="673"/>
      <c r="U472" s="673"/>
      <c r="V472" s="673"/>
      <c r="W472" s="673"/>
      <c r="X472" s="673"/>
      <c r="Y472" s="673"/>
      <c r="Z472" s="673"/>
      <c r="AN472" s="673"/>
      <c r="AO472" s="673"/>
      <c r="AP472" s="673"/>
      <c r="AQ472" s="673"/>
      <c r="AR472" s="673"/>
      <c r="AS472" s="673"/>
      <c r="AT472" s="673"/>
      <c r="AU472" s="673"/>
      <c r="AV472" s="673"/>
      <c r="AW472" s="673"/>
      <c r="AX472" s="673"/>
      <c r="AY472" s="673"/>
      <c r="AZ472" s="674"/>
      <c r="BA472" s="674"/>
      <c r="BB472" s="665"/>
      <c r="BC472" s="665"/>
      <c r="BD472" s="665"/>
      <c r="BE472" s="665"/>
      <c r="BF472" s="665"/>
      <c r="BG472" s="665"/>
    </row>
    <row r="473" spans="6:59" ht="12" customHeight="1" x14ac:dyDescent="0.2">
      <c r="F473" s="582"/>
      <c r="M473" s="673"/>
      <c r="O473" s="673"/>
      <c r="P473" s="673"/>
      <c r="Q473" s="673"/>
      <c r="R473" s="673"/>
      <c r="S473" s="673"/>
      <c r="U473" s="673"/>
      <c r="V473" s="673"/>
      <c r="W473" s="673"/>
      <c r="X473" s="673"/>
      <c r="Y473" s="673"/>
      <c r="Z473" s="673"/>
      <c r="AN473" s="673"/>
      <c r="AO473" s="673"/>
      <c r="AP473" s="673"/>
      <c r="AQ473" s="673"/>
      <c r="AR473" s="673"/>
      <c r="AS473" s="673"/>
      <c r="AT473" s="673"/>
      <c r="AU473" s="673"/>
      <c r="AV473" s="673"/>
      <c r="AW473" s="673"/>
      <c r="AX473" s="673"/>
      <c r="AY473" s="673"/>
      <c r="AZ473" s="674"/>
      <c r="BA473" s="674"/>
      <c r="BB473" s="665"/>
      <c r="BC473" s="665"/>
      <c r="BD473" s="665"/>
      <c r="BE473" s="665"/>
      <c r="BF473" s="665"/>
      <c r="BG473" s="665"/>
    </row>
    <row r="474" spans="6:59" ht="12" customHeight="1" x14ac:dyDescent="0.2">
      <c r="F474" s="582"/>
      <c r="M474" s="673"/>
      <c r="O474" s="673"/>
      <c r="P474" s="673"/>
      <c r="Q474" s="673"/>
      <c r="R474" s="673"/>
      <c r="S474" s="673"/>
      <c r="U474" s="673"/>
      <c r="V474" s="673"/>
      <c r="W474" s="673"/>
      <c r="X474" s="673"/>
      <c r="Y474" s="673"/>
      <c r="Z474" s="673"/>
      <c r="AN474" s="673"/>
      <c r="AO474" s="673"/>
      <c r="AP474" s="673"/>
      <c r="AQ474" s="673"/>
      <c r="AR474" s="673"/>
      <c r="AS474" s="673"/>
      <c r="AT474" s="673"/>
      <c r="AU474" s="673"/>
      <c r="AV474" s="673"/>
      <c r="AW474" s="673"/>
      <c r="AX474" s="673"/>
      <c r="AY474" s="673"/>
      <c r="AZ474" s="674"/>
      <c r="BA474" s="674"/>
      <c r="BB474" s="665"/>
      <c r="BC474" s="665"/>
      <c r="BD474" s="665"/>
      <c r="BE474" s="665"/>
      <c r="BF474" s="665"/>
      <c r="BG474" s="665"/>
    </row>
    <row r="475" spans="6:59" ht="12" customHeight="1" x14ac:dyDescent="0.2">
      <c r="F475" s="582"/>
      <c r="M475" s="673"/>
      <c r="O475" s="673"/>
      <c r="P475" s="673"/>
      <c r="Q475" s="673"/>
      <c r="R475" s="673"/>
      <c r="S475" s="673"/>
      <c r="U475" s="673"/>
      <c r="V475" s="673"/>
      <c r="W475" s="673"/>
      <c r="X475" s="673"/>
      <c r="Y475" s="673"/>
      <c r="Z475" s="673"/>
      <c r="AN475" s="673"/>
      <c r="AO475" s="673"/>
      <c r="AP475" s="673"/>
      <c r="AQ475" s="673"/>
      <c r="AR475" s="673"/>
      <c r="AS475" s="673"/>
      <c r="AT475" s="673"/>
      <c r="AU475" s="673"/>
      <c r="AV475" s="673"/>
      <c r="AW475" s="673"/>
      <c r="AX475" s="673"/>
      <c r="AY475" s="673"/>
      <c r="AZ475" s="674"/>
      <c r="BA475" s="674"/>
      <c r="BB475" s="665"/>
      <c r="BC475" s="665"/>
      <c r="BD475" s="665"/>
      <c r="BE475" s="665"/>
      <c r="BF475" s="665"/>
      <c r="BG475" s="665"/>
    </row>
    <row r="476" spans="6:59" ht="12" customHeight="1" x14ac:dyDescent="0.2">
      <c r="F476" s="582"/>
      <c r="M476" s="673"/>
      <c r="O476" s="673"/>
      <c r="P476" s="673"/>
      <c r="Q476" s="673"/>
      <c r="R476" s="673"/>
      <c r="S476" s="673"/>
      <c r="U476" s="673"/>
      <c r="V476" s="673"/>
      <c r="W476" s="673"/>
      <c r="X476" s="673"/>
      <c r="Y476" s="673"/>
      <c r="Z476" s="673"/>
      <c r="AN476" s="673"/>
      <c r="AO476" s="673"/>
      <c r="AP476" s="673"/>
      <c r="AQ476" s="673"/>
      <c r="AR476" s="673"/>
      <c r="AS476" s="673"/>
      <c r="AT476" s="673"/>
      <c r="AU476" s="673"/>
      <c r="AV476" s="673"/>
      <c r="AW476" s="673"/>
      <c r="AX476" s="673"/>
      <c r="AY476" s="673"/>
      <c r="AZ476" s="674"/>
      <c r="BA476" s="674"/>
      <c r="BB476" s="665"/>
      <c r="BC476" s="665"/>
      <c r="BD476" s="665"/>
      <c r="BE476" s="665"/>
      <c r="BF476" s="665"/>
      <c r="BG476" s="665"/>
    </row>
    <row r="477" spans="6:59" ht="12" customHeight="1" x14ac:dyDescent="0.2">
      <c r="F477" s="582"/>
      <c r="M477" s="673"/>
      <c r="O477" s="673"/>
      <c r="P477" s="673"/>
      <c r="Q477" s="673"/>
      <c r="R477" s="673"/>
      <c r="S477" s="673"/>
      <c r="U477" s="673"/>
      <c r="V477" s="673"/>
      <c r="W477" s="673"/>
      <c r="X477" s="673"/>
      <c r="Y477" s="673"/>
      <c r="Z477" s="673"/>
      <c r="AN477" s="673"/>
      <c r="AO477" s="673"/>
      <c r="AP477" s="673"/>
      <c r="AQ477" s="673"/>
      <c r="AR477" s="673"/>
      <c r="AS477" s="673"/>
      <c r="AT477" s="673"/>
      <c r="AU477" s="673"/>
      <c r="AV477" s="673"/>
      <c r="AW477" s="673"/>
      <c r="AX477" s="673"/>
      <c r="AY477" s="673"/>
      <c r="AZ477" s="674"/>
      <c r="BA477" s="674"/>
      <c r="BB477" s="665"/>
      <c r="BC477" s="665"/>
      <c r="BD477" s="665"/>
      <c r="BE477" s="665"/>
      <c r="BF477" s="665"/>
      <c r="BG477" s="665"/>
    </row>
    <row r="478" spans="6:59" ht="12" customHeight="1" x14ac:dyDescent="0.2">
      <c r="F478" s="582"/>
      <c r="M478" s="673"/>
      <c r="N478" s="582"/>
      <c r="O478" s="673"/>
      <c r="P478" s="673"/>
      <c r="Q478" s="673"/>
      <c r="R478" s="673"/>
      <c r="S478" s="673"/>
      <c r="U478" s="673"/>
      <c r="V478" s="673"/>
      <c r="W478" s="673"/>
      <c r="X478" s="673"/>
      <c r="Y478" s="673"/>
      <c r="Z478" s="673"/>
      <c r="AN478" s="673"/>
      <c r="AO478" s="673"/>
      <c r="AP478" s="673"/>
      <c r="AQ478" s="673"/>
      <c r="AR478" s="673"/>
      <c r="AS478" s="673"/>
      <c r="AT478" s="673"/>
      <c r="AU478" s="673"/>
      <c r="AV478" s="673"/>
      <c r="AW478" s="673"/>
      <c r="AX478" s="673"/>
      <c r="AY478" s="673"/>
      <c r="AZ478" s="674"/>
      <c r="BA478" s="674"/>
      <c r="BB478" s="665"/>
      <c r="BC478" s="665"/>
      <c r="BD478" s="665"/>
      <c r="BE478" s="665"/>
      <c r="BF478" s="665"/>
      <c r="BG478" s="665"/>
    </row>
    <row r="479" spans="6:59" ht="12" customHeight="1" x14ac:dyDescent="0.2">
      <c r="F479" s="582"/>
      <c r="M479" s="673"/>
      <c r="N479" s="582"/>
      <c r="O479" s="673"/>
      <c r="P479" s="673"/>
      <c r="Q479" s="673"/>
      <c r="R479" s="673"/>
      <c r="S479" s="673"/>
      <c r="T479" s="673"/>
      <c r="U479" s="673"/>
      <c r="V479" s="673"/>
      <c r="W479" s="673"/>
      <c r="X479" s="673"/>
      <c r="Y479" s="673"/>
      <c r="Z479" s="673"/>
      <c r="AN479" s="673"/>
      <c r="AO479" s="673"/>
      <c r="AP479" s="673"/>
      <c r="AQ479" s="673"/>
      <c r="AR479" s="673"/>
      <c r="AS479" s="673"/>
      <c r="AT479" s="673"/>
      <c r="AU479" s="673"/>
      <c r="AV479" s="673"/>
      <c r="AW479" s="673"/>
      <c r="AX479" s="673"/>
      <c r="AY479" s="673"/>
      <c r="AZ479" s="674"/>
      <c r="BA479" s="674"/>
      <c r="BB479" s="665"/>
      <c r="BC479" s="665"/>
      <c r="BD479" s="665"/>
      <c r="BE479" s="665"/>
      <c r="BF479" s="665"/>
      <c r="BG479" s="665"/>
    </row>
    <row r="480" spans="6:59" ht="12" customHeight="1" x14ac:dyDescent="0.2">
      <c r="F480" s="582"/>
      <c r="M480" s="680"/>
      <c r="N480" s="582"/>
      <c r="O480" s="672"/>
      <c r="P480" s="672"/>
      <c r="Q480" s="672"/>
      <c r="R480" s="672"/>
      <c r="S480" s="672"/>
      <c r="T480" s="672"/>
      <c r="U480" s="672"/>
      <c r="V480" s="672"/>
      <c r="W480" s="672"/>
      <c r="X480" s="672"/>
      <c r="Y480" s="672"/>
      <c r="Z480" s="672"/>
      <c r="AN480" s="672"/>
      <c r="AO480" s="672"/>
      <c r="AP480" s="672"/>
      <c r="AQ480" s="672"/>
      <c r="AR480" s="672"/>
      <c r="AS480" s="672"/>
      <c r="AT480" s="672"/>
      <c r="AU480" s="672"/>
      <c r="AV480" s="672"/>
      <c r="AW480" s="672"/>
      <c r="AX480" s="680"/>
      <c r="AY480" s="680"/>
      <c r="AZ480" s="665"/>
      <c r="BA480" s="665"/>
      <c r="BB480" s="665"/>
      <c r="BC480" s="665"/>
      <c r="BD480" s="665"/>
      <c r="BE480" s="665"/>
      <c r="BF480" s="665"/>
      <c r="BG480" s="665"/>
    </row>
    <row r="481" spans="6:59" ht="12" customHeight="1" x14ac:dyDescent="0.2">
      <c r="F481" s="582"/>
      <c r="M481" s="680"/>
      <c r="N481" s="582"/>
      <c r="O481" s="672"/>
      <c r="P481" s="672"/>
      <c r="Q481" s="672"/>
      <c r="R481" s="672"/>
      <c r="S481" s="672"/>
      <c r="T481" s="672"/>
      <c r="U481" s="672"/>
      <c r="V481" s="672"/>
      <c r="W481" s="672"/>
      <c r="X481" s="672"/>
      <c r="Y481" s="672"/>
      <c r="Z481" s="672"/>
      <c r="AN481" s="672"/>
      <c r="AO481" s="672"/>
      <c r="AP481" s="672"/>
      <c r="AQ481" s="672"/>
      <c r="AR481" s="672"/>
      <c r="AS481" s="672"/>
      <c r="AT481" s="672"/>
      <c r="AU481" s="672"/>
      <c r="AV481" s="672"/>
      <c r="AW481" s="672"/>
      <c r="AX481" s="680"/>
      <c r="AY481" s="680"/>
      <c r="AZ481" s="665"/>
      <c r="BA481" s="665"/>
      <c r="BB481" s="665"/>
      <c r="BC481" s="665"/>
      <c r="BD481" s="665"/>
      <c r="BE481" s="665"/>
      <c r="BF481" s="665"/>
      <c r="BG481" s="665"/>
    </row>
    <row r="482" spans="6:59" ht="12" customHeight="1" x14ac:dyDescent="0.2">
      <c r="F482" s="582"/>
      <c r="M482" s="680"/>
      <c r="N482" s="582"/>
      <c r="O482" s="672"/>
      <c r="P482" s="672"/>
      <c r="Q482" s="672"/>
      <c r="R482" s="672"/>
      <c r="S482" s="672"/>
      <c r="T482" s="672"/>
      <c r="U482" s="672"/>
      <c r="V482" s="672"/>
      <c r="W482" s="672"/>
      <c r="X482" s="672"/>
      <c r="Y482" s="672"/>
      <c r="Z482" s="672"/>
      <c r="AN482" s="672"/>
      <c r="AO482" s="672"/>
      <c r="AP482" s="672"/>
      <c r="AQ482" s="672"/>
      <c r="AR482" s="672"/>
      <c r="AS482" s="672"/>
      <c r="AT482" s="672"/>
      <c r="AU482" s="672"/>
      <c r="AV482" s="672"/>
      <c r="AW482" s="672"/>
      <c r="AX482" s="680"/>
      <c r="AY482" s="680"/>
      <c r="AZ482" s="665"/>
      <c r="BA482" s="665"/>
      <c r="BB482" s="665"/>
      <c r="BC482" s="665"/>
      <c r="BD482" s="665"/>
      <c r="BE482" s="665"/>
      <c r="BF482" s="665"/>
      <c r="BG482" s="665"/>
    </row>
    <row r="483" spans="6:59" ht="12" customHeight="1" x14ac:dyDescent="0.2">
      <c r="F483" s="582"/>
      <c r="M483" s="680"/>
      <c r="N483" s="582"/>
      <c r="O483" s="672"/>
      <c r="P483" s="672"/>
      <c r="Q483" s="672"/>
      <c r="R483" s="672"/>
      <c r="S483" s="672"/>
      <c r="T483" s="672"/>
      <c r="U483" s="672"/>
      <c r="V483" s="672"/>
      <c r="W483" s="672"/>
      <c r="X483" s="672"/>
      <c r="Y483" s="672"/>
      <c r="Z483" s="672"/>
      <c r="AN483" s="672"/>
      <c r="AO483" s="672"/>
      <c r="AP483" s="672"/>
      <c r="AQ483" s="672"/>
      <c r="AR483" s="672"/>
      <c r="AS483" s="672"/>
      <c r="AT483" s="672"/>
      <c r="AU483" s="672"/>
      <c r="AV483" s="672"/>
      <c r="AW483" s="672"/>
      <c r="AX483" s="680"/>
      <c r="AY483" s="680"/>
      <c r="AZ483" s="665"/>
      <c r="BA483" s="665"/>
      <c r="BB483" s="665"/>
      <c r="BC483" s="665"/>
      <c r="BD483" s="665"/>
      <c r="BE483" s="665"/>
      <c r="BF483" s="665"/>
      <c r="BG483" s="665"/>
    </row>
    <row r="484" spans="6:59" ht="12" customHeight="1" x14ac:dyDescent="0.2">
      <c r="F484" s="582"/>
      <c r="M484" s="680"/>
      <c r="N484" s="582"/>
      <c r="O484" s="672"/>
      <c r="P484" s="672"/>
      <c r="Q484" s="672"/>
      <c r="R484" s="672"/>
      <c r="S484" s="672"/>
      <c r="T484" s="672"/>
      <c r="U484" s="672"/>
      <c r="V484" s="672"/>
      <c r="W484" s="672"/>
      <c r="X484" s="672"/>
      <c r="Y484" s="672"/>
      <c r="Z484" s="672"/>
      <c r="AN484" s="672"/>
      <c r="AO484" s="672"/>
      <c r="AP484" s="672"/>
      <c r="AQ484" s="672"/>
      <c r="AR484" s="672"/>
      <c r="AS484" s="672"/>
      <c r="AT484" s="672"/>
      <c r="AU484" s="672"/>
      <c r="AV484" s="672"/>
      <c r="AW484" s="672"/>
      <c r="AX484" s="680"/>
      <c r="AY484" s="680"/>
      <c r="AZ484" s="665"/>
      <c r="BA484" s="665"/>
      <c r="BB484" s="665"/>
      <c r="BC484" s="665"/>
      <c r="BD484" s="665"/>
      <c r="BE484" s="665"/>
      <c r="BF484" s="665"/>
      <c r="BG484" s="665"/>
    </row>
    <row r="485" spans="6:59" ht="12" customHeight="1" x14ac:dyDescent="0.2">
      <c r="F485" s="582"/>
      <c r="M485" s="680"/>
      <c r="N485" s="582"/>
      <c r="O485" s="672"/>
      <c r="P485" s="672"/>
      <c r="Q485" s="672"/>
      <c r="R485" s="672"/>
      <c r="S485" s="672"/>
      <c r="T485" s="672"/>
      <c r="U485" s="672"/>
      <c r="V485" s="672"/>
      <c r="W485" s="672"/>
      <c r="X485" s="672"/>
      <c r="Y485" s="672"/>
      <c r="Z485" s="672"/>
      <c r="AN485" s="672"/>
      <c r="AO485" s="672"/>
      <c r="AP485" s="672"/>
      <c r="AQ485" s="672"/>
      <c r="AR485" s="672"/>
      <c r="AS485" s="672"/>
      <c r="AT485" s="672"/>
      <c r="AU485" s="672"/>
      <c r="AV485" s="672"/>
      <c r="AW485" s="672"/>
      <c r="AX485" s="680"/>
      <c r="AY485" s="680"/>
      <c r="AZ485" s="665"/>
      <c r="BA485" s="665"/>
      <c r="BB485" s="665"/>
      <c r="BC485" s="665"/>
      <c r="BD485" s="665"/>
      <c r="BE485" s="665"/>
      <c r="BF485" s="665"/>
      <c r="BG485" s="665"/>
    </row>
    <row r="486" spans="6:59" ht="12" customHeight="1" x14ac:dyDescent="0.2">
      <c r="F486" s="582"/>
      <c r="M486" s="680"/>
      <c r="N486" s="582"/>
      <c r="O486" s="672"/>
      <c r="P486" s="672"/>
      <c r="Q486" s="672"/>
      <c r="R486" s="672"/>
      <c r="S486" s="672"/>
      <c r="T486" s="672"/>
      <c r="U486" s="672"/>
      <c r="V486" s="672"/>
      <c r="W486" s="672"/>
      <c r="X486" s="672"/>
      <c r="Y486" s="672"/>
      <c r="Z486" s="672"/>
      <c r="AN486" s="672"/>
      <c r="AO486" s="672"/>
      <c r="AP486" s="672"/>
      <c r="AQ486" s="672"/>
      <c r="AR486" s="672"/>
      <c r="AS486" s="672"/>
      <c r="AT486" s="672"/>
      <c r="AU486" s="672"/>
      <c r="AV486" s="672"/>
      <c r="AW486" s="672"/>
      <c r="AX486" s="680"/>
      <c r="AY486" s="680"/>
      <c r="AZ486" s="665"/>
      <c r="BA486" s="665"/>
      <c r="BB486" s="665"/>
      <c r="BC486" s="665"/>
      <c r="BD486" s="665"/>
      <c r="BE486" s="665"/>
      <c r="BF486" s="665"/>
      <c r="BG486" s="665"/>
    </row>
    <row r="487" spans="6:59" ht="12" customHeight="1" x14ac:dyDescent="0.2">
      <c r="F487" s="582"/>
      <c r="M487" s="680"/>
      <c r="N487" s="582"/>
      <c r="O487" s="672"/>
      <c r="P487" s="672"/>
      <c r="Q487" s="672"/>
      <c r="R487" s="672"/>
      <c r="S487" s="672"/>
      <c r="T487" s="672"/>
      <c r="U487" s="672"/>
      <c r="V487" s="672"/>
      <c r="W487" s="672"/>
      <c r="X487" s="672"/>
      <c r="Y487" s="672"/>
      <c r="Z487" s="672"/>
      <c r="AN487" s="672"/>
      <c r="AO487" s="672"/>
      <c r="AP487" s="672"/>
      <c r="AQ487" s="672"/>
      <c r="AR487" s="672"/>
      <c r="AS487" s="672"/>
      <c r="AT487" s="672"/>
      <c r="AU487" s="672"/>
      <c r="AV487" s="672"/>
      <c r="AW487" s="672"/>
      <c r="AX487" s="680"/>
      <c r="AY487" s="680"/>
      <c r="AZ487" s="665"/>
      <c r="BA487" s="665"/>
      <c r="BB487" s="665"/>
      <c r="BC487" s="665"/>
      <c r="BD487" s="665"/>
      <c r="BE487" s="665"/>
      <c r="BF487" s="665"/>
      <c r="BG487" s="665"/>
    </row>
    <row r="488" spans="6:59" ht="12" customHeight="1" x14ac:dyDescent="0.2">
      <c r="F488" s="582"/>
      <c r="M488" s="680"/>
      <c r="N488" s="582"/>
      <c r="O488" s="672"/>
      <c r="P488" s="672"/>
      <c r="Q488" s="672"/>
      <c r="R488" s="672"/>
      <c r="S488" s="672"/>
      <c r="T488" s="672"/>
      <c r="U488" s="672"/>
      <c r="V488" s="672"/>
      <c r="W488" s="672"/>
      <c r="X488" s="672"/>
      <c r="Y488" s="672"/>
      <c r="Z488" s="672"/>
      <c r="AN488" s="672"/>
      <c r="AO488" s="672"/>
      <c r="AP488" s="672"/>
      <c r="AQ488" s="672"/>
      <c r="AR488" s="672"/>
      <c r="AS488" s="672"/>
      <c r="AT488" s="672"/>
      <c r="AU488" s="672"/>
      <c r="AV488" s="672"/>
      <c r="AW488" s="672"/>
      <c r="AX488" s="680"/>
      <c r="AY488" s="680"/>
      <c r="AZ488" s="665"/>
      <c r="BA488" s="665"/>
      <c r="BB488" s="665"/>
      <c r="BC488" s="665"/>
      <c r="BD488" s="665"/>
      <c r="BE488" s="665"/>
      <c r="BF488" s="665"/>
      <c r="BG488" s="665"/>
    </row>
    <row r="489" spans="6:59" ht="12" customHeight="1" x14ac:dyDescent="0.2">
      <c r="F489" s="582"/>
      <c r="M489" s="680"/>
      <c r="N489" s="582"/>
      <c r="O489" s="672"/>
      <c r="P489" s="672"/>
      <c r="Q489" s="672"/>
      <c r="R489" s="672"/>
      <c r="S489" s="672"/>
      <c r="T489" s="672"/>
      <c r="U489" s="672"/>
      <c r="V489" s="672"/>
      <c r="W489" s="672"/>
      <c r="X489" s="672"/>
      <c r="Y489" s="672"/>
      <c r="Z489" s="672"/>
      <c r="AN489" s="672"/>
      <c r="AO489" s="672"/>
      <c r="AP489" s="672"/>
      <c r="AQ489" s="672"/>
      <c r="AR489" s="672"/>
      <c r="AS489" s="672"/>
      <c r="AT489" s="672"/>
      <c r="AU489" s="672"/>
      <c r="AV489" s="672"/>
      <c r="AW489" s="672"/>
      <c r="AX489" s="680"/>
      <c r="AY489" s="680"/>
      <c r="AZ489" s="665"/>
      <c r="BA489" s="665"/>
      <c r="BB489" s="665"/>
      <c r="BC489" s="665"/>
      <c r="BD489" s="665"/>
      <c r="BE489" s="665"/>
      <c r="BF489" s="665"/>
      <c r="BG489" s="665"/>
    </row>
    <row r="490" spans="6:59" ht="12" customHeight="1" x14ac:dyDescent="0.2">
      <c r="F490" s="582"/>
      <c r="M490" s="680"/>
      <c r="N490" s="582"/>
      <c r="O490" s="672"/>
      <c r="P490" s="672"/>
      <c r="Q490" s="672"/>
      <c r="R490" s="672"/>
      <c r="S490" s="672"/>
      <c r="T490" s="672"/>
      <c r="U490" s="672"/>
      <c r="V490" s="672"/>
      <c r="W490" s="672"/>
      <c r="X490" s="672"/>
      <c r="Y490" s="672"/>
      <c r="Z490" s="672"/>
      <c r="AN490" s="672"/>
      <c r="AO490" s="672"/>
      <c r="AP490" s="672"/>
      <c r="AQ490" s="672"/>
      <c r="AR490" s="672"/>
      <c r="AS490" s="672"/>
      <c r="AT490" s="672"/>
      <c r="AU490" s="672"/>
      <c r="AV490" s="672"/>
      <c r="AW490" s="672"/>
      <c r="AX490" s="680"/>
      <c r="AY490" s="680"/>
      <c r="AZ490" s="665"/>
      <c r="BA490" s="665"/>
      <c r="BB490" s="665"/>
      <c r="BC490" s="665"/>
      <c r="BD490" s="665"/>
      <c r="BE490" s="665"/>
      <c r="BF490" s="665"/>
      <c r="BG490" s="665"/>
    </row>
    <row r="491" spans="6:59" ht="12" customHeight="1" x14ac:dyDescent="0.2">
      <c r="F491" s="582"/>
      <c r="M491" s="680"/>
      <c r="N491" s="582"/>
      <c r="O491" s="672"/>
      <c r="P491" s="672"/>
      <c r="Q491" s="672"/>
      <c r="R491" s="672"/>
      <c r="S491" s="672"/>
      <c r="T491" s="672"/>
      <c r="U491" s="672"/>
      <c r="V491" s="672"/>
      <c r="W491" s="672"/>
      <c r="X491" s="672"/>
      <c r="Y491" s="672"/>
      <c r="Z491" s="672"/>
      <c r="AN491" s="672"/>
      <c r="AO491" s="672"/>
      <c r="AP491" s="672"/>
      <c r="AQ491" s="672"/>
      <c r="AR491" s="672"/>
      <c r="AS491" s="672"/>
      <c r="AT491" s="672"/>
      <c r="AU491" s="672"/>
      <c r="AV491" s="672"/>
      <c r="AW491" s="672"/>
      <c r="AX491" s="680"/>
      <c r="AY491" s="680"/>
      <c r="AZ491" s="665"/>
      <c r="BA491" s="665"/>
      <c r="BB491" s="665"/>
      <c r="BC491" s="665"/>
      <c r="BD491" s="665"/>
      <c r="BE491" s="665"/>
      <c r="BF491" s="665"/>
      <c r="BG491" s="665"/>
    </row>
    <row r="492" spans="6:59" ht="12" customHeight="1" x14ac:dyDescent="0.2">
      <c r="F492" s="582"/>
      <c r="M492" s="680"/>
      <c r="N492" s="582"/>
      <c r="O492" s="672"/>
      <c r="P492" s="672"/>
      <c r="Q492" s="672"/>
      <c r="R492" s="672"/>
      <c r="S492" s="672"/>
      <c r="T492" s="672"/>
      <c r="U492" s="672"/>
      <c r="V492" s="672"/>
      <c r="W492" s="672"/>
      <c r="X492" s="672"/>
      <c r="Y492" s="672"/>
      <c r="Z492" s="672"/>
      <c r="AN492" s="672"/>
      <c r="AO492" s="672"/>
      <c r="AP492" s="672"/>
      <c r="AQ492" s="672"/>
      <c r="AR492" s="672"/>
      <c r="AS492" s="672"/>
      <c r="AT492" s="672"/>
      <c r="AU492" s="672"/>
      <c r="AV492" s="672"/>
      <c r="AW492" s="672"/>
      <c r="AX492" s="680"/>
      <c r="AY492" s="680"/>
      <c r="AZ492" s="665"/>
      <c r="BA492" s="665"/>
      <c r="BB492" s="665"/>
      <c r="BC492" s="665"/>
      <c r="BD492" s="665"/>
      <c r="BE492" s="665"/>
      <c r="BF492" s="665"/>
      <c r="BG492" s="665"/>
    </row>
    <row r="493" spans="6:59" ht="12" customHeight="1" x14ac:dyDescent="0.2">
      <c r="F493" s="582"/>
      <c r="M493" s="680"/>
      <c r="N493" s="582"/>
      <c r="O493" s="672"/>
      <c r="P493" s="672"/>
      <c r="Q493" s="672"/>
      <c r="R493" s="672"/>
      <c r="S493" s="672"/>
      <c r="T493" s="672"/>
      <c r="U493" s="672"/>
      <c r="V493" s="672"/>
      <c r="W493" s="672"/>
      <c r="X493" s="672"/>
      <c r="Y493" s="672"/>
      <c r="Z493" s="672"/>
      <c r="AN493" s="672"/>
      <c r="AO493" s="672"/>
      <c r="AP493" s="672"/>
      <c r="AQ493" s="672"/>
      <c r="AR493" s="672"/>
      <c r="AS493" s="672"/>
      <c r="AT493" s="672"/>
      <c r="AU493" s="672"/>
      <c r="AV493" s="672"/>
      <c r="AW493" s="672"/>
      <c r="AX493" s="680"/>
      <c r="AY493" s="680"/>
      <c r="AZ493" s="665"/>
      <c r="BA493" s="665"/>
      <c r="BB493" s="665"/>
      <c r="BC493" s="665"/>
      <c r="BD493" s="665"/>
      <c r="BE493" s="665"/>
      <c r="BF493" s="665"/>
      <c r="BG493" s="665"/>
    </row>
    <row r="494" spans="6:59" ht="12" customHeight="1" x14ac:dyDescent="0.2">
      <c r="F494" s="582"/>
      <c r="M494" s="680"/>
      <c r="N494" s="582"/>
      <c r="O494" s="672"/>
      <c r="P494" s="672"/>
      <c r="Q494" s="672"/>
      <c r="R494" s="672"/>
      <c r="S494" s="672"/>
      <c r="T494" s="672"/>
      <c r="U494" s="672"/>
      <c r="V494" s="672"/>
      <c r="W494" s="672"/>
      <c r="X494" s="672"/>
      <c r="Y494" s="672"/>
      <c r="Z494" s="672"/>
      <c r="AN494" s="672"/>
      <c r="AO494" s="672"/>
      <c r="AP494" s="672"/>
      <c r="AQ494" s="672"/>
      <c r="AR494" s="672"/>
      <c r="AS494" s="672"/>
      <c r="AT494" s="672"/>
      <c r="AU494" s="672"/>
      <c r="AV494" s="672"/>
      <c r="AW494" s="672"/>
      <c r="AX494" s="680"/>
      <c r="AY494" s="680"/>
      <c r="AZ494" s="665"/>
      <c r="BA494" s="665"/>
      <c r="BB494" s="665"/>
      <c r="BC494" s="665"/>
      <c r="BD494" s="665"/>
      <c r="BE494" s="665"/>
      <c r="BF494" s="665"/>
      <c r="BG494" s="665"/>
    </row>
    <row r="495" spans="6:59" ht="12" customHeight="1" x14ac:dyDescent="0.2">
      <c r="F495" s="582"/>
      <c r="M495" s="680"/>
      <c r="N495" s="582"/>
      <c r="O495" s="672"/>
      <c r="P495" s="672"/>
      <c r="Q495" s="672"/>
      <c r="R495" s="672"/>
      <c r="S495" s="672"/>
      <c r="T495" s="672"/>
      <c r="U495" s="672"/>
      <c r="V495" s="672"/>
      <c r="W495" s="672"/>
      <c r="X495" s="672"/>
      <c r="Y495" s="672"/>
      <c r="Z495" s="672"/>
      <c r="AN495" s="672"/>
      <c r="AO495" s="672"/>
      <c r="AP495" s="672"/>
      <c r="AQ495" s="672"/>
      <c r="AR495" s="672"/>
      <c r="AS495" s="672"/>
      <c r="AT495" s="672"/>
      <c r="AU495" s="672"/>
      <c r="AV495" s="672"/>
      <c r="AW495" s="672"/>
      <c r="AX495" s="680"/>
      <c r="AY495" s="680"/>
      <c r="AZ495" s="665"/>
      <c r="BA495" s="665"/>
      <c r="BB495" s="665"/>
      <c r="BC495" s="665"/>
      <c r="BD495" s="665"/>
      <c r="BE495" s="665"/>
      <c r="BF495" s="665"/>
      <c r="BG495" s="665"/>
    </row>
    <row r="496" spans="6:59" ht="12" customHeight="1" x14ac:dyDescent="0.2">
      <c r="F496" s="582"/>
      <c r="M496" s="680"/>
      <c r="N496" s="582"/>
      <c r="O496" s="672"/>
      <c r="P496" s="672"/>
      <c r="Q496" s="672"/>
      <c r="R496" s="672"/>
      <c r="S496" s="672"/>
      <c r="T496" s="672"/>
      <c r="U496" s="672"/>
      <c r="V496" s="672"/>
      <c r="W496" s="672"/>
      <c r="X496" s="672"/>
      <c r="Y496" s="672"/>
      <c r="Z496" s="672"/>
      <c r="AN496" s="672"/>
      <c r="AO496" s="672"/>
      <c r="AP496" s="672"/>
      <c r="AQ496" s="672"/>
      <c r="AR496" s="672"/>
      <c r="AS496" s="672"/>
      <c r="AT496" s="672"/>
      <c r="AU496" s="672"/>
      <c r="AV496" s="672"/>
      <c r="AW496" s="672"/>
      <c r="AX496" s="680"/>
      <c r="AY496" s="680"/>
      <c r="AZ496" s="665"/>
      <c r="BA496" s="665"/>
      <c r="BB496" s="665"/>
      <c r="BC496" s="665"/>
      <c r="BD496" s="665"/>
      <c r="BE496" s="665"/>
      <c r="BF496" s="665"/>
      <c r="BG496" s="665"/>
    </row>
    <row r="497" spans="6:59" ht="12" customHeight="1" x14ac:dyDescent="0.2">
      <c r="F497" s="582"/>
      <c r="M497" s="680"/>
      <c r="N497" s="582"/>
      <c r="O497" s="672"/>
      <c r="P497" s="672"/>
      <c r="Q497" s="672"/>
      <c r="R497" s="672"/>
      <c r="S497" s="672"/>
      <c r="T497" s="672"/>
      <c r="U497" s="672"/>
      <c r="V497" s="672"/>
      <c r="W497" s="672"/>
      <c r="X497" s="672"/>
      <c r="Y497" s="672"/>
      <c r="Z497" s="672"/>
      <c r="AN497" s="672"/>
      <c r="AO497" s="672"/>
      <c r="AP497" s="672"/>
      <c r="AQ497" s="672"/>
      <c r="AR497" s="672"/>
      <c r="AS497" s="672"/>
      <c r="AT497" s="672"/>
      <c r="AU497" s="672"/>
      <c r="AV497" s="672"/>
      <c r="AW497" s="672"/>
      <c r="AX497" s="680"/>
      <c r="AY497" s="680"/>
      <c r="AZ497" s="665"/>
      <c r="BA497" s="665"/>
      <c r="BB497" s="665"/>
      <c r="BC497" s="665"/>
      <c r="BD497" s="665"/>
      <c r="BE497" s="665"/>
      <c r="BF497" s="665"/>
      <c r="BG497" s="665"/>
    </row>
    <row r="498" spans="6:59" ht="12" customHeight="1" x14ac:dyDescent="0.2">
      <c r="F498" s="582"/>
      <c r="M498" s="680"/>
      <c r="O498" s="672"/>
      <c r="P498" s="672"/>
      <c r="Q498" s="672"/>
      <c r="R498" s="672"/>
      <c r="S498" s="672"/>
      <c r="T498" s="672"/>
      <c r="U498" s="672"/>
      <c r="V498" s="672"/>
      <c r="W498" s="672"/>
      <c r="X498" s="672"/>
      <c r="Y498" s="672"/>
      <c r="Z498" s="672"/>
      <c r="AN498" s="672"/>
      <c r="AO498" s="672"/>
      <c r="AP498" s="672"/>
      <c r="AQ498" s="672"/>
      <c r="AR498" s="672"/>
      <c r="AS498" s="672"/>
      <c r="AT498" s="672"/>
      <c r="AU498" s="672"/>
      <c r="AV498" s="672"/>
      <c r="AW498" s="672"/>
      <c r="AX498" s="680"/>
      <c r="AY498" s="680"/>
      <c r="AZ498" s="665"/>
      <c r="BA498" s="665"/>
      <c r="BB498" s="665"/>
      <c r="BC498" s="665"/>
      <c r="BD498" s="665"/>
      <c r="BE498" s="665"/>
      <c r="BF498" s="665"/>
      <c r="BG498" s="665"/>
    </row>
    <row r="499" spans="6:59" ht="12" customHeight="1" x14ac:dyDescent="0.2">
      <c r="F499" s="582"/>
      <c r="M499" s="680"/>
      <c r="O499" s="672"/>
      <c r="P499" s="672"/>
      <c r="Q499" s="672"/>
      <c r="R499" s="672"/>
      <c r="S499" s="672"/>
      <c r="T499" s="672"/>
      <c r="U499" s="672"/>
      <c r="V499" s="672"/>
      <c r="W499" s="672"/>
      <c r="X499" s="672"/>
      <c r="Y499" s="672"/>
      <c r="Z499" s="672"/>
      <c r="AN499" s="672"/>
      <c r="AO499" s="672"/>
      <c r="AP499" s="672"/>
      <c r="AQ499" s="672"/>
      <c r="AR499" s="672"/>
      <c r="AS499" s="672"/>
      <c r="AT499" s="672"/>
      <c r="AU499" s="672"/>
      <c r="AV499" s="672"/>
      <c r="AW499" s="672"/>
      <c r="AX499" s="680"/>
      <c r="AY499" s="680"/>
      <c r="AZ499" s="665"/>
      <c r="BA499" s="665"/>
      <c r="BB499" s="665"/>
      <c r="BC499" s="665"/>
      <c r="BD499" s="665"/>
      <c r="BE499" s="665"/>
      <c r="BF499" s="665"/>
      <c r="BG499" s="665"/>
    </row>
    <row r="500" spans="6:59" ht="12" customHeight="1" x14ac:dyDescent="0.2">
      <c r="F500" s="582"/>
      <c r="M500" s="680"/>
      <c r="O500" s="672"/>
      <c r="P500" s="672"/>
      <c r="Q500" s="672"/>
      <c r="R500" s="672"/>
      <c r="S500" s="672"/>
      <c r="T500" s="672"/>
      <c r="U500" s="672"/>
      <c r="V500" s="672"/>
      <c r="W500" s="672"/>
      <c r="X500" s="672"/>
      <c r="Y500" s="672"/>
      <c r="Z500" s="672"/>
      <c r="AN500" s="672"/>
      <c r="AO500" s="672"/>
      <c r="AP500" s="672"/>
      <c r="AQ500" s="672"/>
      <c r="AR500" s="672"/>
      <c r="AS500" s="672"/>
      <c r="AT500" s="672"/>
      <c r="AU500" s="672"/>
      <c r="AV500" s="672"/>
      <c r="AW500" s="672"/>
      <c r="AX500" s="680"/>
      <c r="AY500" s="680"/>
      <c r="AZ500" s="665"/>
      <c r="BA500" s="665"/>
      <c r="BB500" s="665"/>
      <c r="BC500" s="665"/>
      <c r="BD500" s="665"/>
      <c r="BE500" s="665"/>
      <c r="BF500" s="665"/>
      <c r="BG500" s="665"/>
    </row>
    <row r="501" spans="6:59" ht="12" customHeight="1" x14ac:dyDescent="0.2">
      <c r="F501" s="582"/>
      <c r="M501" s="680"/>
      <c r="O501" s="672"/>
      <c r="P501" s="672"/>
      <c r="Q501" s="672"/>
      <c r="R501" s="672"/>
      <c r="S501" s="672"/>
      <c r="T501" s="672"/>
      <c r="U501" s="672"/>
      <c r="V501" s="672"/>
      <c r="W501" s="672"/>
      <c r="X501" s="672"/>
      <c r="Y501" s="672"/>
      <c r="Z501" s="672"/>
      <c r="AN501" s="672"/>
      <c r="AO501" s="672"/>
      <c r="AP501" s="672"/>
      <c r="AQ501" s="672"/>
      <c r="AR501" s="672"/>
      <c r="AS501" s="672"/>
      <c r="AT501" s="672"/>
      <c r="AU501" s="672"/>
      <c r="AV501" s="672"/>
      <c r="AW501" s="672"/>
      <c r="AX501" s="680"/>
      <c r="AY501" s="680"/>
      <c r="AZ501" s="665"/>
      <c r="BA501" s="665"/>
      <c r="BB501" s="665"/>
      <c r="BC501" s="665"/>
      <c r="BD501" s="665"/>
      <c r="BE501" s="665"/>
      <c r="BF501" s="665"/>
      <c r="BG501" s="665"/>
    </row>
    <row r="502" spans="6:59" ht="12" customHeight="1" x14ac:dyDescent="0.2">
      <c r="F502" s="582"/>
      <c r="M502" s="680"/>
      <c r="O502" s="672"/>
      <c r="P502" s="672"/>
      <c r="Q502" s="672"/>
      <c r="R502" s="672"/>
      <c r="S502" s="672"/>
      <c r="T502" s="672"/>
      <c r="U502" s="672"/>
      <c r="V502" s="672"/>
      <c r="W502" s="672"/>
      <c r="X502" s="672"/>
      <c r="Y502" s="672"/>
      <c r="Z502" s="672"/>
      <c r="AN502" s="672"/>
      <c r="AO502" s="672"/>
      <c r="AP502" s="672"/>
      <c r="AQ502" s="672"/>
      <c r="AR502" s="672"/>
      <c r="AS502" s="672"/>
      <c r="AT502" s="672"/>
      <c r="AU502" s="672"/>
      <c r="AV502" s="672"/>
      <c r="AW502" s="672"/>
      <c r="AX502" s="680"/>
      <c r="AY502" s="680"/>
      <c r="AZ502" s="665"/>
      <c r="BA502" s="665"/>
      <c r="BB502" s="665"/>
      <c r="BC502" s="665"/>
      <c r="BD502" s="665"/>
      <c r="BE502" s="665"/>
      <c r="BF502" s="665"/>
      <c r="BG502" s="665"/>
    </row>
    <row r="503" spans="6:59" ht="12" customHeight="1" x14ac:dyDescent="0.2">
      <c r="F503" s="582"/>
      <c r="M503" s="680"/>
      <c r="O503" s="672"/>
      <c r="P503" s="672"/>
      <c r="Q503" s="672"/>
      <c r="R503" s="672"/>
      <c r="S503" s="672"/>
      <c r="T503" s="672"/>
      <c r="U503" s="672"/>
      <c r="V503" s="672"/>
      <c r="W503" s="672"/>
      <c r="X503" s="672"/>
      <c r="Y503" s="672"/>
      <c r="Z503" s="672"/>
      <c r="AN503" s="672"/>
      <c r="AO503" s="672"/>
      <c r="AP503" s="672"/>
      <c r="AQ503" s="672"/>
      <c r="AR503" s="672"/>
      <c r="AS503" s="672"/>
      <c r="AT503" s="672"/>
      <c r="AU503" s="672"/>
      <c r="AV503" s="672"/>
      <c r="AW503" s="672"/>
      <c r="AX503" s="680"/>
      <c r="AY503" s="680"/>
      <c r="AZ503" s="665"/>
      <c r="BA503" s="665"/>
      <c r="BB503" s="665"/>
      <c r="BC503" s="665"/>
      <c r="BD503" s="665"/>
      <c r="BE503" s="665"/>
      <c r="BF503" s="665"/>
      <c r="BG503" s="665"/>
    </row>
    <row r="504" spans="6:59" ht="12" customHeight="1" x14ac:dyDescent="0.2">
      <c r="F504" s="582"/>
      <c r="M504" s="680"/>
      <c r="O504" s="672"/>
      <c r="P504" s="672"/>
      <c r="Q504" s="672"/>
      <c r="R504" s="672"/>
      <c r="S504" s="672"/>
      <c r="T504" s="672"/>
      <c r="U504" s="672"/>
      <c r="V504" s="672"/>
      <c r="W504" s="672"/>
      <c r="X504" s="672"/>
      <c r="Y504" s="672"/>
      <c r="Z504" s="672"/>
      <c r="AN504" s="672"/>
      <c r="AO504" s="672"/>
      <c r="AP504" s="672"/>
      <c r="AQ504" s="672"/>
      <c r="AR504" s="672"/>
      <c r="AS504" s="672"/>
      <c r="AT504" s="672"/>
      <c r="AU504" s="672"/>
      <c r="AV504" s="672"/>
      <c r="AW504" s="672"/>
      <c r="AX504" s="680"/>
      <c r="AY504" s="680"/>
      <c r="AZ504" s="665"/>
      <c r="BA504" s="665"/>
      <c r="BB504" s="665"/>
      <c r="BC504" s="665"/>
      <c r="BD504" s="665"/>
      <c r="BE504" s="665"/>
      <c r="BF504" s="665"/>
      <c r="BG504" s="665"/>
    </row>
    <row r="505" spans="6:59" ht="12" customHeight="1" x14ac:dyDescent="0.2">
      <c r="F505" s="582"/>
      <c r="M505" s="680"/>
      <c r="O505" s="672"/>
      <c r="P505" s="672"/>
      <c r="Q505" s="672"/>
      <c r="R505" s="672"/>
      <c r="S505" s="672"/>
      <c r="T505" s="672"/>
      <c r="U505" s="672"/>
      <c r="V505" s="672"/>
      <c r="W505" s="672"/>
      <c r="X505" s="672"/>
      <c r="Y505" s="672"/>
      <c r="Z505" s="672"/>
      <c r="AN505" s="672"/>
      <c r="AO505" s="672"/>
      <c r="AP505" s="672"/>
      <c r="AQ505" s="672"/>
      <c r="AR505" s="672"/>
      <c r="AS505" s="672"/>
      <c r="AT505" s="672"/>
      <c r="AU505" s="672"/>
      <c r="AV505" s="672"/>
      <c r="AW505" s="672"/>
      <c r="AX505" s="680"/>
      <c r="AY505" s="680"/>
      <c r="AZ505" s="665"/>
      <c r="BA505" s="665"/>
      <c r="BB505" s="665"/>
      <c r="BC505" s="665"/>
      <c r="BD505" s="665"/>
      <c r="BE505" s="665"/>
      <c r="BF505" s="665"/>
      <c r="BG505" s="665"/>
    </row>
    <row r="506" spans="6:59" ht="12" customHeight="1" x14ac:dyDescent="0.2">
      <c r="F506" s="582"/>
      <c r="M506" s="680"/>
      <c r="O506" s="672"/>
      <c r="P506" s="672"/>
      <c r="Q506" s="672"/>
      <c r="R506" s="672"/>
      <c r="S506" s="672"/>
      <c r="T506" s="672"/>
      <c r="U506" s="672"/>
      <c r="V506" s="672"/>
      <c r="W506" s="672"/>
      <c r="X506" s="672"/>
      <c r="Y506" s="672"/>
      <c r="Z506" s="672"/>
      <c r="AN506" s="672"/>
      <c r="AO506" s="672"/>
      <c r="AP506" s="672"/>
      <c r="AQ506" s="672"/>
      <c r="AR506" s="672"/>
      <c r="AS506" s="672"/>
      <c r="AT506" s="672"/>
      <c r="AU506" s="672"/>
      <c r="AV506" s="672"/>
      <c r="AW506" s="672"/>
      <c r="AX506" s="680"/>
      <c r="AY506" s="680"/>
      <c r="AZ506" s="665"/>
      <c r="BA506" s="665"/>
      <c r="BB506" s="665"/>
      <c r="BC506" s="665"/>
      <c r="BD506" s="665"/>
      <c r="BE506" s="665"/>
      <c r="BF506" s="665"/>
      <c r="BG506" s="665"/>
    </row>
    <row r="507" spans="6:59" ht="12" customHeight="1" x14ac:dyDescent="0.2">
      <c r="F507" s="582"/>
      <c r="M507" s="680"/>
      <c r="O507" s="672"/>
      <c r="P507" s="672"/>
      <c r="Q507" s="672"/>
      <c r="R507" s="672"/>
      <c r="S507" s="672"/>
      <c r="T507" s="672"/>
      <c r="U507" s="672"/>
      <c r="V507" s="672"/>
      <c r="W507" s="672"/>
      <c r="X507" s="672"/>
      <c r="Y507" s="672"/>
      <c r="Z507" s="672"/>
      <c r="AN507" s="672"/>
      <c r="AO507" s="672"/>
      <c r="AP507" s="672"/>
      <c r="AQ507" s="672"/>
      <c r="AR507" s="672"/>
      <c r="AS507" s="672"/>
      <c r="AT507" s="672"/>
      <c r="AU507" s="672"/>
      <c r="AV507" s="672"/>
      <c r="AW507" s="672"/>
      <c r="AX507" s="680"/>
      <c r="AY507" s="680"/>
      <c r="AZ507" s="665"/>
      <c r="BA507" s="665"/>
      <c r="BB507" s="665"/>
      <c r="BC507" s="665"/>
      <c r="BD507" s="665"/>
      <c r="BE507" s="665"/>
      <c r="BF507" s="665"/>
      <c r="BG507" s="665"/>
    </row>
    <row r="508" spans="6:59" ht="12" customHeight="1" x14ac:dyDescent="0.2">
      <c r="F508" s="582"/>
      <c r="M508" s="680"/>
      <c r="O508" s="672"/>
      <c r="P508" s="672"/>
      <c r="Q508" s="672"/>
      <c r="R508" s="672"/>
      <c r="S508" s="672"/>
      <c r="T508" s="672"/>
      <c r="U508" s="672"/>
      <c r="V508" s="672"/>
      <c r="W508" s="672"/>
      <c r="X508" s="672"/>
      <c r="Y508" s="672"/>
      <c r="Z508" s="672"/>
      <c r="AN508" s="672"/>
      <c r="AO508" s="672"/>
      <c r="AP508" s="672"/>
      <c r="AQ508" s="672"/>
      <c r="AR508" s="672"/>
      <c r="AS508" s="672"/>
      <c r="AT508" s="672"/>
      <c r="AU508" s="672"/>
      <c r="AV508" s="672"/>
      <c r="AW508" s="672"/>
      <c r="AX508" s="680"/>
      <c r="AY508" s="680"/>
      <c r="AZ508" s="665"/>
      <c r="BA508" s="665"/>
      <c r="BB508" s="665"/>
      <c r="BC508" s="665"/>
      <c r="BD508" s="665"/>
      <c r="BE508" s="665"/>
      <c r="BF508" s="665"/>
      <c r="BG508" s="665"/>
    </row>
    <row r="509" spans="6:59" ht="12" customHeight="1" x14ac:dyDescent="0.2">
      <c r="F509" s="582"/>
      <c r="M509" s="680"/>
      <c r="O509" s="672"/>
      <c r="P509" s="672"/>
      <c r="Q509" s="672"/>
      <c r="R509" s="672"/>
      <c r="S509" s="672"/>
      <c r="T509" s="672"/>
      <c r="U509" s="672"/>
      <c r="V509" s="672"/>
      <c r="W509" s="672"/>
      <c r="X509" s="672"/>
      <c r="Y509" s="672"/>
      <c r="Z509" s="672"/>
      <c r="AN509" s="672"/>
      <c r="AO509" s="672"/>
      <c r="AP509" s="672"/>
      <c r="AQ509" s="672"/>
      <c r="AR509" s="672"/>
      <c r="AS509" s="672"/>
      <c r="AT509" s="672"/>
      <c r="AU509" s="672"/>
      <c r="AV509" s="672"/>
      <c r="AW509" s="672"/>
      <c r="AX509" s="680"/>
      <c r="AY509" s="680"/>
      <c r="AZ509" s="665"/>
      <c r="BA509" s="665"/>
      <c r="BB509" s="665"/>
      <c r="BC509" s="665"/>
      <c r="BD509" s="665"/>
      <c r="BE509" s="665"/>
      <c r="BF509" s="665"/>
      <c r="BG509" s="665"/>
    </row>
    <row r="510" spans="6:59" ht="12" customHeight="1" x14ac:dyDescent="0.2">
      <c r="F510" s="582"/>
      <c r="M510" s="680"/>
      <c r="O510" s="672"/>
      <c r="P510" s="672"/>
      <c r="Q510" s="672"/>
      <c r="R510" s="672"/>
      <c r="S510" s="672"/>
      <c r="T510" s="672"/>
      <c r="U510" s="672"/>
      <c r="V510" s="672"/>
      <c r="W510" s="672"/>
      <c r="X510" s="672"/>
      <c r="Y510" s="672"/>
      <c r="Z510" s="672"/>
      <c r="AN510" s="672"/>
      <c r="AO510" s="672"/>
      <c r="AP510" s="672"/>
      <c r="AQ510" s="672"/>
      <c r="AR510" s="672"/>
      <c r="AS510" s="672"/>
      <c r="AT510" s="672"/>
      <c r="AU510" s="672"/>
      <c r="AV510" s="672"/>
      <c r="AW510" s="672"/>
      <c r="AX510" s="680"/>
      <c r="AY510" s="680"/>
      <c r="AZ510" s="665"/>
      <c r="BA510" s="665"/>
      <c r="BB510" s="665"/>
      <c r="BC510" s="665"/>
      <c r="BD510" s="665"/>
      <c r="BE510" s="665"/>
      <c r="BF510" s="665"/>
      <c r="BG510" s="665"/>
    </row>
    <row r="511" spans="6:59" ht="12" customHeight="1" x14ac:dyDescent="0.2">
      <c r="F511" s="582"/>
      <c r="M511" s="680"/>
      <c r="O511" s="672"/>
      <c r="P511" s="672"/>
      <c r="Q511" s="672"/>
      <c r="R511" s="672"/>
      <c r="S511" s="672"/>
      <c r="T511" s="672"/>
      <c r="U511" s="672"/>
      <c r="V511" s="672"/>
      <c r="W511" s="672"/>
      <c r="X511" s="672"/>
      <c r="Y511" s="672"/>
      <c r="Z511" s="672"/>
      <c r="AN511" s="672"/>
      <c r="AO511" s="672"/>
      <c r="AP511" s="672"/>
      <c r="AQ511" s="672"/>
      <c r="AR511" s="672"/>
      <c r="AS511" s="672"/>
      <c r="AT511" s="672"/>
      <c r="AU511" s="672"/>
      <c r="AV511" s="672"/>
      <c r="AW511" s="672"/>
      <c r="AX511" s="680"/>
      <c r="AY511" s="680"/>
      <c r="AZ511" s="665"/>
      <c r="BA511" s="665"/>
      <c r="BB511" s="665"/>
      <c r="BC511" s="665"/>
      <c r="BD511" s="665"/>
      <c r="BE511" s="665"/>
      <c r="BF511" s="665"/>
      <c r="BG511" s="665"/>
    </row>
    <row r="512" spans="6:59" ht="12" customHeight="1" x14ac:dyDescent="0.2">
      <c r="F512" s="582"/>
      <c r="M512" s="680"/>
      <c r="O512" s="672"/>
      <c r="P512" s="672"/>
      <c r="Q512" s="672"/>
      <c r="R512" s="672"/>
      <c r="S512" s="672"/>
      <c r="T512" s="672"/>
      <c r="U512" s="672"/>
      <c r="V512" s="672"/>
      <c r="W512" s="672"/>
      <c r="X512" s="672"/>
      <c r="Y512" s="672"/>
      <c r="Z512" s="672"/>
      <c r="AN512" s="672"/>
      <c r="AO512" s="672"/>
      <c r="AP512" s="672"/>
      <c r="AQ512" s="672"/>
      <c r="AR512" s="672"/>
      <c r="AS512" s="672"/>
      <c r="AT512" s="672"/>
      <c r="AU512" s="672"/>
      <c r="AV512" s="672"/>
      <c r="AW512" s="672"/>
      <c r="AX512" s="680"/>
      <c r="AY512" s="680"/>
      <c r="AZ512" s="665"/>
      <c r="BA512" s="665"/>
      <c r="BB512" s="665"/>
      <c r="BC512" s="665"/>
      <c r="BD512" s="665"/>
      <c r="BE512" s="665"/>
      <c r="BF512" s="665"/>
      <c r="BG512" s="665"/>
    </row>
    <row r="513" spans="6:59" ht="12" customHeight="1" x14ac:dyDescent="0.2">
      <c r="F513" s="582"/>
      <c r="M513" s="680"/>
      <c r="O513" s="672"/>
      <c r="P513" s="672"/>
      <c r="Q513" s="672"/>
      <c r="R513" s="672"/>
      <c r="S513" s="672"/>
      <c r="T513" s="672"/>
      <c r="U513" s="672"/>
      <c r="V513" s="672"/>
      <c r="W513" s="672"/>
      <c r="X513" s="672"/>
      <c r="Y513" s="672"/>
      <c r="Z513" s="672"/>
      <c r="AN513" s="672"/>
      <c r="AO513" s="672"/>
      <c r="AP513" s="672"/>
      <c r="AQ513" s="672"/>
      <c r="AR513" s="672"/>
      <c r="AS513" s="672"/>
      <c r="AT513" s="672"/>
      <c r="AU513" s="672"/>
      <c r="AV513" s="672"/>
      <c r="AW513" s="672"/>
      <c r="AX513" s="680"/>
      <c r="AY513" s="680"/>
      <c r="AZ513" s="665"/>
      <c r="BA513" s="665"/>
      <c r="BB513" s="665"/>
      <c r="BC513" s="665"/>
      <c r="BD513" s="665"/>
      <c r="BE513" s="665"/>
      <c r="BF513" s="665"/>
      <c r="BG513" s="665"/>
    </row>
    <row r="514" spans="6:59" ht="12" customHeight="1" x14ac:dyDescent="0.2">
      <c r="F514" s="582"/>
      <c r="M514" s="680"/>
      <c r="O514" s="672"/>
      <c r="P514" s="672"/>
      <c r="Q514" s="672"/>
      <c r="R514" s="672"/>
      <c r="S514" s="672"/>
      <c r="T514" s="672"/>
      <c r="U514" s="672"/>
      <c r="V514" s="672"/>
      <c r="W514" s="672"/>
      <c r="X514" s="672"/>
      <c r="Y514" s="672"/>
      <c r="Z514" s="672"/>
      <c r="AN514" s="672"/>
      <c r="AO514" s="672"/>
      <c r="AP514" s="672"/>
      <c r="AQ514" s="672"/>
      <c r="AR514" s="672"/>
      <c r="AS514" s="672"/>
      <c r="AT514" s="672"/>
      <c r="AU514" s="672"/>
      <c r="AV514" s="672"/>
      <c r="AW514" s="672"/>
      <c r="AX514" s="680"/>
      <c r="AY514" s="680"/>
      <c r="AZ514" s="665"/>
      <c r="BA514" s="665"/>
      <c r="BB514" s="665"/>
      <c r="BC514" s="665"/>
      <c r="BD514" s="665"/>
      <c r="BE514" s="665"/>
      <c r="BF514" s="665"/>
      <c r="BG514" s="665"/>
    </row>
    <row r="515" spans="6:59" ht="12" customHeight="1" x14ac:dyDescent="0.2">
      <c r="F515" s="582"/>
      <c r="M515" s="680"/>
      <c r="O515" s="672"/>
      <c r="P515" s="672"/>
      <c r="Q515" s="672"/>
      <c r="R515" s="672"/>
      <c r="S515" s="672"/>
      <c r="T515" s="672"/>
      <c r="U515" s="672"/>
      <c r="V515" s="672"/>
      <c r="W515" s="672"/>
      <c r="X515" s="672"/>
      <c r="Y515" s="672"/>
      <c r="Z515" s="672"/>
      <c r="AN515" s="672"/>
      <c r="AO515" s="672"/>
      <c r="AP515" s="672"/>
      <c r="AQ515" s="672"/>
      <c r="AR515" s="672"/>
      <c r="AS515" s="672"/>
      <c r="AT515" s="672"/>
      <c r="AU515" s="672"/>
      <c r="AV515" s="672"/>
      <c r="AW515" s="672"/>
      <c r="AX515" s="680"/>
      <c r="AY515" s="680"/>
      <c r="AZ515" s="665"/>
      <c r="BA515" s="665"/>
      <c r="BB515" s="665"/>
      <c r="BC515" s="665"/>
      <c r="BD515" s="665"/>
      <c r="BE515" s="665"/>
      <c r="BF515" s="665"/>
      <c r="BG515" s="665"/>
    </row>
    <row r="516" spans="6:59" ht="12" customHeight="1" x14ac:dyDescent="0.2">
      <c r="F516" s="582"/>
      <c r="M516" s="680"/>
      <c r="O516" s="672"/>
      <c r="P516" s="672"/>
      <c r="Q516" s="672"/>
      <c r="R516" s="672"/>
      <c r="S516" s="672"/>
      <c r="T516" s="672"/>
      <c r="U516" s="672"/>
      <c r="V516" s="672"/>
      <c r="W516" s="672"/>
      <c r="X516" s="672"/>
      <c r="Y516" s="672"/>
      <c r="Z516" s="672"/>
      <c r="AN516" s="672"/>
      <c r="AO516" s="672"/>
      <c r="AP516" s="672"/>
      <c r="AQ516" s="672"/>
      <c r="AR516" s="672"/>
      <c r="AS516" s="672"/>
      <c r="AT516" s="672"/>
      <c r="AU516" s="672"/>
      <c r="AV516" s="672"/>
      <c r="AW516" s="672"/>
      <c r="AX516" s="680"/>
      <c r="AY516" s="680"/>
      <c r="AZ516" s="665"/>
      <c r="BA516" s="665"/>
      <c r="BB516" s="665"/>
      <c r="BC516" s="665"/>
      <c r="BD516" s="665"/>
      <c r="BE516" s="665"/>
      <c r="BF516" s="665"/>
      <c r="BG516" s="665"/>
    </row>
    <row r="517" spans="6:59" ht="12" customHeight="1" x14ac:dyDescent="0.2">
      <c r="F517" s="582"/>
      <c r="M517" s="680"/>
      <c r="O517" s="672"/>
      <c r="P517" s="672"/>
      <c r="Q517" s="672"/>
      <c r="R517" s="672"/>
      <c r="S517" s="672"/>
      <c r="T517" s="672"/>
      <c r="U517" s="672"/>
      <c r="V517" s="672"/>
      <c r="W517" s="672"/>
      <c r="X517" s="672"/>
      <c r="Y517" s="672"/>
      <c r="Z517" s="672"/>
      <c r="AN517" s="672"/>
      <c r="AO517" s="672"/>
      <c r="AP517" s="672"/>
      <c r="AQ517" s="672"/>
      <c r="AR517" s="672"/>
      <c r="AS517" s="672"/>
      <c r="AT517" s="672"/>
      <c r="AU517" s="672"/>
      <c r="AV517" s="672"/>
      <c r="AW517" s="672"/>
      <c r="AX517" s="680"/>
      <c r="AY517" s="680"/>
      <c r="AZ517" s="665"/>
      <c r="BA517" s="665"/>
      <c r="BB517" s="665"/>
      <c r="BC517" s="665"/>
      <c r="BD517" s="665"/>
      <c r="BE517" s="665"/>
      <c r="BF517" s="665"/>
      <c r="BG517" s="665"/>
    </row>
    <row r="518" spans="6:59" ht="12" customHeight="1" x14ac:dyDescent="0.2">
      <c r="F518" s="582"/>
      <c r="M518" s="680"/>
      <c r="O518" s="672"/>
      <c r="P518" s="672"/>
      <c r="Q518" s="672"/>
      <c r="R518" s="672"/>
      <c r="S518" s="672"/>
      <c r="T518" s="672"/>
      <c r="U518" s="672"/>
      <c r="V518" s="672"/>
      <c r="W518" s="672"/>
      <c r="X518" s="672"/>
      <c r="Y518" s="672"/>
      <c r="Z518" s="672"/>
      <c r="AN518" s="672"/>
      <c r="AO518" s="672"/>
      <c r="AP518" s="672"/>
      <c r="AQ518" s="672"/>
      <c r="AR518" s="672"/>
      <c r="AS518" s="672"/>
      <c r="AT518" s="672"/>
      <c r="AU518" s="672"/>
      <c r="AV518" s="672"/>
      <c r="AW518" s="672"/>
      <c r="AX518" s="680"/>
      <c r="AY518" s="680"/>
      <c r="AZ518" s="665"/>
      <c r="BA518" s="665"/>
      <c r="BB518" s="665"/>
      <c r="BC518" s="665"/>
      <c r="BD518" s="665"/>
      <c r="BE518" s="665"/>
      <c r="BF518" s="665"/>
      <c r="BG518" s="665"/>
    </row>
    <row r="519" spans="6:59" ht="12" customHeight="1" x14ac:dyDescent="0.2">
      <c r="F519" s="582"/>
      <c r="M519" s="680"/>
      <c r="O519" s="672"/>
      <c r="P519" s="672"/>
      <c r="Q519" s="672"/>
      <c r="R519" s="672"/>
      <c r="S519" s="672"/>
      <c r="T519" s="672"/>
      <c r="U519" s="672"/>
      <c r="V519" s="672"/>
      <c r="W519" s="672"/>
      <c r="X519" s="672"/>
      <c r="Y519" s="672"/>
      <c r="Z519" s="672"/>
      <c r="AN519" s="672"/>
      <c r="AO519" s="672"/>
      <c r="AP519" s="672"/>
      <c r="AQ519" s="672"/>
      <c r="AR519" s="672"/>
      <c r="AS519" s="672"/>
      <c r="AT519" s="672"/>
      <c r="AU519" s="672"/>
      <c r="AV519" s="672"/>
      <c r="AW519" s="672"/>
      <c r="AX519" s="680"/>
      <c r="AY519" s="680"/>
      <c r="AZ519" s="665"/>
      <c r="BA519" s="665"/>
      <c r="BB519" s="665"/>
      <c r="BC519" s="665"/>
      <c r="BD519" s="665"/>
      <c r="BE519" s="665"/>
      <c r="BF519" s="665"/>
      <c r="BG519" s="665"/>
    </row>
    <row r="520" spans="6:59" ht="12" customHeight="1" x14ac:dyDescent="0.2">
      <c r="F520" s="582"/>
      <c r="M520" s="680"/>
      <c r="O520" s="672"/>
      <c r="P520" s="672"/>
      <c r="Q520" s="672"/>
      <c r="R520" s="672"/>
      <c r="S520" s="672"/>
      <c r="T520" s="672"/>
      <c r="U520" s="672"/>
      <c r="V520" s="672"/>
      <c r="W520" s="672"/>
      <c r="X520" s="672"/>
      <c r="Y520" s="672"/>
      <c r="Z520" s="672"/>
      <c r="AN520" s="672"/>
      <c r="AO520" s="672"/>
      <c r="AP520" s="672"/>
      <c r="AQ520" s="672"/>
      <c r="AR520" s="672"/>
      <c r="AS520" s="672"/>
      <c r="AT520" s="672"/>
      <c r="AU520" s="672"/>
      <c r="AV520" s="672"/>
      <c r="AW520" s="672"/>
      <c r="AX520" s="680"/>
      <c r="AY520" s="680"/>
      <c r="AZ520" s="665"/>
      <c r="BA520" s="665"/>
      <c r="BB520" s="665"/>
      <c r="BC520" s="665"/>
      <c r="BD520" s="665"/>
      <c r="BE520" s="665"/>
      <c r="BF520" s="665"/>
      <c r="BG520" s="665"/>
    </row>
    <row r="521" spans="6:59" ht="12" customHeight="1" x14ac:dyDescent="0.2">
      <c r="F521" s="582"/>
      <c r="M521" s="680"/>
      <c r="O521" s="672"/>
      <c r="P521" s="672"/>
      <c r="Q521" s="672"/>
      <c r="R521" s="672"/>
      <c r="S521" s="672"/>
      <c r="T521" s="672"/>
      <c r="U521" s="672"/>
      <c r="V521" s="672"/>
      <c r="W521" s="672"/>
      <c r="X521" s="672"/>
      <c r="Y521" s="672"/>
      <c r="Z521" s="672"/>
      <c r="AN521" s="672"/>
      <c r="AO521" s="672"/>
      <c r="AP521" s="672"/>
      <c r="AQ521" s="672"/>
      <c r="AR521" s="672"/>
      <c r="AS521" s="672"/>
      <c r="AT521" s="672"/>
      <c r="AU521" s="672"/>
      <c r="AV521" s="672"/>
      <c r="AW521" s="672"/>
      <c r="AX521" s="680"/>
      <c r="AY521" s="680"/>
      <c r="AZ521" s="665"/>
      <c r="BA521" s="665"/>
      <c r="BB521" s="665"/>
      <c r="BC521" s="665"/>
      <c r="BD521" s="665"/>
      <c r="BE521" s="665"/>
      <c r="BF521" s="665"/>
      <c r="BG521" s="665"/>
    </row>
    <row r="522" spans="6:59" ht="12" customHeight="1" x14ac:dyDescent="0.2">
      <c r="F522" s="582"/>
      <c r="M522" s="680"/>
      <c r="O522" s="672"/>
      <c r="P522" s="672"/>
      <c r="Q522" s="672"/>
      <c r="R522" s="672"/>
      <c r="S522" s="672"/>
      <c r="T522" s="672"/>
      <c r="U522" s="672"/>
      <c r="V522" s="672"/>
      <c r="W522" s="672"/>
      <c r="X522" s="672"/>
      <c r="Y522" s="672"/>
      <c r="Z522" s="672"/>
      <c r="AN522" s="672"/>
      <c r="AO522" s="672"/>
      <c r="AP522" s="672"/>
      <c r="AQ522" s="672"/>
      <c r="AR522" s="672"/>
      <c r="AS522" s="672"/>
      <c r="AT522" s="672"/>
      <c r="AU522" s="672"/>
      <c r="AV522" s="672"/>
      <c r="AW522" s="672"/>
      <c r="AX522" s="680"/>
      <c r="AY522" s="680"/>
      <c r="AZ522" s="665"/>
      <c r="BA522" s="665"/>
      <c r="BB522" s="665"/>
      <c r="BC522" s="665"/>
      <c r="BD522" s="665"/>
      <c r="BE522" s="665"/>
      <c r="BF522" s="665"/>
      <c r="BG522" s="665"/>
    </row>
    <row r="523" spans="6:59" ht="12" customHeight="1" x14ac:dyDescent="0.2">
      <c r="F523" s="582"/>
      <c r="M523" s="680"/>
      <c r="O523" s="672"/>
      <c r="P523" s="672"/>
      <c r="Q523" s="672"/>
      <c r="R523" s="672"/>
      <c r="S523" s="672"/>
      <c r="T523" s="672"/>
      <c r="U523" s="672"/>
      <c r="V523" s="672"/>
      <c r="W523" s="672"/>
      <c r="X523" s="672"/>
      <c r="Y523" s="672"/>
      <c r="Z523" s="672"/>
      <c r="AN523" s="672"/>
      <c r="AO523" s="672"/>
      <c r="AP523" s="672"/>
      <c r="AQ523" s="672"/>
      <c r="AR523" s="672"/>
      <c r="AS523" s="672"/>
      <c r="AT523" s="672"/>
      <c r="AU523" s="672"/>
      <c r="AV523" s="672"/>
      <c r="AW523" s="672"/>
      <c r="AX523" s="680"/>
      <c r="AY523" s="680"/>
      <c r="AZ523" s="665"/>
      <c r="BA523" s="665"/>
      <c r="BB523" s="665"/>
      <c r="BC523" s="665"/>
      <c r="BD523" s="665"/>
      <c r="BE523" s="665"/>
      <c r="BF523" s="665"/>
      <c r="BG523" s="665"/>
    </row>
    <row r="524" spans="6:59" ht="12" customHeight="1" x14ac:dyDescent="0.2">
      <c r="F524" s="582"/>
      <c r="M524" s="680"/>
      <c r="O524" s="672"/>
      <c r="P524" s="672"/>
      <c r="Q524" s="672"/>
      <c r="R524" s="672"/>
      <c r="S524" s="672"/>
      <c r="T524" s="672"/>
      <c r="U524" s="672"/>
      <c r="V524" s="672"/>
      <c r="W524" s="672"/>
      <c r="X524" s="672"/>
      <c r="Y524" s="672"/>
      <c r="Z524" s="672"/>
      <c r="AN524" s="672"/>
      <c r="AO524" s="672"/>
      <c r="AP524" s="672"/>
      <c r="AQ524" s="672"/>
      <c r="AR524" s="672"/>
      <c r="AS524" s="672"/>
      <c r="AT524" s="672"/>
      <c r="AU524" s="672"/>
      <c r="AV524" s="672"/>
      <c r="AW524" s="672"/>
      <c r="AX524" s="680"/>
      <c r="AY524" s="680"/>
      <c r="AZ524" s="665"/>
      <c r="BA524" s="665"/>
      <c r="BB524" s="665"/>
      <c r="BC524" s="665"/>
      <c r="BD524" s="665"/>
      <c r="BE524" s="665"/>
      <c r="BF524" s="665"/>
      <c r="BG524" s="665"/>
    </row>
    <row r="525" spans="6:59" ht="12" customHeight="1" x14ac:dyDescent="0.2">
      <c r="F525" s="582"/>
      <c r="M525" s="680"/>
      <c r="O525" s="672"/>
      <c r="P525" s="672"/>
      <c r="Q525" s="672"/>
      <c r="R525" s="672"/>
      <c r="S525" s="672"/>
      <c r="T525" s="672"/>
      <c r="U525" s="672"/>
      <c r="V525" s="672"/>
      <c r="W525" s="672"/>
      <c r="X525" s="672"/>
      <c r="Y525" s="672"/>
      <c r="Z525" s="672"/>
      <c r="AN525" s="672"/>
      <c r="AO525" s="672"/>
      <c r="AP525" s="672"/>
      <c r="AQ525" s="672"/>
      <c r="AR525" s="672"/>
      <c r="AS525" s="672"/>
      <c r="AT525" s="672"/>
      <c r="AU525" s="672"/>
      <c r="AV525" s="672"/>
      <c r="AW525" s="672"/>
      <c r="AX525" s="680"/>
      <c r="AY525" s="680"/>
      <c r="AZ525" s="665"/>
      <c r="BA525" s="665"/>
      <c r="BB525" s="665"/>
      <c r="BC525" s="665"/>
      <c r="BD525" s="665"/>
      <c r="BE525" s="665"/>
      <c r="BF525" s="665"/>
      <c r="BG525" s="665"/>
    </row>
    <row r="526" spans="6:59" ht="12" customHeight="1" x14ac:dyDescent="0.2">
      <c r="F526" s="582"/>
      <c r="M526" s="680"/>
      <c r="O526" s="672"/>
      <c r="P526" s="672"/>
      <c r="Q526" s="672"/>
      <c r="R526" s="672"/>
      <c r="S526" s="672"/>
      <c r="T526" s="672"/>
      <c r="U526" s="672"/>
      <c r="V526" s="672"/>
      <c r="W526" s="672"/>
      <c r="X526" s="672"/>
      <c r="Y526" s="672"/>
      <c r="Z526" s="672"/>
      <c r="AN526" s="672"/>
      <c r="AO526" s="672"/>
      <c r="AP526" s="672"/>
      <c r="AQ526" s="672"/>
      <c r="AR526" s="672"/>
      <c r="AS526" s="672"/>
      <c r="AT526" s="672"/>
      <c r="AU526" s="672"/>
      <c r="AV526" s="672"/>
      <c r="AW526" s="672"/>
      <c r="AX526" s="680"/>
      <c r="AY526" s="680"/>
      <c r="AZ526" s="665"/>
      <c r="BA526" s="665"/>
      <c r="BB526" s="665"/>
      <c r="BC526" s="665"/>
      <c r="BD526" s="665"/>
      <c r="BE526" s="665"/>
      <c r="BF526" s="665"/>
      <c r="BG526" s="665"/>
    </row>
    <row r="527" spans="6:59" ht="12" customHeight="1" x14ac:dyDescent="0.2">
      <c r="F527" s="582"/>
      <c r="M527" s="680"/>
      <c r="O527" s="672"/>
      <c r="P527" s="672"/>
      <c r="Q527" s="672"/>
      <c r="R527" s="672"/>
      <c r="S527" s="672"/>
      <c r="T527" s="672"/>
      <c r="U527" s="672"/>
      <c r="V527" s="672"/>
      <c r="W527" s="672"/>
      <c r="X527" s="672"/>
      <c r="Y527" s="672"/>
      <c r="Z527" s="672"/>
      <c r="AN527" s="672"/>
      <c r="AO527" s="672"/>
      <c r="AP527" s="672"/>
      <c r="AQ527" s="672"/>
      <c r="AR527" s="672"/>
      <c r="AS527" s="672"/>
      <c r="AT527" s="672"/>
      <c r="AU527" s="672"/>
      <c r="AV527" s="672"/>
      <c r="AW527" s="672"/>
      <c r="AX527" s="680"/>
      <c r="AY527" s="680"/>
      <c r="AZ527" s="665"/>
      <c r="BA527" s="665"/>
      <c r="BB527" s="665"/>
      <c r="BC527" s="665"/>
      <c r="BD527" s="665"/>
      <c r="BE527" s="665"/>
      <c r="BF527" s="665"/>
      <c r="BG527" s="665"/>
    </row>
    <row r="528" spans="6:59" ht="12" customHeight="1" x14ac:dyDescent="0.2">
      <c r="F528" s="582"/>
      <c r="M528" s="680"/>
      <c r="O528" s="672"/>
      <c r="P528" s="672"/>
      <c r="Q528" s="672"/>
      <c r="R528" s="672"/>
      <c r="S528" s="672"/>
      <c r="T528" s="672"/>
      <c r="U528" s="672"/>
      <c r="V528" s="672"/>
      <c r="W528" s="672"/>
      <c r="X528" s="672"/>
      <c r="Y528" s="672"/>
      <c r="Z528" s="672"/>
      <c r="AN528" s="672"/>
      <c r="AO528" s="672"/>
      <c r="AP528" s="672"/>
      <c r="AQ528" s="672"/>
      <c r="AR528" s="672"/>
      <c r="AS528" s="672"/>
      <c r="AT528" s="672"/>
      <c r="AU528" s="672"/>
      <c r="AV528" s="672"/>
      <c r="AW528" s="672"/>
      <c r="AX528" s="680"/>
      <c r="AY528" s="680"/>
      <c r="AZ528" s="665"/>
      <c r="BA528" s="665"/>
      <c r="BB528" s="665"/>
      <c r="BC528" s="665"/>
      <c r="BD528" s="665"/>
      <c r="BE528" s="665"/>
      <c r="BF528" s="665"/>
      <c r="BG528" s="665"/>
    </row>
    <row r="529" spans="6:59" ht="12" customHeight="1" x14ac:dyDescent="0.2">
      <c r="F529" s="582"/>
      <c r="M529" s="680"/>
      <c r="O529" s="672"/>
      <c r="P529" s="672"/>
      <c r="Q529" s="672"/>
      <c r="R529" s="672"/>
      <c r="S529" s="672"/>
      <c r="T529" s="672"/>
      <c r="U529" s="672"/>
      <c r="V529" s="672"/>
      <c r="W529" s="672"/>
      <c r="X529" s="672"/>
      <c r="Y529" s="672"/>
      <c r="Z529" s="672"/>
      <c r="AN529" s="672"/>
      <c r="AO529" s="672"/>
      <c r="AP529" s="672"/>
      <c r="AQ529" s="672"/>
      <c r="AR529" s="672"/>
      <c r="AS529" s="672"/>
      <c r="AT529" s="672"/>
      <c r="AU529" s="672"/>
      <c r="AV529" s="672"/>
      <c r="AW529" s="672"/>
      <c r="AX529" s="680"/>
      <c r="AY529" s="680"/>
      <c r="AZ529" s="665"/>
      <c r="BA529" s="665"/>
      <c r="BB529" s="665"/>
      <c r="BC529" s="665"/>
      <c r="BD529" s="665"/>
      <c r="BE529" s="665"/>
      <c r="BF529" s="665"/>
      <c r="BG529" s="665"/>
    </row>
    <row r="530" spans="6:59" ht="12" customHeight="1" x14ac:dyDescent="0.2">
      <c r="F530" s="582"/>
      <c r="M530" s="680"/>
      <c r="O530" s="672"/>
      <c r="P530" s="672"/>
      <c r="Q530" s="672"/>
      <c r="R530" s="672"/>
      <c r="S530" s="672"/>
      <c r="T530" s="672"/>
      <c r="U530" s="672"/>
      <c r="V530" s="672"/>
      <c r="W530" s="672"/>
      <c r="X530" s="672"/>
      <c r="Y530" s="672"/>
      <c r="Z530" s="672"/>
      <c r="AN530" s="672"/>
      <c r="AO530" s="672"/>
      <c r="AP530" s="672"/>
      <c r="AQ530" s="672"/>
      <c r="AR530" s="672"/>
      <c r="AS530" s="672"/>
      <c r="AT530" s="672"/>
      <c r="AU530" s="672"/>
      <c r="AV530" s="672"/>
      <c r="AW530" s="672"/>
      <c r="AX530" s="680"/>
      <c r="AY530" s="680"/>
      <c r="AZ530" s="665"/>
      <c r="BA530" s="665"/>
      <c r="BB530" s="665"/>
      <c r="BC530" s="665"/>
      <c r="BD530" s="665"/>
      <c r="BE530" s="665"/>
      <c r="BF530" s="665"/>
      <c r="BG530" s="665"/>
    </row>
    <row r="531" spans="6:59" ht="12" customHeight="1" x14ac:dyDescent="0.2">
      <c r="F531" s="582"/>
      <c r="M531" s="680"/>
      <c r="O531" s="672"/>
      <c r="P531" s="672"/>
      <c r="Q531" s="672"/>
      <c r="R531" s="672"/>
      <c r="S531" s="672"/>
      <c r="T531" s="672"/>
      <c r="U531" s="672"/>
      <c r="V531" s="672"/>
      <c r="W531" s="672"/>
      <c r="X531" s="672"/>
      <c r="Y531" s="672"/>
      <c r="Z531" s="672"/>
      <c r="AN531" s="672"/>
      <c r="AO531" s="672"/>
      <c r="AP531" s="672"/>
      <c r="AQ531" s="672"/>
      <c r="AR531" s="672"/>
      <c r="AS531" s="672"/>
      <c r="AT531" s="672"/>
      <c r="AU531" s="672"/>
      <c r="AV531" s="672"/>
      <c r="AW531" s="672"/>
      <c r="AX531" s="680"/>
      <c r="AY531" s="680"/>
      <c r="AZ531" s="665"/>
      <c r="BA531" s="665"/>
      <c r="BB531" s="665"/>
      <c r="BC531" s="665"/>
      <c r="BD531" s="665"/>
      <c r="BE531" s="665"/>
      <c r="BF531" s="665"/>
      <c r="BG531" s="665"/>
    </row>
    <row r="532" spans="6:59" ht="12" customHeight="1" x14ac:dyDescent="0.2">
      <c r="F532" s="582"/>
      <c r="M532" s="680"/>
      <c r="O532" s="672"/>
      <c r="P532" s="672"/>
      <c r="Q532" s="672"/>
      <c r="R532" s="672"/>
      <c r="S532" s="672"/>
      <c r="T532" s="672"/>
      <c r="U532" s="672"/>
      <c r="V532" s="672"/>
      <c r="W532" s="672"/>
      <c r="X532" s="672"/>
      <c r="Y532" s="672"/>
      <c r="Z532" s="672"/>
      <c r="AN532" s="672"/>
      <c r="AO532" s="672"/>
      <c r="AP532" s="672"/>
      <c r="AQ532" s="672"/>
      <c r="AR532" s="672"/>
      <c r="AS532" s="672"/>
      <c r="AT532" s="672"/>
      <c r="AU532" s="672"/>
      <c r="AV532" s="672"/>
      <c r="AW532" s="672"/>
      <c r="AX532" s="680"/>
      <c r="AY532" s="680"/>
      <c r="AZ532" s="665"/>
      <c r="BA532" s="665"/>
      <c r="BB532" s="665"/>
      <c r="BC532" s="665"/>
      <c r="BD532" s="665"/>
      <c r="BE532" s="665"/>
      <c r="BF532" s="665"/>
      <c r="BG532" s="665"/>
    </row>
    <row r="533" spans="6:59" ht="12" customHeight="1" x14ac:dyDescent="0.2">
      <c r="F533" s="582"/>
      <c r="M533" s="680"/>
      <c r="O533" s="672"/>
      <c r="P533" s="672"/>
      <c r="Q533" s="672"/>
      <c r="R533" s="672"/>
      <c r="S533" s="672"/>
      <c r="T533" s="672"/>
      <c r="U533" s="672"/>
      <c r="V533" s="672"/>
      <c r="W533" s="672"/>
      <c r="X533" s="672"/>
      <c r="Y533" s="672"/>
      <c r="Z533" s="672"/>
      <c r="AN533" s="672"/>
      <c r="AO533" s="672"/>
      <c r="AP533" s="672"/>
      <c r="AQ533" s="672"/>
      <c r="AR533" s="672"/>
      <c r="AS533" s="672"/>
      <c r="AT533" s="672"/>
      <c r="AU533" s="672"/>
      <c r="AV533" s="672"/>
      <c r="AW533" s="672"/>
      <c r="AX533" s="680"/>
      <c r="AY533" s="680"/>
      <c r="AZ533" s="665"/>
      <c r="BA533" s="665"/>
      <c r="BB533" s="665"/>
      <c r="BC533" s="665"/>
      <c r="BD533" s="665"/>
      <c r="BE533" s="665"/>
      <c r="BF533" s="665"/>
      <c r="BG533" s="665"/>
    </row>
    <row r="534" spans="6:59" ht="12" customHeight="1" x14ac:dyDescent="0.2">
      <c r="F534" s="582"/>
      <c r="M534" s="680"/>
      <c r="O534" s="672"/>
      <c r="P534" s="672"/>
      <c r="Q534" s="672"/>
      <c r="R534" s="672"/>
      <c r="S534" s="672"/>
      <c r="T534" s="672"/>
      <c r="U534" s="672"/>
      <c r="V534" s="672"/>
      <c r="W534" s="672"/>
      <c r="X534" s="672"/>
      <c r="Y534" s="672"/>
      <c r="Z534" s="672"/>
      <c r="AN534" s="672"/>
      <c r="AO534" s="672"/>
      <c r="AP534" s="672"/>
      <c r="AQ534" s="672"/>
      <c r="AR534" s="672"/>
      <c r="AS534" s="672"/>
      <c r="AT534" s="672"/>
      <c r="AU534" s="672"/>
      <c r="AV534" s="672"/>
      <c r="AW534" s="672"/>
      <c r="AX534" s="680"/>
      <c r="AY534" s="680"/>
      <c r="AZ534" s="665"/>
      <c r="BA534" s="665"/>
      <c r="BB534" s="665"/>
      <c r="BC534" s="665"/>
      <c r="BD534" s="665"/>
      <c r="BE534" s="665"/>
      <c r="BF534" s="665"/>
      <c r="BG534" s="665"/>
    </row>
    <row r="535" spans="6:59" ht="12" customHeight="1" x14ac:dyDescent="0.2">
      <c r="F535" s="582"/>
      <c r="M535" s="680"/>
      <c r="O535" s="672"/>
      <c r="P535" s="672"/>
      <c r="Q535" s="672"/>
      <c r="R535" s="672"/>
      <c r="S535" s="672"/>
      <c r="T535" s="672"/>
      <c r="U535" s="672"/>
      <c r="V535" s="672"/>
      <c r="W535" s="672"/>
      <c r="X535" s="672"/>
      <c r="Y535" s="672"/>
      <c r="Z535" s="672"/>
      <c r="AN535" s="672"/>
      <c r="AO535" s="672"/>
      <c r="AP535" s="672"/>
      <c r="AQ535" s="672"/>
      <c r="AR535" s="672"/>
      <c r="AS535" s="672"/>
      <c r="AT535" s="672"/>
      <c r="AU535" s="672"/>
      <c r="AV535" s="672"/>
      <c r="AW535" s="672"/>
      <c r="AX535" s="680"/>
      <c r="AY535" s="680"/>
      <c r="AZ535" s="665"/>
      <c r="BA535" s="665"/>
      <c r="BB535" s="665"/>
      <c r="BC535" s="665"/>
      <c r="BD535" s="665"/>
      <c r="BE535" s="665"/>
      <c r="BF535" s="665"/>
      <c r="BG535" s="665"/>
    </row>
    <row r="536" spans="6:59" ht="12" customHeight="1" x14ac:dyDescent="0.2">
      <c r="F536" s="582"/>
      <c r="M536" s="680"/>
      <c r="O536" s="672"/>
      <c r="P536" s="672"/>
      <c r="Q536" s="672"/>
      <c r="R536" s="672"/>
      <c r="S536" s="672"/>
      <c r="T536" s="672"/>
      <c r="U536" s="672"/>
      <c r="V536" s="672"/>
      <c r="W536" s="672"/>
      <c r="X536" s="672"/>
      <c r="Y536" s="672"/>
      <c r="Z536" s="672"/>
      <c r="AN536" s="672"/>
      <c r="AO536" s="672"/>
      <c r="AP536" s="672"/>
      <c r="AQ536" s="672"/>
      <c r="AR536" s="672"/>
      <c r="AS536" s="672"/>
      <c r="AT536" s="672"/>
      <c r="AU536" s="672"/>
      <c r="AV536" s="672"/>
      <c r="AW536" s="672"/>
      <c r="AX536" s="680"/>
      <c r="AY536" s="680"/>
      <c r="AZ536" s="665"/>
      <c r="BA536" s="665"/>
      <c r="BB536" s="665"/>
      <c r="BC536" s="665"/>
      <c r="BD536" s="665"/>
      <c r="BE536" s="665"/>
      <c r="BF536" s="665"/>
      <c r="BG536" s="665"/>
    </row>
    <row r="537" spans="6:59" ht="12" customHeight="1" x14ac:dyDescent="0.2">
      <c r="F537" s="582"/>
      <c r="M537" s="680"/>
      <c r="O537" s="672"/>
      <c r="P537" s="672"/>
      <c r="Q537" s="672"/>
      <c r="R537" s="672"/>
      <c r="S537" s="672"/>
      <c r="T537" s="672"/>
      <c r="U537" s="672"/>
      <c r="V537" s="672"/>
      <c r="W537" s="672"/>
      <c r="X537" s="672"/>
      <c r="Y537" s="672"/>
      <c r="Z537" s="672"/>
      <c r="AN537" s="672"/>
      <c r="AO537" s="672"/>
      <c r="AP537" s="672"/>
      <c r="AQ537" s="672"/>
      <c r="AR537" s="672"/>
      <c r="AS537" s="672"/>
      <c r="AT537" s="672"/>
      <c r="AU537" s="672"/>
      <c r="AV537" s="672"/>
      <c r="AW537" s="672"/>
      <c r="AX537" s="680"/>
      <c r="AY537" s="680"/>
      <c r="AZ537" s="665"/>
      <c r="BA537" s="665"/>
      <c r="BB537" s="665"/>
      <c r="BC537" s="665"/>
      <c r="BD537" s="665"/>
      <c r="BE537" s="665"/>
      <c r="BF537" s="665"/>
      <c r="BG537" s="665"/>
    </row>
    <row r="538" spans="6:59" ht="12" customHeight="1" x14ac:dyDescent="0.2">
      <c r="F538" s="582"/>
      <c r="M538" s="680"/>
      <c r="O538" s="672"/>
      <c r="P538" s="672"/>
      <c r="Q538" s="672"/>
      <c r="R538" s="672"/>
      <c r="S538" s="672"/>
      <c r="T538" s="672"/>
      <c r="U538" s="672"/>
      <c r="V538" s="672"/>
      <c r="W538" s="672"/>
      <c r="X538" s="672"/>
      <c r="Y538" s="672"/>
      <c r="Z538" s="672"/>
      <c r="AN538" s="672"/>
      <c r="AO538" s="672"/>
      <c r="AP538" s="672"/>
      <c r="AQ538" s="672"/>
      <c r="AR538" s="672"/>
      <c r="AS538" s="672"/>
      <c r="AT538" s="672"/>
      <c r="AU538" s="672"/>
      <c r="AV538" s="672"/>
      <c r="AW538" s="672"/>
      <c r="AX538" s="680"/>
      <c r="AY538" s="680"/>
      <c r="AZ538" s="665"/>
      <c r="BA538" s="665"/>
      <c r="BB538" s="665"/>
      <c r="BC538" s="665"/>
      <c r="BD538" s="665"/>
      <c r="BE538" s="665"/>
      <c r="BF538" s="665"/>
      <c r="BG538" s="665"/>
    </row>
    <row r="539" spans="6:59" ht="12" customHeight="1" x14ac:dyDescent="0.2">
      <c r="F539" s="582"/>
      <c r="M539" s="680"/>
      <c r="O539" s="672"/>
      <c r="P539" s="672"/>
      <c r="Q539" s="672"/>
      <c r="R539" s="672"/>
      <c r="S539" s="672"/>
      <c r="T539" s="672"/>
      <c r="U539" s="672"/>
      <c r="V539" s="672"/>
      <c r="W539" s="672"/>
      <c r="X539" s="672"/>
      <c r="Y539" s="672"/>
      <c r="Z539" s="672"/>
      <c r="AN539" s="672"/>
      <c r="AO539" s="672"/>
      <c r="AP539" s="672"/>
      <c r="AQ539" s="672"/>
      <c r="AR539" s="672"/>
      <c r="AS539" s="672"/>
      <c r="AT539" s="672"/>
      <c r="AU539" s="672"/>
      <c r="AV539" s="672"/>
      <c r="AW539" s="672"/>
      <c r="AX539" s="680"/>
      <c r="AY539" s="680"/>
      <c r="AZ539" s="665"/>
      <c r="BA539" s="665"/>
      <c r="BB539" s="665"/>
      <c r="BC539" s="665"/>
      <c r="BD539" s="665"/>
      <c r="BE539" s="665"/>
      <c r="BF539" s="665"/>
      <c r="BG539" s="665"/>
    </row>
    <row r="540" spans="6:59" ht="12" customHeight="1" x14ac:dyDescent="0.2">
      <c r="F540" s="582"/>
      <c r="M540" s="680"/>
      <c r="O540" s="672"/>
      <c r="P540" s="672"/>
      <c r="Q540" s="672"/>
      <c r="R540" s="672"/>
      <c r="S540" s="672"/>
      <c r="T540" s="672"/>
      <c r="U540" s="672"/>
      <c r="V540" s="672"/>
      <c r="W540" s="672"/>
      <c r="X540" s="672"/>
      <c r="Y540" s="672"/>
      <c r="Z540" s="672"/>
      <c r="AN540" s="672"/>
      <c r="AO540" s="672"/>
      <c r="AP540" s="672"/>
      <c r="AQ540" s="672"/>
      <c r="AR540" s="672"/>
      <c r="AS540" s="672"/>
      <c r="AT540" s="672"/>
      <c r="AU540" s="672"/>
      <c r="AV540" s="672"/>
      <c r="AW540" s="672"/>
      <c r="AX540" s="680"/>
      <c r="AY540" s="680"/>
      <c r="AZ540" s="665"/>
      <c r="BA540" s="665"/>
      <c r="BB540" s="665"/>
      <c r="BC540" s="665"/>
      <c r="BD540" s="665"/>
      <c r="BE540" s="665"/>
      <c r="BF540" s="665"/>
      <c r="BG540" s="665"/>
    </row>
    <row r="541" spans="6:59" ht="12" customHeight="1" x14ac:dyDescent="0.2">
      <c r="F541" s="582"/>
      <c r="M541" s="680"/>
      <c r="O541" s="672"/>
      <c r="P541" s="672"/>
      <c r="Q541" s="672"/>
      <c r="R541" s="672"/>
      <c r="S541" s="672"/>
      <c r="T541" s="672"/>
      <c r="U541" s="672"/>
      <c r="V541" s="672"/>
      <c r="W541" s="672"/>
      <c r="X541" s="672"/>
      <c r="Y541" s="672"/>
      <c r="Z541" s="672"/>
      <c r="AN541" s="672"/>
      <c r="AO541" s="672"/>
      <c r="AP541" s="672"/>
      <c r="AQ541" s="672"/>
      <c r="AR541" s="672"/>
      <c r="AS541" s="672"/>
      <c r="AT541" s="672"/>
      <c r="AU541" s="672"/>
      <c r="AV541" s="672"/>
      <c r="AW541" s="672"/>
      <c r="AX541" s="680"/>
      <c r="AY541" s="680"/>
      <c r="AZ541" s="665"/>
      <c r="BA541" s="665"/>
      <c r="BB541" s="665"/>
      <c r="BC541" s="665"/>
      <c r="BD541" s="665"/>
      <c r="BE541" s="665"/>
      <c r="BF541" s="665"/>
      <c r="BG541" s="665"/>
    </row>
    <row r="542" spans="6:59" ht="12" customHeight="1" x14ac:dyDescent="0.2">
      <c r="F542" s="582"/>
      <c r="M542" s="680"/>
      <c r="O542" s="672"/>
      <c r="P542" s="672"/>
      <c r="Q542" s="672"/>
      <c r="R542" s="672"/>
      <c r="S542" s="672"/>
      <c r="T542" s="672"/>
      <c r="U542" s="672"/>
      <c r="V542" s="672"/>
      <c r="W542" s="672"/>
      <c r="X542" s="672"/>
      <c r="Y542" s="672"/>
      <c r="Z542" s="672"/>
      <c r="AN542" s="672"/>
      <c r="AO542" s="672"/>
      <c r="AP542" s="672"/>
      <c r="AQ542" s="672"/>
      <c r="AR542" s="672"/>
      <c r="AS542" s="672"/>
      <c r="AT542" s="672"/>
      <c r="AU542" s="672"/>
      <c r="AV542" s="672"/>
      <c r="AW542" s="672"/>
      <c r="AX542" s="680"/>
      <c r="AY542" s="680"/>
      <c r="AZ542" s="665"/>
      <c r="BA542" s="665"/>
      <c r="BB542" s="665"/>
      <c r="BC542" s="665"/>
      <c r="BD542" s="665"/>
      <c r="BE542" s="665"/>
      <c r="BF542" s="665"/>
      <c r="BG542" s="665"/>
    </row>
    <row r="543" spans="6:59" ht="12" customHeight="1" x14ac:dyDescent="0.2">
      <c r="F543" s="582"/>
      <c r="M543" s="680"/>
      <c r="O543" s="672"/>
      <c r="P543" s="672"/>
      <c r="Q543" s="672"/>
      <c r="R543" s="672"/>
      <c r="S543" s="672"/>
      <c r="T543" s="672"/>
      <c r="U543" s="672"/>
      <c r="V543" s="672"/>
      <c r="W543" s="672"/>
      <c r="X543" s="672"/>
      <c r="Y543" s="672"/>
      <c r="Z543" s="672"/>
      <c r="AN543" s="672"/>
      <c r="AO543" s="672"/>
      <c r="AP543" s="672"/>
      <c r="AQ543" s="672"/>
      <c r="AR543" s="672"/>
      <c r="AS543" s="672"/>
      <c r="AT543" s="672"/>
      <c r="AU543" s="672"/>
      <c r="AV543" s="672"/>
      <c r="AW543" s="672"/>
      <c r="AX543" s="680"/>
      <c r="AY543" s="680"/>
      <c r="AZ543" s="665"/>
      <c r="BA543" s="665"/>
      <c r="BB543" s="665"/>
      <c r="BC543" s="665"/>
      <c r="BD543" s="665"/>
      <c r="BE543" s="665"/>
      <c r="BF543" s="665"/>
      <c r="BG543" s="665"/>
    </row>
    <row r="544" spans="6:59" ht="12" customHeight="1" x14ac:dyDescent="0.2">
      <c r="Z544" s="680"/>
      <c r="AB544" s="672"/>
      <c r="AC544" s="1822"/>
      <c r="AD544" s="1822"/>
      <c r="AE544" s="1822"/>
      <c r="AF544" s="1822"/>
      <c r="AG544" s="1822"/>
      <c r="AH544" s="1822"/>
      <c r="AI544" s="1822"/>
      <c r="AJ544" s="1822"/>
      <c r="AK544" s="1822"/>
      <c r="AL544" s="1822"/>
      <c r="AM544" s="672"/>
      <c r="AN544" s="672"/>
      <c r="AO544" s="672"/>
      <c r="AP544" s="672"/>
      <c r="AQ544" s="672"/>
      <c r="AR544" s="672"/>
      <c r="AS544" s="672"/>
      <c r="AT544" s="672"/>
      <c r="AU544" s="672"/>
      <c r="AV544" s="672"/>
      <c r="AW544" s="672"/>
      <c r="AX544" s="680"/>
      <c r="AY544" s="680"/>
      <c r="AZ544" s="665"/>
      <c r="BA544" s="665"/>
      <c r="BB544" s="665"/>
      <c r="BC544" s="665"/>
      <c r="BD544" s="665"/>
      <c r="BE544" s="665"/>
      <c r="BF544" s="665"/>
      <c r="BG544" s="665"/>
    </row>
    <row r="545" spans="26:59" ht="12" customHeight="1" x14ac:dyDescent="0.2">
      <c r="Z545" s="680"/>
      <c r="AB545" s="672"/>
      <c r="AC545" s="1822"/>
      <c r="AD545" s="1822"/>
      <c r="AE545" s="1822"/>
      <c r="AF545" s="1822"/>
      <c r="AG545" s="1822"/>
      <c r="AH545" s="1822"/>
      <c r="AI545" s="1822"/>
      <c r="AJ545" s="1822"/>
      <c r="AK545" s="1822"/>
      <c r="AL545" s="1822"/>
      <c r="AM545" s="672"/>
      <c r="AN545" s="672"/>
      <c r="AO545" s="672"/>
      <c r="AP545" s="672"/>
      <c r="AQ545" s="672"/>
      <c r="AR545" s="672"/>
      <c r="AS545" s="672"/>
      <c r="AT545" s="672"/>
      <c r="AU545" s="672"/>
      <c r="AV545" s="672"/>
      <c r="AW545" s="672"/>
      <c r="AX545" s="680"/>
      <c r="AY545" s="680"/>
      <c r="AZ545" s="665"/>
      <c r="BA545" s="665"/>
      <c r="BB545" s="665"/>
      <c r="BC545" s="665"/>
      <c r="BD545" s="665"/>
      <c r="BE545" s="665"/>
      <c r="BF545" s="665"/>
      <c r="BG545" s="665"/>
    </row>
    <row r="546" spans="26:59" ht="12" customHeight="1" x14ac:dyDescent="0.2">
      <c r="Z546" s="680"/>
      <c r="AB546" s="672"/>
      <c r="AC546" s="1822"/>
      <c r="AD546" s="1822"/>
      <c r="AE546" s="1822"/>
      <c r="AF546" s="1822"/>
      <c r="AG546" s="1822"/>
      <c r="AH546" s="1822"/>
      <c r="AI546" s="1822"/>
      <c r="AJ546" s="1822"/>
      <c r="AK546" s="1822"/>
      <c r="AL546" s="1822"/>
      <c r="AM546" s="672"/>
      <c r="AN546" s="672"/>
      <c r="AO546" s="672"/>
      <c r="AP546" s="672"/>
      <c r="AQ546" s="672"/>
      <c r="AR546" s="672"/>
      <c r="AS546" s="672"/>
      <c r="AT546" s="672"/>
      <c r="AU546" s="672"/>
      <c r="AV546" s="672"/>
      <c r="AW546" s="672"/>
      <c r="AX546" s="680"/>
      <c r="AY546" s="680"/>
      <c r="AZ546" s="665"/>
      <c r="BA546" s="665"/>
      <c r="BB546" s="665"/>
      <c r="BC546" s="665"/>
      <c r="BD546" s="665"/>
      <c r="BE546" s="665"/>
      <c r="BF546" s="665"/>
      <c r="BG546" s="665"/>
    </row>
    <row r="547" spans="26:59" ht="12" customHeight="1" x14ac:dyDescent="0.2">
      <c r="Z547" s="680"/>
      <c r="AB547" s="672"/>
      <c r="AC547" s="1822"/>
      <c r="AD547" s="1822"/>
      <c r="AE547" s="1822"/>
      <c r="AF547" s="1822"/>
      <c r="AG547" s="1822"/>
      <c r="AH547" s="1822"/>
      <c r="AI547" s="1822"/>
      <c r="AJ547" s="1822"/>
      <c r="AK547" s="1822"/>
      <c r="AL547" s="1822"/>
      <c r="AM547" s="672"/>
      <c r="AN547" s="672"/>
      <c r="AO547" s="672"/>
      <c r="AP547" s="672"/>
      <c r="AQ547" s="672"/>
      <c r="AR547" s="672"/>
      <c r="AS547" s="672"/>
      <c r="AT547" s="672"/>
      <c r="AU547" s="672"/>
      <c r="AV547" s="672"/>
      <c r="AW547" s="672"/>
      <c r="AX547" s="680"/>
      <c r="AY547" s="680"/>
      <c r="AZ547" s="665"/>
      <c r="BA547" s="665"/>
      <c r="BB547" s="665"/>
      <c r="BC547" s="665"/>
      <c r="BD547" s="665"/>
      <c r="BE547" s="665"/>
      <c r="BF547" s="665"/>
      <c r="BG547" s="665"/>
    </row>
    <row r="548" spans="26:59" ht="12" customHeight="1" x14ac:dyDescent="0.2">
      <c r="Z548" s="680"/>
      <c r="AB548" s="672"/>
      <c r="AC548" s="1822"/>
      <c r="AD548" s="1822"/>
      <c r="AE548" s="1822"/>
      <c r="AF548" s="1822"/>
      <c r="AG548" s="1822"/>
      <c r="AH548" s="1822"/>
      <c r="AI548" s="1822"/>
      <c r="AJ548" s="1822"/>
      <c r="AK548" s="1822"/>
      <c r="AL548" s="1822"/>
      <c r="AM548" s="672"/>
      <c r="AN548" s="672"/>
      <c r="AO548" s="672"/>
      <c r="AP548" s="672"/>
      <c r="AQ548" s="672"/>
      <c r="AR548" s="672"/>
      <c r="AS548" s="672"/>
      <c r="AT548" s="672"/>
      <c r="AU548" s="672"/>
      <c r="AV548" s="672"/>
      <c r="AW548" s="672"/>
      <c r="AX548" s="680"/>
      <c r="AY548" s="680"/>
      <c r="AZ548" s="665"/>
      <c r="BA548" s="665"/>
      <c r="BB548" s="665"/>
      <c r="BC548" s="665"/>
      <c r="BD548" s="665"/>
      <c r="BE548" s="665"/>
      <c r="BF548" s="665"/>
      <c r="BG548" s="665"/>
    </row>
    <row r="549" spans="26:59" ht="12" customHeight="1" x14ac:dyDescent="0.2">
      <c r="Z549" s="680"/>
      <c r="AB549" s="672"/>
      <c r="AC549" s="1822"/>
      <c r="AD549" s="1822"/>
      <c r="AE549" s="1822"/>
      <c r="AF549" s="1822"/>
      <c r="AG549" s="1822"/>
      <c r="AH549" s="1822"/>
      <c r="AI549" s="1822"/>
      <c r="AJ549" s="1822"/>
      <c r="AK549" s="1822"/>
      <c r="AL549" s="1822"/>
      <c r="AM549" s="672"/>
      <c r="AN549" s="672"/>
      <c r="AO549" s="672"/>
      <c r="AP549" s="672"/>
      <c r="AQ549" s="672"/>
      <c r="AR549" s="672"/>
      <c r="AS549" s="672"/>
      <c r="AT549" s="672"/>
      <c r="AU549" s="672"/>
      <c r="AV549" s="672"/>
      <c r="AW549" s="672"/>
      <c r="AX549" s="680"/>
      <c r="AY549" s="680"/>
      <c r="AZ549" s="665"/>
      <c r="BA549" s="665"/>
      <c r="BB549" s="665"/>
      <c r="BC549" s="665"/>
      <c r="BD549" s="665"/>
      <c r="BE549" s="665"/>
      <c r="BF549" s="665"/>
      <c r="BG549" s="665"/>
    </row>
    <row r="550" spans="26:59" ht="12" customHeight="1" x14ac:dyDescent="0.2">
      <c r="Z550" s="680"/>
      <c r="AB550" s="672"/>
      <c r="AC550" s="1822"/>
      <c r="AD550" s="1822"/>
      <c r="AE550" s="1822"/>
      <c r="AF550" s="1822"/>
      <c r="AG550" s="1822"/>
      <c r="AH550" s="1822"/>
      <c r="AI550" s="1822"/>
      <c r="AJ550" s="1822"/>
      <c r="AK550" s="1822"/>
      <c r="AL550" s="1822"/>
      <c r="AM550" s="672"/>
      <c r="AN550" s="672"/>
      <c r="AO550" s="672"/>
      <c r="AP550" s="672"/>
      <c r="AQ550" s="672"/>
      <c r="AR550" s="672"/>
      <c r="AS550" s="672"/>
      <c r="AT550" s="672"/>
      <c r="AU550" s="672"/>
      <c r="AV550" s="672"/>
      <c r="AW550" s="672"/>
      <c r="AX550" s="680"/>
      <c r="AY550" s="680"/>
      <c r="AZ550" s="665"/>
      <c r="BA550" s="665"/>
      <c r="BB550" s="665"/>
      <c r="BC550" s="665"/>
      <c r="BD550" s="665"/>
      <c r="BE550" s="665"/>
      <c r="BF550" s="665"/>
      <c r="BG550" s="665"/>
    </row>
    <row r="551" spans="26:59" ht="12" customHeight="1" x14ac:dyDescent="0.2">
      <c r="Z551" s="680"/>
      <c r="AB551" s="672"/>
      <c r="AC551" s="1822"/>
      <c r="AD551" s="1822"/>
      <c r="AE551" s="1822"/>
      <c r="AF551" s="1822"/>
      <c r="AG551" s="1822"/>
      <c r="AH551" s="1822"/>
      <c r="AI551" s="1822"/>
      <c r="AJ551" s="1822"/>
      <c r="AK551" s="1822"/>
      <c r="AL551" s="1822"/>
      <c r="AM551" s="672"/>
      <c r="AN551" s="672"/>
      <c r="AO551" s="672"/>
      <c r="AP551" s="672"/>
      <c r="AQ551" s="672"/>
      <c r="AR551" s="672"/>
      <c r="AS551" s="672"/>
      <c r="AT551" s="672"/>
      <c r="AU551" s="672"/>
      <c r="AV551" s="672"/>
      <c r="AW551" s="672"/>
      <c r="AX551" s="680"/>
      <c r="AY551" s="680"/>
      <c r="AZ551" s="665"/>
      <c r="BA551" s="665"/>
      <c r="BB551" s="665"/>
      <c r="BC551" s="665"/>
      <c r="BD551" s="665"/>
      <c r="BE551" s="665"/>
      <c r="BF551" s="665"/>
      <c r="BG551" s="665"/>
    </row>
    <row r="552" spans="26:59" ht="12" customHeight="1" x14ac:dyDescent="0.2">
      <c r="Z552" s="680"/>
      <c r="AB552" s="672"/>
      <c r="AC552" s="1822"/>
      <c r="AD552" s="1822"/>
      <c r="AE552" s="1822"/>
      <c r="AF552" s="1822"/>
      <c r="AG552" s="1822"/>
      <c r="AH552" s="1822"/>
      <c r="AI552" s="1822"/>
      <c r="AJ552" s="1822"/>
      <c r="AK552" s="1822"/>
      <c r="AL552" s="1822"/>
      <c r="AM552" s="672"/>
      <c r="AN552" s="672"/>
      <c r="AO552" s="672"/>
      <c r="AP552" s="672"/>
      <c r="AQ552" s="672"/>
      <c r="AR552" s="672"/>
      <c r="AS552" s="672"/>
      <c r="AT552" s="672"/>
      <c r="AU552" s="672"/>
      <c r="AV552" s="672"/>
      <c r="AW552" s="672"/>
      <c r="AX552" s="680"/>
      <c r="AY552" s="680"/>
      <c r="AZ552" s="665"/>
      <c r="BA552" s="665"/>
      <c r="BB552" s="665"/>
      <c r="BC552" s="665"/>
      <c r="BD552" s="665"/>
      <c r="BE552" s="665"/>
      <c r="BF552" s="665"/>
      <c r="BG552" s="665"/>
    </row>
    <row r="553" spans="26:59" ht="12" customHeight="1" x14ac:dyDescent="0.2">
      <c r="Z553" s="680"/>
      <c r="AB553" s="672"/>
      <c r="AC553" s="1822"/>
      <c r="AD553" s="1822"/>
      <c r="AE553" s="1822"/>
      <c r="AF553" s="1822"/>
      <c r="AG553" s="1822"/>
      <c r="AH553" s="1822"/>
      <c r="AI553" s="1822"/>
      <c r="AJ553" s="1822"/>
      <c r="AK553" s="1822"/>
      <c r="AL553" s="1822"/>
      <c r="AM553" s="672"/>
      <c r="AN553" s="672"/>
      <c r="AO553" s="672"/>
      <c r="AP553" s="672"/>
      <c r="AQ553" s="672"/>
      <c r="AR553" s="672"/>
      <c r="AS553" s="672"/>
      <c r="AT553" s="672"/>
      <c r="AU553" s="672"/>
      <c r="AV553" s="672"/>
      <c r="AW553" s="672"/>
      <c r="AX553" s="680"/>
      <c r="AY553" s="680"/>
      <c r="AZ553" s="665"/>
      <c r="BA553" s="665"/>
      <c r="BB553" s="665"/>
      <c r="BC553" s="665"/>
      <c r="BD553" s="665"/>
      <c r="BE553" s="665"/>
      <c r="BF553" s="665"/>
      <c r="BG553" s="665"/>
    </row>
    <row r="554" spans="26:59" ht="12" customHeight="1" x14ac:dyDescent="0.2">
      <c r="Z554" s="680"/>
      <c r="AB554" s="672"/>
      <c r="AC554" s="1822"/>
      <c r="AD554" s="1822"/>
      <c r="AE554" s="1822"/>
      <c r="AF554" s="1822"/>
      <c r="AG554" s="1822"/>
      <c r="AH554" s="1822"/>
      <c r="AI554" s="1822"/>
      <c r="AJ554" s="1822"/>
      <c r="AK554" s="1822"/>
      <c r="AL554" s="1822"/>
      <c r="AM554" s="672"/>
      <c r="AN554" s="672"/>
      <c r="AO554" s="672"/>
      <c r="AP554" s="672"/>
      <c r="AQ554" s="672"/>
      <c r="AR554" s="672"/>
      <c r="AS554" s="672"/>
      <c r="AT554" s="672"/>
      <c r="AU554" s="672"/>
      <c r="AV554" s="672"/>
      <c r="AW554" s="672"/>
      <c r="AX554" s="680"/>
      <c r="AY554" s="680"/>
      <c r="AZ554" s="665"/>
      <c r="BA554" s="665"/>
      <c r="BB554" s="665"/>
      <c r="BC554" s="665"/>
      <c r="BD554" s="665"/>
      <c r="BE554" s="665"/>
      <c r="BF554" s="665"/>
      <c r="BG554" s="665"/>
    </row>
    <row r="555" spans="26:59" ht="12" customHeight="1" x14ac:dyDescent="0.2">
      <c r="Z555" s="680"/>
      <c r="AB555" s="672"/>
      <c r="AC555" s="1822"/>
      <c r="AD555" s="1822"/>
      <c r="AE555" s="1822"/>
      <c r="AF555" s="1822"/>
      <c r="AG555" s="1822"/>
      <c r="AH555" s="1822"/>
      <c r="AI555" s="1822"/>
      <c r="AJ555" s="1822"/>
      <c r="AK555" s="1822"/>
      <c r="AL555" s="1822"/>
      <c r="AM555" s="672"/>
      <c r="AN555" s="672"/>
      <c r="AO555" s="672"/>
      <c r="AP555" s="672"/>
      <c r="AQ555" s="672"/>
      <c r="AR555" s="672"/>
      <c r="AS555" s="672"/>
      <c r="AT555" s="672"/>
      <c r="AU555" s="672"/>
      <c r="AV555" s="672"/>
      <c r="AW555" s="672"/>
      <c r="AX555" s="680"/>
      <c r="AY555" s="680"/>
      <c r="AZ555" s="665"/>
      <c r="BA555" s="665"/>
      <c r="BB555" s="665"/>
      <c r="BC555" s="665"/>
      <c r="BD555" s="665"/>
      <c r="BE555" s="665"/>
      <c r="BF555" s="665"/>
      <c r="BG555" s="665"/>
    </row>
    <row r="556" spans="26:59" ht="12" customHeight="1" x14ac:dyDescent="0.2">
      <c r="Z556" s="680"/>
      <c r="AB556" s="672"/>
      <c r="AC556" s="1822"/>
      <c r="AD556" s="1822"/>
      <c r="AE556" s="1822"/>
      <c r="AF556" s="1822"/>
      <c r="AG556" s="1822"/>
      <c r="AH556" s="1822"/>
      <c r="AI556" s="1822"/>
      <c r="AJ556" s="1822"/>
      <c r="AK556" s="1822"/>
      <c r="AL556" s="1822"/>
      <c r="AM556" s="672"/>
      <c r="AN556" s="672"/>
      <c r="AO556" s="672"/>
      <c r="AP556" s="672"/>
      <c r="AQ556" s="672"/>
      <c r="AR556" s="672"/>
      <c r="AS556" s="672"/>
      <c r="AT556" s="672"/>
      <c r="AU556" s="672"/>
      <c r="AV556" s="672"/>
      <c r="AW556" s="672"/>
      <c r="AX556" s="680"/>
      <c r="AY556" s="680"/>
      <c r="AZ556" s="665"/>
      <c r="BA556" s="665"/>
      <c r="BB556" s="665"/>
      <c r="BC556" s="665"/>
      <c r="BD556" s="665"/>
      <c r="BE556" s="665"/>
      <c r="BF556" s="665"/>
      <c r="BG556" s="665"/>
    </row>
    <row r="557" spans="26:59" ht="12" customHeight="1" x14ac:dyDescent="0.2">
      <c r="Z557" s="680"/>
      <c r="AB557" s="672"/>
      <c r="AC557" s="1822"/>
      <c r="AD557" s="1822"/>
      <c r="AE557" s="1822"/>
      <c r="AF557" s="1822"/>
      <c r="AG557" s="1822"/>
      <c r="AH557" s="1822"/>
      <c r="AI557" s="1822"/>
      <c r="AJ557" s="1822"/>
      <c r="AK557" s="1822"/>
      <c r="AL557" s="1822"/>
      <c r="AM557" s="672"/>
      <c r="AN557" s="672"/>
      <c r="AO557" s="672"/>
      <c r="AP557" s="672"/>
      <c r="AQ557" s="672"/>
      <c r="AR557" s="672"/>
      <c r="AS557" s="672"/>
      <c r="AT557" s="672"/>
      <c r="AU557" s="672"/>
      <c r="AV557" s="672"/>
      <c r="AW557" s="672"/>
      <c r="AX557" s="680"/>
      <c r="AY557" s="680"/>
      <c r="AZ557" s="665"/>
      <c r="BA557" s="665"/>
      <c r="BB557" s="665"/>
      <c r="BC557" s="665"/>
      <c r="BD557" s="665"/>
      <c r="BE557" s="665"/>
      <c r="BF557" s="665"/>
      <c r="BG557" s="665"/>
    </row>
    <row r="558" spans="26:59" ht="12" customHeight="1" x14ac:dyDescent="0.2">
      <c r="Z558" s="680"/>
      <c r="AB558" s="672"/>
      <c r="AC558" s="1822"/>
      <c r="AD558" s="1822"/>
      <c r="AE558" s="1822"/>
      <c r="AF558" s="1822"/>
      <c r="AG558" s="1822"/>
      <c r="AH558" s="1822"/>
      <c r="AI558" s="1822"/>
      <c r="AJ558" s="1822"/>
      <c r="AK558" s="1822"/>
      <c r="AL558" s="1822"/>
      <c r="AM558" s="672"/>
      <c r="AN558" s="672"/>
      <c r="AO558" s="672"/>
      <c r="AP558" s="672"/>
      <c r="AQ558" s="672"/>
      <c r="AR558" s="672"/>
      <c r="AS558" s="672"/>
      <c r="AT558" s="672"/>
      <c r="AU558" s="672"/>
      <c r="AV558" s="672"/>
      <c r="AW558" s="672"/>
      <c r="AX558" s="680"/>
      <c r="AY558" s="680"/>
      <c r="AZ558" s="665"/>
      <c r="BA558" s="665"/>
      <c r="BB558" s="665"/>
      <c r="BC558" s="665"/>
      <c r="BD558" s="665"/>
      <c r="BE558" s="665"/>
      <c r="BF558" s="665"/>
      <c r="BG558" s="665"/>
    </row>
    <row r="559" spans="26:59" ht="12" customHeight="1" x14ac:dyDescent="0.2">
      <c r="Z559" s="680"/>
      <c r="AB559" s="672"/>
      <c r="AC559" s="1822"/>
      <c r="AD559" s="1822"/>
      <c r="AE559" s="1822"/>
      <c r="AF559" s="1822"/>
      <c r="AG559" s="1822"/>
      <c r="AH559" s="1822"/>
      <c r="AI559" s="1822"/>
      <c r="AJ559" s="1822"/>
      <c r="AK559" s="1822"/>
      <c r="AL559" s="1822"/>
      <c r="AM559" s="672"/>
      <c r="AN559" s="672"/>
      <c r="AO559" s="672"/>
      <c r="AP559" s="672"/>
      <c r="AQ559" s="672"/>
      <c r="AR559" s="672"/>
      <c r="AS559" s="672"/>
      <c r="AT559" s="672"/>
      <c r="AU559" s="672"/>
      <c r="AV559" s="672"/>
      <c r="AW559" s="672"/>
      <c r="AX559" s="680"/>
      <c r="AY559" s="680"/>
      <c r="AZ559" s="665"/>
      <c r="BA559" s="665"/>
      <c r="BB559" s="665"/>
      <c r="BC559" s="665"/>
      <c r="BD559" s="665"/>
      <c r="BE559" s="665"/>
      <c r="BF559" s="665"/>
      <c r="BG559" s="665"/>
    </row>
    <row r="560" spans="26:59" ht="12" customHeight="1" x14ac:dyDescent="0.2">
      <c r="Z560" s="680"/>
      <c r="AB560" s="672"/>
      <c r="AC560" s="1822"/>
      <c r="AD560" s="1822"/>
      <c r="AE560" s="1822"/>
      <c r="AF560" s="1822"/>
      <c r="AG560" s="1822"/>
      <c r="AH560" s="1822"/>
      <c r="AI560" s="1822"/>
      <c r="AJ560" s="1822"/>
      <c r="AK560" s="1822"/>
      <c r="AL560" s="1822"/>
      <c r="AM560" s="672"/>
      <c r="AN560" s="672"/>
      <c r="AO560" s="672"/>
      <c r="AP560" s="672"/>
      <c r="AQ560" s="672"/>
      <c r="AR560" s="672"/>
      <c r="AS560" s="672"/>
      <c r="AT560" s="672"/>
      <c r="AU560" s="672"/>
      <c r="AV560" s="672"/>
      <c r="AW560" s="672"/>
      <c r="AX560" s="680"/>
      <c r="AY560" s="680"/>
      <c r="AZ560" s="665"/>
      <c r="BA560" s="665"/>
      <c r="BB560" s="665"/>
      <c r="BC560" s="665"/>
      <c r="BD560" s="665"/>
      <c r="BE560" s="665"/>
      <c r="BF560" s="665"/>
      <c r="BG560" s="665"/>
    </row>
    <row r="561" spans="26:59" ht="12" customHeight="1" x14ac:dyDescent="0.2">
      <c r="Z561" s="680"/>
      <c r="AB561" s="672"/>
      <c r="AC561" s="1822"/>
      <c r="AD561" s="1822"/>
      <c r="AE561" s="1822"/>
      <c r="AF561" s="1822"/>
      <c r="AG561" s="1822"/>
      <c r="AH561" s="1822"/>
      <c r="AI561" s="1822"/>
      <c r="AJ561" s="1822"/>
      <c r="AK561" s="1822"/>
      <c r="AL561" s="1822"/>
      <c r="AM561" s="672"/>
      <c r="AN561" s="672"/>
      <c r="AO561" s="672"/>
      <c r="AP561" s="672"/>
      <c r="AQ561" s="672"/>
      <c r="AR561" s="672"/>
      <c r="AS561" s="672"/>
      <c r="AT561" s="672"/>
      <c r="AU561" s="672"/>
      <c r="AV561" s="672"/>
      <c r="AW561" s="672"/>
      <c r="AX561" s="680"/>
      <c r="AY561" s="680"/>
      <c r="AZ561" s="665"/>
      <c r="BA561" s="665"/>
      <c r="BB561" s="665"/>
      <c r="BC561" s="665"/>
      <c r="BD561" s="665"/>
      <c r="BE561" s="665"/>
      <c r="BF561" s="665"/>
      <c r="BG561" s="665"/>
    </row>
    <row r="562" spans="26:59" ht="12" customHeight="1" x14ac:dyDescent="0.2">
      <c r="Z562" s="680"/>
      <c r="AB562" s="672"/>
      <c r="AC562" s="1822"/>
      <c r="AD562" s="1822"/>
      <c r="AE562" s="1822"/>
      <c r="AF562" s="1822"/>
      <c r="AG562" s="1822"/>
      <c r="AH562" s="1822"/>
      <c r="AI562" s="1822"/>
      <c r="AJ562" s="1822"/>
      <c r="AK562" s="1822"/>
      <c r="AL562" s="1822"/>
      <c r="AM562" s="672"/>
      <c r="AN562" s="672"/>
      <c r="AO562" s="672"/>
      <c r="AP562" s="672"/>
      <c r="AQ562" s="672"/>
      <c r="AR562" s="672"/>
      <c r="AS562" s="672"/>
      <c r="AT562" s="672"/>
      <c r="AU562" s="672"/>
      <c r="AV562" s="672"/>
      <c r="AW562" s="672"/>
      <c r="AX562" s="680"/>
      <c r="AY562" s="680"/>
      <c r="AZ562" s="665"/>
      <c r="BA562" s="665"/>
      <c r="BB562" s="665"/>
      <c r="BC562" s="665"/>
      <c r="BD562" s="665"/>
      <c r="BE562" s="665"/>
      <c r="BF562" s="665"/>
      <c r="BG562" s="665"/>
    </row>
    <row r="563" spans="26:59" ht="12" customHeight="1" x14ac:dyDescent="0.2">
      <c r="Z563" s="680"/>
      <c r="AB563" s="672"/>
      <c r="AC563" s="1822"/>
      <c r="AD563" s="1822"/>
      <c r="AE563" s="1822"/>
      <c r="AF563" s="1822"/>
      <c r="AG563" s="1822"/>
      <c r="AH563" s="1822"/>
      <c r="AI563" s="1822"/>
      <c r="AJ563" s="1822"/>
      <c r="AK563" s="1822"/>
      <c r="AL563" s="1822"/>
      <c r="AM563" s="672"/>
      <c r="AN563" s="672"/>
      <c r="AO563" s="672"/>
      <c r="AP563" s="672"/>
      <c r="AQ563" s="672"/>
      <c r="AR563" s="672"/>
      <c r="AS563" s="672"/>
      <c r="AT563" s="672"/>
      <c r="AU563" s="672"/>
      <c r="AV563" s="672"/>
      <c r="AW563" s="672"/>
      <c r="AX563" s="680"/>
      <c r="AY563" s="680"/>
      <c r="AZ563" s="665"/>
      <c r="BA563" s="665"/>
      <c r="BB563" s="665"/>
      <c r="BC563" s="665"/>
      <c r="BD563" s="665"/>
      <c r="BE563" s="665"/>
      <c r="BF563" s="665"/>
      <c r="BG563" s="665"/>
    </row>
    <row r="564" spans="26:59" ht="12" customHeight="1" x14ac:dyDescent="0.2">
      <c r="Z564" s="680"/>
      <c r="AB564" s="672"/>
      <c r="AC564" s="1822"/>
      <c r="AD564" s="1822"/>
      <c r="AE564" s="1822"/>
      <c r="AF564" s="1822"/>
      <c r="AG564" s="1822"/>
      <c r="AH564" s="1822"/>
      <c r="AI564" s="1822"/>
      <c r="AJ564" s="1822"/>
      <c r="AK564" s="1822"/>
      <c r="AL564" s="1822"/>
      <c r="AM564" s="672"/>
      <c r="AN564" s="672"/>
      <c r="AO564" s="672"/>
      <c r="AP564" s="672"/>
      <c r="AQ564" s="672"/>
      <c r="AR564" s="672"/>
      <c r="AS564" s="672"/>
      <c r="AT564" s="672"/>
      <c r="AU564" s="672"/>
      <c r="AV564" s="672"/>
      <c r="AW564" s="672"/>
      <c r="AX564" s="680"/>
      <c r="AY564" s="680"/>
      <c r="AZ564" s="665"/>
      <c r="BA564" s="665"/>
      <c r="BB564" s="665"/>
      <c r="BC564" s="665"/>
      <c r="BD564" s="665"/>
      <c r="BE564" s="665"/>
      <c r="BF564" s="665"/>
      <c r="BG564" s="665"/>
    </row>
    <row r="565" spans="26:59" ht="12" customHeight="1" x14ac:dyDescent="0.2">
      <c r="Z565" s="680"/>
      <c r="AB565" s="672"/>
      <c r="AC565" s="1822"/>
      <c r="AD565" s="1822"/>
      <c r="AE565" s="1822"/>
      <c r="AF565" s="1822"/>
      <c r="AG565" s="1822"/>
      <c r="AH565" s="1822"/>
      <c r="AI565" s="1822"/>
      <c r="AJ565" s="1822"/>
      <c r="AK565" s="1822"/>
      <c r="AL565" s="1822"/>
      <c r="AM565" s="672"/>
      <c r="AN565" s="672"/>
      <c r="AO565" s="672"/>
      <c r="AP565" s="672"/>
      <c r="AQ565" s="672"/>
      <c r="AR565" s="672"/>
      <c r="AS565" s="672"/>
      <c r="AT565" s="672"/>
      <c r="AU565" s="672"/>
      <c r="AV565" s="672"/>
      <c r="AW565" s="672"/>
      <c r="AX565" s="680"/>
      <c r="AY565" s="680"/>
      <c r="AZ565" s="665"/>
      <c r="BA565" s="665"/>
      <c r="BB565" s="665"/>
      <c r="BC565" s="665"/>
      <c r="BD565" s="665"/>
      <c r="BE565" s="665"/>
      <c r="BF565" s="665"/>
      <c r="BG565" s="665"/>
    </row>
    <row r="566" spans="26:59" ht="12" customHeight="1" x14ac:dyDescent="0.2">
      <c r="Z566" s="680"/>
      <c r="AB566" s="672"/>
      <c r="AC566" s="1822"/>
      <c r="AD566" s="1822"/>
      <c r="AE566" s="1822"/>
      <c r="AF566" s="1822"/>
      <c r="AG566" s="1822"/>
      <c r="AH566" s="1822"/>
      <c r="AI566" s="1822"/>
      <c r="AJ566" s="1822"/>
      <c r="AK566" s="1822"/>
      <c r="AL566" s="1822"/>
      <c r="AM566" s="672"/>
      <c r="AN566" s="672"/>
      <c r="AO566" s="672"/>
      <c r="AP566" s="672"/>
      <c r="AQ566" s="672"/>
      <c r="AR566" s="672"/>
      <c r="AS566" s="672"/>
      <c r="AT566" s="672"/>
      <c r="AU566" s="672"/>
      <c r="AV566" s="672"/>
      <c r="AW566" s="672"/>
      <c r="AX566" s="680"/>
      <c r="AY566" s="680"/>
      <c r="AZ566" s="665"/>
      <c r="BA566" s="665"/>
      <c r="BB566" s="665"/>
      <c r="BC566" s="665"/>
      <c r="BD566" s="665"/>
      <c r="BE566" s="665"/>
      <c r="BF566" s="665"/>
      <c r="BG566" s="665"/>
    </row>
    <row r="567" spans="26:59" ht="12" customHeight="1" x14ac:dyDescent="0.2">
      <c r="Z567" s="680"/>
      <c r="AB567" s="672"/>
      <c r="AC567" s="1822"/>
      <c r="AD567" s="1822"/>
      <c r="AE567" s="1822"/>
      <c r="AF567" s="1822"/>
      <c r="AG567" s="1822"/>
      <c r="AH567" s="1822"/>
      <c r="AI567" s="1822"/>
      <c r="AJ567" s="1822"/>
      <c r="AK567" s="1822"/>
      <c r="AL567" s="1822"/>
      <c r="AM567" s="672"/>
      <c r="AN567" s="672"/>
      <c r="AO567" s="672"/>
      <c r="AP567" s="672"/>
      <c r="AQ567" s="672"/>
      <c r="AR567" s="672"/>
      <c r="AS567" s="672"/>
      <c r="AT567" s="672"/>
      <c r="AU567" s="672"/>
      <c r="AV567" s="672"/>
      <c r="AW567" s="672"/>
      <c r="AX567" s="680"/>
      <c r="AY567" s="680"/>
      <c r="AZ567" s="665"/>
      <c r="BA567" s="665"/>
      <c r="BB567" s="665"/>
      <c r="BC567" s="665"/>
      <c r="BD567" s="665"/>
      <c r="BE567" s="665"/>
      <c r="BF567" s="665"/>
      <c r="BG567" s="665"/>
    </row>
    <row r="568" spans="26:59" ht="12" customHeight="1" x14ac:dyDescent="0.2">
      <c r="Z568" s="680"/>
      <c r="AB568" s="672"/>
      <c r="AC568" s="1822"/>
      <c r="AD568" s="1822"/>
      <c r="AE568" s="1822"/>
      <c r="AF568" s="1822"/>
      <c r="AG568" s="1822"/>
      <c r="AH568" s="1822"/>
      <c r="AI568" s="1822"/>
      <c r="AJ568" s="1822"/>
      <c r="AK568" s="1822"/>
      <c r="AL568" s="1822"/>
      <c r="AM568" s="672"/>
      <c r="AN568" s="672"/>
      <c r="AO568" s="672"/>
      <c r="AP568" s="672"/>
      <c r="AQ568" s="672"/>
      <c r="AR568" s="672"/>
      <c r="AS568" s="672"/>
      <c r="AT568" s="672"/>
      <c r="AU568" s="672"/>
      <c r="AV568" s="672"/>
      <c r="AW568" s="672"/>
      <c r="AX568" s="680"/>
      <c r="AY568" s="680"/>
      <c r="AZ568" s="665"/>
      <c r="BA568" s="665"/>
      <c r="BB568" s="665"/>
      <c r="BC568" s="665"/>
      <c r="BD568" s="665"/>
      <c r="BE568" s="665"/>
      <c r="BF568" s="665"/>
      <c r="BG568" s="665"/>
    </row>
    <row r="569" spans="26:59" ht="12" customHeight="1" x14ac:dyDescent="0.2">
      <c r="Z569" s="680"/>
      <c r="AB569" s="672"/>
      <c r="AC569" s="1822"/>
      <c r="AD569" s="1822"/>
      <c r="AE569" s="1822"/>
      <c r="AF569" s="1822"/>
      <c r="AG569" s="1822"/>
      <c r="AH569" s="1822"/>
      <c r="AI569" s="1822"/>
      <c r="AJ569" s="1822"/>
      <c r="AK569" s="1822"/>
      <c r="AL569" s="1822"/>
      <c r="AM569" s="672"/>
      <c r="AN569" s="672"/>
      <c r="AO569" s="672"/>
      <c r="AP569" s="672"/>
      <c r="AQ569" s="672"/>
      <c r="AR569" s="672"/>
      <c r="AS569" s="672"/>
      <c r="AT569" s="672"/>
      <c r="AU569" s="672"/>
      <c r="AV569" s="672"/>
      <c r="AW569" s="672"/>
      <c r="AX569" s="680"/>
      <c r="AY569" s="680"/>
      <c r="AZ569" s="665"/>
      <c r="BA569" s="665"/>
      <c r="BB569" s="665"/>
      <c r="BC569" s="665"/>
      <c r="BD569" s="665"/>
      <c r="BE569" s="665"/>
      <c r="BF569" s="665"/>
      <c r="BG569" s="665"/>
    </row>
    <row r="570" spans="26:59" ht="12" customHeight="1" x14ac:dyDescent="0.2">
      <c r="Z570" s="680"/>
      <c r="AB570" s="672"/>
      <c r="AC570" s="1822"/>
      <c r="AD570" s="1822"/>
      <c r="AE570" s="1822"/>
      <c r="AF570" s="1822"/>
      <c r="AG570" s="1822"/>
      <c r="AH570" s="1822"/>
      <c r="AI570" s="1822"/>
      <c r="AJ570" s="1822"/>
      <c r="AK570" s="1822"/>
      <c r="AL570" s="1822"/>
      <c r="AM570" s="672"/>
      <c r="AN570" s="672"/>
      <c r="AO570" s="672"/>
      <c r="AP570" s="672"/>
      <c r="AQ570" s="672"/>
      <c r="AR570" s="672"/>
      <c r="AS570" s="672"/>
      <c r="AT570" s="672"/>
      <c r="AU570" s="672"/>
      <c r="AV570" s="672"/>
      <c r="AW570" s="672"/>
      <c r="AX570" s="680"/>
      <c r="AY570" s="680"/>
      <c r="AZ570" s="665"/>
      <c r="BA570" s="665"/>
      <c r="BB570" s="665"/>
      <c r="BC570" s="665"/>
      <c r="BD570" s="665"/>
      <c r="BE570" s="665"/>
      <c r="BF570" s="665"/>
      <c r="BG570" s="665"/>
    </row>
    <row r="571" spans="26:59" ht="12" customHeight="1" x14ac:dyDescent="0.2">
      <c r="Z571" s="680"/>
      <c r="AB571" s="672"/>
      <c r="AC571" s="1822"/>
      <c r="AD571" s="1822"/>
      <c r="AE571" s="1822"/>
      <c r="AF571" s="1822"/>
      <c r="AG571" s="1822"/>
      <c r="AH571" s="1822"/>
      <c r="AI571" s="1822"/>
      <c r="AJ571" s="1822"/>
      <c r="AK571" s="1822"/>
      <c r="AL571" s="1822"/>
      <c r="AM571" s="672"/>
      <c r="AN571" s="672"/>
      <c r="AO571" s="672"/>
      <c r="AP571" s="672"/>
      <c r="AQ571" s="672"/>
      <c r="AR571" s="672"/>
      <c r="AS571" s="672"/>
      <c r="AT571" s="672"/>
      <c r="AU571" s="672"/>
      <c r="AV571" s="672"/>
      <c r="AW571" s="672"/>
      <c r="AX571" s="680"/>
      <c r="AY571" s="680"/>
      <c r="AZ571" s="665"/>
      <c r="BA571" s="665"/>
      <c r="BB571" s="665"/>
      <c r="BC571" s="665"/>
      <c r="BD571" s="665"/>
      <c r="BE571" s="665"/>
      <c r="BF571" s="665"/>
      <c r="BG571" s="665"/>
    </row>
    <row r="572" spans="26:59" ht="12" customHeight="1" x14ac:dyDescent="0.2">
      <c r="Z572" s="680"/>
      <c r="AB572" s="672"/>
      <c r="AC572" s="1822"/>
      <c r="AD572" s="1822"/>
      <c r="AE572" s="1822"/>
      <c r="AF572" s="1822"/>
      <c r="AG572" s="1822"/>
      <c r="AH572" s="1822"/>
      <c r="AI572" s="1822"/>
      <c r="AJ572" s="1822"/>
      <c r="AK572" s="1822"/>
      <c r="AL572" s="1822"/>
      <c r="AM572" s="672"/>
      <c r="AN572" s="672"/>
      <c r="AO572" s="672"/>
      <c r="AP572" s="672"/>
      <c r="AQ572" s="672"/>
      <c r="AR572" s="672"/>
      <c r="AS572" s="672"/>
      <c r="AT572" s="672"/>
      <c r="AU572" s="672"/>
      <c r="AV572" s="672"/>
      <c r="AW572" s="672"/>
      <c r="AX572" s="680"/>
      <c r="AY572" s="680"/>
      <c r="AZ572" s="665"/>
      <c r="BA572" s="665"/>
      <c r="BB572" s="665"/>
      <c r="BC572" s="665"/>
      <c r="BD572" s="665"/>
      <c r="BE572" s="665"/>
      <c r="BF572" s="665"/>
      <c r="BG572" s="665"/>
    </row>
    <row r="573" spans="26:59" ht="12" customHeight="1" x14ac:dyDescent="0.2">
      <c r="Z573" s="680"/>
      <c r="AB573" s="672"/>
      <c r="AC573" s="1822"/>
      <c r="AD573" s="1822"/>
      <c r="AE573" s="1822"/>
      <c r="AF573" s="1822"/>
      <c r="AG573" s="1822"/>
      <c r="AH573" s="1822"/>
      <c r="AI573" s="1822"/>
      <c r="AJ573" s="1822"/>
      <c r="AK573" s="1822"/>
      <c r="AL573" s="1822"/>
      <c r="AM573" s="672"/>
      <c r="AN573" s="672"/>
      <c r="AO573" s="672"/>
      <c r="AP573" s="672"/>
      <c r="AQ573" s="672"/>
      <c r="AR573" s="672"/>
      <c r="AS573" s="672"/>
      <c r="AT573" s="672"/>
      <c r="AU573" s="672"/>
      <c r="AV573" s="672"/>
      <c r="AW573" s="672"/>
      <c r="AX573" s="680"/>
      <c r="AY573" s="680"/>
      <c r="AZ573" s="665"/>
      <c r="BA573" s="665"/>
      <c r="BB573" s="665"/>
      <c r="BC573" s="665"/>
      <c r="BD573" s="665"/>
      <c r="BE573" s="665"/>
      <c r="BF573" s="665"/>
      <c r="BG573" s="665"/>
    </row>
    <row r="574" spans="26:59" ht="12" customHeight="1" x14ac:dyDescent="0.2">
      <c r="Z574" s="680"/>
      <c r="AB574" s="672"/>
      <c r="AC574" s="1822"/>
      <c r="AD574" s="1822"/>
      <c r="AE574" s="1822"/>
      <c r="AF574" s="1822"/>
      <c r="AG574" s="1822"/>
      <c r="AH574" s="1822"/>
      <c r="AI574" s="1822"/>
      <c r="AJ574" s="1822"/>
      <c r="AK574" s="1822"/>
      <c r="AL574" s="1822"/>
      <c r="AM574" s="672"/>
      <c r="AN574" s="672"/>
      <c r="AO574" s="672"/>
      <c r="AP574" s="672"/>
      <c r="AQ574" s="672"/>
      <c r="AR574" s="672"/>
      <c r="AS574" s="672"/>
      <c r="AT574" s="672"/>
      <c r="AU574" s="672"/>
      <c r="AV574" s="672"/>
      <c r="AW574" s="672"/>
      <c r="AX574" s="680"/>
      <c r="AY574" s="680"/>
      <c r="AZ574" s="665"/>
      <c r="BA574" s="665"/>
      <c r="BB574" s="665"/>
      <c r="BC574" s="665"/>
      <c r="BD574" s="665"/>
      <c r="BE574" s="665"/>
      <c r="BF574" s="665"/>
      <c r="BG574" s="665"/>
    </row>
    <row r="575" spans="26:59" ht="12" customHeight="1" x14ac:dyDescent="0.2">
      <c r="Z575" s="680"/>
      <c r="AB575" s="672"/>
      <c r="AC575" s="1822"/>
      <c r="AD575" s="1822"/>
      <c r="AE575" s="1822"/>
      <c r="AF575" s="1822"/>
      <c r="AG575" s="1822"/>
      <c r="AH575" s="1822"/>
      <c r="AI575" s="1822"/>
      <c r="AJ575" s="1822"/>
      <c r="AK575" s="1822"/>
      <c r="AL575" s="1822"/>
      <c r="AM575" s="672"/>
      <c r="AN575" s="672"/>
      <c r="AO575" s="672"/>
      <c r="AP575" s="672"/>
      <c r="AQ575" s="672"/>
      <c r="AR575" s="672"/>
      <c r="AS575" s="672"/>
      <c r="AT575" s="672"/>
      <c r="AU575" s="672"/>
      <c r="AV575" s="672"/>
      <c r="AW575" s="672"/>
      <c r="AX575" s="680"/>
      <c r="AY575" s="680"/>
      <c r="AZ575" s="665"/>
      <c r="BA575" s="665"/>
      <c r="BB575" s="665"/>
      <c r="BC575" s="665"/>
      <c r="BD575" s="665"/>
      <c r="BE575" s="665"/>
      <c r="BF575" s="665"/>
      <c r="BG575" s="665"/>
    </row>
    <row r="576" spans="26:59" ht="12" customHeight="1" x14ac:dyDescent="0.2">
      <c r="Z576" s="680"/>
      <c r="AB576" s="672"/>
      <c r="AC576" s="1822"/>
      <c r="AD576" s="1822"/>
      <c r="AE576" s="1822"/>
      <c r="AF576" s="1822"/>
      <c r="AG576" s="1822"/>
      <c r="AH576" s="1822"/>
      <c r="AI576" s="1822"/>
      <c r="AJ576" s="1822"/>
      <c r="AK576" s="1822"/>
      <c r="AL576" s="1822"/>
      <c r="AM576" s="672"/>
      <c r="AN576" s="672"/>
      <c r="AO576" s="672"/>
      <c r="AP576" s="672"/>
      <c r="AQ576" s="672"/>
      <c r="AR576" s="672"/>
      <c r="AS576" s="672"/>
      <c r="AT576" s="672"/>
      <c r="AU576" s="672"/>
      <c r="AV576" s="672"/>
      <c r="AW576" s="672"/>
      <c r="AX576" s="680"/>
      <c r="AY576" s="680"/>
      <c r="AZ576" s="665"/>
      <c r="BA576" s="665"/>
      <c r="BB576" s="665"/>
      <c r="BC576" s="665"/>
      <c r="BD576" s="665"/>
      <c r="BE576" s="665"/>
      <c r="BF576" s="665"/>
      <c r="BG576" s="665"/>
    </row>
    <row r="577" spans="26:59" ht="12" customHeight="1" x14ac:dyDescent="0.2">
      <c r="Z577" s="680"/>
      <c r="AB577" s="672"/>
      <c r="AC577" s="1822"/>
      <c r="AD577" s="1822"/>
      <c r="AE577" s="1822"/>
      <c r="AF577" s="1822"/>
      <c r="AG577" s="1822"/>
      <c r="AH577" s="1822"/>
      <c r="AI577" s="1822"/>
      <c r="AJ577" s="1822"/>
      <c r="AK577" s="1822"/>
      <c r="AL577" s="1822"/>
      <c r="AM577" s="672"/>
      <c r="AN577" s="672"/>
      <c r="AO577" s="672"/>
      <c r="AP577" s="672"/>
      <c r="AQ577" s="672"/>
      <c r="AR577" s="672"/>
      <c r="AS577" s="672"/>
      <c r="AT577" s="672"/>
      <c r="AU577" s="672"/>
      <c r="AV577" s="672"/>
      <c r="AW577" s="672"/>
      <c r="AX577" s="680"/>
      <c r="AY577" s="680"/>
      <c r="AZ577" s="665"/>
      <c r="BA577" s="665"/>
      <c r="BB577" s="665"/>
      <c r="BC577" s="665"/>
      <c r="BD577" s="665"/>
      <c r="BE577" s="665"/>
      <c r="BF577" s="665"/>
      <c r="BG577" s="665"/>
    </row>
    <row r="578" spans="26:59" ht="12" customHeight="1" x14ac:dyDescent="0.2">
      <c r="Z578" s="680"/>
      <c r="AB578" s="672"/>
      <c r="AC578" s="1822"/>
      <c r="AD578" s="1822"/>
      <c r="AE578" s="1822"/>
      <c r="AF578" s="1822"/>
      <c r="AG578" s="1822"/>
      <c r="AH578" s="1822"/>
      <c r="AI578" s="1822"/>
      <c r="AJ578" s="1822"/>
      <c r="AK578" s="1822"/>
      <c r="AL578" s="1822"/>
      <c r="AM578" s="672"/>
      <c r="AN578" s="672"/>
      <c r="AO578" s="672"/>
      <c r="AP578" s="672"/>
      <c r="AQ578" s="672"/>
      <c r="AR578" s="672"/>
      <c r="AS578" s="672"/>
      <c r="AT578" s="672"/>
      <c r="AU578" s="672"/>
      <c r="AV578" s="672"/>
      <c r="AW578" s="672"/>
      <c r="AX578" s="680"/>
      <c r="AY578" s="680"/>
      <c r="AZ578" s="665"/>
      <c r="BA578" s="665"/>
      <c r="BB578" s="665"/>
      <c r="BC578" s="665"/>
      <c r="BD578" s="665"/>
      <c r="BE578" s="665"/>
      <c r="BF578" s="665"/>
      <c r="BG578" s="665"/>
    </row>
    <row r="579" spans="26:59" ht="12" customHeight="1" x14ac:dyDescent="0.2">
      <c r="Z579" s="680"/>
      <c r="AB579" s="672"/>
      <c r="AC579" s="1822"/>
      <c r="AD579" s="1822"/>
      <c r="AE579" s="1822"/>
      <c r="AF579" s="1822"/>
      <c r="AG579" s="1822"/>
      <c r="AH579" s="1822"/>
      <c r="AI579" s="1822"/>
      <c r="AJ579" s="1822"/>
      <c r="AK579" s="1822"/>
      <c r="AL579" s="1822"/>
      <c r="AM579" s="672"/>
      <c r="AN579" s="672"/>
      <c r="AO579" s="672"/>
      <c r="AP579" s="672"/>
      <c r="AQ579" s="672"/>
      <c r="AR579" s="672"/>
      <c r="AS579" s="672"/>
      <c r="AT579" s="672"/>
      <c r="AU579" s="672"/>
      <c r="AV579" s="672"/>
      <c r="AW579" s="680"/>
      <c r="AX579" s="680"/>
      <c r="AY579" s="680"/>
      <c r="AZ579" s="665"/>
      <c r="BA579" s="665"/>
      <c r="BB579" s="665"/>
      <c r="BC579" s="665"/>
      <c r="BD579" s="665"/>
      <c r="BE579" s="665"/>
      <c r="BF579" s="665"/>
      <c r="BG579" s="665"/>
    </row>
    <row r="580" spans="26:59" ht="12" customHeight="1" x14ac:dyDescent="0.2">
      <c r="Z580" s="680"/>
      <c r="AB580" s="672"/>
      <c r="AC580" s="1822"/>
      <c r="AD580" s="1822"/>
      <c r="AE580" s="1822"/>
      <c r="AF580" s="1822"/>
      <c r="AG580" s="1822"/>
      <c r="AH580" s="1822"/>
      <c r="AI580" s="1822"/>
      <c r="AJ580" s="1822"/>
      <c r="AK580" s="1822"/>
      <c r="AL580" s="1822"/>
      <c r="AM580" s="672"/>
      <c r="AN580" s="672"/>
      <c r="AO580" s="672"/>
      <c r="AP580" s="672"/>
      <c r="AQ580" s="672"/>
      <c r="AR580" s="672"/>
      <c r="AS580" s="672"/>
      <c r="AT580" s="672"/>
      <c r="AU580" s="672"/>
      <c r="AV580" s="672"/>
      <c r="AW580" s="680"/>
      <c r="AX580" s="680"/>
      <c r="AY580" s="680"/>
      <c r="AZ580" s="665"/>
      <c r="BA580" s="665"/>
      <c r="BB580" s="665"/>
      <c r="BC580" s="665"/>
      <c r="BD580" s="665"/>
      <c r="BE580" s="665"/>
      <c r="BF580" s="665"/>
      <c r="BG580" s="665"/>
    </row>
    <row r="581" spans="26:59" ht="12" customHeight="1" x14ac:dyDescent="0.2">
      <c r="Z581" s="680"/>
      <c r="AB581" s="672"/>
      <c r="AC581" s="1822"/>
      <c r="AD581" s="1822"/>
      <c r="AE581" s="1822"/>
      <c r="AF581" s="1822"/>
      <c r="AG581" s="1822"/>
      <c r="AH581" s="1822"/>
      <c r="AI581" s="1822"/>
      <c r="AJ581" s="1822"/>
      <c r="AK581" s="1822"/>
      <c r="AL581" s="1822"/>
      <c r="AM581" s="672"/>
      <c r="AN581" s="672"/>
      <c r="AO581" s="672"/>
      <c r="AP581" s="672"/>
      <c r="AQ581" s="672"/>
      <c r="AR581" s="672"/>
      <c r="AS581" s="672"/>
      <c r="AT581" s="672"/>
      <c r="AU581" s="672"/>
      <c r="AV581" s="672"/>
      <c r="AW581" s="680"/>
      <c r="AX581" s="680"/>
      <c r="AY581" s="680"/>
      <c r="AZ581" s="665"/>
      <c r="BA581" s="665"/>
      <c r="BB581" s="665"/>
      <c r="BC581" s="665"/>
      <c r="BD581" s="665"/>
      <c r="BE581" s="665"/>
      <c r="BF581" s="665"/>
      <c r="BG581" s="665"/>
    </row>
    <row r="582" spans="26:59" ht="12" customHeight="1" x14ac:dyDescent="0.2">
      <c r="Z582" s="680"/>
      <c r="AB582" s="672"/>
      <c r="AC582" s="1822"/>
      <c r="AD582" s="1822"/>
      <c r="AE582" s="1822"/>
      <c r="AF582" s="1822"/>
      <c r="AG582" s="1822"/>
      <c r="AH582" s="1822"/>
      <c r="AI582" s="1822"/>
      <c r="AJ582" s="1822"/>
      <c r="AK582" s="1822"/>
      <c r="AL582" s="1822"/>
      <c r="AM582" s="672"/>
      <c r="AN582" s="672"/>
      <c r="AO582" s="672"/>
      <c r="AP582" s="672"/>
      <c r="AQ582" s="672"/>
      <c r="AR582" s="672"/>
      <c r="AS582" s="672"/>
      <c r="AT582" s="672"/>
      <c r="AU582" s="672"/>
      <c r="AV582" s="672"/>
      <c r="AW582" s="680"/>
      <c r="AX582" s="680"/>
      <c r="AY582" s="680"/>
      <c r="AZ582" s="665"/>
      <c r="BA582" s="665"/>
      <c r="BB582" s="665"/>
      <c r="BC582" s="665"/>
      <c r="BD582" s="665"/>
      <c r="BE582" s="665"/>
      <c r="BF582" s="665"/>
      <c r="BG582" s="665"/>
    </row>
    <row r="583" spans="26:59" ht="12" customHeight="1" x14ac:dyDescent="0.2">
      <c r="Z583" s="680"/>
      <c r="AB583" s="672"/>
      <c r="AC583" s="1822"/>
      <c r="AD583" s="1822"/>
      <c r="AE583" s="1822"/>
      <c r="AF583" s="1822"/>
      <c r="AG583" s="1822"/>
      <c r="AH583" s="1822"/>
      <c r="AI583" s="1822"/>
      <c r="AJ583" s="1822"/>
      <c r="AK583" s="1822"/>
      <c r="AL583" s="1822"/>
      <c r="AM583" s="672"/>
      <c r="AN583" s="672"/>
      <c r="AO583" s="672"/>
      <c r="AP583" s="672"/>
      <c r="AQ583" s="672"/>
      <c r="AR583" s="672"/>
      <c r="AS583" s="672"/>
      <c r="AT583" s="672"/>
      <c r="AU583" s="672"/>
      <c r="AV583" s="672"/>
      <c r="AW583" s="680"/>
      <c r="AX583" s="680"/>
      <c r="AY583" s="680"/>
      <c r="AZ583" s="665"/>
      <c r="BA583" s="665"/>
      <c r="BB583" s="665"/>
      <c r="BC583" s="665"/>
      <c r="BD583" s="665"/>
      <c r="BE583" s="665"/>
      <c r="BF583" s="665"/>
      <c r="BG583" s="665"/>
    </row>
    <row r="584" spans="26:59" ht="12" customHeight="1" x14ac:dyDescent="0.2">
      <c r="Z584" s="680"/>
      <c r="AB584" s="672"/>
      <c r="AC584" s="1822"/>
      <c r="AD584" s="1822"/>
      <c r="AE584" s="1822"/>
      <c r="AF584" s="1822"/>
      <c r="AG584" s="1822"/>
      <c r="AH584" s="1822"/>
      <c r="AI584" s="1822"/>
      <c r="AJ584" s="1822"/>
      <c r="AK584" s="1822"/>
      <c r="AL584" s="1822"/>
      <c r="AM584" s="672"/>
      <c r="AN584" s="672"/>
      <c r="AO584" s="672"/>
      <c r="AP584" s="672"/>
      <c r="AQ584" s="672"/>
      <c r="AR584" s="672"/>
      <c r="AS584" s="672"/>
      <c r="AT584" s="672"/>
      <c r="AU584" s="672"/>
      <c r="AV584" s="672"/>
      <c r="AW584" s="680"/>
      <c r="AX584" s="680"/>
      <c r="AY584" s="680"/>
      <c r="AZ584" s="665"/>
      <c r="BA584" s="665"/>
      <c r="BB584" s="665"/>
      <c r="BC584" s="665"/>
      <c r="BD584" s="665"/>
      <c r="BE584" s="665"/>
      <c r="BF584" s="665"/>
      <c r="BG584" s="665"/>
    </row>
    <row r="585" spans="26:59" ht="12" customHeight="1" x14ac:dyDescent="0.2">
      <c r="Z585" s="680"/>
      <c r="AB585" s="672"/>
      <c r="AC585" s="1822"/>
      <c r="AD585" s="1822"/>
      <c r="AE585" s="1822"/>
      <c r="AF585" s="1822"/>
      <c r="AG585" s="1822"/>
      <c r="AH585" s="1822"/>
      <c r="AI585" s="1822"/>
      <c r="AJ585" s="1822"/>
      <c r="AK585" s="1822"/>
      <c r="AL585" s="1822"/>
      <c r="AM585" s="672"/>
      <c r="AN585" s="672"/>
      <c r="AO585" s="672"/>
      <c r="AP585" s="672"/>
      <c r="AQ585" s="672"/>
      <c r="AR585" s="672"/>
      <c r="AS585" s="672"/>
      <c r="AT585" s="672"/>
      <c r="AU585" s="672"/>
      <c r="AV585" s="672"/>
      <c r="AW585" s="680"/>
      <c r="AX585" s="680"/>
      <c r="AY585" s="680"/>
      <c r="AZ585" s="665"/>
      <c r="BA585" s="665"/>
      <c r="BB585" s="665"/>
      <c r="BC585" s="665"/>
      <c r="BD585" s="665"/>
      <c r="BE585" s="665"/>
      <c r="BF585" s="665"/>
      <c r="BG585" s="665"/>
    </row>
    <row r="586" spans="26:59" ht="12" customHeight="1" x14ac:dyDescent="0.2">
      <c r="Z586" s="680"/>
      <c r="AB586" s="672"/>
      <c r="AC586" s="1822"/>
      <c r="AD586" s="1822"/>
      <c r="AE586" s="1822"/>
      <c r="AF586" s="1822"/>
      <c r="AG586" s="1822"/>
      <c r="AH586" s="1822"/>
      <c r="AI586" s="1822"/>
      <c r="AJ586" s="1822"/>
      <c r="AK586" s="1822"/>
      <c r="AL586" s="1822"/>
      <c r="AM586" s="672"/>
      <c r="AN586" s="672"/>
      <c r="AO586" s="672"/>
      <c r="AP586" s="672"/>
      <c r="AQ586" s="672"/>
      <c r="AR586" s="672"/>
      <c r="AS586" s="672"/>
      <c r="AT586" s="672"/>
      <c r="AU586" s="672"/>
      <c r="AV586" s="672"/>
      <c r="AW586" s="680"/>
      <c r="AX586" s="680"/>
      <c r="AY586" s="680"/>
      <c r="AZ586" s="665"/>
      <c r="BA586" s="665"/>
      <c r="BB586" s="665"/>
      <c r="BC586" s="665"/>
      <c r="BD586" s="665"/>
      <c r="BE586" s="665"/>
      <c r="BF586" s="665"/>
      <c r="BG586" s="665"/>
    </row>
    <row r="587" spans="26:59" ht="12" customHeight="1" x14ac:dyDescent="0.2">
      <c r="Z587" s="680"/>
      <c r="AB587" s="672"/>
      <c r="AC587" s="1822"/>
      <c r="AD587" s="1822"/>
      <c r="AE587" s="1822"/>
      <c r="AF587" s="1822"/>
      <c r="AG587" s="1822"/>
      <c r="AH587" s="1822"/>
      <c r="AI587" s="1822"/>
      <c r="AJ587" s="1822"/>
      <c r="AK587" s="1822"/>
      <c r="AL587" s="1822"/>
      <c r="AM587" s="672"/>
      <c r="AN587" s="672"/>
      <c r="AO587" s="672"/>
      <c r="AP587" s="672"/>
      <c r="AQ587" s="672"/>
      <c r="AR587" s="672"/>
      <c r="AS587" s="672"/>
      <c r="AT587" s="672"/>
      <c r="AU587" s="672"/>
      <c r="AV587" s="672"/>
      <c r="AW587" s="680"/>
      <c r="AX587" s="680"/>
      <c r="AY587" s="680"/>
      <c r="AZ587" s="665"/>
      <c r="BA587" s="665"/>
      <c r="BB587" s="665"/>
      <c r="BC587" s="665"/>
      <c r="BD587" s="665"/>
      <c r="BE587" s="665"/>
      <c r="BF587" s="665"/>
      <c r="BG587" s="665"/>
    </row>
    <row r="588" spans="26:59" ht="12" customHeight="1" x14ac:dyDescent="0.2">
      <c r="Z588" s="680"/>
      <c r="AB588" s="672"/>
      <c r="AC588" s="1822"/>
      <c r="AD588" s="1822"/>
      <c r="AE588" s="1822"/>
      <c r="AF588" s="1822"/>
      <c r="AG588" s="1822"/>
      <c r="AH588" s="1822"/>
      <c r="AI588" s="1822"/>
      <c r="AJ588" s="1822"/>
      <c r="AK588" s="1822"/>
      <c r="AL588" s="1822"/>
      <c r="AM588" s="672"/>
      <c r="AN588" s="672"/>
      <c r="AO588" s="672"/>
      <c r="AP588" s="672"/>
      <c r="AQ588" s="672"/>
      <c r="AR588" s="672"/>
      <c r="AS588" s="672"/>
      <c r="AT588" s="672"/>
      <c r="AU588" s="672"/>
      <c r="AV588" s="672"/>
      <c r="AW588" s="680"/>
      <c r="AX588" s="680"/>
      <c r="AY588" s="680"/>
      <c r="AZ588" s="665"/>
      <c r="BA588" s="665"/>
      <c r="BB588" s="665"/>
      <c r="BC588" s="665"/>
      <c r="BD588" s="665"/>
      <c r="BE588" s="665"/>
      <c r="BF588" s="665"/>
      <c r="BG588" s="665"/>
    </row>
    <row r="589" spans="26:59" ht="12" customHeight="1" x14ac:dyDescent="0.2">
      <c r="Z589" s="680"/>
      <c r="AB589" s="672"/>
      <c r="AC589" s="1822"/>
      <c r="AD589" s="1822"/>
      <c r="AE589" s="1822"/>
      <c r="AF589" s="1822"/>
      <c r="AG589" s="1822"/>
      <c r="AH589" s="1822"/>
      <c r="AI589" s="1822"/>
      <c r="AJ589" s="1822"/>
      <c r="AK589" s="1822"/>
      <c r="AL589" s="1822"/>
      <c r="AM589" s="672"/>
      <c r="AN589" s="672"/>
      <c r="AO589" s="672"/>
      <c r="AP589" s="672"/>
      <c r="AQ589" s="672"/>
      <c r="AR589" s="672"/>
      <c r="AS589" s="672"/>
      <c r="AT589" s="672"/>
      <c r="AU589" s="672"/>
      <c r="AV589" s="672"/>
      <c r="AW589" s="680"/>
      <c r="AX589" s="680"/>
      <c r="AY589" s="680"/>
      <c r="AZ589" s="665"/>
      <c r="BA589" s="665"/>
      <c r="BB589" s="665"/>
      <c r="BC589" s="665"/>
      <c r="BD589" s="665"/>
      <c r="BE589" s="665"/>
      <c r="BF589" s="665"/>
      <c r="BG589" s="665"/>
    </row>
    <row r="590" spans="26:59" ht="12" customHeight="1" x14ac:dyDescent="0.2">
      <c r="Z590" s="680"/>
      <c r="AB590" s="672"/>
      <c r="AC590" s="1822"/>
      <c r="AD590" s="1822"/>
      <c r="AE590" s="1822"/>
      <c r="AF590" s="1822"/>
      <c r="AG590" s="1822"/>
      <c r="AH590" s="1822"/>
      <c r="AI590" s="1822"/>
      <c r="AJ590" s="1822"/>
      <c r="AK590" s="1822"/>
      <c r="AL590" s="1822"/>
      <c r="AM590" s="672"/>
      <c r="AN590" s="672"/>
      <c r="AO590" s="672"/>
      <c r="AP590" s="672"/>
      <c r="AQ590" s="672"/>
      <c r="AR590" s="672"/>
      <c r="AS590" s="672"/>
      <c r="AT590" s="672"/>
      <c r="AU590" s="672"/>
      <c r="AV590" s="672"/>
      <c r="AW590" s="680"/>
      <c r="AX590" s="680"/>
      <c r="AY590" s="680"/>
      <c r="AZ590" s="665"/>
      <c r="BA590" s="665"/>
      <c r="BB590" s="665"/>
      <c r="BC590" s="665"/>
      <c r="BD590" s="665"/>
      <c r="BE590" s="665"/>
      <c r="BF590" s="665"/>
      <c r="BG590" s="665"/>
    </row>
    <row r="591" spans="26:59" ht="12" customHeight="1" x14ac:dyDescent="0.2">
      <c r="Z591" s="680"/>
      <c r="AB591" s="672"/>
      <c r="AC591" s="1822"/>
      <c r="AD591" s="1822"/>
      <c r="AE591" s="1822"/>
      <c r="AF591" s="1822"/>
      <c r="AG591" s="1822"/>
      <c r="AH591" s="1822"/>
      <c r="AI591" s="1822"/>
      <c r="AJ591" s="1822"/>
      <c r="AK591" s="1822"/>
      <c r="AL591" s="1822"/>
      <c r="AM591" s="672"/>
      <c r="AN591" s="672"/>
      <c r="AO591" s="672"/>
      <c r="AP591" s="672"/>
      <c r="AQ591" s="672"/>
      <c r="AR591" s="672"/>
      <c r="AS591" s="672"/>
      <c r="AT591" s="672"/>
      <c r="AU591" s="672"/>
      <c r="AV591" s="672"/>
      <c r="AW591" s="680"/>
      <c r="AX591" s="680"/>
      <c r="AY591" s="680"/>
      <c r="AZ591" s="665"/>
      <c r="BA591" s="665"/>
      <c r="BB591" s="665"/>
      <c r="BC591" s="665"/>
      <c r="BD591" s="665"/>
      <c r="BE591" s="665"/>
      <c r="BF591" s="665"/>
      <c r="BG591" s="665"/>
    </row>
    <row r="592" spans="26:59" ht="12" customHeight="1" x14ac:dyDescent="0.2">
      <c r="Z592" s="680"/>
      <c r="AB592" s="672"/>
      <c r="AC592" s="1822"/>
      <c r="AD592" s="1822"/>
      <c r="AE592" s="1822"/>
      <c r="AF592" s="1822"/>
      <c r="AG592" s="1822"/>
      <c r="AH592" s="1822"/>
      <c r="AI592" s="1822"/>
      <c r="AJ592" s="1822"/>
      <c r="AK592" s="1822"/>
      <c r="AL592" s="1822"/>
      <c r="AM592" s="672"/>
      <c r="AN592" s="672"/>
      <c r="AO592" s="672"/>
      <c r="AP592" s="672"/>
      <c r="AQ592" s="672"/>
      <c r="AR592" s="672"/>
      <c r="AS592" s="672"/>
      <c r="AT592" s="672"/>
      <c r="AU592" s="672"/>
      <c r="AV592" s="672"/>
      <c r="AW592" s="680"/>
      <c r="AX592" s="680"/>
      <c r="AY592" s="680"/>
      <c r="AZ592" s="665"/>
      <c r="BA592" s="665"/>
      <c r="BB592" s="665"/>
      <c r="BC592" s="665"/>
      <c r="BD592" s="665"/>
      <c r="BE592" s="665"/>
      <c r="BF592" s="665"/>
      <c r="BG592" s="665"/>
    </row>
    <row r="593" spans="26:59" ht="12" customHeight="1" x14ac:dyDescent="0.2">
      <c r="Z593" s="680"/>
      <c r="AB593" s="672"/>
      <c r="AC593" s="1822"/>
      <c r="AD593" s="1822"/>
      <c r="AE593" s="1822"/>
      <c r="AF593" s="1822"/>
      <c r="AG593" s="1822"/>
      <c r="AH593" s="1822"/>
      <c r="AI593" s="1822"/>
      <c r="AJ593" s="1822"/>
      <c r="AK593" s="1822"/>
      <c r="AL593" s="1822"/>
      <c r="AM593" s="672"/>
      <c r="AN593" s="672"/>
      <c r="AO593" s="672"/>
      <c r="AP593" s="672"/>
      <c r="AQ593" s="672"/>
      <c r="AR593" s="672"/>
      <c r="AS593" s="672"/>
      <c r="AT593" s="672"/>
      <c r="AU593" s="672"/>
      <c r="AV593" s="672"/>
      <c r="AW593" s="680"/>
      <c r="AX593" s="680"/>
      <c r="AY593" s="680"/>
      <c r="AZ593" s="665"/>
      <c r="BA593" s="665"/>
      <c r="BB593" s="665"/>
      <c r="BC593" s="665"/>
      <c r="BD593" s="665"/>
      <c r="BE593" s="665"/>
      <c r="BF593" s="665"/>
      <c r="BG593" s="665"/>
    </row>
    <row r="594" spans="26:59" ht="12" customHeight="1" x14ac:dyDescent="0.2">
      <c r="Z594" s="680"/>
      <c r="AB594" s="672"/>
      <c r="AC594" s="1822"/>
      <c r="AD594" s="1822"/>
      <c r="AE594" s="1822"/>
      <c r="AF594" s="1822"/>
      <c r="AG594" s="1822"/>
      <c r="AH594" s="1822"/>
      <c r="AI594" s="1822"/>
      <c r="AJ594" s="1822"/>
      <c r="AK594" s="1822"/>
      <c r="AL594" s="1822"/>
      <c r="AM594" s="672"/>
      <c r="AN594" s="672"/>
      <c r="AO594" s="672"/>
      <c r="AP594" s="672"/>
      <c r="AQ594" s="672"/>
      <c r="AR594" s="672"/>
      <c r="AS594" s="672"/>
      <c r="AT594" s="672"/>
      <c r="AU594" s="672"/>
      <c r="AV594" s="672"/>
      <c r="AW594" s="680"/>
      <c r="AX594" s="680"/>
      <c r="AY594" s="680"/>
      <c r="AZ594" s="665"/>
      <c r="BA594" s="665"/>
      <c r="BB594" s="665"/>
      <c r="BC594" s="665"/>
      <c r="BD594" s="665"/>
      <c r="BE594" s="665"/>
      <c r="BF594" s="665"/>
      <c r="BG594" s="665"/>
    </row>
    <row r="595" spans="26:59" ht="12" customHeight="1" x14ac:dyDescent="0.2">
      <c r="Z595" s="680"/>
      <c r="AB595" s="672"/>
      <c r="AC595" s="1822"/>
      <c r="AD595" s="1822"/>
      <c r="AE595" s="1822"/>
      <c r="AF595" s="1822"/>
      <c r="AG595" s="1822"/>
      <c r="AH595" s="1822"/>
      <c r="AI595" s="1822"/>
      <c r="AJ595" s="1822"/>
      <c r="AK595" s="1822"/>
      <c r="AL595" s="1822"/>
      <c r="AM595" s="672"/>
      <c r="AN595" s="672"/>
      <c r="AO595" s="672"/>
      <c r="AP595" s="672"/>
      <c r="AQ595" s="672"/>
      <c r="AR595" s="672"/>
      <c r="AS595" s="672"/>
      <c r="AT595" s="672"/>
      <c r="AU595" s="672"/>
      <c r="AV595" s="672"/>
      <c r="AW595" s="680"/>
      <c r="AX595" s="680"/>
      <c r="AY595" s="680"/>
      <c r="AZ595" s="665"/>
      <c r="BA595" s="665"/>
      <c r="BB595" s="665"/>
      <c r="BC595" s="665"/>
      <c r="BD595" s="665"/>
      <c r="BE595" s="665"/>
      <c r="BF595" s="665"/>
      <c r="BG595" s="665"/>
    </row>
    <row r="596" spans="26:59" ht="12" customHeight="1" x14ac:dyDescent="0.2">
      <c r="Z596" s="680"/>
      <c r="AB596" s="672"/>
      <c r="AC596" s="1822"/>
      <c r="AD596" s="1822"/>
      <c r="AE596" s="1822"/>
      <c r="AF596" s="1822"/>
      <c r="AG596" s="1822"/>
      <c r="AH596" s="1822"/>
      <c r="AI596" s="1822"/>
      <c r="AJ596" s="1822"/>
      <c r="AK596" s="1822"/>
      <c r="AL596" s="1822"/>
      <c r="AM596" s="672"/>
      <c r="AN596" s="672"/>
      <c r="AO596" s="672"/>
      <c r="AP596" s="672"/>
      <c r="AQ596" s="672"/>
      <c r="AR596" s="672"/>
      <c r="AS596" s="672"/>
      <c r="AT596" s="672"/>
      <c r="AU596" s="672"/>
      <c r="AV596" s="672"/>
      <c r="AW596" s="680"/>
      <c r="AX596" s="680"/>
      <c r="AY596" s="680"/>
      <c r="AZ596" s="665"/>
      <c r="BA596" s="665"/>
      <c r="BB596" s="665"/>
      <c r="BC596" s="665"/>
      <c r="BD596" s="665"/>
      <c r="BE596" s="665"/>
      <c r="BF596" s="665"/>
      <c r="BG596" s="665"/>
    </row>
    <row r="597" spans="26:59" ht="12" customHeight="1" x14ac:dyDescent="0.2">
      <c r="Z597" s="680"/>
      <c r="AB597" s="672"/>
      <c r="AC597" s="1822"/>
      <c r="AD597" s="1822"/>
      <c r="AE597" s="1822"/>
      <c r="AF597" s="1822"/>
      <c r="AG597" s="1822"/>
      <c r="AH597" s="1822"/>
      <c r="AI597" s="1822"/>
      <c r="AJ597" s="1822"/>
      <c r="AK597" s="1822"/>
      <c r="AL597" s="1822"/>
      <c r="AM597" s="672"/>
      <c r="AN597" s="672"/>
      <c r="AO597" s="672"/>
      <c r="AP597" s="672"/>
      <c r="AQ597" s="672"/>
      <c r="AR597" s="672"/>
      <c r="AS597" s="672"/>
      <c r="AT597" s="672"/>
      <c r="AU597" s="672"/>
      <c r="AV597" s="672"/>
      <c r="AW597" s="680"/>
      <c r="AX597" s="680"/>
      <c r="AY597" s="680"/>
      <c r="AZ597" s="665"/>
      <c r="BA597" s="665"/>
      <c r="BB597" s="665"/>
      <c r="BC597" s="665"/>
      <c r="BD597" s="665"/>
      <c r="BE597" s="665"/>
      <c r="BF597" s="665"/>
      <c r="BG597" s="665"/>
    </row>
    <row r="598" spans="26:59" ht="12" customHeight="1" x14ac:dyDescent="0.2">
      <c r="Z598" s="680"/>
      <c r="AB598" s="672"/>
      <c r="AC598" s="1822"/>
      <c r="AD598" s="1822"/>
      <c r="AE598" s="1822"/>
      <c r="AF598" s="1822"/>
      <c r="AG598" s="1822"/>
      <c r="AH598" s="1822"/>
      <c r="AI598" s="1822"/>
      <c r="AJ598" s="1822"/>
      <c r="AK598" s="1822"/>
      <c r="AL598" s="1822"/>
      <c r="AM598" s="672"/>
      <c r="AN598" s="672"/>
      <c r="AO598" s="672"/>
      <c r="AP598" s="672"/>
      <c r="AQ598" s="672"/>
      <c r="AR598" s="672"/>
      <c r="AS598" s="672"/>
      <c r="AT598" s="672"/>
      <c r="AU598" s="672"/>
      <c r="AV598" s="672"/>
      <c r="AW598" s="680"/>
      <c r="AX598" s="680"/>
      <c r="AY598" s="680"/>
      <c r="AZ598" s="665"/>
      <c r="BA598" s="665"/>
      <c r="BB598" s="665"/>
      <c r="BC598" s="665"/>
      <c r="BD598" s="665"/>
      <c r="BE598" s="665"/>
      <c r="BF598" s="665"/>
      <c r="BG598" s="665"/>
    </row>
    <row r="599" spans="26:59" ht="12" customHeight="1" x14ac:dyDescent="0.2">
      <c r="Z599" s="680"/>
      <c r="AB599" s="672"/>
      <c r="AC599" s="1822"/>
      <c r="AD599" s="1822"/>
      <c r="AE599" s="1822"/>
      <c r="AF599" s="1822"/>
      <c r="AG599" s="1822"/>
      <c r="AH599" s="1822"/>
      <c r="AI599" s="1822"/>
      <c r="AJ599" s="1822"/>
      <c r="AK599" s="1822"/>
      <c r="AL599" s="1822"/>
      <c r="AM599" s="672"/>
      <c r="AN599" s="672"/>
      <c r="AO599" s="672"/>
      <c r="AP599" s="672"/>
      <c r="AQ599" s="672"/>
      <c r="AR599" s="672"/>
      <c r="AS599" s="672"/>
      <c r="AT599" s="672"/>
      <c r="AU599" s="672"/>
      <c r="AV599" s="672"/>
      <c r="AW599" s="680"/>
      <c r="AX599" s="680"/>
      <c r="AY599" s="680"/>
      <c r="AZ599" s="665"/>
      <c r="BA599" s="665"/>
      <c r="BB599" s="665"/>
      <c r="BC599" s="665"/>
      <c r="BD599" s="665"/>
      <c r="BE599" s="665"/>
      <c r="BF599" s="665"/>
      <c r="BG599" s="665"/>
    </row>
    <row r="600" spans="26:59" ht="12" customHeight="1" x14ac:dyDescent="0.2">
      <c r="Z600" s="680"/>
      <c r="AB600" s="672"/>
      <c r="AC600" s="1822"/>
      <c r="AD600" s="1822"/>
      <c r="AE600" s="1822"/>
      <c r="AF600" s="1822"/>
      <c r="AG600" s="1822"/>
      <c r="AH600" s="1822"/>
      <c r="AI600" s="1822"/>
      <c r="AJ600" s="1822"/>
      <c r="AK600" s="1822"/>
      <c r="AL600" s="1822"/>
      <c r="AM600" s="672"/>
      <c r="AN600" s="672"/>
      <c r="AO600" s="672"/>
      <c r="AP600" s="672"/>
      <c r="AQ600" s="672"/>
      <c r="AR600" s="672"/>
      <c r="AS600" s="672"/>
      <c r="AT600" s="672"/>
      <c r="AU600" s="672"/>
      <c r="AV600" s="672"/>
      <c r="AW600" s="680"/>
      <c r="AX600" s="680"/>
      <c r="AY600" s="680"/>
      <c r="AZ600" s="665"/>
      <c r="BA600" s="665"/>
      <c r="BB600" s="665"/>
      <c r="BC600" s="665"/>
      <c r="BD600" s="665"/>
      <c r="BE600" s="665"/>
      <c r="BF600" s="665"/>
      <c r="BG600" s="665"/>
    </row>
    <row r="601" spans="26:59" ht="12" customHeight="1" x14ac:dyDescent="0.2">
      <c r="Z601" s="680"/>
      <c r="AB601" s="672"/>
      <c r="AC601" s="1822"/>
      <c r="AD601" s="1822"/>
      <c r="AE601" s="1822"/>
      <c r="AF601" s="1822"/>
      <c r="AG601" s="1822"/>
      <c r="AH601" s="1822"/>
      <c r="AI601" s="1822"/>
      <c r="AJ601" s="1822"/>
      <c r="AK601" s="1822"/>
      <c r="AL601" s="1822"/>
      <c r="AM601" s="672"/>
      <c r="AN601" s="672"/>
      <c r="AO601" s="672"/>
      <c r="AP601" s="672"/>
      <c r="AQ601" s="672"/>
      <c r="AR601" s="672"/>
      <c r="AS601" s="672"/>
      <c r="AT601" s="672"/>
      <c r="AU601" s="672"/>
      <c r="AV601" s="672"/>
      <c r="AW601" s="680"/>
      <c r="AX601" s="680"/>
      <c r="AY601" s="680"/>
      <c r="AZ601" s="665"/>
      <c r="BA601" s="665"/>
      <c r="BB601" s="665"/>
      <c r="BC601" s="665"/>
      <c r="BD601" s="665"/>
      <c r="BE601" s="665"/>
      <c r="BF601" s="665"/>
      <c r="BG601" s="665"/>
    </row>
    <row r="602" spans="26:59" ht="12" customHeight="1" x14ac:dyDescent="0.2">
      <c r="Z602" s="680"/>
      <c r="AB602" s="672"/>
      <c r="AC602" s="1822"/>
      <c r="AD602" s="1822"/>
      <c r="AE602" s="1822"/>
      <c r="AF602" s="1822"/>
      <c r="AG602" s="1822"/>
      <c r="AH602" s="1822"/>
      <c r="AI602" s="1822"/>
      <c r="AJ602" s="1822"/>
      <c r="AK602" s="1822"/>
      <c r="AL602" s="1822"/>
      <c r="AM602" s="672"/>
      <c r="AN602" s="672"/>
      <c r="AO602" s="672"/>
      <c r="AP602" s="672"/>
      <c r="AQ602" s="672"/>
      <c r="AR602" s="672"/>
      <c r="AS602" s="672"/>
      <c r="AT602" s="672"/>
      <c r="AU602" s="672"/>
      <c r="AV602" s="672"/>
      <c r="AW602" s="680"/>
      <c r="AX602" s="680"/>
      <c r="AY602" s="680"/>
      <c r="AZ602" s="665"/>
      <c r="BA602" s="665"/>
      <c r="BB602" s="665"/>
      <c r="BC602" s="665"/>
      <c r="BD602" s="665"/>
      <c r="BE602" s="665"/>
      <c r="BF602" s="665"/>
      <c r="BG602" s="665"/>
    </row>
    <row r="603" spans="26:59" ht="12" customHeight="1" x14ac:dyDescent="0.2">
      <c r="Z603" s="680"/>
      <c r="AB603" s="672"/>
      <c r="AC603" s="1822"/>
      <c r="AD603" s="1822"/>
      <c r="AE603" s="1822"/>
      <c r="AF603" s="1822"/>
      <c r="AG603" s="1822"/>
      <c r="AH603" s="1822"/>
      <c r="AI603" s="1822"/>
      <c r="AJ603" s="1822"/>
      <c r="AK603" s="1822"/>
      <c r="AL603" s="1822"/>
      <c r="AM603" s="672"/>
      <c r="AN603" s="672"/>
      <c r="AO603" s="672"/>
      <c r="AP603" s="672"/>
      <c r="AQ603" s="672"/>
      <c r="AR603" s="672"/>
      <c r="AS603" s="672"/>
      <c r="AT603" s="672"/>
      <c r="AU603" s="672"/>
      <c r="AV603" s="672"/>
      <c r="AW603" s="680"/>
      <c r="AX603" s="680"/>
      <c r="AY603" s="680"/>
      <c r="AZ603" s="665"/>
      <c r="BA603" s="665"/>
      <c r="BB603" s="665"/>
      <c r="BC603" s="665"/>
      <c r="BD603" s="665"/>
      <c r="BE603" s="665"/>
      <c r="BF603" s="665"/>
      <c r="BG603" s="665"/>
    </row>
    <row r="604" spans="26:59" ht="12" customHeight="1" x14ac:dyDescent="0.2">
      <c r="Z604" s="680"/>
      <c r="AB604" s="672"/>
      <c r="AC604" s="1822"/>
      <c r="AD604" s="1822"/>
      <c r="AE604" s="1822"/>
      <c r="AF604" s="1822"/>
      <c r="AG604" s="1822"/>
      <c r="AH604" s="1822"/>
      <c r="AI604" s="1822"/>
      <c r="AJ604" s="1822"/>
      <c r="AK604" s="1822"/>
      <c r="AL604" s="1822"/>
      <c r="AM604" s="672"/>
      <c r="AN604" s="672"/>
      <c r="AO604" s="672"/>
      <c r="AP604" s="672"/>
      <c r="AQ604" s="672"/>
      <c r="AR604" s="672"/>
      <c r="AS604" s="672"/>
      <c r="AT604" s="672"/>
      <c r="AU604" s="672"/>
      <c r="AV604" s="672"/>
      <c r="AW604" s="680"/>
      <c r="AX604" s="680"/>
      <c r="AY604" s="680"/>
      <c r="AZ604" s="665"/>
      <c r="BA604" s="665"/>
      <c r="BB604" s="665"/>
      <c r="BC604" s="665"/>
      <c r="BD604" s="665"/>
      <c r="BE604" s="665"/>
      <c r="BF604" s="665"/>
      <c r="BG604" s="665"/>
    </row>
    <row r="605" spans="26:59" ht="12" customHeight="1" x14ac:dyDescent="0.2">
      <c r="Z605" s="680"/>
      <c r="AB605" s="672"/>
      <c r="AC605" s="1822"/>
      <c r="AD605" s="1822"/>
      <c r="AE605" s="1822"/>
      <c r="AF605" s="1822"/>
      <c r="AG605" s="1822"/>
      <c r="AH605" s="1822"/>
      <c r="AI605" s="1822"/>
      <c r="AJ605" s="1822"/>
      <c r="AK605" s="1822"/>
      <c r="AL605" s="1822"/>
      <c r="AM605" s="672"/>
      <c r="AN605" s="672"/>
      <c r="AO605" s="672"/>
      <c r="AP605" s="672"/>
      <c r="AQ605" s="672"/>
      <c r="AR605" s="672"/>
      <c r="AS605" s="672"/>
      <c r="AT605" s="672"/>
      <c r="AU605" s="672"/>
      <c r="AV605" s="672"/>
      <c r="AW605" s="680"/>
      <c r="AX605" s="680"/>
      <c r="AY605" s="680"/>
      <c r="AZ605" s="665"/>
      <c r="BA605" s="665"/>
      <c r="BB605" s="665"/>
      <c r="BC605" s="665"/>
      <c r="BD605" s="665"/>
      <c r="BE605" s="665"/>
      <c r="BF605" s="665"/>
      <c r="BG605" s="665"/>
    </row>
    <row r="606" spans="26:59" ht="12" customHeight="1" x14ac:dyDescent="0.2">
      <c r="Z606" s="680"/>
      <c r="AB606" s="672"/>
      <c r="AC606" s="1822"/>
      <c r="AD606" s="1822"/>
      <c r="AE606" s="1822"/>
      <c r="AF606" s="1822"/>
      <c r="AG606" s="1822"/>
      <c r="AH606" s="1822"/>
      <c r="AI606" s="1822"/>
      <c r="AJ606" s="1822"/>
      <c r="AK606" s="1822"/>
      <c r="AL606" s="1822"/>
      <c r="AM606" s="672"/>
      <c r="AN606" s="672"/>
      <c r="AO606" s="672"/>
      <c r="AP606" s="672"/>
      <c r="AQ606" s="672"/>
      <c r="AR606" s="672"/>
      <c r="AS606" s="672"/>
      <c r="AT606" s="672"/>
      <c r="AU606" s="672"/>
      <c r="AV606" s="672"/>
      <c r="AW606" s="680"/>
      <c r="AX606" s="680"/>
      <c r="AY606" s="680"/>
      <c r="AZ606" s="665"/>
      <c r="BA606" s="665"/>
      <c r="BB606" s="665"/>
      <c r="BC606" s="665"/>
      <c r="BD606" s="665"/>
      <c r="BE606" s="665"/>
      <c r="BF606" s="665"/>
      <c r="BG606" s="665"/>
    </row>
    <row r="607" spans="26:59" ht="12" customHeight="1" x14ac:dyDescent="0.2">
      <c r="Z607" s="680"/>
      <c r="AB607" s="672"/>
      <c r="AC607" s="1822"/>
      <c r="AD607" s="1822"/>
      <c r="AE607" s="1822"/>
      <c r="AF607" s="1822"/>
      <c r="AG607" s="1822"/>
      <c r="AH607" s="1822"/>
      <c r="AI607" s="1822"/>
      <c r="AJ607" s="1822"/>
      <c r="AK607" s="1822"/>
      <c r="AL607" s="1822"/>
      <c r="AM607" s="672"/>
      <c r="AN607" s="672"/>
      <c r="AO607" s="672"/>
      <c r="AP607" s="672"/>
      <c r="AQ607" s="672"/>
      <c r="AR607" s="672"/>
      <c r="AS607" s="672"/>
      <c r="AT607" s="672"/>
      <c r="AU607" s="672"/>
      <c r="AV607" s="672"/>
      <c r="AW607" s="680"/>
      <c r="AX607" s="680"/>
      <c r="AY607" s="680"/>
      <c r="AZ607" s="665"/>
      <c r="BA607" s="665"/>
      <c r="BB607" s="665"/>
      <c r="BC607" s="665"/>
      <c r="BD607" s="665"/>
      <c r="BE607" s="665"/>
      <c r="BF607" s="665"/>
      <c r="BG607" s="665"/>
    </row>
    <row r="608" spans="26:59" ht="12" customHeight="1" x14ac:dyDescent="0.2">
      <c r="Z608" s="680"/>
      <c r="AB608" s="672"/>
      <c r="AC608" s="1822"/>
      <c r="AD608" s="1822"/>
      <c r="AE608" s="1822"/>
      <c r="AF608" s="1822"/>
      <c r="AG608" s="1822"/>
      <c r="AH608" s="1822"/>
      <c r="AI608" s="1822"/>
      <c r="AJ608" s="1822"/>
      <c r="AK608" s="1822"/>
      <c r="AL608" s="1822"/>
      <c r="AM608" s="672"/>
      <c r="AN608" s="672"/>
      <c r="AO608" s="672"/>
      <c r="AP608" s="672"/>
      <c r="AQ608" s="672"/>
      <c r="AR608" s="672"/>
      <c r="AS608" s="672"/>
      <c r="AT608" s="672"/>
      <c r="AU608" s="672"/>
      <c r="AV608" s="672"/>
      <c r="AW608" s="680"/>
      <c r="AX608" s="680"/>
      <c r="AY608" s="680"/>
      <c r="AZ608" s="665"/>
      <c r="BA608" s="665"/>
      <c r="BB608" s="665"/>
      <c r="BC608" s="665"/>
      <c r="BD608" s="665"/>
      <c r="BE608" s="665"/>
      <c r="BF608" s="665"/>
      <c r="BG608" s="665"/>
    </row>
    <row r="609" spans="26:59" ht="12" customHeight="1" x14ac:dyDescent="0.2">
      <c r="Z609" s="680"/>
      <c r="AB609" s="672"/>
      <c r="AC609" s="1822"/>
      <c r="AD609" s="1822"/>
      <c r="AE609" s="1822"/>
      <c r="AF609" s="1822"/>
      <c r="AG609" s="1822"/>
      <c r="AH609" s="1822"/>
      <c r="AI609" s="1822"/>
      <c r="AJ609" s="1822"/>
      <c r="AK609" s="1822"/>
      <c r="AL609" s="1822"/>
      <c r="AM609" s="672"/>
      <c r="AN609" s="672"/>
      <c r="AO609" s="672"/>
      <c r="AP609" s="672"/>
      <c r="AQ609" s="672"/>
      <c r="AR609" s="672"/>
      <c r="AS609" s="672"/>
      <c r="AT609" s="672"/>
      <c r="AU609" s="672"/>
      <c r="AV609" s="672"/>
      <c r="AW609" s="680"/>
      <c r="AX609" s="680"/>
      <c r="AY609" s="680"/>
      <c r="AZ609" s="665"/>
      <c r="BA609" s="665"/>
      <c r="BB609" s="665"/>
      <c r="BC609" s="665"/>
      <c r="BD609" s="665"/>
      <c r="BE609" s="665"/>
      <c r="BF609" s="665"/>
      <c r="BG609" s="665"/>
    </row>
    <row r="610" spans="26:59" ht="12" customHeight="1" x14ac:dyDescent="0.2">
      <c r="Z610" s="680"/>
      <c r="AB610" s="672"/>
      <c r="AC610" s="1822"/>
      <c r="AD610" s="1822"/>
      <c r="AE610" s="1822"/>
      <c r="AF610" s="1822"/>
      <c r="AG610" s="1822"/>
      <c r="AH610" s="1822"/>
      <c r="AI610" s="1822"/>
      <c r="AJ610" s="1822"/>
      <c r="AK610" s="1822"/>
      <c r="AL610" s="1822"/>
      <c r="AM610" s="672"/>
      <c r="AN610" s="672"/>
      <c r="AO610" s="672"/>
      <c r="AP610" s="672"/>
      <c r="AQ610" s="672"/>
      <c r="AR610" s="672"/>
      <c r="AS610" s="672"/>
      <c r="AT610" s="672"/>
      <c r="AU610" s="672"/>
      <c r="AV610" s="672"/>
      <c r="AW610" s="680"/>
      <c r="AX610" s="680"/>
      <c r="AY610" s="680"/>
      <c r="AZ610" s="665"/>
      <c r="BA610" s="665"/>
      <c r="BB610" s="665"/>
      <c r="BC610" s="665"/>
      <c r="BD610" s="665"/>
      <c r="BE610" s="665"/>
      <c r="BF610" s="665"/>
      <c r="BG610" s="665"/>
    </row>
    <row r="611" spans="26:59" ht="12" customHeight="1" x14ac:dyDescent="0.2">
      <c r="Z611" s="680"/>
      <c r="AB611" s="672"/>
      <c r="AC611" s="1822"/>
      <c r="AD611" s="1822"/>
      <c r="AE611" s="1822"/>
      <c r="AF611" s="1822"/>
      <c r="AG611" s="1822"/>
      <c r="AH611" s="1822"/>
      <c r="AI611" s="1822"/>
      <c r="AJ611" s="1822"/>
      <c r="AK611" s="1822"/>
      <c r="AL611" s="1822"/>
      <c r="AM611" s="672"/>
      <c r="AN611" s="672"/>
      <c r="AO611" s="672"/>
      <c r="AP611" s="672"/>
      <c r="AQ611" s="672"/>
      <c r="AR611" s="672"/>
      <c r="AS611" s="672"/>
      <c r="AT611" s="672"/>
      <c r="AU611" s="672"/>
      <c r="AV611" s="672"/>
      <c r="AW611" s="680"/>
      <c r="AX611" s="680"/>
      <c r="AY611" s="680"/>
      <c r="AZ611" s="665"/>
      <c r="BA611" s="665"/>
      <c r="BB611" s="665"/>
      <c r="BC611" s="665"/>
      <c r="BD611" s="665"/>
      <c r="BE611" s="665"/>
      <c r="BF611" s="665"/>
      <c r="BG611" s="665"/>
    </row>
    <row r="612" spans="26:59" ht="12" customHeight="1" x14ac:dyDescent="0.2">
      <c r="Z612" s="680"/>
      <c r="AB612" s="672"/>
      <c r="AC612" s="1822"/>
      <c r="AD612" s="1822"/>
      <c r="AE612" s="1822"/>
      <c r="AF612" s="1822"/>
      <c r="AG612" s="1822"/>
      <c r="AH612" s="1822"/>
      <c r="AI612" s="1822"/>
      <c r="AJ612" s="1822"/>
      <c r="AK612" s="1822"/>
      <c r="AL612" s="1822"/>
      <c r="AM612" s="672"/>
      <c r="AN612" s="672"/>
      <c r="AO612" s="672"/>
      <c r="AP612" s="672"/>
      <c r="AQ612" s="672"/>
      <c r="AR612" s="672"/>
      <c r="AS612" s="672"/>
      <c r="AT612" s="672"/>
      <c r="AU612" s="672"/>
      <c r="AV612" s="672"/>
      <c r="AW612" s="680"/>
      <c r="AX612" s="680"/>
      <c r="AY612" s="680"/>
      <c r="AZ612" s="665"/>
      <c r="BA612" s="665"/>
      <c r="BB612" s="665"/>
      <c r="BC612" s="665"/>
      <c r="BD612" s="665"/>
      <c r="BE612" s="665"/>
      <c r="BF612" s="665"/>
      <c r="BG612" s="665"/>
    </row>
    <row r="613" spans="26:59" ht="12" customHeight="1" x14ac:dyDescent="0.2">
      <c r="Z613" s="680"/>
      <c r="AB613" s="672"/>
      <c r="AC613" s="1822"/>
      <c r="AD613" s="1822"/>
      <c r="AE613" s="1822"/>
      <c r="AF613" s="1822"/>
      <c r="AG613" s="1822"/>
      <c r="AH613" s="1822"/>
      <c r="AI613" s="1822"/>
      <c r="AJ613" s="1822"/>
      <c r="AK613" s="1822"/>
      <c r="AL613" s="1822"/>
      <c r="AM613" s="672"/>
      <c r="AN613" s="672"/>
      <c r="AO613" s="672"/>
      <c r="AP613" s="672"/>
      <c r="AQ613" s="672"/>
      <c r="AR613" s="672"/>
      <c r="AS613" s="672"/>
      <c r="AT613" s="672"/>
      <c r="AU613" s="672"/>
      <c r="AV613" s="672"/>
      <c r="AW613" s="680"/>
      <c r="AX613" s="680"/>
      <c r="AY613" s="680"/>
      <c r="AZ613" s="665"/>
      <c r="BA613" s="665"/>
      <c r="BB613" s="665"/>
      <c r="BC613" s="665"/>
      <c r="BD613" s="665"/>
      <c r="BE613" s="665"/>
      <c r="BF613" s="665"/>
      <c r="BG613" s="665"/>
    </row>
    <row r="614" spans="26:59" ht="12" customHeight="1" x14ac:dyDescent="0.2">
      <c r="Z614" s="680"/>
      <c r="AB614" s="672"/>
      <c r="AC614" s="1822"/>
      <c r="AD614" s="1822"/>
      <c r="AE614" s="1822"/>
      <c r="AF614" s="1822"/>
      <c r="AG614" s="1822"/>
      <c r="AH614" s="1822"/>
      <c r="AI614" s="1822"/>
      <c r="AJ614" s="1822"/>
      <c r="AK614" s="1822"/>
      <c r="AL614" s="1822"/>
      <c r="AM614" s="672"/>
      <c r="AN614" s="672"/>
      <c r="AO614" s="672"/>
      <c r="AP614" s="672"/>
      <c r="AQ614" s="672"/>
      <c r="AR614" s="672"/>
      <c r="AS614" s="672"/>
      <c r="AT614" s="672"/>
      <c r="AU614" s="672"/>
      <c r="AV614" s="672"/>
      <c r="AW614" s="680"/>
      <c r="AX614" s="680"/>
      <c r="AY614" s="680"/>
      <c r="AZ614" s="665"/>
      <c r="BA614" s="665"/>
      <c r="BB614" s="665"/>
      <c r="BC614" s="665"/>
      <c r="BD614" s="665"/>
      <c r="BE614" s="665"/>
      <c r="BF614" s="665"/>
      <c r="BG614" s="665"/>
    </row>
    <row r="615" spans="26:59" ht="12" customHeight="1" x14ac:dyDescent="0.2">
      <c r="Z615" s="680"/>
      <c r="AB615" s="672"/>
      <c r="AC615" s="1822"/>
      <c r="AD615" s="1822"/>
      <c r="AE615" s="1822"/>
      <c r="AF615" s="1822"/>
      <c r="AG615" s="1822"/>
      <c r="AH615" s="1822"/>
      <c r="AI615" s="1822"/>
      <c r="AJ615" s="1822"/>
      <c r="AK615" s="1822"/>
      <c r="AL615" s="1822"/>
      <c r="AM615" s="672"/>
      <c r="AN615" s="672"/>
      <c r="AO615" s="672"/>
      <c r="AP615" s="672"/>
      <c r="AQ615" s="672"/>
      <c r="AR615" s="672"/>
      <c r="AS615" s="672"/>
      <c r="AT615" s="672"/>
      <c r="AU615" s="672"/>
      <c r="AV615" s="672"/>
      <c r="AW615" s="680"/>
      <c r="AX615" s="680"/>
      <c r="AY615" s="680"/>
      <c r="AZ615" s="665"/>
      <c r="BA615" s="665"/>
      <c r="BB615" s="665"/>
      <c r="BC615" s="665"/>
      <c r="BD615" s="665"/>
      <c r="BE615" s="665"/>
      <c r="BF615" s="665"/>
      <c r="BG615" s="665"/>
    </row>
    <row r="616" spans="26:59" ht="12" customHeight="1" x14ac:dyDescent="0.2">
      <c r="Z616" s="680"/>
      <c r="AB616" s="672"/>
      <c r="AC616" s="1822"/>
      <c r="AD616" s="1822"/>
      <c r="AE616" s="1822"/>
      <c r="AF616" s="1822"/>
      <c r="AG616" s="1822"/>
      <c r="AH616" s="1822"/>
      <c r="AI616" s="1822"/>
      <c r="AJ616" s="1822"/>
      <c r="AK616" s="1822"/>
      <c r="AL616" s="1822"/>
      <c r="AM616" s="672"/>
      <c r="AN616" s="672"/>
      <c r="AO616" s="672"/>
      <c r="AP616" s="672"/>
      <c r="AQ616" s="672"/>
      <c r="AR616" s="672"/>
      <c r="AS616" s="672"/>
      <c r="AT616" s="672"/>
      <c r="AU616" s="672"/>
      <c r="AV616" s="672"/>
      <c r="AW616" s="680"/>
      <c r="AX616" s="680"/>
      <c r="AY616" s="680"/>
      <c r="AZ616" s="665"/>
      <c r="BA616" s="665"/>
      <c r="BB616" s="665"/>
      <c r="BC616" s="665"/>
      <c r="BD616" s="665"/>
      <c r="BE616" s="665"/>
      <c r="BF616" s="665"/>
      <c r="BG616" s="665"/>
    </row>
    <row r="617" spans="26:59" ht="12" customHeight="1" x14ac:dyDescent="0.2">
      <c r="Z617" s="680"/>
      <c r="AB617" s="672"/>
      <c r="AC617" s="1822"/>
      <c r="AD617" s="1822"/>
      <c r="AE617" s="1822"/>
      <c r="AF617" s="1822"/>
      <c r="AG617" s="1822"/>
      <c r="AH617" s="1822"/>
      <c r="AI617" s="1822"/>
      <c r="AJ617" s="1822"/>
      <c r="AK617" s="1822"/>
      <c r="AL617" s="1822"/>
      <c r="AM617" s="672"/>
      <c r="AN617" s="672"/>
      <c r="AO617" s="672"/>
      <c r="AP617" s="672"/>
      <c r="AQ617" s="672"/>
      <c r="AR617" s="672"/>
      <c r="AS617" s="672"/>
      <c r="AT617" s="672"/>
      <c r="AU617" s="672"/>
      <c r="AV617" s="672"/>
      <c r="AW617" s="680"/>
      <c r="AX617" s="680"/>
      <c r="AY617" s="680"/>
      <c r="AZ617" s="665"/>
      <c r="BA617" s="665"/>
      <c r="BB617" s="665"/>
      <c r="BC617" s="665"/>
      <c r="BD617" s="665"/>
      <c r="BE617" s="665"/>
      <c r="BF617" s="665"/>
      <c r="BG617" s="665"/>
    </row>
    <row r="618" spans="26:59" ht="12" customHeight="1" x14ac:dyDescent="0.2">
      <c r="Z618" s="680"/>
      <c r="AB618" s="672"/>
      <c r="AC618" s="1822"/>
      <c r="AD618" s="1822"/>
      <c r="AE618" s="1822"/>
      <c r="AF618" s="1822"/>
      <c r="AG618" s="1822"/>
      <c r="AH618" s="1822"/>
      <c r="AI618" s="1822"/>
      <c r="AJ618" s="1822"/>
      <c r="AK618" s="1822"/>
      <c r="AL618" s="1822"/>
      <c r="AM618" s="672"/>
      <c r="AN618" s="672"/>
      <c r="AO618" s="672"/>
      <c r="AP618" s="672"/>
      <c r="AQ618" s="672"/>
      <c r="AR618" s="672"/>
      <c r="AS618" s="672"/>
      <c r="AT618" s="672"/>
      <c r="AU618" s="672"/>
      <c r="AV618" s="672"/>
      <c r="AW618" s="680"/>
      <c r="AX618" s="680"/>
      <c r="AY618" s="680"/>
      <c r="AZ618" s="665"/>
      <c r="BA618" s="665"/>
      <c r="BB618" s="665"/>
      <c r="BC618" s="665"/>
      <c r="BD618" s="665"/>
      <c r="BE618" s="665"/>
      <c r="BF618" s="665"/>
      <c r="BG618" s="665"/>
    </row>
    <row r="619" spans="26:59" ht="12" customHeight="1" x14ac:dyDescent="0.2">
      <c r="Z619" s="680"/>
      <c r="AB619" s="672"/>
      <c r="AC619" s="1822"/>
      <c r="AD619" s="1822"/>
      <c r="AE619" s="1822"/>
      <c r="AF619" s="1822"/>
      <c r="AG619" s="1822"/>
      <c r="AH619" s="1822"/>
      <c r="AI619" s="1822"/>
      <c r="AJ619" s="1822"/>
      <c r="AK619" s="1822"/>
      <c r="AL619" s="1822"/>
      <c r="AM619" s="672"/>
      <c r="AN619" s="672"/>
      <c r="AO619" s="672"/>
      <c r="AP619" s="672"/>
      <c r="AQ619" s="672"/>
      <c r="AR619" s="672"/>
      <c r="AS619" s="672"/>
      <c r="AT619" s="672"/>
      <c r="AU619" s="672"/>
      <c r="AV619" s="672"/>
      <c r="AW619" s="680"/>
      <c r="AX619" s="680"/>
      <c r="AY619" s="680"/>
      <c r="AZ619" s="665"/>
      <c r="BA619" s="665"/>
      <c r="BB619" s="665"/>
      <c r="BC619" s="665"/>
      <c r="BD619" s="665"/>
      <c r="BE619" s="665"/>
      <c r="BF619" s="665"/>
      <c r="BG619" s="665"/>
    </row>
    <row r="620" spans="26:59" ht="12" customHeight="1" x14ac:dyDescent="0.2">
      <c r="Z620" s="680"/>
      <c r="AB620" s="672"/>
      <c r="AC620" s="1822"/>
      <c r="AD620" s="1822"/>
      <c r="AE620" s="1822"/>
      <c r="AF620" s="1822"/>
      <c r="AG620" s="1822"/>
      <c r="AH620" s="1822"/>
      <c r="AI620" s="1822"/>
      <c r="AJ620" s="1822"/>
      <c r="AK620" s="1822"/>
      <c r="AL620" s="1822"/>
      <c r="AM620" s="672"/>
      <c r="AN620" s="672"/>
      <c r="AO620" s="672"/>
      <c r="AP620" s="672"/>
      <c r="AQ620" s="672"/>
      <c r="AR620" s="672"/>
      <c r="AS620" s="672"/>
      <c r="AT620" s="672"/>
      <c r="AU620" s="672"/>
      <c r="AV620" s="672"/>
      <c r="AW620" s="680"/>
      <c r="AX620" s="680"/>
      <c r="AY620" s="680"/>
      <c r="AZ620" s="665"/>
      <c r="BA620" s="665"/>
      <c r="BB620" s="665"/>
      <c r="BC620" s="665"/>
      <c r="BD620" s="665"/>
      <c r="BE620" s="665"/>
      <c r="BF620" s="665"/>
      <c r="BG620" s="665"/>
    </row>
    <row r="621" spans="26:59" ht="12" customHeight="1" x14ac:dyDescent="0.2">
      <c r="Z621" s="680"/>
      <c r="AB621" s="672"/>
      <c r="AC621" s="1822"/>
      <c r="AD621" s="1822"/>
      <c r="AE621" s="1822"/>
      <c r="AF621" s="1822"/>
      <c r="AG621" s="1822"/>
      <c r="AH621" s="1822"/>
      <c r="AI621" s="1822"/>
      <c r="AJ621" s="1822"/>
      <c r="AK621" s="1822"/>
      <c r="AL621" s="1822"/>
      <c r="AM621" s="672"/>
      <c r="AN621" s="672"/>
      <c r="AO621" s="672"/>
      <c r="AP621" s="672"/>
      <c r="AQ621" s="672"/>
      <c r="AR621" s="672"/>
      <c r="AS621" s="672"/>
      <c r="AT621" s="672"/>
      <c r="AU621" s="672"/>
      <c r="AV621" s="672"/>
      <c r="AW621" s="680"/>
      <c r="AX621" s="680"/>
      <c r="AY621" s="680"/>
      <c r="AZ621" s="665"/>
      <c r="BA621" s="665"/>
      <c r="BB621" s="665"/>
      <c r="BC621" s="665"/>
      <c r="BD621" s="665"/>
      <c r="BE621" s="665"/>
      <c r="BF621" s="665"/>
      <c r="BG621" s="665"/>
    </row>
    <row r="622" spans="26:59" ht="12" customHeight="1" x14ac:dyDescent="0.2">
      <c r="Z622" s="680"/>
      <c r="AB622" s="672"/>
      <c r="AC622" s="1822"/>
      <c r="AD622" s="1822"/>
      <c r="AE622" s="1822"/>
      <c r="AF622" s="1822"/>
      <c r="AG622" s="1822"/>
      <c r="AH622" s="1822"/>
      <c r="AI622" s="1822"/>
      <c r="AJ622" s="1822"/>
      <c r="AK622" s="1822"/>
      <c r="AL622" s="1822"/>
      <c r="AM622" s="672"/>
      <c r="AN622" s="672"/>
      <c r="AO622" s="672"/>
      <c r="AP622" s="672"/>
      <c r="AQ622" s="672"/>
      <c r="AR622" s="672"/>
      <c r="AS622" s="672"/>
      <c r="AT622" s="672"/>
      <c r="AU622" s="672"/>
      <c r="AV622" s="672"/>
      <c r="AW622" s="680"/>
      <c r="AX622" s="680"/>
      <c r="AY622" s="680"/>
      <c r="AZ622" s="665"/>
      <c r="BA622" s="665"/>
      <c r="BB622" s="665"/>
      <c r="BC622" s="665"/>
      <c r="BD622" s="665"/>
      <c r="BE622" s="665"/>
      <c r="BF622" s="665"/>
      <c r="BG622" s="665"/>
    </row>
    <row r="623" spans="26:59" ht="12" customHeight="1" x14ac:dyDescent="0.2">
      <c r="Z623" s="680"/>
      <c r="AB623" s="672"/>
      <c r="AC623" s="1822"/>
      <c r="AD623" s="1822"/>
      <c r="AE623" s="1822"/>
      <c r="AF623" s="1822"/>
      <c r="AG623" s="1822"/>
      <c r="AH623" s="1822"/>
      <c r="AI623" s="1822"/>
      <c r="AJ623" s="1822"/>
      <c r="AK623" s="1822"/>
      <c r="AL623" s="1822"/>
      <c r="AM623" s="672"/>
      <c r="AN623" s="672"/>
      <c r="AO623" s="672"/>
      <c r="AP623" s="672"/>
      <c r="AQ623" s="672"/>
      <c r="AR623" s="672"/>
      <c r="AS623" s="672"/>
      <c r="AT623" s="672"/>
      <c r="AU623" s="672"/>
      <c r="AV623" s="672"/>
      <c r="AW623" s="680"/>
      <c r="AX623" s="680"/>
      <c r="AY623" s="680"/>
      <c r="AZ623" s="665"/>
      <c r="BA623" s="665"/>
      <c r="BB623" s="665"/>
      <c r="BC623" s="665"/>
      <c r="BD623" s="665"/>
      <c r="BE623" s="665"/>
      <c r="BF623" s="665"/>
      <c r="BG623" s="665"/>
    </row>
    <row r="624" spans="26:59" ht="12" customHeight="1" x14ac:dyDescent="0.2">
      <c r="Z624" s="680"/>
      <c r="AB624" s="672"/>
      <c r="AC624" s="1822"/>
      <c r="AD624" s="1822"/>
      <c r="AE624" s="1822"/>
      <c r="AF624" s="1822"/>
      <c r="AG624" s="1822"/>
      <c r="AH624" s="1822"/>
      <c r="AI624" s="1822"/>
      <c r="AJ624" s="1822"/>
      <c r="AK624" s="1822"/>
      <c r="AL624" s="1822"/>
      <c r="AM624" s="672"/>
      <c r="AN624" s="672"/>
      <c r="AO624" s="672"/>
      <c r="AP624" s="672"/>
      <c r="AQ624" s="672"/>
      <c r="AR624" s="672"/>
      <c r="AS624" s="672"/>
      <c r="AT624" s="672"/>
      <c r="AU624" s="672"/>
      <c r="AV624" s="672"/>
      <c r="AW624" s="680"/>
      <c r="AX624" s="680"/>
      <c r="AY624" s="680"/>
      <c r="AZ624" s="665"/>
      <c r="BA624" s="665"/>
      <c r="BB624" s="665"/>
      <c r="BC624" s="665"/>
      <c r="BD624" s="665"/>
      <c r="BE624" s="665"/>
      <c r="BF624" s="665"/>
      <c r="BG624" s="665"/>
    </row>
    <row r="625" spans="26:59" ht="12" customHeight="1" x14ac:dyDescent="0.2">
      <c r="Z625" s="680"/>
      <c r="AB625" s="672"/>
      <c r="AC625" s="1822"/>
      <c r="AD625" s="1822"/>
      <c r="AE625" s="1822"/>
      <c r="AF625" s="1822"/>
      <c r="AG625" s="1822"/>
      <c r="AH625" s="1822"/>
      <c r="AI625" s="1822"/>
      <c r="AJ625" s="1822"/>
      <c r="AK625" s="1822"/>
      <c r="AL625" s="1822"/>
      <c r="AM625" s="672"/>
      <c r="AN625" s="672"/>
      <c r="AO625" s="672"/>
      <c r="AP625" s="672"/>
      <c r="AQ625" s="672"/>
      <c r="AR625" s="672"/>
      <c r="AS625" s="672"/>
      <c r="AT625" s="672"/>
      <c r="AU625" s="672"/>
      <c r="AV625" s="672"/>
      <c r="AW625" s="680"/>
      <c r="AX625" s="680"/>
      <c r="AY625" s="680"/>
      <c r="AZ625" s="665"/>
      <c r="BA625" s="665"/>
      <c r="BB625" s="665"/>
      <c r="BC625" s="665"/>
      <c r="BD625" s="665"/>
      <c r="BE625" s="665"/>
      <c r="BF625" s="665"/>
      <c r="BG625" s="665"/>
    </row>
    <row r="626" spans="26:59" ht="12" customHeight="1" x14ac:dyDescent="0.2">
      <c r="Z626" s="680"/>
      <c r="AB626" s="672"/>
      <c r="AC626" s="1822"/>
      <c r="AD626" s="1822"/>
      <c r="AE626" s="1822"/>
      <c r="AF626" s="1822"/>
      <c r="AG626" s="1822"/>
      <c r="AH626" s="1822"/>
      <c r="AI626" s="1822"/>
      <c r="AJ626" s="1822"/>
      <c r="AK626" s="1822"/>
      <c r="AL626" s="1822"/>
      <c r="AM626" s="672"/>
      <c r="AN626" s="672"/>
      <c r="AO626" s="672"/>
      <c r="AP626" s="672"/>
      <c r="AQ626" s="672"/>
      <c r="AR626" s="672"/>
      <c r="AS626" s="672"/>
      <c r="AT626" s="672"/>
      <c r="AU626" s="672"/>
      <c r="AV626" s="672"/>
      <c r="AW626" s="680"/>
      <c r="AX626" s="680"/>
      <c r="AY626" s="680"/>
      <c r="AZ626" s="665"/>
      <c r="BA626" s="665"/>
      <c r="BB626" s="665"/>
      <c r="BC626" s="665"/>
      <c r="BD626" s="665"/>
      <c r="BE626" s="665"/>
      <c r="BF626" s="665"/>
      <c r="BG626" s="665"/>
    </row>
    <row r="627" spans="26:59" ht="12" customHeight="1" x14ac:dyDescent="0.2">
      <c r="Z627" s="680"/>
      <c r="AB627" s="672"/>
      <c r="AC627" s="1822"/>
      <c r="AD627" s="1822"/>
      <c r="AE627" s="1822"/>
      <c r="AF627" s="1822"/>
      <c r="AG627" s="1822"/>
      <c r="AH627" s="1822"/>
      <c r="AI627" s="1822"/>
      <c r="AJ627" s="1822"/>
      <c r="AK627" s="1822"/>
      <c r="AL627" s="1822"/>
      <c r="AM627" s="672"/>
      <c r="AN627" s="672"/>
      <c r="AO627" s="672"/>
      <c r="AP627" s="672"/>
      <c r="AQ627" s="672"/>
      <c r="AR627" s="672"/>
      <c r="AS627" s="672"/>
      <c r="AT627" s="672"/>
      <c r="AU627" s="672"/>
      <c r="AV627" s="672"/>
      <c r="AW627" s="680"/>
      <c r="AX627" s="680"/>
      <c r="AY627" s="680"/>
      <c r="AZ627" s="665"/>
      <c r="BA627" s="665"/>
      <c r="BB627" s="665"/>
      <c r="BC627" s="665"/>
      <c r="BD627" s="665"/>
      <c r="BE627" s="665"/>
      <c r="BF627" s="665"/>
      <c r="BG627" s="665"/>
    </row>
    <row r="628" spans="26:59" ht="12" customHeight="1" x14ac:dyDescent="0.2">
      <c r="Z628" s="680"/>
      <c r="AB628" s="672"/>
      <c r="AC628" s="1822"/>
      <c r="AD628" s="1822"/>
      <c r="AE628" s="1822"/>
      <c r="AF628" s="1822"/>
      <c r="AG628" s="1822"/>
      <c r="AH628" s="1822"/>
      <c r="AI628" s="1822"/>
      <c r="AJ628" s="1822"/>
      <c r="AK628" s="1822"/>
      <c r="AL628" s="1822"/>
      <c r="AM628" s="672"/>
      <c r="AN628" s="672"/>
      <c r="AO628" s="672"/>
      <c r="AP628" s="672"/>
      <c r="AQ628" s="672"/>
      <c r="AR628" s="672"/>
      <c r="AS628" s="672"/>
      <c r="AT628" s="672"/>
      <c r="AU628" s="672"/>
      <c r="AV628" s="672"/>
      <c r="AW628" s="680"/>
      <c r="AX628" s="680"/>
      <c r="AY628" s="680"/>
      <c r="AZ628" s="665"/>
      <c r="BA628" s="665"/>
      <c r="BB628" s="665"/>
      <c r="BC628" s="665"/>
      <c r="BD628" s="665"/>
      <c r="BE628" s="665"/>
      <c r="BF628" s="665"/>
      <c r="BG628" s="665"/>
    </row>
    <row r="629" spans="26:59" ht="12" customHeight="1" x14ac:dyDescent="0.2">
      <c r="Z629" s="680"/>
      <c r="AB629" s="672"/>
      <c r="AC629" s="1822"/>
      <c r="AD629" s="1822"/>
      <c r="AE629" s="1822"/>
      <c r="AF629" s="1822"/>
      <c r="AG629" s="1822"/>
      <c r="AH629" s="1822"/>
      <c r="AI629" s="1822"/>
      <c r="AJ629" s="1822"/>
      <c r="AK629" s="1822"/>
      <c r="AL629" s="1822"/>
      <c r="AM629" s="672"/>
      <c r="AN629" s="672"/>
      <c r="AO629" s="672"/>
      <c r="AP629" s="672"/>
      <c r="AQ629" s="672"/>
      <c r="AR629" s="672"/>
      <c r="AS629" s="672"/>
      <c r="AT629" s="672"/>
      <c r="AU629" s="672"/>
      <c r="AV629" s="672"/>
      <c r="AW629" s="680"/>
      <c r="AX629" s="680"/>
      <c r="AY629" s="680"/>
      <c r="AZ629" s="665"/>
      <c r="BA629" s="665"/>
      <c r="BB629" s="665"/>
      <c r="BC629" s="665"/>
      <c r="BD629" s="665"/>
      <c r="BE629" s="665"/>
      <c r="BF629" s="665"/>
      <c r="BG629" s="665"/>
    </row>
    <row r="630" spans="26:59" ht="12" customHeight="1" x14ac:dyDescent="0.2">
      <c r="Z630" s="680"/>
      <c r="AB630" s="672"/>
      <c r="AC630" s="1822"/>
      <c r="AD630" s="1822"/>
      <c r="AE630" s="1822"/>
      <c r="AF630" s="1822"/>
      <c r="AG630" s="1822"/>
      <c r="AH630" s="1822"/>
      <c r="AI630" s="1822"/>
      <c r="AJ630" s="1822"/>
      <c r="AK630" s="1822"/>
      <c r="AL630" s="1822"/>
      <c r="AM630" s="672"/>
      <c r="AN630" s="672"/>
      <c r="AO630" s="672"/>
      <c r="AP630" s="672"/>
      <c r="AQ630" s="672"/>
      <c r="AR630" s="672"/>
      <c r="AS630" s="672"/>
      <c r="AT630" s="672"/>
      <c r="AU630" s="672"/>
      <c r="AV630" s="672"/>
      <c r="AW630" s="680"/>
      <c r="AX630" s="680"/>
      <c r="AY630" s="680"/>
      <c r="AZ630" s="665"/>
      <c r="BA630" s="665"/>
      <c r="BB630" s="665"/>
      <c r="BC630" s="665"/>
      <c r="BD630" s="665"/>
      <c r="BE630" s="665"/>
      <c r="BF630" s="665"/>
      <c r="BG630" s="665"/>
    </row>
    <row r="631" spans="26:59" ht="12" customHeight="1" x14ac:dyDescent="0.2">
      <c r="Z631" s="680"/>
      <c r="AB631" s="672"/>
      <c r="AC631" s="1822"/>
      <c r="AD631" s="1822"/>
      <c r="AE631" s="1822"/>
      <c r="AF631" s="1822"/>
      <c r="AG631" s="1822"/>
      <c r="AH631" s="1822"/>
      <c r="AI631" s="1822"/>
      <c r="AJ631" s="1822"/>
      <c r="AK631" s="1822"/>
      <c r="AL631" s="1822"/>
      <c r="AM631" s="672"/>
      <c r="AN631" s="672"/>
      <c r="AO631" s="672"/>
      <c r="AP631" s="672"/>
      <c r="AQ631" s="672"/>
      <c r="AR631" s="672"/>
      <c r="AS631" s="672"/>
      <c r="AT631" s="672"/>
      <c r="AU631" s="672"/>
      <c r="AV631" s="672"/>
      <c r="AW631" s="680"/>
      <c r="AX631" s="680"/>
      <c r="AY631" s="680"/>
      <c r="AZ631" s="665"/>
      <c r="BA631" s="665"/>
      <c r="BB631" s="665"/>
      <c r="BC631" s="665"/>
      <c r="BD631" s="665"/>
      <c r="BE631" s="665"/>
      <c r="BF631" s="665"/>
      <c r="BG631" s="665"/>
    </row>
    <row r="632" spans="26:59" ht="12" customHeight="1" x14ac:dyDescent="0.2">
      <c r="Z632" s="680"/>
      <c r="AB632" s="672"/>
      <c r="AC632" s="1822"/>
      <c r="AD632" s="1822"/>
      <c r="AE632" s="1822"/>
      <c r="AF632" s="1822"/>
      <c r="AG632" s="1822"/>
      <c r="AH632" s="1822"/>
      <c r="AI632" s="1822"/>
      <c r="AJ632" s="1822"/>
      <c r="AK632" s="1822"/>
      <c r="AL632" s="1822"/>
      <c r="AM632" s="672"/>
      <c r="AN632" s="672"/>
      <c r="AO632" s="672"/>
      <c r="AP632" s="672"/>
      <c r="AQ632" s="672"/>
      <c r="AR632" s="672"/>
      <c r="AS632" s="672"/>
      <c r="AT632" s="672"/>
      <c r="AU632" s="672"/>
      <c r="AV632" s="672"/>
      <c r="AW632" s="680"/>
      <c r="AX632" s="680"/>
      <c r="AY632" s="680"/>
      <c r="AZ632" s="665"/>
      <c r="BA632" s="665"/>
      <c r="BB632" s="665"/>
      <c r="BC632" s="665"/>
      <c r="BD632" s="665"/>
      <c r="BE632" s="665"/>
      <c r="BF632" s="665"/>
      <c r="BG632" s="665"/>
    </row>
    <row r="633" spans="26:59" ht="12" customHeight="1" x14ac:dyDescent="0.2">
      <c r="Z633" s="680"/>
      <c r="AB633" s="672"/>
      <c r="AC633" s="1822"/>
      <c r="AD633" s="1822"/>
      <c r="AE633" s="1822"/>
      <c r="AF633" s="1822"/>
      <c r="AG633" s="1822"/>
      <c r="AH633" s="1822"/>
      <c r="AI633" s="1822"/>
      <c r="AJ633" s="1822"/>
      <c r="AK633" s="1822"/>
      <c r="AL633" s="1822"/>
      <c r="AM633" s="672"/>
      <c r="AN633" s="672"/>
      <c r="AO633" s="672"/>
      <c r="AP633" s="672"/>
      <c r="AQ633" s="672"/>
      <c r="AR633" s="672"/>
      <c r="AS633" s="672"/>
      <c r="AT633" s="672"/>
      <c r="AU633" s="672"/>
      <c r="AV633" s="672"/>
      <c r="AW633" s="680"/>
      <c r="AX633" s="680"/>
      <c r="AY633" s="680"/>
      <c r="AZ633" s="665"/>
      <c r="BA633" s="665"/>
      <c r="BB633" s="665"/>
      <c r="BC633" s="665"/>
      <c r="BD633" s="665"/>
      <c r="BE633" s="665"/>
      <c r="BF633" s="665"/>
      <c r="BG633" s="665"/>
    </row>
    <row r="634" spans="26:59" ht="12" customHeight="1" x14ac:dyDescent="0.2">
      <c r="Z634" s="680"/>
      <c r="AB634" s="672"/>
      <c r="AC634" s="1822"/>
      <c r="AD634" s="1822"/>
      <c r="AE634" s="1822"/>
      <c r="AF634" s="1822"/>
      <c r="AG634" s="1822"/>
      <c r="AH634" s="1822"/>
      <c r="AI634" s="1822"/>
      <c r="AJ634" s="1822"/>
      <c r="AK634" s="1822"/>
      <c r="AL634" s="1822"/>
      <c r="AM634" s="672"/>
      <c r="AN634" s="672"/>
      <c r="AO634" s="672"/>
      <c r="AP634" s="672"/>
      <c r="AQ634" s="672"/>
      <c r="AR634" s="672"/>
      <c r="AS634" s="672"/>
      <c r="AT634" s="672"/>
      <c r="AU634" s="672"/>
      <c r="AV634" s="672"/>
      <c r="AW634" s="680"/>
      <c r="AX634" s="680"/>
      <c r="AY634" s="680"/>
      <c r="AZ634" s="665"/>
      <c r="BA634" s="665"/>
      <c r="BB634" s="665"/>
      <c r="BC634" s="665"/>
      <c r="BD634" s="665"/>
      <c r="BE634" s="665"/>
      <c r="BF634" s="665"/>
      <c r="BG634" s="665"/>
    </row>
    <row r="635" spans="26:59" ht="12" customHeight="1" x14ac:dyDescent="0.2">
      <c r="Z635" s="680"/>
      <c r="AB635" s="672"/>
      <c r="AC635" s="1822"/>
      <c r="AD635" s="1822"/>
      <c r="AE635" s="1822"/>
      <c r="AF635" s="1822"/>
      <c r="AG635" s="1822"/>
      <c r="AH635" s="1822"/>
      <c r="AI635" s="1822"/>
      <c r="AJ635" s="1822"/>
      <c r="AK635" s="1822"/>
      <c r="AL635" s="1822"/>
      <c r="AM635" s="672"/>
      <c r="AN635" s="672"/>
      <c r="AO635" s="672"/>
      <c r="AP635" s="672"/>
      <c r="AQ635" s="672"/>
      <c r="AR635" s="672"/>
      <c r="AS635" s="672"/>
      <c r="AT635" s="672"/>
      <c r="AU635" s="672"/>
      <c r="AV635" s="672"/>
      <c r="AW635" s="680"/>
      <c r="AX635" s="680"/>
      <c r="AY635" s="680"/>
      <c r="AZ635" s="665"/>
      <c r="BA635" s="665"/>
      <c r="BB635" s="665"/>
      <c r="BC635" s="665"/>
      <c r="BD635" s="665"/>
      <c r="BE635" s="665"/>
      <c r="BF635" s="665"/>
      <c r="BG635" s="665"/>
    </row>
    <row r="636" spans="26:59" ht="12" customHeight="1" x14ac:dyDescent="0.2">
      <c r="Z636" s="680"/>
      <c r="AB636" s="672"/>
      <c r="AC636" s="1822"/>
      <c r="AD636" s="1822"/>
      <c r="AE636" s="1822"/>
      <c r="AF636" s="1822"/>
      <c r="AG636" s="1822"/>
      <c r="AH636" s="1822"/>
      <c r="AI636" s="1822"/>
      <c r="AJ636" s="1822"/>
      <c r="AK636" s="1822"/>
      <c r="AL636" s="1822"/>
      <c r="AM636" s="672"/>
      <c r="AN636" s="672"/>
      <c r="AO636" s="672"/>
      <c r="AP636" s="672"/>
      <c r="AQ636" s="672"/>
      <c r="AR636" s="672"/>
      <c r="AS636" s="672"/>
      <c r="AT636" s="672"/>
      <c r="AU636" s="672"/>
      <c r="AV636" s="672"/>
      <c r="AW636" s="680"/>
      <c r="AX636" s="680"/>
      <c r="AY636" s="680"/>
      <c r="AZ636" s="665"/>
      <c r="BA636" s="665"/>
      <c r="BB636" s="665"/>
      <c r="BC636" s="665"/>
      <c r="BD636" s="665"/>
      <c r="BE636" s="665"/>
      <c r="BF636" s="665"/>
      <c r="BG636" s="665"/>
    </row>
    <row r="637" spans="26:59" ht="12" customHeight="1" x14ac:dyDescent="0.2">
      <c r="Z637" s="680"/>
      <c r="AB637" s="672"/>
      <c r="AC637" s="1822"/>
      <c r="AD637" s="1822"/>
      <c r="AE637" s="1822"/>
      <c r="AF637" s="1822"/>
      <c r="AG637" s="1822"/>
      <c r="AH637" s="1822"/>
      <c r="AI637" s="1822"/>
      <c r="AJ637" s="1822"/>
      <c r="AK637" s="1822"/>
      <c r="AL637" s="1822"/>
      <c r="AM637" s="672"/>
      <c r="AN637" s="672"/>
      <c r="AO637" s="672"/>
      <c r="AP637" s="672"/>
      <c r="AQ637" s="672"/>
      <c r="AR637" s="672"/>
      <c r="AS637" s="672"/>
      <c r="AT637" s="672"/>
      <c r="AU637" s="672"/>
      <c r="AV637" s="672"/>
      <c r="AW637" s="680"/>
      <c r="AX637" s="680"/>
      <c r="AY637" s="680"/>
      <c r="AZ637" s="665"/>
      <c r="BA637" s="665"/>
      <c r="BB637" s="665"/>
      <c r="BC637" s="665"/>
      <c r="BD637" s="665"/>
      <c r="BE637" s="665"/>
      <c r="BF637" s="665"/>
      <c r="BG637" s="665"/>
    </row>
    <row r="638" spans="26:59" ht="12" customHeight="1" x14ac:dyDescent="0.2">
      <c r="Z638" s="680"/>
      <c r="AB638" s="672"/>
      <c r="AC638" s="1822"/>
      <c r="AD638" s="1822"/>
      <c r="AE638" s="1822"/>
      <c r="AF638" s="1822"/>
      <c r="AG638" s="1822"/>
      <c r="AH638" s="1822"/>
      <c r="AI638" s="1822"/>
      <c r="AJ638" s="1822"/>
      <c r="AK638" s="1822"/>
      <c r="AL638" s="1822"/>
      <c r="AM638" s="672"/>
      <c r="AN638" s="672"/>
      <c r="AO638" s="672"/>
      <c r="AP638" s="672"/>
      <c r="AQ638" s="672"/>
      <c r="AR638" s="672"/>
      <c r="AS638" s="672"/>
      <c r="AT638" s="672"/>
      <c r="AU638" s="672"/>
      <c r="AV638" s="672"/>
      <c r="AW638" s="680"/>
      <c r="AX638" s="680"/>
      <c r="AY638" s="680"/>
      <c r="AZ638" s="665"/>
      <c r="BA638" s="665"/>
      <c r="BB638" s="665"/>
      <c r="BC638" s="665"/>
      <c r="BD638" s="665"/>
      <c r="BE638" s="665"/>
      <c r="BF638" s="665"/>
      <c r="BG638" s="665"/>
    </row>
    <row r="639" spans="26:59" ht="12" customHeight="1" x14ac:dyDescent="0.2">
      <c r="Z639" s="680"/>
      <c r="AB639" s="672"/>
      <c r="AC639" s="1822"/>
      <c r="AD639" s="1822"/>
      <c r="AE639" s="1822"/>
      <c r="AF639" s="1822"/>
      <c r="AG639" s="1822"/>
      <c r="AH639" s="1822"/>
      <c r="AI639" s="1822"/>
      <c r="AJ639" s="1822"/>
      <c r="AK639" s="1822"/>
      <c r="AL639" s="1822"/>
      <c r="AM639" s="672"/>
      <c r="AN639" s="672"/>
      <c r="AO639" s="672"/>
      <c r="AP639" s="672"/>
      <c r="AQ639" s="672"/>
      <c r="AR639" s="672"/>
      <c r="AS639" s="672"/>
      <c r="AT639" s="672"/>
      <c r="AU639" s="672"/>
      <c r="AV639" s="672"/>
      <c r="AW639" s="680"/>
      <c r="AX639" s="680"/>
      <c r="AY639" s="680"/>
      <c r="AZ639" s="665"/>
      <c r="BA639" s="665"/>
      <c r="BB639" s="665"/>
      <c r="BC639" s="665"/>
      <c r="BD639" s="665"/>
      <c r="BE639" s="665"/>
      <c r="BF639" s="665"/>
      <c r="BG639" s="665"/>
    </row>
    <row r="640" spans="26:59" ht="12" customHeight="1" x14ac:dyDescent="0.2">
      <c r="Z640" s="680"/>
      <c r="AB640" s="672"/>
      <c r="AC640" s="1822"/>
      <c r="AD640" s="1822"/>
      <c r="AE640" s="1822"/>
      <c r="AF640" s="1822"/>
      <c r="AG640" s="1822"/>
      <c r="AH640" s="1822"/>
      <c r="AI640" s="1822"/>
      <c r="AJ640" s="1822"/>
      <c r="AK640" s="1822"/>
      <c r="AL640" s="1822"/>
      <c r="AM640" s="672"/>
      <c r="AN640" s="672"/>
      <c r="AO640" s="672"/>
      <c r="AP640" s="672"/>
      <c r="AQ640" s="672"/>
      <c r="AR640" s="672"/>
      <c r="AS640" s="672"/>
      <c r="AT640" s="672"/>
      <c r="AU640" s="672"/>
      <c r="AV640" s="672"/>
      <c r="AW640" s="680"/>
      <c r="AX640" s="680"/>
      <c r="AY640" s="680"/>
      <c r="AZ640" s="665"/>
      <c r="BA640" s="665"/>
      <c r="BB640" s="665"/>
      <c r="BC640" s="665"/>
      <c r="BD640" s="665"/>
      <c r="BE640" s="665"/>
      <c r="BF640" s="665"/>
      <c r="BG640" s="665"/>
    </row>
    <row r="641" spans="26:59" ht="12" customHeight="1" x14ac:dyDescent="0.2">
      <c r="Z641" s="680"/>
      <c r="AB641" s="672"/>
      <c r="AC641" s="1822"/>
      <c r="AD641" s="1822"/>
      <c r="AE641" s="1822"/>
      <c r="AF641" s="1822"/>
      <c r="AG641" s="1822"/>
      <c r="AH641" s="1822"/>
      <c r="AI641" s="1822"/>
      <c r="AJ641" s="1822"/>
      <c r="AK641" s="1822"/>
      <c r="AL641" s="1822"/>
      <c r="AM641" s="672"/>
      <c r="AN641" s="672"/>
      <c r="AO641" s="672"/>
      <c r="AP641" s="672"/>
      <c r="AQ641" s="672"/>
      <c r="AR641" s="672"/>
      <c r="AS641" s="672"/>
      <c r="AT641" s="672"/>
      <c r="AU641" s="672"/>
      <c r="AV641" s="672"/>
      <c r="AW641" s="680"/>
      <c r="AX641" s="680"/>
      <c r="AY641" s="680"/>
      <c r="AZ641" s="665"/>
      <c r="BA641" s="665"/>
      <c r="BB641" s="665"/>
      <c r="BC641" s="665"/>
      <c r="BD641" s="665"/>
      <c r="BE641" s="665"/>
      <c r="BF641" s="665"/>
      <c r="BG641" s="665"/>
    </row>
    <row r="642" spans="26:59" ht="12" customHeight="1" x14ac:dyDescent="0.2">
      <c r="Z642" s="680"/>
      <c r="AB642" s="672"/>
      <c r="AC642" s="1822"/>
      <c r="AD642" s="1822"/>
      <c r="AE642" s="1822"/>
      <c r="AF642" s="1822"/>
      <c r="AG642" s="1822"/>
      <c r="AH642" s="1822"/>
      <c r="AI642" s="1822"/>
      <c r="AJ642" s="1822"/>
      <c r="AK642" s="1822"/>
      <c r="AL642" s="1822"/>
      <c r="AM642" s="672"/>
      <c r="AN642" s="672"/>
      <c r="AO642" s="672"/>
      <c r="AP642" s="672"/>
      <c r="AQ642" s="672"/>
      <c r="AR642" s="672"/>
      <c r="AS642" s="672"/>
      <c r="AT642" s="672"/>
      <c r="AU642" s="672"/>
      <c r="AV642" s="672"/>
      <c r="AW642" s="680"/>
      <c r="AX642" s="680"/>
      <c r="AY642" s="680"/>
      <c r="AZ642" s="665"/>
      <c r="BA642" s="665"/>
      <c r="BB642" s="665"/>
      <c r="BC642" s="665"/>
      <c r="BD642" s="665"/>
      <c r="BE642" s="665"/>
      <c r="BF642" s="665"/>
      <c r="BG642" s="665"/>
    </row>
    <row r="643" spans="26:59" ht="12" customHeight="1" x14ac:dyDescent="0.2">
      <c r="Z643" s="680"/>
      <c r="AB643" s="672"/>
      <c r="AC643" s="1822"/>
      <c r="AD643" s="1822"/>
      <c r="AE643" s="1822"/>
      <c r="AF643" s="1822"/>
      <c r="AG643" s="1822"/>
      <c r="AH643" s="1822"/>
      <c r="AI643" s="1822"/>
      <c r="AJ643" s="1822"/>
      <c r="AK643" s="1822"/>
      <c r="AL643" s="1822"/>
      <c r="AM643" s="672"/>
      <c r="AN643" s="672"/>
      <c r="AO643" s="672"/>
      <c r="AP643" s="672"/>
      <c r="AQ643" s="672"/>
      <c r="AR643" s="672"/>
      <c r="AS643" s="672"/>
      <c r="AT643" s="672"/>
      <c r="AU643" s="672"/>
      <c r="AV643" s="672"/>
      <c r="AW643" s="680"/>
      <c r="AX643" s="680"/>
      <c r="AY643" s="680"/>
      <c r="AZ643" s="665"/>
      <c r="BA643" s="665"/>
      <c r="BB643" s="665"/>
      <c r="BC643" s="665"/>
      <c r="BD643" s="665"/>
      <c r="BE643" s="665"/>
      <c r="BF643" s="665"/>
      <c r="BG643" s="665"/>
    </row>
    <row r="644" spans="26:59" ht="12" customHeight="1" x14ac:dyDescent="0.2">
      <c r="Z644" s="680"/>
      <c r="AB644" s="672"/>
      <c r="AC644" s="1822"/>
      <c r="AD644" s="1822"/>
      <c r="AE644" s="1822"/>
      <c r="AF644" s="1822"/>
      <c r="AG644" s="1822"/>
      <c r="AH644" s="1822"/>
      <c r="AI644" s="1822"/>
      <c r="AJ644" s="1822"/>
      <c r="AK644" s="1822"/>
      <c r="AL644" s="1822"/>
      <c r="AM644" s="672"/>
      <c r="AN644" s="672"/>
      <c r="AO644" s="672"/>
      <c r="AP644" s="672"/>
      <c r="AQ644" s="672"/>
      <c r="AR644" s="672"/>
      <c r="AS644" s="672"/>
      <c r="AT644" s="672"/>
      <c r="AU644" s="672"/>
      <c r="AV644" s="672"/>
      <c r="AW644" s="680"/>
      <c r="AX644" s="680"/>
      <c r="AY644" s="680"/>
      <c r="AZ644" s="665"/>
      <c r="BA644" s="665"/>
      <c r="BB644" s="665"/>
      <c r="BC644" s="665"/>
      <c r="BD644" s="665"/>
      <c r="BE644" s="665"/>
      <c r="BF644" s="665"/>
      <c r="BG644" s="665"/>
    </row>
    <row r="645" spans="26:59" ht="12" customHeight="1" x14ac:dyDescent="0.2">
      <c r="Z645" s="680"/>
      <c r="AB645" s="672"/>
      <c r="AC645" s="1822"/>
      <c r="AD645" s="1822"/>
      <c r="AE645" s="1822"/>
      <c r="AF645" s="1822"/>
      <c r="AG645" s="1822"/>
      <c r="AH645" s="1822"/>
      <c r="AI645" s="1822"/>
      <c r="AJ645" s="1822"/>
      <c r="AK645" s="1822"/>
      <c r="AL645" s="1822"/>
      <c r="AM645" s="672"/>
      <c r="AN645" s="672"/>
      <c r="AO645" s="672"/>
      <c r="AP645" s="672"/>
      <c r="AQ645" s="672"/>
      <c r="AR645" s="672"/>
      <c r="AS645" s="672"/>
      <c r="AT645" s="672"/>
      <c r="AU645" s="672"/>
      <c r="AV645" s="672"/>
      <c r="AW645" s="680"/>
      <c r="AX645" s="680"/>
      <c r="AY645" s="680"/>
      <c r="AZ645" s="665"/>
      <c r="BA645" s="665"/>
      <c r="BB645" s="665"/>
      <c r="BC645" s="665"/>
      <c r="BD645" s="665"/>
      <c r="BE645" s="665"/>
      <c r="BF645" s="665"/>
      <c r="BG645" s="665"/>
    </row>
    <row r="646" spans="26:59" ht="12" customHeight="1" x14ac:dyDescent="0.2">
      <c r="Z646" s="680"/>
      <c r="AB646" s="672"/>
      <c r="AC646" s="1822"/>
      <c r="AD646" s="1822"/>
      <c r="AE646" s="1822"/>
      <c r="AF646" s="1822"/>
      <c r="AG646" s="1822"/>
      <c r="AH646" s="1822"/>
      <c r="AI646" s="1822"/>
      <c r="AJ646" s="1822"/>
      <c r="AK646" s="1822"/>
      <c r="AL646" s="1822"/>
      <c r="AM646" s="672"/>
      <c r="AN646" s="672"/>
      <c r="AO646" s="672"/>
      <c r="AP646" s="672"/>
      <c r="AQ646" s="672"/>
      <c r="AR646" s="672"/>
      <c r="AS646" s="672"/>
      <c r="AT646" s="672"/>
      <c r="AU646" s="672"/>
      <c r="AV646" s="672"/>
      <c r="AW646" s="680"/>
      <c r="AX646" s="680"/>
      <c r="AY646" s="680"/>
      <c r="AZ646" s="665"/>
      <c r="BA646" s="665"/>
      <c r="BB646" s="665"/>
      <c r="BC646" s="665"/>
      <c r="BD646" s="665"/>
      <c r="BE646" s="665"/>
      <c r="BF646" s="665"/>
      <c r="BG646" s="665"/>
    </row>
    <row r="647" spans="26:59" ht="12" customHeight="1" x14ac:dyDescent="0.2">
      <c r="Z647" s="680"/>
      <c r="AB647" s="672"/>
      <c r="AC647" s="1822"/>
      <c r="AD647" s="1822"/>
      <c r="AE647" s="1822"/>
      <c r="AF647" s="1822"/>
      <c r="AG647" s="1822"/>
      <c r="AH647" s="1822"/>
      <c r="AI647" s="1822"/>
      <c r="AJ647" s="1822"/>
      <c r="AK647" s="1822"/>
      <c r="AL647" s="1822"/>
      <c r="AM647" s="672"/>
      <c r="AN647" s="672"/>
      <c r="AO647" s="672"/>
      <c r="AP647" s="672"/>
      <c r="AQ647" s="672"/>
      <c r="AR647" s="672"/>
      <c r="AS647" s="672"/>
      <c r="AT647" s="672"/>
      <c r="AU647" s="672"/>
      <c r="AV647" s="672"/>
      <c r="AW647" s="680"/>
      <c r="AX647" s="680"/>
      <c r="AY647" s="680"/>
      <c r="AZ647" s="665"/>
      <c r="BA647" s="665"/>
      <c r="BB647" s="665"/>
      <c r="BC647" s="665"/>
      <c r="BD647" s="665"/>
      <c r="BE647" s="665"/>
      <c r="BF647" s="665"/>
      <c r="BG647" s="665"/>
    </row>
    <row r="648" spans="26:59" ht="12" customHeight="1" x14ac:dyDescent="0.2">
      <c r="Z648" s="680"/>
      <c r="AB648" s="672"/>
      <c r="AC648" s="1822"/>
      <c r="AD648" s="1822"/>
      <c r="AE648" s="1822"/>
      <c r="AF648" s="1822"/>
      <c r="AG648" s="1822"/>
      <c r="AH648" s="1822"/>
      <c r="AI648" s="1822"/>
      <c r="AJ648" s="1822"/>
      <c r="AK648" s="1822"/>
      <c r="AL648" s="1822"/>
      <c r="AM648" s="672"/>
      <c r="AN648" s="672"/>
      <c r="AO648" s="672"/>
      <c r="AP648" s="672"/>
      <c r="AQ648" s="672"/>
      <c r="AR648" s="672"/>
      <c r="AS648" s="672"/>
      <c r="AT648" s="672"/>
      <c r="AU648" s="672"/>
      <c r="AV648" s="672"/>
      <c r="AW648" s="680"/>
      <c r="AX648" s="680"/>
      <c r="AY648" s="680"/>
      <c r="AZ648" s="665"/>
      <c r="BA648" s="665"/>
      <c r="BB648" s="665"/>
      <c r="BC648" s="665"/>
      <c r="BD648" s="665"/>
      <c r="BE648" s="665"/>
      <c r="BF648" s="665"/>
      <c r="BG648" s="665"/>
    </row>
    <row r="649" spans="26:59" ht="12" customHeight="1" x14ac:dyDescent="0.2">
      <c r="Z649" s="680"/>
      <c r="AB649" s="672"/>
      <c r="AC649" s="1822"/>
      <c r="AD649" s="1822"/>
      <c r="AE649" s="1822"/>
      <c r="AF649" s="1822"/>
      <c r="AG649" s="1822"/>
      <c r="AH649" s="1822"/>
      <c r="AI649" s="1822"/>
      <c r="AJ649" s="1822"/>
      <c r="AK649" s="1822"/>
      <c r="AL649" s="1822"/>
      <c r="AM649" s="672"/>
      <c r="AN649" s="672"/>
      <c r="AO649" s="672"/>
      <c r="AP649" s="672"/>
      <c r="AQ649" s="672"/>
      <c r="AR649" s="672"/>
      <c r="AS649" s="672"/>
      <c r="AT649" s="672"/>
      <c r="AU649" s="672"/>
      <c r="AV649" s="672"/>
      <c r="AW649" s="680"/>
      <c r="AX649" s="680"/>
      <c r="AY649" s="680"/>
      <c r="AZ649" s="665"/>
      <c r="BA649" s="665"/>
      <c r="BB649" s="665"/>
      <c r="BC649" s="665"/>
      <c r="BD649" s="665"/>
      <c r="BE649" s="665"/>
      <c r="BF649" s="665"/>
      <c r="BG649" s="665"/>
    </row>
    <row r="650" spans="26:59" ht="12" customHeight="1" x14ac:dyDescent="0.2">
      <c r="Z650" s="680"/>
      <c r="AB650" s="672"/>
      <c r="AC650" s="1822"/>
      <c r="AD650" s="1822"/>
      <c r="AE650" s="1822"/>
      <c r="AF650" s="1822"/>
      <c r="AG650" s="1822"/>
      <c r="AH650" s="1822"/>
      <c r="AI650" s="1822"/>
      <c r="AJ650" s="1822"/>
      <c r="AK650" s="1822"/>
      <c r="AL650" s="1822"/>
      <c r="AM650" s="672"/>
      <c r="AN650" s="672"/>
      <c r="AO650" s="672"/>
      <c r="AP650" s="672"/>
      <c r="AQ650" s="672"/>
      <c r="AR650" s="672"/>
      <c r="AS650" s="672"/>
      <c r="AT650" s="672"/>
      <c r="AU650" s="672"/>
      <c r="AV650" s="672"/>
      <c r="AW650" s="680"/>
      <c r="AX650" s="680"/>
      <c r="AY650" s="680"/>
      <c r="AZ650" s="665"/>
      <c r="BA650" s="665"/>
      <c r="BB650" s="665"/>
      <c r="BC650" s="665"/>
      <c r="BD650" s="665"/>
      <c r="BE650" s="665"/>
      <c r="BF650" s="665"/>
      <c r="BG650" s="665"/>
    </row>
    <row r="651" spans="26:59" ht="12" customHeight="1" x14ac:dyDescent="0.2">
      <c r="Z651" s="680"/>
      <c r="AB651" s="672"/>
      <c r="AC651" s="1822"/>
      <c r="AD651" s="1822"/>
      <c r="AE651" s="1822"/>
      <c r="AF651" s="1822"/>
      <c r="AG651" s="1822"/>
      <c r="AH651" s="1822"/>
      <c r="AI651" s="1822"/>
      <c r="AJ651" s="1822"/>
      <c r="AK651" s="1822"/>
      <c r="AL651" s="1822"/>
      <c r="AM651" s="672"/>
      <c r="AN651" s="672"/>
      <c r="AO651" s="672"/>
      <c r="AP651" s="672"/>
      <c r="AQ651" s="672"/>
      <c r="AR651" s="672"/>
      <c r="AS651" s="672"/>
      <c r="AT651" s="672"/>
      <c r="AU651" s="672"/>
      <c r="AV651" s="672"/>
      <c r="AW651" s="680"/>
      <c r="AX651" s="680"/>
      <c r="AY651" s="680"/>
      <c r="AZ651" s="665"/>
      <c r="BA651" s="665"/>
      <c r="BB651" s="665"/>
      <c r="BC651" s="665"/>
      <c r="BD651" s="665"/>
      <c r="BE651" s="665"/>
      <c r="BF651" s="665"/>
      <c r="BG651" s="665"/>
    </row>
    <row r="652" spans="26:59" ht="12" customHeight="1" x14ac:dyDescent="0.2">
      <c r="Z652" s="680"/>
      <c r="AB652" s="672"/>
      <c r="AC652" s="1822"/>
      <c r="AD652" s="1822"/>
      <c r="AE652" s="1822"/>
      <c r="AF652" s="1822"/>
      <c r="AG652" s="1822"/>
      <c r="AH652" s="1822"/>
      <c r="AI652" s="1822"/>
      <c r="AJ652" s="1822"/>
      <c r="AK652" s="1822"/>
      <c r="AL652" s="1822"/>
      <c r="AM652" s="672"/>
      <c r="AN652" s="672"/>
      <c r="AO652" s="672"/>
      <c r="AP652" s="672"/>
      <c r="AQ652" s="672"/>
      <c r="AR652" s="672"/>
      <c r="AS652" s="672"/>
      <c r="AT652" s="672"/>
      <c r="AU652" s="672"/>
      <c r="AV652" s="672"/>
      <c r="AW652" s="680"/>
      <c r="AX652" s="680"/>
      <c r="AY652" s="680"/>
      <c r="AZ652" s="665"/>
      <c r="BA652" s="665"/>
      <c r="BB652" s="665"/>
      <c r="BC652" s="665"/>
      <c r="BD652" s="665"/>
      <c r="BE652" s="665"/>
      <c r="BF652" s="665"/>
      <c r="BG652" s="665"/>
    </row>
    <row r="653" spans="26:59" ht="12" customHeight="1" x14ac:dyDescent="0.2">
      <c r="Z653" s="680"/>
      <c r="AB653" s="672"/>
      <c r="AC653" s="1822"/>
      <c r="AD653" s="1822"/>
      <c r="AE653" s="1822"/>
      <c r="AF653" s="1822"/>
      <c r="AG653" s="1822"/>
      <c r="AH653" s="1822"/>
      <c r="AI653" s="1822"/>
      <c r="AJ653" s="1822"/>
      <c r="AK653" s="1822"/>
      <c r="AL653" s="1822"/>
      <c r="AM653" s="672"/>
      <c r="AN653" s="672"/>
      <c r="AO653" s="672"/>
      <c r="AP653" s="672"/>
      <c r="AQ653" s="672"/>
      <c r="AR653" s="672"/>
      <c r="AS653" s="672"/>
      <c r="AT653" s="672"/>
      <c r="AU653" s="672"/>
      <c r="AV653" s="672"/>
      <c r="AW653" s="680"/>
      <c r="AX653" s="680"/>
      <c r="AY653" s="680"/>
      <c r="AZ653" s="665"/>
      <c r="BA653" s="665"/>
      <c r="BB653" s="665"/>
      <c r="BC653" s="665"/>
      <c r="BD653" s="665"/>
      <c r="BE653" s="665"/>
      <c r="BF653" s="665"/>
      <c r="BG653" s="665"/>
    </row>
    <row r="654" spans="26:59" ht="12" customHeight="1" x14ac:dyDescent="0.2">
      <c r="Z654" s="680"/>
      <c r="AB654" s="672"/>
      <c r="AC654" s="1822"/>
      <c r="AD654" s="1822"/>
      <c r="AE654" s="1822"/>
      <c r="AF654" s="1822"/>
      <c r="AG654" s="1822"/>
      <c r="AH654" s="1822"/>
      <c r="AI654" s="1822"/>
      <c r="AJ654" s="1822"/>
      <c r="AK654" s="1822"/>
      <c r="AL654" s="1822"/>
      <c r="AM654" s="672"/>
      <c r="AN654" s="672"/>
      <c r="AO654" s="672"/>
      <c r="AP654" s="672"/>
      <c r="AQ654" s="672"/>
      <c r="AR654" s="672"/>
      <c r="AS654" s="672"/>
      <c r="AT654" s="672"/>
      <c r="AU654" s="672"/>
      <c r="AV654" s="672"/>
      <c r="AW654" s="680"/>
      <c r="AX654" s="680"/>
      <c r="AY654" s="680"/>
      <c r="AZ654" s="665"/>
      <c r="BA654" s="665"/>
      <c r="BB654" s="665"/>
      <c r="BC654" s="665"/>
      <c r="BD654" s="665"/>
      <c r="BE654" s="665"/>
      <c r="BF654" s="665"/>
      <c r="BG654" s="665"/>
    </row>
    <row r="655" spans="26:59" ht="12" customHeight="1" x14ac:dyDescent="0.2">
      <c r="Z655" s="680"/>
      <c r="AB655" s="672"/>
      <c r="AC655" s="1822"/>
      <c r="AD655" s="1822"/>
      <c r="AE655" s="1822"/>
      <c r="AF655" s="1822"/>
      <c r="AG655" s="1822"/>
      <c r="AH655" s="1822"/>
      <c r="AI655" s="1822"/>
      <c r="AJ655" s="1822"/>
      <c r="AK655" s="1822"/>
      <c r="AL655" s="1822"/>
      <c r="AM655" s="672"/>
      <c r="AN655" s="672"/>
      <c r="AO655" s="672"/>
      <c r="AP655" s="672"/>
      <c r="AQ655" s="672"/>
      <c r="AR655" s="672"/>
      <c r="AS655" s="672"/>
      <c r="AT655" s="672"/>
      <c r="AU655" s="672"/>
      <c r="AV655" s="672"/>
      <c r="AW655" s="680"/>
      <c r="AX655" s="680"/>
      <c r="AY655" s="680"/>
      <c r="AZ655" s="665"/>
      <c r="BA655" s="665"/>
      <c r="BB655" s="665"/>
      <c r="BC655" s="665"/>
      <c r="BD655" s="665"/>
      <c r="BE655" s="665"/>
      <c r="BF655" s="665"/>
      <c r="BG655" s="665"/>
    </row>
    <row r="656" spans="26:59" ht="12" customHeight="1" x14ac:dyDescent="0.2">
      <c r="Z656" s="680"/>
      <c r="AB656" s="672"/>
      <c r="AC656" s="1822"/>
      <c r="AD656" s="1822"/>
      <c r="AE656" s="1822"/>
      <c r="AF656" s="1822"/>
      <c r="AG656" s="1822"/>
      <c r="AH656" s="1822"/>
      <c r="AI656" s="1822"/>
      <c r="AJ656" s="1822"/>
      <c r="AK656" s="1822"/>
      <c r="AL656" s="1822"/>
      <c r="AM656" s="672"/>
      <c r="AN656" s="672"/>
      <c r="AO656" s="672"/>
      <c r="AP656" s="672"/>
      <c r="AQ656" s="672"/>
      <c r="AR656" s="672"/>
      <c r="AS656" s="672"/>
      <c r="AT656" s="672"/>
      <c r="AU656" s="672"/>
      <c r="AV656" s="672"/>
      <c r="AW656" s="680"/>
      <c r="AX656" s="680"/>
      <c r="AY656" s="680"/>
      <c r="AZ656" s="665"/>
      <c r="BA656" s="665"/>
      <c r="BB656" s="665"/>
      <c r="BC656" s="665"/>
      <c r="BD656" s="665"/>
      <c r="BE656" s="665"/>
      <c r="BF656" s="665"/>
      <c r="BG656" s="665"/>
    </row>
    <row r="657" spans="26:51" ht="12" customHeight="1" x14ac:dyDescent="0.2">
      <c r="Z657" s="680"/>
      <c r="AB657" s="672"/>
      <c r="AC657" s="1822"/>
      <c r="AD657" s="1822"/>
      <c r="AE657" s="1822"/>
      <c r="AF657" s="1822"/>
      <c r="AG657" s="1822"/>
      <c r="AH657" s="1822"/>
      <c r="AI657" s="1822"/>
      <c r="AJ657" s="1822"/>
      <c r="AK657" s="1822"/>
      <c r="AL657" s="1822"/>
      <c r="AM657" s="672"/>
      <c r="AN657" s="672"/>
      <c r="AO657" s="672"/>
      <c r="AP657" s="672"/>
      <c r="AQ657" s="672"/>
      <c r="AR657" s="672"/>
      <c r="AS657" s="672"/>
      <c r="AT657" s="672"/>
      <c r="AU657" s="672"/>
      <c r="AV657" s="672"/>
      <c r="AW657" s="680"/>
      <c r="AX657" s="680"/>
      <c r="AY657" s="680"/>
    </row>
    <row r="658" spans="26:51" ht="12" customHeight="1" x14ac:dyDescent="0.2">
      <c r="Z658" s="680"/>
      <c r="AB658" s="672"/>
      <c r="AC658" s="1822"/>
      <c r="AD658" s="1822"/>
      <c r="AE658" s="1822"/>
      <c r="AF658" s="1822"/>
      <c r="AG658" s="1822"/>
      <c r="AH658" s="1822"/>
      <c r="AI658" s="1822"/>
      <c r="AJ658" s="1822"/>
      <c r="AK658" s="1822"/>
      <c r="AL658" s="1822"/>
      <c r="AM658" s="672"/>
      <c r="AN658" s="672"/>
      <c r="AO658" s="672"/>
      <c r="AP658" s="672"/>
      <c r="AQ658" s="672"/>
      <c r="AR658" s="672"/>
      <c r="AS658" s="672"/>
      <c r="AT658" s="672"/>
      <c r="AU658" s="672"/>
      <c r="AV658" s="672"/>
      <c r="AW658" s="680"/>
      <c r="AX658" s="680"/>
      <c r="AY658" s="680"/>
    </row>
    <row r="659" spans="26:51" ht="12" customHeight="1" x14ac:dyDescent="0.2">
      <c r="Z659" s="680"/>
      <c r="AB659" s="672"/>
      <c r="AC659" s="1822"/>
      <c r="AD659" s="1822"/>
      <c r="AE659" s="1822"/>
      <c r="AF659" s="1822"/>
      <c r="AG659" s="1822"/>
      <c r="AH659" s="1822"/>
      <c r="AI659" s="1822"/>
      <c r="AJ659" s="1822"/>
      <c r="AK659" s="1822"/>
      <c r="AL659" s="1822"/>
      <c r="AM659" s="672"/>
      <c r="AN659" s="672"/>
      <c r="AO659" s="672"/>
      <c r="AP659" s="672"/>
      <c r="AQ659" s="672"/>
      <c r="AR659" s="672"/>
      <c r="AS659" s="672"/>
      <c r="AT659" s="672"/>
      <c r="AU659" s="672"/>
      <c r="AV659" s="672"/>
      <c r="AW659" s="680"/>
      <c r="AX659" s="680"/>
      <c r="AY659" s="680"/>
    </row>
    <row r="660" spans="26:51" ht="12" customHeight="1" x14ac:dyDescent="0.2">
      <c r="Z660" s="680"/>
      <c r="AB660" s="672"/>
      <c r="AC660" s="1822"/>
      <c r="AD660" s="1822"/>
      <c r="AE660" s="1822"/>
      <c r="AF660" s="1822"/>
      <c r="AG660" s="1822"/>
      <c r="AH660" s="1822"/>
      <c r="AI660" s="1822"/>
      <c r="AJ660" s="1822"/>
      <c r="AK660" s="1822"/>
      <c r="AL660" s="1822"/>
      <c r="AM660" s="672"/>
      <c r="AN660" s="672"/>
      <c r="AO660" s="672"/>
      <c r="AP660" s="672"/>
      <c r="AQ660" s="672"/>
      <c r="AR660" s="672"/>
      <c r="AS660" s="672"/>
      <c r="AT660" s="672"/>
      <c r="AU660" s="672"/>
      <c r="AV660" s="672"/>
      <c r="AW660" s="680"/>
      <c r="AX660" s="680"/>
      <c r="AY660" s="680"/>
    </row>
    <row r="661" spans="26:51" ht="12" customHeight="1" x14ac:dyDescent="0.2">
      <c r="Z661" s="680"/>
      <c r="AB661" s="672"/>
      <c r="AC661" s="1822"/>
      <c r="AD661" s="1822"/>
      <c r="AE661" s="1822"/>
      <c r="AF661" s="1822"/>
      <c r="AG661" s="1822"/>
      <c r="AH661" s="1822"/>
      <c r="AI661" s="1822"/>
      <c r="AJ661" s="1822"/>
      <c r="AK661" s="1822"/>
      <c r="AL661" s="1822"/>
      <c r="AM661" s="672"/>
      <c r="AN661" s="672"/>
      <c r="AO661" s="672"/>
      <c r="AP661" s="672"/>
      <c r="AQ661" s="672"/>
      <c r="AR661" s="672"/>
      <c r="AS661" s="672"/>
      <c r="AT661" s="672"/>
      <c r="AU661" s="672"/>
      <c r="AV661" s="672"/>
      <c r="AW661" s="680"/>
      <c r="AX661" s="680"/>
      <c r="AY661" s="680"/>
    </row>
    <row r="662" spans="26:51" ht="12" customHeight="1" x14ac:dyDescent="0.2">
      <c r="Z662" s="680"/>
      <c r="AB662" s="672"/>
      <c r="AC662" s="1822"/>
      <c r="AD662" s="1822"/>
      <c r="AE662" s="1822"/>
      <c r="AF662" s="1822"/>
      <c r="AG662" s="1822"/>
      <c r="AH662" s="1822"/>
      <c r="AI662" s="1822"/>
      <c r="AJ662" s="1822"/>
      <c r="AK662" s="1822"/>
      <c r="AL662" s="1822"/>
      <c r="AM662" s="672"/>
      <c r="AN662" s="672"/>
      <c r="AO662" s="672"/>
      <c r="AP662" s="672"/>
      <c r="AQ662" s="672"/>
      <c r="AR662" s="672"/>
      <c r="AS662" s="672"/>
      <c r="AT662" s="672"/>
      <c r="AU662" s="672"/>
      <c r="AV662" s="672"/>
      <c r="AW662" s="680"/>
      <c r="AX662" s="680"/>
      <c r="AY662" s="680"/>
    </row>
    <row r="663" spans="26:51" ht="12" customHeight="1" x14ac:dyDescent="0.2">
      <c r="Z663" s="680"/>
      <c r="AB663" s="672"/>
      <c r="AC663" s="1822"/>
      <c r="AD663" s="1822"/>
      <c r="AE663" s="1822"/>
      <c r="AF663" s="1822"/>
      <c r="AG663" s="1822"/>
      <c r="AH663" s="1822"/>
      <c r="AI663" s="1822"/>
      <c r="AJ663" s="1822"/>
      <c r="AK663" s="1822"/>
      <c r="AL663" s="1822"/>
      <c r="AM663" s="672"/>
      <c r="AN663" s="672"/>
      <c r="AO663" s="672"/>
      <c r="AP663" s="672"/>
      <c r="AQ663" s="672"/>
      <c r="AR663" s="672"/>
      <c r="AS663" s="672"/>
      <c r="AT663" s="672"/>
      <c r="AU663" s="672"/>
      <c r="AV663" s="672"/>
      <c r="AW663" s="680"/>
      <c r="AX663" s="680"/>
      <c r="AY663" s="680"/>
    </row>
    <row r="664" spans="26:51" ht="12" customHeight="1" x14ac:dyDescent="0.2">
      <c r="Z664" s="680"/>
      <c r="AB664" s="672"/>
      <c r="AC664" s="1822"/>
      <c r="AD664" s="1822"/>
      <c r="AE664" s="1822"/>
      <c r="AF664" s="1822"/>
      <c r="AG664" s="1822"/>
      <c r="AH664" s="1822"/>
      <c r="AI664" s="1822"/>
      <c r="AJ664" s="1822"/>
      <c r="AK664" s="1822"/>
      <c r="AL664" s="1822"/>
      <c r="AM664" s="672"/>
      <c r="AN664" s="672"/>
      <c r="AO664" s="672"/>
      <c r="AP664" s="672"/>
      <c r="AQ664" s="672"/>
      <c r="AR664" s="672"/>
      <c r="AS664" s="672"/>
      <c r="AT664" s="672"/>
      <c r="AU664" s="672"/>
      <c r="AV664" s="672"/>
      <c r="AW664" s="680"/>
      <c r="AX664" s="680"/>
      <c r="AY664" s="680"/>
    </row>
    <row r="665" spans="26:51" ht="12" customHeight="1" x14ac:dyDescent="0.2">
      <c r="Z665" s="680"/>
      <c r="AB665" s="672"/>
      <c r="AC665" s="1822"/>
      <c r="AD665" s="1822"/>
      <c r="AE665" s="1822"/>
      <c r="AF665" s="1822"/>
      <c r="AG665" s="1822"/>
      <c r="AH665" s="1822"/>
      <c r="AI665" s="1822"/>
      <c r="AJ665" s="1822"/>
      <c r="AK665" s="1822"/>
      <c r="AL665" s="1822"/>
      <c r="AM665" s="672"/>
      <c r="AN665" s="672"/>
      <c r="AO665" s="672"/>
      <c r="AP665" s="672"/>
      <c r="AQ665" s="672"/>
      <c r="AR665" s="672"/>
      <c r="AS665" s="672"/>
      <c r="AT665" s="672"/>
      <c r="AU665" s="672"/>
      <c r="AV665" s="672"/>
      <c r="AW665" s="680"/>
      <c r="AX665" s="680"/>
      <c r="AY665" s="680"/>
    </row>
    <row r="666" spans="26:51" ht="12" customHeight="1" x14ac:dyDescent="0.2">
      <c r="Z666" s="680"/>
      <c r="AB666" s="672"/>
      <c r="AC666" s="1822"/>
      <c r="AD666" s="1822"/>
      <c r="AE666" s="1822"/>
      <c r="AF666" s="1822"/>
      <c r="AG666" s="1822"/>
      <c r="AH666" s="1822"/>
      <c r="AI666" s="1822"/>
      <c r="AJ666" s="1822"/>
      <c r="AK666" s="1822"/>
      <c r="AL666" s="1822"/>
      <c r="AM666" s="672"/>
      <c r="AN666" s="672"/>
      <c r="AO666" s="672"/>
      <c r="AP666" s="672"/>
      <c r="AQ666" s="672"/>
      <c r="AR666" s="672"/>
      <c r="AS666" s="672"/>
      <c r="AT666" s="672"/>
      <c r="AU666" s="672"/>
      <c r="AV666" s="672"/>
      <c r="AW666" s="680"/>
      <c r="AX666" s="680"/>
      <c r="AY666" s="680"/>
    </row>
    <row r="667" spans="26:51" ht="12" customHeight="1" x14ac:dyDescent="0.2">
      <c r="Z667" s="680"/>
      <c r="AB667" s="672"/>
      <c r="AC667" s="1822"/>
      <c r="AD667" s="1822"/>
      <c r="AE667" s="1822"/>
      <c r="AF667" s="1822"/>
      <c r="AG667" s="1822"/>
      <c r="AH667" s="1822"/>
      <c r="AI667" s="1822"/>
      <c r="AJ667" s="1822"/>
      <c r="AK667" s="1822"/>
      <c r="AL667" s="1822"/>
      <c r="AM667" s="672"/>
      <c r="AN667" s="672"/>
      <c r="AO667" s="672"/>
      <c r="AP667" s="672"/>
      <c r="AQ667" s="672"/>
      <c r="AR667" s="672"/>
      <c r="AS667" s="672"/>
      <c r="AT667" s="672"/>
      <c r="AU667" s="672"/>
      <c r="AV667" s="672"/>
      <c r="AW667" s="680"/>
      <c r="AX667" s="680"/>
      <c r="AY667" s="680"/>
    </row>
    <row r="668" spans="26:51" ht="12" customHeight="1" x14ac:dyDescent="0.2">
      <c r="Z668" s="680"/>
      <c r="AB668" s="672"/>
      <c r="AC668" s="1822"/>
      <c r="AD668" s="1822"/>
      <c r="AE668" s="1822"/>
      <c r="AF668" s="1822"/>
      <c r="AG668" s="1822"/>
      <c r="AH668" s="1822"/>
      <c r="AI668" s="1822"/>
      <c r="AJ668" s="1822"/>
      <c r="AK668" s="1822"/>
      <c r="AL668" s="1822"/>
      <c r="AM668" s="672"/>
      <c r="AN668" s="672"/>
      <c r="AO668" s="672"/>
      <c r="AP668" s="672"/>
      <c r="AQ668" s="672"/>
      <c r="AR668" s="672"/>
      <c r="AS668" s="672"/>
      <c r="AT668" s="672"/>
      <c r="AU668" s="672"/>
      <c r="AV668" s="672"/>
      <c r="AW668" s="680"/>
      <c r="AX668" s="680"/>
      <c r="AY668" s="680"/>
    </row>
    <row r="669" spans="26:51" ht="12" customHeight="1" x14ac:dyDescent="0.2">
      <c r="Z669" s="680"/>
      <c r="AB669" s="672"/>
      <c r="AC669" s="1822"/>
      <c r="AD669" s="1822"/>
      <c r="AE669" s="1822"/>
      <c r="AF669" s="1822"/>
      <c r="AG669" s="1822"/>
      <c r="AH669" s="1822"/>
      <c r="AI669" s="1822"/>
      <c r="AJ669" s="1822"/>
      <c r="AK669" s="1822"/>
      <c r="AL669" s="1822"/>
      <c r="AM669" s="672"/>
      <c r="AN669" s="672"/>
      <c r="AO669" s="672"/>
      <c r="AP669" s="672"/>
      <c r="AQ669" s="672"/>
      <c r="AR669" s="672"/>
      <c r="AS669" s="672"/>
      <c r="AT669" s="672"/>
      <c r="AU669" s="672"/>
      <c r="AV669" s="672"/>
      <c r="AW669" s="680"/>
      <c r="AX669" s="680"/>
      <c r="AY669" s="680"/>
    </row>
    <row r="670" spans="26:51" ht="12" customHeight="1" x14ac:dyDescent="0.2">
      <c r="Z670" s="680"/>
      <c r="AB670" s="672"/>
      <c r="AC670" s="1822"/>
      <c r="AD670" s="1822"/>
      <c r="AE670" s="1822"/>
      <c r="AF670" s="1822"/>
      <c r="AG670" s="1822"/>
      <c r="AH670" s="1822"/>
      <c r="AI670" s="1822"/>
      <c r="AJ670" s="1822"/>
      <c r="AK670" s="1822"/>
      <c r="AL670" s="1822"/>
      <c r="AM670" s="672"/>
      <c r="AN670" s="672"/>
      <c r="AO670" s="672"/>
      <c r="AP670" s="672"/>
      <c r="AQ670" s="672"/>
      <c r="AR670" s="672"/>
      <c r="AS670" s="672"/>
      <c r="AT670" s="672"/>
      <c r="AU670" s="672"/>
      <c r="AV670" s="672"/>
      <c r="AW670" s="680"/>
      <c r="AX670" s="680"/>
      <c r="AY670" s="680"/>
    </row>
    <row r="671" spans="26:51" ht="12" customHeight="1" x14ac:dyDescent="0.2">
      <c r="Z671" s="680"/>
      <c r="AB671" s="672"/>
      <c r="AC671" s="1822"/>
      <c r="AD671" s="1822"/>
      <c r="AE671" s="1822"/>
      <c r="AF671" s="1822"/>
      <c r="AG671" s="1822"/>
      <c r="AH671" s="1822"/>
      <c r="AI671" s="1822"/>
      <c r="AJ671" s="1822"/>
      <c r="AK671" s="1822"/>
      <c r="AL671" s="1822"/>
      <c r="AM671" s="672"/>
      <c r="AN671" s="672"/>
      <c r="AO671" s="672"/>
      <c r="AP671" s="672"/>
      <c r="AQ671" s="672"/>
      <c r="AR671" s="672"/>
      <c r="AS671" s="672"/>
      <c r="AT671" s="672"/>
      <c r="AU671" s="672"/>
      <c r="AV671" s="672"/>
      <c r="AW671" s="680"/>
      <c r="AX671" s="680"/>
      <c r="AY671" s="680"/>
    </row>
    <row r="672" spans="26:51" ht="12" customHeight="1" x14ac:dyDescent="0.2">
      <c r="Z672" s="680"/>
      <c r="AB672" s="672"/>
      <c r="AC672" s="1822"/>
      <c r="AD672" s="1822"/>
      <c r="AE672" s="1822"/>
      <c r="AF672" s="1822"/>
      <c r="AG672" s="1822"/>
      <c r="AH672" s="1822"/>
      <c r="AI672" s="1822"/>
      <c r="AJ672" s="1822"/>
      <c r="AK672" s="1822"/>
      <c r="AL672" s="1822"/>
      <c r="AM672" s="672"/>
      <c r="AN672" s="672"/>
      <c r="AO672" s="672"/>
      <c r="AP672" s="672"/>
      <c r="AQ672" s="672"/>
      <c r="AR672" s="672"/>
      <c r="AS672" s="672"/>
      <c r="AT672" s="672"/>
      <c r="AU672" s="672"/>
      <c r="AV672" s="672"/>
      <c r="AW672" s="680"/>
      <c r="AX672" s="680"/>
      <c r="AY672" s="680"/>
    </row>
    <row r="673" spans="26:51" ht="12" customHeight="1" x14ac:dyDescent="0.2">
      <c r="Z673" s="680"/>
      <c r="AB673" s="672"/>
      <c r="AC673" s="1822"/>
      <c r="AD673" s="1822"/>
      <c r="AE673" s="1822"/>
      <c r="AF673" s="1822"/>
      <c r="AG673" s="1822"/>
      <c r="AH673" s="1822"/>
      <c r="AI673" s="1822"/>
      <c r="AJ673" s="1822"/>
      <c r="AK673" s="1822"/>
      <c r="AL673" s="1822"/>
      <c r="AM673" s="672"/>
      <c r="AN673" s="672"/>
      <c r="AO673" s="672"/>
      <c r="AP673" s="672"/>
      <c r="AQ673" s="672"/>
      <c r="AR673" s="672"/>
      <c r="AS673" s="672"/>
      <c r="AT673" s="672"/>
      <c r="AU673" s="672"/>
      <c r="AV673" s="672"/>
      <c r="AW673" s="680"/>
      <c r="AX673" s="680"/>
      <c r="AY673" s="680"/>
    </row>
    <row r="674" spans="26:51" ht="12" customHeight="1" x14ac:dyDescent="0.2">
      <c r="Z674" s="680"/>
      <c r="AB674" s="672"/>
      <c r="AC674" s="1822"/>
      <c r="AD674" s="1822"/>
      <c r="AE674" s="1822"/>
      <c r="AF674" s="1822"/>
      <c r="AG674" s="1822"/>
      <c r="AH674" s="1822"/>
      <c r="AI674" s="1822"/>
      <c r="AJ674" s="1822"/>
      <c r="AK674" s="1822"/>
      <c r="AL674" s="1822"/>
      <c r="AM674" s="672"/>
      <c r="AN674" s="672"/>
      <c r="AO674" s="672"/>
      <c r="AP674" s="672"/>
      <c r="AQ674" s="672"/>
      <c r="AR674" s="672"/>
      <c r="AS674" s="672"/>
      <c r="AT674" s="672"/>
      <c r="AU674" s="672"/>
      <c r="AV674" s="672"/>
      <c r="AW674" s="680"/>
      <c r="AX674" s="680"/>
      <c r="AY674" s="680"/>
    </row>
    <row r="675" spans="26:51" ht="12" customHeight="1" x14ac:dyDescent="0.2">
      <c r="Z675" s="680"/>
      <c r="AB675" s="672"/>
      <c r="AC675" s="1822"/>
      <c r="AD675" s="1822"/>
      <c r="AE675" s="1822"/>
      <c r="AF675" s="1822"/>
      <c r="AG675" s="1822"/>
      <c r="AH675" s="1822"/>
      <c r="AI675" s="1822"/>
      <c r="AJ675" s="1822"/>
      <c r="AK675" s="1822"/>
      <c r="AL675" s="1822"/>
      <c r="AM675" s="672"/>
      <c r="AN675" s="672"/>
      <c r="AO675" s="672"/>
      <c r="AP675" s="672"/>
      <c r="AQ675" s="672"/>
      <c r="AR675" s="672"/>
      <c r="AS675" s="672"/>
      <c r="AT675" s="672"/>
      <c r="AU675" s="672"/>
      <c r="AV675" s="672"/>
      <c r="AW675" s="680"/>
      <c r="AX675" s="680"/>
      <c r="AY675" s="680"/>
    </row>
    <row r="676" spans="26:51" ht="12" customHeight="1" x14ac:dyDescent="0.2">
      <c r="Z676" s="680"/>
      <c r="AB676" s="672"/>
      <c r="AC676" s="1822"/>
      <c r="AD676" s="1822"/>
      <c r="AE676" s="1822"/>
      <c r="AF676" s="1822"/>
      <c r="AG676" s="1822"/>
      <c r="AH676" s="1822"/>
      <c r="AI676" s="1822"/>
      <c r="AJ676" s="1822"/>
      <c r="AK676" s="1822"/>
      <c r="AL676" s="1822"/>
      <c r="AM676" s="672"/>
      <c r="AN676" s="672"/>
      <c r="AO676" s="672"/>
      <c r="AP676" s="672"/>
      <c r="AQ676" s="672"/>
      <c r="AR676" s="672"/>
      <c r="AS676" s="672"/>
      <c r="AT676" s="672"/>
      <c r="AU676" s="672"/>
      <c r="AV676" s="672"/>
      <c r="AW676" s="680"/>
      <c r="AX676" s="680"/>
      <c r="AY676" s="680"/>
    </row>
    <row r="677" spans="26:51" ht="12" customHeight="1" x14ac:dyDescent="0.2">
      <c r="Z677" s="680"/>
      <c r="AB677" s="672"/>
      <c r="AC677" s="1822"/>
      <c r="AD677" s="1822"/>
      <c r="AE677" s="1822"/>
      <c r="AF677" s="1822"/>
      <c r="AG677" s="1822"/>
      <c r="AH677" s="1822"/>
      <c r="AI677" s="1822"/>
      <c r="AJ677" s="1822"/>
      <c r="AK677" s="1822"/>
      <c r="AL677" s="1822"/>
      <c r="AM677" s="672"/>
      <c r="AN677" s="672"/>
      <c r="AO677" s="672"/>
      <c r="AP677" s="672"/>
      <c r="AQ677" s="672"/>
      <c r="AR677" s="672"/>
      <c r="AS677" s="672"/>
      <c r="AT677" s="672"/>
      <c r="AU677" s="672"/>
      <c r="AV677" s="672"/>
      <c r="AW677" s="680"/>
      <c r="AX677" s="680"/>
      <c r="AY677" s="680"/>
    </row>
    <row r="678" spans="26:51" ht="12" customHeight="1" x14ac:dyDescent="0.2">
      <c r="Z678" s="680"/>
      <c r="AB678" s="672"/>
      <c r="AC678" s="1822"/>
      <c r="AD678" s="1822"/>
      <c r="AE678" s="1822"/>
      <c r="AF678" s="1822"/>
      <c r="AG678" s="1822"/>
      <c r="AH678" s="1822"/>
      <c r="AI678" s="1822"/>
      <c r="AJ678" s="1822"/>
      <c r="AK678" s="1822"/>
      <c r="AL678" s="1822"/>
      <c r="AM678" s="672"/>
      <c r="AN678" s="672"/>
      <c r="AO678" s="672"/>
      <c r="AP678" s="672"/>
      <c r="AQ678" s="672"/>
      <c r="AR678" s="672"/>
      <c r="AS678" s="672"/>
      <c r="AT678" s="672"/>
      <c r="AU678" s="672"/>
      <c r="AV678" s="672"/>
      <c r="AW678" s="680"/>
      <c r="AX678" s="680"/>
      <c r="AY678" s="680"/>
    </row>
    <row r="679" spans="26:51" ht="12" customHeight="1" x14ac:dyDescent="0.2">
      <c r="Z679" s="680"/>
      <c r="AB679" s="672"/>
      <c r="AC679" s="1822"/>
      <c r="AD679" s="1822"/>
      <c r="AE679" s="1822"/>
      <c r="AF679" s="1822"/>
      <c r="AG679" s="1822"/>
      <c r="AH679" s="1822"/>
      <c r="AI679" s="1822"/>
      <c r="AJ679" s="1822"/>
      <c r="AK679" s="1822"/>
      <c r="AL679" s="1822"/>
      <c r="AM679" s="672"/>
      <c r="AN679" s="672"/>
      <c r="AO679" s="672"/>
      <c r="AP679" s="672"/>
      <c r="AQ679" s="672"/>
      <c r="AR679" s="672"/>
      <c r="AS679" s="672"/>
      <c r="AT679" s="672"/>
      <c r="AU679" s="672"/>
      <c r="AV679" s="672"/>
      <c r="AW679" s="680"/>
      <c r="AX679" s="680"/>
      <c r="AY679" s="680"/>
    </row>
    <row r="680" spans="26:51" ht="12" customHeight="1" x14ac:dyDescent="0.2">
      <c r="Z680" s="680"/>
      <c r="AB680" s="672"/>
      <c r="AC680" s="1822"/>
      <c r="AD680" s="1822"/>
      <c r="AE680" s="1822"/>
      <c r="AF680" s="1822"/>
      <c r="AG680" s="1822"/>
      <c r="AH680" s="1822"/>
      <c r="AI680" s="1822"/>
      <c r="AJ680" s="1822"/>
      <c r="AK680" s="1822"/>
      <c r="AL680" s="1822"/>
      <c r="AM680" s="672"/>
      <c r="AN680" s="672"/>
      <c r="AO680" s="672"/>
      <c r="AP680" s="672"/>
      <c r="AQ680" s="672"/>
      <c r="AR680" s="672"/>
      <c r="AS680" s="672"/>
      <c r="AT680" s="672"/>
      <c r="AU680" s="672"/>
      <c r="AV680" s="672"/>
      <c r="AW680" s="680"/>
      <c r="AX680" s="680"/>
      <c r="AY680" s="680"/>
    </row>
    <row r="681" spans="26:51" ht="12" customHeight="1" x14ac:dyDescent="0.2">
      <c r="Z681" s="680"/>
      <c r="AB681" s="672"/>
      <c r="AC681" s="1822"/>
      <c r="AD681" s="1822"/>
      <c r="AE681" s="1822"/>
      <c r="AF681" s="1822"/>
      <c r="AG681" s="1822"/>
      <c r="AH681" s="1822"/>
      <c r="AI681" s="1822"/>
      <c r="AJ681" s="1822"/>
      <c r="AK681" s="1822"/>
      <c r="AL681" s="1822"/>
      <c r="AM681" s="672"/>
      <c r="AN681" s="672"/>
      <c r="AO681" s="672"/>
      <c r="AP681" s="672"/>
      <c r="AQ681" s="672"/>
      <c r="AR681" s="672"/>
      <c r="AS681" s="672"/>
      <c r="AT681" s="672"/>
      <c r="AU681" s="672"/>
      <c r="AV681" s="672"/>
      <c r="AW681" s="680"/>
      <c r="AX681" s="680"/>
      <c r="AY681" s="680"/>
    </row>
    <row r="682" spans="26:51" ht="12" customHeight="1" x14ac:dyDescent="0.2">
      <c r="Z682" s="680"/>
      <c r="AB682" s="672"/>
      <c r="AC682" s="1822"/>
      <c r="AD682" s="1822"/>
      <c r="AE682" s="1822"/>
      <c r="AF682" s="1822"/>
      <c r="AG682" s="1822"/>
      <c r="AH682" s="1822"/>
      <c r="AI682" s="1822"/>
      <c r="AJ682" s="1822"/>
      <c r="AK682" s="1822"/>
      <c r="AL682" s="1822"/>
      <c r="AM682" s="672"/>
      <c r="AN682" s="672"/>
      <c r="AO682" s="672"/>
      <c r="AP682" s="672"/>
      <c r="AQ682" s="672"/>
      <c r="AR682" s="672"/>
      <c r="AS682" s="672"/>
      <c r="AT682" s="672"/>
      <c r="AU682" s="672"/>
      <c r="AV682" s="672"/>
      <c r="AW682" s="680"/>
      <c r="AX682" s="680"/>
      <c r="AY682" s="680"/>
    </row>
    <row r="683" spans="26:51" ht="12" customHeight="1" x14ac:dyDescent="0.2">
      <c r="Z683" s="680"/>
      <c r="AB683" s="672"/>
      <c r="AC683" s="1822"/>
      <c r="AD683" s="1822"/>
      <c r="AE683" s="1822"/>
      <c r="AF683" s="1822"/>
      <c r="AG683" s="1822"/>
      <c r="AH683" s="1822"/>
      <c r="AI683" s="1822"/>
      <c r="AJ683" s="1822"/>
      <c r="AK683" s="1822"/>
      <c r="AL683" s="1822"/>
      <c r="AM683" s="672"/>
      <c r="AN683" s="672"/>
      <c r="AO683" s="672"/>
      <c r="AP683" s="672"/>
      <c r="AQ683" s="672"/>
      <c r="AR683" s="672"/>
      <c r="AS683" s="672"/>
      <c r="AT683" s="672"/>
      <c r="AU683" s="672"/>
      <c r="AV683" s="672"/>
      <c r="AW683" s="680"/>
      <c r="AX683" s="680"/>
      <c r="AY683" s="680"/>
    </row>
    <row r="684" spans="26:51" ht="12" customHeight="1" x14ac:dyDescent="0.2">
      <c r="Z684" s="680"/>
      <c r="AB684" s="672"/>
      <c r="AC684" s="1822"/>
      <c r="AD684" s="1822"/>
      <c r="AE684" s="1822"/>
      <c r="AF684" s="1822"/>
      <c r="AG684" s="1822"/>
      <c r="AH684" s="1822"/>
      <c r="AI684" s="1822"/>
      <c r="AJ684" s="1822"/>
      <c r="AK684" s="1822"/>
      <c r="AL684" s="1822"/>
      <c r="AM684" s="672"/>
      <c r="AN684" s="672"/>
      <c r="AO684" s="672"/>
      <c r="AP684" s="672"/>
      <c r="AQ684" s="672"/>
      <c r="AR684" s="672"/>
      <c r="AS684" s="672"/>
      <c r="AT684" s="672"/>
      <c r="AU684" s="672"/>
      <c r="AV684" s="672"/>
      <c r="AW684" s="680"/>
      <c r="AX684" s="680"/>
      <c r="AY684" s="680"/>
    </row>
    <row r="685" spans="26:51" ht="12" customHeight="1" x14ac:dyDescent="0.2">
      <c r="Z685" s="680"/>
      <c r="AB685" s="672"/>
      <c r="AC685" s="1822"/>
      <c r="AD685" s="1822"/>
      <c r="AE685" s="1822"/>
      <c r="AF685" s="1822"/>
      <c r="AG685" s="1822"/>
      <c r="AH685" s="1822"/>
      <c r="AI685" s="1822"/>
      <c r="AJ685" s="1822"/>
      <c r="AK685" s="1822"/>
      <c r="AL685" s="1822"/>
      <c r="AM685" s="672"/>
      <c r="AN685" s="672"/>
      <c r="AO685" s="672"/>
      <c r="AP685" s="672"/>
      <c r="AQ685" s="672"/>
      <c r="AR685" s="672"/>
      <c r="AS685" s="672"/>
      <c r="AT685" s="672"/>
      <c r="AU685" s="672"/>
      <c r="AV685" s="672"/>
      <c r="AW685" s="680"/>
      <c r="AX685" s="680"/>
      <c r="AY685" s="680"/>
    </row>
    <row r="686" spans="26:51" ht="12" customHeight="1" x14ac:dyDescent="0.2">
      <c r="Z686" s="680"/>
      <c r="AB686" s="672"/>
      <c r="AC686" s="1822"/>
      <c r="AD686" s="1822"/>
      <c r="AE686" s="1822"/>
      <c r="AF686" s="1822"/>
      <c r="AG686" s="1822"/>
      <c r="AH686" s="1822"/>
      <c r="AI686" s="1822"/>
      <c r="AJ686" s="1822"/>
      <c r="AK686" s="1822"/>
      <c r="AL686" s="1822"/>
      <c r="AM686" s="672"/>
      <c r="AN686" s="672"/>
      <c r="AO686" s="672"/>
      <c r="AP686" s="672"/>
      <c r="AQ686" s="672"/>
      <c r="AR686" s="672"/>
      <c r="AS686" s="672"/>
      <c r="AT686" s="672"/>
      <c r="AU686" s="672"/>
      <c r="AV686" s="672"/>
      <c r="AW686" s="680"/>
      <c r="AX686" s="680"/>
      <c r="AY686" s="680"/>
    </row>
    <row r="687" spans="26:51" ht="12" customHeight="1" x14ac:dyDescent="0.2">
      <c r="Z687" s="680"/>
      <c r="AB687" s="672"/>
      <c r="AC687" s="1822"/>
      <c r="AD687" s="1822"/>
      <c r="AE687" s="1822"/>
      <c r="AF687" s="1822"/>
      <c r="AG687" s="1822"/>
      <c r="AH687" s="1822"/>
      <c r="AI687" s="1822"/>
      <c r="AJ687" s="1822"/>
      <c r="AK687" s="1822"/>
      <c r="AL687" s="1822"/>
      <c r="AM687" s="672"/>
      <c r="AN687" s="672"/>
      <c r="AO687" s="672"/>
      <c r="AP687" s="672"/>
      <c r="AQ687" s="672"/>
      <c r="AR687" s="672"/>
      <c r="AS687" s="672"/>
      <c r="AT687" s="672"/>
      <c r="AU687" s="672"/>
      <c r="AV687" s="672"/>
      <c r="AW687" s="680"/>
      <c r="AX687" s="680"/>
      <c r="AY687" s="680"/>
    </row>
    <row r="688" spans="26:51" ht="12" customHeight="1" x14ac:dyDescent="0.2">
      <c r="Z688" s="680"/>
      <c r="AB688" s="672"/>
      <c r="AC688" s="1822"/>
      <c r="AD688" s="1822"/>
      <c r="AE688" s="1822"/>
      <c r="AF688" s="1822"/>
      <c r="AG688" s="1822"/>
      <c r="AH688" s="1822"/>
      <c r="AI688" s="1822"/>
      <c r="AJ688" s="1822"/>
      <c r="AK688" s="1822"/>
      <c r="AL688" s="1822"/>
      <c r="AM688" s="672"/>
      <c r="AN688" s="672"/>
      <c r="AO688" s="672"/>
      <c r="AP688" s="672"/>
      <c r="AQ688" s="672"/>
      <c r="AR688" s="672"/>
      <c r="AS688" s="672"/>
      <c r="AT688" s="672"/>
      <c r="AU688" s="672"/>
      <c r="AV688" s="672"/>
      <c r="AW688" s="680"/>
      <c r="AX688" s="680"/>
      <c r="AY688" s="680"/>
    </row>
    <row r="689" spans="26:51" ht="12" customHeight="1" x14ac:dyDescent="0.2">
      <c r="Z689" s="680"/>
      <c r="AB689" s="672"/>
      <c r="AC689" s="1822"/>
      <c r="AD689" s="1822"/>
      <c r="AE689" s="1822"/>
      <c r="AF689" s="1822"/>
      <c r="AG689" s="1822"/>
      <c r="AH689" s="1822"/>
      <c r="AI689" s="1822"/>
      <c r="AJ689" s="1822"/>
      <c r="AK689" s="1822"/>
      <c r="AL689" s="1822"/>
      <c r="AM689" s="672"/>
      <c r="AN689" s="672"/>
      <c r="AO689" s="672"/>
      <c r="AP689" s="672"/>
      <c r="AQ689" s="672"/>
      <c r="AR689" s="672"/>
      <c r="AS689" s="672"/>
      <c r="AT689" s="672"/>
      <c r="AU689" s="672"/>
      <c r="AV689" s="672"/>
      <c r="AW689" s="680"/>
      <c r="AX689" s="680"/>
      <c r="AY689" s="680"/>
    </row>
    <row r="690" spans="26:51" ht="12" customHeight="1" x14ac:dyDescent="0.2">
      <c r="Z690" s="680"/>
      <c r="AB690" s="672"/>
      <c r="AC690" s="1822"/>
      <c r="AD690" s="1822"/>
      <c r="AE690" s="1822"/>
      <c r="AF690" s="1822"/>
      <c r="AG690" s="1822"/>
      <c r="AH690" s="1822"/>
      <c r="AI690" s="1822"/>
      <c r="AJ690" s="1822"/>
      <c r="AK690" s="1822"/>
      <c r="AL690" s="1822"/>
      <c r="AM690" s="672"/>
      <c r="AN690" s="672"/>
      <c r="AO690" s="672"/>
      <c r="AP690" s="672"/>
      <c r="AQ690" s="672"/>
      <c r="AR690" s="672"/>
      <c r="AS690" s="672"/>
      <c r="AT690" s="672"/>
      <c r="AU690" s="672"/>
      <c r="AV690" s="672"/>
      <c r="AW690" s="680"/>
      <c r="AX690" s="680"/>
      <c r="AY690" s="680"/>
    </row>
    <row r="691" spans="26:51" ht="12" customHeight="1" x14ac:dyDescent="0.2">
      <c r="Z691" s="680"/>
      <c r="AB691" s="672"/>
      <c r="AC691" s="1822"/>
      <c r="AD691" s="1822"/>
      <c r="AE691" s="1822"/>
      <c r="AF691" s="1822"/>
      <c r="AG691" s="1822"/>
      <c r="AH691" s="1822"/>
      <c r="AI691" s="1822"/>
      <c r="AJ691" s="1822"/>
      <c r="AK691" s="1822"/>
      <c r="AL691" s="1822"/>
      <c r="AM691" s="672"/>
      <c r="AN691" s="672"/>
      <c r="AO691" s="672"/>
      <c r="AP691" s="672"/>
      <c r="AQ691" s="672"/>
      <c r="AR691" s="672"/>
      <c r="AS691" s="672"/>
      <c r="AT691" s="672"/>
      <c r="AU691" s="672"/>
      <c r="AV691" s="672"/>
      <c r="AW691" s="680"/>
      <c r="AX691" s="680"/>
      <c r="AY691" s="680"/>
    </row>
    <row r="692" spans="26:51" ht="12" customHeight="1" x14ac:dyDescent="0.2">
      <c r="Z692" s="680"/>
      <c r="AB692" s="672"/>
      <c r="AC692" s="1822"/>
      <c r="AD692" s="1822"/>
      <c r="AE692" s="1822"/>
      <c r="AF692" s="1822"/>
      <c r="AG692" s="1822"/>
      <c r="AH692" s="1822"/>
      <c r="AI692" s="1822"/>
      <c r="AJ692" s="1822"/>
      <c r="AK692" s="1822"/>
      <c r="AL692" s="1822"/>
      <c r="AM692" s="672"/>
      <c r="AN692" s="672"/>
      <c r="AO692" s="672"/>
      <c r="AP692" s="672"/>
      <c r="AQ692" s="672"/>
      <c r="AR692" s="672"/>
      <c r="AS692" s="672"/>
      <c r="AT692" s="672"/>
      <c r="AU692" s="672"/>
      <c r="AV692" s="672"/>
      <c r="AW692" s="680"/>
      <c r="AX692" s="680"/>
      <c r="AY692" s="680"/>
    </row>
    <row r="693" spans="26:51" ht="12" customHeight="1" x14ac:dyDescent="0.2">
      <c r="Z693" s="680"/>
      <c r="AB693" s="672"/>
      <c r="AC693" s="1822"/>
      <c r="AD693" s="1822"/>
      <c r="AE693" s="1822"/>
      <c r="AF693" s="1822"/>
      <c r="AG693" s="1822"/>
      <c r="AH693" s="1822"/>
      <c r="AI693" s="1822"/>
      <c r="AJ693" s="1822"/>
      <c r="AK693" s="1822"/>
      <c r="AL693" s="1822"/>
      <c r="AM693" s="672"/>
      <c r="AN693" s="672"/>
      <c r="AO693" s="672"/>
      <c r="AP693" s="672"/>
      <c r="AQ693" s="672"/>
      <c r="AR693" s="672"/>
      <c r="AS693" s="672"/>
      <c r="AT693" s="672"/>
      <c r="AU693" s="672"/>
      <c r="AV693" s="672"/>
      <c r="AW693" s="680"/>
      <c r="AX693" s="680"/>
      <c r="AY693" s="680"/>
    </row>
    <row r="694" spans="26:51" ht="12" customHeight="1" x14ac:dyDescent="0.2">
      <c r="Z694" s="680"/>
      <c r="AB694" s="672"/>
      <c r="AC694" s="1822"/>
      <c r="AD694" s="1822"/>
      <c r="AE694" s="1822"/>
      <c r="AF694" s="1822"/>
      <c r="AG694" s="1822"/>
      <c r="AH694" s="1822"/>
      <c r="AI694" s="1822"/>
      <c r="AJ694" s="1822"/>
      <c r="AK694" s="1822"/>
      <c r="AL694" s="1822"/>
      <c r="AM694" s="672"/>
      <c r="AN694" s="672"/>
      <c r="AO694" s="672"/>
      <c r="AP694" s="672"/>
      <c r="AQ694" s="672"/>
      <c r="AR694" s="672"/>
      <c r="AS694" s="672"/>
      <c r="AT694" s="672"/>
      <c r="AU694" s="672"/>
      <c r="AV694" s="672"/>
      <c r="AW694" s="680"/>
      <c r="AX694" s="680"/>
      <c r="AY694" s="680"/>
    </row>
    <row r="695" spans="26:51" ht="12" customHeight="1" x14ac:dyDescent="0.2">
      <c r="Z695" s="680"/>
      <c r="AB695" s="672"/>
      <c r="AC695" s="1822"/>
      <c r="AD695" s="1822"/>
      <c r="AE695" s="1822"/>
      <c r="AF695" s="1822"/>
      <c r="AG695" s="1822"/>
      <c r="AH695" s="1822"/>
      <c r="AI695" s="1822"/>
      <c r="AJ695" s="1822"/>
      <c r="AK695" s="1822"/>
      <c r="AL695" s="1822"/>
      <c r="AM695" s="672"/>
      <c r="AN695" s="672"/>
      <c r="AO695" s="672"/>
      <c r="AP695" s="672"/>
      <c r="AQ695" s="672"/>
      <c r="AR695" s="672"/>
      <c r="AS695" s="672"/>
      <c r="AT695" s="672"/>
      <c r="AU695" s="672"/>
      <c r="AV695" s="672"/>
      <c r="AW695" s="680"/>
      <c r="AX695" s="680"/>
      <c r="AY695" s="680"/>
    </row>
    <row r="696" spans="26:51" ht="12" customHeight="1" x14ac:dyDescent="0.2">
      <c r="Z696" s="680"/>
      <c r="AB696" s="672"/>
      <c r="AC696" s="1822"/>
      <c r="AD696" s="1822"/>
      <c r="AE696" s="1822"/>
      <c r="AF696" s="1822"/>
      <c r="AG696" s="1822"/>
      <c r="AH696" s="1822"/>
      <c r="AI696" s="1822"/>
      <c r="AJ696" s="1822"/>
      <c r="AK696" s="1822"/>
      <c r="AL696" s="1822"/>
      <c r="AM696" s="672"/>
      <c r="AN696" s="672"/>
      <c r="AO696" s="672"/>
      <c r="AP696" s="672"/>
      <c r="AQ696" s="672"/>
      <c r="AR696" s="672"/>
      <c r="AS696" s="672"/>
      <c r="AT696" s="672"/>
      <c r="AU696" s="672"/>
      <c r="AV696" s="672"/>
      <c r="AW696" s="680"/>
      <c r="AX696" s="680"/>
      <c r="AY696" s="680"/>
    </row>
    <row r="697" spans="26:51" ht="12" customHeight="1" x14ac:dyDescent="0.2">
      <c r="Z697" s="680"/>
      <c r="AB697" s="672"/>
      <c r="AC697" s="1822"/>
      <c r="AD697" s="1822"/>
      <c r="AE697" s="1822"/>
      <c r="AF697" s="1822"/>
      <c r="AG697" s="1822"/>
      <c r="AH697" s="1822"/>
      <c r="AI697" s="1822"/>
      <c r="AJ697" s="1822"/>
      <c r="AK697" s="1822"/>
      <c r="AL697" s="1822"/>
      <c r="AM697" s="672"/>
      <c r="AN697" s="672"/>
      <c r="AO697" s="672"/>
      <c r="AP697" s="672"/>
      <c r="AQ697" s="672"/>
      <c r="AR697" s="672"/>
      <c r="AS697" s="672"/>
      <c r="AT697" s="672"/>
      <c r="AU697" s="672"/>
      <c r="AV697" s="672"/>
      <c r="AW697" s="680"/>
      <c r="AX697" s="680"/>
      <c r="AY697" s="680"/>
    </row>
    <row r="698" spans="26:51" ht="12" customHeight="1" x14ac:dyDescent="0.2">
      <c r="Z698" s="680"/>
      <c r="AB698" s="672"/>
      <c r="AC698" s="1822"/>
      <c r="AD698" s="1822"/>
      <c r="AE698" s="1822"/>
      <c r="AF698" s="1822"/>
      <c r="AG698" s="1822"/>
      <c r="AH698" s="1822"/>
      <c r="AI698" s="1822"/>
      <c r="AJ698" s="1822"/>
      <c r="AK698" s="1822"/>
      <c r="AL698" s="1822"/>
      <c r="AM698" s="672"/>
      <c r="AN698" s="672"/>
      <c r="AO698" s="672"/>
      <c r="AP698" s="672"/>
      <c r="AQ698" s="672"/>
      <c r="AR698" s="672"/>
      <c r="AS698" s="672"/>
      <c r="AT698" s="672"/>
      <c r="AU698" s="672"/>
      <c r="AV698" s="672"/>
      <c r="AW698" s="680"/>
      <c r="AX698" s="680"/>
      <c r="AY698" s="680"/>
    </row>
    <row r="699" spans="26:51" ht="12" customHeight="1" x14ac:dyDescent="0.2">
      <c r="Z699" s="680"/>
      <c r="AB699" s="672"/>
      <c r="AC699" s="1822"/>
      <c r="AD699" s="1822"/>
      <c r="AE699" s="1822"/>
      <c r="AF699" s="1822"/>
      <c r="AG699" s="1822"/>
      <c r="AH699" s="1822"/>
      <c r="AI699" s="1822"/>
      <c r="AJ699" s="1822"/>
      <c r="AK699" s="1822"/>
      <c r="AL699" s="1822"/>
      <c r="AM699" s="672"/>
      <c r="AN699" s="672"/>
      <c r="AO699" s="672"/>
      <c r="AP699" s="672"/>
      <c r="AQ699" s="672"/>
      <c r="AR699" s="672"/>
      <c r="AS699" s="672"/>
      <c r="AT699" s="672"/>
      <c r="AU699" s="672"/>
      <c r="AV699" s="672"/>
      <c r="AW699" s="680"/>
      <c r="AX699" s="680"/>
      <c r="AY699" s="680"/>
    </row>
    <row r="700" spans="26:51" ht="12" customHeight="1" x14ac:dyDescent="0.2">
      <c r="Z700" s="680"/>
      <c r="AB700" s="672"/>
      <c r="AC700" s="1822"/>
      <c r="AD700" s="1822"/>
      <c r="AE700" s="1822"/>
      <c r="AF700" s="1822"/>
      <c r="AG700" s="1822"/>
      <c r="AH700" s="1822"/>
      <c r="AI700" s="1822"/>
      <c r="AJ700" s="1822"/>
      <c r="AK700" s="1822"/>
      <c r="AL700" s="1822"/>
      <c r="AM700" s="672"/>
      <c r="AN700" s="672"/>
      <c r="AO700" s="672"/>
      <c r="AP700" s="672"/>
      <c r="AQ700" s="672"/>
      <c r="AR700" s="672"/>
      <c r="AS700" s="672"/>
      <c r="AT700" s="672"/>
      <c r="AU700" s="672"/>
      <c r="AV700" s="672"/>
      <c r="AW700" s="680"/>
      <c r="AX700" s="680"/>
      <c r="AY700" s="680"/>
    </row>
    <row r="701" spans="26:51" ht="12" customHeight="1" x14ac:dyDescent="0.2">
      <c r="Z701" s="680"/>
      <c r="AB701" s="672"/>
      <c r="AC701" s="1822"/>
      <c r="AD701" s="1822"/>
      <c r="AE701" s="1822"/>
      <c r="AF701" s="1822"/>
      <c r="AG701" s="1822"/>
      <c r="AH701" s="1822"/>
      <c r="AI701" s="1822"/>
      <c r="AJ701" s="1822"/>
      <c r="AK701" s="1822"/>
      <c r="AL701" s="1822"/>
      <c r="AM701" s="672"/>
      <c r="AN701" s="672"/>
      <c r="AO701" s="672"/>
      <c r="AP701" s="672"/>
      <c r="AQ701" s="672"/>
      <c r="AR701" s="672"/>
      <c r="AS701" s="672"/>
      <c r="AT701" s="672"/>
      <c r="AU701" s="672"/>
      <c r="AV701" s="672"/>
      <c r="AW701" s="680"/>
      <c r="AX701" s="680"/>
      <c r="AY701" s="680"/>
    </row>
    <row r="702" spans="26:51" ht="12" customHeight="1" x14ac:dyDescent="0.2">
      <c r="Z702" s="680"/>
      <c r="AB702" s="672"/>
      <c r="AC702" s="1822"/>
      <c r="AD702" s="1822"/>
      <c r="AE702" s="1822"/>
      <c r="AF702" s="1822"/>
      <c r="AG702" s="1822"/>
      <c r="AH702" s="1822"/>
      <c r="AI702" s="1822"/>
      <c r="AJ702" s="1822"/>
      <c r="AK702" s="1822"/>
      <c r="AL702" s="1822"/>
      <c r="AM702" s="672"/>
      <c r="AN702" s="672"/>
      <c r="AO702" s="672"/>
      <c r="AP702" s="672"/>
      <c r="AQ702" s="672"/>
      <c r="AR702" s="672"/>
      <c r="AS702" s="672"/>
      <c r="AT702" s="672"/>
      <c r="AU702" s="672"/>
      <c r="AV702" s="672"/>
      <c r="AW702" s="680"/>
      <c r="AX702" s="680"/>
      <c r="AY702" s="680"/>
    </row>
    <row r="703" spans="26:51" ht="12" customHeight="1" x14ac:dyDescent="0.2">
      <c r="Z703" s="680"/>
      <c r="AB703" s="672"/>
      <c r="AC703" s="1822"/>
      <c r="AD703" s="1822"/>
      <c r="AE703" s="1822"/>
      <c r="AF703" s="1822"/>
      <c r="AG703" s="1822"/>
      <c r="AH703" s="1822"/>
      <c r="AI703" s="1822"/>
      <c r="AJ703" s="1822"/>
      <c r="AK703" s="1822"/>
      <c r="AL703" s="1822"/>
      <c r="AM703" s="672"/>
      <c r="AN703" s="672"/>
      <c r="AO703" s="672"/>
      <c r="AP703" s="672"/>
      <c r="AQ703" s="672"/>
      <c r="AR703" s="672"/>
      <c r="AS703" s="672"/>
      <c r="AT703" s="672"/>
      <c r="AU703" s="672"/>
      <c r="AV703" s="672"/>
      <c r="AW703" s="680"/>
      <c r="AX703" s="680"/>
      <c r="AY703" s="680"/>
    </row>
    <row r="704" spans="26:51" ht="12" customHeight="1" x14ac:dyDescent="0.2">
      <c r="Z704" s="680"/>
      <c r="AB704" s="672"/>
      <c r="AC704" s="1822"/>
      <c r="AD704" s="1822"/>
      <c r="AE704" s="1822"/>
      <c r="AF704" s="1822"/>
      <c r="AG704" s="1822"/>
      <c r="AH704" s="1822"/>
      <c r="AI704" s="1822"/>
      <c r="AJ704" s="1822"/>
      <c r="AK704" s="1822"/>
      <c r="AL704" s="1822"/>
      <c r="AM704" s="672"/>
      <c r="AN704" s="672"/>
      <c r="AO704" s="672"/>
      <c r="AP704" s="672"/>
      <c r="AQ704" s="672"/>
      <c r="AR704" s="672"/>
      <c r="AS704" s="672"/>
      <c r="AT704" s="672"/>
      <c r="AU704" s="672"/>
      <c r="AV704" s="672"/>
      <c r="AW704" s="680"/>
      <c r="AX704" s="680"/>
      <c r="AY704" s="680"/>
    </row>
    <row r="705" spans="26:51" ht="12" customHeight="1" x14ac:dyDescent="0.2">
      <c r="Z705" s="680"/>
      <c r="AB705" s="672"/>
      <c r="AC705" s="1822"/>
      <c r="AD705" s="1822"/>
      <c r="AE705" s="1822"/>
      <c r="AF705" s="1822"/>
      <c r="AG705" s="1822"/>
      <c r="AH705" s="1822"/>
      <c r="AI705" s="1822"/>
      <c r="AJ705" s="1822"/>
      <c r="AK705" s="1822"/>
      <c r="AL705" s="1822"/>
      <c r="AM705" s="672"/>
      <c r="AN705" s="672"/>
      <c r="AO705" s="672"/>
      <c r="AP705" s="672"/>
      <c r="AQ705" s="672"/>
      <c r="AR705" s="672"/>
      <c r="AS705" s="672"/>
      <c r="AT705" s="672"/>
      <c r="AU705" s="672"/>
      <c r="AV705" s="672"/>
      <c r="AW705" s="680"/>
      <c r="AX705" s="680"/>
      <c r="AY705" s="680"/>
    </row>
    <row r="706" spans="26:51" ht="12" customHeight="1" x14ac:dyDescent="0.2">
      <c r="Z706" s="680"/>
      <c r="AB706" s="672"/>
      <c r="AC706" s="1822"/>
      <c r="AD706" s="1822"/>
      <c r="AE706" s="1822"/>
      <c r="AF706" s="1822"/>
      <c r="AG706" s="1822"/>
      <c r="AH706" s="1822"/>
      <c r="AI706" s="1822"/>
      <c r="AJ706" s="1822"/>
      <c r="AK706" s="1822"/>
      <c r="AL706" s="1822"/>
      <c r="AM706" s="672"/>
      <c r="AN706" s="672"/>
      <c r="AO706" s="672"/>
      <c r="AP706" s="672"/>
      <c r="AQ706" s="672"/>
      <c r="AR706" s="672"/>
      <c r="AS706" s="672"/>
      <c r="AT706" s="672"/>
      <c r="AU706" s="672"/>
      <c r="AV706" s="672"/>
      <c r="AW706" s="680"/>
      <c r="AX706" s="680"/>
      <c r="AY706" s="680"/>
    </row>
    <row r="707" spans="26:51" ht="12" customHeight="1" x14ac:dyDescent="0.2">
      <c r="Z707" s="680"/>
      <c r="AB707" s="672"/>
      <c r="AC707" s="1822"/>
      <c r="AD707" s="1822"/>
      <c r="AE707" s="1822"/>
      <c r="AF707" s="1822"/>
      <c r="AG707" s="1822"/>
      <c r="AH707" s="1822"/>
      <c r="AI707" s="1822"/>
      <c r="AJ707" s="1822"/>
      <c r="AK707" s="1822"/>
      <c r="AL707" s="1822"/>
      <c r="AM707" s="672"/>
      <c r="AN707" s="672"/>
      <c r="AO707" s="672"/>
      <c r="AP707" s="672"/>
      <c r="AQ707" s="672"/>
      <c r="AR707" s="672"/>
      <c r="AS707" s="672"/>
      <c r="AT707" s="672"/>
      <c r="AU707" s="672"/>
      <c r="AV707" s="672"/>
      <c r="AW707" s="680"/>
      <c r="AX707" s="680"/>
      <c r="AY707" s="680"/>
    </row>
    <row r="708" spans="26:51" ht="12" customHeight="1" x14ac:dyDescent="0.2">
      <c r="Z708" s="680"/>
      <c r="AB708" s="672"/>
      <c r="AC708" s="1822"/>
      <c r="AD708" s="1822"/>
      <c r="AE708" s="1822"/>
      <c r="AF708" s="1822"/>
      <c r="AG708" s="1822"/>
      <c r="AH708" s="1822"/>
      <c r="AI708" s="1822"/>
      <c r="AJ708" s="1822"/>
      <c r="AK708" s="1822"/>
      <c r="AL708" s="1822"/>
      <c r="AM708" s="672"/>
      <c r="AN708" s="672"/>
      <c r="AO708" s="672"/>
      <c r="AP708" s="672"/>
      <c r="AQ708" s="672"/>
      <c r="AR708" s="672"/>
      <c r="AS708" s="672"/>
      <c r="AT708" s="672"/>
      <c r="AU708" s="672"/>
      <c r="AV708" s="672"/>
      <c r="AW708" s="680"/>
      <c r="AX708" s="680"/>
      <c r="AY708" s="680"/>
    </row>
    <row r="709" spans="26:51" ht="12" customHeight="1" x14ac:dyDescent="0.2">
      <c r="Z709" s="680"/>
      <c r="AB709" s="672"/>
      <c r="AC709" s="1822"/>
      <c r="AD709" s="1822"/>
      <c r="AE709" s="1822"/>
      <c r="AF709" s="1822"/>
      <c r="AG709" s="1822"/>
      <c r="AH709" s="1822"/>
      <c r="AI709" s="1822"/>
      <c r="AJ709" s="1822"/>
      <c r="AK709" s="1822"/>
      <c r="AL709" s="1822"/>
      <c r="AM709" s="672"/>
      <c r="AN709" s="672"/>
      <c r="AO709" s="672"/>
      <c r="AP709" s="672"/>
      <c r="AQ709" s="672"/>
      <c r="AR709" s="672"/>
      <c r="AS709" s="672"/>
      <c r="AT709" s="672"/>
      <c r="AU709" s="672"/>
      <c r="AV709" s="672"/>
      <c r="AW709" s="680"/>
      <c r="AX709" s="680"/>
      <c r="AY709" s="680"/>
    </row>
    <row r="710" spans="26:51" ht="12" customHeight="1" x14ac:dyDescent="0.2">
      <c r="Z710" s="680"/>
      <c r="AB710" s="672"/>
      <c r="AC710" s="1822"/>
      <c r="AD710" s="1822"/>
      <c r="AE710" s="1822"/>
      <c r="AF710" s="1822"/>
      <c r="AG710" s="1822"/>
      <c r="AH710" s="1822"/>
      <c r="AI710" s="1822"/>
      <c r="AJ710" s="1822"/>
      <c r="AK710" s="1822"/>
      <c r="AL710" s="1822"/>
      <c r="AM710" s="672"/>
      <c r="AN710" s="672"/>
      <c r="AO710" s="672"/>
      <c r="AP710" s="672"/>
      <c r="AQ710" s="672"/>
      <c r="AR710" s="672"/>
      <c r="AS710" s="672"/>
      <c r="AT710" s="672"/>
      <c r="AU710" s="672"/>
      <c r="AV710" s="672"/>
      <c r="AW710" s="680"/>
      <c r="AX710" s="680"/>
      <c r="AY710" s="680"/>
    </row>
    <row r="711" spans="26:51" ht="12" customHeight="1" x14ac:dyDescent="0.2">
      <c r="Z711" s="680"/>
      <c r="AB711" s="672"/>
      <c r="AC711" s="1822"/>
      <c r="AD711" s="1822"/>
      <c r="AE711" s="1822"/>
      <c r="AF711" s="1822"/>
      <c r="AG711" s="1822"/>
      <c r="AH711" s="1822"/>
      <c r="AI711" s="1822"/>
      <c r="AJ711" s="1822"/>
      <c r="AK711" s="1822"/>
      <c r="AL711" s="1822"/>
      <c r="AM711" s="672"/>
      <c r="AN711" s="672"/>
      <c r="AO711" s="672"/>
      <c r="AP711" s="672"/>
      <c r="AQ711" s="672"/>
      <c r="AR711" s="672"/>
      <c r="AS711" s="672"/>
      <c r="AT711" s="672"/>
      <c r="AU711" s="672"/>
      <c r="AV711" s="672"/>
      <c r="AW711" s="680"/>
      <c r="AX711" s="680"/>
      <c r="AY711" s="680"/>
    </row>
    <row r="712" spans="26:51" ht="12" customHeight="1" x14ac:dyDescent="0.2">
      <c r="Z712" s="680"/>
      <c r="AB712" s="672"/>
      <c r="AC712" s="1822"/>
      <c r="AD712" s="1822"/>
      <c r="AE712" s="1822"/>
      <c r="AF712" s="1822"/>
      <c r="AG712" s="1822"/>
      <c r="AH712" s="1822"/>
      <c r="AI712" s="1822"/>
      <c r="AJ712" s="1822"/>
      <c r="AK712" s="1822"/>
      <c r="AL712" s="1822"/>
      <c r="AM712" s="672"/>
      <c r="AN712" s="672"/>
      <c r="AO712" s="672"/>
      <c r="AP712" s="672"/>
      <c r="AQ712" s="672"/>
      <c r="AR712" s="672"/>
      <c r="AS712" s="672"/>
      <c r="AT712" s="672"/>
      <c r="AU712" s="672"/>
      <c r="AV712" s="672"/>
      <c r="AW712" s="680"/>
      <c r="AX712" s="680"/>
      <c r="AY712" s="680"/>
    </row>
    <row r="713" spans="26:51" ht="12" customHeight="1" x14ac:dyDescent="0.2">
      <c r="Z713" s="680"/>
      <c r="AB713" s="672"/>
      <c r="AC713" s="1822"/>
      <c r="AD713" s="1822"/>
      <c r="AE713" s="1822"/>
      <c r="AF713" s="1822"/>
      <c r="AG713" s="1822"/>
      <c r="AH713" s="1822"/>
      <c r="AI713" s="1822"/>
      <c r="AJ713" s="1822"/>
      <c r="AK713" s="1822"/>
      <c r="AL713" s="1822"/>
      <c r="AM713" s="672"/>
      <c r="AN713" s="672"/>
      <c r="AO713" s="672"/>
      <c r="AP713" s="672"/>
      <c r="AQ713" s="672"/>
      <c r="AR713" s="672"/>
      <c r="AS713" s="672"/>
      <c r="AT713" s="672"/>
      <c r="AU713" s="672"/>
      <c r="AV713" s="672"/>
      <c r="AW713" s="680"/>
      <c r="AX713" s="680"/>
      <c r="AY713" s="680"/>
    </row>
    <row r="714" spans="26:51" ht="12" customHeight="1" x14ac:dyDescent="0.2">
      <c r="Z714" s="680"/>
      <c r="AB714" s="672"/>
      <c r="AC714" s="1822"/>
      <c r="AD714" s="1822"/>
      <c r="AE714" s="1822"/>
      <c r="AF714" s="1822"/>
      <c r="AG714" s="1822"/>
      <c r="AH714" s="1822"/>
      <c r="AI714" s="1822"/>
      <c r="AJ714" s="1822"/>
      <c r="AK714" s="1822"/>
      <c r="AL714" s="1822"/>
      <c r="AM714" s="672"/>
      <c r="AN714" s="672"/>
      <c r="AO714" s="672"/>
      <c r="AP714" s="672"/>
      <c r="AQ714" s="672"/>
      <c r="AR714" s="672"/>
      <c r="AS714" s="672"/>
      <c r="AT714" s="672"/>
      <c r="AU714" s="672"/>
      <c r="AV714" s="672"/>
      <c r="AW714" s="680"/>
      <c r="AX714" s="680"/>
      <c r="AY714" s="680"/>
    </row>
    <row r="715" spans="26:51" ht="12" customHeight="1" x14ac:dyDescent="0.2">
      <c r="Z715" s="680"/>
      <c r="AB715" s="672"/>
      <c r="AC715" s="1822"/>
      <c r="AD715" s="1822"/>
      <c r="AE715" s="1822"/>
      <c r="AF715" s="1822"/>
      <c r="AG715" s="1822"/>
      <c r="AH715" s="1822"/>
      <c r="AI715" s="1822"/>
      <c r="AJ715" s="1822"/>
      <c r="AK715" s="1822"/>
      <c r="AL715" s="1822"/>
      <c r="AM715" s="672"/>
      <c r="AN715" s="672"/>
      <c r="AO715" s="672"/>
      <c r="AP715" s="672"/>
      <c r="AQ715" s="672"/>
      <c r="AR715" s="672"/>
      <c r="AS715" s="672"/>
      <c r="AT715" s="672"/>
      <c r="AU715" s="672"/>
      <c r="AV715" s="672"/>
      <c r="AW715" s="680"/>
      <c r="AX715" s="680"/>
      <c r="AY715" s="680"/>
    </row>
    <row r="716" spans="26:51" ht="12" customHeight="1" x14ac:dyDescent="0.2">
      <c r="Z716" s="680"/>
      <c r="AB716" s="680"/>
      <c r="AC716" s="1822"/>
      <c r="AD716" s="1822"/>
      <c r="AE716" s="1822"/>
      <c r="AF716" s="1822"/>
      <c r="AG716" s="1822"/>
      <c r="AH716" s="1822"/>
      <c r="AI716" s="1822"/>
      <c r="AJ716" s="1822"/>
      <c r="AK716" s="1822"/>
      <c r="AL716" s="1822"/>
      <c r="AM716" s="680"/>
      <c r="AN716" s="680"/>
      <c r="AO716" s="680"/>
      <c r="AP716" s="680"/>
      <c r="AQ716" s="680"/>
      <c r="AR716" s="680"/>
      <c r="AS716" s="680"/>
      <c r="AT716" s="680"/>
      <c r="AU716" s="680"/>
      <c r="AV716" s="680"/>
      <c r="AW716" s="680"/>
      <c r="AX716" s="680"/>
      <c r="AY716" s="680"/>
    </row>
    <row r="717" spans="26:51" ht="12" customHeight="1" x14ac:dyDescent="0.2">
      <c r="Z717" s="680"/>
      <c r="AB717" s="680"/>
      <c r="AC717" s="1822"/>
      <c r="AD717" s="1822"/>
      <c r="AE717" s="1822"/>
      <c r="AF717" s="1822"/>
      <c r="AG717" s="1822"/>
      <c r="AH717" s="1822"/>
      <c r="AI717" s="1822"/>
      <c r="AJ717" s="1822"/>
      <c r="AK717" s="1822"/>
      <c r="AL717" s="1822"/>
      <c r="AM717" s="680"/>
      <c r="AN717" s="680"/>
      <c r="AO717" s="680"/>
      <c r="AP717" s="680"/>
      <c r="AQ717" s="680"/>
      <c r="AR717" s="680"/>
      <c r="AS717" s="680"/>
      <c r="AT717" s="680"/>
      <c r="AU717" s="680"/>
      <c r="AV717" s="680"/>
      <c r="AW717" s="680"/>
      <c r="AX717" s="680"/>
      <c r="AY717" s="680"/>
    </row>
    <row r="718" spans="26:51" ht="12" customHeight="1" x14ac:dyDescent="0.2">
      <c r="Z718" s="680"/>
      <c r="AB718" s="680"/>
      <c r="AC718" s="1822"/>
      <c r="AD718" s="1822"/>
      <c r="AE718" s="1822"/>
      <c r="AF718" s="1822"/>
      <c r="AG718" s="1822"/>
      <c r="AH718" s="1822"/>
      <c r="AI718" s="1822"/>
      <c r="AJ718" s="1822"/>
      <c r="AK718" s="1822"/>
      <c r="AL718" s="1822"/>
      <c r="AM718" s="680"/>
      <c r="AN718" s="680"/>
      <c r="AO718" s="680"/>
      <c r="AP718" s="680"/>
      <c r="AQ718" s="680"/>
      <c r="AR718" s="680"/>
      <c r="AS718" s="680"/>
      <c r="AT718" s="680"/>
      <c r="AU718" s="680"/>
      <c r="AV718" s="680"/>
      <c r="AW718" s="680"/>
      <c r="AX718" s="680"/>
      <c r="AY718" s="680"/>
    </row>
    <row r="719" spans="26:51" ht="12" customHeight="1" x14ac:dyDescent="0.2">
      <c r="Z719" s="680"/>
      <c r="AB719" s="680"/>
      <c r="AC719" s="1822"/>
      <c r="AD719" s="1822"/>
      <c r="AE719" s="1822"/>
      <c r="AF719" s="1822"/>
      <c r="AG719" s="1822"/>
      <c r="AH719" s="1822"/>
      <c r="AI719" s="1822"/>
      <c r="AJ719" s="1822"/>
      <c r="AK719" s="1822"/>
      <c r="AL719" s="1822"/>
      <c r="AM719" s="680"/>
      <c r="AN719" s="680"/>
      <c r="AO719" s="680"/>
      <c r="AP719" s="680"/>
      <c r="AQ719" s="680"/>
      <c r="AR719" s="680"/>
      <c r="AS719" s="680"/>
      <c r="AT719" s="680"/>
      <c r="AU719" s="680"/>
      <c r="AV719" s="680"/>
      <c r="AW719" s="680"/>
      <c r="AX719" s="680"/>
      <c r="AY719" s="680"/>
    </row>
    <row r="720" spans="26:51" ht="12" customHeight="1" x14ac:dyDescent="0.2">
      <c r="Z720" s="680"/>
      <c r="AB720" s="680"/>
      <c r="AC720" s="1822"/>
      <c r="AD720" s="1822"/>
      <c r="AE720" s="1822"/>
      <c r="AF720" s="1822"/>
      <c r="AG720" s="1822"/>
      <c r="AH720" s="1822"/>
      <c r="AI720" s="1822"/>
      <c r="AJ720" s="1822"/>
      <c r="AK720" s="1822"/>
      <c r="AL720" s="1822"/>
      <c r="AM720" s="680"/>
      <c r="AN720" s="680"/>
      <c r="AO720" s="680"/>
      <c r="AP720" s="680"/>
      <c r="AQ720" s="680"/>
      <c r="AR720" s="680"/>
      <c r="AS720" s="680"/>
      <c r="AT720" s="680"/>
      <c r="AU720" s="680"/>
      <c r="AV720" s="680"/>
      <c r="AW720" s="680"/>
      <c r="AX720" s="680"/>
      <c r="AY720" s="680"/>
    </row>
    <row r="721" spans="26:51" ht="12" customHeight="1" x14ac:dyDescent="0.2">
      <c r="Z721" s="680"/>
      <c r="AB721" s="680"/>
      <c r="AC721" s="1822"/>
      <c r="AD721" s="1822"/>
      <c r="AE721" s="1822"/>
      <c r="AF721" s="1822"/>
      <c r="AG721" s="1822"/>
      <c r="AH721" s="1822"/>
      <c r="AI721" s="1822"/>
      <c r="AJ721" s="1822"/>
      <c r="AK721" s="1822"/>
      <c r="AL721" s="1822"/>
      <c r="AM721" s="680"/>
      <c r="AN721" s="680"/>
      <c r="AO721" s="680"/>
      <c r="AP721" s="680"/>
      <c r="AQ721" s="680"/>
      <c r="AR721" s="680"/>
      <c r="AS721" s="680"/>
      <c r="AT721" s="680"/>
      <c r="AU721" s="680"/>
      <c r="AV721" s="680"/>
      <c r="AW721" s="680"/>
      <c r="AX721" s="680"/>
      <c r="AY721" s="680"/>
    </row>
    <row r="722" spans="26:51" ht="12" customHeight="1" x14ac:dyDescent="0.2">
      <c r="Z722" s="680"/>
      <c r="AB722" s="680"/>
      <c r="AC722" s="1822"/>
      <c r="AD722" s="1822"/>
      <c r="AE722" s="1822"/>
      <c r="AF722" s="1822"/>
      <c r="AG722" s="1822"/>
      <c r="AH722" s="1822"/>
      <c r="AI722" s="1822"/>
      <c r="AJ722" s="1822"/>
      <c r="AK722" s="1822"/>
      <c r="AL722" s="1822"/>
      <c r="AM722" s="680"/>
      <c r="AN722" s="680"/>
      <c r="AO722" s="680"/>
      <c r="AP722" s="680"/>
      <c r="AQ722" s="680"/>
      <c r="AR722" s="680"/>
      <c r="AS722" s="680"/>
      <c r="AT722" s="680"/>
      <c r="AU722" s="680"/>
      <c r="AV722" s="680"/>
      <c r="AW722" s="680"/>
      <c r="AX722" s="680"/>
      <c r="AY722" s="680"/>
    </row>
    <row r="723" spans="26:51" ht="12" customHeight="1" x14ac:dyDescent="0.2">
      <c r="Z723" s="680"/>
      <c r="AB723" s="680"/>
      <c r="AC723" s="1822"/>
      <c r="AD723" s="1822"/>
      <c r="AE723" s="1822"/>
      <c r="AF723" s="1822"/>
      <c r="AG723" s="1822"/>
      <c r="AH723" s="1822"/>
      <c r="AI723" s="1822"/>
      <c r="AJ723" s="1822"/>
      <c r="AK723" s="1822"/>
      <c r="AL723" s="1822"/>
      <c r="AM723" s="680"/>
      <c r="AN723" s="680"/>
      <c r="AO723" s="680"/>
      <c r="AP723" s="680"/>
      <c r="AQ723" s="680"/>
      <c r="AR723" s="680"/>
      <c r="AS723" s="680"/>
      <c r="AT723" s="680"/>
      <c r="AU723" s="680"/>
      <c r="AV723" s="680"/>
      <c r="AW723" s="680"/>
      <c r="AX723" s="680"/>
      <c r="AY723" s="680"/>
    </row>
    <row r="724" spans="26:51" ht="12" customHeight="1" x14ac:dyDescent="0.2">
      <c r="Z724" s="680"/>
      <c r="AB724" s="680"/>
      <c r="AC724" s="1822"/>
      <c r="AD724" s="1822"/>
      <c r="AE724" s="1822"/>
      <c r="AF724" s="1822"/>
      <c r="AG724" s="1822"/>
      <c r="AH724" s="1822"/>
      <c r="AI724" s="1822"/>
      <c r="AJ724" s="1822"/>
      <c r="AK724" s="1822"/>
      <c r="AL724" s="1822"/>
      <c r="AM724" s="680"/>
      <c r="AN724" s="680"/>
      <c r="AO724" s="680"/>
      <c r="AP724" s="680"/>
      <c r="AQ724" s="680"/>
      <c r="AR724" s="680"/>
      <c r="AS724" s="680"/>
      <c r="AT724" s="680"/>
      <c r="AU724" s="680"/>
      <c r="AV724" s="680"/>
      <c r="AW724" s="680"/>
      <c r="AX724" s="680"/>
      <c r="AY724" s="680"/>
    </row>
    <row r="725" spans="26:51" ht="12" customHeight="1" x14ac:dyDescent="0.2">
      <c r="Z725" s="680"/>
      <c r="AB725" s="680"/>
      <c r="AC725" s="1822"/>
      <c r="AD725" s="1822"/>
      <c r="AE725" s="1822"/>
      <c r="AF725" s="1822"/>
      <c r="AG725" s="1822"/>
      <c r="AH725" s="1822"/>
      <c r="AI725" s="1822"/>
      <c r="AJ725" s="1822"/>
      <c r="AK725" s="1822"/>
      <c r="AL725" s="1822"/>
      <c r="AM725" s="680"/>
      <c r="AN725" s="680"/>
      <c r="AO725" s="680"/>
      <c r="AP725" s="680"/>
      <c r="AQ725" s="680"/>
      <c r="AR725" s="680"/>
      <c r="AS725" s="680"/>
      <c r="AT725" s="680"/>
      <c r="AU725" s="680"/>
      <c r="AV725" s="680"/>
      <c r="AW725" s="680"/>
      <c r="AX725" s="680"/>
      <c r="AY725" s="680"/>
    </row>
    <row r="726" spans="26:51" ht="12" customHeight="1" x14ac:dyDescent="0.2">
      <c r="Z726" s="680"/>
      <c r="AB726" s="680"/>
      <c r="AC726" s="1822"/>
      <c r="AD726" s="1822"/>
      <c r="AE726" s="1822"/>
      <c r="AF726" s="1822"/>
      <c r="AG726" s="1822"/>
      <c r="AH726" s="1822"/>
      <c r="AI726" s="1822"/>
      <c r="AJ726" s="1822"/>
      <c r="AK726" s="1822"/>
      <c r="AL726" s="1822"/>
      <c r="AM726" s="680"/>
      <c r="AN726" s="680"/>
      <c r="AO726" s="680"/>
      <c r="AP726" s="680"/>
      <c r="AQ726" s="680"/>
      <c r="AR726" s="680"/>
      <c r="AS726" s="680"/>
      <c r="AT726" s="680"/>
      <c r="AU726" s="680"/>
      <c r="AV726" s="680"/>
      <c r="AW726" s="680"/>
      <c r="AX726" s="680"/>
      <c r="AY726" s="680"/>
    </row>
    <row r="727" spans="26:51" ht="12" customHeight="1" x14ac:dyDescent="0.2">
      <c r="Z727" s="680"/>
      <c r="AB727" s="680"/>
      <c r="AC727" s="1822"/>
      <c r="AD727" s="1822"/>
      <c r="AE727" s="1822"/>
      <c r="AF727" s="1822"/>
      <c r="AG727" s="1822"/>
      <c r="AH727" s="1822"/>
      <c r="AI727" s="1822"/>
      <c r="AJ727" s="1822"/>
      <c r="AK727" s="1822"/>
      <c r="AL727" s="1822"/>
      <c r="AM727" s="680"/>
      <c r="AN727" s="680"/>
      <c r="AO727" s="680"/>
      <c r="AP727" s="680"/>
      <c r="AQ727" s="680"/>
      <c r="AR727" s="680"/>
      <c r="AS727" s="680"/>
      <c r="AT727" s="680"/>
      <c r="AU727" s="680"/>
      <c r="AV727" s="680"/>
      <c r="AW727" s="680"/>
      <c r="AX727" s="680"/>
      <c r="AY727" s="680"/>
    </row>
    <row r="728" spans="26:51" ht="12" customHeight="1" x14ac:dyDescent="0.2">
      <c r="Z728" s="680"/>
      <c r="AB728" s="680"/>
      <c r="AC728" s="1822"/>
      <c r="AD728" s="1822"/>
      <c r="AE728" s="1822"/>
      <c r="AF728" s="1822"/>
      <c r="AG728" s="1822"/>
      <c r="AH728" s="1822"/>
      <c r="AI728" s="1822"/>
      <c r="AJ728" s="1822"/>
      <c r="AK728" s="1822"/>
      <c r="AL728" s="1822"/>
      <c r="AM728" s="680"/>
      <c r="AN728" s="680"/>
      <c r="AO728" s="680"/>
      <c r="AP728" s="680"/>
      <c r="AQ728" s="680"/>
      <c r="AR728" s="680"/>
      <c r="AS728" s="680"/>
      <c r="AT728" s="680"/>
      <c r="AU728" s="680"/>
      <c r="AV728" s="680"/>
      <c r="AW728" s="680"/>
      <c r="AX728" s="680"/>
      <c r="AY728" s="680"/>
    </row>
    <row r="729" spans="26:51" ht="12" customHeight="1" x14ac:dyDescent="0.2">
      <c r="Z729" s="680"/>
      <c r="AB729" s="680"/>
      <c r="AC729" s="1822"/>
      <c r="AD729" s="1822"/>
      <c r="AE729" s="1822"/>
      <c r="AF729" s="1822"/>
      <c r="AG729" s="1822"/>
      <c r="AH729" s="1822"/>
      <c r="AI729" s="1822"/>
      <c r="AJ729" s="1822"/>
      <c r="AK729" s="1822"/>
      <c r="AL729" s="1822"/>
      <c r="AM729" s="680"/>
      <c r="AN729" s="680"/>
      <c r="AO729" s="680"/>
      <c r="AP729" s="680"/>
      <c r="AQ729" s="680"/>
      <c r="AR729" s="680"/>
      <c r="AS729" s="680"/>
      <c r="AT729" s="680"/>
      <c r="AU729" s="680"/>
      <c r="AV729" s="680"/>
      <c r="AW729" s="680"/>
      <c r="AX729" s="680"/>
      <c r="AY729" s="680"/>
    </row>
    <row r="730" spans="26:51" ht="12" customHeight="1" x14ac:dyDescent="0.2">
      <c r="Z730" s="680"/>
      <c r="AB730" s="680"/>
      <c r="AC730" s="1822"/>
      <c r="AD730" s="1822"/>
      <c r="AE730" s="1822"/>
      <c r="AF730" s="1822"/>
      <c r="AG730" s="1822"/>
      <c r="AH730" s="1822"/>
      <c r="AI730" s="1822"/>
      <c r="AJ730" s="1822"/>
      <c r="AK730" s="1822"/>
      <c r="AL730" s="1822"/>
      <c r="AM730" s="680"/>
      <c r="AN730" s="680"/>
      <c r="AO730" s="680"/>
      <c r="AP730" s="680"/>
      <c r="AQ730" s="680"/>
      <c r="AR730" s="680"/>
      <c r="AS730" s="680"/>
      <c r="AT730" s="680"/>
      <c r="AU730" s="680"/>
      <c r="AV730" s="680"/>
      <c r="AW730" s="680"/>
      <c r="AX730" s="680"/>
      <c r="AY730" s="680"/>
    </row>
    <row r="731" spans="26:51" ht="12" customHeight="1" x14ac:dyDescent="0.2">
      <c r="Z731" s="680"/>
      <c r="AB731" s="680"/>
      <c r="AC731" s="1822"/>
      <c r="AD731" s="1822"/>
      <c r="AE731" s="1822"/>
      <c r="AF731" s="1822"/>
      <c r="AG731" s="1822"/>
      <c r="AH731" s="1822"/>
      <c r="AI731" s="1822"/>
      <c r="AJ731" s="1822"/>
      <c r="AK731" s="1822"/>
      <c r="AL731" s="1822"/>
      <c r="AM731" s="680"/>
      <c r="AN731" s="680"/>
      <c r="AO731" s="680"/>
      <c r="AP731" s="680"/>
      <c r="AQ731" s="680"/>
      <c r="AR731" s="680"/>
      <c r="AS731" s="680"/>
      <c r="AT731" s="680"/>
      <c r="AU731" s="680"/>
      <c r="AV731" s="680"/>
      <c r="AW731" s="680"/>
      <c r="AX731" s="680"/>
      <c r="AY731" s="680"/>
    </row>
    <row r="732" spans="26:51" ht="12" customHeight="1" x14ac:dyDescent="0.2">
      <c r="Z732" s="680"/>
      <c r="AB732" s="680"/>
      <c r="AC732" s="1822"/>
      <c r="AD732" s="1822"/>
      <c r="AE732" s="1822"/>
      <c r="AF732" s="1822"/>
      <c r="AG732" s="1822"/>
      <c r="AH732" s="1822"/>
      <c r="AI732" s="1822"/>
      <c r="AJ732" s="1822"/>
      <c r="AK732" s="1822"/>
      <c r="AL732" s="1822"/>
      <c r="AM732" s="680"/>
      <c r="AN732" s="680"/>
      <c r="AO732" s="680"/>
      <c r="AP732" s="680"/>
      <c r="AQ732" s="680"/>
      <c r="AR732" s="680"/>
      <c r="AS732" s="680"/>
      <c r="AT732" s="680"/>
      <c r="AU732" s="680"/>
      <c r="AV732" s="680"/>
      <c r="AW732" s="680"/>
      <c r="AX732" s="680"/>
      <c r="AY732" s="680"/>
    </row>
    <row r="733" spans="26:51" ht="12" customHeight="1" x14ac:dyDescent="0.2">
      <c r="Z733" s="680"/>
      <c r="AB733" s="680"/>
      <c r="AC733" s="1822"/>
      <c r="AD733" s="1822"/>
      <c r="AE733" s="1822"/>
      <c r="AF733" s="1822"/>
      <c r="AG733" s="1822"/>
      <c r="AH733" s="1822"/>
      <c r="AI733" s="1822"/>
      <c r="AJ733" s="1822"/>
      <c r="AK733" s="1822"/>
      <c r="AL733" s="1822"/>
      <c r="AM733" s="680"/>
      <c r="AN733" s="680"/>
      <c r="AO733" s="680"/>
      <c r="AP733" s="680"/>
      <c r="AQ733" s="680"/>
      <c r="AR733" s="680"/>
      <c r="AS733" s="680"/>
      <c r="AT733" s="680"/>
      <c r="AU733" s="680"/>
      <c r="AV733" s="680"/>
      <c r="AW733" s="680"/>
      <c r="AX733" s="680"/>
      <c r="AY733" s="680"/>
    </row>
    <row r="734" spans="26:51" ht="12" customHeight="1" x14ac:dyDescent="0.2">
      <c r="Z734" s="680"/>
      <c r="AB734" s="680"/>
      <c r="AC734" s="1822"/>
      <c r="AD734" s="1822"/>
      <c r="AE734" s="1822"/>
      <c r="AF734" s="1822"/>
      <c r="AG734" s="1822"/>
      <c r="AH734" s="1822"/>
      <c r="AI734" s="1822"/>
      <c r="AJ734" s="1822"/>
      <c r="AK734" s="1822"/>
      <c r="AL734" s="1822"/>
      <c r="AM734" s="680"/>
      <c r="AN734" s="680"/>
      <c r="AO734" s="680"/>
      <c r="AP734" s="680"/>
      <c r="AQ734" s="680"/>
      <c r="AR734" s="680"/>
      <c r="AS734" s="680"/>
      <c r="AT734" s="680"/>
      <c r="AU734" s="680"/>
      <c r="AV734" s="680"/>
      <c r="AW734" s="680"/>
      <c r="AX734" s="680"/>
      <c r="AY734" s="680"/>
    </row>
    <row r="735" spans="26:51" ht="12" customHeight="1" x14ac:dyDescent="0.2">
      <c r="Z735" s="680"/>
      <c r="AB735" s="680"/>
      <c r="AC735" s="1822"/>
      <c r="AD735" s="1822"/>
      <c r="AE735" s="1822"/>
      <c r="AF735" s="1822"/>
      <c r="AG735" s="1822"/>
      <c r="AH735" s="1822"/>
      <c r="AI735" s="1822"/>
      <c r="AJ735" s="1822"/>
      <c r="AK735" s="1822"/>
      <c r="AL735" s="1822"/>
      <c r="AM735" s="680"/>
      <c r="AN735" s="680"/>
      <c r="AO735" s="680"/>
      <c r="AP735" s="680"/>
      <c r="AQ735" s="680"/>
      <c r="AR735" s="680"/>
      <c r="AS735" s="680"/>
      <c r="AT735" s="680"/>
      <c r="AU735" s="680"/>
      <c r="AV735" s="680"/>
      <c r="AW735" s="680"/>
      <c r="AX735" s="680"/>
      <c r="AY735" s="680"/>
    </row>
    <row r="736" spans="26:51" ht="12" customHeight="1" x14ac:dyDescent="0.2">
      <c r="Z736" s="680"/>
      <c r="AB736" s="680"/>
      <c r="AC736" s="1822"/>
      <c r="AD736" s="1822"/>
      <c r="AE736" s="1822"/>
      <c r="AF736" s="1822"/>
      <c r="AG736" s="1822"/>
      <c r="AH736" s="1822"/>
      <c r="AI736" s="1822"/>
      <c r="AJ736" s="1822"/>
      <c r="AK736" s="1822"/>
      <c r="AL736" s="1822"/>
      <c r="AM736" s="680"/>
      <c r="AN736" s="680"/>
      <c r="AO736" s="680"/>
      <c r="AP736" s="680"/>
      <c r="AQ736" s="680"/>
      <c r="AR736" s="680"/>
      <c r="AS736" s="680"/>
      <c r="AT736" s="680"/>
      <c r="AU736" s="680"/>
      <c r="AV736" s="680"/>
      <c r="AW736" s="680"/>
      <c r="AX736" s="680"/>
      <c r="AY736" s="680"/>
    </row>
    <row r="737" spans="26:51" ht="12" customHeight="1" x14ac:dyDescent="0.2">
      <c r="Z737" s="680"/>
      <c r="AB737" s="680"/>
      <c r="AC737" s="1822"/>
      <c r="AD737" s="1822"/>
      <c r="AE737" s="1822"/>
      <c r="AF737" s="1822"/>
      <c r="AG737" s="1822"/>
      <c r="AH737" s="1822"/>
      <c r="AI737" s="1822"/>
      <c r="AJ737" s="1822"/>
      <c r="AK737" s="1822"/>
      <c r="AL737" s="1822"/>
      <c r="AM737" s="680"/>
      <c r="AN737" s="680"/>
      <c r="AO737" s="680"/>
      <c r="AP737" s="680"/>
      <c r="AQ737" s="680"/>
      <c r="AR737" s="680"/>
      <c r="AS737" s="680"/>
      <c r="AT737" s="680"/>
      <c r="AU737" s="680"/>
      <c r="AV737" s="680"/>
      <c r="AW737" s="680"/>
      <c r="AX737" s="680"/>
      <c r="AY737" s="680"/>
    </row>
    <row r="738" spans="26:51" ht="12" customHeight="1" x14ac:dyDescent="0.2">
      <c r="Z738" s="680"/>
      <c r="AB738" s="680"/>
      <c r="AC738" s="1822"/>
      <c r="AD738" s="1822"/>
      <c r="AE738" s="1822"/>
      <c r="AF738" s="1822"/>
      <c r="AG738" s="1822"/>
      <c r="AH738" s="1822"/>
      <c r="AI738" s="1822"/>
      <c r="AJ738" s="1822"/>
      <c r="AK738" s="1822"/>
      <c r="AL738" s="1822"/>
      <c r="AM738" s="680"/>
      <c r="AN738" s="680"/>
      <c r="AO738" s="680"/>
      <c r="AP738" s="680"/>
      <c r="AQ738" s="680"/>
      <c r="AR738" s="680"/>
      <c r="AS738" s="680"/>
      <c r="AT738" s="680"/>
      <c r="AU738" s="680"/>
      <c r="AV738" s="680"/>
      <c r="AW738" s="680"/>
      <c r="AX738" s="680"/>
      <c r="AY738" s="680"/>
    </row>
    <row r="739" spans="26:51" ht="12" customHeight="1" x14ac:dyDescent="0.2">
      <c r="Z739" s="680"/>
      <c r="AB739" s="680"/>
      <c r="AC739" s="1822"/>
      <c r="AD739" s="1822"/>
      <c r="AE739" s="1822"/>
      <c r="AF739" s="1822"/>
      <c r="AG739" s="1822"/>
      <c r="AH739" s="1822"/>
      <c r="AI739" s="1822"/>
      <c r="AJ739" s="1822"/>
      <c r="AK739" s="1822"/>
      <c r="AL739" s="1822"/>
      <c r="AM739" s="680"/>
      <c r="AN739" s="680"/>
      <c r="AO739" s="680"/>
      <c r="AP739" s="680"/>
      <c r="AQ739" s="680"/>
      <c r="AR739" s="680"/>
      <c r="AS739" s="680"/>
      <c r="AT739" s="680"/>
      <c r="AU739" s="680"/>
      <c r="AV739" s="680"/>
      <c r="AW739" s="680"/>
      <c r="AX739" s="680"/>
      <c r="AY739" s="680"/>
    </row>
    <row r="740" spans="26:51" ht="12" customHeight="1" x14ac:dyDescent="0.2">
      <c r="Z740" s="680"/>
      <c r="AB740" s="680"/>
      <c r="AC740" s="1822"/>
      <c r="AD740" s="1822"/>
      <c r="AE740" s="1822"/>
      <c r="AF740" s="1822"/>
      <c r="AG740" s="1822"/>
      <c r="AH740" s="1822"/>
      <c r="AI740" s="1822"/>
      <c r="AJ740" s="1822"/>
      <c r="AK740" s="1822"/>
      <c r="AL740" s="1822"/>
      <c r="AM740" s="680"/>
      <c r="AN740" s="680"/>
      <c r="AO740" s="680"/>
      <c r="AP740" s="680"/>
      <c r="AQ740" s="680"/>
      <c r="AR740" s="680"/>
      <c r="AS740" s="680"/>
      <c r="AT740" s="680"/>
      <c r="AU740" s="680"/>
      <c r="AV740" s="680"/>
      <c r="AW740" s="680"/>
      <c r="AX740" s="680"/>
      <c r="AY740" s="680"/>
    </row>
    <row r="741" spans="26:51" ht="12" customHeight="1" x14ac:dyDescent="0.2">
      <c r="Z741" s="680"/>
      <c r="AB741" s="680"/>
      <c r="AC741" s="1822"/>
      <c r="AD741" s="1822"/>
      <c r="AE741" s="1822"/>
      <c r="AF741" s="1822"/>
      <c r="AG741" s="1822"/>
      <c r="AH741" s="1822"/>
      <c r="AI741" s="1822"/>
      <c r="AJ741" s="1822"/>
      <c r="AK741" s="1822"/>
      <c r="AL741" s="1822"/>
      <c r="AM741" s="680"/>
      <c r="AN741" s="680"/>
      <c r="AO741" s="680"/>
      <c r="AP741" s="680"/>
      <c r="AQ741" s="680"/>
      <c r="AR741" s="680"/>
      <c r="AS741" s="680"/>
      <c r="AT741" s="680"/>
      <c r="AU741" s="680"/>
      <c r="AV741" s="680"/>
      <c r="AW741" s="680"/>
      <c r="AX741" s="680"/>
      <c r="AY741" s="680"/>
    </row>
    <row r="742" spans="26:51" ht="12" customHeight="1" x14ac:dyDescent="0.2">
      <c r="Z742" s="680"/>
      <c r="AB742" s="680"/>
      <c r="AC742" s="1822"/>
      <c r="AD742" s="1822"/>
      <c r="AE742" s="1822"/>
      <c r="AF742" s="1822"/>
      <c r="AG742" s="1822"/>
      <c r="AH742" s="1822"/>
      <c r="AI742" s="1822"/>
      <c r="AJ742" s="1822"/>
      <c r="AK742" s="1822"/>
      <c r="AL742" s="1822"/>
      <c r="AM742" s="680"/>
      <c r="AN742" s="680"/>
      <c r="AO742" s="680"/>
      <c r="AP742" s="680"/>
      <c r="AQ742" s="680"/>
      <c r="AR742" s="680"/>
      <c r="AS742" s="680"/>
      <c r="AT742" s="680"/>
      <c r="AU742" s="680"/>
      <c r="AV742" s="680"/>
      <c r="AW742" s="680"/>
      <c r="AX742" s="680"/>
      <c r="AY742" s="680"/>
    </row>
    <row r="743" spans="26:51" ht="12" customHeight="1" x14ac:dyDescent="0.2">
      <c r="Z743" s="680"/>
      <c r="AB743" s="680"/>
      <c r="AC743" s="1822"/>
      <c r="AD743" s="1822"/>
      <c r="AE743" s="1822"/>
      <c r="AF743" s="1822"/>
      <c r="AG743" s="1822"/>
      <c r="AH743" s="1822"/>
      <c r="AI743" s="1822"/>
      <c r="AJ743" s="1822"/>
      <c r="AK743" s="1822"/>
      <c r="AL743" s="1822"/>
      <c r="AM743" s="680"/>
      <c r="AN743" s="680"/>
      <c r="AO743" s="680"/>
      <c r="AP743" s="680"/>
      <c r="AQ743" s="680"/>
      <c r="AR743" s="680"/>
      <c r="AS743" s="680"/>
      <c r="AT743" s="680"/>
      <c r="AU743" s="680"/>
      <c r="AV743" s="680"/>
      <c r="AW743" s="680"/>
      <c r="AX743" s="680"/>
      <c r="AY743" s="680"/>
    </row>
    <row r="744" spans="26:51" ht="12" customHeight="1" x14ac:dyDescent="0.2">
      <c r="Z744" s="680"/>
      <c r="AB744" s="680"/>
      <c r="AC744" s="1822"/>
      <c r="AD744" s="1822"/>
      <c r="AE744" s="1822"/>
      <c r="AF744" s="1822"/>
      <c r="AG744" s="1822"/>
      <c r="AH744" s="1822"/>
      <c r="AI744" s="1822"/>
      <c r="AJ744" s="1822"/>
      <c r="AK744" s="1822"/>
      <c r="AL744" s="1822"/>
      <c r="AM744" s="680"/>
      <c r="AN744" s="680"/>
      <c r="AO744" s="680"/>
      <c r="AP744" s="680"/>
      <c r="AQ744" s="680"/>
      <c r="AR744" s="680"/>
      <c r="AS744" s="680"/>
      <c r="AT744" s="680"/>
      <c r="AU744" s="680"/>
      <c r="AV744" s="680"/>
      <c r="AW744" s="680"/>
      <c r="AX744" s="680"/>
      <c r="AY744" s="680"/>
    </row>
    <row r="745" spans="26:51" ht="12" customHeight="1" x14ac:dyDescent="0.2">
      <c r="Z745" s="680"/>
      <c r="AB745" s="680"/>
      <c r="AC745" s="1822"/>
      <c r="AD745" s="1822"/>
      <c r="AE745" s="1822"/>
      <c r="AF745" s="1822"/>
      <c r="AG745" s="1822"/>
      <c r="AH745" s="1822"/>
      <c r="AI745" s="1822"/>
      <c r="AJ745" s="1822"/>
      <c r="AK745" s="1822"/>
      <c r="AL745" s="1822"/>
      <c r="AM745" s="680"/>
      <c r="AN745" s="680"/>
      <c r="AO745" s="680"/>
      <c r="AP745" s="680"/>
      <c r="AQ745" s="680"/>
      <c r="AR745" s="680"/>
      <c r="AS745" s="680"/>
      <c r="AT745" s="680"/>
      <c r="AU745" s="680"/>
      <c r="AV745" s="680"/>
      <c r="AW745" s="680"/>
      <c r="AX745" s="680"/>
      <c r="AY745" s="680"/>
    </row>
    <row r="746" spans="26:51" ht="12" customHeight="1" x14ac:dyDescent="0.2">
      <c r="Z746" s="680"/>
      <c r="AB746" s="680"/>
      <c r="AC746" s="1822"/>
      <c r="AD746" s="1822"/>
      <c r="AE746" s="1822"/>
      <c r="AF746" s="1822"/>
      <c r="AG746" s="1822"/>
      <c r="AH746" s="1822"/>
      <c r="AI746" s="1822"/>
      <c r="AJ746" s="1822"/>
      <c r="AK746" s="1822"/>
      <c r="AL746" s="1822"/>
      <c r="AM746" s="680"/>
      <c r="AN746" s="680"/>
      <c r="AO746" s="680"/>
      <c r="AP746" s="680"/>
      <c r="AQ746" s="680"/>
      <c r="AR746" s="680"/>
      <c r="AS746" s="680"/>
      <c r="AT746" s="680"/>
      <c r="AU746" s="680"/>
      <c r="AV746" s="680"/>
      <c r="AW746" s="680"/>
      <c r="AX746" s="680"/>
      <c r="AY746" s="680"/>
    </row>
    <row r="747" spans="26:51" ht="12" customHeight="1" x14ac:dyDescent="0.2">
      <c r="Z747" s="680"/>
      <c r="AB747" s="680"/>
      <c r="AC747" s="1822"/>
      <c r="AD747" s="1822"/>
      <c r="AE747" s="1822"/>
      <c r="AF747" s="1822"/>
      <c r="AG747" s="1822"/>
      <c r="AH747" s="1822"/>
      <c r="AI747" s="1822"/>
      <c r="AJ747" s="1822"/>
      <c r="AK747" s="1822"/>
      <c r="AL747" s="1822"/>
      <c r="AM747" s="680"/>
      <c r="AN747" s="680"/>
      <c r="AO747" s="680"/>
      <c r="AP747" s="680"/>
      <c r="AQ747" s="680"/>
      <c r="AR747" s="680"/>
      <c r="AS747" s="680"/>
      <c r="AT747" s="680"/>
      <c r="AU747" s="680"/>
      <c r="AV747" s="680"/>
      <c r="AW747" s="680"/>
      <c r="AX747" s="680"/>
      <c r="AY747" s="680"/>
    </row>
    <row r="748" spans="26:51" ht="12" customHeight="1" x14ac:dyDescent="0.2">
      <c r="Z748" s="680"/>
      <c r="AB748" s="680"/>
      <c r="AC748" s="1822"/>
      <c r="AD748" s="1822"/>
      <c r="AE748" s="1822"/>
      <c r="AF748" s="1822"/>
      <c r="AG748" s="1822"/>
      <c r="AH748" s="1822"/>
      <c r="AI748" s="1822"/>
      <c r="AJ748" s="1822"/>
      <c r="AK748" s="1822"/>
      <c r="AL748" s="1822"/>
      <c r="AM748" s="680"/>
      <c r="AN748" s="680"/>
      <c r="AO748" s="680"/>
      <c r="AP748" s="680"/>
      <c r="AQ748" s="680"/>
      <c r="AR748" s="680"/>
      <c r="AS748" s="680"/>
      <c r="AT748" s="680"/>
      <c r="AU748" s="680"/>
      <c r="AV748" s="680"/>
      <c r="AW748" s="680"/>
      <c r="AX748" s="680"/>
      <c r="AY748" s="680"/>
    </row>
    <row r="749" spans="26:51" ht="12" customHeight="1" x14ac:dyDescent="0.2">
      <c r="Z749" s="680"/>
      <c r="AB749" s="680"/>
      <c r="AC749" s="1822"/>
      <c r="AD749" s="1822"/>
      <c r="AE749" s="1822"/>
      <c r="AF749" s="1822"/>
      <c r="AG749" s="1822"/>
      <c r="AH749" s="1822"/>
      <c r="AI749" s="1822"/>
      <c r="AJ749" s="1822"/>
      <c r="AK749" s="1822"/>
      <c r="AL749" s="1822"/>
      <c r="AM749" s="680"/>
      <c r="AN749" s="680"/>
      <c r="AO749" s="680"/>
      <c r="AP749" s="680"/>
      <c r="AQ749" s="680"/>
      <c r="AR749" s="680"/>
      <c r="AS749" s="680"/>
      <c r="AT749" s="680"/>
      <c r="AU749" s="680"/>
      <c r="AV749" s="680"/>
      <c r="AW749" s="680"/>
      <c r="AX749" s="680"/>
      <c r="AY749" s="680"/>
    </row>
    <row r="750" spans="26:51" ht="12" customHeight="1" x14ac:dyDescent="0.2">
      <c r="Z750" s="680"/>
      <c r="AB750" s="680"/>
      <c r="AC750" s="1822"/>
      <c r="AD750" s="1822"/>
      <c r="AE750" s="1822"/>
      <c r="AF750" s="1822"/>
      <c r="AG750" s="1822"/>
      <c r="AH750" s="1822"/>
      <c r="AI750" s="1822"/>
      <c r="AJ750" s="1822"/>
      <c r="AK750" s="1822"/>
      <c r="AL750" s="1822"/>
      <c r="AM750" s="680"/>
      <c r="AN750" s="680"/>
      <c r="AO750" s="680"/>
      <c r="AP750" s="680"/>
      <c r="AQ750" s="680"/>
      <c r="AR750" s="680"/>
      <c r="AS750" s="680"/>
      <c r="AT750" s="680"/>
      <c r="AU750" s="680"/>
      <c r="AV750" s="680"/>
      <c r="AW750" s="680"/>
      <c r="AX750" s="680"/>
      <c r="AY750" s="680"/>
    </row>
    <row r="751" spans="26:51" ht="12" customHeight="1" x14ac:dyDescent="0.2">
      <c r="Z751" s="680"/>
      <c r="AB751" s="680"/>
      <c r="AC751" s="1822"/>
      <c r="AD751" s="1822"/>
      <c r="AE751" s="1822"/>
      <c r="AF751" s="1822"/>
      <c r="AG751" s="1822"/>
      <c r="AH751" s="1822"/>
      <c r="AI751" s="1822"/>
      <c r="AJ751" s="1822"/>
      <c r="AK751" s="1822"/>
      <c r="AL751" s="1822"/>
      <c r="AM751" s="680"/>
      <c r="AN751" s="680"/>
      <c r="AO751" s="680"/>
      <c r="AP751" s="680"/>
      <c r="AQ751" s="680"/>
      <c r="AR751" s="680"/>
      <c r="AS751" s="680"/>
      <c r="AT751" s="680"/>
      <c r="AU751" s="680"/>
      <c r="AV751" s="680"/>
      <c r="AW751" s="680"/>
      <c r="AX751" s="680"/>
      <c r="AY751" s="680"/>
    </row>
    <row r="752" spans="26:51" ht="12" customHeight="1" x14ac:dyDescent="0.2">
      <c r="Z752" s="680"/>
      <c r="AB752" s="680"/>
      <c r="AC752" s="1822"/>
      <c r="AD752" s="1822"/>
      <c r="AE752" s="1822"/>
      <c r="AF752" s="1822"/>
      <c r="AG752" s="1822"/>
      <c r="AH752" s="1822"/>
      <c r="AI752" s="1822"/>
      <c r="AJ752" s="1822"/>
      <c r="AK752" s="1822"/>
      <c r="AL752" s="1822"/>
      <c r="AM752" s="680"/>
      <c r="AN752" s="680"/>
      <c r="AO752" s="680"/>
      <c r="AP752" s="680"/>
      <c r="AQ752" s="680"/>
      <c r="AR752" s="680"/>
      <c r="AS752" s="680"/>
      <c r="AT752" s="680"/>
      <c r="AU752" s="680"/>
      <c r="AV752" s="680"/>
      <c r="AW752" s="680"/>
      <c r="AX752" s="680"/>
      <c r="AY752" s="680"/>
    </row>
    <row r="753" spans="26:51" ht="12" customHeight="1" x14ac:dyDescent="0.2">
      <c r="Z753" s="680"/>
      <c r="AB753" s="680"/>
      <c r="AC753" s="1822"/>
      <c r="AD753" s="1822"/>
      <c r="AE753" s="1822"/>
      <c r="AF753" s="1822"/>
      <c r="AG753" s="1822"/>
      <c r="AH753" s="1822"/>
      <c r="AI753" s="1822"/>
      <c r="AJ753" s="1822"/>
      <c r="AK753" s="1822"/>
      <c r="AL753" s="1822"/>
      <c r="AM753" s="680"/>
      <c r="AN753" s="680"/>
      <c r="AO753" s="680"/>
      <c r="AP753" s="680"/>
      <c r="AQ753" s="680"/>
      <c r="AR753" s="680"/>
      <c r="AS753" s="680"/>
      <c r="AT753" s="680"/>
      <c r="AU753" s="680"/>
      <c r="AV753" s="680"/>
      <c r="AW753" s="680"/>
      <c r="AX753" s="680"/>
      <c r="AY753" s="680"/>
    </row>
    <row r="754" spans="26:51" ht="12" customHeight="1" x14ac:dyDescent="0.2">
      <c r="Z754" s="680"/>
      <c r="AB754" s="680"/>
      <c r="AC754" s="1822"/>
      <c r="AD754" s="1822"/>
      <c r="AE754" s="1822"/>
      <c r="AF754" s="1822"/>
      <c r="AG754" s="1822"/>
      <c r="AH754" s="1822"/>
      <c r="AI754" s="1822"/>
      <c r="AJ754" s="1822"/>
      <c r="AK754" s="1822"/>
      <c r="AL754" s="1822"/>
      <c r="AM754" s="680"/>
      <c r="AN754" s="680"/>
      <c r="AO754" s="680"/>
      <c r="AP754" s="680"/>
      <c r="AQ754" s="680"/>
      <c r="AR754" s="680"/>
      <c r="AS754" s="680"/>
      <c r="AT754" s="680"/>
      <c r="AU754" s="680"/>
      <c r="AV754" s="680"/>
      <c r="AW754" s="680"/>
      <c r="AX754" s="680"/>
      <c r="AY754" s="680"/>
    </row>
    <row r="755" spans="26:51" ht="12" customHeight="1" x14ac:dyDescent="0.2">
      <c r="Z755" s="680"/>
      <c r="AB755" s="680"/>
      <c r="AC755" s="1822"/>
      <c r="AD755" s="1822"/>
      <c r="AE755" s="1822"/>
      <c r="AF755" s="1822"/>
      <c r="AG755" s="1822"/>
      <c r="AH755" s="1822"/>
      <c r="AI755" s="1822"/>
      <c r="AJ755" s="1822"/>
      <c r="AK755" s="1822"/>
      <c r="AL755" s="1822"/>
      <c r="AM755" s="680"/>
      <c r="AN755" s="680"/>
      <c r="AO755" s="680"/>
      <c r="AP755" s="680"/>
      <c r="AQ755" s="680"/>
      <c r="AR755" s="680"/>
      <c r="AS755" s="680"/>
      <c r="AT755" s="680"/>
      <c r="AU755" s="680"/>
      <c r="AV755" s="680"/>
      <c r="AW755" s="680"/>
      <c r="AX755" s="680"/>
      <c r="AY755" s="680"/>
    </row>
    <row r="756" spans="26:51" ht="12" customHeight="1" x14ac:dyDescent="0.2">
      <c r="Z756" s="680"/>
      <c r="AB756" s="680"/>
      <c r="AC756" s="1822"/>
      <c r="AD756" s="1822"/>
      <c r="AE756" s="1822"/>
      <c r="AF756" s="1822"/>
      <c r="AG756" s="1822"/>
      <c r="AH756" s="1822"/>
      <c r="AI756" s="1822"/>
      <c r="AJ756" s="1822"/>
      <c r="AK756" s="1822"/>
      <c r="AL756" s="1822"/>
      <c r="AM756" s="680"/>
      <c r="AN756" s="680"/>
      <c r="AO756" s="680"/>
      <c r="AP756" s="680"/>
      <c r="AQ756" s="680"/>
      <c r="AR756" s="680"/>
      <c r="AS756" s="680"/>
      <c r="AT756" s="680"/>
      <c r="AU756" s="680"/>
      <c r="AV756" s="680"/>
      <c r="AW756" s="680"/>
      <c r="AX756" s="680"/>
      <c r="AY756" s="680"/>
    </row>
    <row r="757" spans="26:51" ht="12" customHeight="1" x14ac:dyDescent="0.2">
      <c r="Z757" s="680"/>
      <c r="AB757" s="680"/>
      <c r="AC757" s="1822"/>
      <c r="AD757" s="1822"/>
      <c r="AE757" s="1822"/>
      <c r="AF757" s="1822"/>
      <c r="AG757" s="1822"/>
      <c r="AH757" s="1822"/>
      <c r="AI757" s="1822"/>
      <c r="AJ757" s="1822"/>
      <c r="AK757" s="1822"/>
      <c r="AL757" s="1822"/>
      <c r="AM757" s="680"/>
      <c r="AN757" s="680"/>
      <c r="AO757" s="680"/>
      <c r="AP757" s="680"/>
      <c r="AQ757" s="680"/>
      <c r="AR757" s="680"/>
      <c r="AS757" s="680"/>
      <c r="AT757" s="680"/>
      <c r="AU757" s="680"/>
      <c r="AV757" s="680"/>
      <c r="AW757" s="680"/>
      <c r="AX757" s="680"/>
      <c r="AY757" s="680"/>
    </row>
    <row r="758" spans="26:51" ht="12" customHeight="1" x14ac:dyDescent="0.2">
      <c r="Z758" s="680"/>
      <c r="AB758" s="680"/>
      <c r="AC758" s="1822"/>
      <c r="AD758" s="1822"/>
      <c r="AE758" s="1822"/>
      <c r="AF758" s="1822"/>
      <c r="AG758" s="1822"/>
      <c r="AH758" s="1822"/>
      <c r="AI758" s="1822"/>
      <c r="AJ758" s="1822"/>
      <c r="AK758" s="1822"/>
      <c r="AL758" s="1822"/>
      <c r="AM758" s="680"/>
      <c r="AN758" s="680"/>
      <c r="AO758" s="680"/>
      <c r="AP758" s="680"/>
      <c r="AQ758" s="680"/>
      <c r="AR758" s="680"/>
      <c r="AS758" s="680"/>
      <c r="AT758" s="680"/>
      <c r="AU758" s="680"/>
      <c r="AV758" s="680"/>
      <c r="AW758" s="680"/>
      <c r="AX758" s="680"/>
      <c r="AY758" s="680"/>
    </row>
    <row r="759" spans="26:51" ht="12" customHeight="1" x14ac:dyDescent="0.2">
      <c r="Z759" s="680"/>
      <c r="AB759" s="680"/>
      <c r="AC759" s="1822"/>
      <c r="AD759" s="1822"/>
      <c r="AE759" s="1822"/>
      <c r="AF759" s="1822"/>
      <c r="AG759" s="1822"/>
      <c r="AH759" s="1822"/>
      <c r="AI759" s="1822"/>
      <c r="AJ759" s="1822"/>
      <c r="AK759" s="1822"/>
      <c r="AL759" s="1822"/>
      <c r="AM759" s="680"/>
      <c r="AN759" s="680"/>
      <c r="AO759" s="680"/>
      <c r="AP759" s="680"/>
      <c r="AQ759" s="680"/>
      <c r="AR759" s="680"/>
      <c r="AS759" s="680"/>
      <c r="AT759" s="680"/>
      <c r="AU759" s="680"/>
      <c r="AV759" s="680"/>
      <c r="AW759" s="680"/>
      <c r="AX759" s="680"/>
      <c r="AY759" s="680"/>
    </row>
    <row r="760" spans="26:51" ht="12" customHeight="1" x14ac:dyDescent="0.2">
      <c r="Z760" s="680"/>
      <c r="AB760" s="680"/>
      <c r="AC760" s="1822"/>
      <c r="AD760" s="1822"/>
      <c r="AE760" s="1822"/>
      <c r="AF760" s="1822"/>
      <c r="AG760" s="1822"/>
      <c r="AH760" s="1822"/>
      <c r="AI760" s="1822"/>
      <c r="AJ760" s="1822"/>
      <c r="AK760" s="1822"/>
      <c r="AL760" s="1822"/>
      <c r="AM760" s="680"/>
      <c r="AN760" s="680"/>
      <c r="AO760" s="680"/>
      <c r="AP760" s="680"/>
      <c r="AQ760" s="680"/>
      <c r="AR760" s="680"/>
      <c r="AS760" s="680"/>
      <c r="AT760" s="680"/>
      <c r="AU760" s="680"/>
      <c r="AV760" s="680"/>
      <c r="AW760" s="680"/>
      <c r="AX760" s="680"/>
      <c r="AY760" s="680"/>
    </row>
    <row r="761" spans="26:51" ht="12" customHeight="1" x14ac:dyDescent="0.2">
      <c r="Z761" s="680"/>
      <c r="AB761" s="680"/>
      <c r="AC761" s="1822"/>
      <c r="AD761" s="1822"/>
      <c r="AE761" s="1822"/>
      <c r="AF761" s="1822"/>
      <c r="AG761" s="1822"/>
      <c r="AH761" s="1822"/>
      <c r="AI761" s="1822"/>
      <c r="AJ761" s="1822"/>
      <c r="AK761" s="1822"/>
      <c r="AL761" s="1822"/>
      <c r="AM761" s="680"/>
      <c r="AN761" s="680"/>
      <c r="AO761" s="680"/>
      <c r="AP761" s="680"/>
      <c r="AQ761" s="680"/>
      <c r="AR761" s="680"/>
      <c r="AS761" s="680"/>
      <c r="AT761" s="680"/>
      <c r="AU761" s="680"/>
      <c r="AV761" s="680"/>
      <c r="AW761" s="680"/>
      <c r="AX761" s="680"/>
      <c r="AY761" s="680"/>
    </row>
    <row r="762" spans="26:51" ht="12" customHeight="1" x14ac:dyDescent="0.2">
      <c r="Z762" s="680"/>
      <c r="AB762" s="680"/>
      <c r="AC762" s="1822"/>
      <c r="AD762" s="1822"/>
      <c r="AE762" s="1822"/>
      <c r="AF762" s="1822"/>
      <c r="AG762" s="1822"/>
      <c r="AH762" s="1822"/>
      <c r="AI762" s="1822"/>
      <c r="AJ762" s="1822"/>
      <c r="AK762" s="1822"/>
      <c r="AL762" s="1822"/>
      <c r="AM762" s="680"/>
      <c r="AN762" s="680"/>
      <c r="AO762" s="680"/>
      <c r="AP762" s="680"/>
      <c r="AQ762" s="680"/>
      <c r="AR762" s="680"/>
      <c r="AS762" s="680"/>
      <c r="AT762" s="680"/>
      <c r="AU762" s="680"/>
      <c r="AV762" s="680"/>
      <c r="AW762" s="680"/>
      <c r="AX762" s="680"/>
      <c r="AY762" s="680"/>
    </row>
    <row r="763" spans="26:51" ht="12" customHeight="1" x14ac:dyDescent="0.2">
      <c r="Z763" s="680"/>
      <c r="AB763" s="680"/>
      <c r="AC763" s="1822"/>
      <c r="AD763" s="1822"/>
      <c r="AE763" s="1822"/>
      <c r="AF763" s="1822"/>
      <c r="AG763" s="1822"/>
      <c r="AH763" s="1822"/>
      <c r="AI763" s="1822"/>
      <c r="AJ763" s="1822"/>
      <c r="AK763" s="1822"/>
      <c r="AL763" s="1822"/>
      <c r="AM763" s="680"/>
      <c r="AN763" s="680"/>
      <c r="AO763" s="680"/>
      <c r="AP763" s="680"/>
      <c r="AQ763" s="680"/>
      <c r="AR763" s="680"/>
      <c r="AS763" s="680"/>
      <c r="AT763" s="680"/>
      <c r="AU763" s="680"/>
      <c r="AV763" s="680"/>
      <c r="AW763" s="680"/>
      <c r="AX763" s="680"/>
      <c r="AY763" s="680"/>
    </row>
    <row r="764" spans="26:51" ht="12" customHeight="1" x14ac:dyDescent="0.2">
      <c r="Z764" s="680"/>
      <c r="AB764" s="680"/>
      <c r="AC764" s="1822"/>
      <c r="AD764" s="1822"/>
      <c r="AE764" s="1822"/>
      <c r="AF764" s="1822"/>
      <c r="AG764" s="1822"/>
      <c r="AH764" s="1822"/>
      <c r="AI764" s="1822"/>
      <c r="AJ764" s="1822"/>
      <c r="AK764" s="1822"/>
      <c r="AL764" s="1822"/>
      <c r="AM764" s="680"/>
      <c r="AN764" s="680"/>
      <c r="AO764" s="680"/>
      <c r="AP764" s="680"/>
      <c r="AQ764" s="680"/>
      <c r="AR764" s="680"/>
      <c r="AS764" s="680"/>
      <c r="AT764" s="680"/>
      <c r="AU764" s="680"/>
      <c r="AV764" s="680"/>
      <c r="AW764" s="680"/>
      <c r="AX764" s="680"/>
      <c r="AY764" s="680"/>
    </row>
    <row r="765" spans="26:51" ht="12" customHeight="1" x14ac:dyDescent="0.2">
      <c r="Z765" s="680"/>
      <c r="AB765" s="680"/>
      <c r="AC765" s="1822"/>
      <c r="AD765" s="1822"/>
      <c r="AE765" s="1822"/>
      <c r="AF765" s="1822"/>
      <c r="AG765" s="1822"/>
      <c r="AH765" s="1822"/>
      <c r="AI765" s="1822"/>
      <c r="AJ765" s="1822"/>
      <c r="AK765" s="1822"/>
      <c r="AL765" s="1822"/>
      <c r="AM765" s="680"/>
      <c r="AN765" s="680"/>
      <c r="AO765" s="680"/>
      <c r="AP765" s="680"/>
      <c r="AQ765" s="680"/>
      <c r="AR765" s="680"/>
      <c r="AS765" s="680"/>
      <c r="AT765" s="680"/>
      <c r="AU765" s="680"/>
      <c r="AV765" s="680"/>
      <c r="AW765" s="680"/>
      <c r="AX765" s="680"/>
      <c r="AY765" s="680"/>
    </row>
    <row r="766" spans="26:51" ht="12" customHeight="1" x14ac:dyDescent="0.2">
      <c r="Z766" s="680"/>
      <c r="AB766" s="680"/>
      <c r="AC766" s="1822"/>
      <c r="AD766" s="1822"/>
      <c r="AE766" s="1822"/>
      <c r="AF766" s="1822"/>
      <c r="AG766" s="1822"/>
      <c r="AH766" s="1822"/>
      <c r="AI766" s="1822"/>
      <c r="AJ766" s="1822"/>
      <c r="AK766" s="1822"/>
      <c r="AL766" s="1822"/>
      <c r="AM766" s="680"/>
      <c r="AN766" s="680"/>
      <c r="AO766" s="680"/>
      <c r="AP766" s="680"/>
      <c r="AQ766" s="680"/>
      <c r="AR766" s="680"/>
      <c r="AS766" s="680"/>
      <c r="AT766" s="680"/>
      <c r="AU766" s="680"/>
      <c r="AV766" s="680"/>
      <c r="AW766" s="680"/>
      <c r="AX766" s="680"/>
      <c r="AY766" s="680"/>
    </row>
    <row r="767" spans="26:51" ht="12" customHeight="1" x14ac:dyDescent="0.2">
      <c r="Z767" s="680"/>
      <c r="AB767" s="680"/>
      <c r="AC767" s="1822"/>
      <c r="AD767" s="1822"/>
      <c r="AE767" s="1822"/>
      <c r="AF767" s="1822"/>
      <c r="AG767" s="1822"/>
      <c r="AH767" s="1822"/>
      <c r="AI767" s="1822"/>
      <c r="AJ767" s="1822"/>
      <c r="AK767" s="1822"/>
      <c r="AL767" s="1822"/>
      <c r="AM767" s="680"/>
      <c r="AN767" s="680"/>
      <c r="AO767" s="680"/>
      <c r="AP767" s="680"/>
      <c r="AQ767" s="680"/>
      <c r="AR767" s="680"/>
      <c r="AS767" s="680"/>
      <c r="AT767" s="680"/>
      <c r="AU767" s="680"/>
      <c r="AV767" s="680"/>
      <c r="AW767" s="680"/>
      <c r="AX767" s="680"/>
      <c r="AY767" s="680"/>
    </row>
    <row r="768" spans="26:51" ht="12" customHeight="1" x14ac:dyDescent="0.2">
      <c r="Z768" s="680"/>
      <c r="AB768" s="680"/>
      <c r="AC768" s="1822"/>
      <c r="AD768" s="1822"/>
      <c r="AE768" s="1822"/>
      <c r="AF768" s="1822"/>
      <c r="AG768" s="1822"/>
      <c r="AH768" s="1822"/>
      <c r="AI768" s="1822"/>
      <c r="AJ768" s="1822"/>
      <c r="AK768" s="1822"/>
      <c r="AL768" s="1822"/>
      <c r="AM768" s="680"/>
      <c r="AN768" s="680"/>
      <c r="AO768" s="680"/>
      <c r="AP768" s="680"/>
      <c r="AQ768" s="680"/>
      <c r="AR768" s="680"/>
      <c r="AS768" s="680"/>
      <c r="AT768" s="680"/>
      <c r="AU768" s="680"/>
      <c r="AV768" s="680"/>
      <c r="AW768" s="680"/>
      <c r="AX768" s="680"/>
      <c r="AY768" s="680"/>
    </row>
    <row r="769" spans="26:51" ht="12" customHeight="1" x14ac:dyDescent="0.2">
      <c r="Z769" s="680"/>
      <c r="AB769" s="680"/>
      <c r="AC769" s="1822"/>
      <c r="AD769" s="1822"/>
      <c r="AE769" s="1822"/>
      <c r="AF769" s="1822"/>
      <c r="AG769" s="1822"/>
      <c r="AH769" s="1822"/>
      <c r="AI769" s="1822"/>
      <c r="AJ769" s="1822"/>
      <c r="AK769" s="1822"/>
      <c r="AL769" s="1822"/>
      <c r="AM769" s="680"/>
      <c r="AN769" s="680"/>
      <c r="AO769" s="680"/>
      <c r="AP769" s="680"/>
      <c r="AQ769" s="680"/>
      <c r="AR769" s="680"/>
      <c r="AS769" s="680"/>
      <c r="AT769" s="680"/>
      <c r="AU769" s="680"/>
      <c r="AV769" s="680"/>
      <c r="AW769" s="680"/>
      <c r="AX769" s="680"/>
      <c r="AY769" s="680"/>
    </row>
    <row r="770" spans="26:51" ht="12" customHeight="1" x14ac:dyDescent="0.2">
      <c r="Z770" s="680"/>
      <c r="AB770" s="680"/>
      <c r="AC770" s="1822"/>
      <c r="AD770" s="1822"/>
      <c r="AE770" s="1822"/>
      <c r="AF770" s="1822"/>
      <c r="AG770" s="1822"/>
      <c r="AH770" s="1822"/>
      <c r="AI770" s="1822"/>
      <c r="AJ770" s="1822"/>
      <c r="AK770" s="1822"/>
      <c r="AL770" s="1822"/>
      <c r="AM770" s="680"/>
      <c r="AN770" s="680"/>
      <c r="AO770" s="680"/>
      <c r="AP770" s="680"/>
      <c r="AQ770" s="680"/>
      <c r="AR770" s="680"/>
      <c r="AS770" s="680"/>
      <c r="AT770" s="680"/>
      <c r="AU770" s="680"/>
      <c r="AV770" s="680"/>
      <c r="AW770" s="680"/>
      <c r="AX770" s="680"/>
      <c r="AY770" s="680"/>
    </row>
    <row r="771" spans="26:51" ht="12" customHeight="1" x14ac:dyDescent="0.2">
      <c r="Z771" s="680"/>
      <c r="AB771" s="680"/>
      <c r="AC771" s="1822"/>
      <c r="AD771" s="1822"/>
      <c r="AE771" s="1822"/>
      <c r="AF771" s="1822"/>
      <c r="AG771" s="1822"/>
      <c r="AH771" s="1822"/>
      <c r="AI771" s="1822"/>
      <c r="AJ771" s="1822"/>
      <c r="AK771" s="1822"/>
      <c r="AL771" s="1822"/>
      <c r="AM771" s="680"/>
      <c r="AN771" s="680"/>
      <c r="AO771" s="680"/>
      <c r="AP771" s="680"/>
      <c r="AQ771" s="680"/>
      <c r="AR771" s="680"/>
      <c r="AS771" s="680"/>
      <c r="AT771" s="680"/>
      <c r="AU771" s="680"/>
      <c r="AV771" s="680"/>
      <c r="AW771" s="680"/>
      <c r="AX771" s="680"/>
      <c r="AY771" s="680"/>
    </row>
    <row r="772" spans="26:51" ht="12" customHeight="1" x14ac:dyDescent="0.2">
      <c r="Z772" s="680"/>
      <c r="AB772" s="680"/>
      <c r="AC772" s="1822"/>
      <c r="AD772" s="1822"/>
      <c r="AE772" s="1822"/>
      <c r="AF772" s="1822"/>
      <c r="AG772" s="1822"/>
      <c r="AH772" s="1822"/>
      <c r="AI772" s="1822"/>
      <c r="AJ772" s="1822"/>
      <c r="AK772" s="1822"/>
      <c r="AL772" s="1822"/>
      <c r="AM772" s="680"/>
      <c r="AN772" s="680"/>
      <c r="AO772" s="680"/>
      <c r="AP772" s="680"/>
      <c r="AQ772" s="680"/>
      <c r="AR772" s="680"/>
      <c r="AS772" s="680"/>
      <c r="AT772" s="680"/>
      <c r="AU772" s="680"/>
      <c r="AV772" s="680"/>
      <c r="AW772" s="680"/>
      <c r="AX772" s="680"/>
      <c r="AY772" s="680"/>
    </row>
    <row r="773" spans="26:51" ht="12" customHeight="1" x14ac:dyDescent="0.2">
      <c r="Z773" s="680"/>
      <c r="AB773" s="680"/>
      <c r="AC773" s="1822"/>
      <c r="AD773" s="1822"/>
      <c r="AE773" s="1822"/>
      <c r="AF773" s="1822"/>
      <c r="AG773" s="1822"/>
      <c r="AH773" s="1822"/>
      <c r="AI773" s="1822"/>
      <c r="AJ773" s="1822"/>
      <c r="AK773" s="1822"/>
      <c r="AL773" s="1822"/>
      <c r="AM773" s="680"/>
      <c r="AN773" s="680"/>
      <c r="AO773" s="680"/>
      <c r="AP773" s="680"/>
      <c r="AQ773" s="680"/>
      <c r="AR773" s="680"/>
      <c r="AS773" s="680"/>
      <c r="AT773" s="680"/>
      <c r="AU773" s="680"/>
      <c r="AV773" s="680"/>
      <c r="AW773" s="680"/>
      <c r="AX773" s="680"/>
      <c r="AY773" s="680"/>
    </row>
    <row r="774" spans="26:51" ht="12" customHeight="1" x14ac:dyDescent="0.2">
      <c r="Z774" s="680"/>
      <c r="AB774" s="680"/>
      <c r="AC774" s="1822"/>
      <c r="AD774" s="1822"/>
      <c r="AE774" s="1822"/>
      <c r="AF774" s="1822"/>
      <c r="AG774" s="1822"/>
      <c r="AH774" s="1822"/>
      <c r="AI774" s="1822"/>
      <c r="AJ774" s="1822"/>
      <c r="AK774" s="1822"/>
      <c r="AL774" s="1822"/>
      <c r="AM774" s="680"/>
      <c r="AN774" s="680"/>
      <c r="AO774" s="680"/>
      <c r="AP774" s="680"/>
      <c r="AQ774" s="680"/>
      <c r="AR774" s="680"/>
      <c r="AS774" s="680"/>
      <c r="AT774" s="680"/>
      <c r="AU774" s="680"/>
      <c r="AV774" s="680"/>
      <c r="AW774" s="680"/>
      <c r="AX774" s="680"/>
      <c r="AY774" s="680"/>
    </row>
    <row r="775" spans="26:51" ht="12" customHeight="1" x14ac:dyDescent="0.2">
      <c r="Z775" s="680"/>
      <c r="AB775" s="680"/>
      <c r="AC775" s="1822"/>
      <c r="AD775" s="1822"/>
      <c r="AE775" s="1822"/>
      <c r="AF775" s="1822"/>
      <c r="AG775" s="1822"/>
      <c r="AH775" s="1822"/>
      <c r="AI775" s="1822"/>
      <c r="AJ775" s="1822"/>
      <c r="AK775" s="1822"/>
      <c r="AL775" s="1822"/>
      <c r="AM775" s="680"/>
      <c r="AN775" s="680"/>
      <c r="AO775" s="680"/>
      <c r="AP775" s="680"/>
      <c r="AQ775" s="680"/>
      <c r="AR775" s="680"/>
      <c r="AS775" s="680"/>
      <c r="AT775" s="680"/>
      <c r="AU775" s="680"/>
      <c r="AV775" s="680"/>
      <c r="AW775" s="680"/>
      <c r="AX775" s="680"/>
      <c r="AY775" s="680"/>
    </row>
    <row r="776" spans="26:51" ht="12" customHeight="1" x14ac:dyDescent="0.2">
      <c r="Z776" s="680"/>
      <c r="AB776" s="680"/>
      <c r="AC776" s="1822"/>
      <c r="AD776" s="1822"/>
      <c r="AE776" s="1822"/>
      <c r="AF776" s="1822"/>
      <c r="AG776" s="1822"/>
      <c r="AH776" s="1822"/>
      <c r="AI776" s="1822"/>
      <c r="AJ776" s="1822"/>
      <c r="AK776" s="1822"/>
      <c r="AL776" s="1822"/>
      <c r="AM776" s="680"/>
      <c r="AN776" s="680"/>
      <c r="AO776" s="680"/>
      <c r="AP776" s="680"/>
      <c r="AQ776" s="680"/>
      <c r="AR776" s="680"/>
      <c r="AS776" s="680"/>
      <c r="AT776" s="680"/>
      <c r="AU776" s="680"/>
      <c r="AV776" s="680"/>
      <c r="AW776" s="680"/>
      <c r="AX776" s="680"/>
      <c r="AY776" s="680"/>
    </row>
    <row r="777" spans="26:51" ht="12" customHeight="1" x14ac:dyDescent="0.2">
      <c r="Z777" s="680"/>
      <c r="AB777" s="680"/>
      <c r="AC777" s="1822"/>
      <c r="AD777" s="1822"/>
      <c r="AE777" s="1822"/>
      <c r="AF777" s="1822"/>
      <c r="AG777" s="1822"/>
      <c r="AH777" s="1822"/>
      <c r="AI777" s="1822"/>
      <c r="AJ777" s="1822"/>
      <c r="AK777" s="1822"/>
      <c r="AL777" s="1822"/>
      <c r="AM777" s="680"/>
      <c r="AN777" s="680"/>
      <c r="AO777" s="680"/>
      <c r="AP777" s="680"/>
      <c r="AQ777" s="680"/>
      <c r="AR777" s="680"/>
      <c r="AS777" s="680"/>
      <c r="AT777" s="680"/>
      <c r="AU777" s="680"/>
      <c r="AV777" s="680"/>
      <c r="AW777" s="680"/>
      <c r="AX777" s="680"/>
      <c r="AY777" s="680"/>
    </row>
    <row r="778" spans="26:51" ht="12" customHeight="1" x14ac:dyDescent="0.2">
      <c r="Z778" s="680"/>
      <c r="AB778" s="680"/>
      <c r="AC778" s="1822"/>
      <c r="AD778" s="1822"/>
      <c r="AE778" s="1822"/>
      <c r="AF778" s="1822"/>
      <c r="AG778" s="1822"/>
      <c r="AH778" s="1822"/>
      <c r="AI778" s="1822"/>
      <c r="AJ778" s="1822"/>
      <c r="AK778" s="1822"/>
      <c r="AL778" s="1822"/>
      <c r="AM778" s="680"/>
      <c r="AN778" s="680"/>
      <c r="AO778" s="680"/>
      <c r="AP778" s="680"/>
      <c r="AQ778" s="680"/>
      <c r="AR778" s="680"/>
      <c r="AS778" s="680"/>
      <c r="AT778" s="680"/>
      <c r="AU778" s="680"/>
      <c r="AV778" s="680"/>
      <c r="AW778" s="680"/>
      <c r="AX778" s="680"/>
      <c r="AY778" s="680"/>
    </row>
    <row r="779" spans="26:51" ht="12" customHeight="1" x14ac:dyDescent="0.2">
      <c r="Z779" s="680"/>
      <c r="AB779" s="680"/>
      <c r="AC779" s="1822"/>
      <c r="AD779" s="1822"/>
      <c r="AE779" s="1822"/>
      <c r="AF779" s="1822"/>
      <c r="AG779" s="1822"/>
      <c r="AH779" s="1822"/>
      <c r="AI779" s="1822"/>
      <c r="AJ779" s="1822"/>
      <c r="AK779" s="1822"/>
      <c r="AL779" s="1822"/>
      <c r="AM779" s="680"/>
      <c r="AN779" s="680"/>
      <c r="AO779" s="680"/>
      <c r="AP779" s="680"/>
      <c r="AQ779" s="680"/>
      <c r="AR779" s="680"/>
      <c r="AS779" s="680"/>
      <c r="AT779" s="680"/>
      <c r="AU779" s="680"/>
      <c r="AV779" s="680"/>
      <c r="AW779" s="680"/>
      <c r="AX779" s="680"/>
      <c r="AY779" s="680"/>
    </row>
    <row r="780" spans="26:51" ht="12" customHeight="1" x14ac:dyDescent="0.2">
      <c r="Z780" s="680"/>
      <c r="AB780" s="680"/>
      <c r="AC780" s="1822"/>
      <c r="AD780" s="1822"/>
      <c r="AE780" s="1822"/>
      <c r="AF780" s="1822"/>
      <c r="AG780" s="1822"/>
      <c r="AH780" s="1822"/>
      <c r="AI780" s="1822"/>
      <c r="AJ780" s="1822"/>
      <c r="AK780" s="1822"/>
      <c r="AL780" s="1822"/>
      <c r="AM780" s="680"/>
      <c r="AN780" s="680"/>
      <c r="AO780" s="680"/>
      <c r="AP780" s="680"/>
      <c r="AQ780" s="680"/>
      <c r="AR780" s="680"/>
      <c r="AS780" s="680"/>
      <c r="AT780" s="680"/>
      <c r="AU780" s="680"/>
      <c r="AV780" s="680"/>
      <c r="AW780" s="680"/>
      <c r="AX780" s="680"/>
      <c r="AY780" s="680"/>
    </row>
    <row r="781" spans="26:51" ht="12" customHeight="1" x14ac:dyDescent="0.2">
      <c r="Z781" s="680"/>
      <c r="AB781" s="680"/>
      <c r="AC781" s="1822"/>
      <c r="AD781" s="1822"/>
      <c r="AE781" s="1822"/>
      <c r="AF781" s="1822"/>
      <c r="AG781" s="1822"/>
      <c r="AH781" s="1822"/>
      <c r="AI781" s="1822"/>
      <c r="AJ781" s="1822"/>
      <c r="AK781" s="1822"/>
      <c r="AL781" s="1822"/>
      <c r="AM781" s="680"/>
      <c r="AN781" s="680"/>
      <c r="AO781" s="680"/>
      <c r="AP781" s="680"/>
      <c r="AQ781" s="680"/>
      <c r="AR781" s="680"/>
      <c r="AS781" s="680"/>
      <c r="AT781" s="680"/>
      <c r="AU781" s="680"/>
      <c r="AV781" s="680"/>
      <c r="AW781" s="680"/>
      <c r="AX781" s="680"/>
      <c r="AY781" s="680"/>
    </row>
    <row r="782" spans="26:51" ht="12" customHeight="1" x14ac:dyDescent="0.2">
      <c r="Z782" s="680"/>
      <c r="AB782" s="680"/>
      <c r="AC782" s="1822"/>
      <c r="AD782" s="1822"/>
      <c r="AE782" s="1822"/>
      <c r="AF782" s="1822"/>
      <c r="AG782" s="1822"/>
      <c r="AH782" s="1822"/>
      <c r="AI782" s="1822"/>
      <c r="AJ782" s="1822"/>
      <c r="AK782" s="1822"/>
      <c r="AL782" s="1822"/>
      <c r="AM782" s="680"/>
      <c r="AN782" s="680"/>
      <c r="AO782" s="680"/>
      <c r="AP782" s="680"/>
      <c r="AQ782" s="680"/>
      <c r="AR782" s="680"/>
      <c r="AS782" s="680"/>
      <c r="AT782" s="680"/>
      <c r="AU782" s="680"/>
      <c r="AV782" s="680"/>
      <c r="AW782" s="680"/>
      <c r="AX782" s="680"/>
      <c r="AY782" s="680"/>
    </row>
    <row r="783" spans="26:51" ht="12" customHeight="1" x14ac:dyDescent="0.2">
      <c r="Z783" s="680"/>
      <c r="AB783" s="680"/>
      <c r="AC783" s="1822"/>
      <c r="AD783" s="1822"/>
      <c r="AE783" s="1822"/>
      <c r="AF783" s="1822"/>
      <c r="AG783" s="1822"/>
      <c r="AH783" s="1822"/>
      <c r="AI783" s="1822"/>
      <c r="AJ783" s="1822"/>
      <c r="AK783" s="1822"/>
      <c r="AL783" s="1822"/>
      <c r="AM783" s="680"/>
      <c r="AN783" s="680"/>
      <c r="AO783" s="680"/>
      <c r="AP783" s="680"/>
      <c r="AQ783" s="680"/>
      <c r="AR783" s="680"/>
      <c r="AS783" s="680"/>
      <c r="AT783" s="680"/>
      <c r="AU783" s="680"/>
      <c r="AV783" s="680"/>
      <c r="AW783" s="680"/>
      <c r="AX783" s="680"/>
      <c r="AY783" s="680"/>
    </row>
    <row r="784" spans="26:51" ht="12" customHeight="1" x14ac:dyDescent="0.2">
      <c r="Z784" s="680"/>
      <c r="AB784" s="680"/>
      <c r="AC784" s="1822"/>
      <c r="AD784" s="1822"/>
      <c r="AE784" s="1822"/>
      <c r="AF784" s="1822"/>
      <c r="AG784" s="1822"/>
      <c r="AH784" s="1822"/>
      <c r="AI784" s="1822"/>
      <c r="AJ784" s="1822"/>
      <c r="AK784" s="1822"/>
      <c r="AL784" s="1822"/>
      <c r="AM784" s="680"/>
      <c r="AN784" s="680"/>
      <c r="AO784" s="680"/>
      <c r="AP784" s="680"/>
      <c r="AQ784" s="680"/>
      <c r="AR784" s="680"/>
      <c r="AS784" s="680"/>
      <c r="AT784" s="680"/>
      <c r="AU784" s="680"/>
      <c r="AV784" s="680"/>
      <c r="AW784" s="680"/>
      <c r="AX784" s="680"/>
      <c r="AY784" s="680"/>
    </row>
    <row r="785" spans="26:51" ht="12" customHeight="1" x14ac:dyDescent="0.2">
      <c r="Z785" s="680"/>
      <c r="AB785" s="680"/>
      <c r="AC785" s="1822"/>
      <c r="AD785" s="1822"/>
      <c r="AE785" s="1822"/>
      <c r="AF785" s="1822"/>
      <c r="AG785" s="1822"/>
      <c r="AH785" s="1822"/>
      <c r="AI785" s="1822"/>
      <c r="AJ785" s="1822"/>
      <c r="AK785" s="1822"/>
      <c r="AL785" s="1822"/>
      <c r="AM785" s="680"/>
      <c r="AN785" s="680"/>
      <c r="AO785" s="680"/>
      <c r="AP785" s="680"/>
      <c r="AQ785" s="680"/>
      <c r="AR785" s="680"/>
      <c r="AS785" s="680"/>
      <c r="AT785" s="680"/>
      <c r="AU785" s="680"/>
      <c r="AV785" s="680"/>
      <c r="AW785" s="680"/>
      <c r="AX785" s="680"/>
      <c r="AY785" s="680"/>
    </row>
    <row r="786" spans="26:51" ht="12" customHeight="1" x14ac:dyDescent="0.2">
      <c r="Z786" s="680"/>
      <c r="AB786" s="680"/>
      <c r="AC786" s="1822"/>
      <c r="AD786" s="1822"/>
      <c r="AE786" s="1822"/>
      <c r="AF786" s="1822"/>
      <c r="AG786" s="1822"/>
      <c r="AH786" s="1822"/>
      <c r="AI786" s="1822"/>
      <c r="AJ786" s="1822"/>
      <c r="AK786" s="1822"/>
      <c r="AL786" s="1822"/>
      <c r="AM786" s="680"/>
      <c r="AN786" s="680"/>
      <c r="AO786" s="680"/>
      <c r="AP786" s="680"/>
      <c r="AQ786" s="680"/>
      <c r="AR786" s="680"/>
      <c r="AS786" s="680"/>
      <c r="AT786" s="680"/>
      <c r="AU786" s="680"/>
      <c r="AV786" s="680"/>
      <c r="AW786" s="680"/>
      <c r="AX786" s="680"/>
      <c r="AY786" s="680"/>
    </row>
    <row r="787" spans="26:51" ht="12" customHeight="1" x14ac:dyDescent="0.2">
      <c r="Z787" s="680"/>
      <c r="AB787" s="680"/>
      <c r="AC787" s="1822"/>
      <c r="AD787" s="1822"/>
      <c r="AE787" s="1822"/>
      <c r="AF787" s="1822"/>
      <c r="AG787" s="1822"/>
      <c r="AH787" s="1822"/>
      <c r="AI787" s="1822"/>
      <c r="AJ787" s="1822"/>
      <c r="AK787" s="1822"/>
      <c r="AL787" s="1822"/>
      <c r="AM787" s="680"/>
      <c r="AN787" s="680"/>
      <c r="AO787" s="680"/>
      <c r="AP787" s="680"/>
      <c r="AQ787" s="680"/>
      <c r="AR787" s="680"/>
      <c r="AS787" s="680"/>
      <c r="AT787" s="680"/>
      <c r="AU787" s="680"/>
      <c r="AV787" s="680"/>
      <c r="AW787" s="680"/>
      <c r="AX787" s="680"/>
      <c r="AY787" s="680"/>
    </row>
    <row r="788" spans="26:51" ht="12" customHeight="1" x14ac:dyDescent="0.2">
      <c r="Z788" s="680"/>
      <c r="AB788" s="680"/>
      <c r="AC788" s="1822"/>
      <c r="AD788" s="1822"/>
      <c r="AE788" s="1822"/>
      <c r="AF788" s="1822"/>
      <c r="AG788" s="1822"/>
      <c r="AH788" s="1822"/>
      <c r="AI788" s="1822"/>
      <c r="AJ788" s="1822"/>
      <c r="AK788" s="1822"/>
      <c r="AL788" s="1822"/>
      <c r="AM788" s="680"/>
      <c r="AN788" s="680"/>
      <c r="AO788" s="680"/>
      <c r="AP788" s="680"/>
      <c r="AQ788" s="680"/>
      <c r="AR788" s="680"/>
      <c r="AS788" s="680"/>
      <c r="AT788" s="680"/>
      <c r="AU788" s="680"/>
      <c r="AV788" s="680"/>
      <c r="AW788" s="680"/>
      <c r="AX788" s="680"/>
      <c r="AY788" s="680"/>
    </row>
    <row r="789" spans="26:51" ht="12" customHeight="1" x14ac:dyDescent="0.2">
      <c r="Z789" s="680"/>
      <c r="AB789" s="680"/>
      <c r="AC789" s="1822"/>
      <c r="AD789" s="1822"/>
      <c r="AE789" s="1822"/>
      <c r="AF789" s="1822"/>
      <c r="AG789" s="1822"/>
      <c r="AH789" s="1822"/>
      <c r="AI789" s="1822"/>
      <c r="AJ789" s="1822"/>
      <c r="AK789" s="1822"/>
      <c r="AL789" s="1822"/>
      <c r="AM789" s="680"/>
      <c r="AN789" s="680"/>
      <c r="AO789" s="680"/>
      <c r="AP789" s="680"/>
      <c r="AQ789" s="680"/>
      <c r="AR789" s="680"/>
      <c r="AS789" s="680"/>
      <c r="AT789" s="680"/>
      <c r="AU789" s="680"/>
      <c r="AV789" s="680"/>
      <c r="AW789" s="680"/>
      <c r="AX789" s="680"/>
      <c r="AY789" s="680"/>
    </row>
    <row r="790" spans="26:51" ht="12" customHeight="1" x14ac:dyDescent="0.2">
      <c r="Z790" s="680"/>
      <c r="AB790" s="680"/>
      <c r="AC790" s="1822"/>
      <c r="AD790" s="1822"/>
      <c r="AE790" s="1822"/>
      <c r="AF790" s="1822"/>
      <c r="AG790" s="1822"/>
      <c r="AH790" s="1822"/>
      <c r="AI790" s="1822"/>
      <c r="AJ790" s="1822"/>
      <c r="AK790" s="1822"/>
      <c r="AL790" s="1822"/>
      <c r="AM790" s="680"/>
      <c r="AN790" s="680"/>
      <c r="AO790" s="680"/>
      <c r="AP790" s="680"/>
      <c r="AQ790" s="680"/>
      <c r="AR790" s="680"/>
      <c r="AS790" s="680"/>
      <c r="AT790" s="680"/>
      <c r="AU790" s="680"/>
      <c r="AV790" s="680"/>
      <c r="AW790" s="680"/>
      <c r="AX790" s="680"/>
      <c r="AY790" s="680"/>
    </row>
    <row r="791" spans="26:51" ht="12" customHeight="1" x14ac:dyDescent="0.2">
      <c r="Z791" s="680"/>
      <c r="AB791" s="680"/>
      <c r="AC791" s="1822"/>
      <c r="AD791" s="1822"/>
      <c r="AE791" s="1822"/>
      <c r="AF791" s="1822"/>
      <c r="AG791" s="1822"/>
      <c r="AH791" s="1822"/>
      <c r="AI791" s="1822"/>
      <c r="AJ791" s="1822"/>
      <c r="AK791" s="1822"/>
      <c r="AL791" s="1822"/>
      <c r="AM791" s="680"/>
      <c r="AN791" s="680"/>
      <c r="AO791" s="680"/>
      <c r="AP791" s="680"/>
      <c r="AQ791" s="680"/>
      <c r="AR791" s="680"/>
      <c r="AS791" s="680"/>
      <c r="AT791" s="680"/>
      <c r="AU791" s="680"/>
      <c r="AV791" s="680"/>
      <c r="AW791" s="680"/>
      <c r="AX791" s="680"/>
      <c r="AY791" s="680"/>
    </row>
    <row r="792" spans="26:51" ht="12" customHeight="1" x14ac:dyDescent="0.2">
      <c r="Z792" s="680"/>
      <c r="AB792" s="680"/>
      <c r="AC792" s="1822"/>
      <c r="AD792" s="1822"/>
      <c r="AE792" s="1822"/>
      <c r="AF792" s="1822"/>
      <c r="AG792" s="1822"/>
      <c r="AH792" s="1822"/>
      <c r="AI792" s="1822"/>
      <c r="AJ792" s="1822"/>
      <c r="AK792" s="1822"/>
      <c r="AL792" s="1822"/>
      <c r="AM792" s="680"/>
      <c r="AN792" s="680"/>
      <c r="AO792" s="680"/>
      <c r="AP792" s="680"/>
      <c r="AQ792" s="680"/>
      <c r="AR792" s="680"/>
      <c r="AS792" s="680"/>
      <c r="AT792" s="680"/>
      <c r="AU792" s="680"/>
      <c r="AV792" s="680"/>
      <c r="AW792" s="680"/>
      <c r="AX792" s="680"/>
      <c r="AY792" s="680"/>
    </row>
    <row r="793" spans="26:51" ht="12" customHeight="1" x14ac:dyDescent="0.2">
      <c r="Z793" s="680"/>
      <c r="AB793" s="680"/>
      <c r="AC793" s="1822"/>
      <c r="AD793" s="1822"/>
      <c r="AE793" s="1822"/>
      <c r="AF793" s="1822"/>
      <c r="AG793" s="1822"/>
      <c r="AH793" s="1822"/>
      <c r="AI793" s="1822"/>
      <c r="AJ793" s="1822"/>
      <c r="AK793" s="1822"/>
      <c r="AL793" s="1822"/>
      <c r="AM793" s="680"/>
      <c r="AN793" s="680"/>
      <c r="AO793" s="680"/>
      <c r="AP793" s="680"/>
      <c r="AQ793" s="680"/>
      <c r="AR793" s="680"/>
      <c r="AS793" s="680"/>
      <c r="AT793" s="680"/>
      <c r="AU793" s="680"/>
      <c r="AV793" s="680"/>
      <c r="AW793" s="680"/>
      <c r="AX793" s="680"/>
      <c r="AY793" s="680"/>
    </row>
    <row r="794" spans="26:51" ht="12" customHeight="1" x14ac:dyDescent="0.2">
      <c r="Z794" s="680"/>
      <c r="AB794" s="680"/>
      <c r="AC794" s="1822"/>
      <c r="AD794" s="1822"/>
      <c r="AE794" s="1822"/>
      <c r="AF794" s="1822"/>
      <c r="AG794" s="1822"/>
      <c r="AH794" s="1822"/>
      <c r="AI794" s="1822"/>
      <c r="AJ794" s="1822"/>
      <c r="AK794" s="1822"/>
      <c r="AL794" s="1822"/>
      <c r="AM794" s="680"/>
      <c r="AN794" s="680"/>
      <c r="AO794" s="680"/>
      <c r="AP794" s="680"/>
      <c r="AQ794" s="680"/>
      <c r="AR794" s="680"/>
      <c r="AS794" s="680"/>
      <c r="AT794" s="680"/>
      <c r="AU794" s="680"/>
      <c r="AV794" s="680"/>
      <c r="AW794" s="680"/>
      <c r="AX794" s="680"/>
      <c r="AY794" s="680"/>
    </row>
    <row r="795" spans="26:51" ht="12" customHeight="1" x14ac:dyDescent="0.2">
      <c r="Z795" s="680"/>
      <c r="AB795" s="680"/>
      <c r="AC795" s="1822"/>
      <c r="AD795" s="1822"/>
      <c r="AE795" s="1822"/>
      <c r="AF795" s="1822"/>
      <c r="AG795" s="1822"/>
      <c r="AH795" s="1822"/>
      <c r="AI795" s="1822"/>
      <c r="AJ795" s="1822"/>
      <c r="AK795" s="1822"/>
      <c r="AL795" s="1822"/>
      <c r="AM795" s="680"/>
      <c r="AN795" s="680"/>
      <c r="AO795" s="680"/>
      <c r="AP795" s="680"/>
      <c r="AQ795" s="680"/>
      <c r="AR795" s="680"/>
      <c r="AS795" s="680"/>
      <c r="AT795" s="680"/>
      <c r="AU795" s="680"/>
      <c r="AV795" s="680"/>
      <c r="AW795" s="680"/>
      <c r="AX795" s="680"/>
      <c r="AY795" s="680"/>
    </row>
    <row r="796" spans="26:51" ht="12" customHeight="1" x14ac:dyDescent="0.2">
      <c r="Z796" s="680"/>
      <c r="AB796" s="680"/>
      <c r="AC796" s="1822"/>
      <c r="AD796" s="1822"/>
      <c r="AE796" s="1822"/>
      <c r="AF796" s="1822"/>
      <c r="AG796" s="1822"/>
      <c r="AH796" s="1822"/>
      <c r="AI796" s="1822"/>
      <c r="AJ796" s="1822"/>
      <c r="AK796" s="1822"/>
      <c r="AL796" s="1822"/>
      <c r="AM796" s="680"/>
      <c r="AN796" s="680"/>
      <c r="AO796" s="680"/>
      <c r="AP796" s="680"/>
      <c r="AQ796" s="680"/>
      <c r="AR796" s="680"/>
      <c r="AS796" s="680"/>
      <c r="AT796" s="680"/>
      <c r="AU796" s="680"/>
      <c r="AV796" s="680"/>
      <c r="AW796" s="680"/>
      <c r="AX796" s="680"/>
      <c r="AY796" s="680"/>
    </row>
    <row r="797" spans="26:51" ht="12" customHeight="1" x14ac:dyDescent="0.2">
      <c r="Z797" s="680"/>
      <c r="AB797" s="680"/>
      <c r="AC797" s="1822"/>
      <c r="AD797" s="1822"/>
      <c r="AE797" s="1822"/>
      <c r="AF797" s="1822"/>
      <c r="AG797" s="1822"/>
      <c r="AH797" s="1822"/>
      <c r="AI797" s="1822"/>
      <c r="AJ797" s="1822"/>
      <c r="AK797" s="1822"/>
      <c r="AL797" s="1822"/>
      <c r="AM797" s="680"/>
      <c r="AN797" s="680"/>
      <c r="AO797" s="680"/>
      <c r="AP797" s="680"/>
      <c r="AQ797" s="680"/>
      <c r="AR797" s="680"/>
      <c r="AS797" s="680"/>
      <c r="AT797" s="680"/>
      <c r="AU797" s="680"/>
      <c r="AV797" s="680"/>
      <c r="AW797" s="680"/>
      <c r="AX797" s="680"/>
      <c r="AY797" s="680"/>
    </row>
    <row r="798" spans="26:51" ht="12" customHeight="1" x14ac:dyDescent="0.2">
      <c r="Z798" s="680"/>
      <c r="AB798" s="680"/>
      <c r="AC798" s="1822"/>
      <c r="AD798" s="1822"/>
      <c r="AE798" s="1822"/>
      <c r="AF798" s="1822"/>
      <c r="AG798" s="1822"/>
      <c r="AH798" s="1822"/>
      <c r="AI798" s="1822"/>
      <c r="AJ798" s="1822"/>
      <c r="AK798" s="1822"/>
      <c r="AL798" s="1822"/>
      <c r="AM798" s="680"/>
      <c r="AN798" s="680"/>
      <c r="AO798" s="680"/>
      <c r="AP798" s="680"/>
      <c r="AQ798" s="680"/>
      <c r="AR798" s="680"/>
      <c r="AS798" s="680"/>
      <c r="AT798" s="680"/>
      <c r="AU798" s="680"/>
      <c r="AV798" s="680"/>
      <c r="AW798" s="680"/>
      <c r="AX798" s="680"/>
      <c r="AY798" s="680"/>
    </row>
    <row r="799" spans="26:51" ht="12" customHeight="1" x14ac:dyDescent="0.2">
      <c r="Z799" s="680"/>
      <c r="AB799" s="680"/>
      <c r="AC799" s="1822"/>
      <c r="AD799" s="1822"/>
      <c r="AE799" s="1822"/>
      <c r="AF799" s="1822"/>
      <c r="AG799" s="1822"/>
      <c r="AH799" s="1822"/>
      <c r="AI799" s="1822"/>
      <c r="AJ799" s="1822"/>
      <c r="AK799" s="1822"/>
      <c r="AL799" s="1822"/>
      <c r="AM799" s="680"/>
      <c r="AN799" s="680"/>
      <c r="AO799" s="680"/>
      <c r="AP799" s="680"/>
      <c r="AQ799" s="680"/>
      <c r="AR799" s="680"/>
      <c r="AS799" s="680"/>
      <c r="AT799" s="680"/>
      <c r="AU799" s="680"/>
      <c r="AV799" s="680"/>
      <c r="AW799" s="680"/>
      <c r="AX799" s="680"/>
      <c r="AY799" s="680"/>
    </row>
    <row r="800" spans="26:51" ht="12" customHeight="1" x14ac:dyDescent="0.2">
      <c r="Z800" s="680"/>
      <c r="AB800" s="680"/>
      <c r="AC800" s="1822"/>
      <c r="AD800" s="1822"/>
      <c r="AE800" s="1822"/>
      <c r="AF800" s="1822"/>
      <c r="AG800" s="1822"/>
      <c r="AH800" s="1822"/>
      <c r="AI800" s="1822"/>
      <c r="AJ800" s="1822"/>
      <c r="AK800" s="1822"/>
      <c r="AL800" s="1822"/>
      <c r="AM800" s="680"/>
      <c r="AN800" s="680"/>
      <c r="AO800" s="680"/>
      <c r="AP800" s="680"/>
      <c r="AQ800" s="680"/>
      <c r="AR800" s="680"/>
      <c r="AS800" s="680"/>
      <c r="AT800" s="680"/>
      <c r="AU800" s="680"/>
      <c r="AV800" s="680"/>
      <c r="AW800" s="680"/>
      <c r="AX800" s="680"/>
      <c r="AY800" s="680"/>
    </row>
    <row r="801" spans="26:51" ht="12" customHeight="1" x14ac:dyDescent="0.2">
      <c r="Z801" s="680"/>
      <c r="AB801" s="680"/>
      <c r="AC801" s="1822"/>
      <c r="AD801" s="1822"/>
      <c r="AE801" s="1822"/>
      <c r="AF801" s="1822"/>
      <c r="AG801" s="1822"/>
      <c r="AH801" s="1822"/>
      <c r="AI801" s="1822"/>
      <c r="AJ801" s="1822"/>
      <c r="AK801" s="1822"/>
      <c r="AL801" s="1822"/>
      <c r="AM801" s="680"/>
      <c r="AN801" s="680"/>
      <c r="AO801" s="680"/>
      <c r="AP801" s="680"/>
      <c r="AQ801" s="680"/>
      <c r="AR801" s="680"/>
      <c r="AS801" s="680"/>
      <c r="AT801" s="680"/>
      <c r="AU801" s="680"/>
      <c r="AV801" s="680"/>
      <c r="AW801" s="680"/>
      <c r="AX801" s="680"/>
      <c r="AY801" s="680"/>
    </row>
    <row r="802" spans="26:51" ht="12" customHeight="1" x14ac:dyDescent="0.2">
      <c r="Z802" s="680"/>
      <c r="AB802" s="680"/>
      <c r="AC802" s="1822"/>
      <c r="AD802" s="1822"/>
      <c r="AE802" s="1822"/>
      <c r="AF802" s="1822"/>
      <c r="AG802" s="1822"/>
      <c r="AH802" s="1822"/>
      <c r="AI802" s="1822"/>
      <c r="AJ802" s="1822"/>
      <c r="AK802" s="1822"/>
      <c r="AL802" s="1822"/>
      <c r="AM802" s="680"/>
      <c r="AN802" s="680"/>
      <c r="AO802" s="680"/>
      <c r="AP802" s="680"/>
      <c r="AQ802" s="680"/>
      <c r="AR802" s="680"/>
      <c r="AS802" s="680"/>
      <c r="AT802" s="680"/>
      <c r="AU802" s="680"/>
      <c r="AV802" s="680"/>
      <c r="AW802" s="680"/>
      <c r="AX802" s="680"/>
      <c r="AY802" s="680"/>
    </row>
    <row r="803" spans="26:51" ht="12" customHeight="1" x14ac:dyDescent="0.2">
      <c r="Z803" s="680"/>
      <c r="AB803" s="680"/>
      <c r="AC803" s="1822"/>
      <c r="AD803" s="1822"/>
      <c r="AE803" s="1822"/>
      <c r="AF803" s="1822"/>
      <c r="AG803" s="1822"/>
      <c r="AH803" s="1822"/>
      <c r="AI803" s="1822"/>
      <c r="AJ803" s="1822"/>
      <c r="AK803" s="1822"/>
      <c r="AL803" s="1822"/>
      <c r="AM803" s="680"/>
      <c r="AN803" s="680"/>
      <c r="AO803" s="680"/>
      <c r="AP803" s="680"/>
      <c r="AQ803" s="680"/>
      <c r="AR803" s="680"/>
      <c r="AS803" s="680"/>
      <c r="AT803" s="680"/>
      <c r="AU803" s="680"/>
      <c r="AV803" s="680"/>
      <c r="AW803" s="680"/>
      <c r="AX803" s="680"/>
      <c r="AY803" s="680"/>
    </row>
    <row r="804" spans="26:51" ht="12" customHeight="1" x14ac:dyDescent="0.2">
      <c r="Z804" s="680"/>
      <c r="AB804" s="680"/>
      <c r="AC804" s="1822"/>
      <c r="AD804" s="1822"/>
      <c r="AE804" s="1822"/>
      <c r="AF804" s="1822"/>
      <c r="AG804" s="1822"/>
      <c r="AH804" s="1822"/>
      <c r="AI804" s="1822"/>
      <c r="AJ804" s="1822"/>
      <c r="AK804" s="1822"/>
      <c r="AL804" s="1822"/>
      <c r="AM804" s="680"/>
      <c r="AN804" s="680"/>
      <c r="AO804" s="680"/>
      <c r="AP804" s="680"/>
      <c r="AQ804" s="680"/>
      <c r="AR804" s="680"/>
      <c r="AS804" s="680"/>
      <c r="AT804" s="680"/>
      <c r="AU804" s="680"/>
      <c r="AV804" s="680"/>
      <c r="AW804" s="680"/>
      <c r="AX804" s="680"/>
      <c r="AY804" s="680"/>
    </row>
    <row r="805" spans="26:51" ht="12" customHeight="1" x14ac:dyDescent="0.2">
      <c r="Z805" s="680"/>
      <c r="AB805" s="680"/>
      <c r="AC805" s="1822"/>
      <c r="AD805" s="1822"/>
      <c r="AE805" s="1822"/>
      <c r="AF805" s="1822"/>
      <c r="AG805" s="1822"/>
      <c r="AH805" s="1822"/>
      <c r="AI805" s="1822"/>
      <c r="AJ805" s="1822"/>
      <c r="AK805" s="1822"/>
      <c r="AL805" s="1822"/>
      <c r="AM805" s="680"/>
      <c r="AN805" s="680"/>
      <c r="AO805" s="680"/>
      <c r="AP805" s="680"/>
      <c r="AQ805" s="680"/>
      <c r="AR805" s="680"/>
      <c r="AS805" s="680"/>
      <c r="AT805" s="680"/>
      <c r="AU805" s="680"/>
      <c r="AV805" s="680"/>
      <c r="AW805" s="680"/>
      <c r="AX805" s="680"/>
      <c r="AY805" s="680"/>
    </row>
    <row r="806" spans="26:51" ht="12" customHeight="1" x14ac:dyDescent="0.2">
      <c r="Z806" s="680"/>
      <c r="AB806" s="680"/>
      <c r="AC806" s="1822"/>
      <c r="AD806" s="1822"/>
      <c r="AE806" s="1822"/>
      <c r="AF806" s="1822"/>
      <c r="AG806" s="1822"/>
      <c r="AH806" s="1822"/>
      <c r="AI806" s="1822"/>
      <c r="AJ806" s="1822"/>
      <c r="AK806" s="1822"/>
      <c r="AL806" s="1822"/>
      <c r="AM806" s="680"/>
      <c r="AN806" s="680"/>
      <c r="AO806" s="680"/>
      <c r="AP806" s="680"/>
      <c r="AQ806" s="680"/>
      <c r="AR806" s="680"/>
      <c r="AS806" s="680"/>
      <c r="AT806" s="680"/>
      <c r="AU806" s="680"/>
      <c r="AV806" s="680"/>
      <c r="AW806" s="680"/>
      <c r="AX806" s="680"/>
      <c r="AY806" s="680"/>
    </row>
    <row r="807" spans="26:51" ht="12" customHeight="1" x14ac:dyDescent="0.2">
      <c r="Z807" s="680"/>
      <c r="AB807" s="680"/>
      <c r="AC807" s="1822"/>
      <c r="AD807" s="1822"/>
      <c r="AE807" s="1822"/>
      <c r="AF807" s="1822"/>
      <c r="AG807" s="1822"/>
      <c r="AH807" s="1822"/>
      <c r="AI807" s="1822"/>
      <c r="AJ807" s="1822"/>
      <c r="AK807" s="1822"/>
      <c r="AL807" s="1822"/>
      <c r="AM807" s="680"/>
      <c r="AN807" s="680"/>
      <c r="AO807" s="680"/>
      <c r="AP807" s="680"/>
      <c r="AQ807" s="680"/>
      <c r="AR807" s="680"/>
      <c r="AS807" s="680"/>
      <c r="AT807" s="680"/>
      <c r="AU807" s="680"/>
      <c r="AV807" s="680"/>
      <c r="AW807" s="680"/>
      <c r="AX807" s="680"/>
      <c r="AY807" s="680"/>
    </row>
    <row r="808" spans="26:51" ht="12" customHeight="1" x14ac:dyDescent="0.2">
      <c r="Z808" s="680"/>
      <c r="AB808" s="680"/>
      <c r="AC808" s="1822"/>
      <c r="AD808" s="1822"/>
      <c r="AE808" s="1822"/>
      <c r="AF808" s="1822"/>
      <c r="AG808" s="1822"/>
      <c r="AH808" s="1822"/>
      <c r="AI808" s="1822"/>
      <c r="AJ808" s="1822"/>
      <c r="AK808" s="1822"/>
      <c r="AL808" s="1822"/>
      <c r="AM808" s="680"/>
      <c r="AN808" s="680"/>
      <c r="AO808" s="680"/>
      <c r="AP808" s="680"/>
      <c r="AQ808" s="680"/>
      <c r="AR808" s="680"/>
      <c r="AS808" s="680"/>
      <c r="AT808" s="680"/>
      <c r="AU808" s="680"/>
      <c r="AV808" s="680"/>
      <c r="AW808" s="680"/>
      <c r="AX808" s="680"/>
      <c r="AY808" s="680"/>
    </row>
    <row r="809" spans="26:51" ht="12" customHeight="1" x14ac:dyDescent="0.2">
      <c r="Z809" s="680"/>
      <c r="AB809" s="680"/>
      <c r="AC809" s="1822"/>
      <c r="AD809" s="1822"/>
      <c r="AE809" s="1822"/>
      <c r="AF809" s="1822"/>
      <c r="AG809" s="1822"/>
      <c r="AH809" s="1822"/>
      <c r="AI809" s="1822"/>
      <c r="AJ809" s="1822"/>
      <c r="AK809" s="1822"/>
      <c r="AL809" s="1822"/>
      <c r="AM809" s="680"/>
      <c r="AN809" s="680"/>
      <c r="AO809" s="680"/>
      <c r="AP809" s="680"/>
      <c r="AQ809" s="680"/>
      <c r="AR809" s="680"/>
      <c r="AS809" s="680"/>
      <c r="AT809" s="680"/>
      <c r="AU809" s="680"/>
      <c r="AV809" s="680"/>
      <c r="AW809" s="680"/>
      <c r="AX809" s="680"/>
      <c r="AY809" s="680"/>
    </row>
    <row r="810" spans="26:51" ht="12" customHeight="1" x14ac:dyDescent="0.2">
      <c r="Z810" s="680"/>
      <c r="AB810" s="680"/>
      <c r="AC810" s="1822"/>
      <c r="AD810" s="1822"/>
      <c r="AE810" s="1822"/>
      <c r="AF810" s="1822"/>
      <c r="AG810" s="1822"/>
      <c r="AH810" s="1822"/>
      <c r="AI810" s="1822"/>
      <c r="AJ810" s="1822"/>
      <c r="AK810" s="1822"/>
      <c r="AL810" s="1822"/>
      <c r="AM810" s="680"/>
      <c r="AN810" s="680"/>
      <c r="AO810" s="680"/>
      <c r="AP810" s="680"/>
      <c r="AQ810" s="680"/>
      <c r="AR810" s="680"/>
      <c r="AS810" s="680"/>
      <c r="AT810" s="680"/>
      <c r="AU810" s="680"/>
      <c r="AV810" s="680"/>
      <c r="AW810" s="680"/>
      <c r="AX810" s="680"/>
      <c r="AY810" s="680"/>
    </row>
    <row r="811" spans="26:51" ht="12" customHeight="1" x14ac:dyDescent="0.2">
      <c r="Z811" s="680"/>
      <c r="AB811" s="680"/>
      <c r="AC811" s="1822"/>
      <c r="AD811" s="1822"/>
      <c r="AE811" s="1822"/>
      <c r="AF811" s="1822"/>
      <c r="AG811" s="1822"/>
      <c r="AH811" s="1822"/>
      <c r="AI811" s="1822"/>
      <c r="AJ811" s="1822"/>
      <c r="AK811" s="1822"/>
      <c r="AL811" s="1822"/>
      <c r="AM811" s="680"/>
      <c r="AN811" s="680"/>
      <c r="AO811" s="680"/>
      <c r="AP811" s="680"/>
      <c r="AQ811" s="680"/>
      <c r="AR811" s="680"/>
      <c r="AS811" s="680"/>
      <c r="AT811" s="680"/>
      <c r="AU811" s="680"/>
      <c r="AV811" s="680"/>
      <c r="AW811" s="680"/>
      <c r="AX811" s="680"/>
      <c r="AY811" s="680"/>
    </row>
    <row r="812" spans="26:51" ht="12" customHeight="1" x14ac:dyDescent="0.2">
      <c r="Z812" s="680"/>
      <c r="AB812" s="680"/>
      <c r="AC812" s="1822"/>
      <c r="AD812" s="1822"/>
      <c r="AE812" s="1822"/>
      <c r="AF812" s="1822"/>
      <c r="AG812" s="1822"/>
      <c r="AH812" s="1822"/>
      <c r="AI812" s="1822"/>
      <c r="AJ812" s="1822"/>
      <c r="AK812" s="1822"/>
      <c r="AL812" s="1822"/>
      <c r="AM812" s="680"/>
      <c r="AN812" s="680"/>
      <c r="AO812" s="680"/>
      <c r="AP812" s="680"/>
      <c r="AQ812" s="680"/>
      <c r="AR812" s="680"/>
      <c r="AS812" s="680"/>
      <c r="AT812" s="680"/>
      <c r="AU812" s="680"/>
      <c r="AV812" s="680"/>
      <c r="AW812" s="680"/>
      <c r="AX812" s="680"/>
      <c r="AY812" s="680"/>
    </row>
    <row r="813" spans="26:51" ht="12" customHeight="1" x14ac:dyDescent="0.2">
      <c r="Z813" s="680"/>
      <c r="AB813" s="680"/>
      <c r="AC813" s="1822"/>
      <c r="AD813" s="1822"/>
      <c r="AE813" s="1822"/>
      <c r="AF813" s="1822"/>
      <c r="AG813" s="1822"/>
      <c r="AH813" s="1822"/>
      <c r="AI813" s="1822"/>
      <c r="AJ813" s="1822"/>
      <c r="AK813" s="1822"/>
      <c r="AL813" s="1822"/>
      <c r="AM813" s="680"/>
      <c r="AN813" s="680"/>
      <c r="AO813" s="680"/>
      <c r="AP813" s="680"/>
      <c r="AQ813" s="680"/>
      <c r="AR813" s="680"/>
      <c r="AS813" s="680"/>
      <c r="AT813" s="680"/>
      <c r="AU813" s="680"/>
      <c r="AV813" s="680"/>
      <c r="AW813" s="680"/>
      <c r="AX813" s="680"/>
      <c r="AY813" s="680"/>
    </row>
    <row r="814" spans="26:51" ht="12" customHeight="1" x14ac:dyDescent="0.2">
      <c r="Z814" s="680"/>
      <c r="AB814" s="680"/>
      <c r="AC814" s="1822"/>
      <c r="AD814" s="1822"/>
      <c r="AE814" s="1822"/>
      <c r="AF814" s="1822"/>
      <c r="AG814" s="1822"/>
      <c r="AH814" s="1822"/>
      <c r="AI814" s="1822"/>
      <c r="AJ814" s="1822"/>
      <c r="AK814" s="1822"/>
      <c r="AL814" s="1822"/>
      <c r="AM814" s="680"/>
      <c r="AN814" s="680"/>
      <c r="AO814" s="680"/>
      <c r="AP814" s="680"/>
      <c r="AQ814" s="680"/>
      <c r="AR814" s="680"/>
      <c r="AS814" s="680"/>
      <c r="AT814" s="680"/>
      <c r="AU814" s="680"/>
      <c r="AV814" s="680"/>
      <c r="AW814" s="680"/>
      <c r="AX814" s="680"/>
      <c r="AY814" s="680"/>
    </row>
    <row r="815" spans="26:51" ht="12" customHeight="1" x14ac:dyDescent="0.2">
      <c r="Z815" s="680"/>
      <c r="AB815" s="680"/>
      <c r="AC815" s="1822"/>
      <c r="AD815" s="1822"/>
      <c r="AE815" s="1822"/>
      <c r="AF815" s="1822"/>
      <c r="AG815" s="1822"/>
      <c r="AH815" s="1822"/>
      <c r="AI815" s="1822"/>
      <c r="AJ815" s="1822"/>
      <c r="AK815" s="1822"/>
      <c r="AL815" s="1822"/>
      <c r="AM815" s="680"/>
      <c r="AN815" s="680"/>
      <c r="AO815" s="680"/>
      <c r="AP815" s="680"/>
      <c r="AQ815" s="680"/>
      <c r="AR815" s="680"/>
      <c r="AS815" s="680"/>
      <c r="AT815" s="680"/>
      <c r="AU815" s="680"/>
      <c r="AV815" s="680"/>
      <c r="AW815" s="680"/>
      <c r="AX815" s="680"/>
      <c r="AY815" s="680"/>
    </row>
    <row r="816" spans="26:51" ht="12" customHeight="1" x14ac:dyDescent="0.2">
      <c r="Z816" s="680"/>
      <c r="AB816" s="680"/>
      <c r="AC816" s="1822"/>
      <c r="AD816" s="1822"/>
      <c r="AE816" s="1822"/>
      <c r="AF816" s="1822"/>
      <c r="AG816" s="1822"/>
      <c r="AH816" s="1822"/>
      <c r="AI816" s="1822"/>
      <c r="AJ816" s="1822"/>
      <c r="AK816" s="1822"/>
      <c r="AL816" s="1822"/>
      <c r="AM816" s="680"/>
      <c r="AN816" s="680"/>
      <c r="AO816" s="680"/>
      <c r="AP816" s="680"/>
      <c r="AQ816" s="680"/>
      <c r="AR816" s="680"/>
      <c r="AS816" s="680"/>
      <c r="AT816" s="680"/>
      <c r="AU816" s="680"/>
      <c r="AV816" s="680"/>
      <c r="AW816" s="680"/>
      <c r="AX816" s="680"/>
      <c r="AY816" s="680"/>
    </row>
    <row r="817" spans="26:51" ht="12" customHeight="1" x14ac:dyDescent="0.2">
      <c r="Z817" s="680"/>
      <c r="AB817" s="680"/>
      <c r="AC817" s="1822"/>
      <c r="AD817" s="1822"/>
      <c r="AE817" s="1822"/>
      <c r="AF817" s="1822"/>
      <c r="AG817" s="1822"/>
      <c r="AH817" s="1822"/>
      <c r="AI817" s="1822"/>
      <c r="AJ817" s="1822"/>
      <c r="AK817" s="1822"/>
      <c r="AL817" s="1822"/>
      <c r="AM817" s="680"/>
      <c r="AN817" s="680"/>
      <c r="AO817" s="680"/>
      <c r="AP817" s="680"/>
      <c r="AQ817" s="680"/>
      <c r="AR817" s="680"/>
      <c r="AS817" s="680"/>
      <c r="AT817" s="680"/>
      <c r="AU817" s="680"/>
      <c r="AV817" s="680"/>
      <c r="AW817" s="680"/>
      <c r="AX817" s="680"/>
      <c r="AY817" s="680"/>
    </row>
    <row r="818" spans="26:51" ht="12" customHeight="1" x14ac:dyDescent="0.2">
      <c r="Z818" s="680"/>
      <c r="AB818" s="680"/>
      <c r="AC818" s="1822"/>
      <c r="AD818" s="1822"/>
      <c r="AE818" s="1822"/>
      <c r="AF818" s="1822"/>
      <c r="AG818" s="1822"/>
      <c r="AH818" s="1822"/>
      <c r="AI818" s="1822"/>
      <c r="AJ818" s="1822"/>
      <c r="AK818" s="1822"/>
      <c r="AL818" s="1822"/>
      <c r="AM818" s="680"/>
      <c r="AN818" s="680"/>
      <c r="AO818" s="680"/>
      <c r="AP818" s="680"/>
      <c r="AQ818" s="680"/>
      <c r="AR818" s="680"/>
      <c r="AS818" s="680"/>
      <c r="AT818" s="680"/>
      <c r="AU818" s="680"/>
      <c r="AV818" s="680"/>
      <c r="AW818" s="680"/>
      <c r="AX818" s="680"/>
      <c r="AY818" s="680"/>
    </row>
    <row r="819" spans="26:51" ht="12" customHeight="1" x14ac:dyDescent="0.2">
      <c r="Z819" s="680"/>
      <c r="AB819" s="680"/>
      <c r="AC819" s="1822"/>
      <c r="AD819" s="1822"/>
      <c r="AE819" s="1822"/>
      <c r="AF819" s="1822"/>
      <c r="AG819" s="1822"/>
      <c r="AH819" s="1822"/>
      <c r="AI819" s="1822"/>
      <c r="AJ819" s="1822"/>
      <c r="AK819" s="1822"/>
      <c r="AL819" s="1822"/>
      <c r="AM819" s="680"/>
      <c r="AN819" s="680"/>
      <c r="AO819" s="680"/>
      <c r="AP819" s="680"/>
      <c r="AQ819" s="680"/>
      <c r="AR819" s="680"/>
      <c r="AS819" s="680"/>
      <c r="AT819" s="680"/>
      <c r="AU819" s="680"/>
      <c r="AV819" s="680"/>
      <c r="AW819" s="680"/>
      <c r="AX819" s="680"/>
      <c r="AY819" s="680"/>
    </row>
    <row r="820" spans="26:51" ht="12" customHeight="1" x14ac:dyDescent="0.2">
      <c r="Z820" s="680"/>
      <c r="AB820" s="680"/>
      <c r="AC820" s="1822"/>
      <c r="AD820" s="1822"/>
      <c r="AE820" s="1822"/>
      <c r="AF820" s="1822"/>
      <c r="AG820" s="1822"/>
      <c r="AH820" s="1822"/>
      <c r="AI820" s="1822"/>
      <c r="AJ820" s="1822"/>
      <c r="AK820" s="1822"/>
      <c r="AL820" s="1822"/>
      <c r="AM820" s="680"/>
      <c r="AN820" s="680"/>
      <c r="AO820" s="680"/>
      <c r="AP820" s="680"/>
      <c r="AQ820" s="680"/>
      <c r="AR820" s="680"/>
      <c r="AS820" s="680"/>
      <c r="AT820" s="680"/>
      <c r="AU820" s="680"/>
      <c r="AV820" s="680"/>
      <c r="AW820" s="680"/>
      <c r="AX820" s="680"/>
      <c r="AY820" s="680"/>
    </row>
    <row r="821" spans="26:51" ht="12" customHeight="1" x14ac:dyDescent="0.2">
      <c r="Z821" s="680"/>
      <c r="AB821" s="680"/>
      <c r="AC821" s="1822"/>
      <c r="AD821" s="1822"/>
      <c r="AE821" s="1822"/>
      <c r="AF821" s="1822"/>
      <c r="AG821" s="1822"/>
      <c r="AH821" s="1822"/>
      <c r="AI821" s="1822"/>
      <c r="AJ821" s="1822"/>
      <c r="AK821" s="1822"/>
      <c r="AL821" s="1822"/>
      <c r="AM821" s="680"/>
      <c r="AN821" s="680"/>
      <c r="AO821" s="680"/>
      <c r="AP821" s="680"/>
      <c r="AQ821" s="680"/>
      <c r="AR821" s="680"/>
      <c r="AS821" s="680"/>
      <c r="AT821" s="680"/>
      <c r="AU821" s="680"/>
      <c r="AV821" s="680"/>
      <c r="AW821" s="680"/>
      <c r="AX821" s="680"/>
      <c r="AY821" s="680"/>
    </row>
    <row r="822" spans="26:51" ht="12" customHeight="1" x14ac:dyDescent="0.2">
      <c r="Z822" s="680"/>
      <c r="AB822" s="680"/>
      <c r="AC822" s="1822"/>
      <c r="AD822" s="1822"/>
      <c r="AE822" s="1822"/>
      <c r="AF822" s="1822"/>
      <c r="AG822" s="1822"/>
      <c r="AH822" s="1822"/>
      <c r="AI822" s="1822"/>
      <c r="AJ822" s="1822"/>
      <c r="AK822" s="1822"/>
      <c r="AL822" s="1822"/>
      <c r="AM822" s="680"/>
      <c r="AN822" s="680"/>
      <c r="AO822" s="680"/>
      <c r="AP822" s="680"/>
      <c r="AQ822" s="680"/>
      <c r="AR822" s="680"/>
      <c r="AS822" s="680"/>
      <c r="AT822" s="680"/>
      <c r="AU822" s="680"/>
      <c r="AV822" s="680"/>
      <c r="AW822" s="680"/>
      <c r="AX822" s="680"/>
      <c r="AY822" s="680"/>
    </row>
    <row r="823" spans="26:51" ht="12" customHeight="1" x14ac:dyDescent="0.2">
      <c r="Z823" s="680"/>
      <c r="AB823" s="680"/>
      <c r="AC823" s="1822"/>
      <c r="AD823" s="1822"/>
      <c r="AE823" s="1822"/>
      <c r="AF823" s="1822"/>
      <c r="AG823" s="1822"/>
      <c r="AH823" s="1822"/>
      <c r="AI823" s="1822"/>
      <c r="AJ823" s="1822"/>
      <c r="AK823" s="1822"/>
      <c r="AL823" s="1822"/>
      <c r="AM823" s="680"/>
      <c r="AN823" s="680"/>
      <c r="AO823" s="680"/>
      <c r="AP823" s="680"/>
      <c r="AQ823" s="680"/>
      <c r="AR823" s="680"/>
      <c r="AS823" s="680"/>
      <c r="AT823" s="680"/>
      <c r="AU823" s="680"/>
      <c r="AV823" s="680"/>
      <c r="AW823" s="680"/>
      <c r="AX823" s="680"/>
      <c r="AY823" s="680"/>
    </row>
    <row r="824" spans="26:51" ht="12" customHeight="1" x14ac:dyDescent="0.2">
      <c r="Z824" s="680"/>
      <c r="AB824" s="680"/>
      <c r="AC824" s="1822"/>
      <c r="AD824" s="1822"/>
      <c r="AE824" s="1822"/>
      <c r="AF824" s="1822"/>
      <c r="AG824" s="1822"/>
      <c r="AH824" s="1822"/>
      <c r="AI824" s="1822"/>
      <c r="AJ824" s="1822"/>
      <c r="AK824" s="1822"/>
      <c r="AL824" s="1822"/>
      <c r="AM824" s="680"/>
      <c r="AN824" s="680"/>
      <c r="AO824" s="680"/>
      <c r="AP824" s="680"/>
      <c r="AQ824" s="680"/>
      <c r="AR824" s="680"/>
      <c r="AS824" s="680"/>
      <c r="AT824" s="680"/>
      <c r="AU824" s="680"/>
      <c r="AV824" s="680"/>
      <c r="AW824" s="680"/>
      <c r="AX824" s="680"/>
      <c r="AY824" s="680"/>
    </row>
    <row r="825" spans="26:51" ht="12" customHeight="1" x14ac:dyDescent="0.2">
      <c r="Z825" s="680"/>
      <c r="AB825" s="680"/>
      <c r="AC825" s="1822"/>
      <c r="AD825" s="1822"/>
      <c r="AE825" s="1822"/>
      <c r="AF825" s="1822"/>
      <c r="AG825" s="1822"/>
      <c r="AH825" s="1822"/>
      <c r="AI825" s="1822"/>
      <c r="AJ825" s="1822"/>
      <c r="AK825" s="1822"/>
      <c r="AL825" s="1822"/>
      <c r="AM825" s="680"/>
      <c r="AN825" s="680"/>
      <c r="AO825" s="680"/>
      <c r="AP825" s="680"/>
      <c r="AQ825" s="680"/>
      <c r="AR825" s="680"/>
      <c r="AS825" s="680"/>
      <c r="AT825" s="680"/>
      <c r="AU825" s="680"/>
      <c r="AV825" s="680"/>
      <c r="AW825" s="680"/>
      <c r="AX825" s="680"/>
      <c r="AY825" s="680"/>
    </row>
    <row r="826" spans="26:51" ht="12" customHeight="1" x14ac:dyDescent="0.2">
      <c r="Z826" s="680"/>
      <c r="AB826" s="680"/>
      <c r="AC826" s="1822"/>
      <c r="AD826" s="1822"/>
      <c r="AE826" s="1822"/>
      <c r="AF826" s="1822"/>
      <c r="AG826" s="1822"/>
      <c r="AH826" s="1822"/>
      <c r="AI826" s="1822"/>
      <c r="AJ826" s="1822"/>
      <c r="AK826" s="1822"/>
      <c r="AL826" s="1822"/>
      <c r="AM826" s="680"/>
      <c r="AN826" s="680"/>
      <c r="AO826" s="680"/>
      <c r="AP826" s="680"/>
      <c r="AQ826" s="680"/>
      <c r="AR826" s="680"/>
      <c r="AS826" s="680"/>
      <c r="AT826" s="680"/>
      <c r="AU826" s="680"/>
      <c r="AV826" s="680"/>
      <c r="AW826" s="680"/>
      <c r="AX826" s="680"/>
      <c r="AY826" s="680"/>
    </row>
    <row r="827" spans="26:51" ht="12" customHeight="1" x14ac:dyDescent="0.2">
      <c r="Z827" s="680"/>
      <c r="AB827" s="680"/>
      <c r="AC827" s="1822"/>
      <c r="AD827" s="1822"/>
      <c r="AE827" s="1822"/>
      <c r="AF827" s="1822"/>
      <c r="AG827" s="1822"/>
      <c r="AH827" s="1822"/>
      <c r="AI827" s="1822"/>
      <c r="AJ827" s="1822"/>
      <c r="AK827" s="1822"/>
      <c r="AL827" s="1822"/>
      <c r="AM827" s="680"/>
      <c r="AN827" s="680"/>
      <c r="AO827" s="680"/>
      <c r="AP827" s="680"/>
      <c r="AQ827" s="680"/>
      <c r="AR827" s="680"/>
      <c r="AS827" s="680"/>
      <c r="AT827" s="680"/>
      <c r="AU827" s="680"/>
      <c r="AV827" s="680"/>
      <c r="AW827" s="680"/>
      <c r="AX827" s="680"/>
      <c r="AY827" s="680"/>
    </row>
    <row r="828" spans="26:51" ht="12" customHeight="1" x14ac:dyDescent="0.2">
      <c r="Z828" s="680"/>
      <c r="AB828" s="680"/>
      <c r="AC828" s="1822"/>
      <c r="AD828" s="1822"/>
      <c r="AE828" s="1822"/>
      <c r="AF828" s="1822"/>
      <c r="AG828" s="1822"/>
      <c r="AH828" s="1822"/>
      <c r="AI828" s="1822"/>
      <c r="AJ828" s="1822"/>
      <c r="AK828" s="1822"/>
      <c r="AL828" s="1822"/>
      <c r="AM828" s="680"/>
      <c r="AN828" s="680"/>
      <c r="AO828" s="680"/>
      <c r="AP828" s="680"/>
      <c r="AQ828" s="680"/>
      <c r="AR828" s="680"/>
      <c r="AS828" s="680"/>
      <c r="AT828" s="680"/>
      <c r="AU828" s="680"/>
      <c r="AV828" s="680"/>
      <c r="AW828" s="680"/>
      <c r="AX828" s="680"/>
      <c r="AY828" s="680"/>
    </row>
    <row r="829" spans="26:51" ht="12" customHeight="1" x14ac:dyDescent="0.2">
      <c r="Z829" s="680"/>
      <c r="AB829" s="680"/>
      <c r="AC829" s="1822"/>
      <c r="AD829" s="1822"/>
      <c r="AE829" s="1822"/>
      <c r="AF829" s="1822"/>
      <c r="AG829" s="1822"/>
      <c r="AH829" s="1822"/>
      <c r="AI829" s="1822"/>
      <c r="AJ829" s="1822"/>
      <c r="AK829" s="1822"/>
      <c r="AL829" s="1822"/>
      <c r="AM829" s="680"/>
      <c r="AN829" s="680"/>
      <c r="AO829" s="680"/>
      <c r="AP829" s="680"/>
      <c r="AQ829" s="680"/>
      <c r="AR829" s="680"/>
      <c r="AS829" s="680"/>
      <c r="AT829" s="680"/>
      <c r="AU829" s="680"/>
      <c r="AV829" s="680"/>
      <c r="AW829" s="680"/>
      <c r="AX829" s="680"/>
      <c r="AY829" s="680"/>
    </row>
    <row r="830" spans="26:51" ht="12" customHeight="1" x14ac:dyDescent="0.2">
      <c r="Z830" s="680"/>
      <c r="AB830" s="680"/>
      <c r="AC830" s="1822"/>
      <c r="AD830" s="1822"/>
      <c r="AE830" s="1822"/>
      <c r="AF830" s="1822"/>
      <c r="AG830" s="1822"/>
      <c r="AH830" s="1822"/>
      <c r="AI830" s="1822"/>
      <c r="AJ830" s="1822"/>
      <c r="AK830" s="1822"/>
      <c r="AL830" s="1822"/>
      <c r="AM830" s="680"/>
      <c r="AN830" s="680"/>
      <c r="AO830" s="680"/>
      <c r="AP830" s="680"/>
      <c r="AQ830" s="680"/>
      <c r="AR830" s="680"/>
      <c r="AS830" s="680"/>
      <c r="AT830" s="680"/>
      <c r="AU830" s="680"/>
      <c r="AV830" s="680"/>
      <c r="AW830" s="680"/>
      <c r="AX830" s="680"/>
      <c r="AY830" s="680"/>
    </row>
    <row r="831" spans="26:51" ht="12" customHeight="1" x14ac:dyDescent="0.2">
      <c r="Z831" s="680"/>
      <c r="AB831" s="680"/>
      <c r="AC831" s="1822"/>
      <c r="AD831" s="1822"/>
      <c r="AE831" s="1822"/>
      <c r="AF831" s="1822"/>
      <c r="AG831" s="1822"/>
      <c r="AH831" s="1822"/>
      <c r="AI831" s="1822"/>
      <c r="AJ831" s="1822"/>
      <c r="AK831" s="1822"/>
      <c r="AL831" s="1822"/>
      <c r="AM831" s="680"/>
      <c r="AN831" s="680"/>
      <c r="AO831" s="680"/>
      <c r="AP831" s="680"/>
      <c r="AQ831" s="680"/>
      <c r="AR831" s="680"/>
      <c r="AS831" s="680"/>
      <c r="AT831" s="680"/>
      <c r="AU831" s="680"/>
      <c r="AV831" s="680"/>
      <c r="AW831" s="680"/>
      <c r="AX831" s="680"/>
      <c r="AY831" s="680"/>
    </row>
    <row r="832" spans="26:51" ht="12" customHeight="1" x14ac:dyDescent="0.2">
      <c r="Z832" s="680"/>
      <c r="AB832" s="680"/>
      <c r="AC832" s="1822"/>
      <c r="AD832" s="1822"/>
      <c r="AE832" s="1822"/>
      <c r="AF832" s="1822"/>
      <c r="AG832" s="1822"/>
      <c r="AH832" s="1822"/>
      <c r="AI832" s="1822"/>
      <c r="AJ832" s="1822"/>
      <c r="AK832" s="1822"/>
      <c r="AL832" s="1822"/>
      <c r="AM832" s="680"/>
      <c r="AN832" s="680"/>
      <c r="AO832" s="680"/>
      <c r="AP832" s="680"/>
      <c r="AQ832" s="680"/>
      <c r="AR832" s="680"/>
      <c r="AS832" s="680"/>
      <c r="AT832" s="680"/>
      <c r="AU832" s="680"/>
      <c r="AV832" s="680"/>
      <c r="AW832" s="680"/>
      <c r="AX832" s="680"/>
      <c r="AY832" s="680"/>
    </row>
    <row r="833" spans="26:51" ht="12" customHeight="1" x14ac:dyDescent="0.2">
      <c r="Z833" s="680"/>
      <c r="AB833" s="680"/>
      <c r="AC833" s="1822"/>
      <c r="AD833" s="1822"/>
      <c r="AE833" s="1822"/>
      <c r="AF833" s="1822"/>
      <c r="AG833" s="1822"/>
      <c r="AH833" s="1822"/>
      <c r="AI833" s="1822"/>
      <c r="AJ833" s="1822"/>
      <c r="AK833" s="1822"/>
      <c r="AL833" s="1822"/>
      <c r="AM833" s="680"/>
      <c r="AN833" s="680"/>
      <c r="AO833" s="680"/>
      <c r="AP833" s="680"/>
      <c r="AQ833" s="680"/>
      <c r="AR833" s="680"/>
      <c r="AS833" s="680"/>
      <c r="AT833" s="680"/>
      <c r="AU833" s="680"/>
      <c r="AV833" s="680"/>
      <c r="AW833" s="680"/>
      <c r="AX833" s="680"/>
      <c r="AY833" s="680"/>
    </row>
    <row r="834" spans="26:51" ht="12" customHeight="1" x14ac:dyDescent="0.2">
      <c r="Z834" s="680"/>
      <c r="AB834" s="680"/>
      <c r="AC834" s="1822"/>
      <c r="AD834" s="1822"/>
      <c r="AE834" s="1822"/>
      <c r="AF834" s="1822"/>
      <c r="AG834" s="1822"/>
      <c r="AH834" s="1822"/>
      <c r="AI834" s="1822"/>
      <c r="AJ834" s="1822"/>
      <c r="AK834" s="1822"/>
      <c r="AL834" s="1822"/>
      <c r="AM834" s="680"/>
      <c r="AN834" s="680"/>
      <c r="AO834" s="680"/>
      <c r="AP834" s="680"/>
      <c r="AQ834" s="680"/>
      <c r="AR834" s="680"/>
      <c r="AS834" s="680"/>
      <c r="AT834" s="680"/>
      <c r="AU834" s="680"/>
      <c r="AV834" s="680"/>
      <c r="AW834" s="680"/>
      <c r="AX834" s="680"/>
      <c r="AY834" s="680"/>
    </row>
    <row r="835" spans="26:51" ht="12" customHeight="1" x14ac:dyDescent="0.2">
      <c r="Z835" s="680"/>
      <c r="AB835" s="680"/>
      <c r="AC835" s="1822"/>
      <c r="AD835" s="1822"/>
      <c r="AE835" s="1822"/>
      <c r="AF835" s="1822"/>
      <c r="AG835" s="1822"/>
      <c r="AH835" s="1822"/>
      <c r="AI835" s="1822"/>
      <c r="AJ835" s="1822"/>
      <c r="AK835" s="1822"/>
      <c r="AL835" s="1822"/>
      <c r="AM835" s="680"/>
      <c r="AN835" s="680"/>
      <c r="AO835" s="680"/>
      <c r="AP835" s="680"/>
      <c r="AQ835" s="680"/>
      <c r="AR835" s="680"/>
      <c r="AS835" s="680"/>
      <c r="AT835" s="680"/>
      <c r="AU835" s="680"/>
      <c r="AV835" s="680"/>
      <c r="AW835" s="680"/>
      <c r="AX835" s="680"/>
      <c r="AY835" s="680"/>
    </row>
    <row r="836" spans="26:51" ht="12" customHeight="1" x14ac:dyDescent="0.2">
      <c r="Z836" s="680"/>
      <c r="AB836" s="680"/>
      <c r="AC836" s="1822"/>
      <c r="AD836" s="1822"/>
      <c r="AE836" s="1822"/>
      <c r="AF836" s="1822"/>
      <c r="AG836" s="1822"/>
      <c r="AH836" s="1822"/>
      <c r="AI836" s="1822"/>
      <c r="AJ836" s="1822"/>
      <c r="AK836" s="1822"/>
      <c r="AL836" s="1822"/>
      <c r="AM836" s="680"/>
      <c r="AN836" s="680"/>
      <c r="AO836" s="680"/>
      <c r="AP836" s="680"/>
      <c r="AQ836" s="680"/>
      <c r="AR836" s="680"/>
      <c r="AS836" s="680"/>
      <c r="AT836" s="680"/>
      <c r="AU836" s="680"/>
      <c r="AV836" s="680"/>
      <c r="AW836" s="680"/>
      <c r="AX836" s="680"/>
      <c r="AY836" s="680"/>
    </row>
    <row r="837" spans="26:51" ht="12" customHeight="1" x14ac:dyDescent="0.2">
      <c r="Z837" s="680"/>
      <c r="AB837" s="680"/>
      <c r="AC837" s="1822"/>
      <c r="AD837" s="1822"/>
      <c r="AE837" s="1822"/>
      <c r="AF837" s="1822"/>
      <c r="AG837" s="1822"/>
      <c r="AH837" s="1822"/>
      <c r="AI837" s="1822"/>
      <c r="AJ837" s="1822"/>
      <c r="AK837" s="1822"/>
      <c r="AL837" s="1822"/>
      <c r="AM837" s="680"/>
      <c r="AN837" s="680"/>
      <c r="AO837" s="680"/>
      <c r="AP837" s="680"/>
      <c r="AQ837" s="680"/>
      <c r="AR837" s="680"/>
      <c r="AS837" s="680"/>
      <c r="AT837" s="680"/>
      <c r="AU837" s="680"/>
      <c r="AV837" s="680"/>
      <c r="AW837" s="680"/>
      <c r="AX837" s="680"/>
      <c r="AY837" s="680"/>
    </row>
    <row r="838" spans="26:51" ht="12" customHeight="1" x14ac:dyDescent="0.2">
      <c r="Z838" s="680"/>
      <c r="AB838" s="680"/>
      <c r="AC838" s="1822"/>
      <c r="AD838" s="1822"/>
      <c r="AE838" s="1822"/>
      <c r="AF838" s="1822"/>
      <c r="AG838" s="1822"/>
      <c r="AH838" s="1822"/>
      <c r="AI838" s="1822"/>
      <c r="AJ838" s="1822"/>
      <c r="AK838" s="1822"/>
      <c r="AL838" s="1822"/>
      <c r="AM838" s="680"/>
      <c r="AN838" s="680"/>
      <c r="AO838" s="680"/>
      <c r="AP838" s="680"/>
      <c r="AQ838" s="680"/>
      <c r="AR838" s="680"/>
      <c r="AS838" s="680"/>
      <c r="AT838" s="680"/>
      <c r="AU838" s="680"/>
      <c r="AV838" s="680"/>
      <c r="AW838" s="680"/>
      <c r="AX838" s="680"/>
      <c r="AY838" s="680"/>
    </row>
    <row r="839" spans="26:51" ht="12" customHeight="1" x14ac:dyDescent="0.2">
      <c r="Z839" s="680"/>
      <c r="AB839" s="680"/>
      <c r="AC839" s="1822"/>
      <c r="AD839" s="1822"/>
      <c r="AE839" s="1822"/>
      <c r="AF839" s="1822"/>
      <c r="AG839" s="1822"/>
      <c r="AH839" s="1822"/>
      <c r="AI839" s="1822"/>
      <c r="AJ839" s="1822"/>
      <c r="AK839" s="1822"/>
      <c r="AL839" s="1822"/>
      <c r="AM839" s="680"/>
      <c r="AN839" s="680"/>
      <c r="AO839" s="680"/>
      <c r="AP839" s="680"/>
      <c r="AQ839" s="680"/>
      <c r="AR839" s="680"/>
      <c r="AS839" s="680"/>
      <c r="AT839" s="680"/>
      <c r="AU839" s="680"/>
      <c r="AV839" s="680"/>
      <c r="AW839" s="680"/>
      <c r="AX839" s="680"/>
      <c r="AY839" s="680"/>
    </row>
    <row r="840" spans="26:51" ht="12" customHeight="1" x14ac:dyDescent="0.2">
      <c r="Z840" s="680"/>
      <c r="AB840" s="680"/>
      <c r="AC840" s="1822"/>
      <c r="AD840" s="1822"/>
      <c r="AE840" s="1822"/>
      <c r="AF840" s="1822"/>
      <c r="AG840" s="1822"/>
      <c r="AH840" s="1822"/>
      <c r="AI840" s="1822"/>
      <c r="AJ840" s="1822"/>
      <c r="AK840" s="1822"/>
      <c r="AL840" s="1822"/>
      <c r="AM840" s="680"/>
      <c r="AN840" s="680"/>
      <c r="AO840" s="680"/>
      <c r="AP840" s="680"/>
      <c r="AQ840" s="680"/>
      <c r="AR840" s="680"/>
      <c r="AS840" s="680"/>
      <c r="AT840" s="680"/>
      <c r="AU840" s="680"/>
      <c r="AV840" s="680"/>
      <c r="AW840" s="680"/>
      <c r="AX840" s="680"/>
      <c r="AY840" s="680"/>
    </row>
    <row r="841" spans="26:51" ht="12" customHeight="1" x14ac:dyDescent="0.2">
      <c r="Z841" s="680"/>
      <c r="AB841" s="680"/>
      <c r="AC841" s="1822"/>
      <c r="AD841" s="1822"/>
      <c r="AE841" s="1822"/>
      <c r="AF841" s="1822"/>
      <c r="AG841" s="1822"/>
      <c r="AH841" s="1822"/>
      <c r="AI841" s="1822"/>
      <c r="AJ841" s="1822"/>
      <c r="AK841" s="1822"/>
      <c r="AL841" s="1822"/>
      <c r="AM841" s="680"/>
      <c r="AN841" s="680"/>
      <c r="AO841" s="680"/>
      <c r="AP841" s="680"/>
      <c r="AQ841" s="680"/>
      <c r="AR841" s="680"/>
      <c r="AS841" s="680"/>
      <c r="AT841" s="680"/>
      <c r="AU841" s="680"/>
      <c r="AV841" s="680"/>
      <c r="AW841" s="680"/>
      <c r="AX841" s="680"/>
      <c r="AY841" s="680"/>
    </row>
    <row r="842" spans="26:51" ht="12" customHeight="1" x14ac:dyDescent="0.2">
      <c r="Z842" s="680"/>
      <c r="AB842" s="680"/>
      <c r="AC842" s="1822"/>
      <c r="AD842" s="1822"/>
      <c r="AE842" s="1822"/>
      <c r="AF842" s="1822"/>
      <c r="AG842" s="1822"/>
      <c r="AH842" s="1822"/>
      <c r="AI842" s="1822"/>
      <c r="AJ842" s="1822"/>
      <c r="AK842" s="1822"/>
      <c r="AL842" s="1822"/>
      <c r="AM842" s="680"/>
      <c r="AN842" s="680"/>
      <c r="AO842" s="680"/>
      <c r="AP842" s="680"/>
      <c r="AQ842" s="680"/>
      <c r="AR842" s="680"/>
      <c r="AS842" s="680"/>
      <c r="AT842" s="680"/>
      <c r="AU842" s="680"/>
      <c r="AV842" s="680"/>
      <c r="AW842" s="680"/>
      <c r="AX842" s="680"/>
      <c r="AY842" s="680"/>
    </row>
    <row r="843" spans="26:51" ht="12" customHeight="1" x14ac:dyDescent="0.2">
      <c r="Z843" s="680"/>
      <c r="AB843" s="680"/>
      <c r="AC843" s="1822"/>
      <c r="AD843" s="1822"/>
      <c r="AE843" s="1822"/>
      <c r="AF843" s="1822"/>
      <c r="AG843" s="1822"/>
      <c r="AH843" s="1822"/>
      <c r="AI843" s="1822"/>
      <c r="AJ843" s="1822"/>
      <c r="AK843" s="1822"/>
      <c r="AL843" s="1822"/>
      <c r="AM843" s="680"/>
      <c r="AN843" s="680"/>
      <c r="AO843" s="680"/>
      <c r="AP843" s="680"/>
      <c r="AQ843" s="680"/>
      <c r="AR843" s="680"/>
      <c r="AS843" s="680"/>
      <c r="AT843" s="680"/>
      <c r="AU843" s="680"/>
      <c r="AV843" s="680"/>
      <c r="AW843" s="680"/>
      <c r="AX843" s="680"/>
      <c r="AY843" s="680"/>
    </row>
    <row r="844" spans="26:51" ht="12" customHeight="1" x14ac:dyDescent="0.2">
      <c r="Z844" s="680"/>
      <c r="AB844" s="680"/>
      <c r="AC844" s="1822"/>
      <c r="AD844" s="1822"/>
      <c r="AE844" s="1822"/>
      <c r="AF844" s="1822"/>
      <c r="AG844" s="1822"/>
      <c r="AH844" s="1822"/>
      <c r="AI844" s="1822"/>
      <c r="AJ844" s="1822"/>
      <c r="AK844" s="1822"/>
      <c r="AL844" s="1822"/>
      <c r="AM844" s="680"/>
      <c r="AN844" s="680"/>
      <c r="AO844" s="680"/>
      <c r="AP844" s="680"/>
      <c r="AQ844" s="680"/>
      <c r="AR844" s="680"/>
      <c r="AS844" s="680"/>
      <c r="AT844" s="680"/>
      <c r="AU844" s="680"/>
      <c r="AV844" s="680"/>
      <c r="AW844" s="680"/>
      <c r="AX844" s="680"/>
      <c r="AY844" s="680"/>
    </row>
    <row r="845" spans="26:51" ht="12" customHeight="1" x14ac:dyDescent="0.2">
      <c r="Z845" s="680"/>
      <c r="AB845" s="680"/>
      <c r="AC845" s="1822"/>
      <c r="AD845" s="1822"/>
      <c r="AE845" s="1822"/>
      <c r="AF845" s="1822"/>
      <c r="AG845" s="1822"/>
      <c r="AH845" s="1822"/>
      <c r="AI845" s="1822"/>
      <c r="AJ845" s="1822"/>
      <c r="AK845" s="1822"/>
      <c r="AL845" s="1822"/>
      <c r="AM845" s="680"/>
      <c r="AN845" s="680"/>
      <c r="AO845" s="680"/>
      <c r="AP845" s="680"/>
      <c r="AQ845" s="680"/>
      <c r="AR845" s="680"/>
      <c r="AS845" s="680"/>
      <c r="AT845" s="680"/>
      <c r="AU845" s="680"/>
      <c r="AV845" s="680"/>
      <c r="AW845" s="680"/>
      <c r="AX845" s="680"/>
      <c r="AY845" s="680"/>
    </row>
    <row r="846" spans="26:51" ht="12" customHeight="1" x14ac:dyDescent="0.2">
      <c r="Z846" s="680"/>
      <c r="AB846" s="680"/>
      <c r="AC846" s="1822"/>
      <c r="AD846" s="1822"/>
      <c r="AE846" s="1822"/>
      <c r="AF846" s="1822"/>
      <c r="AG846" s="1822"/>
      <c r="AH846" s="1822"/>
      <c r="AI846" s="1822"/>
      <c r="AJ846" s="1822"/>
      <c r="AK846" s="1822"/>
      <c r="AL846" s="1822"/>
      <c r="AM846" s="680"/>
      <c r="AN846" s="680"/>
      <c r="AO846" s="680"/>
      <c r="AP846" s="680"/>
      <c r="AQ846" s="680"/>
      <c r="AR846" s="680"/>
      <c r="AS846" s="680"/>
      <c r="AT846" s="680"/>
      <c r="AU846" s="680"/>
      <c r="AV846" s="680"/>
      <c r="AW846" s="680"/>
      <c r="AX846" s="680"/>
      <c r="AY846" s="680"/>
    </row>
  </sheetData>
  <sheetProtection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566" priority="54" stopIfTrue="1" operator="lessThan">
      <formula>0</formula>
    </cfRule>
  </conditionalFormatting>
  <conditionalFormatting sqref="Z23">
    <cfRule type="cellIs" dxfId="565" priority="4" stopIfTrue="1" operator="lessThan">
      <formula>0</formula>
    </cfRule>
  </conditionalFormatting>
  <conditionalFormatting sqref="J32">
    <cfRule type="cellIs" dxfId="564" priority="1777" operator="greaterThan">
      <formula>$U$4+1</formula>
    </cfRule>
    <cfRule type="cellIs" dxfId="563" priority="1778" stopIfTrue="1" operator="lessThan">
      <formula>0</formula>
    </cfRule>
  </conditionalFormatting>
  <conditionalFormatting sqref="U12:V12">
    <cfRule type="expression" dxfId="562" priority="1779" stopIfTrue="1">
      <formula>AND(ISNUMBER($U$12),$U$12&gt;$U$4+3)</formula>
    </cfRule>
  </conditionalFormatting>
  <conditionalFormatting sqref="Y25:Y80">
    <cfRule type="cellIs" dxfId="561"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election activeCell="AD11" sqref="AD11:AH11"/>
    </sheetView>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695" customWidth="1"/>
    <col min="39" max="39" width="1.7109375" style="1695" customWidth="1"/>
    <col min="40" max="40" width="1.28515625" style="1695" customWidth="1"/>
    <col min="41" max="41" width="5.7109375" style="1695"/>
    <col min="42" max="42" width="6.28515625" style="1695" bestFit="1" customWidth="1"/>
    <col min="43" max="43" width="1.7109375" style="1695" customWidth="1"/>
    <col min="44" max="44" width="8.42578125" style="1695" bestFit="1" customWidth="1"/>
    <col min="45" max="50" width="5.7109375" style="1695"/>
    <col min="51" max="52" width="5.7109375" style="44"/>
    <col min="53" max="16384" width="5.7109375" style="43"/>
  </cols>
  <sheetData>
    <row r="1" spans="1:44" ht="12" customHeight="1" thickBot="1" x14ac:dyDescent="0.25">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68"/>
      <c r="AL1" s="1694"/>
      <c r="AM1" s="1694"/>
    </row>
    <row r="2" spans="1:44" ht="12" customHeight="1" thickBot="1" x14ac:dyDescent="0.25">
      <c r="A2" s="173"/>
      <c r="B2" s="1858"/>
      <c r="C2" s="1859"/>
      <c r="D2" s="1859"/>
      <c r="E2" s="1859"/>
      <c r="F2" s="1859"/>
      <c r="G2" s="1859"/>
      <c r="H2" s="1859"/>
      <c r="I2" s="1859"/>
      <c r="J2" s="1859"/>
      <c r="K2" s="1859"/>
      <c r="L2" s="1859"/>
      <c r="M2" s="1859"/>
      <c r="N2" s="1859"/>
      <c r="O2" s="1859"/>
      <c r="P2" s="1859"/>
      <c r="Q2" s="1859"/>
      <c r="R2" s="2662"/>
      <c r="S2" s="1576"/>
      <c r="T2" s="1576"/>
      <c r="U2" s="1858"/>
      <c r="V2" s="1859"/>
      <c r="W2" s="1859"/>
      <c r="X2" s="1859"/>
      <c r="Y2" s="1859"/>
      <c r="Z2" s="1859"/>
      <c r="AA2" s="1859"/>
      <c r="AB2" s="1859"/>
      <c r="AC2" s="1859"/>
      <c r="AD2" s="1859"/>
      <c r="AE2" s="1859"/>
      <c r="AF2" s="1859"/>
      <c r="AG2" s="1859"/>
      <c r="AH2" s="1859"/>
      <c r="AI2" s="1859"/>
      <c r="AJ2" s="1859"/>
      <c r="AK2" s="2293"/>
      <c r="AL2" s="1991"/>
      <c r="AM2" s="1694"/>
    </row>
    <row r="3" spans="1:44" ht="12" customHeight="1" thickBot="1" x14ac:dyDescent="0.25">
      <c r="A3" s="173"/>
      <c r="B3" s="1691"/>
      <c r="C3" s="3224"/>
      <c r="D3" s="3224"/>
      <c r="E3" s="3224"/>
      <c r="F3" s="3224"/>
      <c r="G3" s="3224"/>
      <c r="H3" s="3224"/>
      <c r="I3" s="9"/>
      <c r="J3" s="9"/>
      <c r="K3" s="9"/>
      <c r="L3" s="9"/>
      <c r="M3" s="9"/>
      <c r="N3" s="9"/>
      <c r="O3" s="9"/>
      <c r="P3" s="9"/>
      <c r="Q3" s="10"/>
      <c r="R3" s="68"/>
      <c r="S3" s="56"/>
      <c r="T3" s="56"/>
      <c r="U3" s="1691"/>
      <c r="V3" s="4546"/>
      <c r="W3" s="4547"/>
      <c r="X3" s="4547"/>
      <c r="Y3" s="4547"/>
      <c r="Z3" s="4547"/>
      <c r="AA3" s="4547"/>
      <c r="AB3" s="1575"/>
      <c r="AC3" s="1575"/>
      <c r="AD3" s="1575"/>
      <c r="AE3" s="1575"/>
      <c r="AF3" s="1575"/>
      <c r="AG3" s="1575"/>
      <c r="AH3" s="1575"/>
      <c r="AI3" s="1575"/>
      <c r="AJ3" s="1575"/>
      <c r="AK3" s="1577"/>
      <c r="AL3" s="1992"/>
      <c r="AM3" s="1694"/>
      <c r="AN3" s="1889"/>
      <c r="AO3" s="1889"/>
      <c r="AP3" s="1889"/>
      <c r="AQ3" s="1889"/>
      <c r="AR3" s="1775"/>
    </row>
    <row r="4" spans="1:44" ht="12" customHeight="1" thickBot="1" x14ac:dyDescent="0.25">
      <c r="A4" s="173"/>
      <c r="B4" s="1691"/>
      <c r="C4" s="3224"/>
      <c r="D4" s="3224"/>
      <c r="E4" s="3224"/>
      <c r="F4" s="3224"/>
      <c r="G4" s="3224"/>
      <c r="H4" s="3224"/>
      <c r="I4" s="12"/>
      <c r="J4" s="3143" t="s">
        <v>1625</v>
      </c>
      <c r="K4" s="3143"/>
      <c r="L4" s="3144" t="str">
        <f>IF(OR(General!$G$22="",General!$G$22=0),"",General!$G$22)</f>
        <v/>
      </c>
      <c r="M4" s="3144"/>
      <c r="N4" s="3144"/>
      <c r="O4" s="3144"/>
      <c r="P4" s="3144"/>
      <c r="Q4" s="13"/>
      <c r="R4" s="68"/>
      <c r="S4" s="56"/>
      <c r="T4" s="56"/>
      <c r="U4" s="1691"/>
      <c r="V4" s="4548"/>
      <c r="W4" s="3224"/>
      <c r="X4" s="3224"/>
      <c r="Y4" s="3224"/>
      <c r="Z4" s="3224"/>
      <c r="AA4" s="3224"/>
      <c r="AB4" s="12"/>
      <c r="AC4" s="3143" t="s">
        <v>1625</v>
      </c>
      <c r="AD4" s="3143"/>
      <c r="AE4" s="3144" t="str">
        <f>IF(OR(General!$G$22="",General!$G$22=0),"",General!$G$22)</f>
        <v/>
      </c>
      <c r="AF4" s="3144"/>
      <c r="AG4" s="3144"/>
      <c r="AH4" s="3144"/>
      <c r="AI4" s="3144"/>
      <c r="AJ4" s="2058"/>
      <c r="AK4" s="1935"/>
      <c r="AL4" s="1992"/>
      <c r="AM4" s="1694"/>
      <c r="AN4" s="1889"/>
      <c r="AO4" s="1889"/>
      <c r="AP4" s="2308"/>
      <c r="AQ4" s="2308"/>
      <c r="AR4" s="1775"/>
    </row>
    <row r="5" spans="1:44" ht="12" customHeight="1" thickBot="1" x14ac:dyDescent="0.25">
      <c r="A5" s="173"/>
      <c r="B5" s="1691"/>
      <c r="C5" s="3224"/>
      <c r="D5" s="3224"/>
      <c r="E5" s="3224"/>
      <c r="F5" s="3224"/>
      <c r="G5" s="3224"/>
      <c r="H5" s="3224"/>
      <c r="I5" s="12"/>
      <c r="J5" s="3220" t="s">
        <v>1626</v>
      </c>
      <c r="K5" s="3220"/>
      <c r="L5" s="3221" t="str">
        <f>Principal!$L$5</f>
        <v/>
      </c>
      <c r="M5" s="3221"/>
      <c r="N5" s="3221"/>
      <c r="O5" s="14" t="s">
        <v>1627</v>
      </c>
      <c r="P5" s="15" t="str">
        <f>Principal!$P$5</f>
        <v>0</v>
      </c>
      <c r="Q5" s="16"/>
      <c r="R5" s="68"/>
      <c r="S5" s="56"/>
      <c r="T5" s="56"/>
      <c r="U5" s="1691"/>
      <c r="V5" s="4548"/>
      <c r="W5" s="3224"/>
      <c r="X5" s="3224"/>
      <c r="Y5" s="3224"/>
      <c r="Z5" s="3224"/>
      <c r="AA5" s="3224"/>
      <c r="AB5" s="12"/>
      <c r="AC5" s="3220" t="s">
        <v>1626</v>
      </c>
      <c r="AD5" s="3220"/>
      <c r="AE5" s="3221" t="str">
        <f>Principal!$L$5</f>
        <v/>
      </c>
      <c r="AF5" s="3221"/>
      <c r="AG5" s="3221"/>
      <c r="AH5" s="14" t="s">
        <v>1627</v>
      </c>
      <c r="AI5" s="15" t="str">
        <f>Principal!$P$5</f>
        <v>0</v>
      </c>
      <c r="AJ5" s="12"/>
      <c r="AK5" s="1936"/>
      <c r="AL5" s="1992"/>
      <c r="AM5" s="1694"/>
      <c r="AN5" s="2292"/>
      <c r="AO5" s="2292"/>
      <c r="AP5" s="2315"/>
      <c r="AQ5" s="2315"/>
      <c r="AR5" s="1775"/>
    </row>
    <row r="6" spans="1:44" ht="12" customHeight="1" thickBot="1" x14ac:dyDescent="0.25">
      <c r="A6" s="173"/>
      <c r="B6" s="1691"/>
      <c r="C6" s="3224"/>
      <c r="D6" s="3224"/>
      <c r="E6" s="3224"/>
      <c r="F6" s="3224"/>
      <c r="G6" s="3224"/>
      <c r="H6" s="3224"/>
      <c r="I6" s="12"/>
      <c r="J6" s="3222" t="s">
        <v>2114</v>
      </c>
      <c r="K6" s="3222"/>
      <c r="L6" s="3222"/>
      <c r="M6" s="3222"/>
      <c r="N6" s="3222"/>
      <c r="O6" s="3222"/>
      <c r="P6" s="3222"/>
      <c r="Q6" s="16"/>
      <c r="R6" s="68"/>
      <c r="S6" s="56"/>
      <c r="T6" s="56"/>
      <c r="U6" s="1691"/>
      <c r="V6" s="4548"/>
      <c r="W6" s="3224"/>
      <c r="X6" s="3224"/>
      <c r="Y6" s="3224"/>
      <c r="Z6" s="3224"/>
      <c r="AA6" s="3224"/>
      <c r="AB6" s="12"/>
      <c r="AC6" s="3222" t="s">
        <v>2115</v>
      </c>
      <c r="AD6" s="3222"/>
      <c r="AE6" s="3222"/>
      <c r="AF6" s="3222"/>
      <c r="AG6" s="3222"/>
      <c r="AH6" s="3222"/>
      <c r="AI6" s="3222"/>
      <c r="AJ6" s="12"/>
      <c r="AK6" s="1936"/>
      <c r="AL6" s="1992"/>
      <c r="AM6" s="1694"/>
      <c r="AN6" s="1890"/>
      <c r="AO6" s="1890"/>
      <c r="AP6" s="2316"/>
      <c r="AQ6" s="2316"/>
      <c r="AR6" s="1775"/>
    </row>
    <row r="7" spans="1:44" ht="12" customHeight="1" thickBot="1" x14ac:dyDescent="0.25">
      <c r="A7" s="173"/>
      <c r="B7" s="1691"/>
      <c r="C7" s="3224"/>
      <c r="D7" s="3224"/>
      <c r="E7" s="3224"/>
      <c r="F7" s="3224"/>
      <c r="G7" s="3224"/>
      <c r="H7" s="3224"/>
      <c r="I7" s="12"/>
      <c r="J7" s="3222"/>
      <c r="K7" s="3222"/>
      <c r="L7" s="3222"/>
      <c r="M7" s="3222"/>
      <c r="N7" s="3222"/>
      <c r="O7" s="3222"/>
      <c r="P7" s="3222"/>
      <c r="Q7" s="16"/>
      <c r="R7" s="68"/>
      <c r="S7" s="56"/>
      <c r="T7" s="56"/>
      <c r="U7" s="1691"/>
      <c r="V7" s="4548"/>
      <c r="W7" s="3224"/>
      <c r="X7" s="3224"/>
      <c r="Y7" s="3224"/>
      <c r="Z7" s="3224"/>
      <c r="AA7" s="3224"/>
      <c r="AB7" s="12"/>
      <c r="AC7" s="3222"/>
      <c r="AD7" s="3222"/>
      <c r="AE7" s="3222"/>
      <c r="AF7" s="3222"/>
      <c r="AG7" s="3222"/>
      <c r="AH7" s="3222"/>
      <c r="AI7" s="3222"/>
      <c r="AJ7" s="12"/>
      <c r="AK7" s="1936"/>
      <c r="AL7" s="1992"/>
      <c r="AM7" s="1694"/>
      <c r="AN7" s="2292"/>
      <c r="AO7" s="2292"/>
      <c r="AP7" s="2315"/>
      <c r="AQ7" s="2315"/>
      <c r="AR7" s="1775"/>
    </row>
    <row r="8" spans="1:44" ht="12" customHeight="1" thickBot="1" x14ac:dyDescent="0.25">
      <c r="A8" s="173"/>
      <c r="B8" s="1691"/>
      <c r="C8" s="3224"/>
      <c r="D8" s="3224"/>
      <c r="E8" s="3224"/>
      <c r="F8" s="3224"/>
      <c r="G8" s="3224"/>
      <c r="H8" s="3224"/>
      <c r="I8" s="17"/>
      <c r="J8" s="17"/>
      <c r="K8" s="17"/>
      <c r="L8" s="17"/>
      <c r="M8" s="17"/>
      <c r="N8" s="17"/>
      <c r="O8" s="17"/>
      <c r="P8" s="17"/>
      <c r="Q8" s="18"/>
      <c r="R8" s="68"/>
      <c r="S8" s="56"/>
      <c r="T8" s="56"/>
      <c r="U8" s="1691"/>
      <c r="V8" s="4549"/>
      <c r="W8" s="4550"/>
      <c r="X8" s="4550"/>
      <c r="Y8" s="4550"/>
      <c r="Z8" s="4550"/>
      <c r="AA8" s="4550"/>
      <c r="AB8" s="1939"/>
      <c r="AC8" s="1939"/>
      <c r="AD8" s="1939"/>
      <c r="AE8" s="1939"/>
      <c r="AF8" s="1939"/>
      <c r="AG8" s="1939"/>
      <c r="AH8" s="1939"/>
      <c r="AI8" s="1939"/>
      <c r="AJ8" s="1939"/>
      <c r="AK8" s="1940"/>
      <c r="AL8" s="1992"/>
      <c r="AM8" s="1694"/>
      <c r="AN8" s="1890"/>
      <c r="AO8" s="1890"/>
      <c r="AP8" s="2316"/>
      <c r="AQ8" s="2316"/>
      <c r="AR8" s="1775"/>
    </row>
    <row r="9" spans="1:44" ht="12" customHeight="1" thickBot="1" x14ac:dyDescent="0.25">
      <c r="A9" s="173"/>
      <c r="B9" s="1691"/>
      <c r="C9" s="67"/>
      <c r="D9" s="67"/>
      <c r="E9" s="67"/>
      <c r="F9" s="67"/>
      <c r="G9" s="67"/>
      <c r="H9" s="67"/>
      <c r="I9" s="67"/>
      <c r="J9" s="67"/>
      <c r="K9" s="67"/>
      <c r="L9" s="67"/>
      <c r="M9" s="67"/>
      <c r="N9" s="67"/>
      <c r="O9" s="67"/>
      <c r="P9" s="67"/>
      <c r="Q9" s="67"/>
      <c r="R9" s="68"/>
      <c r="S9" s="56"/>
      <c r="T9" s="56"/>
      <c r="U9" s="1691"/>
      <c r="V9" s="67"/>
      <c r="W9" s="67"/>
      <c r="X9" s="67"/>
      <c r="Y9" s="67"/>
      <c r="Z9" s="67"/>
      <c r="AA9" s="67"/>
      <c r="AB9" s="67"/>
      <c r="AC9" s="1775"/>
      <c r="AD9" s="67"/>
      <c r="AE9" s="67"/>
      <c r="AF9" s="67"/>
      <c r="AG9" s="67"/>
      <c r="AH9" s="67"/>
      <c r="AI9" s="67"/>
      <c r="AJ9" s="67"/>
      <c r="AK9" s="96"/>
      <c r="AL9" s="1992"/>
      <c r="AM9" s="1694"/>
      <c r="AN9" s="2317"/>
      <c r="AO9" s="2317"/>
      <c r="AP9" s="2318"/>
      <c r="AQ9" s="2318"/>
      <c r="AR9" s="2312" t="str">
        <f>IF('Tablas psiquica'!AF70&gt;1,"AGI_DES_AMBOS","AGI_DES")</f>
        <v>AGI_DES</v>
      </c>
    </row>
    <row r="10" spans="1:44" ht="12" customHeight="1" thickBot="1" x14ac:dyDescent="0.25">
      <c r="A10" s="173"/>
      <c r="B10" s="1691"/>
      <c r="C10" s="4551" t="s">
        <v>2116</v>
      </c>
      <c r="D10" s="4551"/>
      <c r="E10" s="4551"/>
      <c r="F10" s="4551"/>
      <c r="G10" s="30"/>
      <c r="H10" s="3201" t="s">
        <v>2117</v>
      </c>
      <c r="I10" s="3201"/>
      <c r="J10" s="3201"/>
      <c r="K10" s="3201"/>
      <c r="L10" s="315" t="s">
        <v>2118</v>
      </c>
      <c r="M10" s="2754"/>
      <c r="N10" s="67"/>
      <c r="O10" s="3201" t="s">
        <v>2119</v>
      </c>
      <c r="P10" s="3201"/>
      <c r="Q10" s="3201"/>
      <c r="R10" s="68"/>
      <c r="S10" s="56"/>
      <c r="T10" s="56"/>
      <c r="U10" s="1691"/>
      <c r="V10" s="3297" t="s">
        <v>2120</v>
      </c>
      <c r="W10" s="3298"/>
      <c r="X10" s="3298"/>
      <c r="Y10" s="3298"/>
      <c r="Z10" s="3298"/>
      <c r="AA10" s="2761" t="s">
        <v>2121</v>
      </c>
      <c r="AB10" s="2762" t="s">
        <v>1676</v>
      </c>
      <c r="AC10" s="2792" t="e">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amp;'Tablas psiquica'!#REF!&amp;'Tablas psiquica'!#REF!&amp;'Tablas psiquica'!#REF!&amp;'Tablas psiquica'!#REF!</f>
        <v>#REF!</v>
      </c>
      <c r="AD10" s="3957" t="s">
        <v>9992</v>
      </c>
      <c r="AE10" s="3961"/>
      <c r="AF10" s="3961"/>
      <c r="AG10" s="3961"/>
      <c r="AH10" s="3958"/>
      <c r="AI10" s="4525" t="s">
        <v>1540</v>
      </c>
      <c r="AJ10" s="4526"/>
      <c r="AK10" s="4527"/>
      <c r="AL10" s="1992"/>
      <c r="AM10" s="1694"/>
      <c r="AN10" s="2319"/>
      <c r="AO10" s="4534" t="s">
        <v>8803</v>
      </c>
      <c r="AP10" s="4535"/>
      <c r="AQ10" s="2709"/>
      <c r="AR10" s="2310" t="s">
        <v>1687</v>
      </c>
    </row>
    <row r="11" spans="1:44" ht="12" customHeight="1" x14ac:dyDescent="0.2">
      <c r="A11" s="173"/>
      <c r="B11" s="1691"/>
      <c r="C11" s="4571" t="s">
        <v>2122</v>
      </c>
      <c r="D11" s="4571"/>
      <c r="E11" s="3243" t="s">
        <v>2123</v>
      </c>
      <c r="F11" s="3243"/>
      <c r="G11" s="67"/>
      <c r="H11" s="4562">
        <f>IF(VOL=0,0,VLOOKUP(VOL,Tabla_PotPsi,2))+IF(M10=0,0,VLOOKUP(M10,Tabla_PotPsitporCV,2))+J13+IF(Bono_ATA&lt;0,Bono_ATA,0)</f>
        <v>10</v>
      </c>
      <c r="I11" s="4562"/>
      <c r="J11" s="317" t="str">
        <f>IF(J13=0,"","Sumar")</f>
        <v/>
      </c>
      <c r="K11" s="317" t="str">
        <f>IF(J13=0,"",TRUNC(J13/5,0))</f>
        <v/>
      </c>
      <c r="L11" s="4558" t="str">
        <f>IF(J13=0,"","a la Fatiga")</f>
        <v/>
      </c>
      <c r="M11" s="4558"/>
      <c r="N11" s="67"/>
      <c r="O11" s="318" t="s">
        <v>1702</v>
      </c>
      <c r="P11" s="2758" t="s">
        <v>1880</v>
      </c>
      <c r="Q11" s="21" t="s">
        <v>2012</v>
      </c>
      <c r="R11" s="68"/>
      <c r="S11" s="56"/>
      <c r="T11" s="56"/>
      <c r="U11" s="1861">
        <f>IF(V11=0,0,1)</f>
        <v>0</v>
      </c>
      <c r="V11" s="4552"/>
      <c r="W11" s="4553"/>
      <c r="X11" s="4553"/>
      <c r="Y11" s="4553"/>
      <c r="Z11" s="4553"/>
      <c r="AA11" s="4574"/>
      <c r="AB11" s="4544" t="str">
        <f>IF(AA11=0,"",IF(AA11*10&lt;100,AA11*10,100))</f>
        <v/>
      </c>
      <c r="AC11" s="96"/>
      <c r="AD11" s="4552"/>
      <c r="AE11" s="4553"/>
      <c r="AF11" s="4553"/>
      <c r="AG11" s="4553"/>
      <c r="AH11" s="4553"/>
      <c r="AI11" s="4528" t="str">
        <f>IF(AD11="","-",IF(AL11="-","Ventaja no escogida",IF(INDEX(Tabla_Dificultades,MATCH(AL11,INDEX(Tabla_Dificultades,,2),0),1)&lt;INDEX(Tabla_Dificultades,MATCH(AL12,INDEX(Tabla_Dificultades,,2),0),1),"Poder no eligible",AL12)))</f>
        <v>-</v>
      </c>
      <c r="AJ11" s="4529"/>
      <c r="AK11" s="4530"/>
      <c r="AL11" s="2710" t="str">
        <f>IF(Tablas!$G$324&gt;0,"DIF",IF(Tablas!G325&gt;0,"MDIF",IF(Tablas!$G$326&gt;0,"ABS","-")))</f>
        <v>-</v>
      </c>
      <c r="AM11" s="1694"/>
      <c r="AO11" s="4536"/>
      <c r="AP11" s="4537"/>
      <c r="AQ11" s="2318"/>
      <c r="AR11" s="2311" t="s">
        <v>1682</v>
      </c>
    </row>
    <row r="12" spans="1:44" ht="12" customHeight="1" thickBot="1" x14ac:dyDescent="0.25">
      <c r="A12" s="173"/>
      <c r="B12" s="1691"/>
      <c r="C12" s="4559">
        <f>CV_final</f>
        <v>0</v>
      </c>
      <c r="D12" s="4559"/>
      <c r="E12" s="4560">
        <f>F18+F15+F16+F17+F19</f>
        <v>0</v>
      </c>
      <c r="F12" s="4560"/>
      <c r="G12" s="67"/>
      <c r="H12" s="4562"/>
      <c r="I12" s="4562"/>
      <c r="J12" s="4569" t="str">
        <f>IF(SUM(Tablas!$G$451:$G$463)+SUM(Tablas!$H$1337:$H$1349),"+1 grado: Des. Psíquico.","")</f>
        <v/>
      </c>
      <c r="K12" s="4569"/>
      <c r="L12" s="4569"/>
      <c r="M12" s="4569"/>
      <c r="N12" s="67"/>
      <c r="O12" s="4570">
        <f>Turno_Nat_final</f>
        <v>35</v>
      </c>
      <c r="P12" s="4561">
        <f>IF(PDs!E110="Tabla de Proyección Psíquica",Proyecciónpsíquica_final-PDs!V109+PDs!V22,Proyecciónpsíquica_final)</f>
        <v>0</v>
      </c>
      <c r="Q12" s="4573">
        <f>IF(PDs!E110="Tabla de Proyección Psíquica",Proyecciónpsíquica_final-PDs!V109+MAX(PDs!V23,PDs!V24),Proyecciónpsíquica_final)</f>
        <v>0</v>
      </c>
      <c r="R12" s="68"/>
      <c r="S12" s="56"/>
      <c r="T12" s="56"/>
      <c r="U12" s="1861"/>
      <c r="V12" s="4568" t="str">
        <f>IF(V11=0,"",VLOOKUP(V11,Tabla_PoderesPsi,2,FALSE))</f>
        <v/>
      </c>
      <c r="W12" s="3507"/>
      <c r="X12" s="3507"/>
      <c r="Y12" s="2751" t="s">
        <v>1627</v>
      </c>
      <c r="Z12" s="2756" t="str">
        <f>IF(V11=0,"",VLOOKUP(V11,Tabla_PoderesPsi,3,FALSE))</f>
        <v/>
      </c>
      <c r="AA12" s="4574"/>
      <c r="AB12" s="4544"/>
      <c r="AC12" s="96"/>
      <c r="AD12" s="4554" t="str">
        <f>IF(AD11=0,"",VLOOKUP(AD11,Tabla_PoderesPsi,2,FALSE))</f>
        <v/>
      </c>
      <c r="AE12" s="3510"/>
      <c r="AF12" s="3510"/>
      <c r="AG12" s="2753" t="s">
        <v>1627</v>
      </c>
      <c r="AH12" s="1279" t="str">
        <f>IF(AD11=0,"",VLOOKUP(AD11,Tabla_PoderesPsi,3,FALSE))</f>
        <v/>
      </c>
      <c r="AI12" s="4531"/>
      <c r="AJ12" s="4532"/>
      <c r="AK12" s="4533"/>
      <c r="AL12" s="2710" t="str">
        <f>IF(AD11="","",INDEX('Tablas psiquica'!$U$7:$U$145,MATCH(AD11,Poderes_psi,0)))</f>
        <v/>
      </c>
      <c r="AM12" s="1694"/>
      <c r="AN12" s="2320"/>
      <c r="AO12" s="4539" t="s">
        <v>1682</v>
      </c>
      <c r="AP12" s="4540"/>
      <c r="AQ12" s="2709"/>
      <c r="AR12" s="2311" t="s">
        <v>8804</v>
      </c>
    </row>
    <row r="13" spans="1:44" ht="12" customHeight="1" thickBot="1" x14ac:dyDescent="0.25">
      <c r="A13" s="173"/>
      <c r="B13" s="1691"/>
      <c r="C13" s="4559"/>
      <c r="D13" s="4559"/>
      <c r="E13" s="4560"/>
      <c r="F13" s="4560"/>
      <c r="G13" s="67"/>
      <c r="H13" s="4572" t="s">
        <v>2124</v>
      </c>
      <c r="I13" s="4572"/>
      <c r="J13" s="90"/>
      <c r="K13" s="4575" t="s">
        <v>2125</v>
      </c>
      <c r="L13" s="4575"/>
      <c r="M13" s="319"/>
      <c r="N13" s="67"/>
      <c r="O13" s="4570"/>
      <c r="P13" s="4561"/>
      <c r="Q13" s="4573"/>
      <c r="R13" s="68"/>
      <c r="S13" s="56"/>
      <c r="T13" s="56"/>
      <c r="U13" s="1861">
        <f>IF(V13=0,0,1)</f>
        <v>0</v>
      </c>
      <c r="V13" s="4564"/>
      <c r="W13" s="4565"/>
      <c r="X13" s="4565"/>
      <c r="Y13" s="4565"/>
      <c r="Z13" s="4565"/>
      <c r="AA13" s="4566"/>
      <c r="AB13" s="4545" t="str">
        <f>IF(AA13=0,"",IF(AA13*10&lt;100,AA13*10,100))</f>
        <v/>
      </c>
      <c r="AC13" s="96"/>
      <c r="AD13" s="67"/>
      <c r="AE13" s="67"/>
      <c r="AF13" s="67"/>
      <c r="AG13" s="67"/>
      <c r="AH13" s="67"/>
      <c r="AI13" s="67"/>
      <c r="AJ13" s="67"/>
      <c r="AK13" s="96"/>
      <c r="AL13" s="1992"/>
      <c r="AM13" s="1694"/>
      <c r="AN13" s="2317"/>
      <c r="AO13" s="2317"/>
      <c r="AP13" s="2318"/>
      <c r="AQ13" s="2318"/>
      <c r="AR13" s="1775"/>
    </row>
    <row r="14" spans="1:44" ht="12" customHeight="1" thickBot="1" x14ac:dyDescent="0.25">
      <c r="A14" s="173"/>
      <c r="B14" s="1691"/>
      <c r="C14" s="4555" t="s">
        <v>2126</v>
      </c>
      <c r="D14" s="4555"/>
      <c r="E14" s="4555"/>
      <c r="F14" s="320" t="s">
        <v>2121</v>
      </c>
      <c r="G14" s="67"/>
      <c r="H14" s="96"/>
      <c r="I14" s="96"/>
      <c r="J14" s="96"/>
      <c r="K14" s="96"/>
      <c r="L14" s="96"/>
      <c r="M14" s="96"/>
      <c r="N14" s="67"/>
      <c r="O14" s="67"/>
      <c r="P14" s="67"/>
      <c r="Q14" s="67"/>
      <c r="R14" s="68"/>
      <c r="S14" s="56"/>
      <c r="T14" s="56"/>
      <c r="U14" s="1861"/>
      <c r="V14" s="4556" t="str">
        <f>IF(V13=0,"",VLOOKUP(V13,Tabla_PoderesPsi,2,FALSE))</f>
        <v/>
      </c>
      <c r="W14" s="4557"/>
      <c r="X14" s="4557"/>
      <c r="Y14" s="2755" t="s">
        <v>1627</v>
      </c>
      <c r="Z14" s="2757" t="str">
        <f>IF(V13=0,"",VLOOKUP(V13,Tabla_PoderesPsi,3,FALSE))</f>
        <v/>
      </c>
      <c r="AA14" s="4566"/>
      <c r="AB14" s="4545"/>
      <c r="AC14" s="96"/>
      <c r="AD14" s="67"/>
      <c r="AE14" s="67"/>
      <c r="AF14" s="67"/>
      <c r="AG14" s="67"/>
      <c r="AH14" s="67"/>
      <c r="AI14" s="67"/>
      <c r="AJ14" s="67"/>
      <c r="AK14" s="96"/>
      <c r="AL14" s="2313" t="s">
        <v>8784</v>
      </c>
      <c r="AM14" s="1694"/>
      <c r="AN14" s="1890"/>
      <c r="AO14" s="1890"/>
      <c r="AP14" s="2316"/>
      <c r="AQ14" s="2316"/>
      <c r="AR14" s="1775"/>
    </row>
    <row r="15" spans="1:44" ht="12" customHeight="1" thickBot="1" x14ac:dyDescent="0.25">
      <c r="A15" s="173"/>
      <c r="B15" s="1691"/>
      <c r="C15" s="3354" t="s">
        <v>2114</v>
      </c>
      <c r="D15" s="3354"/>
      <c r="E15" s="3354"/>
      <c r="F15" s="205">
        <f>IF(C25=0,0,1)+IF(C27=0,0,1)+IF(C29=0,0,1)+IF(C31=0,0,1)+IF(C33=0,0,1)+IF(C35=0,0,1)</f>
        <v>0</v>
      </c>
      <c r="G15" s="67"/>
      <c r="H15" s="3201" t="s">
        <v>2127</v>
      </c>
      <c r="I15" s="3201"/>
      <c r="J15" s="3201"/>
      <c r="K15" s="3201"/>
      <c r="L15" s="3201"/>
      <c r="M15" s="3201"/>
      <c r="N15" s="67"/>
      <c r="O15" s="3201" t="s">
        <v>2128</v>
      </c>
      <c r="P15" s="3201"/>
      <c r="Q15" s="3201"/>
      <c r="R15" s="68"/>
      <c r="S15" s="56"/>
      <c r="T15" s="56"/>
      <c r="U15" s="1861">
        <f>IF(V15=0,0,1)</f>
        <v>0</v>
      </c>
      <c r="V15" s="4552"/>
      <c r="W15" s="4553"/>
      <c r="X15" s="4553"/>
      <c r="Y15" s="4553"/>
      <c r="Z15" s="4553"/>
      <c r="AA15" s="4574"/>
      <c r="AB15" s="4544" t="str">
        <f>IF(AA15=0,"",IF(AA15*10&lt;100,AA15*10,100))</f>
        <v/>
      </c>
      <c r="AC15" s="96"/>
      <c r="AD15" s="3957" t="s">
        <v>8780</v>
      </c>
      <c r="AE15" s="3961"/>
      <c r="AF15" s="3961"/>
      <c r="AG15" s="3961"/>
      <c r="AH15" s="3958"/>
      <c r="AI15" s="2761" t="s">
        <v>2121</v>
      </c>
      <c r="AJ15" s="2761" t="s">
        <v>7882</v>
      </c>
      <c r="AK15" s="2762" t="s">
        <v>1540</v>
      </c>
      <c r="AL15" s="2314">
        <f>COUNTA(AD16,AD18,AD20,AD22,AD24,AD26,AD28,AD30,AD32,AD34,AD36,AD38,AD40,AD42,AD44,AD46,AD48,AD50,AD52,AD54,AD56,AD58,AD60)</f>
        <v>0</v>
      </c>
      <c r="AM15" s="1694"/>
      <c r="AN15" s="1890"/>
      <c r="AO15" s="2292"/>
      <c r="AP15" s="2315"/>
      <c r="AQ15" s="2315"/>
      <c r="AR15" s="1775"/>
    </row>
    <row r="16" spans="1:44" ht="12" customHeight="1" thickBot="1" x14ac:dyDescent="0.25">
      <c r="A16" s="173"/>
      <c r="B16" s="1691"/>
      <c r="C16" s="4585" t="s">
        <v>2115</v>
      </c>
      <c r="D16" s="4585"/>
      <c r="E16" s="4585"/>
      <c r="F16" s="321">
        <f>SUM(U11:U63)</f>
        <v>0</v>
      </c>
      <c r="G16" s="322"/>
      <c r="H16" s="4576" t="s">
        <v>8785</v>
      </c>
      <c r="I16" s="4577">
        <f>F20-SUM(AI11:AI64)</f>
        <v>0</v>
      </c>
      <c r="J16" s="4579"/>
      <c r="K16" s="4579"/>
      <c r="L16" s="4579"/>
      <c r="M16" s="4579"/>
      <c r="N16" s="67"/>
      <c r="O16" s="3223" t="s">
        <v>2043</v>
      </c>
      <c r="P16" s="3223"/>
      <c r="Q16" s="316" t="s">
        <v>1676</v>
      </c>
      <c r="R16" s="68"/>
      <c r="S16" s="56"/>
      <c r="T16" s="56"/>
      <c r="U16" s="1861"/>
      <c r="V16" s="4568" t="str">
        <f>IF(V15=0,"",VLOOKUP(V15,Tabla_PoderesPsi,2,FALSE))</f>
        <v/>
      </c>
      <c r="W16" s="3507"/>
      <c r="X16" s="3507"/>
      <c r="Y16" s="3007" t="s">
        <v>1627</v>
      </c>
      <c r="Z16" s="2852" t="str">
        <f>IF(V15=0,"",VLOOKUP(V15,Tabla_PoderesPsi,3,FALSE))</f>
        <v/>
      </c>
      <c r="AA16" s="4574"/>
      <c r="AB16" s="4544"/>
      <c r="AC16" s="2309"/>
      <c r="AD16" s="4552"/>
      <c r="AE16" s="4553"/>
      <c r="AF16" s="4553"/>
      <c r="AG16" s="4553"/>
      <c r="AH16" s="4553"/>
      <c r="AI16" s="4567"/>
      <c r="AJ16" s="4581"/>
      <c r="AK16" s="4544" t="str">
        <f>IF(AD16&lt;&gt;"",INDEX(Tablas!$U$26:$U$38,MAX(1+MATCH(VLOOKUP(Psíquicos!$AD16,'Tablas psiquica'!$D$7:$U$145,18,FALSE),'Tablas psiquica'!$I$6:$R$6,0),MAX(SUMPRODUCT(--(Tablas!$T$26:$T$38&lt;=(AL16-20*AI16)))+IF(Tablas!$G$446&gt;0,1,0)+IF(COUNTIF($C$39:$E$50,"Introversión")&gt;0,1,0),SUMPRODUCT(--(Tablas!$T$26:$T$38&lt;=(AL16)))))),"")</f>
        <v/>
      </c>
      <c r="AL16" s="4538">
        <f>$H$11+IF(ISNA(VLOOKUP(AD16,$V$11:$AB$64,7,FALSE)),0,IF(VLOOKUP(AD16,$V$11:$AB$64,7,FALSE)="",0,VLOOKUP(AD16,$V$11:$AB$64,7,FALSE)))+AI16*20+AJ16</f>
        <v>10</v>
      </c>
      <c r="AM16" s="1694"/>
      <c r="AN16" s="1890"/>
      <c r="AO16" s="1890"/>
      <c r="AP16" s="2316"/>
      <c r="AQ16" s="2316"/>
      <c r="AR16" s="1775"/>
    </row>
    <row r="17" spans="1:43" ht="12" customHeight="1" x14ac:dyDescent="0.2">
      <c r="A17" s="173"/>
      <c r="B17" s="1691"/>
      <c r="C17" s="4586" t="s">
        <v>2129</v>
      </c>
      <c r="D17" s="4586"/>
      <c r="E17" s="4586"/>
      <c r="F17" s="205">
        <f>SUM(AA11:AA64)</f>
        <v>0</v>
      </c>
      <c r="G17" s="67"/>
      <c r="H17" s="4576"/>
      <c r="I17" s="4578"/>
      <c r="J17" s="4579"/>
      <c r="K17" s="4579"/>
      <c r="L17" s="4579"/>
      <c r="M17" s="4579"/>
      <c r="N17" s="67"/>
      <c r="O17" s="4203" t="s">
        <v>2051</v>
      </c>
      <c r="P17" s="4203"/>
      <c r="Q17" s="323" t="str">
        <f>IF(OR(Tablas!G546&gt;0,Tablas!H1371&gt;0),"+0",IF(AND(Tablas!G444=0,Tablas!H1335=0),"+10","+20"))</f>
        <v>+10</v>
      </c>
      <c r="R17" s="68"/>
      <c r="S17" s="56"/>
      <c r="T17" s="56"/>
      <c r="U17" s="1861">
        <f>IF(V17=0,0,1)</f>
        <v>0</v>
      </c>
      <c r="V17" s="4564"/>
      <c r="W17" s="4565"/>
      <c r="X17" s="4565"/>
      <c r="Y17" s="4565"/>
      <c r="Z17" s="4565"/>
      <c r="AA17" s="4566"/>
      <c r="AB17" s="4545" t="str">
        <f>IF(AA17=0,"",IF(AA17*10&lt;100,AA17*10,100))</f>
        <v/>
      </c>
      <c r="AC17" s="2371"/>
      <c r="AD17" s="4568" t="str">
        <f>IF(AD16=0,"",VLOOKUP(AD16,Tabla_PoderesPsi,2,FALSE))</f>
        <v/>
      </c>
      <c r="AE17" s="3507"/>
      <c r="AF17" s="3507"/>
      <c r="AG17" s="2751" t="s">
        <v>1627</v>
      </c>
      <c r="AH17" s="2756" t="str">
        <f>IF(AD16=0,"",VLOOKUP(AD16,Tabla_PoderesPsi,3,FALSE))</f>
        <v/>
      </c>
      <c r="AI17" s="4567"/>
      <c r="AJ17" s="4541"/>
      <c r="AK17" s="4544"/>
      <c r="AL17" s="4538"/>
      <c r="AM17" s="1694"/>
      <c r="AN17" s="1890"/>
      <c r="AO17" s="2292"/>
      <c r="AP17" s="2315"/>
      <c r="AQ17" s="2315"/>
    </row>
    <row r="18" spans="1:43" ht="12" customHeight="1" x14ac:dyDescent="0.2">
      <c r="A18" s="173"/>
      <c r="B18" s="1691"/>
      <c r="C18" s="4582" t="s">
        <v>2130</v>
      </c>
      <c r="D18" s="4582"/>
      <c r="E18" s="4582"/>
      <c r="F18" s="321">
        <f>M10</f>
        <v>0</v>
      </c>
      <c r="G18" s="67"/>
      <c r="H18" s="324" t="s">
        <v>2131</v>
      </c>
      <c r="I18" s="2764"/>
      <c r="J18" s="56"/>
      <c r="K18" s="325" t="str">
        <f>IF(AND(Tablas!G445=0,Tablas!H1336=0),"+10 / CV","+20 / CV")</f>
        <v>+10 / CV</v>
      </c>
      <c r="L18" s="4583" t="str">
        <f>IF(AND(Tablas!G445=0,Tablas!H1368=0),"(Max +50)","(Max +100)")</f>
        <v>(Max +50)</v>
      </c>
      <c r="M18" s="4583"/>
      <c r="N18" s="67"/>
      <c r="O18" s="4201" t="s">
        <v>2054</v>
      </c>
      <c r="P18" s="4201"/>
      <c r="Q18" s="323" t="str">
        <f>IF(OR(Tablas!G546&gt;0,Tablas!H1371&gt;0),"+0",IF(AND(Tablas!G444=0,Tablas!H1335=0),"+20","+40"))</f>
        <v>+20</v>
      </c>
      <c r="R18" s="68"/>
      <c r="S18" s="56"/>
      <c r="T18" s="56"/>
      <c r="U18" s="1861"/>
      <c r="V18" s="4556" t="str">
        <f>IF(V17=0,"",VLOOKUP(V17,Tabla_PoderesPsi,2,FALSE))</f>
        <v/>
      </c>
      <c r="W18" s="4557"/>
      <c r="X18" s="4557"/>
      <c r="Y18" s="3009" t="s">
        <v>1627</v>
      </c>
      <c r="Z18" s="2757" t="str">
        <f>IF(V17=0,"",VLOOKUP(V17,Tabla_PoderesPsi,3,FALSE))</f>
        <v/>
      </c>
      <c r="AA18" s="4566"/>
      <c r="AB18" s="4545"/>
      <c r="AC18" s="2371"/>
      <c r="AD18" s="4564"/>
      <c r="AE18" s="4565"/>
      <c r="AF18" s="4565"/>
      <c r="AG18" s="4565"/>
      <c r="AH18" s="4565"/>
      <c r="AI18" s="4563"/>
      <c r="AJ18" s="4542"/>
      <c r="AK18" s="4545" t="str">
        <f>IF(AD18&lt;&gt;"",INDEX(Tablas!$U$26:$U$38,MAX(1+MATCH(VLOOKUP(Psíquicos!$AD18,'Tablas psiquica'!$D$7:$U$145,18,FALSE),'Tablas psiquica'!$I$6:$R$6,0),MAX(SUMPRODUCT(--(Tablas!$T$26:$T$38&lt;=(AL18-20*AI18)))+IF(Tablas!$G$446&gt;0,1,0)+IF(COUNTIF($C$39:$E$50,"Introversión")&gt;0,1,0),SUMPRODUCT(--(Tablas!$T$26:$T$38&lt;=(AL18)))))),"")</f>
        <v/>
      </c>
      <c r="AL18" s="4538">
        <f t="shared" ref="AL18" si="0">$H$11+IF(ISNA(VLOOKUP(AD18,$V$11:$AB$64,7,FALSE)),0,IF(VLOOKUP(AD18,$V$11:$AB$64,7,FALSE)="",0,VLOOKUP(AD18,$V$11:$AB$64,7,FALSE)))+AI18*20+AJ18</f>
        <v>10</v>
      </c>
      <c r="AM18" s="1694"/>
      <c r="AN18" s="1890"/>
      <c r="AO18" s="1890"/>
      <c r="AP18" s="2316"/>
      <c r="AQ18" s="2316"/>
    </row>
    <row r="19" spans="1:43" ht="12" customHeight="1" x14ac:dyDescent="0.2">
      <c r="A19" s="173"/>
      <c r="B19" s="1691"/>
      <c r="C19" s="3356" t="s">
        <v>2132</v>
      </c>
      <c r="D19" s="3356"/>
      <c r="E19" s="3356"/>
      <c r="F19" s="2663">
        <f>2*M13</f>
        <v>0</v>
      </c>
      <c r="G19" s="67"/>
      <c r="H19" s="326" t="s">
        <v>2133</v>
      </c>
      <c r="I19" s="327"/>
      <c r="J19" s="67"/>
      <c r="K19" s="328" t="s">
        <v>2134</v>
      </c>
      <c r="L19" s="4590" t="s">
        <v>2135</v>
      </c>
      <c r="M19" s="4590"/>
      <c r="N19" s="67"/>
      <c r="O19" s="4201" t="s">
        <v>2057</v>
      </c>
      <c r="P19" s="4201"/>
      <c r="Q19" s="323" t="str">
        <f>IF(OR(Tablas!G546&gt;0,Tablas!H1371&gt;0),"+0",IF(AND(Tablas!G444=0,Tablas!H1335=0),"+30","+60"))</f>
        <v>+30</v>
      </c>
      <c r="R19" s="68"/>
      <c r="S19" s="56"/>
      <c r="T19" s="56"/>
      <c r="U19" s="1861">
        <f>IF(V19=0,0,1)</f>
        <v>0</v>
      </c>
      <c r="V19" s="4552"/>
      <c r="W19" s="4553"/>
      <c r="X19" s="4553"/>
      <c r="Y19" s="4553"/>
      <c r="Z19" s="4553"/>
      <c r="AA19" s="4574"/>
      <c r="AB19" s="4544" t="str">
        <f>IF(AA19=0,"",IF(AA19*10&lt;100,AA19*10,100))</f>
        <v/>
      </c>
      <c r="AC19" s="2371"/>
      <c r="AD19" s="4556" t="str">
        <f>IF(AD18=0,"",VLOOKUP(AD18,Tabla_PoderesPsi,2,FALSE))</f>
        <v/>
      </c>
      <c r="AE19" s="4557"/>
      <c r="AF19" s="4557"/>
      <c r="AG19" s="2755" t="s">
        <v>1627</v>
      </c>
      <c r="AH19" s="2757" t="str">
        <f>IF(AD18=0,"",VLOOKUP(AD18,Tabla_PoderesPsi,3,FALSE))</f>
        <v/>
      </c>
      <c r="AI19" s="4563"/>
      <c r="AJ19" s="4542"/>
      <c r="AK19" s="4545"/>
      <c r="AL19" s="4538"/>
      <c r="AM19" s="1694"/>
      <c r="AN19" s="1890"/>
      <c r="AO19" s="2292"/>
      <c r="AP19" s="2315"/>
      <c r="AQ19" s="2315"/>
    </row>
    <row r="20" spans="1:43" ht="12" customHeight="1" x14ac:dyDescent="0.2">
      <c r="A20" s="173"/>
      <c r="B20" s="1691"/>
      <c r="C20" s="4587" t="s">
        <v>2127</v>
      </c>
      <c r="D20" s="4587"/>
      <c r="E20" s="4587"/>
      <c r="F20" s="4588">
        <f>C12-E12</f>
        <v>0</v>
      </c>
      <c r="G20" s="67"/>
      <c r="H20" s="324" t="s">
        <v>2136</v>
      </c>
      <c r="I20" s="217"/>
      <c r="J20" s="56"/>
      <c r="K20" s="325" t="s">
        <v>2134</v>
      </c>
      <c r="L20" s="4583" t="s">
        <v>2135</v>
      </c>
      <c r="M20" s="4583"/>
      <c r="N20" s="67"/>
      <c r="O20" s="4201" t="s">
        <v>2059</v>
      </c>
      <c r="P20" s="4201"/>
      <c r="Q20" s="323" t="str">
        <f>IF(OR(Tablas!G546&gt;0,Tablas!H1371&gt;0),"+0",IF(AND(Tablas!G444=0,Tablas!H1335=0),"+40","+80"))</f>
        <v>+40</v>
      </c>
      <c r="R20" s="68"/>
      <c r="S20" s="56"/>
      <c r="T20" s="56"/>
      <c r="U20" s="1861"/>
      <c r="V20" s="4568" t="str">
        <f>IF(V19=0,"",VLOOKUP(V19,Tabla_PoderesPsi,2,FALSE))</f>
        <v/>
      </c>
      <c r="W20" s="3507"/>
      <c r="X20" s="3507"/>
      <c r="Y20" s="3007" t="s">
        <v>1627</v>
      </c>
      <c r="Z20" s="2852" t="str">
        <f>IF(V19=0,"",VLOOKUP(V19,Tabla_PoderesPsi,3,FALSE))</f>
        <v/>
      </c>
      <c r="AA20" s="4574"/>
      <c r="AB20" s="4544"/>
      <c r="AC20" s="2371"/>
      <c r="AD20" s="4592"/>
      <c r="AE20" s="4593"/>
      <c r="AF20" s="4593"/>
      <c r="AG20" s="4593"/>
      <c r="AH20" s="4594"/>
      <c r="AI20" s="4567"/>
      <c r="AJ20" s="4541"/>
      <c r="AK20" s="4544" t="str">
        <f>IF(AD20&lt;&gt;"",INDEX(Tablas!$U$26:$U$38,MAX(1+MATCH(VLOOKUP(Psíquicos!$AD20,'Tablas psiquica'!$D$7:$U$145,18,FALSE),'Tablas psiquica'!$I$6:$R$6,0),MAX(SUMPRODUCT(--(Tablas!$T$26:$T$38&lt;=(AL20-20*AI20)))+IF(Tablas!$G$446&gt;0,1,0)+IF(COUNTIF($C$39:$E$50,"Introversión")&gt;0,1,0),SUMPRODUCT(--(Tablas!$T$26:$T$38&lt;=(AL20)))))),"")</f>
        <v/>
      </c>
      <c r="AL20" s="4538">
        <f t="shared" ref="AL20" si="1">$H$11+IF(ISNA(VLOOKUP(AD20,$V$11:$AB$64,7,FALSE)),0,IF(VLOOKUP(AD20,$V$11:$AB$64,7,FALSE)="",0,VLOOKUP(AD20,$V$11:$AB$64,7,FALSE)))+AI20*20+AJ20</f>
        <v>10</v>
      </c>
      <c r="AM20" s="1694"/>
      <c r="AN20" s="1890"/>
      <c r="AO20" s="1890"/>
      <c r="AP20" s="2316"/>
      <c r="AQ20" s="2316"/>
    </row>
    <row r="21" spans="1:43" ht="12" customHeight="1" x14ac:dyDescent="0.2">
      <c r="A21" s="173"/>
      <c r="B21" s="1691"/>
      <c r="C21" s="4587"/>
      <c r="D21" s="4587"/>
      <c r="E21" s="4587"/>
      <c r="F21" s="4588"/>
      <c r="G21" s="67"/>
      <c r="H21" s="326" t="s">
        <v>2137</v>
      </c>
      <c r="I21" s="327"/>
      <c r="J21" s="67"/>
      <c r="K21" s="328" t="s">
        <v>2138</v>
      </c>
      <c r="L21" s="4590" t="s">
        <v>2139</v>
      </c>
      <c r="M21" s="4590"/>
      <c r="N21" s="67"/>
      <c r="O21" s="4591" t="s">
        <v>2062</v>
      </c>
      <c r="P21" s="4591"/>
      <c r="Q21" s="2664" t="str">
        <f>IF(OR(Tablas!G546&gt;0,Tablas!H1371&gt;0),"+0",IF(AND(Tablas!G444=0,Tablas!H1335=0),"+50","+100"))</f>
        <v>+50</v>
      </c>
      <c r="R21" s="68"/>
      <c r="S21" s="56"/>
      <c r="T21" s="56"/>
      <c r="U21" s="1861">
        <f>IF(V21=0,0,1)</f>
        <v>0</v>
      </c>
      <c r="V21" s="4564"/>
      <c r="W21" s="4565"/>
      <c r="X21" s="4565"/>
      <c r="Y21" s="4565"/>
      <c r="Z21" s="4565"/>
      <c r="AA21" s="4566"/>
      <c r="AB21" s="4545" t="str">
        <f>IF(AA21=0,"",IF(AA21*10&lt;100,AA21*10,100))</f>
        <v/>
      </c>
      <c r="AC21" s="2371"/>
      <c r="AD21" s="4568" t="str">
        <f>IF(AD20=0,"",VLOOKUP(AD20,Tabla_PoderesPsi,2,FALSE))</f>
        <v/>
      </c>
      <c r="AE21" s="3398"/>
      <c r="AF21" s="3398"/>
      <c r="AG21" s="2751" t="s">
        <v>1627</v>
      </c>
      <c r="AH21" s="2756" t="str">
        <f>IF(AD20=0,"",VLOOKUP(AD20,Tabla_PoderesPsi,3,FALSE))</f>
        <v/>
      </c>
      <c r="AI21" s="4567"/>
      <c r="AJ21" s="4541"/>
      <c r="AK21" s="4544"/>
      <c r="AL21" s="4538"/>
      <c r="AM21" s="1694"/>
      <c r="AN21" s="1890"/>
      <c r="AO21" s="2292"/>
      <c r="AP21" s="2315"/>
      <c r="AQ21" s="2315"/>
    </row>
    <row r="22" spans="1:43" ht="12" customHeight="1" thickBot="1" x14ac:dyDescent="0.25">
      <c r="A22" s="173"/>
      <c r="B22" s="1691"/>
      <c r="C22" s="4595" t="str">
        <f>IF(F20&lt;0,"Exceso de CVs",IF(AL15&gt;M13,"Exceso de innatos activos",""))</f>
        <v/>
      </c>
      <c r="D22" s="4595"/>
      <c r="E22" s="4595"/>
      <c r="F22" s="4595"/>
      <c r="G22" s="329"/>
      <c r="H22" s="330" t="s">
        <v>2140</v>
      </c>
      <c r="I22" s="331"/>
      <c r="J22" s="124"/>
      <c r="K22" s="332" t="s">
        <v>2138</v>
      </c>
      <c r="L22" s="4067" t="s">
        <v>2141</v>
      </c>
      <c r="M22" s="4067"/>
      <c r="N22" s="67"/>
      <c r="O22" s="4596" t="str">
        <f>IF(OR(Tablas!G546&gt;0,Tablas!H1371&gt;0),"Sin concentración",IF(AND(Tablas!G444=0,Tablas!H1335=0),"","Concentración extrema"))</f>
        <v/>
      </c>
      <c r="P22" s="4596"/>
      <c r="Q22" s="4596"/>
      <c r="R22" s="68"/>
      <c r="S22" s="56"/>
      <c r="T22" s="56"/>
      <c r="U22" s="1861"/>
      <c r="V22" s="4556" t="str">
        <f>IF(V21=0,"",VLOOKUP(V21,Tabla_PoderesPsi,2,FALSE))</f>
        <v/>
      </c>
      <c r="W22" s="4557"/>
      <c r="X22" s="4557"/>
      <c r="Y22" s="3009" t="s">
        <v>1627</v>
      </c>
      <c r="Z22" s="2757" t="str">
        <f>IF(V21=0,"",VLOOKUP(V21,Tabla_PoderesPsi,3,FALSE))</f>
        <v/>
      </c>
      <c r="AA22" s="4566"/>
      <c r="AB22" s="4545"/>
      <c r="AC22" s="2371"/>
      <c r="AD22" s="4564"/>
      <c r="AE22" s="4565"/>
      <c r="AF22" s="4565"/>
      <c r="AG22" s="4565"/>
      <c r="AH22" s="4565"/>
      <c r="AI22" s="4580"/>
      <c r="AJ22" s="4542"/>
      <c r="AK22" s="4545" t="str">
        <f>IF(AD22&lt;&gt;"",INDEX(Tablas!$U$26:$U$38,MAX(1+MATCH(VLOOKUP(Psíquicos!$AD22,'Tablas psiquica'!$D$7:$U$145,18,FALSE),'Tablas psiquica'!$I$6:$R$6,0),MAX(SUMPRODUCT(--(Tablas!$T$26:$T$38&lt;=(AL22-20*AI22)))+IF(Tablas!$G$446&gt;0,1,0)+IF(COUNTIF($C$39:$E$50,"Introversión")&gt;0,1,0),SUMPRODUCT(--(Tablas!$T$26:$T$38&lt;=(AL22)))))),"")</f>
        <v/>
      </c>
      <c r="AL22" s="4538">
        <f t="shared" ref="AL22" si="2">$H$11+IF(ISNA(VLOOKUP(AD22,$V$11:$AB$64,7,FALSE)),0,IF(VLOOKUP(AD22,$V$11:$AB$64,7,FALSE)="",0,VLOOKUP(AD22,$V$11:$AB$64,7,FALSE)))+AI22*20+AJ22</f>
        <v>10</v>
      </c>
      <c r="AM22" s="1694"/>
      <c r="AN22" s="1890"/>
      <c r="AO22" s="1890"/>
      <c r="AP22" s="2316"/>
      <c r="AQ22" s="2316"/>
    </row>
    <row r="23" spans="1:43" ht="12" customHeight="1" thickBot="1" x14ac:dyDescent="0.25">
      <c r="A23" s="173"/>
      <c r="B23" s="1691"/>
      <c r="C23" s="67"/>
      <c r="D23" s="67"/>
      <c r="E23" s="67"/>
      <c r="F23" s="67"/>
      <c r="G23" s="67"/>
      <c r="H23" s="67"/>
      <c r="I23" s="67"/>
      <c r="J23" s="67"/>
      <c r="K23" s="67"/>
      <c r="L23" s="67"/>
      <c r="M23" s="120"/>
      <c r="N23" s="67"/>
      <c r="O23" s="67"/>
      <c r="P23" s="67"/>
      <c r="Q23" s="67"/>
      <c r="R23" s="68"/>
      <c r="S23" s="56"/>
      <c r="T23" s="56"/>
      <c r="U23" s="1861">
        <f>IF(V23=0,0,1)</f>
        <v>0</v>
      </c>
      <c r="V23" s="4552"/>
      <c r="W23" s="4553"/>
      <c r="X23" s="4553"/>
      <c r="Y23" s="4553"/>
      <c r="Z23" s="4553"/>
      <c r="AA23" s="4574"/>
      <c r="AB23" s="4544" t="str">
        <f>IF(AA23=0,"",IF(AA23*10&lt;100,AA23*10,100))</f>
        <v/>
      </c>
      <c r="AC23" s="2371"/>
      <c r="AD23" s="4556" t="str">
        <f>IF(AD22=0,"",VLOOKUP(AD22,Tabla_PoderesPsi,2,FALSE))</f>
        <v/>
      </c>
      <c r="AE23" s="4584"/>
      <c r="AF23" s="4584"/>
      <c r="AG23" s="2755" t="s">
        <v>1627</v>
      </c>
      <c r="AH23" s="2757" t="str">
        <f>IF(AD22=0,"",VLOOKUP(AD22,Tabla_PoderesPsi,3,FALSE))</f>
        <v/>
      </c>
      <c r="AI23" s="4580"/>
      <c r="AJ23" s="4542"/>
      <c r="AK23" s="4545"/>
      <c r="AL23" s="4538"/>
      <c r="AM23" s="1694"/>
      <c r="AN23" s="2292"/>
      <c r="AO23" s="2292"/>
      <c r="AP23" s="2315"/>
      <c r="AQ23" s="2315"/>
    </row>
    <row r="24" spans="1:43" ht="12" customHeight="1" thickBot="1" x14ac:dyDescent="0.25">
      <c r="A24" s="173"/>
      <c r="B24" s="1691"/>
      <c r="C24" s="3201" t="s">
        <v>2142</v>
      </c>
      <c r="D24" s="3201"/>
      <c r="E24" s="3201"/>
      <c r="F24" s="3911" t="s">
        <v>2143</v>
      </c>
      <c r="G24" s="3911"/>
      <c r="H24" s="3911"/>
      <c r="I24" s="3911"/>
      <c r="J24" s="3911"/>
      <c r="K24" s="3911"/>
      <c r="L24" s="3911"/>
      <c r="M24" s="3911"/>
      <c r="N24" s="3911"/>
      <c r="O24" s="3911"/>
      <c r="P24" s="3911"/>
      <c r="Q24" s="3911"/>
      <c r="R24" s="68"/>
      <c r="S24" s="56"/>
      <c r="T24" s="56"/>
      <c r="U24" s="1861"/>
      <c r="V24" s="4568" t="str">
        <f>IF(V23=0,"",VLOOKUP(V23,Tabla_PoderesPsi,2,FALSE))</f>
        <v/>
      </c>
      <c r="W24" s="3507"/>
      <c r="X24" s="3507"/>
      <c r="Y24" s="3007" t="s">
        <v>1627</v>
      </c>
      <c r="Z24" s="2852" t="str">
        <f>IF(V23=0,"",VLOOKUP(V23,Tabla_PoderesPsi,3,FALSE))</f>
        <v/>
      </c>
      <c r="AA24" s="4574"/>
      <c r="AB24" s="4544"/>
      <c r="AC24" s="2371"/>
      <c r="AD24" s="4592"/>
      <c r="AE24" s="4593"/>
      <c r="AF24" s="4593"/>
      <c r="AG24" s="4593"/>
      <c r="AH24" s="4594"/>
      <c r="AI24" s="4589"/>
      <c r="AJ24" s="4541"/>
      <c r="AK24" s="4544" t="str">
        <f>IF(AD24&lt;&gt;"",INDEX(Tablas!$U$26:$U$38,MAX(1+MATCH(VLOOKUP(Psíquicos!$AD24,'Tablas psiquica'!$D$7:$U$145,18,FALSE),'Tablas psiquica'!$I$6:$R$6,0),MAX(SUMPRODUCT(--(Tablas!$T$26:$T$38&lt;=(AL24-20*AI24)))+IF(Tablas!$G$446&gt;0,1,0)+IF(COUNTIF($C$39:$E$50,"Introversión")&gt;0,1,0),SUMPRODUCT(--(Tablas!$T$26:$T$38&lt;=(AL24)))))),"")</f>
        <v/>
      </c>
      <c r="AL24" s="4538">
        <f t="shared" ref="AL24" si="3">$H$11+IF(ISNA(VLOOKUP(AD24,$V$11:$AB$64,7,FALSE)),0,IF(VLOOKUP(AD24,$V$11:$AB$64,7,FALSE)="",0,VLOOKUP(AD24,$V$11:$AB$64,7,FALSE)))+AI24*20+AJ24</f>
        <v>10</v>
      </c>
      <c r="AM24" s="1694"/>
      <c r="AN24" s="1890"/>
      <c r="AO24" s="1890"/>
      <c r="AP24" s="2316"/>
      <c r="AQ24" s="2316"/>
    </row>
    <row r="25" spans="1:43" ht="12" customHeight="1" x14ac:dyDescent="0.2">
      <c r="A25" s="173"/>
      <c r="B25" s="1691"/>
      <c r="C25" s="4597"/>
      <c r="D25" s="4597"/>
      <c r="E25" s="4597"/>
      <c r="F25" s="4598" t="str">
        <f>IF(C25=0,"",VLOOKUP(C25,Tabla_DisciplinasPsi,2,FALSE))</f>
        <v/>
      </c>
      <c r="G25" s="4598"/>
      <c r="H25" s="4598"/>
      <c r="I25" s="4598"/>
      <c r="J25" s="4598"/>
      <c r="K25" s="4598"/>
      <c r="L25" s="4598"/>
      <c r="M25" s="4598"/>
      <c r="N25" s="4598"/>
      <c r="O25" s="4598"/>
      <c r="P25" s="4598"/>
      <c r="Q25" s="4598"/>
      <c r="R25" s="68"/>
      <c r="S25" s="56"/>
      <c r="T25" s="56"/>
      <c r="U25" s="1861">
        <f>IF(V25=0,0,1)</f>
        <v>0</v>
      </c>
      <c r="V25" s="4564"/>
      <c r="W25" s="4565"/>
      <c r="X25" s="4565"/>
      <c r="Y25" s="4565"/>
      <c r="Z25" s="4565"/>
      <c r="AA25" s="4566"/>
      <c r="AB25" s="4545" t="str">
        <f>IF(AA25=0,"",IF(AA25*10&lt;100,AA25*10,100))</f>
        <v/>
      </c>
      <c r="AC25" s="2371"/>
      <c r="AD25" s="4568" t="str">
        <f>IF(AD24=0,"",VLOOKUP(AD24,Tabla_PoderesPsi,2,FALSE))</f>
        <v/>
      </c>
      <c r="AE25" s="3398"/>
      <c r="AF25" s="3398"/>
      <c r="AG25" s="2751" t="s">
        <v>1627</v>
      </c>
      <c r="AH25" s="2756" t="str">
        <f>IF(AD24=0,"",VLOOKUP(AD24,Tabla_PoderesPsi,3,FALSE))</f>
        <v/>
      </c>
      <c r="AI25" s="4589"/>
      <c r="AJ25" s="4541"/>
      <c r="AK25" s="4544"/>
      <c r="AL25" s="4538"/>
      <c r="AM25" s="1694"/>
      <c r="AN25" s="2321"/>
      <c r="AO25" s="1889"/>
      <c r="AP25" s="1889"/>
      <c r="AQ25" s="2711"/>
    </row>
    <row r="26" spans="1:43" ht="12" customHeight="1" x14ac:dyDescent="0.2">
      <c r="A26" s="173"/>
      <c r="B26" s="1691"/>
      <c r="C26" s="4597"/>
      <c r="D26" s="4597"/>
      <c r="E26" s="4597"/>
      <c r="F26" s="4598"/>
      <c r="G26" s="4598"/>
      <c r="H26" s="4598"/>
      <c r="I26" s="4598"/>
      <c r="J26" s="4598"/>
      <c r="K26" s="4598"/>
      <c r="L26" s="4598"/>
      <c r="M26" s="4598"/>
      <c r="N26" s="4598"/>
      <c r="O26" s="4598"/>
      <c r="P26" s="4598"/>
      <c r="Q26" s="4598"/>
      <c r="R26" s="68"/>
      <c r="S26" s="56"/>
      <c r="T26" s="56"/>
      <c r="U26" s="1861"/>
      <c r="V26" s="4556" t="str">
        <f>IF(V25=0,"",VLOOKUP(V25,Tabla_PoderesPsi,2,FALSE))</f>
        <v/>
      </c>
      <c r="W26" s="4557"/>
      <c r="X26" s="4557"/>
      <c r="Y26" s="3009" t="s">
        <v>1627</v>
      </c>
      <c r="Z26" s="2757" t="str">
        <f>IF(V25=0,"",VLOOKUP(V25,Tabla_PoderesPsi,3,FALSE))</f>
        <v/>
      </c>
      <c r="AA26" s="4566"/>
      <c r="AB26" s="4545"/>
      <c r="AC26" s="2766"/>
      <c r="AD26" s="4564"/>
      <c r="AE26" s="4565"/>
      <c r="AF26" s="4565"/>
      <c r="AG26" s="4565"/>
      <c r="AH26" s="4565"/>
      <c r="AI26" s="4563"/>
      <c r="AJ26" s="4542"/>
      <c r="AK26" s="4545" t="str">
        <f>IF(AD26&lt;&gt;"",INDEX(Tablas!$U$26:$U$38,MAX(1+MATCH(VLOOKUP(Psíquicos!$AD26,'Tablas psiquica'!$D$7:$U$145,18,FALSE),'Tablas psiquica'!$I$6:$R$6,0),MAX(SUMPRODUCT(--(Tablas!$T$26:$T$38&lt;=(AL26-20*AI26)))+IF(Tablas!$G$446&gt;0,1,0)+IF(COUNTIF($C$39:$E$50,"Introversión")&gt;0,1,0),SUMPRODUCT(--(Tablas!$T$26:$T$38&lt;=(AL26)))))),"")</f>
        <v/>
      </c>
      <c r="AL26" s="4538">
        <f t="shared" ref="AL26" si="4">$H$11+IF(ISNA(VLOOKUP(AD26,$V$11:$AB$64,7,FALSE)),0,IF(VLOOKUP(AD26,$V$11:$AB$64,7,FALSE)="",0,VLOOKUP(AD26,$V$11:$AB$64,7,FALSE)))+AI26*20+AJ26</f>
        <v>10</v>
      </c>
      <c r="AM26" s="1694"/>
      <c r="AO26" s="1888"/>
      <c r="AP26" s="1888"/>
      <c r="AQ26" s="1888"/>
    </row>
    <row r="27" spans="1:43" ht="12" customHeight="1" x14ac:dyDescent="0.2">
      <c r="A27" s="173"/>
      <c r="B27" s="1691"/>
      <c r="C27" s="4599"/>
      <c r="D27" s="4599"/>
      <c r="E27" s="4599"/>
      <c r="F27" s="4598" t="str">
        <f>IF(C27=0,"",VLOOKUP(C27,Tabla_DisciplinasPsi,2,FALSE))</f>
        <v/>
      </c>
      <c r="G27" s="4598"/>
      <c r="H27" s="4598"/>
      <c r="I27" s="4598"/>
      <c r="J27" s="4598"/>
      <c r="K27" s="4598"/>
      <c r="L27" s="4598"/>
      <c r="M27" s="4598"/>
      <c r="N27" s="4598"/>
      <c r="O27" s="4598"/>
      <c r="P27" s="4598"/>
      <c r="Q27" s="4598"/>
      <c r="R27" s="68"/>
      <c r="S27" s="56"/>
      <c r="T27" s="56"/>
      <c r="U27" s="1861">
        <f>IF(V27=0,0,1)</f>
        <v>0</v>
      </c>
      <c r="V27" s="4552"/>
      <c r="W27" s="4553"/>
      <c r="X27" s="4553"/>
      <c r="Y27" s="4553"/>
      <c r="Z27" s="4553"/>
      <c r="AA27" s="4574"/>
      <c r="AB27" s="4544" t="str">
        <f>IF(AA27=0,"",IF(AA27*10&lt;100,AA27*10,100))</f>
        <v/>
      </c>
      <c r="AC27" s="2766"/>
      <c r="AD27" s="4556" t="str">
        <f>IF(AD26=0,"",VLOOKUP(AD26,Tabla_PoderesPsi,2,FALSE))</f>
        <v/>
      </c>
      <c r="AE27" s="4584"/>
      <c r="AF27" s="4584"/>
      <c r="AG27" s="2755" t="s">
        <v>1627</v>
      </c>
      <c r="AH27" s="2757" t="str">
        <f>IF(AD26=0,"",VLOOKUP(AD26,Tabla_PoderesPsi,3,FALSE))</f>
        <v/>
      </c>
      <c r="AI27" s="4563"/>
      <c r="AJ27" s="4542"/>
      <c r="AK27" s="4545"/>
      <c r="AL27" s="4538"/>
      <c r="AM27" s="1694"/>
      <c r="AQ27" s="1889"/>
    </row>
    <row r="28" spans="1:43" ht="12" customHeight="1" x14ac:dyDescent="0.2">
      <c r="A28" s="173"/>
      <c r="B28" s="1691"/>
      <c r="C28" s="4599"/>
      <c r="D28" s="4599"/>
      <c r="E28" s="4599"/>
      <c r="F28" s="4598"/>
      <c r="G28" s="4598"/>
      <c r="H28" s="4598"/>
      <c r="I28" s="4598"/>
      <c r="J28" s="4598"/>
      <c r="K28" s="4598"/>
      <c r="L28" s="4598"/>
      <c r="M28" s="4598"/>
      <c r="N28" s="4598"/>
      <c r="O28" s="4598"/>
      <c r="P28" s="4598"/>
      <c r="Q28" s="4598"/>
      <c r="R28" s="68"/>
      <c r="S28" s="56"/>
      <c r="T28" s="56"/>
      <c r="U28" s="1861"/>
      <c r="V28" s="4568" t="str">
        <f>IF(V27=0,"",VLOOKUP(V27,Tabla_PoderesPsi,2,FALSE))</f>
        <v/>
      </c>
      <c r="W28" s="3507"/>
      <c r="X28" s="3507"/>
      <c r="Y28" s="3007" t="s">
        <v>1627</v>
      </c>
      <c r="Z28" s="2852" t="str">
        <f>IF(V27=0,"",VLOOKUP(V27,Tabla_PoderesPsi,3,FALSE))</f>
        <v/>
      </c>
      <c r="AA28" s="4574"/>
      <c r="AB28" s="4544"/>
      <c r="AC28" s="188"/>
      <c r="AD28" s="4592"/>
      <c r="AE28" s="4593"/>
      <c r="AF28" s="4593"/>
      <c r="AG28" s="4593"/>
      <c r="AH28" s="4594"/>
      <c r="AI28" s="4567"/>
      <c r="AJ28" s="4541"/>
      <c r="AK28" s="4544" t="str">
        <f>IF(AD28&lt;&gt;"",INDEX(Tablas!$U$26:$U$38,MAX(1+MATCH(VLOOKUP(Psíquicos!$AD28,'Tablas psiquica'!$D$7:$U$145,18,FALSE),'Tablas psiquica'!$I$6:$R$6,0),MAX(SUMPRODUCT(--(Tablas!$T$26:$T$38&lt;=(AL28-20*AI28)))+IF(Tablas!$G$446&gt;0,1,0)+IF(COUNTIF($C$39:$E$50,"Introversión")&gt;0,1,0),SUMPRODUCT(--(Tablas!$T$26:$T$38&lt;=(AL28)))))),"")</f>
        <v/>
      </c>
      <c r="AL28" s="4538">
        <f t="shared" ref="AL28" si="5">$H$11+IF(ISNA(VLOOKUP(AD28,$V$11:$AB$64,7,FALSE)),0,IF(VLOOKUP(AD28,$V$11:$AB$64,7,FALSE)="",0,VLOOKUP(AD28,$V$11:$AB$64,7,FALSE)))+AI28*20+AJ28</f>
        <v>10</v>
      </c>
      <c r="AM28" s="1694"/>
      <c r="AQ28" s="1775"/>
    </row>
    <row r="29" spans="1:43" ht="12" customHeight="1" x14ac:dyDescent="0.2">
      <c r="A29" s="173"/>
      <c r="B29" s="1691"/>
      <c r="C29" s="4599"/>
      <c r="D29" s="4599"/>
      <c r="E29" s="4599"/>
      <c r="F29" s="4598" t="str">
        <f>IF(C29=0,"",VLOOKUP(C29,Tabla_DisciplinasPsi,2,FALSE))</f>
        <v/>
      </c>
      <c r="G29" s="4598"/>
      <c r="H29" s="4598"/>
      <c r="I29" s="4598"/>
      <c r="J29" s="4598"/>
      <c r="K29" s="4598"/>
      <c r="L29" s="4598"/>
      <c r="M29" s="4598"/>
      <c r="N29" s="4598"/>
      <c r="O29" s="4598"/>
      <c r="P29" s="4598"/>
      <c r="Q29" s="4598"/>
      <c r="R29" s="68"/>
      <c r="S29" s="56"/>
      <c r="T29" s="56"/>
      <c r="U29" s="1861">
        <f>IF(V29=0,0,1)</f>
        <v>0</v>
      </c>
      <c r="V29" s="4564"/>
      <c r="W29" s="4565"/>
      <c r="X29" s="4565"/>
      <c r="Y29" s="4565"/>
      <c r="Z29" s="4565"/>
      <c r="AA29" s="4566"/>
      <c r="AB29" s="4545" t="str">
        <f>IF(AA29=0,"",IF(AA29*10&lt;100,AA29*10,100))</f>
        <v/>
      </c>
      <c r="AC29" s="2765"/>
      <c r="AD29" s="4568" t="str">
        <f>IF(AD28=0,"",VLOOKUP(AD28,Tabla_PoderesPsi,2,FALSE))</f>
        <v/>
      </c>
      <c r="AE29" s="3398"/>
      <c r="AF29" s="3398"/>
      <c r="AG29" s="2751" t="s">
        <v>1627</v>
      </c>
      <c r="AH29" s="2756" t="str">
        <f>IF(AD28=0,"",VLOOKUP(AD28,Tabla_PoderesPsi,3,FALSE))</f>
        <v/>
      </c>
      <c r="AI29" s="4567"/>
      <c r="AJ29" s="4541"/>
      <c r="AK29" s="4544"/>
      <c r="AL29" s="4538"/>
      <c r="AM29" s="1694"/>
      <c r="AQ29" s="1775"/>
    </row>
    <row r="30" spans="1:43" ht="12" customHeight="1" x14ac:dyDescent="0.2">
      <c r="A30" s="173"/>
      <c r="B30" s="1691"/>
      <c r="C30" s="4599"/>
      <c r="D30" s="4599"/>
      <c r="E30" s="4599"/>
      <c r="F30" s="4598"/>
      <c r="G30" s="4598"/>
      <c r="H30" s="4598"/>
      <c r="I30" s="4598"/>
      <c r="J30" s="4598"/>
      <c r="K30" s="4598"/>
      <c r="L30" s="4598"/>
      <c r="M30" s="4598"/>
      <c r="N30" s="4598"/>
      <c r="O30" s="4598"/>
      <c r="P30" s="4598"/>
      <c r="Q30" s="4598"/>
      <c r="R30" s="68"/>
      <c r="S30" s="56"/>
      <c r="T30" s="56"/>
      <c r="U30" s="1861"/>
      <c r="V30" s="4556" t="str">
        <f>IF(V29=0,"",VLOOKUP(V29,Tabla_PoderesPsi,2,FALSE))</f>
        <v/>
      </c>
      <c r="W30" s="4557"/>
      <c r="X30" s="4557"/>
      <c r="Y30" s="3009" t="s">
        <v>1627</v>
      </c>
      <c r="Z30" s="2757" t="str">
        <f>IF(V29=0,"",VLOOKUP(V29,Tabla_PoderesPsi,3,FALSE))</f>
        <v/>
      </c>
      <c r="AA30" s="4566"/>
      <c r="AB30" s="4545"/>
      <c r="AC30" s="2766"/>
      <c r="AD30" s="4564"/>
      <c r="AE30" s="4565"/>
      <c r="AF30" s="4565"/>
      <c r="AG30" s="4565"/>
      <c r="AH30" s="4565"/>
      <c r="AI30" s="4563"/>
      <c r="AJ30" s="4542"/>
      <c r="AK30" s="4545" t="str">
        <f>IF(AD30&lt;&gt;"",INDEX(Tablas!$U$26:$U$38,MAX(1+MATCH(VLOOKUP(Psíquicos!$AD30,'Tablas psiquica'!$D$7:$U$145,18,FALSE),'Tablas psiquica'!$I$6:$R$6,0),MAX(SUMPRODUCT(--(Tablas!$T$26:$T$38&lt;=(AL30-20*AI30)))+IF(Tablas!$G$446&gt;0,1,0)+IF(COUNTIF($C$39:$E$50,"Introversión")&gt;0,1,0),SUMPRODUCT(--(Tablas!$T$26:$T$38&lt;=(AL30)))))),"")</f>
        <v/>
      </c>
      <c r="AL30" s="4538">
        <f t="shared" ref="AL30" si="6">$H$11+IF(ISNA(VLOOKUP(AD30,$V$11:$AB$64,7,FALSE)),0,IF(VLOOKUP(AD30,$V$11:$AB$64,7,FALSE)="",0,VLOOKUP(AD30,$V$11:$AB$64,7,FALSE)))+AI30*20+AJ30</f>
        <v>10</v>
      </c>
      <c r="AM30" s="1694"/>
      <c r="AQ30" s="1775"/>
    </row>
    <row r="31" spans="1:43" ht="12" customHeight="1" x14ac:dyDescent="0.2">
      <c r="A31" s="173"/>
      <c r="B31" s="1691"/>
      <c r="C31" s="4599"/>
      <c r="D31" s="4599"/>
      <c r="E31" s="4599"/>
      <c r="F31" s="4598" t="str">
        <f>IF(C31=0,"",VLOOKUP(C31,Tabla_DisciplinasPsi,2,FALSE))</f>
        <v/>
      </c>
      <c r="G31" s="4598"/>
      <c r="H31" s="4598"/>
      <c r="I31" s="4598"/>
      <c r="J31" s="4598"/>
      <c r="K31" s="4598"/>
      <c r="L31" s="4598"/>
      <c r="M31" s="4598"/>
      <c r="N31" s="4598"/>
      <c r="O31" s="4598"/>
      <c r="P31" s="4598"/>
      <c r="Q31" s="4598"/>
      <c r="R31" s="68"/>
      <c r="S31" s="56"/>
      <c r="T31" s="56"/>
      <c r="U31" s="1861">
        <f>IF(V31=0,0,1)</f>
        <v>0</v>
      </c>
      <c r="V31" s="4552"/>
      <c r="W31" s="4553"/>
      <c r="X31" s="4553"/>
      <c r="Y31" s="4553"/>
      <c r="Z31" s="4553"/>
      <c r="AA31" s="4574"/>
      <c r="AB31" s="4544" t="str">
        <f>IF(AA31=0,"",IF(AA31*10&lt;100,AA31*10,100))</f>
        <v/>
      </c>
      <c r="AC31" s="2766"/>
      <c r="AD31" s="4556" t="str">
        <f>IF(AD30=0,"",VLOOKUP(AD30,Tabla_PoderesPsi,2,FALSE))</f>
        <v/>
      </c>
      <c r="AE31" s="4584"/>
      <c r="AF31" s="4584"/>
      <c r="AG31" s="2755" t="s">
        <v>1627</v>
      </c>
      <c r="AH31" s="2757" t="str">
        <f>IF(AD30=0,"",VLOOKUP(AD30,Tabla_PoderesPsi,3,FALSE))</f>
        <v/>
      </c>
      <c r="AI31" s="4563"/>
      <c r="AJ31" s="4542"/>
      <c r="AK31" s="4545"/>
      <c r="AL31" s="4538"/>
      <c r="AM31" s="1694"/>
      <c r="AQ31" s="1775"/>
    </row>
    <row r="32" spans="1:43" ht="12" customHeight="1" x14ac:dyDescent="0.2">
      <c r="A32" s="173"/>
      <c r="B32" s="1691"/>
      <c r="C32" s="4599"/>
      <c r="D32" s="4599"/>
      <c r="E32" s="4599"/>
      <c r="F32" s="4598"/>
      <c r="G32" s="4598"/>
      <c r="H32" s="4598"/>
      <c r="I32" s="4598"/>
      <c r="J32" s="4598"/>
      <c r="K32" s="4598"/>
      <c r="L32" s="4598"/>
      <c r="M32" s="4598"/>
      <c r="N32" s="4598"/>
      <c r="O32" s="4598"/>
      <c r="P32" s="4598"/>
      <c r="Q32" s="4598"/>
      <c r="R32" s="68"/>
      <c r="S32" s="56"/>
      <c r="T32" s="56"/>
      <c r="U32" s="1861"/>
      <c r="V32" s="4568" t="str">
        <f>IF(V31=0,"",VLOOKUP(V31,Tabla_PoderesPsi,2,FALSE))</f>
        <v/>
      </c>
      <c r="W32" s="3507"/>
      <c r="X32" s="3507"/>
      <c r="Y32" s="3007" t="s">
        <v>1627</v>
      </c>
      <c r="Z32" s="2852" t="str">
        <f>IF(V31=0,"",VLOOKUP(V31,Tabla_PoderesPsi,3,FALSE))</f>
        <v/>
      </c>
      <c r="AA32" s="4574"/>
      <c r="AB32" s="4544"/>
      <c r="AC32" s="214"/>
      <c r="AD32" s="4592"/>
      <c r="AE32" s="4593"/>
      <c r="AF32" s="4593"/>
      <c r="AG32" s="4593"/>
      <c r="AH32" s="4594"/>
      <c r="AI32" s="4567"/>
      <c r="AJ32" s="4541"/>
      <c r="AK32" s="4544" t="str">
        <f>IF(AD32&lt;&gt;"",INDEX(Tablas!$U$26:$U$38,MAX(1+MATCH(VLOOKUP(Psíquicos!$AD32,'Tablas psiquica'!$D$7:$U$145,18,FALSE),'Tablas psiquica'!$I$6:$R$6,0),MAX(SUMPRODUCT(--(Tablas!$T$26:$T$38&lt;=(AL32-20*AI32)))+IF(Tablas!$G$446&gt;0,1,0)+IF(COUNTIF($C$39:$E$50,"Introversión")&gt;0,1,0),SUMPRODUCT(--(Tablas!$T$26:$T$38&lt;=(AL32)))))),"")</f>
        <v/>
      </c>
      <c r="AL32" s="4538">
        <f t="shared" ref="AL32" si="7">$H$11+IF(ISNA(VLOOKUP(AD32,$V$11:$AB$64,7,FALSE)),0,IF(VLOOKUP(AD32,$V$11:$AB$64,7,FALSE)="",0,VLOOKUP(AD32,$V$11:$AB$64,7,FALSE)))+AI32*20+AJ32</f>
        <v>10</v>
      </c>
      <c r="AM32" s="1694"/>
      <c r="AQ32" s="1775"/>
    </row>
    <row r="33" spans="1:43" ht="12" customHeight="1" x14ac:dyDescent="0.2">
      <c r="A33" s="173"/>
      <c r="B33" s="1691"/>
      <c r="C33" s="4599"/>
      <c r="D33" s="4599"/>
      <c r="E33" s="4599"/>
      <c r="F33" s="4598" t="str">
        <f>IF(C33=0,"",VLOOKUP(C33,Tabla_DisciplinasPsi,2,FALSE))</f>
        <v/>
      </c>
      <c r="G33" s="4598"/>
      <c r="H33" s="4598"/>
      <c r="I33" s="4598"/>
      <c r="J33" s="4598"/>
      <c r="K33" s="4598"/>
      <c r="L33" s="4598"/>
      <c r="M33" s="4598"/>
      <c r="N33" s="4598"/>
      <c r="O33" s="4598"/>
      <c r="P33" s="4598"/>
      <c r="Q33" s="4598"/>
      <c r="R33" s="68"/>
      <c r="S33" s="56"/>
      <c r="T33" s="56"/>
      <c r="U33" s="1861">
        <f>IF(V33=0,0,1)</f>
        <v>0</v>
      </c>
      <c r="V33" s="4564"/>
      <c r="W33" s="4565"/>
      <c r="X33" s="4565"/>
      <c r="Y33" s="4565"/>
      <c r="Z33" s="4565"/>
      <c r="AA33" s="4566"/>
      <c r="AB33" s="4545" t="str">
        <f>IF(AA33=0,"",IF(AA33*10&lt;100,AA33*10,100))</f>
        <v/>
      </c>
      <c r="AC33" s="214"/>
      <c r="AD33" s="4568" t="str">
        <f>IF(AD32=0,"",VLOOKUP(AD32,Tabla_PoderesPsi,2,FALSE))</f>
        <v/>
      </c>
      <c r="AE33" s="3398"/>
      <c r="AF33" s="3398"/>
      <c r="AG33" s="2751" t="s">
        <v>1627</v>
      </c>
      <c r="AH33" s="2756" t="str">
        <f>IF(AD32=0,"",VLOOKUP(AD32,Tabla_PoderesPsi,3,FALSE))</f>
        <v/>
      </c>
      <c r="AI33" s="4567"/>
      <c r="AJ33" s="4541"/>
      <c r="AK33" s="4544"/>
      <c r="AL33" s="4538"/>
      <c r="AM33" s="1694"/>
      <c r="AQ33" s="1775"/>
    </row>
    <row r="34" spans="1:43" ht="12" customHeight="1" x14ac:dyDescent="0.2">
      <c r="A34" s="173"/>
      <c r="B34" s="1691"/>
      <c r="C34" s="4599"/>
      <c r="D34" s="4599"/>
      <c r="E34" s="4599"/>
      <c r="F34" s="4598"/>
      <c r="G34" s="4598"/>
      <c r="H34" s="4598"/>
      <c r="I34" s="4598"/>
      <c r="J34" s="4598"/>
      <c r="K34" s="4598"/>
      <c r="L34" s="4598"/>
      <c r="M34" s="4598"/>
      <c r="N34" s="4598"/>
      <c r="O34" s="4598"/>
      <c r="P34" s="4598"/>
      <c r="Q34" s="4598"/>
      <c r="R34" s="68"/>
      <c r="S34" s="56"/>
      <c r="T34" s="56"/>
      <c r="U34" s="1861"/>
      <c r="V34" s="4556" t="str">
        <f>IF(V33=0,"",VLOOKUP(V33,Tabla_PoderesPsi,2,FALSE))</f>
        <v/>
      </c>
      <c r="W34" s="4557"/>
      <c r="X34" s="4557"/>
      <c r="Y34" s="3009" t="s">
        <v>1627</v>
      </c>
      <c r="Z34" s="2757" t="str">
        <f>IF(V33=0,"",VLOOKUP(V33,Tabla_PoderesPsi,3,FALSE))</f>
        <v/>
      </c>
      <c r="AA34" s="4566"/>
      <c r="AB34" s="4545"/>
      <c r="AC34" s="2371"/>
      <c r="AD34" s="4564"/>
      <c r="AE34" s="4565"/>
      <c r="AF34" s="4565"/>
      <c r="AG34" s="4565"/>
      <c r="AH34" s="4565"/>
      <c r="AI34" s="4563"/>
      <c r="AJ34" s="4542"/>
      <c r="AK34" s="4545" t="str">
        <f>IF(AD34&lt;&gt;"",INDEX(Tablas!$U$26:$U$38,MAX(1+MATCH(VLOOKUP(Psíquicos!$AD34,'Tablas psiquica'!$D$7:$U$145,18,FALSE),'Tablas psiquica'!$I$6:$R$6,0),MAX(SUMPRODUCT(--(Tablas!$T$26:$T$38&lt;=(AL34-20*AI34)))+IF(Tablas!$G$446&gt;0,1,0)+IF(COUNTIF($C$39:$E$50,"Introversión")&gt;0,1,0),SUMPRODUCT(--(Tablas!$T$26:$T$38&lt;=(AL34)))))),"")</f>
        <v/>
      </c>
      <c r="AL34" s="4538">
        <f t="shared" ref="AL34" si="8">$H$11+IF(ISNA(VLOOKUP(AD34,$V$11:$AB$64,7,FALSE)),0,IF(VLOOKUP(AD34,$V$11:$AB$64,7,FALSE)="",0,VLOOKUP(AD34,$V$11:$AB$64,7,FALSE)))+AI34*20+AJ34</f>
        <v>10</v>
      </c>
      <c r="AM34" s="1694"/>
      <c r="AQ34" s="1775"/>
    </row>
    <row r="35" spans="1:43" ht="12" customHeight="1" thickBot="1" x14ac:dyDescent="0.25">
      <c r="A35" s="173"/>
      <c r="B35" s="1691"/>
      <c r="C35" s="4600"/>
      <c r="D35" s="4600"/>
      <c r="E35" s="4600"/>
      <c r="F35" s="4601" t="str">
        <f>IF(C35=0,"",VLOOKUP(C35,Tabla_DisciplinasPsi,2,FALSE))</f>
        <v/>
      </c>
      <c r="G35" s="4601"/>
      <c r="H35" s="4601"/>
      <c r="I35" s="4601"/>
      <c r="J35" s="4601"/>
      <c r="K35" s="4601"/>
      <c r="L35" s="4601"/>
      <c r="M35" s="4601"/>
      <c r="N35" s="4601"/>
      <c r="O35" s="4601"/>
      <c r="P35" s="4601"/>
      <c r="Q35" s="4601"/>
      <c r="R35" s="68"/>
      <c r="S35" s="56"/>
      <c r="T35" s="56"/>
      <c r="U35" s="1861">
        <f>IF(V35=0,0,1)</f>
        <v>0</v>
      </c>
      <c r="V35" s="4552"/>
      <c r="W35" s="4553"/>
      <c r="X35" s="4553"/>
      <c r="Y35" s="4553"/>
      <c r="Z35" s="4553"/>
      <c r="AA35" s="4574"/>
      <c r="AB35" s="4544" t="str">
        <f>IF(AA35=0,"",IF(AA35*10&lt;100,AA35*10,100))</f>
        <v/>
      </c>
      <c r="AC35" s="2766"/>
      <c r="AD35" s="4556" t="str">
        <f>IF(AD34=0,"",VLOOKUP(AD34,Tabla_PoderesPsi,2,FALSE))</f>
        <v/>
      </c>
      <c r="AE35" s="4584"/>
      <c r="AF35" s="4584"/>
      <c r="AG35" s="2755" t="s">
        <v>1627</v>
      </c>
      <c r="AH35" s="2757" t="str">
        <f>IF(AD34=0,"",VLOOKUP(AD34,Tabla_PoderesPsi,3,FALSE))</f>
        <v/>
      </c>
      <c r="AI35" s="4563"/>
      <c r="AJ35" s="4542"/>
      <c r="AK35" s="4545"/>
      <c r="AL35" s="4538"/>
      <c r="AM35" s="1694"/>
      <c r="AQ35" s="1775"/>
    </row>
    <row r="36" spans="1:43" ht="12" customHeight="1" thickBot="1" x14ac:dyDescent="0.25">
      <c r="A36" s="173"/>
      <c r="B36" s="1691"/>
      <c r="C36" s="4600"/>
      <c r="D36" s="4600"/>
      <c r="E36" s="4600"/>
      <c r="F36" s="4601"/>
      <c r="G36" s="4601"/>
      <c r="H36" s="4601"/>
      <c r="I36" s="4601"/>
      <c r="J36" s="4601"/>
      <c r="K36" s="4601"/>
      <c r="L36" s="4601"/>
      <c r="M36" s="4601"/>
      <c r="N36" s="4601"/>
      <c r="O36" s="4601"/>
      <c r="P36" s="4601"/>
      <c r="Q36" s="4601"/>
      <c r="R36" s="68"/>
      <c r="S36" s="56"/>
      <c r="T36" s="56"/>
      <c r="U36" s="1861"/>
      <c r="V36" s="4568" t="str">
        <f>IF(V35=0,"",VLOOKUP(V35,Tabla_PoderesPsi,2,FALSE))</f>
        <v/>
      </c>
      <c r="W36" s="3507"/>
      <c r="X36" s="3507"/>
      <c r="Y36" s="3007" t="s">
        <v>1627</v>
      </c>
      <c r="Z36" s="2852" t="str">
        <f>IF(V35=0,"",VLOOKUP(V35,Tabla_PoderesPsi,3,FALSE))</f>
        <v/>
      </c>
      <c r="AA36" s="4574"/>
      <c r="AB36" s="4544"/>
      <c r="AC36" s="2766"/>
      <c r="AD36" s="4592"/>
      <c r="AE36" s="4593"/>
      <c r="AF36" s="4593"/>
      <c r="AG36" s="4593"/>
      <c r="AH36" s="4594"/>
      <c r="AI36" s="4567"/>
      <c r="AJ36" s="4541"/>
      <c r="AK36" s="4544" t="str">
        <f>IF(AD36&lt;&gt;"",INDEX(Tablas!$U$26:$U$38,MAX(1+MATCH(VLOOKUP(Psíquicos!$AD36,'Tablas psiquica'!$D$7:$U$145,18,FALSE),'Tablas psiquica'!$I$6:$R$6,0),MAX(SUMPRODUCT(--(Tablas!$T$26:$T$38&lt;=(AL36-20*AI36)))+IF(Tablas!$G$446&gt;0,1,0)+IF(COUNTIF($C$39:$E$50,"Introversión")&gt;0,1,0),SUMPRODUCT(--(Tablas!$T$26:$T$38&lt;=(AL36)))))),"")</f>
        <v/>
      </c>
      <c r="AL36" s="4538">
        <f t="shared" ref="AL36" si="9">$H$11+IF(ISNA(VLOOKUP(AD36,$V$11:$AB$64,7,FALSE)),0,IF(VLOOKUP(AD36,$V$11:$AB$64,7,FALSE)="",0,VLOOKUP(AD36,$V$11:$AB$64,7,FALSE)))+AI36*20+AJ36</f>
        <v>10</v>
      </c>
      <c r="AM36" s="1694"/>
      <c r="AQ36" s="1775"/>
    </row>
    <row r="37" spans="1:43" ht="12" customHeight="1" thickBot="1" x14ac:dyDescent="0.25">
      <c r="A37" s="173"/>
      <c r="B37" s="1691"/>
      <c r="C37" s="67"/>
      <c r="D37" s="67"/>
      <c r="E37" s="67"/>
      <c r="F37" s="67"/>
      <c r="G37" s="67"/>
      <c r="H37" s="67"/>
      <c r="I37" s="67"/>
      <c r="J37" s="67"/>
      <c r="K37" s="67"/>
      <c r="L37" s="67"/>
      <c r="M37" s="67"/>
      <c r="N37" s="67"/>
      <c r="O37" s="67"/>
      <c r="P37" s="67"/>
      <c r="Q37" s="67"/>
      <c r="R37" s="68"/>
      <c r="S37" s="56"/>
      <c r="T37" s="56"/>
      <c r="U37" s="1861">
        <f>IF(V37=0,0,1)</f>
        <v>0</v>
      </c>
      <c r="V37" s="4564"/>
      <c r="W37" s="4565"/>
      <c r="X37" s="4565"/>
      <c r="Y37" s="4565"/>
      <c r="Z37" s="4565"/>
      <c r="AA37" s="4566"/>
      <c r="AB37" s="4545" t="str">
        <f>IF(AA37=0,"",IF(AA37*10&lt;100,AA37*10,100))</f>
        <v/>
      </c>
      <c r="AC37" s="188"/>
      <c r="AD37" s="4568" t="str">
        <f>IF(AD36=0,"",VLOOKUP(AD36,Tabla_PoderesPsi,2,FALSE))</f>
        <v/>
      </c>
      <c r="AE37" s="3398"/>
      <c r="AF37" s="3398"/>
      <c r="AG37" s="2751" t="s">
        <v>1627</v>
      </c>
      <c r="AH37" s="2756" t="str">
        <f>IF(AD36=0,"",VLOOKUP(AD36,Tabla_PoderesPsi,3,FALSE))</f>
        <v/>
      </c>
      <c r="AI37" s="4567"/>
      <c r="AJ37" s="4541"/>
      <c r="AK37" s="4544"/>
      <c r="AL37" s="4538"/>
      <c r="AM37" s="1694"/>
      <c r="AQ37" s="1775"/>
    </row>
    <row r="38" spans="1:43" ht="12" customHeight="1" thickBot="1" x14ac:dyDescent="0.25">
      <c r="A38" s="173"/>
      <c r="B38" s="1691"/>
      <c r="C38" s="3201" t="s">
        <v>1835</v>
      </c>
      <c r="D38" s="3201"/>
      <c r="E38" s="3201"/>
      <c r="F38" s="3911" t="s">
        <v>2143</v>
      </c>
      <c r="G38" s="3911"/>
      <c r="H38" s="3911"/>
      <c r="I38" s="3911"/>
      <c r="J38" s="3911"/>
      <c r="K38" s="3911"/>
      <c r="L38" s="3911"/>
      <c r="M38" s="3911"/>
      <c r="N38" s="3911"/>
      <c r="O38" s="3911"/>
      <c r="P38" s="3911"/>
      <c r="Q38" s="3911"/>
      <c r="R38" s="68"/>
      <c r="S38" s="56"/>
      <c r="T38" s="56"/>
      <c r="U38" s="1861"/>
      <c r="V38" s="4556" t="str">
        <f>IF(V37=0,"",VLOOKUP(V37,Tabla_PoderesPsi,2,FALSE))</f>
        <v/>
      </c>
      <c r="W38" s="4557"/>
      <c r="X38" s="4557"/>
      <c r="Y38" s="3009" t="s">
        <v>1627</v>
      </c>
      <c r="Z38" s="2757" t="str">
        <f>IF(V37=0,"",VLOOKUP(V37,Tabla_PoderesPsi,3,FALSE))</f>
        <v/>
      </c>
      <c r="AA38" s="4566"/>
      <c r="AB38" s="4545"/>
      <c r="AC38" s="2765"/>
      <c r="AD38" s="4564"/>
      <c r="AE38" s="4565"/>
      <c r="AF38" s="4565"/>
      <c r="AG38" s="4565"/>
      <c r="AH38" s="4565"/>
      <c r="AI38" s="4563"/>
      <c r="AJ38" s="4542"/>
      <c r="AK38" s="4545" t="str">
        <f>IF(AD38&lt;&gt;"",INDEX(Tablas!$U$26:$U$38,MAX(1+MATCH(VLOOKUP(Psíquicos!$AD38,'Tablas psiquica'!$D$7:$U$145,18,FALSE),'Tablas psiquica'!$I$6:$R$6,0),MAX(SUMPRODUCT(--(Tablas!$T$26:$T$38&lt;=(AL38-20*AI38)))+IF(Tablas!$G$446&gt;0,1,0)+IF(COUNTIF($C$39:$E$50,"Introversión")&gt;0,1,0),SUMPRODUCT(--(Tablas!$T$26:$T$38&lt;=(AL38)))))),"")</f>
        <v/>
      </c>
      <c r="AL38" s="4538">
        <f t="shared" ref="AL38" si="10">$H$11+IF(ISNA(VLOOKUP(AD38,$V$11:$AB$64,7,FALSE)),0,IF(VLOOKUP(AD38,$V$11:$AB$64,7,FALSE)="",0,VLOOKUP(AD38,$V$11:$AB$64,7,FALSE)))+AI38*20+AJ38</f>
        <v>10</v>
      </c>
      <c r="AM38" s="1694"/>
      <c r="AQ38" s="1775"/>
    </row>
    <row r="39" spans="1:43" ht="12" customHeight="1" thickBot="1" x14ac:dyDescent="0.25">
      <c r="A39" s="173"/>
      <c r="B39" s="1691"/>
      <c r="C39" s="4602" t="str">
        <f>IF(PDs!E111=0,"",PDs!E111)</f>
        <v/>
      </c>
      <c r="D39" s="4602"/>
      <c r="E39" s="4602"/>
      <c r="F39" s="4603" t="str">
        <f>IF(C39="","",VLOOKUP(C39,Tablas!$D$1092:$R$1107,15,FALSE))</f>
        <v/>
      </c>
      <c r="G39" s="4603"/>
      <c r="H39" s="4603"/>
      <c r="I39" s="4603"/>
      <c r="J39" s="4603"/>
      <c r="K39" s="4603"/>
      <c r="L39" s="4603"/>
      <c r="M39" s="4603"/>
      <c r="N39" s="4603"/>
      <c r="O39" s="4603"/>
      <c r="P39" s="4603"/>
      <c r="Q39" s="4603"/>
      <c r="R39" s="68"/>
      <c r="S39" s="56"/>
      <c r="T39" s="56"/>
      <c r="U39" s="1861">
        <f>IF(V39=0,0,1)</f>
        <v>0</v>
      </c>
      <c r="V39" s="4552"/>
      <c r="W39" s="4553"/>
      <c r="X39" s="4553"/>
      <c r="Y39" s="4553"/>
      <c r="Z39" s="4553"/>
      <c r="AA39" s="4574"/>
      <c r="AB39" s="4544" t="str">
        <f>IF(AA39=0,"",IF(AA39*10&lt;100,AA39*10,100))</f>
        <v/>
      </c>
      <c r="AC39" s="2766"/>
      <c r="AD39" s="4556" t="str">
        <f>IF(AD38=0,"",VLOOKUP(AD38,Tabla_PoderesPsi,2,FALSE))</f>
        <v/>
      </c>
      <c r="AE39" s="4557"/>
      <c r="AF39" s="4557"/>
      <c r="AG39" s="2755" t="s">
        <v>1627</v>
      </c>
      <c r="AH39" s="2757" t="str">
        <f>IF(AD38=0,"",VLOOKUP(AD38,Tabla_PoderesPsi,3,FALSE))</f>
        <v/>
      </c>
      <c r="AI39" s="4563"/>
      <c r="AJ39" s="4542"/>
      <c r="AK39" s="4545"/>
      <c r="AL39" s="4538"/>
      <c r="AM39" s="1694"/>
      <c r="AQ39" s="1775"/>
    </row>
    <row r="40" spans="1:43" ht="12" customHeight="1" x14ac:dyDescent="0.2">
      <c r="A40" s="173"/>
      <c r="B40" s="1691"/>
      <c r="C40" s="4602"/>
      <c r="D40" s="4602"/>
      <c r="E40" s="4602"/>
      <c r="F40" s="3599" t="str">
        <f>IF(C39="","",VLOOKUP(C39,Tablas!$D$1092:$R$1107,7,FALSE))</f>
        <v/>
      </c>
      <c r="G40" s="3599"/>
      <c r="H40" s="3599"/>
      <c r="I40" s="3599"/>
      <c r="J40" s="3599"/>
      <c r="K40" s="3599"/>
      <c r="L40" s="3599"/>
      <c r="M40" s="3599"/>
      <c r="N40" s="3599"/>
      <c r="O40" s="3599"/>
      <c r="P40" s="3599"/>
      <c r="Q40" s="3599"/>
      <c r="R40" s="68"/>
      <c r="S40" s="56"/>
      <c r="T40" s="56"/>
      <c r="U40" s="1861"/>
      <c r="V40" s="4568" t="str">
        <f>IF(V39=0,"",VLOOKUP(V39,Tabla_PoderesPsi,2,FALSE))</f>
        <v/>
      </c>
      <c r="W40" s="3507"/>
      <c r="X40" s="3507"/>
      <c r="Y40" s="2751" t="s">
        <v>1627</v>
      </c>
      <c r="Z40" s="2756" t="str">
        <f>IF(V39=0,"",VLOOKUP(V39,Tabla_PoderesPsi,3,FALSE))</f>
        <v/>
      </c>
      <c r="AA40" s="4574"/>
      <c r="AB40" s="4544"/>
      <c r="AC40" s="2766"/>
      <c r="AD40" s="4552"/>
      <c r="AE40" s="4553"/>
      <c r="AF40" s="4553"/>
      <c r="AG40" s="4553"/>
      <c r="AH40" s="4553"/>
      <c r="AI40" s="4567"/>
      <c r="AJ40" s="4541"/>
      <c r="AK40" s="4544" t="str">
        <f>IF(AD40&lt;&gt;"",INDEX(Tablas!$U$26:$U$38,MAX(1+MATCH(VLOOKUP(Psíquicos!$AD40,'Tablas psiquica'!$D$7:$U$145,18,FALSE),'Tablas psiquica'!$I$6:$R$6,0),MAX(SUMPRODUCT(--(Tablas!$T$26:$T$38&lt;=(AL40-20*AI40)))+IF(Tablas!$G$446&gt;0,1,0)+IF(COUNTIF($C$39:$E$50,"Introversión")&gt;0,1,0),SUMPRODUCT(--(Tablas!$T$26:$T$38&lt;=(AL40)))))),"")</f>
        <v/>
      </c>
      <c r="AL40" s="4538">
        <f t="shared" ref="AL40" si="11">$H$11+IF(ISNA(VLOOKUP(AD40,$V$11:$AB$64,7,FALSE)),0,IF(VLOOKUP(AD40,$V$11:$AB$64,7,FALSE)="",0,VLOOKUP(AD40,$V$11:$AB$64,7,FALSE)))+AI40*20+AJ40</f>
        <v>10</v>
      </c>
      <c r="AM40" s="1694"/>
      <c r="AQ40" s="1775"/>
    </row>
    <row r="41" spans="1:43" ht="12" customHeight="1" x14ac:dyDescent="0.2">
      <c r="A41" s="173"/>
      <c r="B41" s="1691"/>
      <c r="C41" s="4604" t="str">
        <f>IF(PDs!E112=0,"",PDs!E112)</f>
        <v/>
      </c>
      <c r="D41" s="4604"/>
      <c r="E41" s="4604"/>
      <c r="F41" s="3599" t="str">
        <f>IF(C41="","",VLOOKUP(C41,Tablas!$D$1092:$R$1107,15,FALSE))</f>
        <v/>
      </c>
      <c r="G41" s="3599"/>
      <c r="H41" s="3599"/>
      <c r="I41" s="3599"/>
      <c r="J41" s="3599"/>
      <c r="K41" s="3599"/>
      <c r="L41" s="3599"/>
      <c r="M41" s="3599"/>
      <c r="N41" s="3599"/>
      <c r="O41" s="3599"/>
      <c r="P41" s="3599"/>
      <c r="Q41" s="3599"/>
      <c r="R41" s="68"/>
      <c r="S41" s="56"/>
      <c r="T41" s="56"/>
      <c r="U41" s="1861">
        <f>IF(V41=0,0,1)</f>
        <v>0</v>
      </c>
      <c r="V41" s="4564"/>
      <c r="W41" s="4565"/>
      <c r="X41" s="4565"/>
      <c r="Y41" s="4565"/>
      <c r="Z41" s="4565"/>
      <c r="AA41" s="4566"/>
      <c r="AB41" s="4545" t="str">
        <f>IF(AA41=0,"",IF(AA41*10&lt;100,AA41*10,100))</f>
        <v/>
      </c>
      <c r="AC41" s="214"/>
      <c r="AD41" s="4568" t="str">
        <f>IF(AD40=0,"",VLOOKUP(AD40,Tabla_PoderesPsi,2,FALSE))</f>
        <v/>
      </c>
      <c r="AE41" s="3507"/>
      <c r="AF41" s="3507"/>
      <c r="AG41" s="2751" t="s">
        <v>1627</v>
      </c>
      <c r="AH41" s="2756" t="str">
        <f>IF(AD40=0,"",VLOOKUP(AD40,Tabla_PoderesPsi,3,FALSE))</f>
        <v/>
      </c>
      <c r="AI41" s="4567"/>
      <c r="AJ41" s="4541"/>
      <c r="AK41" s="4544"/>
      <c r="AL41" s="4538"/>
      <c r="AM41" s="1694"/>
      <c r="AQ41" s="1775"/>
    </row>
    <row r="42" spans="1:43" ht="12" customHeight="1" x14ac:dyDescent="0.2">
      <c r="A42" s="173"/>
      <c r="B42" s="1691"/>
      <c r="C42" s="4604"/>
      <c r="D42" s="4604"/>
      <c r="E42" s="4604"/>
      <c r="F42" s="3599" t="str">
        <f>IF(C41="","",VLOOKUP(C41,Tablas!$D$1092:$R$1107,7,FALSE))</f>
        <v/>
      </c>
      <c r="G42" s="3599"/>
      <c r="H42" s="3599"/>
      <c r="I42" s="3599"/>
      <c r="J42" s="3599"/>
      <c r="K42" s="3599"/>
      <c r="L42" s="3599"/>
      <c r="M42" s="3599"/>
      <c r="N42" s="3599"/>
      <c r="O42" s="3599"/>
      <c r="P42" s="3599"/>
      <c r="Q42" s="3599"/>
      <c r="R42" s="68"/>
      <c r="S42" s="56"/>
      <c r="T42" s="56"/>
      <c r="U42" s="1861"/>
      <c r="V42" s="4556" t="str">
        <f>IF(V41=0,"",VLOOKUP(V41,Tabla_PoderesPsi,2,FALSE))</f>
        <v/>
      </c>
      <c r="W42" s="4557"/>
      <c r="X42" s="4557"/>
      <c r="Y42" s="2755" t="s">
        <v>1627</v>
      </c>
      <c r="Z42" s="2757" t="str">
        <f>IF(V41=0,"",VLOOKUP(V41,Tabla_PoderesPsi,3,FALSE))</f>
        <v/>
      </c>
      <c r="AA42" s="4566"/>
      <c r="AB42" s="4545"/>
      <c r="AC42" s="214"/>
      <c r="AD42" s="4564"/>
      <c r="AE42" s="4565"/>
      <c r="AF42" s="4565"/>
      <c r="AG42" s="4565"/>
      <c r="AH42" s="4565"/>
      <c r="AI42" s="4563"/>
      <c r="AJ42" s="4542"/>
      <c r="AK42" s="4545" t="str">
        <f>IF(AD42&lt;&gt;"",INDEX(Tablas!$U$26:$U$38,MAX(1+MATCH(VLOOKUP(Psíquicos!$AD42,'Tablas psiquica'!$D$7:$U$145,18,FALSE),'Tablas psiquica'!$I$6:$R$6,0),MAX(SUMPRODUCT(--(Tablas!$T$26:$T$38&lt;=(AL42-20*AI42)))+IF(Tablas!$G$446&gt;0,1,0)+IF(COUNTIF($C$39:$E$50,"Introversión")&gt;0,1,0),SUMPRODUCT(--(Tablas!$T$26:$T$38&lt;=(AL42)))))),"")</f>
        <v/>
      </c>
      <c r="AL42" s="4538">
        <f t="shared" ref="AL42" si="12">$H$11+IF(ISNA(VLOOKUP(AD42,$V$11:$AB$64,7,FALSE)),0,IF(VLOOKUP(AD42,$V$11:$AB$64,7,FALSE)="",0,VLOOKUP(AD42,$V$11:$AB$64,7,FALSE)))+AI42*20+AJ42</f>
        <v>10</v>
      </c>
      <c r="AM42" s="1694"/>
      <c r="AQ42" s="1775"/>
    </row>
    <row r="43" spans="1:43" ht="12" customHeight="1" x14ac:dyDescent="0.2">
      <c r="A43" s="173"/>
      <c r="B43" s="1691"/>
      <c r="C43" s="4604" t="str">
        <f>IF(PDs!E113=0,"",PDs!E113)</f>
        <v/>
      </c>
      <c r="D43" s="4604"/>
      <c r="E43" s="4604"/>
      <c r="F43" s="3599" t="str">
        <f>IF(C43="","",VLOOKUP(C43,Tablas!$D$1092:$R$1107,15,FALSE))</f>
        <v/>
      </c>
      <c r="G43" s="3599"/>
      <c r="H43" s="3599"/>
      <c r="I43" s="3599"/>
      <c r="J43" s="3599"/>
      <c r="K43" s="3599"/>
      <c r="L43" s="3599"/>
      <c r="M43" s="3599"/>
      <c r="N43" s="3599"/>
      <c r="O43" s="3599"/>
      <c r="P43" s="3599"/>
      <c r="Q43" s="3599"/>
      <c r="R43" s="68"/>
      <c r="S43" s="56"/>
      <c r="T43" s="56"/>
      <c r="U43" s="1861">
        <f>IF(V43=0,0,1)</f>
        <v>0</v>
      </c>
      <c r="V43" s="4552"/>
      <c r="W43" s="4553"/>
      <c r="X43" s="4553"/>
      <c r="Y43" s="4553"/>
      <c r="Z43" s="4553"/>
      <c r="AA43" s="4574"/>
      <c r="AB43" s="4544" t="str">
        <f>IF(AA43=0,"",IF(AA43*10&lt;100,AA43*10,100))</f>
        <v/>
      </c>
      <c r="AC43" s="2371"/>
      <c r="AD43" s="4556" t="str">
        <f>IF(AD42=0,"",VLOOKUP(AD42,Tabla_PoderesPsi,2,FALSE))</f>
        <v/>
      </c>
      <c r="AE43" s="4557"/>
      <c r="AF43" s="4557"/>
      <c r="AG43" s="2755" t="s">
        <v>1627</v>
      </c>
      <c r="AH43" s="2757" t="str">
        <f>IF(AD42=0,"",VLOOKUP(AD42,Tabla_PoderesPsi,3,FALSE))</f>
        <v/>
      </c>
      <c r="AI43" s="4563"/>
      <c r="AJ43" s="4542"/>
      <c r="AK43" s="4545"/>
      <c r="AL43" s="4538"/>
      <c r="AM43" s="1694"/>
      <c r="AQ43" s="1775"/>
    </row>
    <row r="44" spans="1:43" ht="12" customHeight="1" x14ac:dyDescent="0.2">
      <c r="A44" s="173"/>
      <c r="B44" s="1691"/>
      <c r="C44" s="4604"/>
      <c r="D44" s="4604"/>
      <c r="E44" s="4604"/>
      <c r="F44" s="3599" t="str">
        <f>IF(C43="","",VLOOKUP(C43,Tablas!$D$1092:$R$1107,7,FALSE))</f>
        <v/>
      </c>
      <c r="G44" s="3599"/>
      <c r="H44" s="3599"/>
      <c r="I44" s="3599"/>
      <c r="J44" s="3599"/>
      <c r="K44" s="3599"/>
      <c r="L44" s="3599"/>
      <c r="M44" s="3599"/>
      <c r="N44" s="3599"/>
      <c r="O44" s="3599"/>
      <c r="P44" s="3599"/>
      <c r="Q44" s="3599"/>
      <c r="R44" s="68"/>
      <c r="S44" s="56"/>
      <c r="T44" s="56"/>
      <c r="U44" s="1861"/>
      <c r="V44" s="4568" t="str">
        <f>IF(V43=0,"",VLOOKUP(V43,Tabla_PoderesPsi,2,FALSE))</f>
        <v/>
      </c>
      <c r="W44" s="3507"/>
      <c r="X44" s="3507"/>
      <c r="Y44" s="3007" t="s">
        <v>1627</v>
      </c>
      <c r="Z44" s="2852" t="str">
        <f>IF(V43=0,"",VLOOKUP(V43,Tabla_PoderesPsi,3,FALSE))</f>
        <v/>
      </c>
      <c r="AA44" s="4574"/>
      <c r="AB44" s="4544"/>
      <c r="AC44" s="96"/>
      <c r="AD44" s="4552"/>
      <c r="AE44" s="4553"/>
      <c r="AF44" s="4553"/>
      <c r="AG44" s="4553"/>
      <c r="AH44" s="4553"/>
      <c r="AI44" s="4567"/>
      <c r="AJ44" s="4541"/>
      <c r="AK44" s="4544" t="str">
        <f>IF(AD44&lt;&gt;"",INDEX(Tablas!$U$26:$U$38,MAX(1+MATCH(VLOOKUP(Psíquicos!$AD44,'Tablas psiquica'!$D$7:$U$145,18,FALSE),'Tablas psiquica'!$I$6:$R$6,0),MAX(SUMPRODUCT(--(Tablas!$T$26:$T$38&lt;=(AL44-20*AI44)))+IF(Tablas!$G$446&gt;0,1,0)+IF(COUNTIF($C$39:$E$50,"Introversión")&gt;0,1,0),SUMPRODUCT(--(Tablas!$T$26:$T$38&lt;=(AL44)))))),"")</f>
        <v/>
      </c>
      <c r="AL44" s="4538">
        <f t="shared" ref="AL44" si="13">$H$11+IF(ISNA(VLOOKUP(AD44,$V$11:$AB$64,7,FALSE)),0,IF(VLOOKUP(AD44,$V$11:$AB$64,7,FALSE)="",0,VLOOKUP(AD44,$V$11:$AB$64,7,FALSE)))+AI44*20+AJ44</f>
        <v>10</v>
      </c>
      <c r="AM44" s="1694"/>
      <c r="AQ44" s="1775"/>
    </row>
    <row r="45" spans="1:43" ht="12" customHeight="1" x14ac:dyDescent="0.2">
      <c r="A45" s="173"/>
      <c r="B45" s="1691"/>
      <c r="C45" s="4604" t="str">
        <f>IF(PDs!E114=0,"",PDs!E114)</f>
        <v/>
      </c>
      <c r="D45" s="4604"/>
      <c r="E45" s="4604"/>
      <c r="F45" s="3599" t="str">
        <f>IF(C45="","",VLOOKUP(C45,Tablas!$D$1092:$R$1107,15,FALSE))</f>
        <v/>
      </c>
      <c r="G45" s="3599"/>
      <c r="H45" s="3599"/>
      <c r="I45" s="3599"/>
      <c r="J45" s="3599"/>
      <c r="K45" s="3599"/>
      <c r="L45" s="3599"/>
      <c r="M45" s="3599"/>
      <c r="N45" s="3599"/>
      <c r="O45" s="3599"/>
      <c r="P45" s="3599"/>
      <c r="Q45" s="3599"/>
      <c r="R45" s="68"/>
      <c r="S45" s="56"/>
      <c r="T45" s="56"/>
      <c r="U45" s="1861">
        <f>IF(V45=0,0,1)</f>
        <v>0</v>
      </c>
      <c r="V45" s="4564"/>
      <c r="W45" s="4565"/>
      <c r="X45" s="4565"/>
      <c r="Y45" s="4565"/>
      <c r="Z45" s="4565"/>
      <c r="AA45" s="4566"/>
      <c r="AB45" s="4545" t="str">
        <f>IF(AA45=0,"",IF(AA45*10&lt;100,AA45*10,100))</f>
        <v/>
      </c>
      <c r="AC45" s="96"/>
      <c r="AD45" s="4568" t="str">
        <f>IF(AD44=0,"",VLOOKUP(AD44,Tabla_PoderesPsi,2,FALSE))</f>
        <v/>
      </c>
      <c r="AE45" s="3507"/>
      <c r="AF45" s="3507"/>
      <c r="AG45" s="2751" t="s">
        <v>1627</v>
      </c>
      <c r="AH45" s="2756" t="str">
        <f>IF(AD44=0,"",VLOOKUP(AD44,Tabla_PoderesPsi,3,FALSE))</f>
        <v/>
      </c>
      <c r="AI45" s="4567"/>
      <c r="AJ45" s="4541"/>
      <c r="AK45" s="4544"/>
      <c r="AL45" s="4538"/>
      <c r="AM45" s="1694"/>
      <c r="AQ45" s="1775"/>
    </row>
    <row r="46" spans="1:43" ht="12" customHeight="1" x14ac:dyDescent="0.2">
      <c r="A46" s="173"/>
      <c r="B46" s="1691"/>
      <c r="C46" s="4604"/>
      <c r="D46" s="4604"/>
      <c r="E46" s="4604"/>
      <c r="F46" s="3599" t="str">
        <f>IF(C45="","",VLOOKUP(C45,Tablas!$D$1092:$R$1107,7,FALSE))</f>
        <v/>
      </c>
      <c r="G46" s="3599"/>
      <c r="H46" s="3599"/>
      <c r="I46" s="3599"/>
      <c r="J46" s="3599"/>
      <c r="K46" s="3599"/>
      <c r="L46" s="3599"/>
      <c r="M46" s="3599"/>
      <c r="N46" s="3599"/>
      <c r="O46" s="3599"/>
      <c r="P46" s="3599"/>
      <c r="Q46" s="3599"/>
      <c r="R46" s="68"/>
      <c r="S46" s="56"/>
      <c r="T46" s="56"/>
      <c r="U46" s="1861"/>
      <c r="V46" s="4556" t="str">
        <f>IF(V45=0,"",VLOOKUP(V45,Tabla_PoderesPsi,2,FALSE))</f>
        <v/>
      </c>
      <c r="W46" s="4557"/>
      <c r="X46" s="4557"/>
      <c r="Y46" s="3009" t="s">
        <v>1627</v>
      </c>
      <c r="Z46" s="2757" t="str">
        <f>IF(V45=0,"",VLOOKUP(V45,Tabla_PoderesPsi,3,FALSE))</f>
        <v/>
      </c>
      <c r="AA46" s="4566"/>
      <c r="AB46" s="4545"/>
      <c r="AC46" s="96"/>
      <c r="AD46" s="4564"/>
      <c r="AE46" s="4565"/>
      <c r="AF46" s="4565"/>
      <c r="AG46" s="4565"/>
      <c r="AH46" s="4565"/>
      <c r="AI46" s="4563"/>
      <c r="AJ46" s="4542"/>
      <c r="AK46" s="4545" t="str">
        <f>IF(AD46&lt;&gt;"",INDEX(Tablas!$U$26:$U$38,MAX(1+MATCH(VLOOKUP(Psíquicos!$AD46,'Tablas psiquica'!$D$7:$U$145,18,FALSE),'Tablas psiquica'!$I$6:$R$6,0),MAX(SUMPRODUCT(--(Tablas!$T$26:$T$38&lt;=(AL46-20*AI46)))+IF(Tablas!$G$446&gt;0,1,0)+IF(COUNTIF($C$39:$E$50,"Introversión")&gt;0,1,0),SUMPRODUCT(--(Tablas!$T$26:$T$38&lt;=(AL46)))))),"")</f>
        <v/>
      </c>
      <c r="AL46" s="4538">
        <f t="shared" ref="AL46" si="14">$H$11+IF(ISNA(VLOOKUP(AD46,$V$11:$AB$64,7,FALSE)),0,IF(VLOOKUP(AD46,$V$11:$AB$64,7,FALSE)="",0,VLOOKUP(AD46,$V$11:$AB$64,7,FALSE)))+AI46*20+AJ46</f>
        <v>10</v>
      </c>
      <c r="AM46" s="1694"/>
      <c r="AQ46" s="1775"/>
    </row>
    <row r="47" spans="1:43" ht="12" customHeight="1" x14ac:dyDescent="0.2">
      <c r="A47" s="173"/>
      <c r="B47" s="1691"/>
      <c r="C47" s="4604" t="str">
        <f>IF(PDs!E115=0,"",PDs!E115)</f>
        <v/>
      </c>
      <c r="D47" s="4604"/>
      <c r="E47" s="4604"/>
      <c r="F47" s="3599" t="str">
        <f>IF(C47="","",VLOOKUP(C47,Tablas!$D$1092:$R$1107,15,FALSE))</f>
        <v/>
      </c>
      <c r="G47" s="3599"/>
      <c r="H47" s="3599"/>
      <c r="I47" s="3599"/>
      <c r="J47" s="3599"/>
      <c r="K47" s="3599"/>
      <c r="L47" s="3599"/>
      <c r="M47" s="3599"/>
      <c r="N47" s="3599"/>
      <c r="O47" s="3599"/>
      <c r="P47" s="3599"/>
      <c r="Q47" s="3599"/>
      <c r="R47" s="68"/>
      <c r="S47" s="56"/>
      <c r="T47" s="56"/>
      <c r="U47" s="1861">
        <f>IF(V47=0,0,1)</f>
        <v>0</v>
      </c>
      <c r="V47" s="4552"/>
      <c r="W47" s="4553"/>
      <c r="X47" s="4553"/>
      <c r="Y47" s="4553"/>
      <c r="Z47" s="4553"/>
      <c r="AA47" s="4574"/>
      <c r="AB47" s="4544" t="str">
        <f>IF(AA47=0,"",IF(AA47*10&lt;100,AA47*10,100))</f>
        <v/>
      </c>
      <c r="AC47" s="96"/>
      <c r="AD47" s="4556" t="str">
        <f>IF(AD46=0,"",VLOOKUP(AD46,Tabla_PoderesPsi,2,FALSE))</f>
        <v/>
      </c>
      <c r="AE47" s="4557"/>
      <c r="AF47" s="4557"/>
      <c r="AG47" s="2755" t="s">
        <v>1627</v>
      </c>
      <c r="AH47" s="2757" t="str">
        <f>IF(AD46=0,"",VLOOKUP(AD46,Tabla_PoderesPsi,3,FALSE))</f>
        <v/>
      </c>
      <c r="AI47" s="4563"/>
      <c r="AJ47" s="4542"/>
      <c r="AK47" s="4545"/>
      <c r="AL47" s="4538"/>
      <c r="AM47" s="1694"/>
      <c r="AQ47" s="1775"/>
    </row>
    <row r="48" spans="1:43" ht="12" customHeight="1" x14ac:dyDescent="0.2">
      <c r="A48" s="173"/>
      <c r="B48" s="1691"/>
      <c r="C48" s="4604"/>
      <c r="D48" s="4604"/>
      <c r="E48" s="4604"/>
      <c r="F48" s="3599" t="str">
        <f>IF(C47="","",VLOOKUP(C47,Tablas!$D$1092:$R$1107,7,FALSE))</f>
        <v/>
      </c>
      <c r="G48" s="3599"/>
      <c r="H48" s="3599"/>
      <c r="I48" s="3599"/>
      <c r="J48" s="3599"/>
      <c r="K48" s="3599"/>
      <c r="L48" s="3599"/>
      <c r="M48" s="3599"/>
      <c r="N48" s="3599"/>
      <c r="O48" s="3599"/>
      <c r="P48" s="3599"/>
      <c r="Q48" s="3599"/>
      <c r="R48" s="68"/>
      <c r="S48" s="56"/>
      <c r="T48" s="56"/>
      <c r="U48" s="1861"/>
      <c r="V48" s="4568" t="str">
        <f>IF(V47=0,"",VLOOKUP(V47,Tabla_PoderesPsi,2,FALSE))</f>
        <v/>
      </c>
      <c r="W48" s="3507"/>
      <c r="X48" s="3507"/>
      <c r="Y48" s="3007" t="s">
        <v>1627</v>
      </c>
      <c r="Z48" s="2852" t="str">
        <f>IF(V47=0,"",VLOOKUP(V47,Tabla_PoderesPsi,3,FALSE))</f>
        <v/>
      </c>
      <c r="AA48" s="4574"/>
      <c r="AB48" s="4544"/>
      <c r="AC48" s="96"/>
      <c r="AD48" s="4552"/>
      <c r="AE48" s="4553"/>
      <c r="AF48" s="4553"/>
      <c r="AG48" s="4553"/>
      <c r="AH48" s="4553"/>
      <c r="AI48" s="4567"/>
      <c r="AJ48" s="4541"/>
      <c r="AK48" s="4544" t="str">
        <f>IF(AD48&lt;&gt;"",INDEX(Tablas!$U$26:$U$38,MAX(1+MATCH(VLOOKUP(Psíquicos!$AD48,'Tablas psiquica'!$D$7:$U$145,18,FALSE),'Tablas psiquica'!$I$6:$R$6,0),MAX(SUMPRODUCT(--(Tablas!$T$26:$T$38&lt;=(AL48-20*AI48)))+IF(Tablas!$G$446&gt;0,1,0)+IF(COUNTIF($C$39:$E$50,"Introversión")&gt;0,1,0),SUMPRODUCT(--(Tablas!$T$26:$T$38&lt;=(AL48)))))),"")</f>
        <v/>
      </c>
      <c r="AL48" s="4538">
        <f t="shared" ref="AL48" si="15">$H$11+IF(ISNA(VLOOKUP(AD48,$V$11:$AB$64,7,FALSE)),0,IF(VLOOKUP(AD48,$V$11:$AB$64,7,FALSE)="",0,VLOOKUP(AD48,$V$11:$AB$64,7,FALSE)))+AI48*20+AJ48</f>
        <v>10</v>
      </c>
      <c r="AM48" s="1694"/>
      <c r="AQ48" s="1775"/>
    </row>
    <row r="49" spans="1:43" ht="12" customHeight="1" thickBot="1" x14ac:dyDescent="0.25">
      <c r="A49" s="173"/>
      <c r="B49" s="1691"/>
      <c r="C49" s="4605" t="str">
        <f>IF(PDs!E116=0,"",PDs!E116)</f>
        <v/>
      </c>
      <c r="D49" s="4605"/>
      <c r="E49" s="4605"/>
      <c r="F49" s="3599" t="str">
        <f>IF(C49="","",VLOOKUP(C49,Tablas!$D$1092:$R$1107,15,FALSE))</f>
        <v/>
      </c>
      <c r="G49" s="3599"/>
      <c r="H49" s="3599"/>
      <c r="I49" s="3599"/>
      <c r="J49" s="3599"/>
      <c r="K49" s="3599"/>
      <c r="L49" s="3599"/>
      <c r="M49" s="3599"/>
      <c r="N49" s="3599"/>
      <c r="O49" s="3599"/>
      <c r="P49" s="3599"/>
      <c r="Q49" s="3599"/>
      <c r="R49" s="68"/>
      <c r="S49" s="56"/>
      <c r="T49" s="56"/>
      <c r="U49" s="1861">
        <f>IF(V49=0,0,1)</f>
        <v>0</v>
      </c>
      <c r="V49" s="4564"/>
      <c r="W49" s="4565"/>
      <c r="X49" s="4565"/>
      <c r="Y49" s="4565"/>
      <c r="Z49" s="4565"/>
      <c r="AA49" s="4566"/>
      <c r="AB49" s="4545" t="str">
        <f>IF(AA49=0,"",IF(AA49*10&lt;100,AA49*10,100))</f>
        <v/>
      </c>
      <c r="AC49" s="96"/>
      <c r="AD49" s="4568" t="str">
        <f>IF(AD48=0,"",VLOOKUP(AD48,Tabla_PoderesPsi,2,FALSE))</f>
        <v/>
      </c>
      <c r="AE49" s="3507"/>
      <c r="AF49" s="3507"/>
      <c r="AG49" s="2751" t="s">
        <v>1627</v>
      </c>
      <c r="AH49" s="2756" t="str">
        <f>IF(AD48=0,"",VLOOKUP(AD48,Tabla_PoderesPsi,3,FALSE))</f>
        <v/>
      </c>
      <c r="AI49" s="4567"/>
      <c r="AJ49" s="4541"/>
      <c r="AK49" s="4544"/>
      <c r="AL49" s="4538"/>
      <c r="AM49" s="1694"/>
      <c r="AQ49" s="1775"/>
    </row>
    <row r="50" spans="1:43" ht="12" customHeight="1" thickBot="1" x14ac:dyDescent="0.25">
      <c r="A50" s="173"/>
      <c r="B50" s="1691"/>
      <c r="C50" s="4605"/>
      <c r="D50" s="4605"/>
      <c r="E50" s="4605"/>
      <c r="F50" s="4607" t="str">
        <f>IF(C49="","",VLOOKUP(C49,Tablas!$D$1092:$R$1107,7,FALSE))</f>
        <v/>
      </c>
      <c r="G50" s="4607"/>
      <c r="H50" s="4607"/>
      <c r="I50" s="4607"/>
      <c r="J50" s="4607"/>
      <c r="K50" s="4607"/>
      <c r="L50" s="4607"/>
      <c r="M50" s="4607"/>
      <c r="N50" s="4607"/>
      <c r="O50" s="4607"/>
      <c r="P50" s="4607"/>
      <c r="Q50" s="4607"/>
      <c r="R50" s="68"/>
      <c r="S50" s="56"/>
      <c r="T50" s="56"/>
      <c r="U50" s="1861"/>
      <c r="V50" s="4556" t="str">
        <f>IF(V49=0,"",VLOOKUP(V49,Tabla_PoderesPsi,2,FALSE))</f>
        <v/>
      </c>
      <c r="W50" s="4557"/>
      <c r="X50" s="4557"/>
      <c r="Y50" s="3009" t="s">
        <v>1627</v>
      </c>
      <c r="Z50" s="2757" t="str">
        <f>IF(V49=0,"",VLOOKUP(V49,Tabla_PoderesPsi,3,FALSE))</f>
        <v/>
      </c>
      <c r="AA50" s="4566"/>
      <c r="AB50" s="4545"/>
      <c r="AC50" s="96"/>
      <c r="AD50" s="4564"/>
      <c r="AE50" s="4565"/>
      <c r="AF50" s="4565"/>
      <c r="AG50" s="4565"/>
      <c r="AH50" s="4565"/>
      <c r="AI50" s="4563"/>
      <c r="AJ50" s="4542"/>
      <c r="AK50" s="4545" t="str">
        <f>IF(AD50&lt;&gt;"",INDEX(Tablas!$U$26:$U$38,MAX(1+MATCH(VLOOKUP(Psíquicos!$AD50,'Tablas psiquica'!$D$7:$U$145,18,FALSE),'Tablas psiquica'!$I$6:$R$6,0),MAX(SUMPRODUCT(--(Tablas!$T$26:$T$38&lt;=(AL50-20*AI50)))+IF(Tablas!$G$446&gt;0,1,0)+IF(COUNTIF($C$39:$E$50,"Introversión")&gt;0,1,0),SUMPRODUCT(--(Tablas!$T$26:$T$38&lt;=(AL50)))))),"")</f>
        <v/>
      </c>
      <c r="AL50" s="4538">
        <f t="shared" ref="AL50" si="16">$H$11+IF(ISNA(VLOOKUP(AD50,$V$11:$AB$64,7,FALSE)),0,IF(VLOOKUP(AD50,$V$11:$AB$64,7,FALSE)="",0,VLOOKUP(AD50,$V$11:$AB$64,7,FALSE)))+AI50*20+AJ50</f>
        <v>10</v>
      </c>
      <c r="AM50" s="1694"/>
      <c r="AQ50" s="1775"/>
    </row>
    <row r="51" spans="1:43" ht="12" customHeight="1" thickBot="1" x14ac:dyDescent="0.25">
      <c r="A51" s="173"/>
      <c r="B51" s="1861"/>
      <c r="C51" s="211"/>
      <c r="D51" s="67"/>
      <c r="E51" s="211"/>
      <c r="F51" s="211"/>
      <c r="G51" s="211"/>
      <c r="H51" s="333"/>
      <c r="I51" s="334"/>
      <c r="J51" s="67"/>
      <c r="K51" s="211"/>
      <c r="L51" s="211"/>
      <c r="M51" s="211"/>
      <c r="N51" s="211"/>
      <c r="O51" s="211"/>
      <c r="P51" s="333"/>
      <c r="Q51" s="334"/>
      <c r="R51" s="76"/>
      <c r="S51" s="335"/>
      <c r="T51" s="335"/>
      <c r="U51" s="1861">
        <f>IF(V51=0,0,1)</f>
        <v>0</v>
      </c>
      <c r="V51" s="4552"/>
      <c r="W51" s="4553"/>
      <c r="X51" s="4553"/>
      <c r="Y51" s="4553"/>
      <c r="Z51" s="4553"/>
      <c r="AA51" s="4574"/>
      <c r="AB51" s="4544" t="str">
        <f>IF(AA51=0,"",IF(AA51*10&lt;100,AA51*10,100))</f>
        <v/>
      </c>
      <c r="AC51" s="96"/>
      <c r="AD51" s="4556" t="str">
        <f>IF(AD50=0,"",VLOOKUP(AD50,Tabla_PoderesPsi,2,FALSE))</f>
        <v/>
      </c>
      <c r="AE51" s="4557"/>
      <c r="AF51" s="4557"/>
      <c r="AG51" s="2755" t="s">
        <v>1627</v>
      </c>
      <c r="AH51" s="2757" t="str">
        <f>IF(AD50=0,"",VLOOKUP(AD50,Tabla_PoderesPsi,3,FALSE))</f>
        <v/>
      </c>
      <c r="AI51" s="4563"/>
      <c r="AJ51" s="4542"/>
      <c r="AK51" s="4545"/>
      <c r="AL51" s="4538"/>
      <c r="AM51" s="1694"/>
      <c r="AQ51" s="1775"/>
    </row>
    <row r="52" spans="1:43" ht="12" customHeight="1" thickBot="1" x14ac:dyDescent="0.25">
      <c r="A52" s="173"/>
      <c r="B52" s="1861"/>
      <c r="C52" s="3201" t="s">
        <v>1786</v>
      </c>
      <c r="D52" s="3201"/>
      <c r="E52" s="3201"/>
      <c r="F52" s="3201"/>
      <c r="G52" s="3201"/>
      <c r="H52" s="3201"/>
      <c r="I52" s="67"/>
      <c r="J52" s="4128" t="s">
        <v>2041</v>
      </c>
      <c r="K52" s="4128"/>
      <c r="L52" s="4128"/>
      <c r="M52" s="4212" t="s">
        <v>2119</v>
      </c>
      <c r="N52" s="4212"/>
      <c r="O52" s="4212"/>
      <c r="P52" s="4212"/>
      <c r="Q52" s="4212"/>
      <c r="R52" s="76"/>
      <c r="S52" s="335"/>
      <c r="T52" s="335"/>
      <c r="U52" s="1861"/>
      <c r="V52" s="4568" t="str">
        <f>IF(V51=0,"",VLOOKUP(V51,Tabla_PoderesPsi,2,FALSE))</f>
        <v/>
      </c>
      <c r="W52" s="3507"/>
      <c r="X52" s="3507"/>
      <c r="Y52" s="3007" t="s">
        <v>1627</v>
      </c>
      <c r="Z52" s="2852" t="str">
        <f>IF(V51=0,"",VLOOKUP(V51,Tabla_PoderesPsi,3,FALSE))</f>
        <v/>
      </c>
      <c r="AA52" s="4574"/>
      <c r="AB52" s="4544"/>
      <c r="AC52" s="96"/>
      <c r="AD52" s="4552"/>
      <c r="AE52" s="4553"/>
      <c r="AF52" s="4553"/>
      <c r="AG52" s="4553"/>
      <c r="AH52" s="4553"/>
      <c r="AI52" s="4567"/>
      <c r="AJ52" s="4541"/>
      <c r="AK52" s="4544" t="str">
        <f>IF(AD52&lt;&gt;"",INDEX(Tablas!$U$26:$U$38,MAX(1+MATCH(VLOOKUP(Psíquicos!$AD52,'Tablas psiquica'!$D$7:$U$145,18,FALSE),'Tablas psiquica'!$I$6:$R$6,0),MAX(SUMPRODUCT(--(Tablas!$T$26:$T$38&lt;=(AL52-20*AI52)))+IF(Tablas!$G$446&gt;0,1,0)+IF(COUNTIF($C$39:$E$50,"Introversión")&gt;0,1,0),SUMPRODUCT(--(Tablas!$T$26:$T$38&lt;=(AL52)))))),"")</f>
        <v/>
      </c>
      <c r="AL52" s="4538">
        <f t="shared" ref="AL52" si="17">$H$11+IF(ISNA(VLOOKUP(AD52,$V$11:$AB$64,7,FALSE)),0,IF(VLOOKUP(AD52,$V$11:$AB$64,7,FALSE)="",0,VLOOKUP(AD52,$V$11:$AB$64,7,FALSE)))+AI52*20+AJ52</f>
        <v>10</v>
      </c>
      <c r="AM52" s="1694"/>
      <c r="AQ52" s="1775"/>
    </row>
    <row r="53" spans="1:43" ht="12" customHeight="1" thickBot="1" x14ac:dyDescent="0.25">
      <c r="A53" s="173"/>
      <c r="B53" s="1861"/>
      <c r="C53" s="4606"/>
      <c r="D53" s="4606"/>
      <c r="E53" s="4606"/>
      <c r="F53" s="4606"/>
      <c r="G53" s="4606"/>
      <c r="H53" s="4606"/>
      <c r="I53" s="67"/>
      <c r="J53" s="236">
        <v>20</v>
      </c>
      <c r="K53" s="4202" t="s">
        <v>2045</v>
      </c>
      <c r="L53" s="4202"/>
      <c r="M53" s="4208" t="s">
        <v>2046</v>
      </c>
      <c r="N53" s="4208"/>
      <c r="O53" s="4208"/>
      <c r="P53" s="4208"/>
      <c r="Q53" s="4208"/>
      <c r="R53" s="76"/>
      <c r="S53" s="335"/>
      <c r="T53" s="335"/>
      <c r="U53" s="1861">
        <f>IF(V53=0,0,1)</f>
        <v>0</v>
      </c>
      <c r="V53" s="4564"/>
      <c r="W53" s="4565"/>
      <c r="X53" s="4565"/>
      <c r="Y53" s="4565"/>
      <c r="Z53" s="4565"/>
      <c r="AA53" s="4566"/>
      <c r="AB53" s="4545" t="str">
        <f>IF(AA53=0,"",IF(AA53*10&lt;100,AA53*10,100))</f>
        <v/>
      </c>
      <c r="AC53" s="96"/>
      <c r="AD53" s="4568" t="str">
        <f>IF(AD52=0,"",VLOOKUP(AD52,Tabla_PoderesPsi,2,FALSE))</f>
        <v/>
      </c>
      <c r="AE53" s="3507"/>
      <c r="AF53" s="3507"/>
      <c r="AG53" s="2751" t="s">
        <v>1627</v>
      </c>
      <c r="AH53" s="2756" t="str">
        <f>IF(AD52=0,"",VLOOKUP(AD52,Tabla_PoderesPsi,3,FALSE))</f>
        <v/>
      </c>
      <c r="AI53" s="4567"/>
      <c r="AJ53" s="4541"/>
      <c r="AK53" s="4544"/>
      <c r="AL53" s="4538"/>
      <c r="AM53" s="1694"/>
      <c r="AQ53" s="1775"/>
    </row>
    <row r="54" spans="1:43" ht="12" customHeight="1" thickBot="1" x14ac:dyDescent="0.25">
      <c r="A54" s="173"/>
      <c r="B54" s="1861"/>
      <c r="C54" s="4606"/>
      <c r="D54" s="4606"/>
      <c r="E54" s="4606"/>
      <c r="F54" s="4606"/>
      <c r="G54" s="4606"/>
      <c r="H54" s="4606"/>
      <c r="I54" s="67"/>
      <c r="J54" s="236">
        <v>40</v>
      </c>
      <c r="K54" s="4202" t="s">
        <v>2049</v>
      </c>
      <c r="L54" s="4202"/>
      <c r="M54" s="4200" t="s">
        <v>2050</v>
      </c>
      <c r="N54" s="4200"/>
      <c r="O54" s="4200"/>
      <c r="P54" s="4200"/>
      <c r="Q54" s="4200"/>
      <c r="R54" s="76"/>
      <c r="S54" s="335"/>
      <c r="T54" s="335"/>
      <c r="U54" s="1861"/>
      <c r="V54" s="4556" t="str">
        <f>IF(V53=0,"",VLOOKUP(V53,Tabla_PoderesPsi,2,FALSE))</f>
        <v/>
      </c>
      <c r="W54" s="4557"/>
      <c r="X54" s="4557"/>
      <c r="Y54" s="3009" t="s">
        <v>1627</v>
      </c>
      <c r="Z54" s="2757" t="str">
        <f>IF(V53=0,"",VLOOKUP(V53,Tabla_PoderesPsi,3,FALSE))</f>
        <v/>
      </c>
      <c r="AA54" s="4566"/>
      <c r="AB54" s="4545"/>
      <c r="AC54" s="96"/>
      <c r="AD54" s="4564"/>
      <c r="AE54" s="4565"/>
      <c r="AF54" s="4565"/>
      <c r="AG54" s="4565"/>
      <c r="AH54" s="4565"/>
      <c r="AI54" s="4563"/>
      <c r="AJ54" s="4542"/>
      <c r="AK54" s="4545" t="str">
        <f>IF(AD54&lt;&gt;"",INDEX(Tablas!$U$26:$U$38,MAX(1+MATCH(VLOOKUP(Psíquicos!$AD54,'Tablas psiquica'!$D$7:$U$145,18,FALSE),'Tablas psiquica'!$I$6:$R$6,0),MAX(SUMPRODUCT(--(Tablas!$T$26:$T$38&lt;=(AL54-20*AI54)))+IF(Tablas!$G$446&gt;0,1,0)+IF(COUNTIF($C$39:$E$50,"Introversión")&gt;0,1,0),SUMPRODUCT(--(Tablas!$T$26:$T$38&lt;=(AL54)))))),"")</f>
        <v/>
      </c>
      <c r="AL54" s="4538">
        <f t="shared" ref="AL54" si="18">$H$11+IF(ISNA(VLOOKUP(AD54,$V$11:$AB$64,7,FALSE)),0,IF(VLOOKUP(AD54,$V$11:$AB$64,7,FALSE)="",0,VLOOKUP(AD54,$V$11:$AB$64,7,FALSE)))+AI54*20+AJ54</f>
        <v>10</v>
      </c>
      <c r="AM54" s="1694"/>
      <c r="AQ54" s="1775"/>
    </row>
    <row r="55" spans="1:43" ht="12" customHeight="1" thickBot="1" x14ac:dyDescent="0.25">
      <c r="A55" s="173"/>
      <c r="B55" s="1861"/>
      <c r="C55" s="4606"/>
      <c r="D55" s="4606"/>
      <c r="E55" s="4606"/>
      <c r="F55" s="4606"/>
      <c r="G55" s="4606"/>
      <c r="H55" s="4606"/>
      <c r="I55" s="67"/>
      <c r="J55" s="236">
        <v>80</v>
      </c>
      <c r="K55" s="4202" t="s">
        <v>2052</v>
      </c>
      <c r="L55" s="4202"/>
      <c r="M55" s="4200" t="s">
        <v>2053</v>
      </c>
      <c r="N55" s="4200"/>
      <c r="O55" s="4200"/>
      <c r="P55" s="4200"/>
      <c r="Q55" s="4200"/>
      <c r="R55" s="76"/>
      <c r="S55" s="335"/>
      <c r="T55" s="335"/>
      <c r="U55" s="1861">
        <f>IF(V55=0,0,1)</f>
        <v>0</v>
      </c>
      <c r="V55" s="4552"/>
      <c r="W55" s="4553"/>
      <c r="X55" s="4553"/>
      <c r="Y55" s="4553"/>
      <c r="Z55" s="4553"/>
      <c r="AA55" s="4574"/>
      <c r="AB55" s="4544" t="str">
        <f>IF(AA55=0,"",IF(AA55*10&lt;100,AA55*10,100))</f>
        <v/>
      </c>
      <c r="AC55" s="96"/>
      <c r="AD55" s="4556" t="str">
        <f>IF(AD54=0,"",VLOOKUP(AD54,Tabla_PoderesPsi,2,FALSE))</f>
        <v/>
      </c>
      <c r="AE55" s="4557"/>
      <c r="AF55" s="4557"/>
      <c r="AG55" s="2755" t="s">
        <v>1627</v>
      </c>
      <c r="AH55" s="2757" t="str">
        <f>IF(AD54=0,"",VLOOKUP(AD54,Tabla_PoderesPsi,3,FALSE))</f>
        <v/>
      </c>
      <c r="AI55" s="4563"/>
      <c r="AJ55" s="4542"/>
      <c r="AK55" s="4545"/>
      <c r="AL55" s="4538"/>
      <c r="AM55" s="1694"/>
      <c r="AQ55" s="1775"/>
    </row>
    <row r="56" spans="1:43" ht="12" customHeight="1" thickBot="1" x14ac:dyDescent="0.25">
      <c r="A56" s="173"/>
      <c r="B56" s="1861"/>
      <c r="C56" s="4606"/>
      <c r="D56" s="4606"/>
      <c r="E56" s="4606"/>
      <c r="F56" s="4606"/>
      <c r="G56" s="4606"/>
      <c r="H56" s="4606"/>
      <c r="I56" s="67"/>
      <c r="J56" s="236">
        <v>120</v>
      </c>
      <c r="K56" s="4202" t="s">
        <v>2056</v>
      </c>
      <c r="L56" s="4202"/>
      <c r="M56" s="4200" t="s">
        <v>2144</v>
      </c>
      <c r="N56" s="4200"/>
      <c r="O56" s="4200"/>
      <c r="P56" s="4200"/>
      <c r="Q56" s="4200"/>
      <c r="R56" s="76"/>
      <c r="S56" s="335"/>
      <c r="T56" s="335"/>
      <c r="U56" s="1861"/>
      <c r="V56" s="4568" t="str">
        <f>IF(V55=0,"",VLOOKUP(V55,Tabla_PoderesPsi,2,FALSE))</f>
        <v/>
      </c>
      <c r="W56" s="3507"/>
      <c r="X56" s="3507"/>
      <c r="Y56" s="3007" t="s">
        <v>1627</v>
      </c>
      <c r="Z56" s="2852" t="str">
        <f>IF(V55=0,"",VLOOKUP(V55,Tabla_PoderesPsi,3,FALSE))</f>
        <v/>
      </c>
      <c r="AA56" s="4574"/>
      <c r="AB56" s="4544"/>
      <c r="AC56" s="96"/>
      <c r="AD56" s="4552"/>
      <c r="AE56" s="4553"/>
      <c r="AF56" s="4553"/>
      <c r="AG56" s="4553"/>
      <c r="AH56" s="4553"/>
      <c r="AI56" s="4567"/>
      <c r="AJ56" s="4541"/>
      <c r="AK56" s="4544" t="str">
        <f>IF(AD56&lt;&gt;"",INDEX(Tablas!$U$26:$U$38,MAX(1+MATCH(VLOOKUP(Psíquicos!$AD56,'Tablas psiquica'!$D$7:$U$145,18,FALSE),'Tablas psiquica'!$I$6:$R$6,0),MAX(SUMPRODUCT(--(Tablas!$T$26:$T$38&lt;=(AL56-20*AI56)))+IF(Tablas!$G$446&gt;0,1,0)+IF(COUNTIF($C$39:$E$50,"Introversión")&gt;0,1,0),SUMPRODUCT(--(Tablas!$T$26:$T$38&lt;=(AL56)))))),"")</f>
        <v/>
      </c>
      <c r="AL56" s="4538">
        <f t="shared" ref="AL56" si="19">$H$11+IF(ISNA(VLOOKUP(AD56,$V$11:$AB$64,7,FALSE)),0,IF(VLOOKUP(AD56,$V$11:$AB$64,7,FALSE)="",0,VLOOKUP(AD56,$V$11:$AB$64,7,FALSE)))+AI56*20+AJ56</f>
        <v>10</v>
      </c>
      <c r="AM56" s="1694"/>
      <c r="AQ56" s="1775"/>
    </row>
    <row r="57" spans="1:43" ht="12" customHeight="1" thickBot="1" x14ac:dyDescent="0.25">
      <c r="A57" s="173"/>
      <c r="B57" s="1861"/>
      <c r="C57" s="4606"/>
      <c r="D57" s="4606"/>
      <c r="E57" s="4606"/>
      <c r="F57" s="4606"/>
      <c r="G57" s="4606"/>
      <c r="H57" s="4606"/>
      <c r="I57" s="67"/>
      <c r="J57" s="236">
        <v>140</v>
      </c>
      <c r="K57" s="4202" t="s">
        <v>2058</v>
      </c>
      <c r="L57" s="4202"/>
      <c r="M57" s="4200" t="s">
        <v>2145</v>
      </c>
      <c r="N57" s="4200"/>
      <c r="O57" s="4200"/>
      <c r="P57" s="4200"/>
      <c r="Q57" s="4200"/>
      <c r="R57" s="76"/>
      <c r="S57" s="335"/>
      <c r="T57" s="335"/>
      <c r="U57" s="1861">
        <f>IF(V57=0,0,1)</f>
        <v>0</v>
      </c>
      <c r="V57" s="4564"/>
      <c r="W57" s="4565"/>
      <c r="X57" s="4565"/>
      <c r="Y57" s="4565"/>
      <c r="Z57" s="4565"/>
      <c r="AA57" s="4566"/>
      <c r="AB57" s="4545" t="str">
        <f>IF(AA57=0,"",IF(AA57*10&lt;100,AA57*10,100))</f>
        <v/>
      </c>
      <c r="AC57" s="67"/>
      <c r="AD57" s="4568" t="str">
        <f>IF(AD56=0,"",VLOOKUP(AD56,Tabla_PoderesPsi,2,FALSE))</f>
        <v/>
      </c>
      <c r="AE57" s="3507"/>
      <c r="AF57" s="3507"/>
      <c r="AG57" s="2751" t="s">
        <v>1627</v>
      </c>
      <c r="AH57" s="2756" t="str">
        <f>IF(AD56=0,"",VLOOKUP(AD56,Tabla_PoderesPsi,3,FALSE))</f>
        <v/>
      </c>
      <c r="AI57" s="4567"/>
      <c r="AJ57" s="4541"/>
      <c r="AK57" s="4544"/>
      <c r="AL57" s="4538"/>
      <c r="AM57" s="1694"/>
      <c r="AQ57" s="1775"/>
    </row>
    <row r="58" spans="1:43" ht="12" customHeight="1" thickBot="1" x14ac:dyDescent="0.25">
      <c r="A58" s="173"/>
      <c r="B58" s="1861"/>
      <c r="C58" s="4606"/>
      <c r="D58" s="4606"/>
      <c r="E58" s="4606"/>
      <c r="F58" s="4606"/>
      <c r="G58" s="4606"/>
      <c r="H58" s="4606"/>
      <c r="I58" s="67"/>
      <c r="J58" s="236">
        <v>180</v>
      </c>
      <c r="K58" s="4202" t="s">
        <v>2061</v>
      </c>
      <c r="L58" s="4202"/>
      <c r="M58" s="4200" t="s">
        <v>2146</v>
      </c>
      <c r="N58" s="4200"/>
      <c r="O58" s="4200"/>
      <c r="P58" s="4200"/>
      <c r="Q58" s="4200"/>
      <c r="R58" s="76"/>
      <c r="S58" s="335"/>
      <c r="T58" s="335"/>
      <c r="U58" s="1861"/>
      <c r="V58" s="4556" t="str">
        <f>IF(V57=0,"",VLOOKUP(V57,Tabla_PoderesPsi,2,FALSE))</f>
        <v/>
      </c>
      <c r="W58" s="4557"/>
      <c r="X58" s="4557"/>
      <c r="Y58" s="3009" t="s">
        <v>1627</v>
      </c>
      <c r="Z58" s="2757" t="str">
        <f>IF(V57=0,"",VLOOKUP(V57,Tabla_PoderesPsi,3,FALSE))</f>
        <v/>
      </c>
      <c r="AA58" s="4566"/>
      <c r="AB58" s="4545"/>
      <c r="AC58" s="195"/>
      <c r="AD58" s="4564"/>
      <c r="AE58" s="4565"/>
      <c r="AF58" s="4565"/>
      <c r="AG58" s="4565"/>
      <c r="AH58" s="4565"/>
      <c r="AI58" s="4563"/>
      <c r="AJ58" s="4542"/>
      <c r="AK58" s="4545" t="str">
        <f>IF(AD58&lt;&gt;"",INDEX(Tablas!$U$26:$U$38,MAX(1+MATCH(VLOOKUP(Psíquicos!$AD58,'Tablas psiquica'!$D$7:$U$145,18,FALSE),'Tablas psiquica'!$I$6:$R$6,0),MAX(SUMPRODUCT(--(Tablas!$T$26:$T$38&lt;=(AL58-20*AI58)))+IF(Tablas!$G$446&gt;0,1,0)+IF(COUNTIF($C$39:$E$50,"Introversión")&gt;0,1,0),SUMPRODUCT(--(Tablas!$T$26:$T$38&lt;=(AL58)))))),"")</f>
        <v/>
      </c>
      <c r="AL58" s="4538">
        <f t="shared" ref="AL58" si="20">$H$11+IF(ISNA(VLOOKUP(AD58,$V$11:$AB$64,7,FALSE)),0,IF(VLOOKUP(AD58,$V$11:$AB$64,7,FALSE)="",0,VLOOKUP(AD58,$V$11:$AB$64,7,FALSE)))+AI58*20+AJ58</f>
        <v>10</v>
      </c>
      <c r="AM58" s="1694"/>
      <c r="AQ58" s="1775"/>
    </row>
    <row r="59" spans="1:43" ht="12" customHeight="1" thickBot="1" x14ac:dyDescent="0.25">
      <c r="A59" s="173"/>
      <c r="B59" s="1861"/>
      <c r="C59" s="4606"/>
      <c r="D59" s="4606"/>
      <c r="E59" s="4606"/>
      <c r="F59" s="4606"/>
      <c r="G59" s="4606"/>
      <c r="H59" s="4606"/>
      <c r="I59" s="67"/>
      <c r="J59" s="236">
        <v>240</v>
      </c>
      <c r="K59" s="4202" t="s">
        <v>2063</v>
      </c>
      <c r="L59" s="4202"/>
      <c r="M59" s="4200" t="s">
        <v>2147</v>
      </c>
      <c r="N59" s="4200"/>
      <c r="O59" s="4200"/>
      <c r="P59" s="4200"/>
      <c r="Q59" s="4200"/>
      <c r="R59" s="76"/>
      <c r="S59" s="335"/>
      <c r="T59" s="335"/>
      <c r="U59" s="1861">
        <f>IF(V59=0,0,1)</f>
        <v>0</v>
      </c>
      <c r="V59" s="4552"/>
      <c r="W59" s="4553"/>
      <c r="X59" s="4553"/>
      <c r="Y59" s="4553"/>
      <c r="Z59" s="4553"/>
      <c r="AA59" s="4574"/>
      <c r="AB59" s="4544" t="str">
        <f>IF(AA59=0,"",IF(AA59*10&lt;100,AA59*10,100))</f>
        <v/>
      </c>
      <c r="AC59" s="67"/>
      <c r="AD59" s="4556" t="str">
        <f>IF(AD58=0,"",VLOOKUP(AD58,Tabla_PoderesPsi,2,FALSE))</f>
        <v/>
      </c>
      <c r="AE59" s="4557"/>
      <c r="AF59" s="4557"/>
      <c r="AG59" s="2755" t="s">
        <v>1627</v>
      </c>
      <c r="AH59" s="2757" t="str">
        <f>IF(AD58=0,"",VLOOKUP(AD58,Tabla_PoderesPsi,3,FALSE))</f>
        <v/>
      </c>
      <c r="AI59" s="4563"/>
      <c r="AJ59" s="4542"/>
      <c r="AK59" s="4545"/>
      <c r="AL59" s="4538"/>
      <c r="AM59" s="1694"/>
      <c r="AQ59" s="1775"/>
    </row>
    <row r="60" spans="1:43" ht="12" customHeight="1" thickBot="1" x14ac:dyDescent="0.25">
      <c r="A60" s="173"/>
      <c r="B60" s="1861"/>
      <c r="C60" s="4606"/>
      <c r="D60" s="4606"/>
      <c r="E60" s="4606"/>
      <c r="F60" s="4606"/>
      <c r="G60" s="4606"/>
      <c r="H60" s="4606"/>
      <c r="I60" s="67"/>
      <c r="J60" s="236">
        <v>280</v>
      </c>
      <c r="K60" s="4202" t="s">
        <v>2066</v>
      </c>
      <c r="L60" s="4202"/>
      <c r="M60" s="4200" t="s">
        <v>2148</v>
      </c>
      <c r="N60" s="4200"/>
      <c r="O60" s="4200"/>
      <c r="P60" s="4200"/>
      <c r="Q60" s="4200"/>
      <c r="R60" s="76"/>
      <c r="S60" s="335"/>
      <c r="T60" s="335"/>
      <c r="U60" s="1861"/>
      <c r="V60" s="4568" t="str">
        <f>IF(V59=0,"",VLOOKUP(V59,Tabla_PoderesPsi,2,FALSE))</f>
        <v/>
      </c>
      <c r="W60" s="3507"/>
      <c r="X60" s="3507"/>
      <c r="Y60" s="3007" t="s">
        <v>1627</v>
      </c>
      <c r="Z60" s="2852" t="str">
        <f>IF(V59=0,"",VLOOKUP(V59,Tabla_PoderesPsi,3,FALSE))</f>
        <v/>
      </c>
      <c r="AA60" s="4574"/>
      <c r="AB60" s="4544"/>
      <c r="AC60" s="67"/>
      <c r="AD60" s="4552"/>
      <c r="AE60" s="4553"/>
      <c r="AF60" s="4553"/>
      <c r="AG60" s="4553"/>
      <c r="AH60" s="4553"/>
      <c r="AI60" s="4567"/>
      <c r="AJ60" s="4541"/>
      <c r="AK60" s="4544" t="str">
        <f>IF(AD60&lt;&gt;"",INDEX(Tablas!$U$26:$U$38,MAX(1+MATCH(VLOOKUP(Psíquicos!$AD60,'Tablas psiquica'!$D$7:$U$145,18,FALSE),'Tablas psiquica'!$I$6:$R$6,0),MAX(SUMPRODUCT(--(Tablas!$T$26:$T$38&lt;=(AL60-20*AI60)))+IF(Tablas!$G$446&gt;0,1,0)+IF(COUNTIF($C$39:$E$50,"Introversión")&gt;0,1,0),SUMPRODUCT(--(Tablas!$T$26:$T$38&lt;=(AL60)))))),"")</f>
        <v/>
      </c>
      <c r="AL60" s="4538">
        <f t="shared" ref="AL60" si="21">$H$11+IF(ISNA(VLOOKUP(AD60,$V$11:$AB$64,7,FALSE)),0,IF(VLOOKUP(AD60,$V$11:$AB$64,7,FALSE)="",0,VLOOKUP(AD60,$V$11:$AB$64,7,FALSE)))+AI60*20+AJ60</f>
        <v>10</v>
      </c>
      <c r="AM60" s="1694"/>
      <c r="AQ60" s="1775"/>
    </row>
    <row r="61" spans="1:43" ht="12" customHeight="1" thickBot="1" x14ac:dyDescent="0.25">
      <c r="A61" s="173"/>
      <c r="B61" s="1861"/>
      <c r="C61" s="4606"/>
      <c r="D61" s="4606"/>
      <c r="E61" s="4606"/>
      <c r="F61" s="4606"/>
      <c r="G61" s="4606"/>
      <c r="H61" s="4606"/>
      <c r="I61" s="67"/>
      <c r="J61" s="236">
        <v>320</v>
      </c>
      <c r="K61" s="4202" t="s">
        <v>2068</v>
      </c>
      <c r="L61" s="4202"/>
      <c r="M61" s="4200" t="s">
        <v>1766</v>
      </c>
      <c r="N61" s="4200"/>
      <c r="O61" s="4200"/>
      <c r="P61" s="4200"/>
      <c r="Q61" s="4200"/>
      <c r="R61" s="76"/>
      <c r="S61" s="335"/>
      <c r="T61" s="335"/>
      <c r="U61" s="1861">
        <f>IF(V61=0,0,1)</f>
        <v>0</v>
      </c>
      <c r="V61" s="4564"/>
      <c r="W61" s="4565"/>
      <c r="X61" s="4565"/>
      <c r="Y61" s="4565"/>
      <c r="Z61" s="4565"/>
      <c r="AA61" s="4566"/>
      <c r="AB61" s="4545" t="str">
        <f>IF(AA61=0,"",IF(AA61*10&lt;100,AA61*10,100))</f>
        <v/>
      </c>
      <c r="AC61" s="67"/>
      <c r="AD61" s="4554" t="str">
        <f>IF(AD60=0,"",VLOOKUP(AD60,Tabla_PoderesPsi,2,FALSE))</f>
        <v/>
      </c>
      <c r="AE61" s="3509"/>
      <c r="AF61" s="3509"/>
      <c r="AG61" s="2753" t="s">
        <v>1627</v>
      </c>
      <c r="AH61" s="1279" t="str">
        <f>IF(AD60=0,"",VLOOKUP(AD60,Tabla_PoderesPsi,3,FALSE))</f>
        <v/>
      </c>
      <c r="AI61" s="4612"/>
      <c r="AJ61" s="4543"/>
      <c r="AK61" s="4611"/>
      <c r="AL61" s="4538"/>
      <c r="AM61" s="1694"/>
      <c r="AQ61" s="1775"/>
    </row>
    <row r="62" spans="1:43" ht="12" customHeight="1" thickBot="1" x14ac:dyDescent="0.25">
      <c r="A62" s="173"/>
      <c r="B62" s="1861"/>
      <c r="C62" s="4606"/>
      <c r="D62" s="4606"/>
      <c r="E62" s="4606"/>
      <c r="F62" s="4606"/>
      <c r="G62" s="4606"/>
      <c r="H62" s="4606"/>
      <c r="I62" s="67"/>
      <c r="J62" s="239">
        <v>440</v>
      </c>
      <c r="K62" s="4613" t="s">
        <v>2002</v>
      </c>
      <c r="L62" s="4613"/>
      <c r="M62" s="4614" t="s">
        <v>1766</v>
      </c>
      <c r="N62" s="4614"/>
      <c r="O62" s="4614"/>
      <c r="P62" s="4614"/>
      <c r="Q62" s="4614"/>
      <c r="R62" s="76"/>
      <c r="S62" s="335"/>
      <c r="T62" s="335"/>
      <c r="U62" s="1861"/>
      <c r="V62" s="4556" t="str">
        <f>IF(V61=0,"",VLOOKUP(V61,Tabla_PoderesPsi,2,FALSE))</f>
        <v/>
      </c>
      <c r="W62" s="4557"/>
      <c r="X62" s="4557"/>
      <c r="Y62" s="3009" t="s">
        <v>1627</v>
      </c>
      <c r="Z62" s="2757" t="str">
        <f>IF(V61=0,"",VLOOKUP(V61,Tabla_PoderesPsi,3,FALSE))</f>
        <v/>
      </c>
      <c r="AA62" s="4566"/>
      <c r="AB62" s="4545"/>
      <c r="AC62" s="67"/>
      <c r="AD62" s="67"/>
      <c r="AE62" s="67"/>
      <c r="AF62" s="67"/>
      <c r="AG62" s="67"/>
      <c r="AH62" s="67"/>
      <c r="AI62" s="67"/>
      <c r="AJ62" s="67"/>
      <c r="AK62" s="96"/>
      <c r="AL62" s="1992"/>
      <c r="AM62" s="1694"/>
      <c r="AQ62" s="1775"/>
    </row>
    <row r="63" spans="1:43" ht="12" customHeight="1" thickBot="1" x14ac:dyDescent="0.25">
      <c r="A63" s="173"/>
      <c r="B63" s="1861"/>
      <c r="C63" s="4606"/>
      <c r="D63" s="4606"/>
      <c r="E63" s="4606"/>
      <c r="F63" s="4606"/>
      <c r="G63" s="4606"/>
      <c r="H63" s="4606"/>
      <c r="I63" s="67"/>
      <c r="J63" s="4217"/>
      <c r="K63" s="4217"/>
      <c r="L63" s="4217"/>
      <c r="M63" s="4217"/>
      <c r="N63" s="4217"/>
      <c r="O63" s="4217"/>
      <c r="P63" s="4217"/>
      <c r="Q63" s="4217"/>
      <c r="R63" s="76"/>
      <c r="S63" s="335"/>
      <c r="T63" s="335"/>
      <c r="U63" s="1861">
        <f>IF(V63=0,0,1)</f>
        <v>0</v>
      </c>
      <c r="V63" s="4552"/>
      <c r="W63" s="4553"/>
      <c r="X63" s="4553"/>
      <c r="Y63" s="4553"/>
      <c r="Z63" s="4553"/>
      <c r="AA63" s="4608"/>
      <c r="AB63" s="4610" t="str">
        <f>IF(AA63=0,"",IF(AA63*10&lt;100,AA63*10,100))</f>
        <v/>
      </c>
      <c r="AC63" s="157"/>
      <c r="AD63" s="67"/>
      <c r="AE63" s="67"/>
      <c r="AF63" s="67"/>
      <c r="AG63" s="67"/>
      <c r="AH63" s="67"/>
      <c r="AI63" s="67"/>
      <c r="AJ63" s="67"/>
      <c r="AK63" s="96"/>
      <c r="AL63" s="1992"/>
      <c r="AM63" s="1694"/>
      <c r="AQ63" s="1775"/>
    </row>
    <row r="64" spans="1:43" ht="12" customHeight="1" thickBot="1" x14ac:dyDescent="0.25">
      <c r="A64" s="173"/>
      <c r="B64" s="1691"/>
      <c r="C64" s="4606"/>
      <c r="D64" s="4606"/>
      <c r="E64" s="4606"/>
      <c r="F64" s="4606"/>
      <c r="G64" s="4606"/>
      <c r="H64" s="4606"/>
      <c r="I64" s="67"/>
      <c r="J64" s="4217"/>
      <c r="K64" s="4217"/>
      <c r="L64" s="4217"/>
      <c r="M64" s="4217"/>
      <c r="N64" s="4217"/>
      <c r="O64" s="4217"/>
      <c r="P64" s="4217"/>
      <c r="Q64" s="4217"/>
      <c r="R64" s="68"/>
      <c r="S64" s="56"/>
      <c r="T64" s="56"/>
      <c r="U64" s="2294"/>
      <c r="V64" s="4554" t="str">
        <f>IF(V63=0,"",VLOOKUP(V63,Tabla_PoderesPsi,2,FALSE))</f>
        <v/>
      </c>
      <c r="W64" s="3509"/>
      <c r="X64" s="3509"/>
      <c r="Y64" s="2753" t="s">
        <v>1627</v>
      </c>
      <c r="Z64" s="1279" t="str">
        <f>IF(V63=0,"",VLOOKUP(V63,Tabla_PoderesPsi,3,FALSE))</f>
        <v/>
      </c>
      <c r="AA64" s="4609"/>
      <c r="AB64" s="4611"/>
      <c r="AC64" s="157"/>
      <c r="AD64" s="67"/>
      <c r="AE64" s="67"/>
      <c r="AF64" s="67"/>
      <c r="AG64" s="67"/>
      <c r="AH64" s="67"/>
      <c r="AI64" s="67"/>
      <c r="AJ64" s="67"/>
      <c r="AK64" s="96"/>
      <c r="AL64" s="1992"/>
      <c r="AM64" s="1694"/>
      <c r="AQ64" s="1775"/>
    </row>
    <row r="65" spans="1:44" ht="12" customHeight="1" thickBot="1" x14ac:dyDescent="0.25">
      <c r="A65" s="173"/>
      <c r="B65" s="1692"/>
      <c r="C65" s="1693"/>
      <c r="D65" s="1693"/>
      <c r="E65" s="1693"/>
      <c r="F65" s="1693"/>
      <c r="G65" s="1693"/>
      <c r="H65" s="1693"/>
      <c r="I65" s="1693"/>
      <c r="J65" s="1693"/>
      <c r="K65" s="1693"/>
      <c r="L65" s="1693"/>
      <c r="M65" s="1693"/>
      <c r="N65" s="1693"/>
      <c r="O65" s="1693"/>
      <c r="P65" s="1693"/>
      <c r="Q65" s="1693"/>
      <c r="R65" s="2665"/>
      <c r="S65" s="2666"/>
      <c r="T65" s="2666"/>
      <c r="U65" s="1692"/>
      <c r="V65" s="1693"/>
      <c r="W65" s="1693"/>
      <c r="X65" s="1693"/>
      <c r="Y65" s="1693"/>
      <c r="Z65" s="1693"/>
      <c r="AA65" s="1693"/>
      <c r="AB65" s="1693"/>
      <c r="AC65" s="1693"/>
      <c r="AD65" s="1693"/>
      <c r="AE65" s="1693"/>
      <c r="AF65" s="1693"/>
      <c r="AG65" s="1693"/>
      <c r="AH65" s="1693"/>
      <c r="AI65" s="1693"/>
      <c r="AJ65" s="1693"/>
      <c r="AK65" s="2127"/>
      <c r="AL65" s="1996"/>
      <c r="AM65" s="1694"/>
      <c r="AN65" s="1888"/>
      <c r="AO65" s="2321"/>
      <c r="AP65" s="2321"/>
      <c r="AQ65" s="1775"/>
      <c r="AR65" s="1775"/>
    </row>
    <row r="66" spans="1:44"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68"/>
      <c r="AL66" s="1694"/>
      <c r="AM66" s="1694"/>
      <c r="AN66" s="1888"/>
      <c r="AO66" s="1888"/>
      <c r="AP66" s="1888"/>
      <c r="AQ66" s="2702"/>
      <c r="AR66" s="1775"/>
    </row>
  </sheetData>
  <sheetProtection selectLockedCells="1"/>
  <mergeCells count="367">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 ref="V59:Z59"/>
    <mergeCell ref="AA59:AA60"/>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9" type="noConversion"/>
  <conditionalFormatting sqref="V12:X12 V14:X14">
    <cfRule type="expression" dxfId="560" priority="82" stopIfTrue="1">
      <formula>NOT(OR(A1=$C$25,A1=$C$27,A1=$C$29,A1=$C$31,A1=$C$33,A1=$C$35))</formula>
    </cfRule>
  </conditionalFormatting>
  <conditionalFormatting sqref="E12:F13">
    <cfRule type="cellIs" dxfId="559" priority="83" stopIfTrue="1" operator="greaterThan">
      <formula>$C$12</formula>
    </cfRule>
  </conditionalFormatting>
  <conditionalFormatting sqref="V40:X40">
    <cfRule type="expression" dxfId="558" priority="76" stopIfTrue="1">
      <formula>NOT(OR(A29=$C$25,A29=$C$27,A29=$C$29,A29=$C$31,A29=$C$33,A29=$C$35))</formula>
    </cfRule>
  </conditionalFormatting>
  <conditionalFormatting sqref="V42:X42">
    <cfRule type="expression" dxfId="557" priority="75" stopIfTrue="1">
      <formula>NOT(OR(A31=$C$25,A31=$C$27,A31=$C$29,A31=$C$31,A31=$C$33,A31=$C$35))</formula>
    </cfRule>
  </conditionalFormatting>
  <conditionalFormatting sqref="V64:X64">
    <cfRule type="expression" dxfId="556"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555" priority="56" stopIfTrue="1">
      <formula>NOT(OR(I1=$C$25,I1=$C$27,I1=$C$29,I1=$C$31,I1=$C$33,I1=$C$35))</formula>
    </cfRule>
  </conditionalFormatting>
  <conditionalFormatting sqref="AD23:AF23">
    <cfRule type="expression" dxfId="554" priority="43" stopIfTrue="1">
      <formula>NOT(OR(I7=$C$25,I7=$C$27,I7=$C$29,I7=$C$31,I7=$C$33,I7=$C$35))</formula>
    </cfRule>
  </conditionalFormatting>
  <conditionalFormatting sqref="AD27:AF27">
    <cfRule type="expression" dxfId="553" priority="42" stopIfTrue="1">
      <formula>NOT(OR(I11=$C$25,I11=$C$27,I11=$C$29,I11=$C$31,I11=$C$33,I11=$C$35))</formula>
    </cfRule>
  </conditionalFormatting>
  <conditionalFormatting sqref="AD31:AF31">
    <cfRule type="expression" dxfId="552" priority="41" stopIfTrue="1">
      <formula>NOT(OR(I15=$C$25,I15=$C$27,I15=$C$29,I15=$C$31,I15=$C$33,I15=$C$35))</formula>
    </cfRule>
  </conditionalFormatting>
  <conditionalFormatting sqref="AD35:AF35">
    <cfRule type="expression" dxfId="551" priority="40" stopIfTrue="1">
      <formula>NOT(OR(I19=$C$25,I19=$C$27,I19=$C$29,I19=$C$31,I19=$C$33,I19=$C$35))</formula>
    </cfRule>
  </conditionalFormatting>
  <conditionalFormatting sqref="AD39:AF39">
    <cfRule type="expression" dxfId="550" priority="39" stopIfTrue="1">
      <formula>NOT(OR(I23=$C$25,I23=$C$27,I23=$C$29,I23=$C$31,I23=$C$33,I23=$C$35))</formula>
    </cfRule>
  </conditionalFormatting>
  <conditionalFormatting sqref="AD43:AF43">
    <cfRule type="expression" dxfId="549" priority="38" stopIfTrue="1">
      <formula>NOT(OR(I27=$C$25,I27=$C$27,I27=$C$29,I27=$C$31,I27=$C$33,I27=$C$35))</formula>
    </cfRule>
  </conditionalFormatting>
  <conditionalFormatting sqref="AD47:AF47">
    <cfRule type="expression" dxfId="548" priority="37" stopIfTrue="1">
      <formula>NOT(OR(I31=$C$25,I31=$C$27,I31=$C$29,I31=$C$31,I31=$C$33,I31=$C$35))</formula>
    </cfRule>
  </conditionalFormatting>
  <conditionalFormatting sqref="AD51:AF51">
    <cfRule type="expression" dxfId="547" priority="36" stopIfTrue="1">
      <formula>NOT(OR(I35=$C$25,I35=$C$27,I35=$C$29,I35=$C$31,I35=$C$33,I35=$C$35))</formula>
    </cfRule>
  </conditionalFormatting>
  <conditionalFormatting sqref="AD55:AF55">
    <cfRule type="expression" dxfId="546" priority="35" stopIfTrue="1">
      <formula>NOT(OR(I39=$C$25,I39=$C$27,I39=$C$29,I39=$C$31,I39=$C$33,I39=$C$35))</formula>
    </cfRule>
  </conditionalFormatting>
  <conditionalFormatting sqref="AD59:AF59">
    <cfRule type="expression" dxfId="545" priority="34" stopIfTrue="1">
      <formula>NOT(OR(I43=$C$25,I43=$C$27,I43=$C$29,I43=$C$31,I43=$C$33,I43=$C$35))</formula>
    </cfRule>
  </conditionalFormatting>
  <conditionalFormatting sqref="AD12:AF12">
    <cfRule type="expression" dxfId="544" priority="26" stopIfTrue="1">
      <formula>NOT(OR(I1048569=$C$25,I1048569=$C$27,I1048569=$C$29,I1048569=$C$31,I1048569=$C$33,I1048569=$C$35))</formula>
    </cfRule>
  </conditionalFormatting>
  <conditionalFormatting sqref="AI16:AI61">
    <cfRule type="expression" dxfId="543" priority="4819">
      <formula>$AI16&gt;5</formula>
    </cfRule>
  </conditionalFormatting>
  <conditionalFormatting sqref="V16:X16">
    <cfRule type="expression" dxfId="542" priority="24" stopIfTrue="1">
      <formula>NOT(OR(A5=$C$25,A5=$C$27,A5=$C$29,A5=$C$31,A5=$C$33,A5=$C$35))</formula>
    </cfRule>
  </conditionalFormatting>
  <conditionalFormatting sqref="V58:X58">
    <cfRule type="expression" dxfId="541" priority="3" stopIfTrue="1">
      <formula>NOT(OR(A47=$C$25,A47=$C$27,A47=$C$29,A47=$C$31,A47=$C$33,A47=$C$35))</formula>
    </cfRule>
  </conditionalFormatting>
  <conditionalFormatting sqref="V56:X56">
    <cfRule type="expression" dxfId="540" priority="4" stopIfTrue="1">
      <formula>NOT(OR(A45=$C$25,A45=$C$27,A45=$C$29,A45=$C$31,A45=$C$33,A45=$C$35))</formula>
    </cfRule>
  </conditionalFormatting>
  <conditionalFormatting sqref="V18:X18">
    <cfRule type="expression" dxfId="539" priority="21" stopIfTrue="1">
      <formula>NOT(OR(A7=$C$25,A7=$C$27,A7=$C$29,A7=$C$31,A7=$C$33,A7=$C$35))</formula>
    </cfRule>
  </conditionalFormatting>
  <conditionalFormatting sqref="V20:X20">
    <cfRule type="expression" dxfId="538" priority="20" stopIfTrue="1">
      <formula>NOT(OR(A9=$C$25,A9=$C$27,A9=$C$29,A9=$C$31,A9=$C$33,A9=$C$35))</formula>
    </cfRule>
  </conditionalFormatting>
  <conditionalFormatting sqref="V22:X22">
    <cfRule type="expression" dxfId="537" priority="19" stopIfTrue="1">
      <formula>NOT(OR(A11=$C$25,A11=$C$27,A11=$C$29,A11=$C$31,A11=$C$33,A11=$C$35))</formula>
    </cfRule>
  </conditionalFormatting>
  <conditionalFormatting sqref="V24:X24">
    <cfRule type="expression" dxfId="536" priority="18" stopIfTrue="1">
      <formula>NOT(OR(A13=$C$25,A13=$C$27,A13=$C$29,A13=$C$31,A13=$C$33,A13=$C$35))</formula>
    </cfRule>
  </conditionalFormatting>
  <conditionalFormatting sqref="V26:X26">
    <cfRule type="expression" dxfId="535" priority="17" stopIfTrue="1">
      <formula>NOT(OR(A15=$C$25,A15=$C$27,A15=$C$29,A15=$C$31,A15=$C$33,A15=$C$35))</formula>
    </cfRule>
  </conditionalFormatting>
  <conditionalFormatting sqref="V28:X28">
    <cfRule type="expression" dxfId="534" priority="16" stopIfTrue="1">
      <formula>NOT(OR(A17=$C$25,A17=$C$27,A17=$C$29,A17=$C$31,A17=$C$33,A17=$C$35))</formula>
    </cfRule>
  </conditionalFormatting>
  <conditionalFormatting sqref="V30:X30">
    <cfRule type="expression" dxfId="533" priority="15" stopIfTrue="1">
      <formula>NOT(OR(A19=$C$25,A19=$C$27,A19=$C$29,A19=$C$31,A19=$C$33,A19=$C$35))</formula>
    </cfRule>
  </conditionalFormatting>
  <conditionalFormatting sqref="V32:X32">
    <cfRule type="expression" dxfId="532" priority="14" stopIfTrue="1">
      <formula>NOT(OR(A21=$C$25,A21=$C$27,A21=$C$29,A21=$C$31,A21=$C$33,A21=$C$35))</formula>
    </cfRule>
  </conditionalFormatting>
  <conditionalFormatting sqref="V34:X34">
    <cfRule type="expression" dxfId="531" priority="13" stopIfTrue="1">
      <formula>NOT(OR(A23=$C$25,A23=$C$27,A23=$C$29,A23=$C$31,A23=$C$33,A23=$C$35))</formula>
    </cfRule>
  </conditionalFormatting>
  <conditionalFormatting sqref="V36:X36">
    <cfRule type="expression" dxfId="530" priority="12" stopIfTrue="1">
      <formula>NOT(OR(A25=$C$25,A25=$C$27,A25=$C$29,A25=$C$31,A25=$C$33,A25=$C$35))</formula>
    </cfRule>
  </conditionalFormatting>
  <conditionalFormatting sqref="V38:X38">
    <cfRule type="expression" dxfId="529" priority="11" stopIfTrue="1">
      <formula>NOT(OR(A27=$C$25,A27=$C$27,A27=$C$29,A27=$C$31,A27=$C$33,A27=$C$35))</formula>
    </cfRule>
  </conditionalFormatting>
  <conditionalFormatting sqref="V44:X44">
    <cfRule type="expression" dxfId="528" priority="10" stopIfTrue="1">
      <formula>NOT(OR(A33=$C$25,A33=$C$27,A33=$C$29,A33=$C$31,A33=$C$33,A33=$C$35))</formula>
    </cfRule>
  </conditionalFormatting>
  <conditionalFormatting sqref="V46:X46">
    <cfRule type="expression" dxfId="527" priority="9" stopIfTrue="1">
      <formula>NOT(OR(A35=$C$25,A35=$C$27,A35=$C$29,A35=$C$31,A35=$C$33,A35=$C$35))</formula>
    </cfRule>
  </conditionalFormatting>
  <conditionalFormatting sqref="V48:X48">
    <cfRule type="expression" dxfId="526" priority="8" stopIfTrue="1">
      <formula>NOT(OR(A37=$C$25,A37=$C$27,A37=$C$29,A37=$C$31,A37=$C$33,A37=$C$35))</formula>
    </cfRule>
  </conditionalFormatting>
  <conditionalFormatting sqref="V50:X50">
    <cfRule type="expression" dxfId="525" priority="7" stopIfTrue="1">
      <formula>NOT(OR(A39=$C$25,A39=$C$27,A39=$C$29,A39=$C$31,A39=$C$33,A39=$C$35))</formula>
    </cfRule>
  </conditionalFormatting>
  <conditionalFormatting sqref="V52:X52">
    <cfRule type="expression" dxfId="524" priority="6" stopIfTrue="1">
      <formula>NOT(OR(A41=$C$25,A41=$C$27,A41=$C$29,A41=$C$31,A41=$C$33,A41=$C$35))</formula>
    </cfRule>
  </conditionalFormatting>
  <conditionalFormatting sqref="V54:X54">
    <cfRule type="expression" dxfId="523" priority="5" stopIfTrue="1">
      <formula>NOT(OR(A43=$C$25,A43=$C$27,A43=$C$29,A43=$C$31,A43=$C$33,A43=$C$35))</formula>
    </cfRule>
  </conditionalFormatting>
  <conditionalFormatting sqref="V60:X60">
    <cfRule type="expression" dxfId="522" priority="2" stopIfTrue="1">
      <formula>NOT(OR(A49=$C$25,A49=$C$27,A49=$C$29,A49=$C$31,A49=$C$33,A49=$C$35))</formula>
    </cfRule>
  </conditionalFormatting>
  <conditionalFormatting sqref="V62:X62">
    <cfRule type="expression" dxfId="521"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0000000-0002-0000-0800-000002000000}">
      <formula1>Pod_Psi_Innatos_Disponibles</formula1>
    </dataValidation>
    <dataValidation type="list" allowBlank="1" showInputMessage="1" showErrorMessage="1" sqref="AO12:AP12" xr:uid="{00000000-0002-0000-0800-000003000000}">
      <formula1>INDIRECT($AR$9)</formula1>
    </dataValidation>
    <dataValidation type="list" operator="equal" allowBlank="1" showErrorMessage="1" sqref="AD11:AH11" xr:uid="{00000000-0002-0000-0800-000004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AN9:AQ10 AN12:AQ13 AO11:AQ11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opLeftCell="A4" zoomScaleNormal="100" workbookViewId="0">
      <selection activeCell="I10" sqref="I10"/>
    </sheetView>
  </sheetViews>
  <sheetFormatPr defaultColWidth="5.7109375" defaultRowHeight="12" customHeight="1" x14ac:dyDescent="0.2"/>
  <cols>
    <col min="1" max="1" width="1.7109375" style="607" customWidth="1"/>
    <col min="2" max="2" width="5.7109375" style="1841"/>
    <col min="3" max="14" width="5.7109375" style="607"/>
    <col min="15" max="15" width="5.7109375" style="607" customWidth="1"/>
    <col min="16" max="17" width="5.7109375" style="607"/>
    <col min="18" max="18" width="5.85546875" style="2719" customWidth="1"/>
    <col min="19" max="20" width="1.7109375" style="2350" customWidth="1"/>
    <col min="21" max="21" width="5.7109375" style="607"/>
    <col min="22" max="25" width="7.140625" style="607" customWidth="1"/>
    <col min="26" max="26" width="6.5703125" style="607" customWidth="1"/>
    <col min="27" max="29" width="5.7109375" style="607"/>
    <col min="30" max="33" width="7.140625" style="607" customWidth="1"/>
    <col min="34" max="37" width="5.7109375" style="607"/>
    <col min="38" max="38" width="1.7109375" style="607" customWidth="1"/>
    <col min="39" max="16384" width="5.7109375" style="607"/>
  </cols>
  <sheetData>
    <row r="1" spans="1:45" ht="12" customHeight="1" thickBot="1" x14ac:dyDescent="0.25">
      <c r="A1" s="1125"/>
      <c r="B1" s="2726"/>
      <c r="C1" s="1125"/>
      <c r="D1" s="1125"/>
      <c r="E1" s="1125"/>
      <c r="F1" s="1125"/>
      <c r="G1" s="1125"/>
      <c r="H1" s="1125"/>
      <c r="I1" s="1125"/>
      <c r="J1" s="1125"/>
      <c r="K1" s="1125"/>
      <c r="L1" s="1125"/>
      <c r="M1" s="1125"/>
      <c r="N1" s="1125"/>
      <c r="O1" s="1125"/>
      <c r="P1" s="1125"/>
      <c r="Q1" s="1125"/>
      <c r="R1" s="2712"/>
      <c r="S1" s="2351"/>
      <c r="T1" s="2351"/>
      <c r="U1" s="1125"/>
      <c r="V1" s="1125"/>
      <c r="W1" s="1125"/>
      <c r="X1" s="1125"/>
      <c r="Y1" s="1125"/>
      <c r="Z1" s="1125"/>
      <c r="AA1" s="1125"/>
      <c r="AB1" s="1125"/>
      <c r="AC1" s="1125"/>
      <c r="AD1" s="1125"/>
      <c r="AE1" s="1125"/>
      <c r="AF1" s="1125"/>
      <c r="AG1" s="1125"/>
      <c r="AH1" s="1125"/>
      <c r="AI1" s="1125"/>
      <c r="AJ1" s="1125"/>
      <c r="AK1" s="1125"/>
      <c r="AL1" s="1125"/>
    </row>
    <row r="2" spans="1:45" ht="12" customHeight="1" thickBot="1" x14ac:dyDescent="0.25">
      <c r="A2" s="1125"/>
      <c r="B2" s="2727"/>
      <c r="C2" s="1127"/>
      <c r="D2" s="1127"/>
      <c r="E2" s="1127"/>
      <c r="F2" s="1127"/>
      <c r="G2" s="1127"/>
      <c r="H2" s="1127"/>
      <c r="I2" s="1127"/>
      <c r="J2" s="1127"/>
      <c r="K2" s="1127"/>
      <c r="L2" s="1127"/>
      <c r="M2" s="1127"/>
      <c r="N2" s="1127"/>
      <c r="O2" s="1127"/>
      <c r="P2" s="1127"/>
      <c r="Q2" s="1127"/>
      <c r="R2" s="2713"/>
      <c r="S2" s="2351"/>
      <c r="T2" s="2351"/>
      <c r="U2" s="1126"/>
      <c r="V2" s="1127"/>
      <c r="W2" s="1127"/>
      <c r="X2" s="1127"/>
      <c r="Y2" s="1127"/>
      <c r="Z2" s="1127"/>
      <c r="AA2" s="1127"/>
      <c r="AB2" s="1127"/>
      <c r="AC2" s="1127"/>
      <c r="AD2" s="1127"/>
      <c r="AE2" s="1127"/>
      <c r="AF2" s="1127"/>
      <c r="AG2" s="1127"/>
      <c r="AH2" s="1127"/>
      <c r="AI2" s="1127"/>
      <c r="AJ2" s="1127"/>
      <c r="AK2" s="1128"/>
      <c r="AL2" s="1125"/>
    </row>
    <row r="3" spans="1:45" ht="12" customHeight="1" x14ac:dyDescent="0.2">
      <c r="A3" s="1125"/>
      <c r="B3" s="2728"/>
      <c r="C3" s="4621"/>
      <c r="D3" s="4622"/>
      <c r="E3" s="4622"/>
      <c r="F3" s="4622"/>
      <c r="G3" s="4622"/>
      <c r="H3" s="4622"/>
      <c r="I3" s="2532"/>
      <c r="J3" s="2532"/>
      <c r="K3" s="2532"/>
      <c r="L3" s="2532"/>
      <c r="M3" s="2532"/>
      <c r="N3" s="2532"/>
      <c r="O3" s="2532"/>
      <c r="P3" s="2532"/>
      <c r="Q3" s="1130"/>
      <c r="R3" s="2714"/>
      <c r="S3" s="2351"/>
      <c r="T3" s="2351"/>
      <c r="U3" s="537"/>
      <c r="V3" s="4621"/>
      <c r="W3" s="4622"/>
      <c r="X3" s="4622"/>
      <c r="Y3" s="4622"/>
      <c r="Z3" s="4622"/>
      <c r="AA3" s="4622"/>
      <c r="AB3" s="1129"/>
      <c r="AC3" s="1129"/>
      <c r="AD3" s="1129"/>
      <c r="AE3" s="1129"/>
      <c r="AF3" s="1129"/>
      <c r="AG3" s="1129"/>
      <c r="AH3" s="1129"/>
      <c r="AI3" s="1129"/>
      <c r="AJ3" s="1130"/>
      <c r="AK3" s="1131"/>
      <c r="AL3" s="1125"/>
    </row>
    <row r="4" spans="1:45" ht="12" customHeight="1" x14ac:dyDescent="0.2">
      <c r="A4" s="1125"/>
      <c r="B4" s="2728"/>
      <c r="C4" s="4623"/>
      <c r="D4" s="4624"/>
      <c r="E4" s="4624"/>
      <c r="F4" s="4624"/>
      <c r="G4" s="4624"/>
      <c r="H4" s="4624"/>
      <c r="I4" s="2533"/>
      <c r="J4" s="4627" t="s">
        <v>1625</v>
      </c>
      <c r="K4" s="4628"/>
      <c r="L4" s="3144" t="str">
        <f>IF(OR(General!$G$22="",General!$G$22=0),"",General!$G$22)</f>
        <v/>
      </c>
      <c r="M4" s="3144"/>
      <c r="N4" s="3144"/>
      <c r="O4" s="3144"/>
      <c r="P4" s="3144"/>
      <c r="Q4" s="735"/>
      <c r="R4" s="2715"/>
      <c r="S4" s="2351"/>
      <c r="T4" s="2351"/>
      <c r="U4" s="537"/>
      <c r="V4" s="4623"/>
      <c r="W4" s="4624"/>
      <c r="X4" s="4624"/>
      <c r="Y4" s="4624"/>
      <c r="Z4" s="4624"/>
      <c r="AA4" s="4624"/>
      <c r="AB4" s="1134"/>
      <c r="AC4" s="4627" t="s">
        <v>1625</v>
      </c>
      <c r="AD4" s="4628"/>
      <c r="AE4" s="3144" t="str">
        <f>IF(OR(General!$G$22="",General!$G$22=0),"",General!$G$22)</f>
        <v/>
      </c>
      <c r="AF4" s="3144"/>
      <c r="AG4" s="3144"/>
      <c r="AH4" s="3144"/>
      <c r="AI4" s="3144"/>
      <c r="AJ4" s="735"/>
      <c r="AK4" s="1131"/>
      <c r="AL4" s="1125"/>
    </row>
    <row r="5" spans="1:45" ht="12" customHeight="1" x14ac:dyDescent="0.2">
      <c r="A5" s="1125"/>
      <c r="B5" s="2728"/>
      <c r="C5" s="4623"/>
      <c r="D5" s="4624"/>
      <c r="E5" s="4624"/>
      <c r="F5" s="4624"/>
      <c r="G5" s="4624"/>
      <c r="H5" s="4624"/>
      <c r="I5" s="2533"/>
      <c r="J5" s="4615" t="s">
        <v>1626</v>
      </c>
      <c r="K5" s="4616"/>
      <c r="L5" s="4617" t="str">
        <f>Principal!$L$5</f>
        <v/>
      </c>
      <c r="M5" s="4618"/>
      <c r="N5" s="4618"/>
      <c r="O5" s="1136" t="s">
        <v>1627</v>
      </c>
      <c r="P5" s="1137" t="str">
        <f>Principal!$P$5</f>
        <v>0</v>
      </c>
      <c r="Q5" s="1138"/>
      <c r="R5" s="2715"/>
      <c r="S5" s="2351"/>
      <c r="T5" s="2351"/>
      <c r="U5" s="537"/>
      <c r="V5" s="4623"/>
      <c r="W5" s="4624"/>
      <c r="X5" s="4624"/>
      <c r="Y5" s="4624"/>
      <c r="Z5" s="4624"/>
      <c r="AA5" s="4624"/>
      <c r="AB5" s="1134"/>
      <c r="AC5" s="4615" t="s">
        <v>1626</v>
      </c>
      <c r="AD5" s="4616"/>
      <c r="AE5" s="4617" t="str">
        <f>Principal!$L$5</f>
        <v/>
      </c>
      <c r="AF5" s="4618"/>
      <c r="AG5" s="4618"/>
      <c r="AH5" s="1136" t="s">
        <v>1627</v>
      </c>
      <c r="AI5" s="1137" t="str">
        <f>Principal!$P$5</f>
        <v>0</v>
      </c>
      <c r="AJ5" s="1138"/>
      <c r="AK5" s="1131"/>
      <c r="AL5" s="1125"/>
    </row>
    <row r="6" spans="1:45" ht="12" customHeight="1" x14ac:dyDescent="0.2">
      <c r="A6" s="1125"/>
      <c r="B6" s="2728"/>
      <c r="C6" s="4623"/>
      <c r="D6" s="4624"/>
      <c r="E6" s="4624"/>
      <c r="F6" s="4624"/>
      <c r="G6" s="4624"/>
      <c r="H6" s="4624"/>
      <c r="I6" s="2533"/>
      <c r="J6" s="4619" t="s">
        <v>1902</v>
      </c>
      <c r="K6" s="4620"/>
      <c r="L6" s="4620"/>
      <c r="M6" s="4620"/>
      <c r="N6" s="4620"/>
      <c r="O6" s="4620"/>
      <c r="P6" s="4620"/>
      <c r="Q6" s="1138"/>
      <c r="R6" s="2715"/>
      <c r="S6" s="2351"/>
      <c r="T6" s="2351"/>
      <c r="U6" s="537"/>
      <c r="V6" s="4623"/>
      <c r="W6" s="4624"/>
      <c r="X6" s="4624"/>
      <c r="Y6" s="4624"/>
      <c r="Z6" s="4624"/>
      <c r="AA6" s="4624"/>
      <c r="AB6" s="1134"/>
      <c r="AC6" s="4619" t="s">
        <v>1903</v>
      </c>
      <c r="AD6" s="4620"/>
      <c r="AE6" s="4620"/>
      <c r="AF6" s="4620"/>
      <c r="AG6" s="4620"/>
      <c r="AH6" s="4620"/>
      <c r="AI6" s="4620"/>
      <c r="AJ6" s="1138"/>
      <c r="AK6" s="1131"/>
      <c r="AL6" s="1125"/>
    </row>
    <row r="7" spans="1:45" ht="12" customHeight="1" x14ac:dyDescent="0.2">
      <c r="A7" s="1125"/>
      <c r="B7" s="2728"/>
      <c r="C7" s="4623"/>
      <c r="D7" s="4624"/>
      <c r="E7" s="4624"/>
      <c r="F7" s="4624"/>
      <c r="G7" s="4624"/>
      <c r="H7" s="4624"/>
      <c r="I7" s="2533"/>
      <c r="J7" s="4620"/>
      <c r="K7" s="4620"/>
      <c r="L7" s="4620"/>
      <c r="M7" s="4620"/>
      <c r="N7" s="4620"/>
      <c r="O7" s="4620"/>
      <c r="P7" s="4620"/>
      <c r="Q7" s="1138"/>
      <c r="R7" s="2715"/>
      <c r="S7" s="2351"/>
      <c r="T7" s="2351"/>
      <c r="U7" s="537"/>
      <c r="V7" s="4623"/>
      <c r="W7" s="4624"/>
      <c r="X7" s="4624"/>
      <c r="Y7" s="4624"/>
      <c r="Z7" s="4624"/>
      <c r="AA7" s="4624"/>
      <c r="AB7" s="1134"/>
      <c r="AC7" s="4620"/>
      <c r="AD7" s="4620"/>
      <c r="AE7" s="4620"/>
      <c r="AF7" s="4620"/>
      <c r="AG7" s="4620"/>
      <c r="AH7" s="4620"/>
      <c r="AI7" s="4620"/>
      <c r="AJ7" s="1138"/>
      <c r="AK7" s="1131"/>
      <c r="AL7" s="1125"/>
    </row>
    <row r="8" spans="1:45" ht="12" customHeight="1" thickBot="1" x14ac:dyDescent="0.25">
      <c r="A8" s="1125"/>
      <c r="B8" s="2728"/>
      <c r="C8" s="4625"/>
      <c r="D8" s="4626"/>
      <c r="E8" s="4626"/>
      <c r="F8" s="4626"/>
      <c r="G8" s="4626"/>
      <c r="H8" s="4626"/>
      <c r="I8" s="2534"/>
      <c r="J8" s="2534"/>
      <c r="K8" s="2534"/>
      <c r="L8" s="2534"/>
      <c r="M8" s="2534"/>
      <c r="N8" s="2534"/>
      <c r="O8" s="2534"/>
      <c r="P8" s="2534"/>
      <c r="Q8" s="1144"/>
      <c r="R8" s="2715"/>
      <c r="S8" s="2351"/>
      <c r="T8" s="2351"/>
      <c r="U8" s="537"/>
      <c r="V8" s="4625"/>
      <c r="W8" s="4626"/>
      <c r="X8" s="4626"/>
      <c r="Y8" s="4626"/>
      <c r="Z8" s="4626"/>
      <c r="AA8" s="4626"/>
      <c r="AB8" s="1143"/>
      <c r="AC8" s="1143"/>
      <c r="AD8" s="1143"/>
      <c r="AE8" s="1143"/>
      <c r="AF8" s="1143"/>
      <c r="AG8" s="1143"/>
      <c r="AH8" s="1143"/>
      <c r="AI8" s="1143"/>
      <c r="AJ8" s="1144"/>
      <c r="AK8" s="1131"/>
      <c r="AL8" s="1125"/>
      <c r="AM8" s="1204"/>
      <c r="AN8" s="1204"/>
      <c r="AO8" s="1204"/>
      <c r="AP8" s="1204"/>
      <c r="AQ8" s="1204"/>
    </row>
    <row r="9" spans="1:45" ht="12" customHeight="1" thickBot="1" x14ac:dyDescent="0.25">
      <c r="A9" s="1125"/>
      <c r="B9" s="2728"/>
      <c r="C9" s="663"/>
      <c r="D9" s="663"/>
      <c r="E9" s="663"/>
      <c r="F9" s="663"/>
      <c r="G9" s="663"/>
      <c r="H9" s="663"/>
      <c r="I9" s="663"/>
      <c r="J9" s="663"/>
      <c r="K9" s="663"/>
      <c r="L9" s="663"/>
      <c r="M9" s="663"/>
      <c r="N9" s="663"/>
      <c r="O9" s="663"/>
      <c r="P9" s="663"/>
      <c r="Q9" s="663"/>
      <c r="R9" s="2715"/>
      <c r="S9" s="2351"/>
      <c r="T9" s="2351"/>
      <c r="U9" s="537"/>
      <c r="V9" s="4629" t="str">
        <f>IF(Tablas!G488+Tablas!G489+Tablas!G551+Tablas!G534+Tablas!G552&gt;0,"Empatía hacia elemento: -5 CM al coste de cada efecto relacionado con elemento afín (Coste mínimo 5 CM)","")</f>
        <v/>
      </c>
      <c r="W9" s="4629"/>
      <c r="X9" s="4629"/>
      <c r="Y9" s="4629"/>
      <c r="Z9" s="4629"/>
      <c r="AA9" s="4629"/>
      <c r="AB9" s="4629"/>
      <c r="AC9" s="4629"/>
      <c r="AD9" s="4629"/>
      <c r="AE9" s="4629"/>
      <c r="AF9" s="4629"/>
      <c r="AG9" s="4629"/>
      <c r="AH9" s="4629"/>
      <c r="AI9" s="4629"/>
      <c r="AJ9" s="4629"/>
      <c r="AK9" s="1131"/>
      <c r="AL9" s="1125"/>
      <c r="AM9" s="1205"/>
      <c r="AN9" s="1205"/>
      <c r="AO9" s="1205"/>
      <c r="AP9" s="1205"/>
      <c r="AQ9" s="1206"/>
    </row>
    <row r="10" spans="1:45" ht="12" customHeight="1" thickBot="1" x14ac:dyDescent="0.25">
      <c r="A10" s="1125"/>
      <c r="B10" s="2728"/>
      <c r="C10" s="4638" t="s">
        <v>1904</v>
      </c>
      <c r="D10" s="4639"/>
      <c r="E10" s="4639"/>
      <c r="F10" s="4639"/>
      <c r="G10" s="2803"/>
      <c r="H10" s="2804" t="s">
        <v>10014</v>
      </c>
      <c r="I10" s="2805" t="s">
        <v>2446</v>
      </c>
      <c r="J10" s="2720"/>
      <c r="K10" s="4630" t="s">
        <v>1905</v>
      </c>
      <c r="L10" s="4631"/>
      <c r="M10" s="4631"/>
      <c r="N10" s="4631"/>
      <c r="O10" s="4631"/>
      <c r="P10" s="4634">
        <f>IF(Q10=0,40,"-")</f>
        <v>40</v>
      </c>
      <c r="Q10" s="4636"/>
      <c r="R10" s="4681" t="b">
        <f t="shared" ref="R10:R11" si="0">P10="-"</f>
        <v>0</v>
      </c>
      <c r="S10" s="2351"/>
      <c r="T10" s="2351"/>
      <c r="U10" s="537"/>
      <c r="V10" s="4638" t="s">
        <v>1906</v>
      </c>
      <c r="W10" s="4639"/>
      <c r="X10" s="4639"/>
      <c r="Y10" s="4640"/>
      <c r="Z10" s="1184"/>
      <c r="AA10" s="4638" t="s">
        <v>1907</v>
      </c>
      <c r="AB10" s="4639"/>
      <c r="AC10" s="4639"/>
      <c r="AD10" s="4639"/>
      <c r="AE10" s="4639"/>
      <c r="AF10" s="4639"/>
      <c r="AG10" s="4639"/>
      <c r="AH10" s="4639"/>
      <c r="AI10" s="4639"/>
      <c r="AJ10" s="4640"/>
      <c r="AK10" s="1131"/>
      <c r="AL10" s="1125"/>
    </row>
    <row r="11" spans="1:45" ht="12" customHeight="1" thickBot="1" x14ac:dyDescent="0.25">
      <c r="A11" s="1125"/>
      <c r="B11" s="2728"/>
      <c r="C11" s="1207"/>
      <c r="D11" s="627" t="s">
        <v>1908</v>
      </c>
      <c r="E11" s="1208" t="s">
        <v>1909</v>
      </c>
      <c r="F11" s="4641" t="s">
        <v>1910</v>
      </c>
      <c r="G11" s="4642"/>
      <c r="H11" s="4642"/>
      <c r="I11" s="4643"/>
      <c r="J11" s="2720"/>
      <c r="K11" s="4632"/>
      <c r="L11" s="4633"/>
      <c r="M11" s="4633"/>
      <c r="N11" s="4633"/>
      <c r="O11" s="4633"/>
      <c r="P11" s="4635"/>
      <c r="Q11" s="4637"/>
      <c r="R11" s="4681" t="b">
        <f t="shared" si="0"/>
        <v>0</v>
      </c>
      <c r="S11" s="2351"/>
      <c r="T11" s="2351"/>
      <c r="U11" s="537"/>
      <c r="V11" s="4645" t="s">
        <v>1911</v>
      </c>
      <c r="W11" s="4680"/>
      <c r="X11" s="4678"/>
      <c r="Y11" s="4658"/>
      <c r="Z11" s="1209"/>
      <c r="AA11" s="4667" t="s">
        <v>1912</v>
      </c>
      <c r="AB11" s="4513"/>
      <c r="AC11" s="4668"/>
      <c r="AD11" s="4513" t="s">
        <v>1913</v>
      </c>
      <c r="AE11" s="4513"/>
      <c r="AF11" s="4513"/>
      <c r="AG11" s="4513"/>
      <c r="AH11" s="4513"/>
      <c r="AI11" s="4513"/>
      <c r="AJ11" s="4514"/>
      <c r="AK11" s="1131"/>
      <c r="AL11" s="1125"/>
    </row>
    <row r="12" spans="1:45" ht="12" customHeight="1" x14ac:dyDescent="0.2">
      <c r="A12" s="1125"/>
      <c r="B12" s="2728"/>
      <c r="C12" s="4644" t="s">
        <v>1682</v>
      </c>
      <c r="D12" s="4646">
        <f>PDs!$AA33</f>
        <v>1</v>
      </c>
      <c r="E12" s="4648" t="str">
        <f>IF(OR(Tablas!$G$375&gt;0,Tablas!$G$17378&gt;0,$I$10&lt;&gt;"No"),"-",PDs!$AA$27)</f>
        <v>-</v>
      </c>
      <c r="F12" s="4650"/>
      <c r="G12" s="4651"/>
      <c r="H12" s="4651"/>
      <c r="I12" s="4652"/>
      <c r="J12" s="2720"/>
      <c r="K12" s="4656" t="s">
        <v>1914</v>
      </c>
      <c r="L12" s="4657"/>
      <c r="M12" s="4657"/>
      <c r="N12" s="4657"/>
      <c r="O12" s="4657"/>
      <c r="P12" s="2535">
        <f>IF(Q12=0,30,"-")</f>
        <v>30</v>
      </c>
      <c r="Q12" s="2536"/>
      <c r="R12" s="2716" t="b">
        <f>P12="-"</f>
        <v>0</v>
      </c>
      <c r="S12" s="2351"/>
      <c r="T12" s="2351"/>
      <c r="U12" s="537"/>
      <c r="V12" s="4645"/>
      <c r="W12" s="4680"/>
      <c r="X12" s="4678"/>
      <c r="Y12" s="4658"/>
      <c r="Z12" s="1209"/>
      <c r="AA12" s="4661"/>
      <c r="AB12" s="4662"/>
      <c r="AC12" s="4663"/>
      <c r="AD12" s="4673"/>
      <c r="AE12" s="4673"/>
      <c r="AF12" s="4673"/>
      <c r="AG12" s="4673"/>
      <c r="AH12" s="4673"/>
      <c r="AI12" s="4673"/>
      <c r="AJ12" s="4674"/>
      <c r="AK12" s="1131"/>
      <c r="AL12" s="1125"/>
    </row>
    <row r="13" spans="1:45" ht="12" customHeight="1" x14ac:dyDescent="0.2">
      <c r="A13" s="1125"/>
      <c r="B13" s="2728"/>
      <c r="C13" s="4645"/>
      <c r="D13" s="4647"/>
      <c r="E13" s="4649"/>
      <c r="F13" s="4653"/>
      <c r="G13" s="4654"/>
      <c r="H13" s="4654"/>
      <c r="I13" s="4655"/>
      <c r="J13" s="2720"/>
      <c r="K13" s="1210" t="s">
        <v>1915</v>
      </c>
      <c r="L13" s="4675" t="s">
        <v>1916</v>
      </c>
      <c r="M13" s="4675"/>
      <c r="N13" s="4675"/>
      <c r="O13" s="4675"/>
      <c r="P13" s="2535">
        <f>IF(Q13=0,20,"-")</f>
        <v>20</v>
      </c>
      <c r="Q13" s="2536"/>
      <c r="R13" s="2716" t="b">
        <f t="shared" ref="R13:R62" si="1">P13="-"</f>
        <v>0</v>
      </c>
      <c r="S13" s="2351"/>
      <c r="T13" s="2351"/>
      <c r="U13" s="537"/>
      <c r="V13" s="4645" t="s">
        <v>1917</v>
      </c>
      <c r="W13" s="4680"/>
      <c r="X13" s="4678"/>
      <c r="Y13" s="4658"/>
      <c r="Z13" s="668"/>
      <c r="AA13" s="4664"/>
      <c r="AB13" s="4665"/>
      <c r="AC13" s="4666"/>
      <c r="AD13" s="4676"/>
      <c r="AE13" s="4676"/>
      <c r="AF13" s="4676"/>
      <c r="AG13" s="4676"/>
      <c r="AH13" s="4676"/>
      <c r="AI13" s="4676"/>
      <c r="AJ13" s="4677"/>
      <c r="AK13" s="1131"/>
      <c r="AL13" s="1125"/>
    </row>
    <row r="14" spans="1:45" ht="12" customHeight="1" x14ac:dyDescent="0.2">
      <c r="A14" s="1125"/>
      <c r="B14" s="2728"/>
      <c r="C14" s="4659" t="s">
        <v>1809</v>
      </c>
      <c r="D14" s="4660">
        <f>PDs!$AA34</f>
        <v>1</v>
      </c>
      <c r="E14" s="4669" t="str">
        <f>IF(OR(Tablas!$G$375&gt;0,Tablas!$G$17378&gt;0,$I$10&lt;&gt;"No"),"-",PDs!$AA$28)</f>
        <v>-</v>
      </c>
      <c r="F14" s="4670"/>
      <c r="G14" s="4671"/>
      <c r="H14" s="4671"/>
      <c r="I14" s="4672"/>
      <c r="J14" s="2720"/>
      <c r="K14" s="1210" t="s">
        <v>1918</v>
      </c>
      <c r="L14" s="1211" t="s">
        <v>1919</v>
      </c>
      <c r="M14" s="4679" t="s">
        <v>1920</v>
      </c>
      <c r="N14" s="4679"/>
      <c r="O14" s="4679"/>
      <c r="P14" s="2535">
        <f>IF(Q14=0,10,"-")</f>
        <v>10</v>
      </c>
      <c r="Q14" s="2536"/>
      <c r="R14" s="2716" t="b">
        <f t="shared" si="1"/>
        <v>0</v>
      </c>
      <c r="S14" s="2351"/>
      <c r="T14" s="2351"/>
      <c r="U14" s="537"/>
      <c r="V14" s="4645"/>
      <c r="W14" s="4680"/>
      <c r="X14" s="4678"/>
      <c r="Y14" s="4658"/>
      <c r="Z14" s="1188"/>
      <c r="AA14" s="4664"/>
      <c r="AB14" s="4665"/>
      <c r="AC14" s="4666"/>
      <c r="AD14" s="4676"/>
      <c r="AE14" s="4676"/>
      <c r="AF14" s="4676"/>
      <c r="AG14" s="4676"/>
      <c r="AH14" s="4676"/>
      <c r="AI14" s="4676"/>
      <c r="AJ14" s="4677"/>
      <c r="AK14" s="1131"/>
      <c r="AL14" s="1125"/>
    </row>
    <row r="15" spans="1:45" ht="12" customHeight="1" x14ac:dyDescent="0.2">
      <c r="A15" s="1125"/>
      <c r="B15" s="2728"/>
      <c r="C15" s="4659"/>
      <c r="D15" s="4660"/>
      <c r="E15" s="4669"/>
      <c r="F15" s="4670"/>
      <c r="G15" s="4671"/>
      <c r="H15" s="4671"/>
      <c r="I15" s="4672"/>
      <c r="J15" s="2720"/>
      <c r="K15" s="1210" t="s">
        <v>1915</v>
      </c>
      <c r="L15" s="4679" t="s">
        <v>1921</v>
      </c>
      <c r="M15" s="4679"/>
      <c r="N15" s="4679"/>
      <c r="O15" s="4679"/>
      <c r="P15" s="2535">
        <f>IF(Q15=0,40,"-")</f>
        <v>40</v>
      </c>
      <c r="Q15" s="2536"/>
      <c r="R15" s="2716" t="b">
        <f t="shared" si="1"/>
        <v>0</v>
      </c>
      <c r="S15" s="2351"/>
      <c r="T15" s="2351"/>
      <c r="U15" s="537"/>
      <c r="V15" s="4645" t="s">
        <v>1922</v>
      </c>
      <c r="W15" s="4680"/>
      <c r="X15" s="4678"/>
      <c r="Y15" s="4658"/>
      <c r="Z15" s="1212"/>
      <c r="AA15" s="4664"/>
      <c r="AB15" s="4665"/>
      <c r="AC15" s="4666"/>
      <c r="AD15" s="4676"/>
      <c r="AE15" s="4676"/>
      <c r="AF15" s="4676"/>
      <c r="AG15" s="4676"/>
      <c r="AH15" s="4676"/>
      <c r="AI15" s="4676"/>
      <c r="AJ15" s="4677"/>
      <c r="AK15" s="1131"/>
      <c r="AL15" s="1125"/>
    </row>
    <row r="16" spans="1:45" ht="12" customHeight="1" x14ac:dyDescent="0.2">
      <c r="A16" s="1125"/>
      <c r="B16" s="2728"/>
      <c r="C16" s="4645" t="s">
        <v>1687</v>
      </c>
      <c r="D16" s="4647">
        <f>PDs!$AA35</f>
        <v>1</v>
      </c>
      <c r="E16" s="4649" t="str">
        <f>IF(OR(Tablas!$G$375&gt;0,Tablas!$G$17378&gt;0,$I$10&lt;&gt;"No"),"-",PDs!$AA$29)</f>
        <v>-</v>
      </c>
      <c r="F16" s="4653"/>
      <c r="G16" s="4654"/>
      <c r="H16" s="4654"/>
      <c r="I16" s="4655"/>
      <c r="J16" s="2720"/>
      <c r="K16" s="1210" t="s">
        <v>1915</v>
      </c>
      <c r="L16" s="4679" t="s">
        <v>1923</v>
      </c>
      <c r="M16" s="4679"/>
      <c r="N16" s="4679"/>
      <c r="O16" s="4679"/>
      <c r="P16" s="2535">
        <f>IF(Q16=0,10,"-")</f>
        <v>10</v>
      </c>
      <c r="Q16" s="2536"/>
      <c r="R16" s="2716" t="b">
        <f t="shared" si="1"/>
        <v>0</v>
      </c>
      <c r="S16" s="2351"/>
      <c r="T16" s="2351"/>
      <c r="U16" s="537"/>
      <c r="V16" s="4645"/>
      <c r="W16" s="4680"/>
      <c r="X16" s="4678"/>
      <c r="Y16" s="4658"/>
      <c r="Z16" s="1212"/>
      <c r="AA16" s="4664"/>
      <c r="AB16" s="4665"/>
      <c r="AC16" s="4666"/>
      <c r="AD16" s="4676"/>
      <c r="AE16" s="4676"/>
      <c r="AF16" s="4676"/>
      <c r="AG16" s="4676"/>
      <c r="AH16" s="4676"/>
      <c r="AI16" s="4676"/>
      <c r="AJ16" s="4677"/>
      <c r="AK16" s="1131"/>
      <c r="AL16" s="1125"/>
      <c r="AO16" s="663"/>
      <c r="AP16" s="663"/>
      <c r="AQ16" s="663"/>
      <c r="AR16" s="663"/>
      <c r="AS16" s="663"/>
    </row>
    <row r="17" spans="1:47" ht="12" customHeight="1" x14ac:dyDescent="0.2">
      <c r="A17" s="1125"/>
      <c r="B17" s="2728"/>
      <c r="C17" s="4645"/>
      <c r="D17" s="4647"/>
      <c r="E17" s="4649"/>
      <c r="F17" s="4653"/>
      <c r="G17" s="4654"/>
      <c r="H17" s="4654"/>
      <c r="I17" s="4655"/>
      <c r="J17" s="2720"/>
      <c r="K17" s="1210" t="s">
        <v>1918</v>
      </c>
      <c r="L17" s="1213" t="s">
        <v>1915</v>
      </c>
      <c r="M17" s="4675" t="s">
        <v>1924</v>
      </c>
      <c r="N17" s="4675"/>
      <c r="O17" s="4675"/>
      <c r="P17" s="2535">
        <f>IF(Q17=0,30,"-")</f>
        <v>30</v>
      </c>
      <c r="Q17" s="2536"/>
      <c r="R17" s="2716" t="b">
        <f t="shared" si="1"/>
        <v>0</v>
      </c>
      <c r="S17" s="2351"/>
      <c r="T17" s="2351"/>
      <c r="U17" s="537"/>
      <c r="V17" s="4645" t="s">
        <v>1925</v>
      </c>
      <c r="W17" s="4680"/>
      <c r="X17" s="4678"/>
      <c r="Y17" s="4658"/>
      <c r="Z17" s="1214"/>
      <c r="AA17" s="4664"/>
      <c r="AB17" s="4665"/>
      <c r="AC17" s="4666"/>
      <c r="AD17" s="4676"/>
      <c r="AE17" s="4676"/>
      <c r="AF17" s="4676"/>
      <c r="AG17" s="4676"/>
      <c r="AH17" s="4676"/>
      <c r="AI17" s="4676"/>
      <c r="AJ17" s="4677"/>
      <c r="AK17" s="1131"/>
      <c r="AL17" s="1125"/>
      <c r="AO17" s="663"/>
      <c r="AP17" s="663"/>
      <c r="AQ17" s="663"/>
      <c r="AR17" s="663"/>
      <c r="AS17" s="663"/>
    </row>
    <row r="18" spans="1:47" ht="12" customHeight="1" x14ac:dyDescent="0.2">
      <c r="A18" s="1125"/>
      <c r="B18" s="2728"/>
      <c r="C18" s="4659" t="s">
        <v>1692</v>
      </c>
      <c r="D18" s="4660">
        <f>PDs!$AA36</f>
        <v>1</v>
      </c>
      <c r="E18" s="4669" t="str">
        <f>IF(OR(Tablas!$G$375&gt;0,Tablas!$G$17378&gt;0,$I$10&lt;&gt;"No"),"-",PDs!$AA$30)</f>
        <v>-</v>
      </c>
      <c r="F18" s="4670"/>
      <c r="G18" s="4671"/>
      <c r="H18" s="4671"/>
      <c r="I18" s="4672"/>
      <c r="J18" s="2720"/>
      <c r="K18" s="1210" t="s">
        <v>1918</v>
      </c>
      <c r="L18" s="1213" t="s">
        <v>1918</v>
      </c>
      <c r="M18" s="1213" t="s">
        <v>1926</v>
      </c>
      <c r="N18" s="4682" t="s">
        <v>1927</v>
      </c>
      <c r="O18" s="4682"/>
      <c r="P18" s="2535">
        <f>IF(Q18=0,20,"-")</f>
        <v>20</v>
      </c>
      <c r="Q18" s="2536"/>
      <c r="R18" s="2716" t="b">
        <f t="shared" si="1"/>
        <v>0</v>
      </c>
      <c r="S18" s="2351"/>
      <c r="T18" s="2351"/>
      <c r="U18" s="537"/>
      <c r="V18" s="4645"/>
      <c r="W18" s="4680"/>
      <c r="X18" s="4678"/>
      <c r="Y18" s="4658"/>
      <c r="Z18" s="1215"/>
      <c r="AA18" s="4664"/>
      <c r="AB18" s="4665"/>
      <c r="AC18" s="4666"/>
      <c r="AD18" s="4676"/>
      <c r="AE18" s="4676"/>
      <c r="AF18" s="4676"/>
      <c r="AG18" s="4676"/>
      <c r="AH18" s="4676"/>
      <c r="AI18" s="4676"/>
      <c r="AJ18" s="4677"/>
      <c r="AK18" s="1131"/>
      <c r="AL18" s="1125"/>
      <c r="AO18" s="663"/>
      <c r="AP18" s="663"/>
      <c r="AQ18" s="663"/>
      <c r="AR18" s="663"/>
      <c r="AS18" s="663"/>
    </row>
    <row r="19" spans="1:47" ht="12" customHeight="1" x14ac:dyDescent="0.2">
      <c r="A19" s="1125"/>
      <c r="B19" s="2728"/>
      <c r="C19" s="4659"/>
      <c r="D19" s="4660"/>
      <c r="E19" s="4669"/>
      <c r="F19" s="4670"/>
      <c r="G19" s="4671"/>
      <c r="H19" s="4671"/>
      <c r="I19" s="4672"/>
      <c r="J19" s="2720"/>
      <c r="K19" s="1210" t="s">
        <v>1918</v>
      </c>
      <c r="L19" s="1213" t="s">
        <v>1915</v>
      </c>
      <c r="M19" s="4675" t="s">
        <v>1928</v>
      </c>
      <c r="N19" s="4675"/>
      <c r="O19" s="4675"/>
      <c r="P19" s="2535">
        <f>IF(Q19=0,30,"-")</f>
        <v>30</v>
      </c>
      <c r="Q19" s="2536"/>
      <c r="R19" s="2716" t="b">
        <f t="shared" si="1"/>
        <v>0</v>
      </c>
      <c r="S19" s="2351"/>
      <c r="T19" s="2351"/>
      <c r="U19" s="537"/>
      <c r="V19" s="4645" t="s">
        <v>1929</v>
      </c>
      <c r="W19" s="4680"/>
      <c r="X19" s="4688"/>
      <c r="Y19" s="4658"/>
      <c r="Z19" s="1215"/>
      <c r="AA19" s="4664"/>
      <c r="AB19" s="4665"/>
      <c r="AC19" s="4666"/>
      <c r="AD19" s="4676"/>
      <c r="AE19" s="4676"/>
      <c r="AF19" s="4676"/>
      <c r="AG19" s="4676"/>
      <c r="AH19" s="4676"/>
      <c r="AI19" s="4676"/>
      <c r="AJ19" s="4677"/>
      <c r="AK19" s="1131"/>
      <c r="AL19" s="1125"/>
      <c r="AM19" s="1170"/>
      <c r="AO19" s="663"/>
      <c r="AP19" s="663"/>
      <c r="AQ19" s="663"/>
      <c r="AR19" s="663"/>
      <c r="AS19" s="663"/>
    </row>
    <row r="20" spans="1:47" ht="12" customHeight="1" thickBot="1" x14ac:dyDescent="0.25">
      <c r="A20" s="1125"/>
      <c r="B20" s="2728"/>
      <c r="C20" s="4645" t="s">
        <v>1700</v>
      </c>
      <c r="D20" s="4647">
        <f>PDs!$AA37</f>
        <v>1</v>
      </c>
      <c r="E20" s="4649" t="str">
        <f>IF(OR(Tablas!$G$375&gt;0,Tablas!$G$17378&gt;0,$I$10&lt;&gt;"No"),"-",PDs!$AA$31)</f>
        <v>-</v>
      </c>
      <c r="F20" s="4653"/>
      <c r="G20" s="4654"/>
      <c r="H20" s="4654"/>
      <c r="I20" s="4655"/>
      <c r="J20" s="2720"/>
      <c r="K20" s="1210" t="s">
        <v>1918</v>
      </c>
      <c r="L20" s="1213" t="s">
        <v>1918</v>
      </c>
      <c r="M20" s="1213" t="s">
        <v>1915</v>
      </c>
      <c r="N20" s="4679" t="s">
        <v>1930</v>
      </c>
      <c r="O20" s="4679"/>
      <c r="P20" s="2535">
        <f>IF(Q20=0,30,"-")</f>
        <v>30</v>
      </c>
      <c r="Q20" s="2536"/>
      <c r="R20" s="2716" t="b">
        <f t="shared" si="1"/>
        <v>0</v>
      </c>
      <c r="S20" s="2351"/>
      <c r="T20" s="2351"/>
      <c r="U20" s="537"/>
      <c r="V20" s="4686"/>
      <c r="W20" s="4687"/>
      <c r="X20" s="4689"/>
      <c r="Y20" s="4690"/>
      <c r="Z20" s="1215"/>
      <c r="AA20" s="4683"/>
      <c r="AB20" s="4684"/>
      <c r="AC20" s="4685"/>
      <c r="AD20" s="4702"/>
      <c r="AE20" s="4702"/>
      <c r="AF20" s="4702"/>
      <c r="AG20" s="4702"/>
      <c r="AH20" s="4702"/>
      <c r="AI20" s="4702"/>
      <c r="AJ20" s="4703"/>
      <c r="AK20" s="1131"/>
      <c r="AL20" s="1125"/>
      <c r="AM20" s="1184"/>
      <c r="AN20" s="1173"/>
      <c r="AO20" s="1173"/>
      <c r="AP20" s="1173"/>
      <c r="AQ20" s="1173"/>
      <c r="AR20" s="1173"/>
      <c r="AS20" s="1173"/>
      <c r="AT20" s="1173"/>
      <c r="AU20" s="1173"/>
    </row>
    <row r="21" spans="1:47" ht="12" customHeight="1" thickBot="1" x14ac:dyDescent="0.25">
      <c r="A21" s="1125"/>
      <c r="B21" s="2728"/>
      <c r="C21" s="4645"/>
      <c r="D21" s="4647"/>
      <c r="E21" s="4649"/>
      <c r="F21" s="4653"/>
      <c r="G21" s="4654"/>
      <c r="H21" s="4654"/>
      <c r="I21" s="4655"/>
      <c r="J21" s="2720"/>
      <c r="K21" s="1210" t="s">
        <v>1918</v>
      </c>
      <c r="L21" s="1213" t="s">
        <v>1918</v>
      </c>
      <c r="M21" s="1213" t="s">
        <v>1918</v>
      </c>
      <c r="N21" s="4675" t="s">
        <v>1931</v>
      </c>
      <c r="O21" s="4675"/>
      <c r="P21" s="2535">
        <f>IF(Q21=0,40,"-")</f>
        <v>40</v>
      </c>
      <c r="Q21" s="2536"/>
      <c r="R21" s="2716" t="b">
        <f t="shared" si="1"/>
        <v>0</v>
      </c>
      <c r="S21" s="2351"/>
      <c r="T21" s="2351"/>
      <c r="U21" s="537"/>
      <c r="AK21" s="1131"/>
      <c r="AL21" s="1125"/>
      <c r="AM21" s="1184"/>
      <c r="AN21" s="1173"/>
      <c r="AO21" s="1173"/>
      <c r="AP21" s="1173"/>
      <c r="AQ21" s="1173"/>
      <c r="AR21" s="1173"/>
      <c r="AS21" s="1173"/>
      <c r="AT21" s="1173"/>
      <c r="AU21" s="1173"/>
    </row>
    <row r="22" spans="1:47" ht="12" customHeight="1" x14ac:dyDescent="0.2">
      <c r="A22" s="1125"/>
      <c r="B22" s="2728"/>
      <c r="C22" s="4659" t="s">
        <v>1701</v>
      </c>
      <c r="D22" s="4660">
        <f>PDs!$AA38</f>
        <v>1</v>
      </c>
      <c r="E22" s="4669" t="str">
        <f>IF(OR(Tablas!$G$375&gt;0,Tablas!$G$17378&gt;0,$I$10&lt;&gt;"No"),"-",PDs!$AA$32)</f>
        <v>-</v>
      </c>
      <c r="F22" s="4670"/>
      <c r="G22" s="4671"/>
      <c r="H22" s="4671"/>
      <c r="I22" s="4672"/>
      <c r="J22" s="2720"/>
      <c r="K22" s="1210" t="s">
        <v>1918</v>
      </c>
      <c r="L22" s="1213" t="s">
        <v>1918</v>
      </c>
      <c r="M22" s="1213" t="s">
        <v>1926</v>
      </c>
      <c r="N22" s="4679" t="s">
        <v>1932</v>
      </c>
      <c r="O22" s="4679"/>
      <c r="P22" s="2535">
        <f>IF(Q22=0,30,"-")</f>
        <v>30</v>
      </c>
      <c r="Q22" s="2536"/>
      <c r="R22" s="2716" t="b">
        <f t="shared" si="1"/>
        <v>0</v>
      </c>
      <c r="S22" s="2351"/>
      <c r="T22" s="2351"/>
      <c r="U22" s="537"/>
      <c r="V22" s="4393" t="s">
        <v>1903</v>
      </c>
      <c r="W22" s="4394"/>
      <c r="X22" s="4394"/>
      <c r="Y22" s="4394"/>
      <c r="Z22" s="4394"/>
      <c r="AA22" s="4395"/>
      <c r="AB22" s="1247" t="s">
        <v>1811</v>
      </c>
      <c r="AD22" s="4393" t="s">
        <v>1903</v>
      </c>
      <c r="AE22" s="4394"/>
      <c r="AF22" s="4394"/>
      <c r="AG22" s="4394"/>
      <c r="AH22" s="4394"/>
      <c r="AI22" s="4395"/>
      <c r="AJ22" s="1247" t="s">
        <v>1811</v>
      </c>
      <c r="AK22" s="1131"/>
      <c r="AL22" s="1125"/>
      <c r="AM22" s="1184"/>
      <c r="AN22" s="1173"/>
      <c r="AO22" s="1173"/>
      <c r="AP22" s="1173"/>
      <c r="AQ22" s="1173"/>
      <c r="AR22" s="1173"/>
      <c r="AS22" s="1173"/>
      <c r="AT22" s="1173"/>
      <c r="AU22" s="1173"/>
    </row>
    <row r="23" spans="1:47" ht="12" customHeight="1" x14ac:dyDescent="0.2">
      <c r="A23" s="1125"/>
      <c r="B23" s="2728"/>
      <c r="C23" s="4696"/>
      <c r="D23" s="4697"/>
      <c r="E23" s="4698"/>
      <c r="F23" s="4699"/>
      <c r="G23" s="4700"/>
      <c r="H23" s="4700"/>
      <c r="I23" s="4701"/>
      <c r="J23" s="2720"/>
      <c r="K23" s="1210" t="s">
        <v>1918</v>
      </c>
      <c r="L23" s="1213" t="s">
        <v>1918</v>
      </c>
      <c r="M23" s="1216"/>
      <c r="N23" s="4675" t="s">
        <v>1933</v>
      </c>
      <c r="O23" s="4675"/>
      <c r="P23" s="2535">
        <f>IF(Q23=0,40,"-")</f>
        <v>40</v>
      </c>
      <c r="Q23" s="2536"/>
      <c r="R23" s="2716" t="b">
        <f t="shared" si="1"/>
        <v>0</v>
      </c>
      <c r="S23" s="2351"/>
      <c r="T23" s="2351"/>
      <c r="U23" s="1217">
        <f>IF(V23=0,0,1)</f>
        <v>0</v>
      </c>
      <c r="V23" s="4691"/>
      <c r="W23" s="4692"/>
      <c r="X23" s="4692"/>
      <c r="Y23" s="4692"/>
      <c r="Z23" s="4692"/>
      <c r="AA23" s="4693"/>
      <c r="AB23" s="4694" t="str">
        <f>IF(V23="","",VLOOKUP(V23,'Tablas Técnicas'!$AD$5:$AI$188,3,FALSE))</f>
        <v/>
      </c>
      <c r="AD23" s="4691"/>
      <c r="AE23" s="4692"/>
      <c r="AF23" s="4692"/>
      <c r="AG23" s="4692"/>
      <c r="AH23" s="4692"/>
      <c r="AI23" s="4693"/>
      <c r="AJ23" s="4694" t="str">
        <f>IF(AD23="","",VLOOKUP(AD23,'Tablas Técnicas'!$AD$5:$AI$188,3,FALSE))</f>
        <v/>
      </c>
      <c r="AK23" s="1131"/>
      <c r="AL23" s="1125"/>
      <c r="AM23" s="1184"/>
      <c r="AN23" s="1173"/>
      <c r="AO23" s="1173"/>
      <c r="AP23" s="1173"/>
      <c r="AQ23" s="1173"/>
      <c r="AR23" s="1173"/>
      <c r="AS23" s="1173"/>
      <c r="AT23" s="1173"/>
      <c r="AU23" s="1173"/>
    </row>
    <row r="24" spans="1:47" ht="12" customHeight="1" x14ac:dyDescent="0.2">
      <c r="A24" s="1125"/>
      <c r="B24" s="2728"/>
      <c r="C24" s="2721" t="s">
        <v>1934</v>
      </c>
      <c r="D24" s="4646">
        <f>D12+D14+D16+D18+D20+D22</f>
        <v>6</v>
      </c>
      <c r="E24" s="4648">
        <f>IF(OR(Tablas!$G$375&gt;0,Tablas!$H$1384&gt;0),((PDs!AA31*6)+(PDs!V27+PDs!V28+PDs!V29+PDs!V30+PDs!V31+PDs!V32)),SUM(PDs!$AA$27:$AA$32))</f>
        <v>30</v>
      </c>
      <c r="F24" s="4706" t="str">
        <f>IF(I10&lt;&gt;"no","Nota: Las acumulaciones no se unifican con Unificación del Ki","")</f>
        <v>Nota: Las acumulaciones no se unifican con Unificación del Ki</v>
      </c>
      <c r="G24" s="4707"/>
      <c r="H24" s="4707"/>
      <c r="I24" s="4708"/>
      <c r="J24" s="2720"/>
      <c r="K24" s="1210" t="s">
        <v>1918</v>
      </c>
      <c r="L24" s="1213" t="s">
        <v>1926</v>
      </c>
      <c r="M24" s="4679" t="s">
        <v>1935</v>
      </c>
      <c r="N24" s="4679"/>
      <c r="O24" s="4679"/>
      <c r="P24" s="2535">
        <f>IF(Q24=0,20,"-")</f>
        <v>20</v>
      </c>
      <c r="Q24" s="2536"/>
      <c r="R24" s="2716" t="b">
        <f t="shared" si="1"/>
        <v>0</v>
      </c>
      <c r="S24" s="2351"/>
      <c r="T24" s="2351"/>
      <c r="U24" s="1217"/>
      <c r="V24" s="4712" t="str">
        <f>IF(V23="","",VLOOKUP(V23,'Tablas Técnicas'!$AD$5:$AI$188,4,FALSE))</f>
        <v/>
      </c>
      <c r="W24" s="4713"/>
      <c r="X24" s="4713"/>
      <c r="Y24" s="4713"/>
      <c r="Z24" s="1272" t="s">
        <v>1627</v>
      </c>
      <c r="AA24" s="1369" t="str">
        <f>IF(V23="","",VLOOKUP(V23,'Tablas Técnicas'!$AD$5:$AI$188,2,FALSE))</f>
        <v/>
      </c>
      <c r="AB24" s="4695"/>
      <c r="AD24" s="4712" t="str">
        <f>IF(AD23="","",VLOOKUP(AD23,'Tablas Técnicas'!$AD$5:$AI$188,4,FALSE))</f>
        <v/>
      </c>
      <c r="AE24" s="4713"/>
      <c r="AF24" s="4713"/>
      <c r="AG24" s="4713"/>
      <c r="AH24" s="1252" t="s">
        <v>1627</v>
      </c>
      <c r="AI24" s="1254" t="str">
        <f>IF(AD23="","",VLOOKUP(AD23,'Tablas Técnicas'!$AD$5:$AI$188,2,FALSE))</f>
        <v/>
      </c>
      <c r="AJ24" s="4695"/>
      <c r="AK24" s="1131"/>
      <c r="AL24" s="1125"/>
      <c r="AM24" s="1173"/>
      <c r="AN24" s="1173"/>
      <c r="AO24" s="1173"/>
      <c r="AP24" s="1173"/>
      <c r="AQ24" s="1173"/>
      <c r="AR24" s="1173"/>
      <c r="AS24" s="1173"/>
      <c r="AT24" s="1173"/>
      <c r="AU24" s="1173"/>
    </row>
    <row r="25" spans="1:47" ht="12" customHeight="1" thickBot="1" x14ac:dyDescent="0.25">
      <c r="A25" s="1125"/>
      <c r="B25" s="2728"/>
      <c r="C25" s="1218" t="s">
        <v>1658</v>
      </c>
      <c r="D25" s="4704"/>
      <c r="E25" s="4705"/>
      <c r="F25" s="4709"/>
      <c r="G25" s="4710"/>
      <c r="H25" s="4710"/>
      <c r="I25" s="4711"/>
      <c r="J25" s="2720"/>
      <c r="K25" s="1210" t="s">
        <v>1915</v>
      </c>
      <c r="L25" s="4679" t="s">
        <v>1936</v>
      </c>
      <c r="M25" s="4679"/>
      <c r="N25" s="4679"/>
      <c r="O25" s="4679"/>
      <c r="P25" s="2535">
        <f>IF(Q25=0,50,"-")</f>
        <v>50</v>
      </c>
      <c r="Q25" s="2536"/>
      <c r="R25" s="2716" t="b">
        <f t="shared" si="1"/>
        <v>0</v>
      </c>
      <c r="S25" s="2351"/>
      <c r="T25" s="2351"/>
      <c r="U25" s="1217">
        <f t="shared" ref="U25:U63" si="2">IF(V25=0,0,1)</f>
        <v>0</v>
      </c>
      <c r="V25" s="4714"/>
      <c r="W25" s="4671"/>
      <c r="X25" s="4671"/>
      <c r="Y25" s="4671"/>
      <c r="Z25" s="4671"/>
      <c r="AA25" s="4715"/>
      <c r="AB25" s="4716" t="str">
        <f>IF(V25="","",VLOOKUP(V25,'Tablas Técnicas'!$AD$5:$AI$188,3,FALSE))</f>
        <v/>
      </c>
      <c r="AD25" s="4714"/>
      <c r="AE25" s="4671"/>
      <c r="AF25" s="4671"/>
      <c r="AG25" s="4671"/>
      <c r="AH25" s="4671"/>
      <c r="AI25" s="4715"/>
      <c r="AJ25" s="4716" t="str">
        <f>IF(AD25="","",VLOOKUP(AD25,'Tablas Técnicas'!$AD$5:$AI$188,3,FALSE))</f>
        <v/>
      </c>
      <c r="AK25" s="1131"/>
      <c r="AL25" s="1125"/>
      <c r="AM25" s="1173"/>
      <c r="AN25" s="1173"/>
      <c r="AO25" s="1173"/>
      <c r="AP25" s="1173"/>
      <c r="AQ25" s="1173"/>
      <c r="AR25" s="1173"/>
      <c r="AS25" s="1173"/>
      <c r="AT25" s="1173"/>
      <c r="AU25" s="1173"/>
    </row>
    <row r="26" spans="1:47" ht="12" customHeight="1" thickBot="1" x14ac:dyDescent="0.25">
      <c r="A26" s="1125"/>
      <c r="B26" s="2728"/>
      <c r="C26" s="663"/>
      <c r="D26" s="663"/>
      <c r="E26" s="663"/>
      <c r="F26" s="663"/>
      <c r="G26" s="663"/>
      <c r="H26" s="663"/>
      <c r="I26" s="663"/>
      <c r="J26" s="2720"/>
      <c r="K26" s="1210" t="s">
        <v>1926</v>
      </c>
      <c r="L26" s="4679" t="s">
        <v>1937</v>
      </c>
      <c r="M26" s="4679"/>
      <c r="N26" s="4679"/>
      <c r="O26" s="4679"/>
      <c r="P26" s="2535">
        <f>IF(Q26=0,20,"-")</f>
        <v>20</v>
      </c>
      <c r="Q26" s="2536"/>
      <c r="R26" s="2716" t="b">
        <f t="shared" si="1"/>
        <v>0</v>
      </c>
      <c r="S26" s="2351"/>
      <c r="T26" s="2351"/>
      <c r="U26" s="1217"/>
      <c r="V26" s="4719" t="str">
        <f>IF(V25="","",VLOOKUP(V25,'Tablas Técnicas'!$AD$5:$AI$188,4,FALSE))</f>
        <v/>
      </c>
      <c r="W26" s="4720"/>
      <c r="X26" s="4720"/>
      <c r="Y26" s="4720"/>
      <c r="Z26" s="1188" t="s">
        <v>1627</v>
      </c>
      <c r="AA26" s="1219" t="str">
        <f>IF(V25="","",VLOOKUP(V25,'Tablas Técnicas'!$AD$5:$AI$188,2,FALSE))</f>
        <v/>
      </c>
      <c r="AB26" s="4716"/>
      <c r="AD26" s="4719" t="str">
        <f>IF(AD25="","",VLOOKUP(AD25,'Tablas Técnicas'!$AD$5:$AI$188,4,FALSE))</f>
        <v/>
      </c>
      <c r="AE26" s="4720"/>
      <c r="AF26" s="4720"/>
      <c r="AG26" s="4720"/>
      <c r="AH26" s="1188" t="s">
        <v>1627</v>
      </c>
      <c r="AI26" s="1219" t="str">
        <f>IF(AD25="","",VLOOKUP(AD25,'Tablas Técnicas'!$AD$5:$AI$188,2,FALSE))</f>
        <v/>
      </c>
      <c r="AJ26" s="4716"/>
      <c r="AK26" s="1131"/>
      <c r="AL26" s="1125"/>
      <c r="AM26" s="1173"/>
      <c r="AN26" s="1173"/>
      <c r="AO26" s="1173"/>
      <c r="AP26" s="1173"/>
      <c r="AQ26" s="1173"/>
      <c r="AR26" s="1173"/>
      <c r="AS26" s="1173"/>
      <c r="AT26" s="1173"/>
      <c r="AU26" s="1173"/>
    </row>
    <row r="27" spans="1:47" ht="12" customHeight="1" thickBot="1" x14ac:dyDescent="0.25">
      <c r="A27" s="1125"/>
      <c r="B27" s="2728"/>
      <c r="C27" s="4462" t="s">
        <v>1938</v>
      </c>
      <c r="D27" s="4463"/>
      <c r="E27" s="4463"/>
      <c r="F27" s="4464"/>
      <c r="G27" s="2244"/>
      <c r="H27" s="4638" t="s">
        <v>1939</v>
      </c>
      <c r="I27" s="4640"/>
      <c r="J27" s="2720"/>
      <c r="K27" s="4656" t="s">
        <v>1940</v>
      </c>
      <c r="L27" s="4726"/>
      <c r="M27" s="4726"/>
      <c r="N27" s="4726"/>
      <c r="O27" s="4726"/>
      <c r="P27" s="2535">
        <f>IF(Q27=0,10,"-")</f>
        <v>10</v>
      </c>
      <c r="Q27" s="2536"/>
      <c r="R27" s="2716" t="b">
        <f t="shared" si="1"/>
        <v>0</v>
      </c>
      <c r="S27" s="2351"/>
      <c r="T27" s="2351"/>
      <c r="U27" s="1217">
        <f t="shared" si="2"/>
        <v>0</v>
      </c>
      <c r="V27" s="4717"/>
      <c r="W27" s="4654"/>
      <c r="X27" s="4654"/>
      <c r="Y27" s="4654"/>
      <c r="Z27" s="4654"/>
      <c r="AA27" s="4718"/>
      <c r="AB27" s="4695" t="str">
        <f>IF(V27="","",VLOOKUP(V27,'Tablas Técnicas'!$AD$5:$AI$188,3,FALSE))</f>
        <v/>
      </c>
      <c r="AD27" s="4717"/>
      <c r="AE27" s="4654"/>
      <c r="AF27" s="4654"/>
      <c r="AG27" s="4654"/>
      <c r="AH27" s="4654"/>
      <c r="AI27" s="4718"/>
      <c r="AJ27" s="4695" t="str">
        <f>IF(AD27="","",VLOOKUP(AD27,'Tablas Técnicas'!$AD$5:$AI$188,3,FALSE))</f>
        <v/>
      </c>
      <c r="AK27" s="1131"/>
      <c r="AL27" s="1125"/>
      <c r="AM27" s="1173"/>
      <c r="AN27" s="1173"/>
      <c r="AO27" s="1173"/>
      <c r="AP27" s="1173"/>
      <c r="AQ27" s="1173"/>
      <c r="AR27" s="1173"/>
      <c r="AS27" s="1173"/>
      <c r="AT27" s="1173"/>
      <c r="AU27" s="1173"/>
    </row>
    <row r="28" spans="1:47" ht="12" customHeight="1" x14ac:dyDescent="0.2">
      <c r="A28" s="1125"/>
      <c r="B28" s="2728"/>
      <c r="C28" s="4735" t="s">
        <v>1941</v>
      </c>
      <c r="D28" s="4736"/>
      <c r="E28" s="4737" t="s">
        <v>1942</v>
      </c>
      <c r="F28" s="4738"/>
      <c r="G28" s="3006">
        <f>Tablas!H967</f>
        <v>0</v>
      </c>
      <c r="H28" s="4739"/>
      <c r="I28" s="4740"/>
      <c r="J28" s="2720"/>
      <c r="K28" s="1210" t="s">
        <v>1926</v>
      </c>
      <c r="L28" s="4679" t="s">
        <v>1943</v>
      </c>
      <c r="M28" s="4679"/>
      <c r="N28" s="4679"/>
      <c r="O28" s="4679"/>
      <c r="P28" s="2535">
        <f>IF(Q28=0,20,"-")</f>
        <v>20</v>
      </c>
      <c r="Q28" s="2536"/>
      <c r="R28" s="2716" t="b">
        <f t="shared" si="1"/>
        <v>0</v>
      </c>
      <c r="S28" s="2351"/>
      <c r="T28" s="2351"/>
      <c r="U28" s="1217"/>
      <c r="V28" s="4517" t="str">
        <f>IF(V27="","",VLOOKUP(V27,'Tablas Técnicas'!$AD$5:$AI$188,4,FALSE))</f>
        <v/>
      </c>
      <c r="W28" s="4465"/>
      <c r="X28" s="4465"/>
      <c r="Y28" s="4465"/>
      <c r="Z28" s="1252" t="s">
        <v>1627</v>
      </c>
      <c r="AA28" s="1254" t="str">
        <f>IF(V27="","",VLOOKUP(V27,'Tablas Técnicas'!$AD$5:$AI$188,2,FALSE))</f>
        <v/>
      </c>
      <c r="AB28" s="4695"/>
      <c r="AD28" s="4517" t="str">
        <f>IF(AD27="","",VLOOKUP(AD27,'Tablas Técnicas'!$AD$5:$AI$188,4,FALSE))</f>
        <v/>
      </c>
      <c r="AE28" s="4465"/>
      <c r="AF28" s="4465"/>
      <c r="AG28" s="4465"/>
      <c r="AH28" s="1252" t="s">
        <v>1627</v>
      </c>
      <c r="AI28" s="1254" t="str">
        <f>IF(AD27="","",VLOOKUP(AD27,'Tablas Técnicas'!$AD$5:$AI$188,2,FALSE))</f>
        <v/>
      </c>
      <c r="AJ28" s="4695"/>
      <c r="AK28" s="1131"/>
      <c r="AL28" s="1125"/>
      <c r="AM28" s="1173"/>
      <c r="AN28" s="1173"/>
      <c r="AO28" s="1173"/>
      <c r="AP28" s="1173"/>
      <c r="AQ28" s="1173"/>
      <c r="AR28" s="1173"/>
      <c r="AS28" s="1173"/>
      <c r="AT28" s="1173"/>
      <c r="AU28" s="1173"/>
    </row>
    <row r="29" spans="1:47" ht="12" customHeight="1" x14ac:dyDescent="0.2">
      <c r="A29" s="1125"/>
      <c r="B29" s="2728"/>
      <c r="C29" s="4727">
        <f>CM_final</f>
        <v>0</v>
      </c>
      <c r="D29" s="4728"/>
      <c r="E29" s="4728">
        <f>SUM(Q10:Q64)+SUM(I43:I64)+IF(I40="",0,I40)+IF(I41="",0,I41)+SUM(PDs!$AA$78:$AA$82)+IF(X11=0,0,30)+IF(X13=0,0,30)+IF(X15=0,0,30)+IF(X17=0,0,30)+IF(X19=0,0,30)+IF(Y11=0,0,60)+IF(Y13=0,0,60)+IF(Y15=0,0,60)+IF(Y17=0,0,60)+IF(Y19=0,0,60)+IF(H28=0,0,5)+IF(H29=0,0,5)+IF(H30=0,0,10)+IF(H31=0,0,10)+IF(H32=0,0,15)+IF(H33=0,0,15)+IF(H34=0,0,20)+IF(H35=0,0,20)+IF(H36=0,0,25)+IF(H37=0,0,25)+SUM(AB23:AB64)+SUM(AJ23:AJ64)</f>
        <v>0</v>
      </c>
      <c r="F29" s="4731"/>
      <c r="G29" s="2244"/>
      <c r="H29" s="4733"/>
      <c r="I29" s="4734"/>
      <c r="J29" s="2720"/>
      <c r="K29" s="1220"/>
      <c r="L29" s="1213" t="s">
        <v>1915</v>
      </c>
      <c r="M29" s="4679" t="s">
        <v>1944</v>
      </c>
      <c r="N29" s="4679"/>
      <c r="O29" s="4679"/>
      <c r="P29" s="2535">
        <f>IF(Q29=0,10,"-")</f>
        <v>10</v>
      </c>
      <c r="Q29" s="2536"/>
      <c r="R29" s="2716" t="b">
        <f t="shared" si="1"/>
        <v>0</v>
      </c>
      <c r="S29" s="2351"/>
      <c r="T29" s="2351"/>
      <c r="U29" s="1217">
        <f t="shared" si="2"/>
        <v>0</v>
      </c>
      <c r="V29" s="4714"/>
      <c r="W29" s="4671"/>
      <c r="X29" s="4671"/>
      <c r="Y29" s="4671"/>
      <c r="Z29" s="4671"/>
      <c r="AA29" s="4715"/>
      <c r="AB29" s="4716" t="str">
        <f>IF(V29="","",VLOOKUP(V29,'Tablas Técnicas'!$AD$5:$AI$188,3,FALSE))</f>
        <v/>
      </c>
      <c r="AD29" s="4714"/>
      <c r="AE29" s="4671"/>
      <c r="AF29" s="4671"/>
      <c r="AG29" s="4671"/>
      <c r="AH29" s="4671"/>
      <c r="AI29" s="4715"/>
      <c r="AJ29" s="4716" t="str">
        <f>IF(AD29="","",VLOOKUP(AD29,'Tablas Técnicas'!$AD$5:$AI$188,3,FALSE))</f>
        <v/>
      </c>
      <c r="AK29" s="1131"/>
      <c r="AL29" s="1125"/>
      <c r="AM29" s="1173"/>
      <c r="AN29" s="1173"/>
      <c r="AO29" s="1173"/>
      <c r="AP29" s="1173"/>
      <c r="AQ29" s="1173"/>
      <c r="AR29" s="1173"/>
      <c r="AS29" s="1173"/>
      <c r="AT29" s="1173"/>
      <c r="AU29" s="1173"/>
    </row>
    <row r="30" spans="1:47" ht="12" customHeight="1" x14ac:dyDescent="0.2">
      <c r="A30" s="1125"/>
      <c r="B30" s="2728"/>
      <c r="C30" s="4729"/>
      <c r="D30" s="4730"/>
      <c r="E30" s="4730"/>
      <c r="F30" s="4732"/>
      <c r="G30" s="2244"/>
      <c r="H30" s="4721"/>
      <c r="I30" s="4722"/>
      <c r="J30" s="2720"/>
      <c r="K30" s="1220"/>
      <c r="L30" s="1213" t="s">
        <v>1918</v>
      </c>
      <c r="M30" s="1213" t="s">
        <v>1926</v>
      </c>
      <c r="N30" s="2794" t="s">
        <v>10010</v>
      </c>
      <c r="O30" s="2794"/>
      <c r="P30" s="2535">
        <f>IF(Q30=0,20,"-")</f>
        <v>20</v>
      </c>
      <c r="Q30" s="2536"/>
      <c r="R30" s="2716" t="b">
        <f t="shared" si="1"/>
        <v>0</v>
      </c>
      <c r="S30" s="2351"/>
      <c r="T30" s="2351"/>
      <c r="U30" s="1217"/>
      <c r="V30" s="4719" t="str">
        <f>IF(V29="","",VLOOKUP(V29,'Tablas Técnicas'!$AD$5:$AI$188,4,FALSE))</f>
        <v/>
      </c>
      <c r="W30" s="4720"/>
      <c r="X30" s="4720"/>
      <c r="Y30" s="4720"/>
      <c r="Z30" s="1188" t="s">
        <v>1627</v>
      </c>
      <c r="AA30" s="1219" t="str">
        <f>IF(V29="","",VLOOKUP(V29,'Tablas Técnicas'!$AD$5:$AI$188,2,FALSE))</f>
        <v/>
      </c>
      <c r="AB30" s="4716"/>
      <c r="AD30" s="4719" t="str">
        <f>IF(AD29="","",VLOOKUP(AD29,'Tablas Técnicas'!$AD$5:$AI$188,4,FALSE))</f>
        <v/>
      </c>
      <c r="AE30" s="4720"/>
      <c r="AF30" s="4720"/>
      <c r="AG30" s="4720"/>
      <c r="AH30" s="1188" t="s">
        <v>1627</v>
      </c>
      <c r="AI30" s="1219" t="str">
        <f>IF(AD29="","",VLOOKUP(AD29,'Tablas Técnicas'!$AD$5:$AI$188,2,FALSE))</f>
        <v/>
      </c>
      <c r="AJ30" s="4716"/>
      <c r="AK30" s="1131"/>
      <c r="AL30" s="1125"/>
      <c r="AM30" s="1173"/>
      <c r="AN30" s="1173"/>
      <c r="AO30" s="1173"/>
      <c r="AP30" s="1173"/>
      <c r="AQ30" s="1173"/>
      <c r="AR30" s="1173"/>
      <c r="AS30" s="1173"/>
      <c r="AT30" s="1173"/>
      <c r="AU30" s="1173"/>
    </row>
    <row r="31" spans="1:47" ht="12" customHeight="1" thickBot="1" x14ac:dyDescent="0.25">
      <c r="A31" s="1125"/>
      <c r="B31" s="2728"/>
      <c r="C31" s="4723" t="str">
        <f>IF(E29&gt;C29,"Exceso de CM",IF(Tablas!$X$21,IF(E29&gt;C29*VLOOKUP(Nivel_Sobrenatural,Tablas!$S$9:$X$12,4,FALSE),"Exceso de CM inicial",""),""))</f>
        <v/>
      </c>
      <c r="D31" s="4724"/>
      <c r="E31" s="4724"/>
      <c r="F31" s="4725"/>
      <c r="G31" s="2244"/>
      <c r="H31" s="4721"/>
      <c r="I31" s="4722"/>
      <c r="J31" s="2720"/>
      <c r="K31" s="1220"/>
      <c r="L31" s="1213" t="s">
        <v>1926</v>
      </c>
      <c r="M31" s="4679" t="s">
        <v>1945</v>
      </c>
      <c r="N31" s="4679"/>
      <c r="O31" s="4679"/>
      <c r="P31" s="2535">
        <f>IF(Q31=0,20,"-")</f>
        <v>20</v>
      </c>
      <c r="Q31" s="2536"/>
      <c r="R31" s="2716" t="b">
        <f t="shared" si="1"/>
        <v>0</v>
      </c>
      <c r="S31" s="2351"/>
      <c r="T31" s="2351"/>
      <c r="U31" s="1217">
        <f t="shared" si="2"/>
        <v>0</v>
      </c>
      <c r="V31" s="4717"/>
      <c r="W31" s="4654"/>
      <c r="X31" s="4654"/>
      <c r="Y31" s="4654"/>
      <c r="Z31" s="4654"/>
      <c r="AA31" s="4718"/>
      <c r="AB31" s="4695" t="str">
        <f>IF(V31="","",VLOOKUP(V31,'Tablas Técnicas'!$AD$5:$AI$188,3,FALSE))</f>
        <v/>
      </c>
      <c r="AD31" s="4717"/>
      <c r="AE31" s="4654"/>
      <c r="AF31" s="4654"/>
      <c r="AG31" s="4654"/>
      <c r="AH31" s="4654"/>
      <c r="AI31" s="4718"/>
      <c r="AJ31" s="4695" t="str">
        <f>IF(AD31="","",VLOOKUP(AD31,'Tablas Técnicas'!$AD$5:$AI$188,3,FALSE))</f>
        <v/>
      </c>
      <c r="AK31" s="1131"/>
      <c r="AL31" s="1125"/>
      <c r="AM31" s="1184"/>
      <c r="AN31" s="1173"/>
      <c r="AO31" s="1173"/>
      <c r="AP31" s="1173"/>
      <c r="AQ31" s="1173"/>
      <c r="AR31" s="1173"/>
      <c r="AS31" s="1173"/>
      <c r="AT31" s="1173"/>
      <c r="AU31" s="1173"/>
    </row>
    <row r="32" spans="1:47" ht="12" customHeight="1" thickBot="1" x14ac:dyDescent="0.25">
      <c r="A32" s="1125"/>
      <c r="B32" s="2728"/>
      <c r="C32" s="663"/>
      <c r="D32" s="663"/>
      <c r="E32" s="663"/>
      <c r="F32" s="663"/>
      <c r="G32" s="2244"/>
      <c r="H32" s="4733"/>
      <c r="I32" s="4734"/>
      <c r="J32" s="2720"/>
      <c r="K32" s="4656" t="s">
        <v>1946</v>
      </c>
      <c r="L32" s="4657"/>
      <c r="M32" s="4657"/>
      <c r="N32" s="4657"/>
      <c r="O32" s="4657"/>
      <c r="P32" s="2535">
        <f>IF(Q32=0,10,"-")</f>
        <v>10</v>
      </c>
      <c r="Q32" s="2536"/>
      <c r="R32" s="2716" t="b">
        <f t="shared" si="1"/>
        <v>0</v>
      </c>
      <c r="S32" s="2351"/>
      <c r="T32" s="2351"/>
      <c r="U32" s="1217"/>
      <c r="V32" s="4517" t="str">
        <f>IF(V31="","",VLOOKUP(V31,'Tablas Técnicas'!$AD$5:$AI$188,4,FALSE))</f>
        <v/>
      </c>
      <c r="W32" s="4465"/>
      <c r="X32" s="4465"/>
      <c r="Y32" s="4465"/>
      <c r="Z32" s="1252" t="s">
        <v>1627</v>
      </c>
      <c r="AA32" s="1254" t="str">
        <f>IF(V31="","",VLOOKUP(V31,'Tablas Técnicas'!$AD$5:$AI$188,2,FALSE))</f>
        <v/>
      </c>
      <c r="AB32" s="4695"/>
      <c r="AD32" s="4517" t="str">
        <f>IF(AD31="","",VLOOKUP(AD31,'Tablas Técnicas'!$AD$5:$AI$188,4,FALSE))</f>
        <v/>
      </c>
      <c r="AE32" s="4465"/>
      <c r="AF32" s="4465"/>
      <c r="AG32" s="4465"/>
      <c r="AH32" s="1252" t="s">
        <v>1627</v>
      </c>
      <c r="AI32" s="1254" t="str">
        <f>IF(AD31="","",VLOOKUP(AD31,'Tablas Técnicas'!$AD$5:$AI$188,2,FALSE))</f>
        <v/>
      </c>
      <c r="AJ32" s="4695"/>
      <c r="AK32" s="1131"/>
      <c r="AL32" s="1125"/>
      <c r="AM32" s="1173"/>
      <c r="AN32" s="1173"/>
      <c r="AO32" s="1173"/>
      <c r="AP32" s="1173"/>
      <c r="AQ32" s="1173"/>
      <c r="AR32" s="1173"/>
      <c r="AS32" s="1173"/>
      <c r="AT32" s="1173"/>
      <c r="AU32" s="1173"/>
    </row>
    <row r="33" spans="1:50" ht="12" customHeight="1" thickBot="1" x14ac:dyDescent="0.25">
      <c r="A33" s="1125"/>
      <c r="B33" s="2728"/>
      <c r="C33" s="4462" t="s">
        <v>1947</v>
      </c>
      <c r="D33" s="4463"/>
      <c r="E33" s="4463"/>
      <c r="F33" s="4464"/>
      <c r="G33" s="2244"/>
      <c r="H33" s="4733"/>
      <c r="I33" s="4734"/>
      <c r="J33" s="2720"/>
      <c r="K33" s="1210" t="s">
        <v>1915</v>
      </c>
      <c r="L33" s="4726" t="s">
        <v>1948</v>
      </c>
      <c r="M33" s="4657"/>
      <c r="N33" s="4657"/>
      <c r="O33" s="4657"/>
      <c r="P33" s="2535">
        <f t="shared" ref="P33:P40" si="3">IF(Q33=0,10,"-")</f>
        <v>10</v>
      </c>
      <c r="Q33" s="2536"/>
      <c r="R33" s="2716" t="b">
        <f t="shared" si="1"/>
        <v>0</v>
      </c>
      <c r="S33" s="2351"/>
      <c r="T33" s="2351"/>
      <c r="U33" s="1217">
        <f t="shared" si="2"/>
        <v>0</v>
      </c>
      <c r="V33" s="4714"/>
      <c r="W33" s="4671"/>
      <c r="X33" s="4671"/>
      <c r="Y33" s="4671"/>
      <c r="Z33" s="4671"/>
      <c r="AA33" s="4715"/>
      <c r="AB33" s="4716" t="str">
        <f>IF(V33="","",VLOOKUP(V33,'Tablas Técnicas'!$AD$5:$AI$188,3,FALSE))</f>
        <v/>
      </c>
      <c r="AD33" s="4714"/>
      <c r="AE33" s="4671"/>
      <c r="AF33" s="4671"/>
      <c r="AG33" s="4671"/>
      <c r="AH33" s="4671"/>
      <c r="AI33" s="4715"/>
      <c r="AJ33" s="4716" t="str">
        <f>IF(AD33="","",VLOOKUP(AD33,'Tablas Técnicas'!$AD$5:$AI$188,3,FALSE))</f>
        <v/>
      </c>
      <c r="AK33" s="1131"/>
      <c r="AL33" s="1125"/>
      <c r="AM33" s="1173"/>
      <c r="AN33" s="1173"/>
      <c r="AO33" s="1173"/>
      <c r="AP33" s="1173"/>
      <c r="AQ33" s="1173"/>
      <c r="AR33" s="1173"/>
      <c r="AS33" s="1173"/>
      <c r="AT33" s="1173"/>
      <c r="AU33" s="1173"/>
    </row>
    <row r="34" spans="1:50" ht="12" customHeight="1" x14ac:dyDescent="0.2">
      <c r="A34" s="1125"/>
      <c r="B34" s="2728"/>
      <c r="C34" s="4744" t="s">
        <v>1684</v>
      </c>
      <c r="D34" s="4745"/>
      <c r="E34" s="2537" t="s">
        <v>1728</v>
      </c>
      <c r="F34" s="1221" t="s">
        <v>1658</v>
      </c>
      <c r="G34" s="2244"/>
      <c r="H34" s="4721"/>
      <c r="I34" s="4722"/>
      <c r="J34" s="2720"/>
      <c r="K34" s="1210" t="s">
        <v>1949</v>
      </c>
      <c r="L34" s="1213" t="s">
        <v>1926</v>
      </c>
      <c r="M34" s="4726" t="s">
        <v>1950</v>
      </c>
      <c r="N34" s="4726"/>
      <c r="O34" s="4726"/>
      <c r="P34" s="2535">
        <f t="shared" si="3"/>
        <v>10</v>
      </c>
      <c r="Q34" s="2536"/>
      <c r="R34" s="2716" t="b">
        <f t="shared" si="1"/>
        <v>0</v>
      </c>
      <c r="S34" s="2351"/>
      <c r="T34" s="2351"/>
      <c r="U34" s="1217"/>
      <c r="V34" s="4719" t="str">
        <f>IF(V33="","",VLOOKUP(V33,'Tablas Técnicas'!$AD$5:$AI$188,4,FALSE))</f>
        <v/>
      </c>
      <c r="W34" s="4720"/>
      <c r="X34" s="4720"/>
      <c r="Y34" s="4720"/>
      <c r="Z34" s="1188" t="s">
        <v>1627</v>
      </c>
      <c r="AA34" s="1219" t="str">
        <f>IF(V33="","",VLOOKUP(V33,'Tablas Técnicas'!$AD$5:$AI$188,2,FALSE))</f>
        <v/>
      </c>
      <c r="AB34" s="4716"/>
      <c r="AD34" s="4719" t="str">
        <f>IF(AD33="","",VLOOKUP(AD33,'Tablas Técnicas'!$AD$5:$AI$188,4,FALSE))</f>
        <v/>
      </c>
      <c r="AE34" s="4720"/>
      <c r="AF34" s="4720"/>
      <c r="AG34" s="4720"/>
      <c r="AH34" s="1188" t="s">
        <v>1627</v>
      </c>
      <c r="AI34" s="1219" t="str">
        <f>IF(AD33="","",VLOOKUP(AD33,'Tablas Técnicas'!$AD$5:$AI$188,2,FALSE))</f>
        <v/>
      </c>
      <c r="AJ34" s="4716"/>
      <c r="AK34" s="1131"/>
      <c r="AL34" s="1125"/>
      <c r="AM34" s="1173"/>
      <c r="AN34" s="1173"/>
      <c r="AO34" s="1173"/>
      <c r="AP34" s="1173"/>
      <c r="AQ34" s="1173"/>
      <c r="AR34" s="1173"/>
      <c r="AS34" s="1173"/>
      <c r="AT34" s="1173"/>
      <c r="AU34" s="1173"/>
    </row>
    <row r="35" spans="1:50" ht="12" customHeight="1" x14ac:dyDescent="0.2">
      <c r="A35" s="1125"/>
      <c r="B35" s="2728"/>
      <c r="C35" s="4741" t="s">
        <v>1951</v>
      </c>
      <c r="D35" s="4742"/>
      <c r="E35" s="2722"/>
      <c r="F35" s="1222" t="str">
        <f>IF(Ki!P13="-",TRUNC((Ki!C29+Advertir_final)/2+E35+Tablas!$CD$225+IF(Tablas!$G$379&gt;0,10*PDs!$R$15,0),0),"-")</f>
        <v>-</v>
      </c>
      <c r="G35" s="2244"/>
      <c r="H35" s="4721"/>
      <c r="I35" s="4722"/>
      <c r="J35" s="2723"/>
      <c r="K35" s="1210" t="s">
        <v>1949</v>
      </c>
      <c r="L35" s="1223"/>
      <c r="M35" s="1213" t="s">
        <v>1926</v>
      </c>
      <c r="N35" s="4743" t="s">
        <v>1952</v>
      </c>
      <c r="O35" s="4743"/>
      <c r="P35" s="2535">
        <f t="shared" si="3"/>
        <v>10</v>
      </c>
      <c r="Q35" s="2536"/>
      <c r="R35" s="2716" t="b">
        <f t="shared" si="1"/>
        <v>0</v>
      </c>
      <c r="S35" s="2351"/>
      <c r="T35" s="2351"/>
      <c r="U35" s="1217">
        <f t="shared" si="2"/>
        <v>0</v>
      </c>
      <c r="V35" s="4717"/>
      <c r="W35" s="4654"/>
      <c r="X35" s="4654"/>
      <c r="Y35" s="4654"/>
      <c r="Z35" s="4654"/>
      <c r="AA35" s="4718"/>
      <c r="AB35" s="4695" t="str">
        <f>IF(V35="","",VLOOKUP(V35,'Tablas Técnicas'!$AD$5:$AI$188,3,FALSE))</f>
        <v/>
      </c>
      <c r="AD35" s="4717"/>
      <c r="AE35" s="4654"/>
      <c r="AF35" s="4654"/>
      <c r="AG35" s="4654"/>
      <c r="AH35" s="4654"/>
      <c r="AI35" s="4718"/>
      <c r="AJ35" s="4695" t="str">
        <f>IF(AD35="","",VLOOKUP(AD35,'Tablas Técnicas'!$AD$5:$AI$188,3,FALSE))</f>
        <v/>
      </c>
      <c r="AK35" s="1131"/>
      <c r="AL35" s="1125"/>
      <c r="AM35" s="1173"/>
      <c r="AN35" s="1173"/>
      <c r="AO35" s="1173"/>
      <c r="AP35" s="1173"/>
      <c r="AQ35" s="1173"/>
      <c r="AR35" s="1173"/>
      <c r="AS35" s="1173"/>
      <c r="AT35" s="1173"/>
      <c r="AU35" s="1173"/>
    </row>
    <row r="36" spans="1:50" ht="12" customHeight="1" x14ac:dyDescent="0.2">
      <c r="A36" s="1125"/>
      <c r="B36" s="2728"/>
      <c r="C36" s="4746" t="s">
        <v>1953</v>
      </c>
      <c r="D36" s="4747"/>
      <c r="E36" s="2724"/>
      <c r="F36" s="652" t="str">
        <f>IF(OcultacióndelKi,TRUNC((Ocultarse_final+Ki!$C$29)/2+E36+IF(Raza="D'Anjayni",50,0)+IF(Raza="Nephilim D'Anjayni",30,0)+Tablas!$CE$225+IF(Tablas!$G$374&gt;0,10*PDs!$R$15,0),0),"-")</f>
        <v>-</v>
      </c>
      <c r="G36" s="2244"/>
      <c r="H36" s="4733"/>
      <c r="I36" s="4734"/>
      <c r="J36" s="2723"/>
      <c r="K36" s="1210" t="s">
        <v>1915</v>
      </c>
      <c r="L36" s="4726" t="s">
        <v>1954</v>
      </c>
      <c r="M36" s="4657"/>
      <c r="N36" s="4657"/>
      <c r="O36" s="4657"/>
      <c r="P36" s="2535">
        <f t="shared" si="3"/>
        <v>10</v>
      </c>
      <c r="Q36" s="2536"/>
      <c r="R36" s="2716" t="b">
        <f t="shared" si="1"/>
        <v>0</v>
      </c>
      <c r="S36" s="2351"/>
      <c r="T36" s="2351"/>
      <c r="U36" s="1217"/>
      <c r="V36" s="4517" t="str">
        <f>IF(V35="","",VLOOKUP(V35,'Tablas Técnicas'!$AD$5:$AI$188,4,FALSE))</f>
        <v/>
      </c>
      <c r="W36" s="4465"/>
      <c r="X36" s="4465"/>
      <c r="Y36" s="4465"/>
      <c r="Z36" s="1252" t="s">
        <v>1627</v>
      </c>
      <c r="AA36" s="1254" t="str">
        <f>IF(V35="","",VLOOKUP(V35,'Tablas Técnicas'!$AD$5:$AI$188,2,FALSE))</f>
        <v/>
      </c>
      <c r="AB36" s="4695"/>
      <c r="AD36" s="4517" t="str">
        <f>IF(AD35="","",VLOOKUP(AD35,'Tablas Técnicas'!$AD$5:$AI$188,4,FALSE))</f>
        <v/>
      </c>
      <c r="AE36" s="4465"/>
      <c r="AF36" s="4465"/>
      <c r="AG36" s="4465"/>
      <c r="AH36" s="1252" t="s">
        <v>1627</v>
      </c>
      <c r="AI36" s="1254" t="str">
        <f>IF(AD35="","",VLOOKUP(AD35,'Tablas Técnicas'!$AD$5:$AI$188,2,FALSE))</f>
        <v/>
      </c>
      <c r="AJ36" s="4695"/>
      <c r="AK36" s="1131"/>
      <c r="AL36" s="1125"/>
      <c r="AM36" s="1173"/>
      <c r="AN36" s="1173"/>
      <c r="AO36" s="1173"/>
      <c r="AP36" s="1173"/>
      <c r="AQ36" s="1173"/>
      <c r="AR36" s="1173"/>
      <c r="AS36" s="1173"/>
      <c r="AT36" s="1173"/>
      <c r="AU36" s="1173"/>
    </row>
    <row r="37" spans="1:50" ht="12" customHeight="1" thickBot="1" x14ac:dyDescent="0.25">
      <c r="A37" s="1125"/>
      <c r="B37" s="2728"/>
      <c r="C37" s="4748"/>
      <c r="D37" s="4749"/>
      <c r="E37" s="4749"/>
      <c r="F37" s="4750"/>
      <c r="G37" s="2244"/>
      <c r="H37" s="4751"/>
      <c r="I37" s="4752"/>
      <c r="J37" s="2723"/>
      <c r="K37" s="1210" t="s">
        <v>1949</v>
      </c>
      <c r="L37" s="1213" t="s">
        <v>1915</v>
      </c>
      <c r="M37" s="4726" t="s">
        <v>1955</v>
      </c>
      <c r="N37" s="4726"/>
      <c r="O37" s="4726"/>
      <c r="P37" s="2535">
        <f t="shared" si="3"/>
        <v>10</v>
      </c>
      <c r="Q37" s="2536"/>
      <c r="R37" s="2716" t="b">
        <f t="shared" si="1"/>
        <v>0</v>
      </c>
      <c r="S37" s="2351"/>
      <c r="T37" s="2351"/>
      <c r="U37" s="1217">
        <f t="shared" si="2"/>
        <v>0</v>
      </c>
      <c r="V37" s="4714"/>
      <c r="W37" s="4671"/>
      <c r="X37" s="4671"/>
      <c r="Y37" s="4671"/>
      <c r="Z37" s="4671"/>
      <c r="AA37" s="4715"/>
      <c r="AB37" s="4716" t="str">
        <f>IF(V37="","",VLOOKUP(V37,'Tablas Técnicas'!$AD$5:$AI$188,3,FALSE))</f>
        <v/>
      </c>
      <c r="AD37" s="4714"/>
      <c r="AE37" s="4671"/>
      <c r="AF37" s="4671"/>
      <c r="AG37" s="4671"/>
      <c r="AH37" s="4671"/>
      <c r="AI37" s="4715"/>
      <c r="AJ37" s="4716" t="str">
        <f>IF(AD37="","",VLOOKUP(AD37,'Tablas Técnicas'!$AD$5:$AI$188,3,FALSE))</f>
        <v/>
      </c>
      <c r="AK37" s="1131"/>
      <c r="AL37" s="1125"/>
      <c r="AM37" s="1173"/>
      <c r="AN37" s="1173"/>
      <c r="AO37" s="1173"/>
      <c r="AP37" s="1173"/>
      <c r="AQ37" s="1173"/>
      <c r="AR37" s="1173"/>
      <c r="AS37" s="1173"/>
      <c r="AT37" s="1173"/>
      <c r="AU37" s="1173"/>
      <c r="AW37" s="1224"/>
    </row>
    <row r="38" spans="1:50" ht="12" customHeight="1" thickBot="1" x14ac:dyDescent="0.25">
      <c r="A38" s="1125"/>
      <c r="B38" s="2728"/>
      <c r="C38" s="663"/>
      <c r="D38" s="663"/>
      <c r="E38" s="663"/>
      <c r="F38" s="663"/>
      <c r="G38" s="2244"/>
      <c r="H38" s="663"/>
      <c r="I38" s="663"/>
      <c r="J38" s="2723"/>
      <c r="K38" s="1210" t="s">
        <v>1949</v>
      </c>
      <c r="L38" s="1213" t="s">
        <v>1915</v>
      </c>
      <c r="M38" s="4726" t="s">
        <v>1956</v>
      </c>
      <c r="N38" s="4726"/>
      <c r="O38" s="4726"/>
      <c r="P38" s="2535">
        <f t="shared" si="3"/>
        <v>10</v>
      </c>
      <c r="Q38" s="2536"/>
      <c r="R38" s="2716" t="b">
        <f t="shared" si="1"/>
        <v>0</v>
      </c>
      <c r="S38" s="2351"/>
      <c r="T38" s="2351"/>
      <c r="U38" s="1217"/>
      <c r="V38" s="4719" t="str">
        <f>IF(V37="","",VLOOKUP(V37,'Tablas Técnicas'!$AD$5:$AI$188,4,FALSE))</f>
        <v/>
      </c>
      <c r="W38" s="4720"/>
      <c r="X38" s="4720"/>
      <c r="Y38" s="4720"/>
      <c r="Z38" s="1188" t="s">
        <v>1627</v>
      </c>
      <c r="AA38" s="1219" t="str">
        <f>IF(V37="","",VLOOKUP(V37,'Tablas Técnicas'!$AD$5:$AI$188,2,FALSE))</f>
        <v/>
      </c>
      <c r="AB38" s="4716"/>
      <c r="AD38" s="4719" t="str">
        <f>IF(AD37="","",VLOOKUP(AD37,'Tablas Técnicas'!$AD$5:$AI$188,4,FALSE))</f>
        <v/>
      </c>
      <c r="AE38" s="4720"/>
      <c r="AF38" s="4720"/>
      <c r="AG38" s="4720"/>
      <c r="AH38" s="1188" t="s">
        <v>1627</v>
      </c>
      <c r="AI38" s="1219" t="str">
        <f>IF(AD37="","",VLOOKUP(AD37,'Tablas Técnicas'!$AD$5:$AI$188,2,FALSE))</f>
        <v/>
      </c>
      <c r="AJ38" s="4716"/>
      <c r="AK38" s="1131"/>
      <c r="AL38" s="1125"/>
      <c r="AM38" s="1173"/>
      <c r="AN38" s="1173"/>
      <c r="AO38" s="1173"/>
      <c r="AP38" s="1173"/>
      <c r="AQ38" s="1173"/>
      <c r="AR38" s="1173"/>
      <c r="AS38" s="1173"/>
      <c r="AT38" s="1173"/>
      <c r="AU38" s="1173"/>
      <c r="AW38" s="1191"/>
    </row>
    <row r="39" spans="1:50" ht="12" customHeight="1" thickBot="1" x14ac:dyDescent="0.25">
      <c r="A39" s="1125"/>
      <c r="B39" s="2728"/>
      <c r="C39" s="4756" t="s">
        <v>1957</v>
      </c>
      <c r="D39" s="4757"/>
      <c r="E39" s="4757"/>
      <c r="F39" s="4758"/>
      <c r="G39" s="4759" t="s">
        <v>1958</v>
      </c>
      <c r="H39" s="4759"/>
      <c r="I39" s="1225">
        <f>IF(Tablas!$G$535&gt;0,2,1)-IF(Ki!C40="",0,1)-IF(Ki!C41="",0,1)</f>
        <v>1</v>
      </c>
      <c r="J39" s="2723"/>
      <c r="K39" s="1210" t="s">
        <v>1949</v>
      </c>
      <c r="L39" s="1213" t="s">
        <v>1915</v>
      </c>
      <c r="M39" s="4726" t="str">
        <f>"Alcance incrementado"</f>
        <v>Alcance incrementado</v>
      </c>
      <c r="N39" s="4726"/>
      <c r="O39" s="4726"/>
      <c r="P39" s="2535">
        <f t="shared" si="3"/>
        <v>10</v>
      </c>
      <c r="Q39" s="2536"/>
      <c r="R39" s="2716" t="b">
        <f t="shared" si="1"/>
        <v>0</v>
      </c>
      <c r="S39" s="2351"/>
      <c r="T39" s="2351"/>
      <c r="U39" s="1217">
        <f t="shared" si="2"/>
        <v>0</v>
      </c>
      <c r="V39" s="4717"/>
      <c r="W39" s="4654"/>
      <c r="X39" s="4654"/>
      <c r="Y39" s="4654"/>
      <c r="Z39" s="4654"/>
      <c r="AA39" s="4718"/>
      <c r="AB39" s="4695" t="str">
        <f>IF(V39="","",VLOOKUP(V39,'Tablas Técnicas'!$AD$5:$AI$188,3,FALSE))</f>
        <v/>
      </c>
      <c r="AD39" s="4717"/>
      <c r="AE39" s="4654"/>
      <c r="AF39" s="4654"/>
      <c r="AG39" s="4654"/>
      <c r="AH39" s="4654"/>
      <c r="AI39" s="4718"/>
      <c r="AJ39" s="4695" t="str">
        <f>IF(AD39="","",VLOOKUP(AD39,'Tablas Técnicas'!$AD$5:$AI$188,3,FALSE))</f>
        <v/>
      </c>
      <c r="AK39" s="1131"/>
      <c r="AL39" s="1125"/>
      <c r="AM39" s="1173"/>
      <c r="AN39" s="1173"/>
      <c r="AO39" s="1173"/>
      <c r="AP39" s="1173"/>
      <c r="AQ39" s="1173"/>
      <c r="AR39" s="1173"/>
      <c r="AS39" s="1173"/>
      <c r="AT39" s="1173"/>
      <c r="AU39" s="1173"/>
    </row>
    <row r="40" spans="1:50" ht="12" customHeight="1" x14ac:dyDescent="0.2">
      <c r="A40" s="1125"/>
      <c r="B40" s="2728"/>
      <c r="C40" s="4753"/>
      <c r="D40" s="4754"/>
      <c r="E40" s="4754"/>
      <c r="F40" s="4754"/>
      <c r="G40" s="4754"/>
      <c r="H40" s="4755"/>
      <c r="I40" s="1226" t="str">
        <f>IF(C40=0,"",VLOOKUP(C40,Tablas!$D$1013:$M$1019,2))</f>
        <v/>
      </c>
      <c r="J40" s="2723"/>
      <c r="K40" s="1210" t="s">
        <v>1949</v>
      </c>
      <c r="L40" s="1213" t="s">
        <v>1926</v>
      </c>
      <c r="M40" s="4726" t="s">
        <v>1959</v>
      </c>
      <c r="N40" s="4726"/>
      <c r="O40" s="4726"/>
      <c r="P40" s="2535">
        <f t="shared" si="3"/>
        <v>10</v>
      </c>
      <c r="Q40" s="2536"/>
      <c r="R40" s="2716" t="b">
        <f t="shared" si="1"/>
        <v>0</v>
      </c>
      <c r="S40" s="2351"/>
      <c r="T40" s="2351"/>
      <c r="U40" s="1217"/>
      <c r="V40" s="4517" t="str">
        <f>IF(V39="","",VLOOKUP(V39,'Tablas Técnicas'!$AD$5:$AI$188,4,FALSE))</f>
        <v/>
      </c>
      <c r="W40" s="4465"/>
      <c r="X40" s="4465"/>
      <c r="Y40" s="4465"/>
      <c r="Z40" s="1252" t="s">
        <v>1627</v>
      </c>
      <c r="AA40" s="1254" t="str">
        <f>IF(V39="","",VLOOKUP(V39,'Tablas Técnicas'!$AD$5:$AI$188,2,FALSE))</f>
        <v/>
      </c>
      <c r="AB40" s="4695"/>
      <c r="AD40" s="4517" t="str">
        <f>IF(AD39="","",VLOOKUP(AD39,'Tablas Técnicas'!$AD$5:$AI$188,4,FALSE))</f>
        <v/>
      </c>
      <c r="AE40" s="4465"/>
      <c r="AF40" s="4465"/>
      <c r="AG40" s="4465"/>
      <c r="AH40" s="1252" t="s">
        <v>1627</v>
      </c>
      <c r="AI40" s="1254" t="str">
        <f>IF(AD39="","",VLOOKUP(AD39,'Tablas Técnicas'!$AD$5:$AI$188,2,FALSE))</f>
        <v/>
      </c>
      <c r="AJ40" s="4695"/>
      <c r="AK40" s="1131"/>
      <c r="AL40" s="1125"/>
      <c r="AM40" s="1173"/>
      <c r="AN40" s="1173"/>
      <c r="AO40" s="1173"/>
      <c r="AP40" s="1173"/>
      <c r="AQ40" s="1173"/>
      <c r="AR40" s="1173"/>
      <c r="AS40" s="1173"/>
      <c r="AT40" s="1173"/>
      <c r="AU40" s="1173"/>
      <c r="AW40" s="1192"/>
      <c r="AX40" s="1192"/>
    </row>
    <row r="41" spans="1:50" ht="12" customHeight="1" thickBot="1" x14ac:dyDescent="0.25">
      <c r="A41" s="1125"/>
      <c r="B41" s="2728"/>
      <c r="C41" s="4760"/>
      <c r="D41" s="4761"/>
      <c r="E41" s="4761"/>
      <c r="F41" s="4761"/>
      <c r="G41" s="4761"/>
      <c r="H41" s="4761"/>
      <c r="I41" s="1227" t="str">
        <f>IF(C41=0,"",VLOOKUP(C41,Tablas!$D$1013:$M$1019,2))</f>
        <v/>
      </c>
      <c r="J41" s="2723"/>
      <c r="K41" s="1210" t="s">
        <v>1915</v>
      </c>
      <c r="L41" s="4726" t="s">
        <v>1960</v>
      </c>
      <c r="M41" s="4657"/>
      <c r="N41" s="4657"/>
      <c r="O41" s="4657"/>
      <c r="P41" s="2535">
        <f>IF(Q41=0,20,"-")</f>
        <v>20</v>
      </c>
      <c r="Q41" s="2536"/>
      <c r="R41" s="2716" t="b">
        <f t="shared" si="1"/>
        <v>0</v>
      </c>
      <c r="S41" s="2351"/>
      <c r="T41" s="2351"/>
      <c r="U41" s="1217">
        <f t="shared" si="2"/>
        <v>0</v>
      </c>
      <c r="V41" s="4714"/>
      <c r="W41" s="4671"/>
      <c r="X41" s="4671"/>
      <c r="Y41" s="4671"/>
      <c r="Z41" s="4671"/>
      <c r="AA41" s="4715"/>
      <c r="AB41" s="4716" t="str">
        <f>IF(V41="","",VLOOKUP(V41,'Tablas Técnicas'!$AD$5:$AI$188,3,FALSE))</f>
        <v/>
      </c>
      <c r="AD41" s="4714"/>
      <c r="AE41" s="4671"/>
      <c r="AF41" s="4671"/>
      <c r="AG41" s="4671"/>
      <c r="AH41" s="4671"/>
      <c r="AI41" s="4715"/>
      <c r="AJ41" s="4716" t="str">
        <f>IF(AD41="","",VLOOKUP(AD41,'Tablas Técnicas'!$AD$5:$AI$188,3,FALSE))</f>
        <v/>
      </c>
      <c r="AK41" s="1131"/>
      <c r="AL41" s="1125"/>
      <c r="AM41" s="1173"/>
      <c r="AN41" s="1173"/>
      <c r="AO41" s="1173"/>
      <c r="AP41" s="1173"/>
      <c r="AQ41" s="1173"/>
      <c r="AR41" s="1173"/>
      <c r="AS41" s="1173"/>
      <c r="AT41" s="1173"/>
      <c r="AU41" s="1173"/>
      <c r="AW41" s="1205"/>
      <c r="AX41" s="1205"/>
    </row>
    <row r="42" spans="1:50" ht="12" customHeight="1" thickBot="1" x14ac:dyDescent="0.25">
      <c r="A42" s="1125"/>
      <c r="B42" s="2728"/>
      <c r="C42" s="663"/>
      <c r="D42" s="663"/>
      <c r="E42" s="663"/>
      <c r="F42" s="663"/>
      <c r="G42" s="663"/>
      <c r="H42" s="663"/>
      <c r="I42" s="663"/>
      <c r="J42" s="2725"/>
      <c r="K42" s="1210" t="s">
        <v>1915</v>
      </c>
      <c r="L42" s="4726" t="s">
        <v>1961</v>
      </c>
      <c r="M42" s="4657"/>
      <c r="N42" s="4657"/>
      <c r="O42" s="4657"/>
      <c r="P42" s="2535">
        <f>IF(Q42=0,30,"-")</f>
        <v>30</v>
      </c>
      <c r="Q42" s="2536"/>
      <c r="R42" s="2716" t="b">
        <f t="shared" si="1"/>
        <v>0</v>
      </c>
      <c r="S42" s="2351"/>
      <c r="T42" s="2351"/>
      <c r="U42" s="1217"/>
      <c r="V42" s="4719" t="str">
        <f>IF(V41="","",VLOOKUP(V41,'Tablas Técnicas'!$AD$5:$AI$188,4,FALSE))</f>
        <v/>
      </c>
      <c r="W42" s="4720"/>
      <c r="X42" s="4720"/>
      <c r="Y42" s="4720"/>
      <c r="Z42" s="1188" t="s">
        <v>1627</v>
      </c>
      <c r="AA42" s="1219" t="str">
        <f>IF(V41="","",VLOOKUP(V41,'Tablas Técnicas'!$AD$5:$AI$188,2,FALSE))</f>
        <v/>
      </c>
      <c r="AB42" s="4716"/>
      <c r="AD42" s="4719" t="str">
        <f>IF(AD41="","",VLOOKUP(AD41,'Tablas Técnicas'!$AD$5:$AI$188,4,FALSE))</f>
        <v/>
      </c>
      <c r="AE42" s="4720"/>
      <c r="AF42" s="4720"/>
      <c r="AG42" s="4720"/>
      <c r="AH42" s="1188" t="s">
        <v>1627</v>
      </c>
      <c r="AI42" s="1219" t="str">
        <f>IF(AD41="","",VLOOKUP(AD41,'Tablas Técnicas'!$AD$5:$AI$188,2,FALSE))</f>
        <v/>
      </c>
      <c r="AJ42" s="4716"/>
      <c r="AK42" s="1131"/>
      <c r="AL42" s="1125"/>
      <c r="AM42" s="1173"/>
      <c r="AN42" s="1173"/>
      <c r="AO42" s="1173"/>
      <c r="AP42" s="1173"/>
      <c r="AQ42" s="1173"/>
      <c r="AR42" s="1173"/>
      <c r="AS42" s="1173"/>
      <c r="AT42" s="1173"/>
      <c r="AU42" s="1173"/>
      <c r="AW42" s="1205"/>
      <c r="AX42" s="1205"/>
    </row>
    <row r="43" spans="1:50" ht="12" customHeight="1" x14ac:dyDescent="0.2">
      <c r="A43" s="1125"/>
      <c r="B43" s="2728"/>
      <c r="C43" s="4630" t="s">
        <v>1962</v>
      </c>
      <c r="D43" s="4631"/>
      <c r="E43" s="4631"/>
      <c r="F43" s="4631"/>
      <c r="G43" s="4631"/>
      <c r="H43" s="4634">
        <f>IF(I43=0,70,"-")</f>
        <v>70</v>
      </c>
      <c r="I43" s="4636"/>
      <c r="J43" s="2725"/>
      <c r="K43" s="1210" t="s">
        <v>1926</v>
      </c>
      <c r="L43" s="4726" t="s">
        <v>1963</v>
      </c>
      <c r="M43" s="4657"/>
      <c r="N43" s="4657"/>
      <c r="O43" s="4657"/>
      <c r="P43" s="2535">
        <f>IF(Q43=0,10,"-")</f>
        <v>10</v>
      </c>
      <c r="Q43" s="2536"/>
      <c r="R43" s="2716" t="b">
        <f t="shared" si="1"/>
        <v>0</v>
      </c>
      <c r="S43" s="2351"/>
      <c r="T43" s="2351"/>
      <c r="U43" s="1217">
        <f t="shared" si="2"/>
        <v>0</v>
      </c>
      <c r="V43" s="4717"/>
      <c r="W43" s="4654"/>
      <c r="X43" s="4654"/>
      <c r="Y43" s="4654"/>
      <c r="Z43" s="4654"/>
      <c r="AA43" s="4718"/>
      <c r="AB43" s="4695" t="str">
        <f>IF(V43="","",VLOOKUP(V43,'Tablas Técnicas'!$AD$5:$AI$188,3,FALSE))</f>
        <v/>
      </c>
      <c r="AD43" s="4717"/>
      <c r="AE43" s="4654"/>
      <c r="AF43" s="4654"/>
      <c r="AG43" s="4654"/>
      <c r="AH43" s="4654"/>
      <c r="AI43" s="4718"/>
      <c r="AJ43" s="4695" t="str">
        <f>IF(AD43="","",VLOOKUP(AD43,'Tablas Técnicas'!$AD$5:$AI$188,3,FALSE))</f>
        <v/>
      </c>
      <c r="AK43" s="1131"/>
      <c r="AL43" s="1125"/>
      <c r="AM43" s="1173"/>
      <c r="AN43" s="1173"/>
      <c r="AO43" s="1173"/>
      <c r="AP43" s="1173"/>
      <c r="AQ43" s="1173"/>
      <c r="AR43" s="1173"/>
      <c r="AS43" s="1173"/>
      <c r="AT43" s="1173"/>
      <c r="AU43" s="1173"/>
      <c r="AW43" s="4762"/>
      <c r="AX43" s="663"/>
    </row>
    <row r="44" spans="1:50" ht="12" customHeight="1" thickBot="1" x14ac:dyDescent="0.25">
      <c r="A44" s="1125"/>
      <c r="B44" s="2728"/>
      <c r="C44" s="4632"/>
      <c r="D44" s="4633"/>
      <c r="E44" s="4633"/>
      <c r="F44" s="4633"/>
      <c r="G44" s="4633"/>
      <c r="H44" s="4635"/>
      <c r="I44" s="4637"/>
      <c r="J44" s="2725"/>
      <c r="K44" s="4656" t="s">
        <v>1964</v>
      </c>
      <c r="L44" s="4657"/>
      <c r="M44" s="4657"/>
      <c r="N44" s="4657"/>
      <c r="O44" s="4657"/>
      <c r="P44" s="2535">
        <f t="shared" ref="P44:P53" si="4">IF(Q44=0,10,"-")</f>
        <v>10</v>
      </c>
      <c r="Q44" s="2536"/>
      <c r="R44" s="2716" t="b">
        <f t="shared" si="1"/>
        <v>0</v>
      </c>
      <c r="S44" s="2351"/>
      <c r="T44" s="2351"/>
      <c r="U44" s="1217"/>
      <c r="V44" s="4517" t="str">
        <f>IF(V43="","",VLOOKUP(V43,'Tablas Técnicas'!$AD$5:$AI$188,4,FALSE))</f>
        <v/>
      </c>
      <c r="W44" s="4465"/>
      <c r="X44" s="4465"/>
      <c r="Y44" s="4465"/>
      <c r="Z44" s="1252" t="s">
        <v>1627</v>
      </c>
      <c r="AA44" s="1254" t="str">
        <f>IF(V43="","",VLOOKUP(V43,'Tablas Técnicas'!$AD$5:$AI$188,2,FALSE))</f>
        <v/>
      </c>
      <c r="AB44" s="4695"/>
      <c r="AD44" s="4517" t="str">
        <f>IF(AD43="","",VLOOKUP(AD43,'Tablas Técnicas'!$AD$5:$AI$188,4,FALSE))</f>
        <v/>
      </c>
      <c r="AE44" s="4465"/>
      <c r="AF44" s="4465"/>
      <c r="AG44" s="4465"/>
      <c r="AH44" s="1252" t="s">
        <v>1627</v>
      </c>
      <c r="AI44" s="1254" t="str">
        <f>IF(AD43="","",VLOOKUP(AD43,'Tablas Técnicas'!$AD$5:$AI$188,2,FALSE))</f>
        <v/>
      </c>
      <c r="AJ44" s="4695"/>
      <c r="AK44" s="1131"/>
      <c r="AL44" s="1125"/>
      <c r="AM44" s="1173"/>
      <c r="AN44" s="1173"/>
      <c r="AO44" s="1173"/>
      <c r="AP44" s="1173"/>
      <c r="AQ44" s="1173"/>
      <c r="AR44" s="1173"/>
      <c r="AS44" s="1173"/>
      <c r="AT44" s="1173"/>
      <c r="AU44" s="1173"/>
      <c r="AW44" s="4762"/>
      <c r="AX44" s="1228"/>
    </row>
    <row r="45" spans="1:50" ht="12" customHeight="1" x14ac:dyDescent="0.2">
      <c r="A45" s="1125"/>
      <c r="B45" s="2716" t="b">
        <f t="shared" ref="B45:B62" si="5">H45="-"</f>
        <v>0</v>
      </c>
      <c r="C45" s="4656" t="s">
        <v>1965</v>
      </c>
      <c r="D45" s="4657"/>
      <c r="E45" s="4657"/>
      <c r="F45" s="4657"/>
      <c r="G45" s="4657"/>
      <c r="H45" s="2535">
        <f>IF(I45=0,20,"-")</f>
        <v>20</v>
      </c>
      <c r="I45" s="2536"/>
      <c r="J45" s="663"/>
      <c r="K45" s="1210" t="s">
        <v>1915</v>
      </c>
      <c r="L45" s="4726" t="s">
        <v>1966</v>
      </c>
      <c r="M45" s="4657"/>
      <c r="N45" s="4657"/>
      <c r="O45" s="4657"/>
      <c r="P45" s="2535">
        <f t="shared" si="4"/>
        <v>10</v>
      </c>
      <c r="Q45" s="2536"/>
      <c r="R45" s="2716" t="b">
        <f t="shared" si="1"/>
        <v>0</v>
      </c>
      <c r="S45" s="2351"/>
      <c r="T45" s="2351"/>
      <c r="U45" s="1217">
        <f t="shared" si="2"/>
        <v>0</v>
      </c>
      <c r="V45" s="4714"/>
      <c r="W45" s="4671"/>
      <c r="X45" s="4671"/>
      <c r="Y45" s="4671"/>
      <c r="Z45" s="4671"/>
      <c r="AA45" s="4715"/>
      <c r="AB45" s="4716" t="str">
        <f>IF(V45="","",VLOOKUP(V45,'Tablas Técnicas'!$AD$5:$AI$188,3,FALSE))</f>
        <v/>
      </c>
      <c r="AD45" s="4714"/>
      <c r="AE45" s="4671"/>
      <c r="AF45" s="4671"/>
      <c r="AG45" s="4671"/>
      <c r="AH45" s="4671"/>
      <c r="AI45" s="4715"/>
      <c r="AJ45" s="4716" t="str">
        <f>IF(AD45="","",VLOOKUP(AD45,'Tablas Técnicas'!$AD$5:$AI$188,3,FALSE))</f>
        <v/>
      </c>
      <c r="AK45" s="1131"/>
      <c r="AL45" s="1125"/>
      <c r="AM45" s="1173"/>
      <c r="AN45" s="1173"/>
      <c r="AO45" s="1173"/>
      <c r="AP45" s="1173"/>
      <c r="AQ45" s="1173"/>
      <c r="AR45" s="1173"/>
      <c r="AS45" s="1173"/>
      <c r="AT45" s="1173"/>
      <c r="AU45" s="1173"/>
    </row>
    <row r="46" spans="1:50" ht="12" customHeight="1" x14ac:dyDescent="0.2">
      <c r="A46" s="1125"/>
      <c r="B46" s="2716" t="b">
        <f t="shared" si="5"/>
        <v>0</v>
      </c>
      <c r="C46" s="1210" t="s">
        <v>1926</v>
      </c>
      <c r="D46" s="4726" t="s">
        <v>1967</v>
      </c>
      <c r="E46" s="4657"/>
      <c r="F46" s="4657"/>
      <c r="G46" s="4657"/>
      <c r="H46" s="2535">
        <f>IF(I46=0,30,"-")</f>
        <v>30</v>
      </c>
      <c r="I46" s="2536"/>
      <c r="J46" s="663"/>
      <c r="K46" s="1210" t="s">
        <v>1949</v>
      </c>
      <c r="L46" s="1213" t="s">
        <v>1915</v>
      </c>
      <c r="M46" s="4726" t="s">
        <v>1968</v>
      </c>
      <c r="N46" s="4726"/>
      <c r="O46" s="4726"/>
      <c r="P46" s="2535">
        <f t="shared" si="4"/>
        <v>10</v>
      </c>
      <c r="Q46" s="2536"/>
      <c r="R46" s="2716" t="b">
        <f t="shared" si="1"/>
        <v>0</v>
      </c>
      <c r="S46" s="2351"/>
      <c r="T46" s="2351"/>
      <c r="U46" s="1217"/>
      <c r="V46" s="4719" t="str">
        <f>IF(V45="","",VLOOKUP(V45,'Tablas Técnicas'!$AD$5:$AI$188,4,FALSE))</f>
        <v/>
      </c>
      <c r="W46" s="4720"/>
      <c r="X46" s="4720"/>
      <c r="Y46" s="4720"/>
      <c r="Z46" s="1188" t="s">
        <v>1627</v>
      </c>
      <c r="AA46" s="1219" t="str">
        <f>IF(V45="","",VLOOKUP(V45,'Tablas Técnicas'!$AD$5:$AI$188,2,FALSE))</f>
        <v/>
      </c>
      <c r="AB46" s="4716"/>
      <c r="AD46" s="4719" t="str">
        <f>IF(AD45="","",VLOOKUP(AD45,'Tablas Técnicas'!$AD$5:$AI$188,4,FALSE))</f>
        <v/>
      </c>
      <c r="AE46" s="4720"/>
      <c r="AF46" s="4720"/>
      <c r="AG46" s="4720"/>
      <c r="AH46" s="1188" t="s">
        <v>1627</v>
      </c>
      <c r="AI46" s="1219" t="str">
        <f>IF(AD45="","",VLOOKUP(AD45,'Tablas Técnicas'!$AD$5:$AI$188,2,FALSE))</f>
        <v/>
      </c>
      <c r="AJ46" s="4716"/>
      <c r="AK46" s="1131"/>
      <c r="AL46" s="1125"/>
      <c r="AM46" s="1173"/>
      <c r="AN46" s="1173"/>
      <c r="AO46" s="1173"/>
      <c r="AP46" s="1173"/>
      <c r="AQ46" s="1173"/>
      <c r="AR46" s="1173"/>
      <c r="AS46" s="1173"/>
      <c r="AT46" s="1173"/>
      <c r="AU46" s="1173"/>
    </row>
    <row r="47" spans="1:50" ht="12" customHeight="1" x14ac:dyDescent="0.2">
      <c r="A47" s="1125"/>
      <c r="B47" s="2716" t="b">
        <f t="shared" si="5"/>
        <v>0</v>
      </c>
      <c r="C47" s="4656" t="s">
        <v>1969</v>
      </c>
      <c r="D47" s="4726"/>
      <c r="E47" s="4726"/>
      <c r="F47" s="4726"/>
      <c r="G47" s="4726"/>
      <c r="H47" s="2535">
        <f>IF(I47=0,30,"-")</f>
        <v>30</v>
      </c>
      <c r="I47" s="2536"/>
      <c r="J47" s="663"/>
      <c r="K47" s="1210" t="s">
        <v>1949</v>
      </c>
      <c r="L47" s="1213" t="s">
        <v>1926</v>
      </c>
      <c r="M47" s="4726" t="s">
        <v>1970</v>
      </c>
      <c r="N47" s="4726"/>
      <c r="O47" s="4726"/>
      <c r="P47" s="2535">
        <f t="shared" si="4"/>
        <v>10</v>
      </c>
      <c r="Q47" s="2536"/>
      <c r="R47" s="2716" t="b">
        <f t="shared" si="1"/>
        <v>0</v>
      </c>
      <c r="S47" s="2351"/>
      <c r="T47" s="2351"/>
      <c r="U47" s="1217">
        <f t="shared" si="2"/>
        <v>0</v>
      </c>
      <c r="V47" s="4717"/>
      <c r="W47" s="4654"/>
      <c r="X47" s="4654"/>
      <c r="Y47" s="4654"/>
      <c r="Z47" s="4654"/>
      <c r="AA47" s="4718"/>
      <c r="AB47" s="4695" t="str">
        <f>IF(V47="","",VLOOKUP(V47,'Tablas Técnicas'!$AD$5:$AI$188,3,FALSE))</f>
        <v/>
      </c>
      <c r="AD47" s="4717"/>
      <c r="AE47" s="4654"/>
      <c r="AF47" s="4654"/>
      <c r="AG47" s="4654"/>
      <c r="AH47" s="4654"/>
      <c r="AI47" s="4718"/>
      <c r="AJ47" s="4695" t="str">
        <f>IF(AD47="","",VLOOKUP(AD47,'Tablas Técnicas'!$AD$5:$AI$188,3,FALSE))</f>
        <v/>
      </c>
      <c r="AK47" s="1131"/>
      <c r="AL47" s="1125"/>
      <c r="AM47" s="1173"/>
      <c r="AN47" s="1173"/>
      <c r="AO47" s="1173"/>
      <c r="AP47" s="1173"/>
      <c r="AQ47" s="1173"/>
      <c r="AR47" s="1173"/>
      <c r="AS47" s="1173"/>
      <c r="AT47" s="1173"/>
      <c r="AU47" s="1173"/>
    </row>
    <row r="48" spans="1:50" ht="12" customHeight="1" x14ac:dyDescent="0.2">
      <c r="A48" s="1125"/>
      <c r="B48" s="2716" t="b">
        <f t="shared" si="5"/>
        <v>0</v>
      </c>
      <c r="C48" s="1210" t="s">
        <v>1926</v>
      </c>
      <c r="D48" s="4726" t="s">
        <v>1971</v>
      </c>
      <c r="E48" s="4726"/>
      <c r="F48" s="4726"/>
      <c r="G48" s="4726"/>
      <c r="H48" s="2535">
        <f>IF(I48=0,20,"-")</f>
        <v>20</v>
      </c>
      <c r="I48" s="2536"/>
      <c r="J48" s="663"/>
      <c r="K48" s="1210" t="s">
        <v>1926</v>
      </c>
      <c r="L48" s="4726" t="s">
        <v>1972</v>
      </c>
      <c r="M48" s="4657"/>
      <c r="N48" s="4657"/>
      <c r="O48" s="4657"/>
      <c r="P48" s="2535">
        <f t="shared" si="4"/>
        <v>10</v>
      </c>
      <c r="Q48" s="2536"/>
      <c r="R48" s="2716" t="b">
        <f t="shared" si="1"/>
        <v>0</v>
      </c>
      <c r="S48" s="2351"/>
      <c r="T48" s="2351"/>
      <c r="U48" s="1217"/>
      <c r="V48" s="4517" t="str">
        <f>IF(V47="","",VLOOKUP(V47,'Tablas Técnicas'!$AD$5:$AI$188,4,FALSE))</f>
        <v/>
      </c>
      <c r="W48" s="4465"/>
      <c r="X48" s="4465"/>
      <c r="Y48" s="4465"/>
      <c r="Z48" s="1252" t="s">
        <v>1627</v>
      </c>
      <c r="AA48" s="1254" t="str">
        <f>IF(V47="","",VLOOKUP(V47,'Tablas Técnicas'!$AD$5:$AI$188,2,FALSE))</f>
        <v/>
      </c>
      <c r="AB48" s="4695"/>
      <c r="AD48" s="4517" t="str">
        <f>IF(AD47="","",VLOOKUP(AD47,'Tablas Técnicas'!$AD$5:$AI$188,4,FALSE))</f>
        <v/>
      </c>
      <c r="AE48" s="4465"/>
      <c r="AF48" s="4465"/>
      <c r="AG48" s="4465"/>
      <c r="AH48" s="1252" t="s">
        <v>1627</v>
      </c>
      <c r="AI48" s="1254" t="str">
        <f>IF(AD47="","",VLOOKUP(AD47,'Tablas Técnicas'!$AD$5:$AI$188,2,FALSE))</f>
        <v/>
      </c>
      <c r="AJ48" s="4695"/>
      <c r="AK48" s="1131"/>
      <c r="AL48" s="1125"/>
      <c r="AM48" s="1173"/>
      <c r="AN48" s="1173"/>
      <c r="AO48" s="1173"/>
      <c r="AP48" s="1173"/>
      <c r="AQ48" s="1173"/>
      <c r="AR48" s="1173"/>
      <c r="AS48" s="1173"/>
      <c r="AT48" s="1173"/>
      <c r="AU48" s="1173"/>
    </row>
    <row r="49" spans="1:47" ht="12" customHeight="1" x14ac:dyDescent="0.2">
      <c r="A49" s="1125"/>
      <c r="B49" s="2716" t="b">
        <f t="shared" si="5"/>
        <v>0</v>
      </c>
      <c r="C49" s="4656" t="s">
        <v>1973</v>
      </c>
      <c r="D49" s="4726"/>
      <c r="E49" s="4726"/>
      <c r="F49" s="4726"/>
      <c r="G49" s="4726"/>
      <c r="H49" s="2535">
        <f>IF(I49=0,30,"-")</f>
        <v>30</v>
      </c>
      <c r="I49" s="2536"/>
      <c r="J49" s="663"/>
      <c r="K49" s="4656" t="s">
        <v>1974</v>
      </c>
      <c r="L49" s="4657"/>
      <c r="M49" s="4657"/>
      <c r="N49" s="4657"/>
      <c r="O49" s="4657"/>
      <c r="P49" s="2535">
        <f t="shared" si="4"/>
        <v>10</v>
      </c>
      <c r="Q49" s="2536"/>
      <c r="R49" s="2716" t="b">
        <f t="shared" si="1"/>
        <v>0</v>
      </c>
      <c r="S49" s="2351"/>
      <c r="T49" s="2351"/>
      <c r="U49" s="1217">
        <f t="shared" si="2"/>
        <v>0</v>
      </c>
      <c r="V49" s="4714"/>
      <c r="W49" s="4671"/>
      <c r="X49" s="4671"/>
      <c r="Y49" s="4671"/>
      <c r="Z49" s="4671"/>
      <c r="AA49" s="4715"/>
      <c r="AB49" s="4716" t="str">
        <f>IF(V49="","",VLOOKUP(V49,'Tablas Técnicas'!$AD$5:$AI$188,3,FALSE))</f>
        <v/>
      </c>
      <c r="AD49" s="4714"/>
      <c r="AE49" s="4671"/>
      <c r="AF49" s="4671"/>
      <c r="AG49" s="4671"/>
      <c r="AH49" s="4671"/>
      <c r="AI49" s="4715"/>
      <c r="AJ49" s="4716" t="str">
        <f>IF(AD49="","",VLOOKUP(AD49,'Tablas Técnicas'!$AD$5:$AI$188,3,FALSE))</f>
        <v/>
      </c>
      <c r="AK49" s="1131"/>
      <c r="AL49" s="1125"/>
      <c r="AM49" s="1173"/>
      <c r="AN49" s="1173"/>
      <c r="AO49" s="1173"/>
      <c r="AP49" s="1173"/>
      <c r="AQ49" s="1173"/>
      <c r="AR49" s="1173"/>
      <c r="AS49" s="1173"/>
      <c r="AT49" s="1173"/>
      <c r="AU49" s="1173"/>
    </row>
    <row r="50" spans="1:47" ht="12" customHeight="1" x14ac:dyDescent="0.2">
      <c r="A50" s="1125"/>
      <c r="B50" s="2716" t="b">
        <f t="shared" si="5"/>
        <v>0</v>
      </c>
      <c r="C50" s="1210" t="s">
        <v>1926</v>
      </c>
      <c r="D50" s="4726" t="s">
        <v>1975</v>
      </c>
      <c r="E50" s="4726"/>
      <c r="F50" s="4726"/>
      <c r="G50" s="4726"/>
      <c r="H50" s="2535">
        <f>IF(I50=0,20,"-")</f>
        <v>20</v>
      </c>
      <c r="I50" s="2536"/>
      <c r="J50" s="663"/>
      <c r="K50" s="1210" t="s">
        <v>1915</v>
      </c>
      <c r="L50" s="4726" t="s">
        <v>1976</v>
      </c>
      <c r="M50" s="4657"/>
      <c r="N50" s="4657"/>
      <c r="O50" s="4657"/>
      <c r="P50" s="2535">
        <f>IF(Q50=0,10,"-")</f>
        <v>10</v>
      </c>
      <c r="Q50" s="2536"/>
      <c r="R50" s="2716" t="b">
        <f>OR(P50="-",Raza="D'Anjayni",Nephilim="Nephilim D'Anjayni")</f>
        <v>0</v>
      </c>
      <c r="S50" s="2351"/>
      <c r="T50" s="2351"/>
      <c r="U50" s="1217"/>
      <c r="V50" s="4719" t="str">
        <f>IF(V49="","",VLOOKUP(V49,'Tablas Técnicas'!$AD$5:$AI$188,4,FALSE))</f>
        <v/>
      </c>
      <c r="W50" s="4720"/>
      <c r="X50" s="4720"/>
      <c r="Y50" s="4720"/>
      <c r="Z50" s="1188" t="s">
        <v>1627</v>
      </c>
      <c r="AA50" s="1219" t="str">
        <f>IF(V49="","",VLOOKUP(V49,'Tablas Técnicas'!$AD$5:$AI$188,2,FALSE))</f>
        <v/>
      </c>
      <c r="AB50" s="4716"/>
      <c r="AD50" s="4719" t="str">
        <f>IF(AD49="","",VLOOKUP(AD49,'Tablas Técnicas'!$AD$5:$AI$188,4,FALSE))</f>
        <v/>
      </c>
      <c r="AE50" s="4720"/>
      <c r="AF50" s="4720"/>
      <c r="AG50" s="4720"/>
      <c r="AH50" s="1188" t="s">
        <v>1627</v>
      </c>
      <c r="AI50" s="1219" t="str">
        <f>IF(AD49="","",VLOOKUP(AD49,'Tablas Técnicas'!$AD$5:$AI$188,2,FALSE))</f>
        <v/>
      </c>
      <c r="AJ50" s="4716"/>
      <c r="AK50" s="1131"/>
      <c r="AL50" s="1125"/>
      <c r="AM50" s="1173"/>
      <c r="AN50" s="1173"/>
      <c r="AO50" s="1173"/>
      <c r="AP50" s="1173"/>
      <c r="AQ50" s="1173"/>
      <c r="AR50" s="1173"/>
      <c r="AS50" s="1173"/>
      <c r="AT50" s="1173"/>
      <c r="AU50" s="1173"/>
    </row>
    <row r="51" spans="1:47" ht="12" customHeight="1" x14ac:dyDescent="0.2">
      <c r="A51" s="1125"/>
      <c r="B51" s="2716" t="b">
        <f t="shared" si="5"/>
        <v>0</v>
      </c>
      <c r="C51" s="4656" t="s">
        <v>1977</v>
      </c>
      <c r="D51" s="4726"/>
      <c r="E51" s="4726"/>
      <c r="F51" s="4726"/>
      <c r="G51" s="4726"/>
      <c r="H51" s="2535">
        <f>IF(I51=0,30,"-")</f>
        <v>30</v>
      </c>
      <c r="I51" s="2536"/>
      <c r="J51" s="663"/>
      <c r="K51" s="1210" t="s">
        <v>1949</v>
      </c>
      <c r="L51" s="1213" t="s">
        <v>1915</v>
      </c>
      <c r="M51" s="4726" t="s">
        <v>1978</v>
      </c>
      <c r="N51" s="4726"/>
      <c r="O51" s="4726"/>
      <c r="P51" s="2535">
        <f t="shared" si="4"/>
        <v>10</v>
      </c>
      <c r="Q51" s="2536"/>
      <c r="R51" s="2716" t="b">
        <f t="shared" si="1"/>
        <v>0</v>
      </c>
      <c r="S51" s="2351"/>
      <c r="T51" s="2351"/>
      <c r="U51" s="1217">
        <f t="shared" si="2"/>
        <v>0</v>
      </c>
      <c r="V51" s="4717"/>
      <c r="W51" s="4654"/>
      <c r="X51" s="4654"/>
      <c r="Y51" s="4654"/>
      <c r="Z51" s="4654"/>
      <c r="AA51" s="4718"/>
      <c r="AB51" s="4695" t="str">
        <f>IF(V51="","",VLOOKUP(V51,'Tablas Técnicas'!$AD$5:$AI$188,3,FALSE))</f>
        <v/>
      </c>
      <c r="AD51" s="4717"/>
      <c r="AE51" s="4654"/>
      <c r="AF51" s="4654"/>
      <c r="AG51" s="4654"/>
      <c r="AH51" s="4654"/>
      <c r="AI51" s="4718"/>
      <c r="AJ51" s="4695" t="str">
        <f>IF(AD51="","",VLOOKUP(AD51,'Tablas Técnicas'!$AD$5:$AI$188,3,FALSE))</f>
        <v/>
      </c>
      <c r="AK51" s="1131"/>
      <c r="AL51" s="1125"/>
      <c r="AM51" s="1173"/>
      <c r="AN51" s="1173"/>
      <c r="AO51" s="1173"/>
      <c r="AP51" s="1173"/>
      <c r="AQ51" s="1173"/>
      <c r="AR51" s="1173"/>
      <c r="AS51" s="1173"/>
      <c r="AT51" s="1173"/>
      <c r="AU51" s="1173"/>
    </row>
    <row r="52" spans="1:47" ht="12" customHeight="1" x14ac:dyDescent="0.2">
      <c r="A52" s="1125"/>
      <c r="B52" s="2716" t="b">
        <f t="shared" si="5"/>
        <v>0</v>
      </c>
      <c r="C52" s="1210" t="s">
        <v>1926</v>
      </c>
      <c r="D52" s="4726" t="s">
        <v>1979</v>
      </c>
      <c r="E52" s="4726"/>
      <c r="F52" s="4726"/>
      <c r="G52" s="4726"/>
      <c r="H52" s="2535">
        <f>IF(I52=0,20,"-")</f>
        <v>20</v>
      </c>
      <c r="I52" s="2536"/>
      <c r="J52" s="663"/>
      <c r="K52" s="1210" t="s">
        <v>1949</v>
      </c>
      <c r="L52" s="1213" t="s">
        <v>1926</v>
      </c>
      <c r="M52" s="4726" t="s">
        <v>1980</v>
      </c>
      <c r="N52" s="4726"/>
      <c r="O52" s="4726"/>
      <c r="P52" s="2535">
        <f t="shared" si="4"/>
        <v>10</v>
      </c>
      <c r="Q52" s="2536"/>
      <c r="R52" s="2716" t="b">
        <f t="shared" si="1"/>
        <v>0</v>
      </c>
      <c r="S52" s="2351"/>
      <c r="T52" s="2351"/>
      <c r="U52" s="1217"/>
      <c r="V52" s="4517" t="str">
        <f>IF(V51="","",VLOOKUP(V51,'Tablas Técnicas'!$AD$5:$AI$188,4,FALSE))</f>
        <v/>
      </c>
      <c r="W52" s="4465"/>
      <c r="X52" s="4465"/>
      <c r="Y52" s="4465"/>
      <c r="Z52" s="1252" t="s">
        <v>1627</v>
      </c>
      <c r="AA52" s="1254" t="str">
        <f>IF(V51="","",VLOOKUP(V51,'Tablas Técnicas'!$AD$5:$AI$188,2,FALSE))</f>
        <v/>
      </c>
      <c r="AB52" s="4695"/>
      <c r="AD52" s="4517" t="str">
        <f>IF(AD51="","",VLOOKUP(AD51,'Tablas Técnicas'!$AD$5:$AI$188,4,FALSE))</f>
        <v/>
      </c>
      <c r="AE52" s="4465"/>
      <c r="AF52" s="4465"/>
      <c r="AG52" s="4465"/>
      <c r="AH52" s="1252" t="s">
        <v>1627</v>
      </c>
      <c r="AI52" s="1254" t="str">
        <f>IF(AD51="","",VLOOKUP(AD51,'Tablas Técnicas'!$AD$5:$AI$188,2,FALSE))</f>
        <v/>
      </c>
      <c r="AJ52" s="4695"/>
      <c r="AK52" s="1131"/>
      <c r="AL52" s="1125"/>
      <c r="AM52" s="1173"/>
      <c r="AN52" s="1173"/>
      <c r="AO52" s="1173"/>
      <c r="AP52" s="1173"/>
      <c r="AQ52" s="1173"/>
      <c r="AR52" s="1173"/>
      <c r="AS52" s="1173"/>
      <c r="AT52" s="1173"/>
      <c r="AU52" s="1173"/>
    </row>
    <row r="53" spans="1:47" ht="12" customHeight="1" x14ac:dyDescent="0.2">
      <c r="A53" s="1125"/>
      <c r="B53" s="2716" t="b">
        <f t="shared" si="5"/>
        <v>0</v>
      </c>
      <c r="C53" s="4656" t="s">
        <v>1981</v>
      </c>
      <c r="D53" s="4657"/>
      <c r="E53" s="4657"/>
      <c r="F53" s="4657"/>
      <c r="G53" s="4657"/>
      <c r="H53" s="2535">
        <f>IF(I53=0,30,"-")</f>
        <v>30</v>
      </c>
      <c r="I53" s="2536"/>
      <c r="J53" s="663"/>
      <c r="K53" s="1210" t="s">
        <v>1915</v>
      </c>
      <c r="L53" s="4726" t="s">
        <v>1982</v>
      </c>
      <c r="M53" s="4657"/>
      <c r="N53" s="4657"/>
      <c r="O53" s="4657"/>
      <c r="P53" s="2535">
        <f t="shared" si="4"/>
        <v>10</v>
      </c>
      <c r="Q53" s="2536"/>
      <c r="R53" s="2716" t="b">
        <f t="shared" si="1"/>
        <v>0</v>
      </c>
      <c r="S53" s="2351"/>
      <c r="T53" s="2351"/>
      <c r="U53" s="1217">
        <f t="shared" si="2"/>
        <v>0</v>
      </c>
      <c r="V53" s="4714"/>
      <c r="W53" s="4671"/>
      <c r="X53" s="4671"/>
      <c r="Y53" s="4671"/>
      <c r="Z53" s="4671"/>
      <c r="AA53" s="4715"/>
      <c r="AB53" s="4716" t="str">
        <f>IF(V53="","",VLOOKUP(V53,'Tablas Técnicas'!$AD$5:$AI$188,3,FALSE))</f>
        <v/>
      </c>
      <c r="AD53" s="4714"/>
      <c r="AE53" s="4671"/>
      <c r="AF53" s="4671"/>
      <c r="AG53" s="4671"/>
      <c r="AH53" s="4671"/>
      <c r="AI53" s="4715"/>
      <c r="AJ53" s="4716" t="str">
        <f>IF(AD53="","",VLOOKUP(AD53,'Tablas Técnicas'!$AD$5:$AI$188,3,FALSE))</f>
        <v/>
      </c>
      <c r="AK53" s="1131"/>
      <c r="AL53" s="1125"/>
      <c r="AM53" s="1173"/>
      <c r="AN53" s="1173"/>
      <c r="AO53" s="1173"/>
      <c r="AP53" s="1173"/>
      <c r="AQ53" s="1173"/>
      <c r="AR53" s="1173"/>
      <c r="AS53" s="1173"/>
      <c r="AT53" s="1173"/>
      <c r="AU53" s="1173"/>
    </row>
    <row r="54" spans="1:47" ht="12" customHeight="1" x14ac:dyDescent="0.2">
      <c r="A54" s="1125"/>
      <c r="B54" s="2716" t="b">
        <f t="shared" si="5"/>
        <v>0</v>
      </c>
      <c r="C54" s="4656" t="s">
        <v>1983</v>
      </c>
      <c r="D54" s="4657"/>
      <c r="E54" s="4657"/>
      <c r="F54" s="4657"/>
      <c r="G54" s="4657"/>
      <c r="H54" s="2535">
        <f>IF(I54=0,30,"-")</f>
        <v>30</v>
      </c>
      <c r="I54" s="2536"/>
      <c r="J54" s="663"/>
      <c r="K54" s="1210" t="s">
        <v>1949</v>
      </c>
      <c r="L54" s="1213" t="s">
        <v>1915</v>
      </c>
      <c r="M54" s="4726" t="s">
        <v>1984</v>
      </c>
      <c r="N54" s="4726"/>
      <c r="O54" s="4726"/>
      <c r="P54" s="2535">
        <f>IF(Q54=0,20,"-")</f>
        <v>20</v>
      </c>
      <c r="Q54" s="2536"/>
      <c r="R54" s="2716" t="b">
        <f t="shared" si="1"/>
        <v>0</v>
      </c>
      <c r="S54" s="2351"/>
      <c r="T54" s="2351"/>
      <c r="U54" s="1217"/>
      <c r="V54" s="4719" t="str">
        <f>IF(V53="","",VLOOKUP(V53,'Tablas Técnicas'!$AD$5:$AI$188,4,FALSE))</f>
        <v/>
      </c>
      <c r="W54" s="4720"/>
      <c r="X54" s="4720"/>
      <c r="Y54" s="4720"/>
      <c r="Z54" s="1188" t="s">
        <v>1627</v>
      </c>
      <c r="AA54" s="1219" t="str">
        <f>IF(V53="","",VLOOKUP(V53,'Tablas Técnicas'!$AD$5:$AI$188,2,FALSE))</f>
        <v/>
      </c>
      <c r="AB54" s="4716"/>
      <c r="AD54" s="4719" t="str">
        <f>IF(AD53="","",VLOOKUP(AD53,'Tablas Técnicas'!$AD$5:$AI$188,4,FALSE))</f>
        <v/>
      </c>
      <c r="AE54" s="4720"/>
      <c r="AF54" s="4720"/>
      <c r="AG54" s="4720"/>
      <c r="AH54" s="1188" t="s">
        <v>1627</v>
      </c>
      <c r="AI54" s="1219" t="str">
        <f>IF(AD53="","",VLOOKUP(AD53,'Tablas Técnicas'!$AD$5:$AI$188,2,FALSE))</f>
        <v/>
      </c>
      <c r="AJ54" s="4716"/>
      <c r="AK54" s="1131"/>
      <c r="AL54" s="1125"/>
      <c r="AM54" s="1173"/>
      <c r="AN54" s="1173"/>
      <c r="AO54" s="1173"/>
      <c r="AP54" s="1173"/>
      <c r="AQ54" s="1173"/>
      <c r="AR54" s="1173"/>
      <c r="AS54" s="1173"/>
      <c r="AT54" s="1173"/>
      <c r="AU54" s="1173"/>
    </row>
    <row r="55" spans="1:47" ht="12" customHeight="1" x14ac:dyDescent="0.2">
      <c r="A55" s="1125"/>
      <c r="B55" s="2716" t="b">
        <f t="shared" si="5"/>
        <v>0</v>
      </c>
      <c r="C55" s="1210" t="s">
        <v>1926</v>
      </c>
      <c r="D55" s="4726" t="s">
        <v>1985</v>
      </c>
      <c r="E55" s="4657"/>
      <c r="F55" s="4657"/>
      <c r="G55" s="4657"/>
      <c r="H55" s="2535">
        <f>IF(I55=0,30,"-")</f>
        <v>30</v>
      </c>
      <c r="I55" s="2536"/>
      <c r="J55" s="663"/>
      <c r="K55" s="1210" t="s">
        <v>1949</v>
      </c>
      <c r="L55" s="1213" t="s">
        <v>1915</v>
      </c>
      <c r="M55" s="4726" t="s">
        <v>1986</v>
      </c>
      <c r="N55" s="4726"/>
      <c r="O55" s="4726"/>
      <c r="P55" s="2535">
        <f>IF(Q55=0,20,"-")</f>
        <v>20</v>
      </c>
      <c r="Q55" s="2536"/>
      <c r="R55" s="2716" t="b">
        <f t="shared" si="1"/>
        <v>0</v>
      </c>
      <c r="S55" s="2351"/>
      <c r="T55" s="2351"/>
      <c r="U55" s="1217">
        <f t="shared" si="2"/>
        <v>0</v>
      </c>
      <c r="V55" s="4717"/>
      <c r="W55" s="4654"/>
      <c r="X55" s="4654"/>
      <c r="Y55" s="4654"/>
      <c r="Z55" s="4654"/>
      <c r="AA55" s="4718"/>
      <c r="AB55" s="4695" t="str">
        <f>IF(V55="","",VLOOKUP(V55,'Tablas Técnicas'!$AD$5:$AI$188,3,FALSE))</f>
        <v/>
      </c>
      <c r="AD55" s="4717"/>
      <c r="AE55" s="4654"/>
      <c r="AF55" s="4654"/>
      <c r="AG55" s="4654"/>
      <c r="AH55" s="4654"/>
      <c r="AI55" s="4718"/>
      <c r="AJ55" s="4695" t="str">
        <f>IF(AD55="","",VLOOKUP(AD55,'Tablas Técnicas'!$AD$5:$AI$188,3,FALSE))</f>
        <v/>
      </c>
      <c r="AK55" s="1131"/>
      <c r="AL55" s="1125"/>
      <c r="AM55" s="1173"/>
      <c r="AN55" s="1173"/>
      <c r="AO55" s="1173"/>
      <c r="AP55" s="1173"/>
      <c r="AQ55" s="1173"/>
      <c r="AR55" s="1173"/>
      <c r="AS55" s="1173"/>
      <c r="AT55" s="1173"/>
      <c r="AU55" s="1173"/>
    </row>
    <row r="56" spans="1:47" ht="12" customHeight="1" x14ac:dyDescent="0.2">
      <c r="A56" s="1125"/>
      <c r="B56" s="2716" t="b">
        <f t="shared" si="5"/>
        <v>0</v>
      </c>
      <c r="C56" s="4656" t="s">
        <v>1987</v>
      </c>
      <c r="D56" s="4657"/>
      <c r="E56" s="4657"/>
      <c r="F56" s="4657"/>
      <c r="G56" s="4657"/>
      <c r="H56" s="2535">
        <f>IF(I56=0,10,"-")</f>
        <v>10</v>
      </c>
      <c r="I56" s="2536"/>
      <c r="J56" s="663"/>
      <c r="K56" s="1210" t="s">
        <v>1949</v>
      </c>
      <c r="L56" s="1213" t="s">
        <v>1926</v>
      </c>
      <c r="M56" s="4726" t="s">
        <v>1988</v>
      </c>
      <c r="N56" s="4726"/>
      <c r="O56" s="4726"/>
      <c r="P56" s="2535">
        <f>IF(Q56=0,20,"-")</f>
        <v>20</v>
      </c>
      <c r="Q56" s="2536"/>
      <c r="R56" s="2716" t="b">
        <f t="shared" si="1"/>
        <v>0</v>
      </c>
      <c r="S56" s="2351"/>
      <c r="T56" s="2351"/>
      <c r="U56" s="1217"/>
      <c r="V56" s="4517" t="str">
        <f>IF(V55="","",VLOOKUP(V55,'Tablas Técnicas'!$AD$5:$AI$188,4,FALSE))</f>
        <v/>
      </c>
      <c r="W56" s="4465"/>
      <c r="X56" s="4465"/>
      <c r="Y56" s="4465"/>
      <c r="Z56" s="1252" t="s">
        <v>1627</v>
      </c>
      <c r="AA56" s="1254" t="str">
        <f>IF(V55="","",VLOOKUP(V55,'Tablas Técnicas'!$AD$5:$AI$188,2,FALSE))</f>
        <v/>
      </c>
      <c r="AB56" s="4695"/>
      <c r="AD56" s="4517" t="str">
        <f>IF(AD55="","",VLOOKUP(AD55,'Tablas Técnicas'!$AD$5:$AI$188,4,FALSE))</f>
        <v/>
      </c>
      <c r="AE56" s="4465"/>
      <c r="AF56" s="4465"/>
      <c r="AG56" s="4465"/>
      <c r="AH56" s="1252" t="s">
        <v>1627</v>
      </c>
      <c r="AI56" s="1254" t="str">
        <f>IF(AD55="","",VLOOKUP(AD55,'Tablas Técnicas'!$AD$5:$AI$188,2,FALSE))</f>
        <v/>
      </c>
      <c r="AJ56" s="4695"/>
      <c r="AK56" s="1131"/>
      <c r="AL56" s="1125"/>
      <c r="AM56" s="1173"/>
      <c r="AN56" s="1173"/>
      <c r="AO56" s="1173"/>
      <c r="AP56" s="1173"/>
      <c r="AQ56" s="1173"/>
      <c r="AR56" s="1173"/>
      <c r="AS56" s="1173"/>
      <c r="AT56" s="1173"/>
      <c r="AU56" s="1173"/>
    </row>
    <row r="57" spans="1:47" ht="12" customHeight="1" x14ac:dyDescent="0.2">
      <c r="A57" s="1125"/>
      <c r="B57" s="2716" t="b">
        <f t="shared" si="5"/>
        <v>0</v>
      </c>
      <c r="C57" s="1210" t="s">
        <v>1915</v>
      </c>
      <c r="D57" s="4726" t="s">
        <v>1989</v>
      </c>
      <c r="E57" s="4657"/>
      <c r="F57" s="4657"/>
      <c r="G57" s="4657"/>
      <c r="H57" s="2535">
        <f>IF(I57=0,10,"-")</f>
        <v>10</v>
      </c>
      <c r="I57" s="2536"/>
      <c r="J57" s="663"/>
      <c r="K57" s="1210" t="s">
        <v>1915</v>
      </c>
      <c r="L57" s="4726" t="s">
        <v>1990</v>
      </c>
      <c r="M57" s="4657"/>
      <c r="N57" s="4657"/>
      <c r="O57" s="4657"/>
      <c r="P57" s="2535">
        <f>IF(Q57=0,20,"-")</f>
        <v>20</v>
      </c>
      <c r="Q57" s="2536"/>
      <c r="R57" s="2716" t="b">
        <f t="shared" si="1"/>
        <v>0</v>
      </c>
      <c r="S57" s="2351"/>
      <c r="T57" s="2351"/>
      <c r="U57" s="1217">
        <f t="shared" si="2"/>
        <v>0</v>
      </c>
      <c r="V57" s="4714"/>
      <c r="W57" s="4671"/>
      <c r="X57" s="4671"/>
      <c r="Y57" s="4671"/>
      <c r="Z57" s="4671"/>
      <c r="AA57" s="4715"/>
      <c r="AB57" s="4716" t="str">
        <f>IF(V57="","",VLOOKUP(V57,'Tablas Técnicas'!$AD$5:$AI$188,3,FALSE))</f>
        <v/>
      </c>
      <c r="AD57" s="4714"/>
      <c r="AE57" s="4671"/>
      <c r="AF57" s="4671"/>
      <c r="AG57" s="4671"/>
      <c r="AH57" s="4671"/>
      <c r="AI57" s="4715"/>
      <c r="AJ57" s="4716" t="str">
        <f>IF(AD57="","",VLOOKUP(AD57,'Tablas Técnicas'!$AD$5:$AI$188,3,FALSE))</f>
        <v/>
      </c>
      <c r="AK57" s="1131"/>
      <c r="AL57" s="1125"/>
      <c r="AM57" s="1184"/>
      <c r="AN57" s="1173"/>
      <c r="AO57" s="1173"/>
      <c r="AP57" s="1173"/>
      <c r="AQ57" s="1173"/>
      <c r="AR57" s="1173"/>
      <c r="AS57" s="1173"/>
      <c r="AT57" s="1173"/>
      <c r="AU57" s="1173"/>
    </row>
    <row r="58" spans="1:47" ht="12" customHeight="1" x14ac:dyDescent="0.2">
      <c r="A58" s="1125"/>
      <c r="B58" s="2716" t="b">
        <f t="shared" si="5"/>
        <v>0</v>
      </c>
      <c r="C58" s="1210" t="s">
        <v>1915</v>
      </c>
      <c r="D58" s="4726" t="s">
        <v>1991</v>
      </c>
      <c r="E58" s="4657"/>
      <c r="F58" s="4657"/>
      <c r="G58" s="4657"/>
      <c r="H58" s="2535">
        <f>IF(I58=0,20,"-")</f>
        <v>20</v>
      </c>
      <c r="I58" s="2536"/>
      <c r="J58" s="663"/>
      <c r="K58" s="1210" t="s">
        <v>1949</v>
      </c>
      <c r="L58" s="1213" t="s">
        <v>1926</v>
      </c>
      <c r="M58" s="4726" t="s">
        <v>1992</v>
      </c>
      <c r="N58" s="4726"/>
      <c r="O58" s="4726"/>
      <c r="P58" s="2535">
        <f>IF(Q58=0,20,"-")</f>
        <v>20</v>
      </c>
      <c r="Q58" s="2536"/>
      <c r="R58" s="2716" t="b">
        <f t="shared" si="1"/>
        <v>0</v>
      </c>
      <c r="S58" s="2351"/>
      <c r="T58" s="2351"/>
      <c r="U58" s="1217"/>
      <c r="V58" s="4719" t="str">
        <f>IF(V57="","",VLOOKUP(V57,'Tablas Técnicas'!$AD$5:$AI$188,4,FALSE))</f>
        <v/>
      </c>
      <c r="W58" s="4720"/>
      <c r="X58" s="4720"/>
      <c r="Y58" s="4720"/>
      <c r="Z58" s="1188" t="s">
        <v>1627</v>
      </c>
      <c r="AA58" s="1219" t="str">
        <f>IF(V57="","",VLOOKUP(V57,'Tablas Técnicas'!$AD$5:$AI$188,2,FALSE))</f>
        <v/>
      </c>
      <c r="AB58" s="4716"/>
      <c r="AD58" s="4719" t="str">
        <f>IF(AD57="","",VLOOKUP(AD57,'Tablas Técnicas'!$AD$5:$AI$188,4,FALSE))</f>
        <v/>
      </c>
      <c r="AE58" s="4720"/>
      <c r="AF58" s="4720"/>
      <c r="AG58" s="4720"/>
      <c r="AH58" s="1188" t="s">
        <v>1627</v>
      </c>
      <c r="AI58" s="1219" t="str">
        <f>IF(AD57="","",VLOOKUP(AD57,'Tablas Técnicas'!$AD$5:$AI$188,2,FALSE))</f>
        <v/>
      </c>
      <c r="AJ58" s="4716"/>
      <c r="AK58" s="1131"/>
      <c r="AL58" s="1125"/>
      <c r="AM58" s="1173"/>
      <c r="AN58" s="1173"/>
      <c r="AO58" s="1173"/>
      <c r="AP58" s="1173"/>
      <c r="AQ58" s="1173"/>
      <c r="AR58" s="1173"/>
      <c r="AS58" s="1173"/>
      <c r="AT58" s="1173"/>
      <c r="AU58" s="1173"/>
    </row>
    <row r="59" spans="1:47" ht="12" customHeight="1" x14ac:dyDescent="0.2">
      <c r="A59" s="1125"/>
      <c r="B59" s="2716" t="b">
        <f t="shared" si="5"/>
        <v>0</v>
      </c>
      <c r="C59" s="1210" t="s">
        <v>1926</v>
      </c>
      <c r="D59" s="4726" t="s">
        <v>1993</v>
      </c>
      <c r="E59" s="4657"/>
      <c r="F59" s="4657"/>
      <c r="G59" s="4657"/>
      <c r="H59" s="2535">
        <f>IF(I59=0,20,"-")</f>
        <v>20</v>
      </c>
      <c r="I59" s="2536"/>
      <c r="J59" s="663"/>
      <c r="K59" s="1210" t="s">
        <v>1949</v>
      </c>
      <c r="L59" s="1213"/>
      <c r="M59" s="1213" t="s">
        <v>1926</v>
      </c>
      <c r="N59" s="2794" t="s">
        <v>1994</v>
      </c>
      <c r="O59" s="2794"/>
      <c r="P59" s="2535">
        <f>IF(Q59=0,10,"-")</f>
        <v>10</v>
      </c>
      <c r="Q59" s="2536"/>
      <c r="R59" s="2716" t="b">
        <f t="shared" si="1"/>
        <v>0</v>
      </c>
      <c r="S59" s="2351"/>
      <c r="T59" s="2351"/>
      <c r="U59" s="1217">
        <f t="shared" si="2"/>
        <v>0</v>
      </c>
      <c r="V59" s="4717"/>
      <c r="W59" s="4654"/>
      <c r="X59" s="4654"/>
      <c r="Y59" s="4654"/>
      <c r="Z59" s="4654"/>
      <c r="AA59" s="4718"/>
      <c r="AB59" s="4695" t="str">
        <f>IF(V59="","",VLOOKUP(V59,'Tablas Técnicas'!$AD$5:$AI$188,3,FALSE))</f>
        <v/>
      </c>
      <c r="AD59" s="4717"/>
      <c r="AE59" s="4654"/>
      <c r="AF59" s="4654"/>
      <c r="AG59" s="4654"/>
      <c r="AH59" s="4654"/>
      <c r="AI59" s="4718"/>
      <c r="AJ59" s="4695" t="str">
        <f>IF(AD59="","",VLOOKUP(AD59,'Tablas Técnicas'!$AD$5:$AI$188,3,FALSE))</f>
        <v/>
      </c>
      <c r="AK59" s="1131"/>
      <c r="AL59" s="1125"/>
      <c r="AM59" s="1173"/>
      <c r="AN59" s="1173"/>
      <c r="AO59" s="1173"/>
      <c r="AP59" s="1173"/>
      <c r="AQ59" s="1173"/>
      <c r="AR59" s="1173"/>
      <c r="AS59" s="1173"/>
      <c r="AT59" s="1173"/>
      <c r="AU59" s="1173"/>
    </row>
    <row r="60" spans="1:47" ht="12" customHeight="1" x14ac:dyDescent="0.3">
      <c r="A60" s="1125"/>
      <c r="B60" s="2716" t="b">
        <f t="shared" si="5"/>
        <v>0</v>
      </c>
      <c r="C60" s="1229"/>
      <c r="D60" s="1213" t="s">
        <v>1926</v>
      </c>
      <c r="E60" s="4726" t="s">
        <v>1995</v>
      </c>
      <c r="F60" s="4726"/>
      <c r="G60" s="4726"/>
      <c r="H60" s="2535">
        <f>IF(I60=0,40,"-")</f>
        <v>40</v>
      </c>
      <c r="I60" s="2536"/>
      <c r="J60" s="663"/>
      <c r="K60" s="1210" t="s">
        <v>1926</v>
      </c>
      <c r="L60" s="4726" t="s">
        <v>1996</v>
      </c>
      <c r="M60" s="4726"/>
      <c r="N60" s="4726"/>
      <c r="O60" s="4726"/>
      <c r="P60" s="2535">
        <f>IF(Q60=0,20,"-")</f>
        <v>20</v>
      </c>
      <c r="Q60" s="2536"/>
      <c r="R60" s="2716" t="b">
        <f t="shared" si="1"/>
        <v>0</v>
      </c>
      <c r="S60" s="2351"/>
      <c r="T60" s="2351"/>
      <c r="U60" s="1217"/>
      <c r="V60" s="4517" t="str">
        <f>IF(V59="","",VLOOKUP(V59,'Tablas Técnicas'!$AD$5:$AI$188,4,FALSE))</f>
        <v/>
      </c>
      <c r="W60" s="4465"/>
      <c r="X60" s="4465"/>
      <c r="Y60" s="4465"/>
      <c r="Z60" s="1252" t="s">
        <v>1627</v>
      </c>
      <c r="AA60" s="1254" t="str">
        <f>IF(V59="","",VLOOKUP(V59,'Tablas Técnicas'!$AD$5:$AI$188,2,FALSE))</f>
        <v/>
      </c>
      <c r="AB60" s="4695"/>
      <c r="AD60" s="4517" t="str">
        <f>IF(AD59="","",VLOOKUP(AD59,'Tablas Técnicas'!$AD$5:$AI$188,4,FALSE))</f>
        <v/>
      </c>
      <c r="AE60" s="4465"/>
      <c r="AF60" s="4465"/>
      <c r="AG60" s="4465"/>
      <c r="AH60" s="1252" t="s">
        <v>1627</v>
      </c>
      <c r="AI60" s="1254" t="str">
        <f>IF(AD59="","",VLOOKUP(AD59,'Tablas Técnicas'!$AD$5:$AI$188,2,FALSE))</f>
        <v/>
      </c>
      <c r="AJ60" s="4695"/>
      <c r="AK60" s="1131"/>
      <c r="AL60" s="1125"/>
      <c r="AM60" s="1173"/>
      <c r="AN60" s="1173"/>
      <c r="AO60" s="1173"/>
      <c r="AP60" s="1173"/>
      <c r="AQ60" s="1173"/>
      <c r="AR60" s="1173"/>
      <c r="AS60" s="1173"/>
      <c r="AT60" s="1173"/>
      <c r="AU60" s="1173"/>
    </row>
    <row r="61" spans="1:47" ht="12" customHeight="1" x14ac:dyDescent="0.2">
      <c r="A61" s="1125"/>
      <c r="B61" s="2716" t="b">
        <f t="shared" si="5"/>
        <v>0</v>
      </c>
      <c r="C61" s="4656" t="s">
        <v>1997</v>
      </c>
      <c r="D61" s="4657"/>
      <c r="E61" s="4657"/>
      <c r="F61" s="4657"/>
      <c r="G61" s="4657"/>
      <c r="H61" s="2535">
        <f>IF(I61=0,30,"-")</f>
        <v>30</v>
      </c>
      <c r="I61" s="2536"/>
      <c r="J61" s="663"/>
      <c r="K61" s="1230"/>
      <c r="L61" s="1213" t="s">
        <v>1926</v>
      </c>
      <c r="M61" s="4726" t="s">
        <v>1998</v>
      </c>
      <c r="N61" s="4726"/>
      <c r="O61" s="4726"/>
      <c r="P61" s="2535">
        <f>IF(Q61=0,20,"-")</f>
        <v>20</v>
      </c>
      <c r="Q61" s="2536"/>
      <c r="R61" s="2716" t="b">
        <f t="shared" si="1"/>
        <v>0</v>
      </c>
      <c r="S61" s="2351"/>
      <c r="T61" s="2351"/>
      <c r="U61" s="1217">
        <f t="shared" si="2"/>
        <v>0</v>
      </c>
      <c r="V61" s="4714"/>
      <c r="W61" s="4671"/>
      <c r="X61" s="4671"/>
      <c r="Y61" s="4671"/>
      <c r="Z61" s="4671"/>
      <c r="AA61" s="4715"/>
      <c r="AB61" s="4716" t="str">
        <f>IF(V61="","",VLOOKUP(V61,'Tablas Técnicas'!$AD$5:$AI$188,3,FALSE))</f>
        <v/>
      </c>
      <c r="AD61" s="4714"/>
      <c r="AE61" s="4671"/>
      <c r="AF61" s="4671"/>
      <c r="AG61" s="4671"/>
      <c r="AH61" s="4671"/>
      <c r="AI61" s="4715"/>
      <c r="AJ61" s="4716" t="str">
        <f>IF(AD61="","",VLOOKUP(AD61,'Tablas Técnicas'!$AD$5:$AI$188,3,FALSE))</f>
        <v/>
      </c>
      <c r="AK61" s="1131"/>
      <c r="AL61" s="1125"/>
      <c r="AM61" s="1173"/>
      <c r="AN61" s="1173"/>
      <c r="AO61" s="1173"/>
      <c r="AP61" s="1173"/>
      <c r="AQ61" s="1173"/>
      <c r="AR61" s="1173"/>
      <c r="AS61" s="1173"/>
      <c r="AT61" s="1173"/>
      <c r="AU61" s="1173"/>
    </row>
    <row r="62" spans="1:47" ht="12" customHeight="1" x14ac:dyDescent="0.2">
      <c r="A62" s="1125"/>
      <c r="B62" s="2716" t="b">
        <f t="shared" si="5"/>
        <v>0</v>
      </c>
      <c r="C62" s="4656" t="s">
        <v>1999</v>
      </c>
      <c r="D62" s="4657"/>
      <c r="E62" s="4657"/>
      <c r="F62" s="4657"/>
      <c r="G62" s="4657"/>
      <c r="H62" s="2535">
        <f>IF(I62=0,10,"-")</f>
        <v>10</v>
      </c>
      <c r="I62" s="2536"/>
      <c r="J62" s="663"/>
      <c r="K62" s="4656" t="s">
        <v>2000</v>
      </c>
      <c r="L62" s="4657"/>
      <c r="M62" s="4657"/>
      <c r="N62" s="4657"/>
      <c r="O62" s="4657"/>
      <c r="P62" s="2535">
        <f>IF(Q62=0,50,"-")</f>
        <v>50</v>
      </c>
      <c r="Q62" s="2536"/>
      <c r="R62" s="2716" t="b">
        <f t="shared" si="1"/>
        <v>0</v>
      </c>
      <c r="S62" s="2351"/>
      <c r="T62" s="2351"/>
      <c r="U62" s="1217"/>
      <c r="V62" s="4719" t="str">
        <f>IF(V61="","",VLOOKUP(V61,'Tablas Técnicas'!$AD$5:$AI$188,4,FALSE))</f>
        <v/>
      </c>
      <c r="W62" s="4720"/>
      <c r="X62" s="4720"/>
      <c r="Y62" s="4720"/>
      <c r="Z62" s="1188" t="s">
        <v>1627</v>
      </c>
      <c r="AA62" s="1219" t="str">
        <f>IF(V61="","",VLOOKUP(V61,'Tablas Técnicas'!$AD$5:$AI$188,2,FALSE))</f>
        <v/>
      </c>
      <c r="AB62" s="4716"/>
      <c r="AD62" s="4719" t="str">
        <f>IF(AD61="","",VLOOKUP(AD61,'Tablas Técnicas'!$AD$5:$AI$188,4,FALSE))</f>
        <v/>
      </c>
      <c r="AE62" s="4720"/>
      <c r="AF62" s="4720"/>
      <c r="AG62" s="4720"/>
      <c r="AH62" s="1188" t="s">
        <v>1627</v>
      </c>
      <c r="AI62" s="1219" t="str">
        <f>IF(AD61="","",VLOOKUP(AD61,'Tablas Técnicas'!$AD$5:$AI$188,2,FALSE))</f>
        <v/>
      </c>
      <c r="AJ62" s="4716"/>
      <c r="AK62" s="1131"/>
      <c r="AL62" s="1125"/>
      <c r="AM62" s="1173"/>
      <c r="AN62" s="1173"/>
      <c r="AO62" s="1173"/>
      <c r="AP62" s="1173"/>
      <c r="AQ62" s="1173"/>
      <c r="AR62" s="1173"/>
      <c r="AS62" s="1173"/>
      <c r="AT62" s="1173"/>
      <c r="AU62" s="1173"/>
    </row>
    <row r="63" spans="1:47" ht="12" customHeight="1" x14ac:dyDescent="0.2">
      <c r="A63" s="1125"/>
      <c r="B63" s="2729">
        <f>IF(COUNTIF(HabilidadesEsenciales_Adquiridas,"Inhumanidad")+COUNTIF(Principal!V30:AE35,"Inhumanidad")&gt;0,1,0)</f>
        <v>0</v>
      </c>
      <c r="C63" s="4656" t="s">
        <v>2001</v>
      </c>
      <c r="D63" s="4657"/>
      <c r="E63" s="4657"/>
      <c r="F63" s="4657"/>
      <c r="G63" s="4657"/>
      <c r="H63" s="2535">
        <f>IF(I63=0,20,"-")</f>
        <v>20</v>
      </c>
      <c r="I63" s="2536"/>
      <c r="J63" s="663"/>
      <c r="K63" s="4656" t="s">
        <v>2001</v>
      </c>
      <c r="L63" s="4726"/>
      <c r="M63" s="4726"/>
      <c r="N63" s="4726"/>
      <c r="O63" s="4726"/>
      <c r="P63" s="2535">
        <f>IF(Q63=0,30,"-")</f>
        <v>30</v>
      </c>
      <c r="Q63" s="2536"/>
      <c r="R63" s="2716" t="b">
        <f>OR(Ki!$P63="-",Ki!$H63="-",Tablas!$H$1256&gt;0,Raza="Duk'zarist",Tablas!$P$258&gt;0,Tablas!P259&gt;0)</f>
        <v>0</v>
      </c>
      <c r="S63" s="2351"/>
      <c r="T63" s="2351"/>
      <c r="U63" s="1217">
        <f t="shared" si="2"/>
        <v>0</v>
      </c>
      <c r="V63" s="4717"/>
      <c r="W63" s="4654"/>
      <c r="X63" s="4654"/>
      <c r="Y63" s="4654"/>
      <c r="Z63" s="4654"/>
      <c r="AA63" s="4718"/>
      <c r="AB63" s="4695" t="str">
        <f>IF(V63="","",VLOOKUP(V63,'Tablas Técnicas'!$AD$5:$AI$188,3,FALSE))</f>
        <v/>
      </c>
      <c r="AD63" s="4717"/>
      <c r="AE63" s="4654"/>
      <c r="AF63" s="4654"/>
      <c r="AG63" s="4654"/>
      <c r="AH63" s="4654"/>
      <c r="AI63" s="4718"/>
      <c r="AJ63" s="4695" t="str">
        <f>IF(AD63="","",VLOOKUP(AD63,'Tablas Técnicas'!$AD$5:$AI$188,3,FALSE))</f>
        <v/>
      </c>
      <c r="AK63" s="1131"/>
      <c r="AL63" s="1125"/>
      <c r="AM63" s="1173"/>
      <c r="AN63" s="1173"/>
      <c r="AO63" s="1173"/>
      <c r="AP63" s="1173"/>
      <c r="AQ63" s="1173"/>
      <c r="AR63" s="1173"/>
      <c r="AS63" s="1173"/>
      <c r="AT63" s="1173"/>
      <c r="AU63" s="1173"/>
    </row>
    <row r="64" spans="1:47" ht="12" customHeight="1" thickBot="1" x14ac:dyDescent="0.25">
      <c r="A64" s="1125"/>
      <c r="B64" s="2729">
        <f>IF(COUNTIF(HabilidadesEsenciales_Adquiridas,"Zen")+COUNTIF(Principal!V30:AE35,"Zen")&gt;0,1,0)</f>
        <v>0</v>
      </c>
      <c r="C64" s="1231" t="s">
        <v>1926</v>
      </c>
      <c r="D64" s="4764" t="s">
        <v>2002</v>
      </c>
      <c r="E64" s="4765"/>
      <c r="F64" s="4765"/>
      <c r="G64" s="4765"/>
      <c r="H64" s="1232">
        <f>IF(I64=0,40,"-")</f>
        <v>40</v>
      </c>
      <c r="I64" s="2538"/>
      <c r="J64" s="663"/>
      <c r="K64" s="1231" t="s">
        <v>1926</v>
      </c>
      <c r="L64" s="4764" t="s">
        <v>2002</v>
      </c>
      <c r="M64" s="4764"/>
      <c r="N64" s="4764"/>
      <c r="O64" s="4764"/>
      <c r="P64" s="1232">
        <f t="shared" ref="P64" si="6">IF(Q64=0,50,"-")</f>
        <v>50</v>
      </c>
      <c r="Q64" s="2538"/>
      <c r="R64" s="2716" t="b">
        <f>OR(Ki!$P64="-",Ki!$H64="-",Tablas!$H$1257&gt;0)</f>
        <v>0</v>
      </c>
      <c r="S64" s="2351"/>
      <c r="T64" s="2351"/>
      <c r="U64" s="1233"/>
      <c r="V64" s="4523" t="str">
        <f>IF(V63="","",VLOOKUP(V63,'Tablas Técnicas'!$AD$5:$AI$188,4,FALSE))</f>
        <v/>
      </c>
      <c r="W64" s="4482"/>
      <c r="X64" s="4482"/>
      <c r="Y64" s="4482"/>
      <c r="Z64" s="1234" t="s">
        <v>1627</v>
      </c>
      <c r="AA64" s="1255" t="str">
        <f>IF(V63="","",VLOOKUP(V63,'Tablas Técnicas'!$AD$5:$AI$188,2,FALSE))</f>
        <v/>
      </c>
      <c r="AB64" s="4763"/>
      <c r="AD64" s="4523" t="str">
        <f>IF(AD63="","",VLOOKUP(AD63,'Tablas Técnicas'!$AD$5:$AI$188,4,FALSE))</f>
        <v/>
      </c>
      <c r="AE64" s="4482"/>
      <c r="AF64" s="4482"/>
      <c r="AG64" s="4482"/>
      <c r="AH64" s="1234" t="s">
        <v>1627</v>
      </c>
      <c r="AI64" s="1255" t="str">
        <f>IF(AD63="","",VLOOKUP(AD63,'Tablas Técnicas'!$AD$5:$AI$188,2,FALSE))</f>
        <v/>
      </c>
      <c r="AJ64" s="4763"/>
      <c r="AK64" s="1131"/>
      <c r="AL64" s="1125"/>
      <c r="AM64" s="1173"/>
      <c r="AN64" s="1173"/>
      <c r="AO64" s="1173"/>
      <c r="AP64" s="1173"/>
      <c r="AQ64" s="1173"/>
      <c r="AR64" s="1173"/>
      <c r="AS64" s="1173"/>
      <c r="AT64" s="1173"/>
      <c r="AU64" s="1173"/>
    </row>
    <row r="65" spans="1:47" ht="12" customHeight="1" thickBot="1" x14ac:dyDescent="0.25">
      <c r="A65" s="1125"/>
      <c r="B65" s="2730"/>
      <c r="C65" s="1168"/>
      <c r="D65" s="1168"/>
      <c r="E65" s="1168"/>
      <c r="F65" s="1168"/>
      <c r="G65" s="1168"/>
      <c r="H65" s="1168"/>
      <c r="I65" s="1168"/>
      <c r="J65" s="2404"/>
      <c r="K65" s="1168"/>
      <c r="L65" s="1168"/>
      <c r="M65" s="1168"/>
      <c r="N65" s="1168"/>
      <c r="O65" s="1168"/>
      <c r="P65" s="1168"/>
      <c r="Q65" s="1168"/>
      <c r="R65" s="2717"/>
      <c r="S65" s="2351"/>
      <c r="T65" s="2351"/>
      <c r="U65" s="538"/>
      <c r="V65" s="1168"/>
      <c r="W65" s="1168"/>
      <c r="X65" s="1168"/>
      <c r="Y65" s="1168"/>
      <c r="Z65" s="1168"/>
      <c r="AA65" s="1168"/>
      <c r="AB65" s="1168"/>
      <c r="AC65" s="1168"/>
      <c r="AD65" s="1168"/>
      <c r="AE65" s="1168"/>
      <c r="AF65" s="1168"/>
      <c r="AG65" s="1168"/>
      <c r="AH65" s="1168"/>
      <c r="AI65" s="1168"/>
      <c r="AJ65" s="1168"/>
      <c r="AK65" s="1169"/>
      <c r="AL65" s="1125"/>
      <c r="AM65" s="1173"/>
      <c r="AN65" s="1173"/>
      <c r="AO65" s="1173"/>
      <c r="AP65" s="1173"/>
      <c r="AQ65" s="1173"/>
      <c r="AR65" s="1173"/>
      <c r="AS65" s="1173"/>
      <c r="AT65" s="1173"/>
      <c r="AU65" s="1173"/>
    </row>
    <row r="66" spans="1:47" ht="12" customHeight="1" x14ac:dyDescent="0.2">
      <c r="A66" s="1125"/>
      <c r="B66" s="2726"/>
      <c r="C66" s="1125"/>
      <c r="D66" s="1125"/>
      <c r="E66" s="1125"/>
      <c r="F66" s="1125"/>
      <c r="G66" s="1125"/>
      <c r="H66" s="1125"/>
      <c r="I66" s="1125"/>
      <c r="J66" s="2405"/>
      <c r="K66" s="1125"/>
      <c r="L66" s="1125"/>
      <c r="M66" s="1125"/>
      <c r="N66" s="1125"/>
      <c r="O66" s="1125"/>
      <c r="P66" s="1125"/>
      <c r="Q66" s="1125"/>
      <c r="R66" s="2718"/>
      <c r="S66" s="2351"/>
      <c r="T66" s="2351"/>
      <c r="U66" s="1125"/>
      <c r="V66" s="1125"/>
      <c r="W66" s="1125"/>
      <c r="X66" s="1125"/>
      <c r="Y66" s="1125"/>
      <c r="Z66" s="1125"/>
      <c r="AA66" s="1125"/>
      <c r="AB66" s="1125"/>
      <c r="AC66" s="1125"/>
      <c r="AD66" s="1125"/>
      <c r="AE66" s="1125"/>
      <c r="AF66" s="1125"/>
      <c r="AG66" s="1125"/>
      <c r="AH66" s="1125"/>
      <c r="AI66" s="1125"/>
      <c r="AJ66" s="1125"/>
      <c r="AK66" s="1125"/>
      <c r="AL66" s="1125"/>
      <c r="AM66" s="1173"/>
      <c r="AN66" s="1173"/>
      <c r="AO66" s="1173"/>
      <c r="AP66" s="1173"/>
      <c r="AQ66" s="1173"/>
      <c r="AR66" s="1173"/>
      <c r="AS66" s="1173"/>
      <c r="AT66" s="1173"/>
      <c r="AU66" s="1173"/>
    </row>
    <row r="67" spans="1:47" ht="12" customHeight="1" x14ac:dyDescent="0.2">
      <c r="A67" s="624"/>
      <c r="D67" s="624"/>
      <c r="E67" s="624"/>
      <c r="F67" s="624"/>
      <c r="G67" s="624"/>
      <c r="H67" s="624"/>
      <c r="I67" s="624"/>
      <c r="J67" s="1821"/>
      <c r="K67" s="624"/>
      <c r="L67" s="624"/>
      <c r="M67" s="624"/>
      <c r="N67" s="624"/>
      <c r="O67" s="624"/>
      <c r="P67" s="624"/>
      <c r="Q67" s="624"/>
      <c r="U67" s="1235"/>
      <c r="V67" s="563"/>
      <c r="W67" s="1236"/>
      <c r="X67" s="1236"/>
      <c r="Y67" s="1236"/>
      <c r="Z67" s="1184"/>
      <c r="AA67" s="1184"/>
      <c r="AB67" s="1184"/>
      <c r="AC67" s="1193"/>
      <c r="AD67" s="1228"/>
      <c r="AE67" s="1184"/>
      <c r="AF67" s="1173"/>
      <c r="AG67" s="1173"/>
      <c r="AH67" s="1173"/>
      <c r="AI67" s="1173"/>
      <c r="AJ67" s="1173"/>
      <c r="AK67" s="1173"/>
      <c r="AL67" s="1173"/>
      <c r="AM67" s="1173"/>
      <c r="AN67" s="1173"/>
      <c r="AO67" s="1173"/>
      <c r="AP67" s="1173"/>
      <c r="AQ67" s="1173"/>
      <c r="AR67" s="1173"/>
      <c r="AS67" s="1173"/>
      <c r="AT67" s="1173"/>
      <c r="AU67" s="1173"/>
    </row>
    <row r="68" spans="1:47" ht="12" customHeight="1" x14ac:dyDescent="0.2">
      <c r="A68" s="624"/>
      <c r="B68" s="2731"/>
      <c r="C68" s="563"/>
      <c r="D68" s="624"/>
      <c r="E68" s="1237"/>
      <c r="F68" s="1237"/>
      <c r="G68" s="624"/>
      <c r="H68" s="624"/>
      <c r="I68" s="624"/>
      <c r="J68" s="624"/>
      <c r="K68" s="624"/>
      <c r="L68" s="624"/>
      <c r="M68" s="624"/>
      <c r="N68" s="624"/>
      <c r="O68" s="624"/>
      <c r="P68" s="624"/>
      <c r="Q68" s="624"/>
      <c r="U68" s="1236"/>
      <c r="AC68" s="1193"/>
      <c r="AD68" s="1228"/>
      <c r="AE68" s="1184"/>
      <c r="AF68" s="1173"/>
      <c r="AG68" s="1238"/>
      <c r="AH68" s="1238"/>
      <c r="AI68" s="1238"/>
      <c r="AJ68" s="1239"/>
      <c r="AK68" s="1239"/>
      <c r="AL68" s="1239"/>
      <c r="AM68" s="1239"/>
      <c r="AN68" s="1173"/>
      <c r="AO68" s="1173"/>
      <c r="AP68" s="1173"/>
      <c r="AQ68" s="1173"/>
      <c r="AR68" s="1173"/>
      <c r="AS68" s="1173"/>
      <c r="AT68" s="1173"/>
      <c r="AU68" s="1173"/>
    </row>
    <row r="69" spans="1:47" ht="12" customHeight="1" x14ac:dyDescent="0.2">
      <c r="A69" s="624"/>
      <c r="B69" s="2731"/>
      <c r="J69" s="624"/>
      <c r="K69" s="624"/>
      <c r="L69" s="624"/>
      <c r="M69" s="624"/>
      <c r="N69" s="624"/>
      <c r="O69" s="624"/>
      <c r="P69" s="624"/>
      <c r="Q69" s="624"/>
      <c r="U69" s="1184"/>
      <c r="AC69" s="1173"/>
      <c r="AD69" s="1173"/>
      <c r="AE69" s="1184"/>
      <c r="AF69" s="1173"/>
      <c r="AG69" s="1238"/>
      <c r="AH69" s="1238"/>
      <c r="AI69" s="1238"/>
      <c r="AJ69" s="1239"/>
      <c r="AK69" s="1239"/>
      <c r="AL69" s="1239"/>
      <c r="AM69" s="1239"/>
      <c r="AN69" s="1173"/>
      <c r="AO69" s="1173"/>
      <c r="AP69" s="1173"/>
      <c r="AQ69" s="1173"/>
      <c r="AR69" s="1173"/>
      <c r="AS69" s="1173"/>
      <c r="AT69" s="1173"/>
      <c r="AU69" s="1173"/>
    </row>
    <row r="70" spans="1:47" ht="12" customHeight="1" x14ac:dyDescent="0.2">
      <c r="A70" s="624"/>
      <c r="B70" s="2731"/>
      <c r="C70" s="563"/>
      <c r="D70" s="624"/>
      <c r="E70" s="1235"/>
      <c r="F70" s="1237"/>
      <c r="G70" s="624"/>
      <c r="H70" s="624"/>
      <c r="I70" s="624"/>
      <c r="J70" s="624"/>
      <c r="K70" s="624"/>
      <c r="L70" s="624"/>
      <c r="M70" s="624"/>
      <c r="N70" s="624"/>
      <c r="O70" s="624"/>
      <c r="P70" s="624"/>
      <c r="Q70" s="624"/>
      <c r="U70" s="624"/>
      <c r="AC70" s="1173"/>
      <c r="AD70" s="1173"/>
      <c r="AE70" s="1173"/>
      <c r="AF70" s="1173"/>
      <c r="AG70" s="1173"/>
      <c r="AH70" s="1173"/>
      <c r="AI70" s="1173"/>
      <c r="AJ70" s="1173"/>
      <c r="AK70" s="1173"/>
      <c r="AL70" s="1173"/>
      <c r="AM70" s="1173"/>
      <c r="AN70" s="1173"/>
      <c r="AO70" s="1173"/>
      <c r="AP70" s="1173"/>
      <c r="AQ70" s="1173"/>
      <c r="AR70" s="1173"/>
      <c r="AS70" s="1173"/>
      <c r="AT70" s="1173"/>
      <c r="AU70" s="1173"/>
    </row>
    <row r="71" spans="1:47" ht="12" customHeight="1" x14ac:dyDescent="0.2">
      <c r="A71" s="624"/>
      <c r="B71" s="2731"/>
      <c r="C71" s="563"/>
      <c r="D71" s="624"/>
      <c r="E71" s="1235"/>
      <c r="F71" s="1237"/>
      <c r="G71" s="624"/>
      <c r="H71" s="624"/>
      <c r="I71" s="624"/>
      <c r="J71" s="624"/>
      <c r="K71" s="624"/>
      <c r="L71" s="624"/>
      <c r="M71" s="624"/>
      <c r="N71" s="624"/>
      <c r="O71" s="624"/>
      <c r="P71" s="624"/>
      <c r="Q71" s="624"/>
      <c r="U71" s="624"/>
      <c r="AC71" s="1173"/>
      <c r="AD71" s="1173"/>
      <c r="AE71" s="1173"/>
      <c r="AF71" s="1173"/>
      <c r="AG71" s="1173"/>
      <c r="AH71" s="1173"/>
      <c r="AI71" s="1173"/>
      <c r="AJ71" s="1173"/>
      <c r="AK71" s="1173"/>
      <c r="AL71" s="1173"/>
      <c r="AM71" s="1173"/>
      <c r="AN71" s="1173"/>
      <c r="AO71" s="1173"/>
      <c r="AP71" s="1173"/>
      <c r="AQ71" s="1173"/>
      <c r="AR71" s="1173"/>
      <c r="AS71" s="1173"/>
      <c r="AT71" s="1173"/>
      <c r="AU71" s="1173"/>
    </row>
    <row r="72" spans="1:47" ht="12" customHeight="1" x14ac:dyDescent="0.2">
      <c r="A72" s="624"/>
      <c r="B72" s="2731"/>
      <c r="C72" s="1235"/>
      <c r="D72" s="624"/>
      <c r="E72" s="1235"/>
      <c r="F72" s="1237"/>
      <c r="G72" s="624"/>
      <c r="H72" s="1240"/>
      <c r="I72" s="624"/>
      <c r="J72" s="624"/>
      <c r="K72" s="624"/>
      <c r="L72" s="624"/>
      <c r="M72" s="624"/>
      <c r="N72" s="624"/>
      <c r="O72" s="624"/>
      <c r="P72" s="624"/>
      <c r="Q72" s="624"/>
      <c r="U72" s="624"/>
      <c r="AC72" s="1173"/>
      <c r="AD72" s="1173"/>
      <c r="AE72" s="1173"/>
      <c r="AF72" s="1173"/>
      <c r="AG72" s="1173"/>
      <c r="AH72" s="1173"/>
      <c r="AI72" s="1173"/>
      <c r="AJ72" s="1173"/>
      <c r="AK72" s="1173"/>
      <c r="AL72" s="1173"/>
      <c r="AM72" s="1173"/>
      <c r="AN72" s="1173"/>
      <c r="AO72" s="1173"/>
      <c r="AP72" s="1173"/>
      <c r="AQ72" s="1173"/>
      <c r="AR72" s="1173"/>
      <c r="AS72" s="1173"/>
      <c r="AT72" s="1173"/>
      <c r="AU72" s="1173"/>
    </row>
    <row r="73" spans="1:47" ht="12" customHeight="1" x14ac:dyDescent="0.2">
      <c r="A73" s="624"/>
      <c r="B73" s="2731"/>
      <c r="C73" s="1235"/>
      <c r="D73" s="624"/>
      <c r="E73" s="1235"/>
      <c r="F73" s="1237"/>
      <c r="G73" s="624"/>
      <c r="H73" s="1240"/>
      <c r="I73" s="624"/>
      <c r="J73" s="624"/>
      <c r="K73" s="624"/>
      <c r="L73" s="624"/>
      <c r="M73" s="624"/>
      <c r="N73" s="624"/>
      <c r="O73" s="624"/>
      <c r="P73" s="624"/>
      <c r="Q73" s="624"/>
      <c r="U73" s="624"/>
      <c r="AC73" s="1173"/>
      <c r="AD73" s="1173"/>
      <c r="AE73" s="1173"/>
      <c r="AF73" s="1173"/>
      <c r="AG73" s="1173"/>
      <c r="AH73" s="1173"/>
      <c r="AI73" s="1173"/>
      <c r="AJ73" s="1173"/>
      <c r="AK73" s="1173"/>
      <c r="AL73" s="1173"/>
      <c r="AM73" s="1173"/>
      <c r="AN73" s="1173"/>
      <c r="AO73" s="1173"/>
      <c r="AP73" s="1173"/>
      <c r="AQ73" s="1173"/>
      <c r="AR73" s="1173"/>
      <c r="AS73" s="1173"/>
      <c r="AT73" s="1173"/>
      <c r="AU73" s="1173"/>
    </row>
    <row r="74" spans="1:47" ht="12" customHeight="1" x14ac:dyDescent="0.2">
      <c r="A74" s="624"/>
      <c r="B74" s="2731"/>
      <c r="C74" s="563"/>
      <c r="D74" s="624"/>
      <c r="E74" s="1235"/>
      <c r="F74" s="1237"/>
      <c r="G74" s="624"/>
      <c r="H74" s="1240"/>
      <c r="I74" s="624"/>
      <c r="J74" s="624"/>
      <c r="K74" s="624"/>
      <c r="L74" s="624"/>
      <c r="M74" s="624"/>
      <c r="N74" s="624"/>
      <c r="O74" s="624"/>
      <c r="P74" s="624"/>
      <c r="Q74" s="624"/>
      <c r="AC74" s="1173"/>
      <c r="AD74" s="1173"/>
      <c r="AE74" s="1173"/>
      <c r="AF74" s="1173"/>
      <c r="AG74" s="1173"/>
      <c r="AH74" s="1173"/>
      <c r="AI74" s="1173"/>
      <c r="AJ74" s="1173"/>
      <c r="AK74" s="1173"/>
      <c r="AL74" s="1173"/>
      <c r="AM74" s="1173"/>
      <c r="AN74" s="1173"/>
      <c r="AO74" s="1173"/>
      <c r="AP74" s="1173"/>
      <c r="AQ74" s="1173"/>
      <c r="AR74" s="1173"/>
      <c r="AS74" s="1173"/>
      <c r="AT74" s="1173"/>
      <c r="AU74" s="1173"/>
    </row>
    <row r="75" spans="1:47" ht="12" customHeight="1" x14ac:dyDescent="0.2">
      <c r="A75" s="624"/>
      <c r="B75" s="2731"/>
      <c r="C75" s="1235"/>
      <c r="D75" s="624"/>
      <c r="E75" s="1235"/>
      <c r="F75" s="1237"/>
      <c r="G75" s="624"/>
      <c r="H75" s="1240"/>
      <c r="I75" s="624"/>
      <c r="J75" s="624"/>
      <c r="K75" s="624"/>
      <c r="L75" s="624"/>
      <c r="M75" s="624"/>
      <c r="N75" s="624"/>
      <c r="O75" s="624"/>
      <c r="AC75" s="1173"/>
      <c r="AD75" s="1173"/>
      <c r="AE75" s="1173"/>
      <c r="AF75" s="1173"/>
      <c r="AG75" s="1173"/>
      <c r="AH75" s="1173"/>
      <c r="AI75" s="1173"/>
      <c r="AJ75" s="1173"/>
      <c r="AK75" s="1173"/>
      <c r="AL75" s="1173"/>
      <c r="AM75" s="1173"/>
      <c r="AN75" s="1173"/>
      <c r="AO75" s="1173"/>
      <c r="AP75" s="1173"/>
      <c r="AQ75" s="1173"/>
      <c r="AR75" s="1173"/>
      <c r="AS75" s="1173"/>
      <c r="AT75" s="1173"/>
      <c r="AU75" s="1173"/>
    </row>
    <row r="76" spans="1:47" ht="12" customHeight="1" x14ac:dyDescent="0.2">
      <c r="A76" s="624"/>
      <c r="B76" s="2731"/>
      <c r="C76" s="563"/>
      <c r="D76" s="624"/>
      <c r="E76" s="1235"/>
      <c r="F76" s="1237"/>
      <c r="G76" s="624"/>
      <c r="H76" s="1240"/>
      <c r="I76" s="624"/>
      <c r="J76" s="624"/>
      <c r="K76" s="624"/>
      <c r="L76" s="624"/>
      <c r="M76" s="624"/>
      <c r="N76" s="624"/>
      <c r="O76" s="624"/>
      <c r="AC76" s="1173"/>
      <c r="AD76" s="1173"/>
      <c r="AE76" s="1173"/>
      <c r="AF76" s="1173"/>
      <c r="AG76" s="1173"/>
      <c r="AH76" s="1173"/>
      <c r="AI76" s="1173"/>
      <c r="AJ76" s="1173"/>
      <c r="AK76" s="1173"/>
      <c r="AL76" s="1173"/>
      <c r="AM76" s="1173"/>
      <c r="AN76" s="1173"/>
      <c r="AO76" s="1173"/>
      <c r="AP76" s="1173"/>
      <c r="AQ76" s="1173"/>
      <c r="AR76" s="1173"/>
      <c r="AS76" s="1173"/>
      <c r="AT76" s="1173"/>
      <c r="AU76" s="1173"/>
    </row>
    <row r="77" spans="1:47" ht="12" customHeight="1" x14ac:dyDescent="0.2">
      <c r="A77" s="624"/>
      <c r="B77" s="2731"/>
      <c r="C77" s="563"/>
      <c r="D77" s="579"/>
      <c r="E77" s="1235"/>
      <c r="F77" s="1237"/>
      <c r="G77" s="624"/>
      <c r="H77" s="1240"/>
      <c r="I77" s="624"/>
      <c r="J77" s="624"/>
      <c r="K77" s="624"/>
      <c r="L77" s="624"/>
      <c r="M77" s="624"/>
      <c r="N77" s="624"/>
      <c r="O77" s="624"/>
      <c r="AC77" s="1173"/>
      <c r="AD77" s="1173"/>
      <c r="AE77" s="1173"/>
      <c r="AF77" s="1173"/>
      <c r="AG77" s="1173"/>
      <c r="AH77" s="1173"/>
      <c r="AI77" s="1173"/>
      <c r="AJ77" s="1173"/>
      <c r="AK77" s="1173"/>
      <c r="AL77" s="1173"/>
      <c r="AM77" s="1173"/>
      <c r="AN77" s="1173"/>
      <c r="AO77" s="1173"/>
      <c r="AP77" s="1173"/>
      <c r="AQ77" s="1173"/>
      <c r="AR77" s="1173"/>
      <c r="AS77" s="1173"/>
      <c r="AT77" s="1173"/>
      <c r="AU77" s="1173"/>
    </row>
    <row r="78" spans="1:47" ht="12" customHeight="1" x14ac:dyDescent="0.2">
      <c r="A78" s="624"/>
      <c r="B78" s="2731"/>
      <c r="C78" s="563"/>
      <c r="D78" s="624"/>
      <c r="E78" s="1235"/>
      <c r="F78" s="1237"/>
      <c r="G78" s="624"/>
      <c r="H78" s="1240"/>
      <c r="I78" s="624"/>
      <c r="J78" s="624"/>
      <c r="K78" s="624"/>
      <c r="L78" s="624"/>
      <c r="M78" s="624"/>
      <c r="N78" s="624"/>
      <c r="O78" s="624"/>
      <c r="AD78" s="1173"/>
      <c r="AE78" s="1173"/>
      <c r="AF78" s="1173"/>
      <c r="AG78" s="1173"/>
      <c r="AH78" s="1173"/>
      <c r="AI78" s="1173"/>
      <c r="AJ78" s="1173"/>
      <c r="AK78" s="1173"/>
      <c r="AL78" s="1173"/>
      <c r="AM78" s="1173"/>
      <c r="AN78" s="1173"/>
      <c r="AO78" s="1173"/>
      <c r="AP78" s="1173"/>
      <c r="AQ78" s="1173"/>
      <c r="AR78" s="1173"/>
      <c r="AS78" s="1173"/>
      <c r="AT78" s="1173"/>
      <c r="AU78" s="1173"/>
    </row>
    <row r="79" spans="1:47" ht="12" customHeight="1" x14ac:dyDescent="0.2">
      <c r="A79" s="624"/>
      <c r="B79" s="2731"/>
      <c r="C79" s="563"/>
      <c r="D79" s="624"/>
      <c r="E79" s="1235"/>
      <c r="F79" s="1237"/>
      <c r="G79" s="624"/>
      <c r="H79" s="624"/>
      <c r="I79" s="624"/>
      <c r="J79" s="624"/>
      <c r="K79" s="624"/>
      <c r="L79" s="624"/>
      <c r="M79" s="624"/>
      <c r="N79" s="624"/>
      <c r="O79" s="624"/>
      <c r="AD79" s="1173"/>
      <c r="AE79" s="1173"/>
      <c r="AF79" s="1173"/>
      <c r="AG79" s="1173"/>
      <c r="AH79" s="1173"/>
      <c r="AI79" s="1173"/>
      <c r="AJ79" s="1173"/>
      <c r="AK79" s="1173"/>
      <c r="AL79" s="1173"/>
      <c r="AM79" s="1173"/>
      <c r="AN79" s="1173"/>
      <c r="AO79" s="1173"/>
      <c r="AP79" s="1173"/>
      <c r="AQ79" s="1173"/>
      <c r="AR79" s="1173"/>
      <c r="AS79" s="1173"/>
      <c r="AT79" s="1173"/>
      <c r="AU79" s="1173"/>
    </row>
    <row r="80" spans="1:47" ht="12" customHeight="1" x14ac:dyDescent="0.2">
      <c r="A80" s="624"/>
      <c r="B80" s="2731"/>
      <c r="C80" s="563"/>
      <c r="D80" s="624"/>
      <c r="E80" s="1235"/>
      <c r="F80" s="1237"/>
      <c r="G80" s="624"/>
      <c r="H80" s="624"/>
      <c r="I80" s="624"/>
      <c r="J80" s="624"/>
      <c r="K80" s="624"/>
      <c r="L80" s="624"/>
      <c r="M80" s="624"/>
      <c r="N80" s="624"/>
      <c r="O80" s="624"/>
      <c r="AE80" s="1173"/>
      <c r="AF80" s="1173"/>
      <c r="AG80" s="1173"/>
      <c r="AH80" s="1173"/>
      <c r="AI80" s="1173"/>
      <c r="AJ80" s="1173"/>
      <c r="AK80" s="1173"/>
      <c r="AL80" s="1173"/>
      <c r="AM80" s="1173"/>
      <c r="AN80" s="1173"/>
      <c r="AO80" s="1173"/>
      <c r="AP80" s="1173"/>
      <c r="AQ80" s="1173"/>
      <c r="AR80" s="1173"/>
      <c r="AS80" s="1173"/>
      <c r="AT80" s="1173"/>
      <c r="AU80" s="1173"/>
    </row>
    <row r="81" spans="1:47" ht="12" customHeight="1" x14ac:dyDescent="0.2">
      <c r="A81" s="624"/>
      <c r="B81" s="2731"/>
      <c r="C81" s="563"/>
      <c r="D81" s="624"/>
      <c r="E81" s="1235"/>
      <c r="F81" s="1237"/>
      <c r="G81" s="624"/>
      <c r="H81" s="624"/>
      <c r="I81" s="624"/>
      <c r="J81" s="624"/>
      <c r="K81" s="624"/>
      <c r="L81" s="624"/>
      <c r="M81" s="624"/>
      <c r="N81" s="624"/>
      <c r="O81" s="624"/>
      <c r="W81" s="624"/>
      <c r="X81" s="624"/>
      <c r="Y81" s="624"/>
      <c r="AD81" s="1173"/>
      <c r="AE81" s="1173"/>
      <c r="AF81" s="1173"/>
      <c r="AG81" s="1173"/>
      <c r="AH81" s="1173"/>
      <c r="AI81" s="1173"/>
      <c r="AJ81" s="1173"/>
      <c r="AK81" s="1173"/>
      <c r="AL81" s="1173"/>
      <c r="AM81" s="1173"/>
      <c r="AN81" s="1173"/>
      <c r="AO81" s="1173"/>
      <c r="AP81" s="1173"/>
      <c r="AQ81" s="1173"/>
      <c r="AR81" s="1173"/>
      <c r="AS81" s="1173"/>
      <c r="AT81" s="1173"/>
      <c r="AU81" s="1173"/>
    </row>
    <row r="82" spans="1:47" ht="12" customHeight="1" x14ac:dyDescent="0.2">
      <c r="A82" s="624"/>
      <c r="B82" s="2731"/>
      <c r="C82" s="563"/>
      <c r="D82" s="624"/>
      <c r="E82" s="1235"/>
      <c r="F82" s="1237"/>
      <c r="G82" s="624"/>
      <c r="H82" s="624"/>
      <c r="I82" s="624"/>
      <c r="J82" s="624"/>
      <c r="K82" s="624"/>
      <c r="L82" s="624"/>
      <c r="M82" s="624"/>
      <c r="N82" s="624"/>
      <c r="O82" s="624"/>
      <c r="AK82" s="1173"/>
      <c r="AL82" s="1173"/>
      <c r="AM82" s="1173"/>
      <c r="AN82" s="1173"/>
      <c r="AO82" s="1173"/>
      <c r="AP82" s="1173"/>
      <c r="AQ82" s="1173"/>
      <c r="AR82" s="1173"/>
      <c r="AS82" s="1173"/>
      <c r="AT82" s="1173"/>
      <c r="AU82" s="1173"/>
    </row>
    <row r="83" spans="1:47" ht="12" customHeight="1" x14ac:dyDescent="0.2">
      <c r="A83" s="624"/>
      <c r="B83" s="2731"/>
      <c r="C83" s="563"/>
      <c r="D83" s="624"/>
      <c r="E83" s="1235"/>
      <c r="F83" s="1237"/>
      <c r="G83" s="624"/>
      <c r="H83" s="624"/>
      <c r="I83" s="624"/>
      <c r="J83" s="624"/>
      <c r="K83" s="624"/>
      <c r="L83" s="624"/>
      <c r="M83" s="624"/>
      <c r="N83" s="624"/>
      <c r="O83" s="624"/>
    </row>
    <row r="84" spans="1:47" ht="12" customHeight="1" x14ac:dyDescent="0.2">
      <c r="A84" s="624"/>
      <c r="B84" s="2731"/>
      <c r="C84" s="563"/>
      <c r="D84" s="624"/>
      <c r="E84" s="1235"/>
      <c r="F84" s="1237"/>
      <c r="G84" s="624"/>
      <c r="H84" s="624"/>
      <c r="I84" s="624"/>
      <c r="J84" s="624"/>
      <c r="K84" s="624"/>
      <c r="L84" s="624"/>
      <c r="M84" s="624"/>
      <c r="N84" s="624"/>
      <c r="O84" s="624"/>
    </row>
    <row r="85" spans="1:47" ht="12" customHeight="1" x14ac:dyDescent="0.2">
      <c r="A85" s="624"/>
      <c r="B85" s="2731"/>
      <c r="C85" s="563"/>
      <c r="D85" s="624"/>
      <c r="E85" s="1237"/>
      <c r="F85" s="1237"/>
      <c r="G85" s="624"/>
      <c r="H85" s="624"/>
      <c r="I85" s="624"/>
      <c r="J85" s="624"/>
      <c r="K85" s="624"/>
      <c r="L85" s="624"/>
      <c r="M85" s="624"/>
      <c r="N85" s="624"/>
      <c r="O85" s="624"/>
    </row>
    <row r="86" spans="1:47" ht="12" customHeight="1" x14ac:dyDescent="0.2">
      <c r="A86" s="624"/>
      <c r="B86" s="2731"/>
      <c r="C86" s="1235"/>
      <c r="D86" s="624"/>
      <c r="E86" s="1235"/>
      <c r="F86" s="1237"/>
      <c r="G86" s="624"/>
      <c r="H86" s="624"/>
      <c r="I86" s="624"/>
      <c r="J86" s="624"/>
      <c r="K86" s="624"/>
      <c r="L86" s="624"/>
      <c r="M86" s="624"/>
      <c r="N86" s="624"/>
      <c r="O86" s="624"/>
      <c r="P86" s="624"/>
      <c r="Q86" s="624"/>
      <c r="U86" s="624"/>
    </row>
    <row r="87" spans="1:47" ht="12" customHeight="1" x14ac:dyDescent="0.2">
      <c r="A87" s="624"/>
      <c r="B87" s="2731"/>
      <c r="C87" s="563"/>
      <c r="D87" s="624"/>
      <c r="E87" s="1235"/>
      <c r="F87" s="1237"/>
      <c r="G87" s="624"/>
      <c r="H87" s="624"/>
      <c r="I87" s="624"/>
      <c r="J87" s="624"/>
      <c r="K87" s="624"/>
      <c r="L87" s="624"/>
      <c r="M87" s="624"/>
      <c r="N87" s="624"/>
      <c r="O87" s="624"/>
      <c r="P87" s="624"/>
      <c r="Q87" s="624"/>
      <c r="U87" s="624"/>
    </row>
    <row r="88" spans="1:47" ht="12" customHeight="1" x14ac:dyDescent="0.2">
      <c r="A88" s="624"/>
      <c r="B88" s="2731"/>
      <c r="C88" s="563"/>
      <c r="D88" s="624"/>
      <c r="E88" s="1235"/>
      <c r="F88" s="1237"/>
      <c r="G88" s="624"/>
      <c r="H88" s="624"/>
      <c r="I88" s="624"/>
      <c r="J88" s="624"/>
      <c r="K88" s="624"/>
      <c r="L88" s="624"/>
      <c r="M88" s="624"/>
      <c r="N88" s="624"/>
      <c r="O88" s="624"/>
      <c r="P88" s="624"/>
      <c r="Q88" s="624"/>
      <c r="U88" s="624"/>
    </row>
    <row r="89" spans="1:47" ht="12" customHeight="1" x14ac:dyDescent="0.2">
      <c r="A89" s="624"/>
      <c r="B89" s="2731"/>
      <c r="C89" s="563"/>
      <c r="D89" s="624"/>
      <c r="E89" s="1184"/>
      <c r="F89" s="624"/>
      <c r="G89" s="624"/>
      <c r="H89" s="624"/>
      <c r="I89" s="624"/>
      <c r="J89" s="624"/>
      <c r="K89" s="624"/>
      <c r="L89" s="624"/>
      <c r="M89" s="624"/>
      <c r="N89" s="624"/>
      <c r="O89" s="624"/>
    </row>
    <row r="90" spans="1:47" ht="12" customHeight="1" x14ac:dyDescent="0.2">
      <c r="A90" s="624"/>
      <c r="B90" s="2731"/>
      <c r="C90" s="563"/>
      <c r="D90" s="624"/>
      <c r="E90" s="624"/>
      <c r="F90" s="624"/>
      <c r="G90" s="624"/>
      <c r="H90" s="624"/>
      <c r="I90" s="624"/>
      <c r="J90" s="624"/>
      <c r="K90" s="624"/>
      <c r="L90" s="624"/>
      <c r="M90" s="624"/>
      <c r="N90" s="624"/>
      <c r="O90" s="624"/>
    </row>
    <row r="91" spans="1:47" ht="12" customHeight="1" x14ac:dyDescent="0.2">
      <c r="A91" s="624"/>
      <c r="B91" s="2731"/>
      <c r="C91" s="563"/>
      <c r="D91" s="624"/>
      <c r="E91" s="624"/>
      <c r="F91" s="624"/>
      <c r="G91" s="624"/>
      <c r="H91" s="624"/>
      <c r="I91" s="624"/>
      <c r="J91" s="624"/>
      <c r="K91" s="624"/>
      <c r="L91" s="624"/>
      <c r="M91" s="624"/>
      <c r="N91" s="624"/>
      <c r="O91" s="624"/>
    </row>
    <row r="92" spans="1:47" ht="12" customHeight="1" x14ac:dyDescent="0.2">
      <c r="A92" s="624"/>
      <c r="B92" s="2731"/>
      <c r="C92" s="563"/>
      <c r="D92" s="624"/>
      <c r="E92" s="624"/>
      <c r="F92" s="624"/>
      <c r="G92" s="624"/>
      <c r="H92" s="624"/>
      <c r="I92" s="624"/>
      <c r="J92" s="624"/>
      <c r="K92" s="624"/>
      <c r="L92" s="624"/>
      <c r="M92" s="624"/>
      <c r="N92" s="624"/>
      <c r="O92" s="624"/>
      <c r="AA92" s="1185"/>
      <c r="AB92" s="1185"/>
      <c r="AC92" s="1193"/>
      <c r="AD92" s="1228"/>
      <c r="AE92" s="1184"/>
      <c r="AF92" s="1173"/>
      <c r="AG92" s="1173"/>
      <c r="AH92" s="1173"/>
      <c r="AI92" s="1173"/>
      <c r="AJ92" s="1173"/>
    </row>
    <row r="93" spans="1:47" ht="12" customHeight="1" x14ac:dyDescent="0.2">
      <c r="A93" s="624"/>
      <c r="B93" s="2731"/>
      <c r="C93" s="563"/>
      <c r="D93" s="624"/>
      <c r="E93" s="624"/>
      <c r="F93" s="624"/>
      <c r="G93" s="624"/>
      <c r="H93" s="624"/>
      <c r="I93" s="624"/>
      <c r="J93" s="624"/>
      <c r="K93" s="624"/>
      <c r="L93" s="624"/>
      <c r="M93" s="624"/>
      <c r="N93" s="624"/>
      <c r="O93" s="624"/>
    </row>
    <row r="94" spans="1:47" ht="12" customHeight="1" x14ac:dyDescent="0.2">
      <c r="A94" s="624"/>
      <c r="B94" s="2731"/>
      <c r="C94" s="563"/>
      <c r="D94" s="579"/>
      <c r="E94" s="1237"/>
      <c r="F94" s="579"/>
      <c r="G94" s="579"/>
      <c r="H94" s="579"/>
      <c r="I94" s="624"/>
      <c r="J94" s="624"/>
      <c r="K94" s="624"/>
      <c r="L94" s="624"/>
      <c r="M94" s="624"/>
      <c r="N94" s="624"/>
      <c r="O94" s="624"/>
    </row>
    <row r="95" spans="1:47" ht="12" customHeight="1" x14ac:dyDescent="0.2">
      <c r="A95" s="624"/>
      <c r="B95" s="2731"/>
      <c r="C95" s="563"/>
      <c r="D95" s="579"/>
      <c r="E95" s="1235"/>
      <c r="F95" s="579"/>
      <c r="G95" s="579"/>
      <c r="H95" s="579"/>
      <c r="I95" s="624"/>
      <c r="J95" s="624"/>
      <c r="K95" s="624"/>
      <c r="L95" s="624"/>
      <c r="M95" s="624"/>
      <c r="N95" s="624"/>
      <c r="O95" s="624"/>
    </row>
    <row r="96" spans="1:47" ht="12" customHeight="1" x14ac:dyDescent="0.2">
      <c r="A96" s="624"/>
      <c r="B96" s="2731"/>
      <c r="C96" s="563"/>
      <c r="D96" s="579"/>
      <c r="E96" s="1235"/>
      <c r="F96" s="624"/>
      <c r="G96" s="1194"/>
      <c r="H96" s="624"/>
      <c r="I96" s="624"/>
      <c r="J96" s="624"/>
      <c r="K96" s="624"/>
      <c r="L96" s="624"/>
      <c r="M96" s="624"/>
      <c r="N96" s="624"/>
      <c r="O96" s="624"/>
    </row>
    <row r="97" spans="1:15" ht="12" customHeight="1" x14ac:dyDescent="0.2">
      <c r="A97" s="624"/>
      <c r="B97" s="2731"/>
      <c r="C97" s="563"/>
      <c r="D97" s="579"/>
      <c r="E97" s="1235"/>
      <c r="F97" s="624"/>
      <c r="G97" s="579"/>
      <c r="H97" s="624"/>
      <c r="I97" s="624"/>
      <c r="J97" s="624"/>
      <c r="K97" s="624"/>
      <c r="L97" s="624"/>
      <c r="M97" s="624"/>
      <c r="N97" s="624"/>
      <c r="O97" s="624"/>
    </row>
    <row r="98" spans="1:15" ht="12" customHeight="1" x14ac:dyDescent="0.2">
      <c r="A98" s="624"/>
      <c r="B98" s="2731"/>
      <c r="C98" s="563"/>
      <c r="D98" s="579"/>
      <c r="E98" s="1235"/>
      <c r="F98" s="624"/>
      <c r="G98" s="579"/>
      <c r="H98" s="624"/>
      <c r="I98" s="624"/>
      <c r="J98" s="624"/>
      <c r="K98" s="624"/>
      <c r="L98" s="624"/>
      <c r="M98" s="624"/>
      <c r="N98" s="624"/>
      <c r="O98" s="624"/>
    </row>
    <row r="99" spans="1:15" ht="12" customHeight="1" x14ac:dyDescent="0.2">
      <c r="A99" s="624"/>
      <c r="B99" s="2731"/>
      <c r="C99" s="1235"/>
      <c r="D99" s="579"/>
      <c r="E99" s="1235"/>
      <c r="F99" s="624"/>
      <c r="G99" s="579"/>
      <c r="H99" s="624"/>
      <c r="I99" s="624"/>
      <c r="J99" s="624"/>
      <c r="K99" s="624"/>
      <c r="L99" s="624"/>
      <c r="M99" s="624"/>
      <c r="N99" s="624"/>
      <c r="O99" s="624"/>
    </row>
    <row r="100" spans="1:15" ht="12" customHeight="1" x14ac:dyDescent="0.2">
      <c r="A100" s="624"/>
      <c r="B100" s="2731"/>
      <c r="C100" s="563"/>
      <c r="D100" s="579"/>
      <c r="E100" s="579"/>
      <c r="F100" s="579"/>
      <c r="G100" s="1241"/>
      <c r="H100" s="624"/>
      <c r="I100" s="624"/>
      <c r="J100" s="624"/>
      <c r="K100" s="624"/>
      <c r="L100" s="624"/>
      <c r="M100" s="624"/>
      <c r="N100" s="624"/>
      <c r="O100" s="624"/>
    </row>
    <row r="101" spans="1:15" ht="12" customHeight="1" x14ac:dyDescent="0.2">
      <c r="A101" s="624"/>
      <c r="B101" s="2731"/>
      <c r="C101" s="1235"/>
      <c r="D101" s="579"/>
      <c r="E101" s="579"/>
      <c r="F101" s="579"/>
      <c r="G101" s="579"/>
      <c r="H101" s="624"/>
      <c r="I101" s="624"/>
      <c r="J101" s="624"/>
      <c r="K101" s="624"/>
      <c r="L101" s="624"/>
      <c r="M101" s="624"/>
      <c r="N101" s="624"/>
      <c r="O101" s="624"/>
    </row>
    <row r="102" spans="1:15" ht="12" customHeight="1" x14ac:dyDescent="0.2">
      <c r="A102" s="624"/>
      <c r="B102" s="2731"/>
      <c r="C102" s="1235"/>
      <c r="D102" s="579"/>
      <c r="E102" s="579"/>
      <c r="F102" s="579"/>
      <c r="G102" s="579"/>
      <c r="H102" s="624"/>
      <c r="I102" s="624"/>
      <c r="J102" s="624"/>
      <c r="K102" s="624"/>
      <c r="L102" s="624"/>
      <c r="M102" s="624"/>
      <c r="N102" s="624"/>
      <c r="O102" s="624"/>
    </row>
    <row r="103" spans="1:15" ht="12" customHeight="1" x14ac:dyDescent="0.2">
      <c r="A103" s="624"/>
      <c r="B103" s="2731"/>
      <c r="C103" s="1235"/>
      <c r="D103" s="579"/>
      <c r="E103" s="579"/>
      <c r="F103" s="579"/>
      <c r="G103" s="579"/>
      <c r="H103" s="624"/>
      <c r="I103" s="624"/>
      <c r="J103" s="624"/>
      <c r="K103" s="624"/>
      <c r="L103" s="624"/>
      <c r="M103" s="624"/>
      <c r="N103" s="624"/>
      <c r="O103" s="624"/>
    </row>
    <row r="104" spans="1:15" ht="12" customHeight="1" x14ac:dyDescent="0.2">
      <c r="A104" s="624"/>
      <c r="B104" s="2731"/>
      <c r="C104" s="563"/>
      <c r="D104" s="579"/>
      <c r="E104" s="1185"/>
      <c r="F104" s="579"/>
      <c r="G104" s="579"/>
      <c r="H104" s="624"/>
      <c r="I104" s="624"/>
      <c r="J104" s="624"/>
      <c r="K104" s="624"/>
      <c r="L104" s="624"/>
      <c r="M104" s="624"/>
      <c r="N104" s="624"/>
      <c r="O104" s="624"/>
    </row>
    <row r="105" spans="1:15" ht="12" customHeight="1" x14ac:dyDescent="0.2">
      <c r="A105" s="624"/>
      <c r="B105" s="2731"/>
      <c r="C105" s="1235"/>
      <c r="D105" s="579"/>
      <c r="E105" s="1242"/>
      <c r="F105" s="579"/>
      <c r="G105" s="579"/>
      <c r="H105" s="624"/>
      <c r="I105" s="624"/>
      <c r="J105" s="624"/>
      <c r="K105" s="624"/>
      <c r="L105" s="624"/>
      <c r="M105" s="624"/>
      <c r="N105" s="624"/>
      <c r="O105" s="624"/>
    </row>
    <row r="106" spans="1:15" ht="12" customHeight="1" x14ac:dyDescent="0.2">
      <c r="A106" s="624"/>
      <c r="B106" s="2731"/>
      <c r="C106" s="563"/>
      <c r="D106" s="579"/>
      <c r="E106" s="1243"/>
      <c r="F106" s="579"/>
      <c r="G106" s="579"/>
      <c r="H106" s="624"/>
      <c r="I106" s="624"/>
      <c r="J106" s="624"/>
      <c r="K106" s="624"/>
      <c r="L106" s="624"/>
      <c r="M106" s="624"/>
      <c r="N106" s="624"/>
      <c r="O106" s="624"/>
    </row>
    <row r="107" spans="1:15" ht="12" customHeight="1" x14ac:dyDescent="0.2">
      <c r="A107" s="624"/>
      <c r="B107" s="2731"/>
      <c r="C107" s="1235"/>
      <c r="D107" s="579"/>
      <c r="E107" s="579"/>
      <c r="F107" s="579"/>
      <c r="G107" s="579"/>
      <c r="H107" s="624"/>
      <c r="I107" s="624"/>
      <c r="J107" s="624"/>
      <c r="K107" s="624"/>
      <c r="L107" s="624"/>
      <c r="M107" s="624"/>
      <c r="N107" s="624"/>
      <c r="O107" s="624"/>
    </row>
    <row r="108" spans="1:15" ht="12" customHeight="1" x14ac:dyDescent="0.2">
      <c r="A108" s="624"/>
      <c r="B108" s="2731"/>
      <c r="C108" s="563"/>
      <c r="D108" s="579"/>
      <c r="E108" s="579"/>
      <c r="F108" s="579"/>
      <c r="G108" s="579"/>
      <c r="H108" s="624"/>
      <c r="I108" s="624"/>
      <c r="J108" s="624"/>
      <c r="K108" s="624"/>
      <c r="L108" s="624"/>
      <c r="M108" s="624"/>
      <c r="N108" s="624"/>
      <c r="O108" s="624"/>
    </row>
    <row r="109" spans="1:15" ht="12" customHeight="1" x14ac:dyDescent="0.2">
      <c r="A109" s="624"/>
      <c r="B109" s="2731"/>
      <c r="C109" s="1235"/>
      <c r="D109" s="579"/>
      <c r="E109" s="1171"/>
      <c r="F109" s="579"/>
      <c r="G109" s="579"/>
      <c r="H109" s="624"/>
      <c r="I109" s="624"/>
      <c r="J109" s="624"/>
      <c r="K109" s="624"/>
      <c r="L109" s="624"/>
      <c r="M109" s="624"/>
      <c r="N109" s="624"/>
      <c r="O109" s="624"/>
    </row>
    <row r="110" spans="1:15" ht="12" customHeight="1" x14ac:dyDescent="0.2">
      <c r="A110" s="624"/>
      <c r="B110" s="2731"/>
      <c r="C110" s="563"/>
      <c r="D110" s="579"/>
      <c r="E110" s="1171"/>
      <c r="F110" s="579"/>
      <c r="G110" s="579"/>
      <c r="H110" s="624"/>
      <c r="I110" s="624"/>
      <c r="J110" s="624"/>
      <c r="K110" s="624"/>
      <c r="L110" s="624"/>
      <c r="M110" s="624"/>
      <c r="N110" s="624"/>
      <c r="O110" s="624"/>
    </row>
    <row r="111" spans="1:15" ht="12" customHeight="1" x14ac:dyDescent="0.2">
      <c r="A111" s="624"/>
      <c r="B111" s="2731"/>
      <c r="C111" s="563"/>
      <c r="D111" s="579"/>
      <c r="E111" s="1171"/>
      <c r="F111" s="579"/>
      <c r="G111" s="579"/>
      <c r="H111" s="624"/>
      <c r="I111" s="624"/>
      <c r="J111" s="624"/>
      <c r="K111" s="624"/>
      <c r="L111" s="624"/>
      <c r="M111" s="624"/>
      <c r="N111" s="624"/>
      <c r="O111" s="624"/>
    </row>
    <row r="112" spans="1:15" ht="12" customHeight="1" x14ac:dyDescent="0.2">
      <c r="A112" s="624"/>
      <c r="B112" s="2731"/>
      <c r="C112" s="563"/>
      <c r="D112" s="579"/>
      <c r="E112" s="1171"/>
      <c r="F112" s="579"/>
      <c r="G112" s="579"/>
      <c r="H112" s="1244"/>
      <c r="I112" s="624"/>
      <c r="J112" s="624"/>
      <c r="K112" s="624"/>
      <c r="L112" s="624"/>
      <c r="M112" s="624"/>
      <c r="N112" s="624"/>
      <c r="O112" s="624"/>
    </row>
    <row r="113" spans="1:36" ht="12" customHeight="1" x14ac:dyDescent="0.2">
      <c r="A113" s="624"/>
      <c r="B113" s="2731"/>
      <c r="C113" s="563"/>
      <c r="D113" s="579"/>
      <c r="E113" s="1171"/>
      <c r="F113" s="579"/>
      <c r="G113" s="579"/>
      <c r="H113" s="1184"/>
      <c r="I113" s="624"/>
      <c r="J113" s="624"/>
      <c r="K113" s="624"/>
      <c r="L113" s="624"/>
      <c r="M113" s="624"/>
      <c r="N113" s="624"/>
      <c r="O113" s="624"/>
    </row>
    <row r="114" spans="1:36" ht="12" customHeight="1" x14ac:dyDescent="0.2">
      <c r="A114" s="624"/>
      <c r="B114" s="2731"/>
      <c r="C114" s="563"/>
      <c r="D114" s="579"/>
      <c r="E114" s="1171"/>
      <c r="F114" s="579"/>
      <c r="G114" s="579"/>
      <c r="H114" s="1184"/>
      <c r="I114" s="624"/>
      <c r="J114" s="624"/>
      <c r="K114" s="624"/>
      <c r="L114" s="624"/>
      <c r="M114" s="624"/>
      <c r="N114" s="624"/>
      <c r="O114" s="624"/>
      <c r="V114" s="1184"/>
      <c r="W114" s="1184"/>
      <c r="X114" s="1184"/>
      <c r="Y114" s="1184"/>
      <c r="Z114" s="1184"/>
      <c r="AA114" s="1173"/>
      <c r="AB114" s="1173"/>
      <c r="AC114" s="1173"/>
      <c r="AD114" s="1173"/>
      <c r="AE114" s="1184"/>
      <c r="AF114" s="1173"/>
      <c r="AG114" s="1173"/>
      <c r="AH114" s="1173"/>
      <c r="AI114" s="1173"/>
      <c r="AJ114" s="1173"/>
    </row>
    <row r="115" spans="1:36" ht="12" customHeight="1" x14ac:dyDescent="0.2">
      <c r="A115" s="624"/>
      <c r="B115" s="2731"/>
      <c r="C115" s="1235"/>
      <c r="D115" s="579"/>
      <c r="E115" s="1171"/>
      <c r="F115" s="579"/>
      <c r="G115" s="579"/>
      <c r="H115" s="1184"/>
      <c r="I115" s="624"/>
      <c r="J115" s="624"/>
      <c r="K115" s="624"/>
      <c r="L115" s="624"/>
      <c r="M115" s="624"/>
      <c r="N115" s="624"/>
      <c r="O115" s="624"/>
    </row>
    <row r="116" spans="1:36" ht="12" customHeight="1" x14ac:dyDescent="0.2">
      <c r="A116" s="624"/>
      <c r="B116" s="2731"/>
      <c r="C116" s="563"/>
      <c r="D116" s="579"/>
      <c r="E116" s="1171"/>
      <c r="F116" s="579"/>
      <c r="G116" s="579"/>
      <c r="H116" s="1184"/>
      <c r="I116" s="624"/>
      <c r="J116" s="624"/>
      <c r="K116" s="624"/>
      <c r="L116" s="624"/>
      <c r="M116" s="624"/>
      <c r="N116" s="624"/>
      <c r="O116" s="624"/>
    </row>
    <row r="117" spans="1:36" ht="12" customHeight="1" x14ac:dyDescent="0.2">
      <c r="A117" s="624"/>
      <c r="B117" s="2731"/>
      <c r="C117" s="1235"/>
      <c r="D117" s="579"/>
      <c r="E117" s="1171"/>
      <c r="F117" s="579"/>
      <c r="G117" s="579"/>
      <c r="H117" s="1245"/>
      <c r="I117" s="624"/>
      <c r="J117" s="624"/>
      <c r="K117" s="624"/>
      <c r="L117" s="624"/>
      <c r="M117" s="624"/>
      <c r="N117" s="624"/>
      <c r="O117" s="624"/>
    </row>
    <row r="118" spans="1:36" ht="12" customHeight="1" x14ac:dyDescent="0.2">
      <c r="A118" s="624"/>
      <c r="B118" s="2731"/>
      <c r="C118" s="563"/>
      <c r="D118" s="579"/>
      <c r="E118" s="1171"/>
      <c r="F118" s="579"/>
      <c r="G118" s="579"/>
      <c r="H118" s="579"/>
      <c r="I118" s="624"/>
      <c r="J118" s="624"/>
      <c r="K118" s="624"/>
      <c r="L118" s="624"/>
      <c r="M118" s="624"/>
      <c r="N118" s="624"/>
      <c r="O118" s="624"/>
    </row>
    <row r="119" spans="1:36" ht="12" customHeight="1" x14ac:dyDescent="0.2">
      <c r="A119" s="624"/>
      <c r="B119" s="2731"/>
      <c r="C119" s="1235"/>
      <c r="D119" s="624"/>
      <c r="E119" s="1167"/>
      <c r="F119" s="624"/>
      <c r="G119" s="624"/>
      <c r="H119" s="624"/>
      <c r="I119" s="624"/>
      <c r="J119" s="624"/>
      <c r="K119" s="624"/>
      <c r="L119" s="624"/>
      <c r="M119" s="624"/>
      <c r="N119" s="624"/>
      <c r="O119" s="624"/>
    </row>
    <row r="120" spans="1:36" ht="12" customHeight="1" x14ac:dyDescent="0.2">
      <c r="A120" s="624"/>
      <c r="B120" s="2731"/>
      <c r="C120" s="563"/>
      <c r="D120" s="624"/>
      <c r="E120" s="1167"/>
      <c r="F120" s="624"/>
      <c r="G120" s="624"/>
      <c r="H120" s="624"/>
      <c r="I120" s="624"/>
      <c r="J120" s="624"/>
      <c r="K120" s="624"/>
      <c r="L120" s="624"/>
      <c r="M120" s="624"/>
      <c r="N120" s="624"/>
      <c r="O120" s="624"/>
    </row>
    <row r="121" spans="1:36" ht="12" customHeight="1" x14ac:dyDescent="0.2">
      <c r="A121" s="624"/>
      <c r="B121" s="2731"/>
      <c r="C121" s="1235"/>
      <c r="D121" s="624"/>
      <c r="E121" s="1236"/>
      <c r="F121" s="624"/>
      <c r="G121" s="624"/>
      <c r="H121" s="624"/>
      <c r="I121" s="624"/>
      <c r="J121" s="624"/>
      <c r="K121" s="624"/>
      <c r="L121" s="624"/>
      <c r="M121" s="624"/>
      <c r="N121" s="624"/>
      <c r="O121" s="624"/>
    </row>
    <row r="122" spans="1:36" ht="12" customHeight="1" x14ac:dyDescent="0.2">
      <c r="A122" s="624"/>
      <c r="C122" s="624"/>
      <c r="D122" s="624"/>
      <c r="E122" s="624"/>
      <c r="F122" s="624"/>
      <c r="G122" s="624"/>
      <c r="H122" s="624"/>
      <c r="I122" s="624"/>
      <c r="J122" s="624"/>
      <c r="K122" s="624"/>
      <c r="L122" s="624"/>
      <c r="M122" s="624"/>
      <c r="N122" s="624"/>
      <c r="O122" s="624"/>
    </row>
    <row r="123" spans="1:36" ht="12" customHeight="1" x14ac:dyDescent="0.2">
      <c r="A123" s="624"/>
      <c r="C123" s="624"/>
      <c r="D123" s="624"/>
      <c r="E123" s="624"/>
      <c r="F123" s="624"/>
      <c r="G123" s="624"/>
      <c r="H123" s="624"/>
      <c r="I123" s="624"/>
      <c r="J123" s="624"/>
      <c r="K123" s="624"/>
      <c r="L123" s="624"/>
      <c r="M123" s="624"/>
      <c r="N123" s="624"/>
      <c r="O123" s="624"/>
    </row>
    <row r="124" spans="1:36" ht="12" customHeight="1" x14ac:dyDescent="0.2">
      <c r="A124" s="624"/>
      <c r="C124" s="624"/>
      <c r="D124" s="624"/>
      <c r="E124" s="624"/>
      <c r="F124" s="624"/>
      <c r="G124" s="624"/>
      <c r="H124" s="624"/>
      <c r="I124" s="624"/>
      <c r="J124" s="624"/>
      <c r="K124" s="624"/>
      <c r="L124" s="624"/>
      <c r="M124" s="624"/>
      <c r="N124" s="624"/>
      <c r="O124" s="624"/>
    </row>
    <row r="125" spans="1:36" ht="12" customHeight="1" x14ac:dyDescent="0.2">
      <c r="A125" s="624"/>
      <c r="C125" s="624"/>
      <c r="D125" s="624"/>
      <c r="E125" s="624"/>
      <c r="F125" s="624"/>
      <c r="G125" s="624"/>
      <c r="H125" s="624"/>
      <c r="I125" s="624"/>
      <c r="J125" s="624"/>
      <c r="K125" s="624"/>
      <c r="L125" s="624"/>
      <c r="M125" s="624"/>
      <c r="N125" s="624"/>
      <c r="O125" s="624"/>
      <c r="W125" s="624"/>
      <c r="X125" s="624"/>
      <c r="Y125" s="624"/>
    </row>
    <row r="126" spans="1:36" ht="12" customHeight="1" x14ac:dyDescent="0.2">
      <c r="A126" s="624"/>
      <c r="C126" s="624"/>
      <c r="D126" s="624"/>
      <c r="E126" s="624"/>
      <c r="F126" s="624"/>
      <c r="G126" s="624"/>
      <c r="H126" s="624"/>
      <c r="I126" s="624"/>
      <c r="J126" s="624"/>
      <c r="K126" s="624"/>
      <c r="L126" s="624"/>
      <c r="M126" s="624"/>
      <c r="N126" s="624"/>
      <c r="O126" s="624"/>
      <c r="W126" s="624"/>
      <c r="X126" s="624"/>
      <c r="Y126" s="624"/>
    </row>
    <row r="127" spans="1:36" ht="12" customHeight="1" x14ac:dyDescent="0.2">
      <c r="A127" s="624"/>
      <c r="C127" s="624"/>
      <c r="D127" s="624"/>
      <c r="E127" s="624"/>
      <c r="F127" s="624"/>
      <c r="G127" s="624"/>
      <c r="H127" s="624"/>
      <c r="I127" s="624"/>
      <c r="J127" s="624"/>
      <c r="K127" s="624"/>
      <c r="L127" s="624"/>
      <c r="M127" s="624"/>
      <c r="N127" s="624"/>
      <c r="O127" s="624"/>
      <c r="W127" s="624"/>
      <c r="X127" s="624"/>
      <c r="Y127" s="624"/>
    </row>
    <row r="128" spans="1:36" ht="12" customHeight="1" x14ac:dyDescent="0.2">
      <c r="A128" s="624"/>
      <c r="C128" s="624"/>
      <c r="D128" s="624"/>
      <c r="E128" s="624"/>
      <c r="F128" s="624"/>
      <c r="G128" s="624"/>
      <c r="H128" s="624"/>
      <c r="I128" s="624"/>
      <c r="J128" s="624"/>
      <c r="K128" s="624"/>
      <c r="L128" s="624"/>
      <c r="M128" s="624"/>
      <c r="N128" s="624"/>
      <c r="O128" s="624"/>
      <c r="P128" s="624"/>
      <c r="Q128" s="624"/>
      <c r="U128" s="624"/>
      <c r="V128" s="624"/>
      <c r="W128" s="624"/>
      <c r="X128" s="624"/>
      <c r="Y128" s="624"/>
    </row>
    <row r="129" spans="1:25" ht="12" customHeight="1" x14ac:dyDescent="0.2">
      <c r="A129" s="624"/>
      <c r="C129" s="624"/>
      <c r="D129" s="624"/>
      <c r="E129" s="624"/>
      <c r="F129" s="624"/>
      <c r="G129" s="624"/>
      <c r="H129" s="624"/>
      <c r="I129" s="624"/>
      <c r="J129" s="624"/>
      <c r="K129" s="624"/>
      <c r="L129" s="624"/>
      <c r="M129" s="624"/>
      <c r="N129" s="624"/>
      <c r="O129" s="624"/>
      <c r="P129" s="624"/>
      <c r="Q129" s="624"/>
      <c r="U129" s="624"/>
      <c r="V129" s="624"/>
      <c r="W129" s="624"/>
      <c r="X129" s="624"/>
      <c r="Y129" s="624"/>
    </row>
    <row r="130" spans="1:25" ht="12" customHeight="1" x14ac:dyDescent="0.2">
      <c r="A130" s="624"/>
      <c r="C130" s="624"/>
      <c r="D130" s="624"/>
      <c r="E130" s="624"/>
      <c r="F130" s="624"/>
      <c r="G130" s="624"/>
      <c r="H130" s="624"/>
      <c r="I130" s="624"/>
      <c r="J130" s="624"/>
      <c r="K130" s="624"/>
      <c r="L130" s="624"/>
      <c r="M130" s="624"/>
      <c r="N130" s="624"/>
      <c r="O130" s="624"/>
      <c r="P130" s="624"/>
      <c r="Q130" s="624"/>
      <c r="U130" s="624"/>
      <c r="V130" s="624"/>
      <c r="W130" s="624"/>
      <c r="X130" s="624"/>
      <c r="Y130" s="624"/>
    </row>
    <row r="131" spans="1:25" ht="12" customHeight="1" x14ac:dyDescent="0.2">
      <c r="A131" s="624"/>
      <c r="C131" s="624"/>
      <c r="D131" s="624"/>
      <c r="E131" s="624"/>
      <c r="F131" s="624"/>
      <c r="G131" s="624"/>
      <c r="H131" s="624"/>
      <c r="I131" s="624"/>
      <c r="J131" s="624"/>
      <c r="K131" s="624"/>
      <c r="L131" s="624"/>
      <c r="M131" s="624"/>
      <c r="N131" s="624"/>
      <c r="O131" s="624"/>
      <c r="P131" s="624"/>
      <c r="Q131" s="624"/>
      <c r="U131" s="624"/>
      <c r="V131" s="624"/>
      <c r="W131" s="624"/>
      <c r="X131" s="624"/>
      <c r="Y131" s="624"/>
    </row>
    <row r="132" spans="1:25" ht="12" customHeight="1" x14ac:dyDescent="0.2">
      <c r="A132" s="624"/>
      <c r="C132" s="624"/>
      <c r="D132" s="624"/>
      <c r="E132" s="624"/>
      <c r="F132" s="624"/>
      <c r="G132" s="624"/>
      <c r="H132" s="624"/>
      <c r="I132" s="624"/>
      <c r="J132" s="624"/>
      <c r="K132" s="624"/>
      <c r="L132" s="624"/>
      <c r="M132" s="624"/>
      <c r="N132" s="624"/>
      <c r="O132" s="624"/>
      <c r="P132" s="624"/>
      <c r="Q132" s="624"/>
      <c r="U132" s="624"/>
      <c r="V132" s="624"/>
      <c r="W132" s="624"/>
      <c r="X132" s="624"/>
      <c r="Y132" s="624"/>
    </row>
    <row r="133" spans="1:25" ht="12" customHeight="1" x14ac:dyDescent="0.2">
      <c r="A133" s="624"/>
      <c r="C133" s="624"/>
      <c r="D133" s="624"/>
      <c r="E133" s="624"/>
      <c r="F133" s="624"/>
      <c r="G133" s="624"/>
      <c r="H133" s="624"/>
      <c r="I133" s="624"/>
      <c r="J133" s="624"/>
      <c r="K133" s="624"/>
      <c r="L133" s="624"/>
      <c r="M133" s="624"/>
      <c r="N133" s="624"/>
      <c r="O133" s="624"/>
      <c r="P133" s="624"/>
      <c r="Q133" s="624"/>
      <c r="U133" s="624"/>
      <c r="V133" s="624"/>
      <c r="W133" s="624"/>
      <c r="X133" s="624"/>
      <c r="Y133" s="624"/>
    </row>
    <row r="134" spans="1:25" ht="12" customHeight="1" x14ac:dyDescent="0.2">
      <c r="A134" s="624"/>
      <c r="C134" s="624"/>
      <c r="D134" s="624"/>
      <c r="E134" s="624"/>
      <c r="F134" s="624"/>
      <c r="G134" s="624"/>
      <c r="H134" s="624"/>
      <c r="I134" s="624"/>
      <c r="J134" s="624"/>
      <c r="K134" s="624"/>
      <c r="L134" s="624"/>
      <c r="M134" s="624"/>
      <c r="N134" s="624"/>
      <c r="O134" s="624"/>
      <c r="P134" s="624"/>
      <c r="Q134" s="624"/>
      <c r="U134" s="624"/>
      <c r="V134" s="624"/>
      <c r="W134" s="624"/>
      <c r="X134" s="624"/>
      <c r="Y134" s="624"/>
    </row>
    <row r="135" spans="1:25" ht="12" customHeight="1" x14ac:dyDescent="0.2">
      <c r="A135" s="624"/>
      <c r="C135" s="624"/>
      <c r="D135" s="624"/>
      <c r="E135" s="624"/>
      <c r="F135" s="624"/>
      <c r="G135" s="624"/>
      <c r="H135" s="624"/>
      <c r="I135" s="624"/>
      <c r="J135" s="624"/>
      <c r="K135" s="624"/>
      <c r="L135" s="624"/>
      <c r="M135" s="624"/>
      <c r="N135" s="624"/>
      <c r="O135" s="624"/>
      <c r="P135" s="624"/>
      <c r="Q135" s="624"/>
      <c r="U135" s="624"/>
      <c r="V135" s="624"/>
      <c r="W135" s="624"/>
      <c r="X135" s="624"/>
      <c r="Y135" s="624"/>
    </row>
    <row r="136" spans="1:25" ht="12" customHeight="1" x14ac:dyDescent="0.2">
      <c r="A136" s="624"/>
      <c r="C136" s="624"/>
      <c r="D136" s="624"/>
      <c r="E136" s="624"/>
      <c r="F136" s="624"/>
      <c r="G136" s="624"/>
      <c r="H136" s="624"/>
      <c r="I136" s="624"/>
      <c r="J136" s="624"/>
      <c r="K136" s="624"/>
      <c r="L136" s="624"/>
      <c r="M136" s="624"/>
      <c r="N136" s="624"/>
      <c r="O136" s="624"/>
      <c r="P136" s="624"/>
      <c r="Q136" s="624"/>
      <c r="U136" s="624"/>
      <c r="V136" s="624"/>
      <c r="W136" s="624"/>
      <c r="X136" s="624"/>
      <c r="Y136" s="624"/>
    </row>
    <row r="137" spans="1:25" ht="12" customHeight="1" x14ac:dyDescent="0.2">
      <c r="A137" s="624"/>
      <c r="C137" s="624"/>
      <c r="D137" s="624"/>
      <c r="E137" s="624"/>
      <c r="F137" s="624"/>
      <c r="G137" s="624"/>
      <c r="H137" s="624"/>
      <c r="I137" s="624"/>
      <c r="J137" s="624"/>
      <c r="K137" s="624"/>
      <c r="L137" s="624"/>
      <c r="M137" s="624"/>
      <c r="N137" s="624"/>
      <c r="O137" s="624"/>
      <c r="P137" s="624"/>
      <c r="Q137" s="624"/>
      <c r="U137" s="624"/>
      <c r="V137" s="624"/>
      <c r="W137" s="624"/>
      <c r="X137" s="624"/>
      <c r="Y137" s="624"/>
    </row>
    <row r="138" spans="1:25" ht="12" customHeight="1" x14ac:dyDescent="0.2">
      <c r="A138" s="624"/>
      <c r="C138" s="624"/>
      <c r="D138" s="624"/>
      <c r="E138" s="624"/>
      <c r="F138" s="624"/>
      <c r="G138" s="624"/>
      <c r="H138" s="624"/>
      <c r="I138" s="624"/>
      <c r="J138" s="624"/>
      <c r="K138" s="624"/>
      <c r="L138" s="624"/>
      <c r="M138" s="624"/>
      <c r="N138" s="624"/>
      <c r="O138" s="624"/>
      <c r="P138" s="624"/>
      <c r="Q138" s="624"/>
      <c r="U138" s="624"/>
      <c r="V138" s="624"/>
      <c r="W138" s="624"/>
      <c r="X138" s="624"/>
      <c r="Y138" s="624"/>
    </row>
    <row r="139" spans="1:25" ht="12" customHeight="1" x14ac:dyDescent="0.2">
      <c r="A139" s="624"/>
      <c r="C139" s="624"/>
      <c r="D139" s="624"/>
      <c r="E139" s="624"/>
      <c r="F139" s="624"/>
      <c r="G139" s="624"/>
      <c r="H139" s="624"/>
      <c r="I139" s="624"/>
      <c r="J139" s="624"/>
      <c r="K139" s="624"/>
      <c r="L139" s="624"/>
      <c r="M139" s="624"/>
      <c r="N139" s="624"/>
      <c r="O139" s="624"/>
      <c r="P139" s="624"/>
      <c r="Q139" s="624"/>
      <c r="U139" s="624"/>
      <c r="V139" s="624"/>
      <c r="W139" s="624"/>
      <c r="X139" s="624"/>
      <c r="Y139" s="624"/>
    </row>
    <row r="140" spans="1:25" ht="12" customHeight="1" x14ac:dyDescent="0.2">
      <c r="A140" s="624"/>
      <c r="C140" s="624"/>
      <c r="D140" s="624"/>
      <c r="E140" s="624"/>
      <c r="F140" s="624"/>
      <c r="G140" s="624"/>
      <c r="H140" s="624"/>
      <c r="I140" s="624"/>
      <c r="J140" s="624"/>
      <c r="K140" s="624"/>
      <c r="L140" s="624"/>
      <c r="M140" s="624"/>
      <c r="N140" s="624"/>
      <c r="O140" s="624"/>
      <c r="P140" s="624"/>
      <c r="Q140" s="624"/>
      <c r="U140" s="624"/>
      <c r="V140" s="624"/>
      <c r="W140" s="624"/>
      <c r="X140" s="624"/>
      <c r="Y140" s="624"/>
    </row>
    <row r="141" spans="1:25" ht="12" customHeight="1" x14ac:dyDescent="0.2">
      <c r="A141" s="624"/>
      <c r="C141" s="624"/>
      <c r="D141" s="624"/>
      <c r="E141" s="624"/>
      <c r="F141" s="624"/>
      <c r="G141" s="624"/>
      <c r="H141" s="624"/>
      <c r="I141" s="624"/>
      <c r="J141" s="624"/>
      <c r="K141" s="624"/>
      <c r="L141" s="624"/>
      <c r="M141" s="624"/>
      <c r="N141" s="624"/>
      <c r="O141" s="624"/>
      <c r="P141" s="624"/>
      <c r="Q141" s="624"/>
      <c r="U141" s="624"/>
      <c r="V141" s="624"/>
      <c r="W141" s="624"/>
      <c r="X141" s="624"/>
      <c r="Y141" s="624"/>
    </row>
    <row r="142" spans="1:25" ht="12" customHeight="1" x14ac:dyDescent="0.2">
      <c r="A142" s="624"/>
      <c r="C142" s="624"/>
      <c r="D142" s="624"/>
      <c r="E142" s="624"/>
      <c r="F142" s="624"/>
      <c r="G142" s="624"/>
      <c r="H142" s="624"/>
      <c r="I142" s="624"/>
      <c r="J142" s="624"/>
      <c r="K142" s="624"/>
      <c r="L142" s="624"/>
      <c r="M142" s="624"/>
      <c r="N142" s="624"/>
      <c r="O142" s="624"/>
      <c r="P142" s="624"/>
      <c r="Q142" s="624"/>
      <c r="U142" s="624"/>
      <c r="V142" s="624"/>
      <c r="W142" s="624"/>
      <c r="X142" s="624"/>
      <c r="Y142" s="624"/>
    </row>
    <row r="143" spans="1:25" ht="12" customHeight="1" x14ac:dyDescent="0.2">
      <c r="A143" s="624"/>
      <c r="C143" s="624"/>
      <c r="D143" s="624"/>
      <c r="E143" s="624"/>
      <c r="F143" s="624"/>
      <c r="G143" s="624"/>
      <c r="H143" s="624"/>
      <c r="I143" s="624"/>
      <c r="J143" s="624"/>
      <c r="K143" s="624"/>
      <c r="L143" s="624"/>
      <c r="M143" s="624"/>
      <c r="N143" s="624"/>
      <c r="O143" s="624"/>
      <c r="P143" s="624"/>
      <c r="Q143" s="624"/>
      <c r="U143" s="624"/>
      <c r="V143" s="624"/>
      <c r="W143" s="624"/>
      <c r="X143" s="624"/>
      <c r="Y143" s="624"/>
    </row>
    <row r="144" spans="1:25" ht="12" customHeight="1" x14ac:dyDescent="0.2">
      <c r="A144" s="624"/>
      <c r="C144" s="624"/>
      <c r="D144" s="624"/>
      <c r="E144" s="624"/>
      <c r="F144" s="624"/>
      <c r="G144" s="624"/>
      <c r="H144" s="624"/>
      <c r="I144" s="624"/>
      <c r="J144" s="624"/>
      <c r="K144" s="624"/>
      <c r="L144" s="624"/>
      <c r="M144" s="624"/>
      <c r="N144" s="624"/>
      <c r="O144" s="624"/>
      <c r="P144" s="624"/>
      <c r="Q144" s="624"/>
      <c r="U144" s="624"/>
      <c r="V144" s="624"/>
      <c r="W144" s="624"/>
      <c r="X144" s="624"/>
      <c r="Y144" s="624"/>
    </row>
    <row r="214" spans="3:11" ht="12" customHeight="1" x14ac:dyDescent="0.2">
      <c r="C214" s="663"/>
      <c r="D214" s="663"/>
      <c r="E214" s="663"/>
      <c r="F214" s="663"/>
      <c r="G214" s="663"/>
      <c r="H214" s="663"/>
      <c r="I214" s="663"/>
      <c r="J214" s="663"/>
      <c r="K214" s="663"/>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AB25:AB26"/>
    <mergeCell ref="V28:Y28"/>
    <mergeCell ref="AD28:AG28"/>
    <mergeCell ref="V27:AA27"/>
    <mergeCell ref="AD25:AI25"/>
    <mergeCell ref="AJ25:AJ26"/>
    <mergeCell ref="L26:O26"/>
    <mergeCell ref="V26:Y26"/>
    <mergeCell ref="AD26:AG26"/>
    <mergeCell ref="AB27:AB28"/>
    <mergeCell ref="AD27:AI27"/>
    <mergeCell ref="AJ27:AJ28"/>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A20:AC20"/>
    <mergeCell ref="AA17:AC17"/>
    <mergeCell ref="AD17:AJ17"/>
    <mergeCell ref="M19:O19"/>
    <mergeCell ref="V19:W20"/>
    <mergeCell ref="X19:X20"/>
    <mergeCell ref="Y19:Y20"/>
    <mergeCell ref="N20:O20"/>
    <mergeCell ref="V22:AA22"/>
    <mergeCell ref="AD22:AI22"/>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9" type="noConversion"/>
  <conditionalFormatting sqref="H29:I37">
    <cfRule type="expression" dxfId="519" priority="94" stopIfTrue="1">
      <formula>H28=0</formula>
    </cfRule>
  </conditionalFormatting>
  <conditionalFormatting sqref="Y11:Y20">
    <cfRule type="expression" dxfId="518" priority="93" stopIfTrue="1">
      <formula>X11=0</formula>
    </cfRule>
  </conditionalFormatting>
  <conditionalFormatting sqref="C56:G56">
    <cfRule type="expression" dxfId="517" priority="91" stopIfTrue="1">
      <formula>AND(NOT($H$43="-"),$H$56="-")</formula>
    </cfRule>
    <cfRule type="expression" dxfId="516" priority="92" stopIfTrue="1">
      <formula>$H$56="-"</formula>
    </cfRule>
  </conditionalFormatting>
  <conditionalFormatting sqref="D57:G57">
    <cfRule type="expression" dxfId="515" priority="90" stopIfTrue="1">
      <formula>AND(NOT($H$56="-"),$H$57="-")</formula>
    </cfRule>
  </conditionalFormatting>
  <conditionalFormatting sqref="D58:G58">
    <cfRule type="expression" dxfId="514" priority="88" stopIfTrue="1">
      <formula>AND(NOT($H$56="-"),$H$58="-")</formula>
    </cfRule>
    <cfRule type="expression" dxfId="513" priority="89" stopIfTrue="1">
      <formula>$H$58="-"</formula>
    </cfRule>
  </conditionalFormatting>
  <conditionalFormatting sqref="H28:I28">
    <cfRule type="expression" dxfId="512" priority="87" stopIfTrue="1">
      <formula>$G$28=0</formula>
    </cfRule>
  </conditionalFormatting>
  <conditionalFormatting sqref="K12:O12">
    <cfRule type="expression" dxfId="511" priority="86" stopIfTrue="1">
      <formula>AND(NOT($P$10="-"),$P$12="-")</formula>
    </cfRule>
  </conditionalFormatting>
  <conditionalFormatting sqref="L13:O13">
    <cfRule type="expression" dxfId="510" priority="84" stopIfTrue="1">
      <formula>AND(NOT($P$12="-"),$P$13="-")</formula>
    </cfRule>
    <cfRule type="expression" dxfId="509" priority="85" stopIfTrue="1">
      <formula>$P$13="-"</formula>
    </cfRule>
  </conditionalFormatting>
  <conditionalFormatting sqref="M14:O14">
    <cfRule type="expression" dxfId="508" priority="83" stopIfTrue="1">
      <formula>AND(NOT($P$13="-"),$P$14="-")</formula>
    </cfRule>
  </conditionalFormatting>
  <conditionalFormatting sqref="L15:O15">
    <cfRule type="expression" dxfId="507" priority="82" stopIfTrue="1">
      <formula>AND(NOT($P$12="-"),$P$15="-")</formula>
    </cfRule>
  </conditionalFormatting>
  <conditionalFormatting sqref="L16:O16">
    <cfRule type="expression" dxfId="506" priority="80" stopIfTrue="1">
      <formula>AND(NOT($P$12="-"),$P$16="-")</formula>
    </cfRule>
    <cfRule type="expression" dxfId="505" priority="81" stopIfTrue="1">
      <formula>$P$16="-"</formula>
    </cfRule>
  </conditionalFormatting>
  <conditionalFormatting sqref="M17:O17">
    <cfRule type="expression" dxfId="504" priority="79" stopIfTrue="1">
      <formula>AND(NOT($P$16="-"),$P$17="-")</formula>
    </cfRule>
  </conditionalFormatting>
  <conditionalFormatting sqref="N18:O18">
    <cfRule type="expression" dxfId="503" priority="78" stopIfTrue="1">
      <formula>AND(NOT($P$17="-"),$P$18="-")</formula>
    </cfRule>
  </conditionalFormatting>
  <conditionalFormatting sqref="M19:O19">
    <cfRule type="expression" dxfId="502" priority="77" stopIfTrue="1">
      <formula>AND(NOT($P$16="-"),$P$19="-")</formula>
    </cfRule>
  </conditionalFormatting>
  <conditionalFormatting sqref="N20:O20">
    <cfRule type="expression" dxfId="501" priority="76" stopIfTrue="1">
      <formula>AND(NOT($P$19="-"),$P$20="-")</formula>
    </cfRule>
  </conditionalFormatting>
  <conditionalFormatting sqref="N21:O21">
    <cfRule type="expression" dxfId="500" priority="75" stopIfTrue="1">
      <formula>AND(NOT($P$20="-"),$P$21="-")</formula>
    </cfRule>
  </conditionalFormatting>
  <conditionalFormatting sqref="N22:O22">
    <cfRule type="expression" dxfId="499" priority="74" stopIfTrue="1">
      <formula>AND(NOT($P$19="-"),$P$22="-")</formula>
    </cfRule>
  </conditionalFormatting>
  <conditionalFormatting sqref="N23:O23">
    <cfRule type="expression" dxfId="498" priority="73" stopIfTrue="1">
      <formula>AND(NOT($P$22="-"),$P$23="-")</formula>
    </cfRule>
  </conditionalFormatting>
  <conditionalFormatting sqref="M24:O24">
    <cfRule type="expression" dxfId="497" priority="72" stopIfTrue="1">
      <formula>AND(NOT($P$16="-"),$P$24="-")</formula>
    </cfRule>
  </conditionalFormatting>
  <conditionalFormatting sqref="L25:O25">
    <cfRule type="expression" dxfId="496" priority="71" stopIfTrue="1">
      <formula>AND(NOT($P$12="-"),$P$25="-")</formula>
    </cfRule>
  </conditionalFormatting>
  <conditionalFormatting sqref="L26:O26">
    <cfRule type="expression" dxfId="495" priority="70" stopIfTrue="1">
      <formula>AND(NOT($P$12="-"),$P$26="-")</formula>
    </cfRule>
  </conditionalFormatting>
  <conditionalFormatting sqref="K27:O27">
    <cfRule type="expression" dxfId="494" priority="69" stopIfTrue="1">
      <formula>AND(NOT($P$10="-"),$P$27="-")</formula>
    </cfRule>
  </conditionalFormatting>
  <conditionalFormatting sqref="L28:O28">
    <cfRule type="expression" dxfId="493" priority="68" stopIfTrue="1">
      <formula>AND(NOT($P$27="-"),$P$28="-")</formula>
    </cfRule>
  </conditionalFormatting>
  <conditionalFormatting sqref="M29:O29">
    <cfRule type="expression" dxfId="492" priority="67" stopIfTrue="1">
      <formula>AND(NOT($P$28="-"),$P$29="-")</formula>
    </cfRule>
  </conditionalFormatting>
  <conditionalFormatting sqref="N30:O30">
    <cfRule type="expression" dxfId="491" priority="66" stopIfTrue="1">
      <formula>AND(NOT($P$28="-"),$P$30="-")</formula>
    </cfRule>
  </conditionalFormatting>
  <conditionalFormatting sqref="M31:O31">
    <cfRule type="expression" dxfId="490" priority="65" stopIfTrue="1">
      <formula>AND(NOT($P$28="-"),$P$31="-")</formula>
    </cfRule>
  </conditionalFormatting>
  <conditionalFormatting sqref="K32:O32">
    <cfRule type="expression" dxfId="489" priority="64" stopIfTrue="1">
      <formula>AND(NOT($P$10="-"),$P$32="-")</formula>
    </cfRule>
  </conditionalFormatting>
  <conditionalFormatting sqref="L33:O33">
    <cfRule type="expression" dxfId="488" priority="62" stopIfTrue="1">
      <formula>AND(NOT($P$32="-"),$P$33="-")</formula>
    </cfRule>
    <cfRule type="expression" dxfId="487" priority="63" stopIfTrue="1">
      <formula>$P$33="-"</formula>
    </cfRule>
  </conditionalFormatting>
  <conditionalFormatting sqref="M37:O37">
    <cfRule type="expression" dxfId="486" priority="61" stopIfTrue="1">
      <formula>AND(NOT($P$36="-"),$P$37="-")</formula>
    </cfRule>
  </conditionalFormatting>
  <conditionalFormatting sqref="M38:O38">
    <cfRule type="expression" dxfId="485" priority="59" stopIfTrue="1">
      <formula>AND(NOT($P$36="-"),$P$38="-")</formula>
    </cfRule>
    <cfRule type="expression" dxfId="484" priority="60" stopIfTrue="1">
      <formula>$P$38="-"</formula>
    </cfRule>
  </conditionalFormatting>
  <conditionalFormatting sqref="M40:O40">
    <cfRule type="expression" dxfId="483" priority="57" stopIfTrue="1">
      <formula>AND(NOT($P$36="-"),$P$40="-")</formula>
    </cfRule>
    <cfRule type="expression" dxfId="482" priority="58" stopIfTrue="1">
      <formula>$P$40="-"</formula>
    </cfRule>
  </conditionalFormatting>
  <conditionalFormatting sqref="L41:O41">
    <cfRule type="expression" dxfId="481" priority="56" stopIfTrue="1">
      <formula>AND(NOT($P$32="-"),$P$41="-")</formula>
    </cfRule>
  </conditionalFormatting>
  <conditionalFormatting sqref="L42:O42">
    <cfRule type="expression" dxfId="480" priority="55" stopIfTrue="1">
      <formula>AND(NOT($P$32="-"),$P$42="-")</formula>
    </cfRule>
  </conditionalFormatting>
  <conditionalFormatting sqref="L43:O43">
    <cfRule type="expression" dxfId="479" priority="54" stopIfTrue="1">
      <formula>AND(NOT($P$32="-"),$P$43="-")</formula>
    </cfRule>
  </conditionalFormatting>
  <conditionalFormatting sqref="K44:O44">
    <cfRule type="expression" dxfId="478" priority="53" stopIfTrue="1">
      <formula>AND(NOT($P$10="-"),$P$44="-")</formula>
    </cfRule>
  </conditionalFormatting>
  <conditionalFormatting sqref="L45:O45">
    <cfRule type="expression" dxfId="477" priority="52" stopIfTrue="1">
      <formula>AND(NOT($P$44="-"),$P$45="-")</formula>
    </cfRule>
  </conditionalFormatting>
  <conditionalFormatting sqref="M46:O46">
    <cfRule type="expression" dxfId="476" priority="51" stopIfTrue="1">
      <formula>AND(NOT($P$45="-"),$P$46="-")</formula>
    </cfRule>
  </conditionalFormatting>
  <conditionalFormatting sqref="M47:O47">
    <cfRule type="expression" dxfId="475" priority="50" stopIfTrue="1">
      <formula>AND(NOT($P$45="-"),$P$47="-")</formula>
    </cfRule>
  </conditionalFormatting>
  <conditionalFormatting sqref="L48:O48">
    <cfRule type="expression" dxfId="474" priority="49" stopIfTrue="1">
      <formula>AND(NOT($P$44="-"),$P$48="-")</formula>
    </cfRule>
  </conditionalFormatting>
  <conditionalFormatting sqref="K49:O49">
    <cfRule type="expression" dxfId="473" priority="48" stopIfTrue="1">
      <formula>AND(NOT($P$10="-"),$P$49="-")</formula>
    </cfRule>
  </conditionalFormatting>
  <conditionalFormatting sqref="L50:O50">
    <cfRule type="expression" dxfId="472" priority="46" stopIfTrue="1">
      <formula>AND(NOT($P$49="-"),Raza&lt;&gt;"D'Anjayni",Nephilim&lt;&gt;"Nephilim D'Anjayni",$P$50="-")</formula>
    </cfRule>
  </conditionalFormatting>
  <conditionalFormatting sqref="M51:O52">
    <cfRule type="expression" dxfId="471" priority="44" stopIfTrue="1">
      <formula>AND(NOT(OcultacióndelKi),$P51="-")</formula>
    </cfRule>
  </conditionalFormatting>
  <conditionalFormatting sqref="L53:O53">
    <cfRule type="expression" dxfId="470" priority="43" stopIfTrue="1">
      <formula>AND(NOT($P$49="-"),$P$53="-")</formula>
    </cfRule>
  </conditionalFormatting>
  <conditionalFormatting sqref="M54:O54">
    <cfRule type="expression" dxfId="469" priority="42" stopIfTrue="1">
      <formula>AND(NOT($P$53="-"),$P$54="-")</formula>
    </cfRule>
  </conditionalFormatting>
  <conditionalFormatting sqref="M55:O55">
    <cfRule type="expression" dxfId="468" priority="41" stopIfTrue="1">
      <formula>AND(NOT($P$53="-"),$P$55="-")</formula>
    </cfRule>
  </conditionalFormatting>
  <conditionalFormatting sqref="M56:O56">
    <cfRule type="expression" dxfId="467" priority="40" stopIfTrue="1">
      <formula>AND(NOT($P$53="-"),$P$56="-")</formula>
    </cfRule>
  </conditionalFormatting>
  <conditionalFormatting sqref="L57:O57">
    <cfRule type="expression" dxfId="466" priority="38" stopIfTrue="1">
      <formula>AND(NOT($P$49="-"),$P$57="-")</formula>
    </cfRule>
    <cfRule type="expression" dxfId="465" priority="39" stopIfTrue="1">
      <formula>$P$57="-"</formula>
    </cfRule>
  </conditionalFormatting>
  <conditionalFormatting sqref="M58:O58">
    <cfRule type="expression" dxfId="464" priority="37" stopIfTrue="1">
      <formula>AND(NOT($P$57="-"),$P$58="-")</formula>
    </cfRule>
  </conditionalFormatting>
  <conditionalFormatting sqref="N59:O59">
    <cfRule type="expression" dxfId="463" priority="36" stopIfTrue="1">
      <formula>AND(NOT($P$57="-"),$P$59="-")</formula>
    </cfRule>
  </conditionalFormatting>
  <conditionalFormatting sqref="L60:O60">
    <cfRule type="expression" dxfId="462" priority="35" stopIfTrue="1">
      <formula>AND(NOT($P$49="-"),$P$60="-")</formula>
    </cfRule>
  </conditionalFormatting>
  <conditionalFormatting sqref="M61:O61">
    <cfRule type="expression" dxfId="461" priority="34" stopIfTrue="1">
      <formula>AND(NOT($P$60="-"),$P$61="-")</formula>
    </cfRule>
  </conditionalFormatting>
  <conditionalFormatting sqref="K62:O62">
    <cfRule type="expression" dxfId="460" priority="33" stopIfTrue="1">
      <formula>AND(NOT($P$10="-"),$P$62="-")</formula>
    </cfRule>
  </conditionalFormatting>
  <conditionalFormatting sqref="C45:G45">
    <cfRule type="expression" dxfId="459" priority="32" stopIfTrue="1">
      <formula>AND(NOT($H$43="-"),$H$45="-")</formula>
    </cfRule>
  </conditionalFormatting>
  <conditionalFormatting sqref="D46:G46">
    <cfRule type="expression" dxfId="458" priority="31" stopIfTrue="1">
      <formula>AND(NOT($H$45="-"),$H$46="-")</formula>
    </cfRule>
  </conditionalFormatting>
  <conditionalFormatting sqref="C47:G47">
    <cfRule type="expression" dxfId="457" priority="30" stopIfTrue="1">
      <formula>AND(NOT($H$43="-"),$H$47="-")</formula>
    </cfRule>
  </conditionalFormatting>
  <conditionalFormatting sqref="D48:G48">
    <cfRule type="expression" dxfId="456" priority="29" stopIfTrue="1">
      <formula>AND(NOT($H$47="-"),$H$48="-")</formula>
    </cfRule>
  </conditionalFormatting>
  <conditionalFormatting sqref="C49:G49">
    <cfRule type="expression" dxfId="455" priority="28" stopIfTrue="1">
      <formula>AND(NOT($H$43="-"),$H$49="-")</formula>
    </cfRule>
  </conditionalFormatting>
  <conditionalFormatting sqref="D50:G50">
    <cfRule type="expression" dxfId="454" priority="27" stopIfTrue="1">
      <formula>AND(NOT($H$49="-"),$H$50="-")</formula>
    </cfRule>
  </conditionalFormatting>
  <conditionalFormatting sqref="C51:G51">
    <cfRule type="expression" dxfId="453" priority="26" stopIfTrue="1">
      <formula>AND(NOT($H$43="-"),$H$51="-")</formula>
    </cfRule>
  </conditionalFormatting>
  <conditionalFormatting sqref="D52:G52">
    <cfRule type="expression" dxfId="452" priority="25" stopIfTrue="1">
      <formula>AND(NOT($H$51="-"),$H$52="-")</formula>
    </cfRule>
  </conditionalFormatting>
  <conditionalFormatting sqref="C53:G53">
    <cfRule type="expression" dxfId="451" priority="24" stopIfTrue="1">
      <formula>AND(NOT($H$43="-"),$H$53="-")</formula>
    </cfRule>
  </conditionalFormatting>
  <conditionalFormatting sqref="C54:G54">
    <cfRule type="expression" dxfId="450" priority="23" stopIfTrue="1">
      <formula>AND(NOT($H$43="-"),$H$54="-")</formula>
    </cfRule>
  </conditionalFormatting>
  <conditionalFormatting sqref="D59:G59">
    <cfRule type="expression" dxfId="449" priority="22" stopIfTrue="1">
      <formula>AND(NOT($H$56="-"),$H$59="-")</formula>
    </cfRule>
  </conditionalFormatting>
  <conditionalFormatting sqref="E60:G60">
    <cfRule type="expression" dxfId="448" priority="21" stopIfTrue="1">
      <formula>AND(NOT($H$59="-"),$H$60="-")</formula>
    </cfRule>
  </conditionalFormatting>
  <conditionalFormatting sqref="I39">
    <cfRule type="cellIs" dxfId="447" priority="20" stopIfTrue="1" operator="lessThan">
      <formula>0</formula>
    </cfRule>
  </conditionalFormatting>
  <conditionalFormatting sqref="C61:G61">
    <cfRule type="expression" dxfId="446" priority="19" stopIfTrue="1">
      <formula>AND(NOT($H$43="-"),$H$61="-")</formula>
    </cfRule>
  </conditionalFormatting>
  <conditionalFormatting sqref="C62:G62">
    <cfRule type="expression" dxfId="445" priority="18" stopIfTrue="1">
      <formula>AND(NOT($H$43="-"),$H$62="-")</formula>
    </cfRule>
  </conditionalFormatting>
  <conditionalFormatting sqref="E29:F30">
    <cfRule type="cellIs" dxfId="444" priority="17" stopIfTrue="1" operator="greaterThan">
      <formula>$C$29</formula>
    </cfRule>
  </conditionalFormatting>
  <conditionalFormatting sqref="M34:O34">
    <cfRule type="expression" dxfId="443" priority="16" stopIfTrue="1">
      <formula>AND(NOT($P$33="-"),$P$34="-")</formula>
    </cfRule>
  </conditionalFormatting>
  <conditionalFormatting sqref="N35:O35">
    <cfRule type="expression" dxfId="442" priority="14" stopIfTrue="1">
      <formula>AND(NOT($P$34="-"),$P$35="-")</formula>
    </cfRule>
    <cfRule type="expression" dxfId="441" priority="15" stopIfTrue="1">
      <formula>$P$35="-"</formula>
    </cfRule>
  </conditionalFormatting>
  <conditionalFormatting sqref="L36:O36">
    <cfRule type="expression" dxfId="440" priority="12" stopIfTrue="1">
      <formula>AND(NOT($P$32="-"),$P$36="-")</formula>
    </cfRule>
    <cfRule type="expression" dxfId="439" priority="13" stopIfTrue="1">
      <formula>AND($P$36="-",$M$39="Alcance incrementado")</formula>
    </cfRule>
  </conditionalFormatting>
  <conditionalFormatting sqref="M39:O39">
    <cfRule type="expression" dxfId="438" priority="10" stopIfTrue="1">
      <formula>AND(NOT($P$36="-"),$P$39="-")</formula>
    </cfRule>
    <cfRule type="expression" dxfId="437" priority="11" stopIfTrue="1">
      <formula>AND($P$39="-",$M$39="Aura incrementada")</formula>
    </cfRule>
  </conditionalFormatting>
  <conditionalFormatting sqref="D55:G55">
    <cfRule type="expression" dxfId="436" priority="9" stopIfTrue="1">
      <formula>AND(NOT($H$54="-"),$H$55="-")</formula>
    </cfRule>
  </conditionalFormatting>
  <conditionalFormatting sqref="K63:O63">
    <cfRule type="expression" dxfId="435" priority="4812" stopIfTrue="1">
      <formula>AND(NOT($P$10="-"),$P$63="-",NOT($B$63=1))</formula>
    </cfRule>
    <cfRule type="expression" dxfId="434" priority="4813" stopIfTrue="1">
      <formula>$P$63="-"</formula>
    </cfRule>
  </conditionalFormatting>
  <conditionalFormatting sqref="L64:O64">
    <cfRule type="expression" dxfId="433" priority="4814" stopIfTrue="1">
      <formula>AND(NOT($P$63="-"),$P$64="-",NOT($B$64=1))</formula>
    </cfRule>
    <cfRule type="expression" dxfId="432" priority="4815" stopIfTrue="1">
      <formula>$P$64="-"</formula>
    </cfRule>
  </conditionalFormatting>
  <conditionalFormatting sqref="C63:G63">
    <cfRule type="expression" dxfId="431" priority="4816" stopIfTrue="1">
      <formula>AND(NOT($H$43="-"),$H$63="-",NOT($B$63=1))</formula>
    </cfRule>
    <cfRule type="expression" dxfId="430" priority="4817" stopIfTrue="1">
      <formula>$H$63="-"</formula>
    </cfRule>
  </conditionalFormatting>
  <conditionalFormatting sqref="D64:G64">
    <cfRule type="expression" dxfId="429" priority="4818" stopIfTrue="1">
      <formula>AND(NOT($H$63="-"),$H$64="-",NOT($B$64=1))</formula>
    </cfRule>
    <cfRule type="expression" dxfId="428" priority="4819" stopIfTrue="1">
      <formula>$H$64="-"</formula>
    </cfRule>
  </conditionalFormatting>
  <dataValidations count="22">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6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D8" sqref="D8"/>
    </sheetView>
  </sheetViews>
  <sheetFormatPr defaultColWidth="5.7109375" defaultRowHeight="11.25" x14ac:dyDescent="0.2"/>
  <cols>
    <col min="1" max="1" width="1.7109375" style="945" customWidth="1"/>
    <col min="2" max="2" width="1.7109375" style="945" hidden="1" customWidth="1"/>
    <col min="3" max="3" width="3.7109375" style="1313" customWidth="1"/>
    <col min="4" max="4" width="3.28515625" style="1470" bestFit="1" customWidth="1"/>
    <col min="5" max="5" width="33.42578125" style="945" bestFit="1" customWidth="1"/>
    <col min="6" max="6" width="4.140625" style="945" customWidth="1"/>
    <col min="7" max="7" width="4.140625" style="945" bestFit="1" customWidth="1"/>
    <col min="8" max="8" width="6.140625" style="945" customWidth="1"/>
    <col min="9" max="9" width="3.5703125" style="945" customWidth="1"/>
    <col min="10" max="10" width="2.7109375" style="940" hidden="1" customWidth="1"/>
    <col min="11" max="11" width="2.7109375" style="951" bestFit="1" customWidth="1"/>
    <col min="12" max="12" width="3.42578125" style="945" bestFit="1" customWidth="1"/>
    <col min="13" max="13" width="2.7109375" style="940" hidden="1" customWidth="1"/>
    <col min="14" max="14" width="2.7109375" style="945" bestFit="1" customWidth="1"/>
    <col min="15" max="15" width="3.42578125" style="945" bestFit="1" customWidth="1"/>
    <col min="16" max="16" width="2.7109375" style="940" hidden="1" customWidth="1"/>
    <col min="17" max="17" width="2.7109375" style="945" bestFit="1" customWidth="1"/>
    <col min="18" max="18" width="5.5703125" style="940" hidden="1" customWidth="1"/>
    <col min="19" max="19" width="2.7109375" style="945" bestFit="1" customWidth="1"/>
    <col min="20" max="20" width="5.42578125" style="945" bestFit="1" customWidth="1"/>
    <col min="21" max="21" width="8.42578125" style="945" bestFit="1" customWidth="1"/>
    <col min="22" max="22" width="3.7109375" style="945" bestFit="1" customWidth="1"/>
    <col min="23" max="23" width="3.5703125" style="945" bestFit="1" customWidth="1"/>
    <col min="24" max="24" width="3.85546875" style="940" hidden="1" customWidth="1"/>
    <col min="25" max="25" width="2.5703125" style="940" hidden="1" customWidth="1"/>
    <col min="26" max="26" width="3.85546875" style="940" hidden="1" customWidth="1"/>
    <col min="27" max="27" width="1.85546875" style="940" hidden="1" customWidth="1"/>
    <col min="28" max="28" width="3.85546875" style="940" hidden="1" customWidth="1"/>
    <col min="29" max="29" width="1.85546875" style="940" hidden="1" customWidth="1"/>
    <col min="30" max="30" width="3.7109375" style="940" hidden="1" customWidth="1"/>
    <col min="31" max="31" width="2.5703125" style="940" hidden="1" customWidth="1"/>
    <col min="32" max="32" width="2.7109375" style="945" bestFit="1" customWidth="1"/>
    <col min="33" max="33" width="3.85546875" style="945" bestFit="1" customWidth="1"/>
    <col min="34" max="34" width="3.85546875" style="940" hidden="1" customWidth="1"/>
    <col min="35" max="35" width="1.85546875" style="940" hidden="1" customWidth="1"/>
    <col min="36" max="36" width="3.85546875" style="940" hidden="1" customWidth="1"/>
    <col min="37" max="37" width="1.85546875" style="940" hidden="1" customWidth="1"/>
    <col min="38" max="38" width="3.85546875" style="940" hidden="1" customWidth="1"/>
    <col min="39" max="39" width="1.85546875" style="940" hidden="1" customWidth="1"/>
    <col min="40" max="40" width="3.7109375" style="940" hidden="1" customWidth="1"/>
    <col min="41" max="41" width="2.5703125" style="940" hidden="1" customWidth="1"/>
    <col min="42" max="42" width="2.7109375" style="945" customWidth="1"/>
    <col min="43" max="43" width="3.5703125" style="945" bestFit="1" customWidth="1"/>
    <col min="44" max="44" width="3.85546875" style="940" hidden="1" customWidth="1"/>
    <col min="45" max="45" width="1.85546875" style="940" hidden="1" customWidth="1"/>
    <col min="46" max="46" width="3.85546875" style="940" hidden="1" customWidth="1"/>
    <col min="47" max="47" width="2.5703125" style="940" hidden="1" customWidth="1"/>
    <col min="48" max="48" width="3.85546875" style="940" hidden="1" customWidth="1"/>
    <col min="49" max="49" width="1.85546875" style="940" hidden="1" customWidth="1"/>
    <col min="50" max="50" width="3.7109375" style="940" hidden="1" customWidth="1"/>
    <col min="51" max="51" width="2.5703125" style="940" hidden="1" customWidth="1"/>
    <col min="52" max="52" width="2.7109375" style="945" bestFit="1" customWidth="1"/>
    <col min="53" max="53" width="3.85546875" style="945" bestFit="1" customWidth="1"/>
    <col min="54" max="54" width="3.85546875" style="940" hidden="1" customWidth="1"/>
    <col min="55" max="55" width="1.85546875" style="940" hidden="1" customWidth="1"/>
    <col min="56" max="56" width="3.85546875" style="940" hidden="1" customWidth="1"/>
    <col min="57" max="57" width="1.85546875" style="940" hidden="1" customWidth="1"/>
    <col min="58" max="58" width="3.85546875" style="940" hidden="1" customWidth="1"/>
    <col min="59" max="59" width="2.5703125" style="940" hidden="1" customWidth="1"/>
    <col min="60" max="60" width="3.7109375" style="940" hidden="1" customWidth="1"/>
    <col min="61" max="61" width="2.5703125" style="940" hidden="1" customWidth="1"/>
    <col min="62" max="62" width="2.7109375" style="945" bestFit="1" customWidth="1"/>
    <col min="63" max="64" width="7.85546875" style="945" customWidth="1"/>
    <col min="65" max="65" width="7.85546875" style="945" bestFit="1" customWidth="1"/>
    <col min="66" max="66" width="6.5703125" style="940" hidden="1" customWidth="1"/>
    <col min="67" max="67" width="7.42578125" style="940" hidden="1" customWidth="1"/>
    <col min="68" max="69" width="7.140625" style="942" hidden="1" customWidth="1"/>
    <col min="70" max="70" width="6.7109375" style="942" hidden="1" customWidth="1"/>
    <col min="71" max="71" width="6.85546875" style="940" hidden="1" customWidth="1"/>
    <col min="72" max="72" width="6.7109375" style="960" customWidth="1"/>
    <col min="73" max="73" width="6.7109375" style="1013" customWidth="1"/>
    <col min="74" max="74" width="2.7109375" style="944" hidden="1" customWidth="1"/>
    <col min="75" max="75" width="8.140625" style="945" customWidth="1"/>
    <col min="76" max="76" width="8.140625" style="945" hidden="1" customWidth="1"/>
    <col min="77" max="77" width="7.140625" style="945" customWidth="1"/>
    <col min="78" max="78" width="0.5703125" style="1306" customWidth="1"/>
    <col min="79" max="79" width="2" style="945" customWidth="1"/>
    <col min="80" max="80" width="1.7109375" style="945" customWidth="1"/>
    <col min="81" max="81" width="5.7109375" style="1436"/>
    <col min="82" max="121" width="5.7109375" style="945"/>
    <col min="122" max="122" width="2" style="945" customWidth="1"/>
    <col min="123" max="123" width="0.85546875" style="1317" customWidth="1"/>
    <col min="124" max="124" width="2" style="945" customWidth="1"/>
    <col min="125" max="125" width="8.85546875" style="1436" customWidth="1"/>
    <col min="126" max="126" width="12.140625" style="1436" customWidth="1"/>
    <col min="127" max="127" width="9.140625" style="1436" customWidth="1"/>
    <col min="128" max="128" width="13.5703125" style="1436" customWidth="1"/>
    <col min="129" max="129" width="1.85546875" style="945" customWidth="1"/>
    <col min="130" max="130" width="2" style="945" customWidth="1"/>
    <col min="131" max="16384" width="5.7109375" style="945"/>
  </cols>
  <sheetData>
    <row r="1" spans="1:132" ht="12" thickBot="1" x14ac:dyDescent="0.25">
      <c r="A1" s="939"/>
      <c r="B1" s="939"/>
      <c r="C1" s="1307"/>
      <c r="D1" s="1445"/>
      <c r="E1" s="939"/>
      <c r="F1" s="939"/>
      <c r="G1" s="939"/>
      <c r="H1" s="939"/>
      <c r="I1" s="939"/>
      <c r="K1" s="941"/>
      <c r="L1" s="939"/>
      <c r="N1" s="939"/>
      <c r="O1" s="939"/>
      <c r="Q1" s="939"/>
      <c r="S1" s="939"/>
      <c r="T1" s="939"/>
      <c r="U1" s="939"/>
      <c r="V1" s="939"/>
      <c r="W1" s="939"/>
      <c r="AF1" s="939"/>
      <c r="AG1" s="939"/>
      <c r="AP1" s="939"/>
      <c r="AQ1" s="939"/>
      <c r="AZ1" s="939"/>
      <c r="BA1" s="939"/>
      <c r="BJ1" s="939"/>
      <c r="BK1" s="939"/>
      <c r="BL1" s="939"/>
      <c r="BM1" s="939"/>
      <c r="BT1" s="943"/>
      <c r="BU1" s="943"/>
      <c r="BW1" s="939"/>
      <c r="BX1" s="941"/>
      <c r="BY1" s="941"/>
      <c r="BZ1" s="1302"/>
      <c r="CA1" s="939"/>
      <c r="DR1" s="939"/>
      <c r="DT1" s="1307"/>
      <c r="DU1" s="1419"/>
      <c r="DV1" s="1419"/>
      <c r="DW1" s="1420"/>
      <c r="DX1" s="1419"/>
      <c r="DY1" s="939"/>
      <c r="DZ1" s="939"/>
    </row>
    <row r="2" spans="1:132" ht="12" thickBot="1" x14ac:dyDescent="0.25">
      <c r="A2" s="939"/>
      <c r="B2" s="939"/>
      <c r="C2" s="1308"/>
      <c r="D2" s="1446"/>
      <c r="E2" s="946"/>
      <c r="F2" s="946"/>
      <c r="G2" s="946"/>
      <c r="H2" s="946"/>
      <c r="I2" s="946"/>
      <c r="J2" s="947"/>
      <c r="K2" s="946"/>
      <c r="L2" s="946"/>
      <c r="M2" s="947"/>
      <c r="N2" s="946"/>
      <c r="O2" s="946"/>
      <c r="P2" s="947"/>
      <c r="Q2" s="946"/>
      <c r="R2" s="947"/>
      <c r="S2" s="946"/>
      <c r="T2" s="946"/>
      <c r="U2" s="946"/>
      <c r="V2" s="946"/>
      <c r="W2" s="946"/>
      <c r="X2" s="947"/>
      <c r="Y2" s="947"/>
      <c r="Z2" s="947"/>
      <c r="AA2" s="947"/>
      <c r="AB2" s="947"/>
      <c r="AC2" s="947"/>
      <c r="AD2" s="947"/>
      <c r="AE2" s="947"/>
      <c r="AF2" s="946"/>
      <c r="AG2" s="946"/>
      <c r="AH2" s="947"/>
      <c r="AI2" s="947"/>
      <c r="AJ2" s="947"/>
      <c r="AK2" s="947"/>
      <c r="AL2" s="947"/>
      <c r="AM2" s="947"/>
      <c r="AN2" s="947"/>
      <c r="AO2" s="947"/>
      <c r="AP2" s="946"/>
      <c r="AQ2" s="946"/>
      <c r="AR2" s="947"/>
      <c r="AS2" s="947"/>
      <c r="AT2" s="947"/>
      <c r="AU2" s="947"/>
      <c r="AV2" s="947"/>
      <c r="AW2" s="947"/>
      <c r="AX2" s="947"/>
      <c r="AY2" s="947"/>
      <c r="AZ2" s="946"/>
      <c r="BA2" s="946"/>
      <c r="BB2" s="947"/>
      <c r="BC2" s="947"/>
      <c r="BD2" s="947"/>
      <c r="BE2" s="947"/>
      <c r="BF2" s="947"/>
      <c r="BG2" s="947"/>
      <c r="BH2" s="947"/>
      <c r="BI2" s="947"/>
      <c r="BJ2" s="946"/>
      <c r="BK2" s="946"/>
      <c r="BL2" s="946"/>
      <c r="BM2" s="946"/>
      <c r="BN2" s="947"/>
      <c r="BO2" s="947"/>
      <c r="BP2" s="948"/>
      <c r="BQ2" s="948"/>
      <c r="BR2" s="948"/>
      <c r="BS2" s="947"/>
      <c r="BT2" s="949"/>
      <c r="BU2" s="950"/>
      <c r="BV2" s="948"/>
      <c r="BW2" s="946"/>
      <c r="BX2" s="946"/>
      <c r="BY2" s="1285"/>
      <c r="BZ2" s="1303"/>
      <c r="CA2" s="939"/>
      <c r="DR2" s="939"/>
      <c r="DT2" s="1308"/>
      <c r="DU2" s="1421"/>
      <c r="DV2" s="1421"/>
      <c r="DW2" s="1421"/>
      <c r="DX2" s="1421"/>
      <c r="DY2" s="1289"/>
      <c r="DZ2" s="939"/>
    </row>
    <row r="3" spans="1:132" ht="12" customHeight="1" x14ac:dyDescent="0.2">
      <c r="A3" s="939"/>
      <c r="B3" s="939"/>
      <c r="C3" s="1309"/>
      <c r="D3" s="1447"/>
      <c r="E3" s="952"/>
      <c r="F3" s="4788" t="s">
        <v>4532</v>
      </c>
      <c r="G3" s="4788"/>
      <c r="H3" s="4788"/>
      <c r="I3" s="4788"/>
      <c r="J3" s="4788"/>
      <c r="K3" s="4788"/>
      <c r="L3" s="4788"/>
      <c r="M3" s="4788"/>
      <c r="N3" s="4788"/>
      <c r="O3" s="4788"/>
      <c r="P3" s="4788"/>
      <c r="Q3" s="4788"/>
      <c r="R3" s="4788"/>
      <c r="S3" s="4788"/>
      <c r="T3" s="4788"/>
      <c r="U3" s="4788"/>
      <c r="V3" s="4788"/>
      <c r="W3" s="4788"/>
      <c r="X3" s="4788"/>
      <c r="Y3" s="4788"/>
      <c r="Z3" s="4788"/>
      <c r="AA3" s="4788"/>
      <c r="AB3" s="4788"/>
      <c r="AC3" s="4788"/>
      <c r="AD3" s="4788"/>
      <c r="AE3" s="4788"/>
      <c r="AF3" s="4788"/>
      <c r="AG3" s="4788"/>
      <c r="AH3" s="4788"/>
      <c r="AI3" s="4788"/>
      <c r="AJ3" s="4788"/>
      <c r="AK3" s="4788"/>
      <c r="AL3" s="4788"/>
      <c r="AM3" s="4788"/>
      <c r="AN3" s="4788"/>
      <c r="AO3" s="4788"/>
      <c r="AP3" s="4788"/>
      <c r="AQ3" s="4788"/>
      <c r="AR3" s="4788"/>
      <c r="AS3" s="4788"/>
      <c r="AT3" s="4788"/>
      <c r="AU3" s="4788"/>
      <c r="AV3" s="4788"/>
      <c r="AW3" s="4788"/>
      <c r="AX3" s="4788"/>
      <c r="AY3" s="4788"/>
      <c r="AZ3" s="4788"/>
      <c r="BA3" s="4788"/>
      <c r="BB3" s="4788"/>
      <c r="BC3" s="4788"/>
      <c r="BD3" s="4788"/>
      <c r="BE3" s="4788"/>
      <c r="BF3" s="4788"/>
      <c r="BG3" s="4788"/>
      <c r="BH3" s="4788"/>
      <c r="BI3" s="4788"/>
      <c r="BJ3" s="4788"/>
      <c r="BK3" s="4788"/>
      <c r="BL3" s="4788"/>
      <c r="BM3" s="4788"/>
      <c r="BN3" s="4788"/>
      <c r="BO3" s="4788"/>
      <c r="BP3" s="4788"/>
      <c r="BQ3" s="4788"/>
      <c r="BR3" s="4788"/>
      <c r="BS3" s="4788"/>
      <c r="BT3" s="4788"/>
      <c r="BU3" s="4789"/>
      <c r="BV3" s="953"/>
      <c r="BW3" s="951"/>
      <c r="BX3" s="951"/>
      <c r="BY3" s="1286"/>
      <c r="BZ3" s="1304"/>
      <c r="CA3" s="939"/>
      <c r="DR3" s="939"/>
      <c r="DT3" s="1309"/>
      <c r="DU3" s="4779" t="s">
        <v>8626</v>
      </c>
      <c r="DV3" s="4780"/>
      <c r="DW3" s="4780"/>
      <c r="DX3" s="4781"/>
      <c r="DY3" s="1290"/>
      <c r="DZ3" s="939"/>
    </row>
    <row r="4" spans="1:132" ht="12" customHeight="1" x14ac:dyDescent="0.2">
      <c r="A4" s="939"/>
      <c r="B4" s="939"/>
      <c r="C4" s="1309"/>
      <c r="D4" s="1448"/>
      <c r="E4" s="954"/>
      <c r="F4" s="4790"/>
      <c r="G4" s="4790"/>
      <c r="H4" s="4790"/>
      <c r="I4" s="4790"/>
      <c r="J4" s="4790"/>
      <c r="K4" s="4790"/>
      <c r="L4" s="4790"/>
      <c r="M4" s="4790"/>
      <c r="N4" s="4790"/>
      <c r="O4" s="4790"/>
      <c r="P4" s="4790"/>
      <c r="Q4" s="4790"/>
      <c r="R4" s="4790"/>
      <c r="S4" s="4790"/>
      <c r="T4" s="4790"/>
      <c r="U4" s="4790"/>
      <c r="V4" s="4790"/>
      <c r="W4" s="4790"/>
      <c r="X4" s="4790"/>
      <c r="Y4" s="4790"/>
      <c r="Z4" s="4790"/>
      <c r="AA4" s="4790"/>
      <c r="AB4" s="4790"/>
      <c r="AC4" s="4790"/>
      <c r="AD4" s="4790"/>
      <c r="AE4" s="4790"/>
      <c r="AF4" s="4790"/>
      <c r="AG4" s="4790"/>
      <c r="AH4" s="4790"/>
      <c r="AI4" s="4790"/>
      <c r="AJ4" s="4790"/>
      <c r="AK4" s="4790"/>
      <c r="AL4" s="4790"/>
      <c r="AM4" s="4790"/>
      <c r="AN4" s="4790"/>
      <c r="AO4" s="4790"/>
      <c r="AP4" s="4790"/>
      <c r="AQ4" s="4790"/>
      <c r="AR4" s="4790"/>
      <c r="AS4" s="4790"/>
      <c r="AT4" s="4790"/>
      <c r="AU4" s="4790"/>
      <c r="AV4" s="4790"/>
      <c r="AW4" s="4790"/>
      <c r="AX4" s="4790"/>
      <c r="AY4" s="4790"/>
      <c r="AZ4" s="4790"/>
      <c r="BA4" s="4790"/>
      <c r="BB4" s="4790"/>
      <c r="BC4" s="4790"/>
      <c r="BD4" s="4790"/>
      <c r="BE4" s="4790"/>
      <c r="BF4" s="4790"/>
      <c r="BG4" s="4790"/>
      <c r="BH4" s="4790"/>
      <c r="BI4" s="4790"/>
      <c r="BJ4" s="4790"/>
      <c r="BK4" s="4790"/>
      <c r="BL4" s="4790"/>
      <c r="BM4" s="4790"/>
      <c r="BN4" s="4790"/>
      <c r="BO4" s="4790"/>
      <c r="BP4" s="4790"/>
      <c r="BQ4" s="4790"/>
      <c r="BR4" s="4790"/>
      <c r="BS4" s="4790"/>
      <c r="BT4" s="4790"/>
      <c r="BU4" s="4791"/>
      <c r="BV4" s="953"/>
      <c r="BW4" s="951"/>
      <c r="BX4" s="951"/>
      <c r="BY4" s="1286"/>
      <c r="BZ4" s="1304"/>
      <c r="CA4" s="939"/>
      <c r="DR4" s="939"/>
      <c r="DT4" s="1309"/>
      <c r="DU4" s="4782"/>
      <c r="DV4" s="4783"/>
      <c r="DW4" s="4783"/>
      <c r="DX4" s="4784"/>
      <c r="DY4" s="1290"/>
      <c r="DZ4" s="939"/>
    </row>
    <row r="5" spans="1:132" ht="12" customHeight="1" x14ac:dyDescent="0.2">
      <c r="A5" s="939"/>
      <c r="B5" s="939"/>
      <c r="C5" s="1309"/>
      <c r="D5" s="1448"/>
      <c r="E5" s="954"/>
      <c r="F5" s="4790"/>
      <c r="G5" s="4790"/>
      <c r="H5" s="4790"/>
      <c r="I5" s="4790"/>
      <c r="J5" s="4790"/>
      <c r="K5" s="4790"/>
      <c r="L5" s="4790"/>
      <c r="M5" s="4790"/>
      <c r="N5" s="4790"/>
      <c r="O5" s="4790"/>
      <c r="P5" s="4790"/>
      <c r="Q5" s="4790"/>
      <c r="R5" s="4790"/>
      <c r="S5" s="4790"/>
      <c r="T5" s="4790"/>
      <c r="U5" s="4790"/>
      <c r="V5" s="4790"/>
      <c r="W5" s="4790"/>
      <c r="X5" s="4790"/>
      <c r="Y5" s="4790"/>
      <c r="Z5" s="4790"/>
      <c r="AA5" s="4790"/>
      <c r="AB5" s="4790"/>
      <c r="AC5" s="4790"/>
      <c r="AD5" s="4790"/>
      <c r="AE5" s="4790"/>
      <c r="AF5" s="4790"/>
      <c r="AG5" s="4790"/>
      <c r="AH5" s="4790"/>
      <c r="AI5" s="4790"/>
      <c r="AJ5" s="4790"/>
      <c r="AK5" s="4790"/>
      <c r="AL5" s="4790"/>
      <c r="AM5" s="4790"/>
      <c r="AN5" s="4790"/>
      <c r="AO5" s="4790"/>
      <c r="AP5" s="4790"/>
      <c r="AQ5" s="4790"/>
      <c r="AR5" s="4790"/>
      <c r="AS5" s="4790"/>
      <c r="AT5" s="4790"/>
      <c r="AU5" s="4790"/>
      <c r="AV5" s="4790"/>
      <c r="AW5" s="4790"/>
      <c r="AX5" s="4790"/>
      <c r="AY5" s="4790"/>
      <c r="AZ5" s="4790"/>
      <c r="BA5" s="4790"/>
      <c r="BB5" s="4790"/>
      <c r="BC5" s="4790"/>
      <c r="BD5" s="4790"/>
      <c r="BE5" s="4790"/>
      <c r="BF5" s="4790"/>
      <c r="BG5" s="4790"/>
      <c r="BH5" s="4790"/>
      <c r="BI5" s="4790"/>
      <c r="BJ5" s="4790"/>
      <c r="BK5" s="4790"/>
      <c r="BL5" s="4790"/>
      <c r="BM5" s="4790"/>
      <c r="BN5" s="4790"/>
      <c r="BO5" s="4790"/>
      <c r="BP5" s="4790"/>
      <c r="BQ5" s="4790"/>
      <c r="BR5" s="4790"/>
      <c r="BS5" s="4790"/>
      <c r="BT5" s="4790"/>
      <c r="BU5" s="4791"/>
      <c r="BV5" s="953"/>
      <c r="BW5" s="951"/>
      <c r="BX5" s="951"/>
      <c r="BY5" s="1286"/>
      <c r="BZ5" s="1304"/>
      <c r="CA5" s="939"/>
      <c r="DR5" s="939"/>
      <c r="DT5" s="1323"/>
      <c r="DU5" s="4782"/>
      <c r="DV5" s="4783"/>
      <c r="DW5" s="4783"/>
      <c r="DX5" s="4784"/>
      <c r="DY5" s="1324"/>
      <c r="DZ5" s="939"/>
    </row>
    <row r="6" spans="1:132" ht="12" customHeight="1" thickBot="1" x14ac:dyDescent="0.25">
      <c r="A6" s="939"/>
      <c r="B6" s="939"/>
      <c r="C6" s="1309"/>
      <c r="D6" s="1449"/>
      <c r="E6" s="955"/>
      <c r="F6" s="4792"/>
      <c r="G6" s="4792"/>
      <c r="H6" s="4792"/>
      <c r="I6" s="4792"/>
      <c r="J6" s="4792"/>
      <c r="K6" s="4792"/>
      <c r="L6" s="4792"/>
      <c r="M6" s="4792"/>
      <c r="N6" s="4792"/>
      <c r="O6" s="4792"/>
      <c r="P6" s="4792"/>
      <c r="Q6" s="4792"/>
      <c r="R6" s="4792"/>
      <c r="S6" s="4792"/>
      <c r="T6" s="4792"/>
      <c r="U6" s="4792"/>
      <c r="V6" s="4792"/>
      <c r="W6" s="4792"/>
      <c r="X6" s="4792"/>
      <c r="Y6" s="4792"/>
      <c r="Z6" s="4792"/>
      <c r="AA6" s="4792"/>
      <c r="AB6" s="4792"/>
      <c r="AC6" s="4792"/>
      <c r="AD6" s="4792"/>
      <c r="AE6" s="4792"/>
      <c r="AF6" s="4792"/>
      <c r="AG6" s="4792"/>
      <c r="AH6" s="4792"/>
      <c r="AI6" s="4792"/>
      <c r="AJ6" s="4792"/>
      <c r="AK6" s="4792"/>
      <c r="AL6" s="4792"/>
      <c r="AM6" s="4792"/>
      <c r="AN6" s="4792"/>
      <c r="AO6" s="4792"/>
      <c r="AP6" s="4792"/>
      <c r="AQ6" s="4792"/>
      <c r="AR6" s="4792"/>
      <c r="AS6" s="4792"/>
      <c r="AT6" s="4792"/>
      <c r="AU6" s="4792"/>
      <c r="AV6" s="4792"/>
      <c r="AW6" s="4792"/>
      <c r="AX6" s="4792"/>
      <c r="AY6" s="4792"/>
      <c r="AZ6" s="4792"/>
      <c r="BA6" s="4792"/>
      <c r="BB6" s="4792"/>
      <c r="BC6" s="4792"/>
      <c r="BD6" s="4792"/>
      <c r="BE6" s="4792"/>
      <c r="BF6" s="4792"/>
      <c r="BG6" s="4792"/>
      <c r="BH6" s="4792"/>
      <c r="BI6" s="4792"/>
      <c r="BJ6" s="4792"/>
      <c r="BK6" s="4792"/>
      <c r="BL6" s="4792"/>
      <c r="BM6" s="4792"/>
      <c r="BN6" s="4792"/>
      <c r="BO6" s="4792"/>
      <c r="BP6" s="4792"/>
      <c r="BQ6" s="4792"/>
      <c r="BR6" s="4792"/>
      <c r="BS6" s="4792"/>
      <c r="BT6" s="4792"/>
      <c r="BU6" s="4793"/>
      <c r="BV6" s="953"/>
      <c r="BW6" s="951"/>
      <c r="BX6" s="951"/>
      <c r="BY6" s="1286"/>
      <c r="BZ6" s="1304"/>
      <c r="CA6" s="939"/>
      <c r="DR6" s="939"/>
      <c r="DT6" s="1323"/>
      <c r="DU6" s="4785"/>
      <c r="DV6" s="4786"/>
      <c r="DW6" s="4786"/>
      <c r="DX6" s="4787"/>
      <c r="DY6" s="1324"/>
      <c r="DZ6" s="939"/>
    </row>
    <row r="7" spans="1:132" ht="12" customHeight="1" x14ac:dyDescent="0.2">
      <c r="A7" s="939"/>
      <c r="B7" s="939"/>
      <c r="C7" s="4822"/>
      <c r="D7" s="1450" t="s">
        <v>7698</v>
      </c>
      <c r="E7" s="2941"/>
      <c r="F7" s="957"/>
      <c r="G7" s="957"/>
      <c r="H7" s="957"/>
      <c r="I7" s="957"/>
      <c r="J7" s="958"/>
      <c r="K7" s="957"/>
      <c r="L7" s="957"/>
      <c r="M7" s="958"/>
      <c r="N7" s="957"/>
      <c r="O7" s="957"/>
      <c r="P7" s="958"/>
      <c r="Q7" s="957"/>
      <c r="R7" s="958"/>
      <c r="S7" s="957"/>
      <c r="T7" s="957"/>
      <c r="U7" s="957"/>
      <c r="V7" s="957"/>
      <c r="W7" s="951"/>
      <c r="X7" s="958"/>
      <c r="Y7" s="958"/>
      <c r="Z7" s="958"/>
      <c r="AA7" s="958"/>
      <c r="AB7" s="958"/>
      <c r="AC7" s="958"/>
      <c r="AD7" s="958"/>
      <c r="AE7" s="958"/>
      <c r="AF7" s="957"/>
      <c r="AG7" s="951"/>
      <c r="AH7" s="958"/>
      <c r="AI7" s="958"/>
      <c r="AJ7" s="958"/>
      <c r="AK7" s="958"/>
      <c r="AL7" s="958"/>
      <c r="AM7" s="958"/>
      <c r="AN7" s="958"/>
      <c r="AO7" s="958"/>
      <c r="AP7" s="951"/>
      <c r="AQ7" s="951"/>
      <c r="AR7" s="958"/>
      <c r="AS7" s="958"/>
      <c r="AT7" s="958"/>
      <c r="AU7" s="958"/>
      <c r="AV7" s="958"/>
      <c r="AW7" s="958"/>
      <c r="AX7" s="958"/>
      <c r="AY7" s="958"/>
      <c r="AZ7" s="951"/>
      <c r="BA7" s="951"/>
      <c r="BB7" s="958"/>
      <c r="BC7" s="958"/>
      <c r="BD7" s="958"/>
      <c r="BE7" s="958"/>
      <c r="BF7" s="958"/>
      <c r="BG7" s="958"/>
      <c r="BH7" s="958"/>
      <c r="BI7" s="958"/>
      <c r="BJ7" s="951"/>
      <c r="BK7" s="951"/>
      <c r="BL7" s="951"/>
      <c r="BM7" s="951"/>
      <c r="BN7" s="944">
        <f>SUM(BN9:BN42)</f>
        <v>0</v>
      </c>
      <c r="BO7" s="944">
        <f>SUM(BO9:BO42)</f>
        <v>0</v>
      </c>
      <c r="BP7" s="944">
        <f>MAX(BP9:BP42)</f>
        <v>0</v>
      </c>
      <c r="BQ7" s="944">
        <f>MAX(BQ9:BQ42)</f>
        <v>0</v>
      </c>
      <c r="BR7" s="944">
        <f>MAX(BR9:BR42)</f>
        <v>0</v>
      </c>
      <c r="BS7" s="959"/>
      <c r="BU7" s="956"/>
      <c r="BV7" s="961"/>
      <c r="BW7" s="951"/>
      <c r="BX7" s="951"/>
      <c r="BY7" s="1286"/>
      <c r="BZ7" s="1304"/>
      <c r="CA7" s="939"/>
      <c r="DR7" s="939"/>
      <c r="DT7" s="1325"/>
      <c r="DU7" s="1422"/>
      <c r="DV7" s="1423"/>
      <c r="DW7" s="1423"/>
      <c r="DX7" s="1423"/>
      <c r="DY7" s="1324"/>
      <c r="DZ7" s="939"/>
    </row>
    <row r="8" spans="1:132" ht="12" customHeight="1" thickBot="1" x14ac:dyDescent="0.25">
      <c r="A8" s="939"/>
      <c r="B8" s="939"/>
      <c r="C8" s="4822"/>
      <c r="D8" s="1451">
        <v>1</v>
      </c>
      <c r="E8" s="962" t="s">
        <v>8064</v>
      </c>
      <c r="F8" s="963" t="s">
        <v>1789</v>
      </c>
      <c r="G8" s="964" t="s">
        <v>1790</v>
      </c>
      <c r="H8" s="964" t="s">
        <v>1811</v>
      </c>
      <c r="I8" s="965" t="s">
        <v>3334</v>
      </c>
      <c r="J8" s="966"/>
      <c r="K8" s="967"/>
      <c r="L8" s="965" t="s">
        <v>3335</v>
      </c>
      <c r="M8" s="966"/>
      <c r="N8" s="967"/>
      <c r="O8" s="965" t="s">
        <v>3336</v>
      </c>
      <c r="P8" s="966"/>
      <c r="Q8" s="967"/>
      <c r="R8" s="968" t="s">
        <v>4533</v>
      </c>
      <c r="S8" s="964" t="s">
        <v>3304</v>
      </c>
      <c r="T8" s="1386" t="s">
        <v>1708</v>
      </c>
      <c r="U8" s="1386" t="s">
        <v>1679</v>
      </c>
      <c r="V8" s="1386" t="s">
        <v>3337</v>
      </c>
      <c r="W8" s="4794" t="s">
        <v>3338</v>
      </c>
      <c r="X8" s="4794"/>
      <c r="Y8" s="4794"/>
      <c r="Z8" s="4794"/>
      <c r="AA8" s="4794"/>
      <c r="AB8" s="4794"/>
      <c r="AC8" s="4794"/>
      <c r="AD8" s="4794"/>
      <c r="AE8" s="4794"/>
      <c r="AF8" s="4794"/>
      <c r="AG8" s="4794"/>
      <c r="AH8" s="4794"/>
      <c r="AI8" s="4794"/>
      <c r="AJ8" s="4794"/>
      <c r="AK8" s="4794"/>
      <c r="AL8" s="4794"/>
      <c r="AM8" s="4794"/>
      <c r="AN8" s="4794"/>
      <c r="AO8" s="4794"/>
      <c r="AP8" s="4794"/>
      <c r="AQ8" s="4794"/>
      <c r="AR8" s="4794"/>
      <c r="AS8" s="4794"/>
      <c r="AT8" s="4794"/>
      <c r="AU8" s="4794"/>
      <c r="AV8" s="4794"/>
      <c r="AW8" s="4794"/>
      <c r="AX8" s="4794"/>
      <c r="AY8" s="4794"/>
      <c r="AZ8" s="4794"/>
      <c r="BA8" s="4794"/>
      <c r="BB8" s="4794"/>
      <c r="BC8" s="4794"/>
      <c r="BD8" s="4794"/>
      <c r="BE8" s="4794"/>
      <c r="BF8" s="4794"/>
      <c r="BG8" s="4794"/>
      <c r="BH8" s="4794"/>
      <c r="BI8" s="4794"/>
      <c r="BJ8" s="4794"/>
      <c r="BK8" s="4794" t="s">
        <v>3339</v>
      </c>
      <c r="BL8" s="4794"/>
      <c r="BM8" s="4795"/>
      <c r="BN8" s="969" t="s">
        <v>4534</v>
      </c>
      <c r="BO8" s="969" t="s">
        <v>4535</v>
      </c>
      <c r="BP8" s="969" t="s">
        <v>4536</v>
      </c>
      <c r="BQ8" s="969" t="s">
        <v>4537</v>
      </c>
      <c r="BR8" s="969" t="s">
        <v>4538</v>
      </c>
      <c r="BS8" s="970" t="s">
        <v>4539</v>
      </c>
      <c r="BT8" s="4770" t="s">
        <v>4540</v>
      </c>
      <c r="BU8" s="4771"/>
      <c r="BV8" s="971"/>
      <c r="BW8" s="951"/>
      <c r="BX8" s="951"/>
      <c r="BY8" s="1286"/>
      <c r="BZ8" s="1304"/>
      <c r="CA8" s="939"/>
      <c r="DR8" s="939"/>
      <c r="DT8" s="1325"/>
      <c r="DU8" s="1377"/>
      <c r="DV8" s="1377"/>
      <c r="DW8" s="1377"/>
      <c r="DX8" s="1377"/>
      <c r="DY8" s="1324"/>
      <c r="DZ8" s="939"/>
      <c r="EB8" s="2158">
        <f>D8</f>
        <v>1</v>
      </c>
    </row>
    <row r="9" spans="1:132" ht="11.25" customHeight="1" x14ac:dyDescent="0.2">
      <c r="A9" s="972"/>
      <c r="B9" s="1403"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822"/>
      <c r="D9" s="1452">
        <v>1</v>
      </c>
      <c r="E9" s="1246"/>
      <c r="F9" s="973"/>
      <c r="G9" s="974"/>
      <c r="H9" s="974"/>
      <c r="I9" s="974"/>
      <c r="J9" s="975"/>
      <c r="K9" s="974"/>
      <c r="L9" s="974"/>
      <c r="M9" s="975"/>
      <c r="N9" s="974"/>
      <c r="O9" s="974"/>
      <c r="P9" s="975"/>
      <c r="Q9" s="974"/>
      <c r="R9" s="975"/>
      <c r="S9" s="974"/>
      <c r="T9" s="974"/>
      <c r="U9" s="974"/>
      <c r="V9" s="974"/>
      <c r="W9" s="974"/>
      <c r="X9" s="974"/>
      <c r="Y9" s="974"/>
      <c r="Z9" s="974"/>
      <c r="AA9" s="974"/>
      <c r="AB9" s="974"/>
      <c r="AC9" s="974"/>
      <c r="AD9" s="974"/>
      <c r="AE9" s="974"/>
      <c r="AF9" s="974"/>
      <c r="AG9" s="974"/>
      <c r="AH9" s="974"/>
      <c r="AI9" s="974"/>
      <c r="AJ9" s="974"/>
      <c r="AK9" s="974"/>
      <c r="AL9" s="974"/>
      <c r="AM9" s="974"/>
      <c r="AN9" s="974"/>
      <c r="AO9" s="974"/>
      <c r="AP9" s="974"/>
      <c r="AQ9" s="974"/>
      <c r="AR9" s="974"/>
      <c r="AS9" s="974"/>
      <c r="AT9" s="974"/>
      <c r="AU9" s="974"/>
      <c r="AV9" s="974"/>
      <c r="AW9" s="974"/>
      <c r="AX9" s="974"/>
      <c r="AY9" s="974"/>
      <c r="AZ9" s="974"/>
      <c r="BA9" s="974"/>
      <c r="BB9" s="974"/>
      <c r="BC9" s="974"/>
      <c r="BD9" s="974"/>
      <c r="BE9" s="974"/>
      <c r="BF9" s="974"/>
      <c r="BG9" s="974"/>
      <c r="BH9" s="974"/>
      <c r="BI9" s="974"/>
      <c r="BJ9" s="974"/>
      <c r="BK9" s="974"/>
      <c r="BL9" s="974"/>
      <c r="BM9" s="976"/>
      <c r="BN9" s="977">
        <f>SUM(K9:K12)</f>
        <v>0</v>
      </c>
      <c r="BO9" s="971" t="str">
        <f>IF(E9=0,"",(AF9+AP9+AZ9+BJ9))</f>
        <v/>
      </c>
      <c r="BP9" s="978" t="str">
        <f>IF(I9="Si",VLOOKUP($D$8,'Tablas Técnicas'!$E$4:$F$6,2,FALSE),"")</f>
        <v/>
      </c>
      <c r="BQ9" s="979" t="str">
        <f>IF(L9="Si",VLOOKUP($D$8,'Tablas Técnicas'!$I$4:$J$6,2,FALSE),"")</f>
        <v/>
      </c>
      <c r="BR9" s="977" t="str">
        <f>IF(O9="Si",VLOOKUP($D$8,'Tablas Técnicas'!$I$7:$J$9,2,FALSE),"")</f>
        <v/>
      </c>
      <c r="BS9" s="980">
        <f>VLOOKUP(D8,'Tablas Técnicas'!$P$6:$R$8,3)</f>
        <v>50</v>
      </c>
      <c r="BT9" s="981">
        <f>VLOOKUP(D8,'Tablas Técnicas'!$P$6:$R$8,3,FALSE)</f>
        <v>50</v>
      </c>
      <c r="BU9" s="982">
        <f>VLOOKUP(D8,'Tablas Técnicas'!$P$6:$R$8,2,FALSE)</f>
        <v>20</v>
      </c>
      <c r="BV9" s="971">
        <f>IF(D8=0,"",VLOOKUP(D8,'Tablas Técnicas'!$L$4:$N$7,2,FALSE))</f>
        <v>3</v>
      </c>
      <c r="BW9" s="951"/>
      <c r="BX9" s="951"/>
      <c r="BY9" s="1286"/>
      <c r="BZ9" s="1304"/>
      <c r="CA9" s="939"/>
      <c r="DR9" s="939"/>
      <c r="DT9" s="1325"/>
      <c r="DU9" s="1424" t="s">
        <v>1801</v>
      </c>
      <c r="DV9" s="1425" t="s">
        <v>3315</v>
      </c>
      <c r="DW9" s="1425" t="s">
        <v>3301</v>
      </c>
      <c r="DX9" s="1426" t="s">
        <v>7701</v>
      </c>
      <c r="DY9" s="1324"/>
      <c r="DZ9" s="939"/>
      <c r="EA9" s="1470">
        <f>EB8</f>
        <v>1</v>
      </c>
    </row>
    <row r="10" spans="1:132" ht="11.25" customHeight="1" x14ac:dyDescent="0.2">
      <c r="A10" s="939"/>
      <c r="B10" s="939"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822"/>
      <c r="D10" s="1453" t="s">
        <v>1766</v>
      </c>
      <c r="E10" s="983"/>
      <c r="F10" s="984" t="str">
        <f>IF(E10=0,"",VLOOKUP(E10,'Tablas Técnicas'!$A$14:$V$771,2,FALSE))</f>
        <v/>
      </c>
      <c r="G10" s="985"/>
      <c r="H10" s="986" t="str">
        <f>IF($E10=0,"",VLOOKUP($E10,'Tablas Técnicas'!$A$14:$V$771,4,FALSE))</f>
        <v/>
      </c>
      <c r="I10" s="987" t="s">
        <v>1690</v>
      </c>
      <c r="J10" s="1412" t="str">
        <f>IF(E10=0,"",VLOOKUP(E10,'Tablas Técnicas'!$A$14:$V$771,5,FALSE))</f>
        <v/>
      </c>
      <c r="K10" s="989" t="str">
        <f>IF(I10="Si",IF(E10=0,"",VLOOKUP(E10,'Tablas Técnicas'!$A$14:$V$771,5,FALSE)),"")</f>
        <v/>
      </c>
      <c r="L10" s="987" t="s">
        <v>1690</v>
      </c>
      <c r="M10" s="1412" t="str">
        <f>IF(E10=0,"",VLOOKUP(E10,'Tablas Técnicas'!$A$14:$V$771,6,FALSE))</f>
        <v/>
      </c>
      <c r="N10" s="990" t="str">
        <f>IF(L10="Si",IF(E10=0,"",VLOOKUP(E10,'Tablas Técnicas'!$A$14:$V$771,6,FALSE)),"")</f>
        <v/>
      </c>
      <c r="O10" s="987" t="s">
        <v>1690</v>
      </c>
      <c r="P10" s="1412" t="str">
        <f>IF(E10=0,"",VLOOKUP(E10,'Tablas Técnicas'!$A$14:$V$771,7,FALSE))</f>
        <v/>
      </c>
      <c r="Q10" s="990" t="str">
        <f>IF(O10="Si",IF(E10=0,"",VLOOKUP(E10,'Tablas Técnicas'!$A$14:$V$771,7,FALSE)),"")</f>
        <v/>
      </c>
      <c r="R10" s="988" t="str">
        <f>IF(E10=0,"",VLOOKUP(E10,'Tablas Técnicas'!$A$14:$V$771,8,FALSE))</f>
        <v/>
      </c>
      <c r="S10" s="986" t="str">
        <f>IF(R10=$D$8,$D$8,IF(R10=2,2,IF(R10=3,3,R10)))</f>
        <v/>
      </c>
      <c r="T10" s="989" t="str">
        <f>IF(E10=0,"",VLOOKUP(E10,'Tablas Técnicas'!$A$14:$V$771,9,FALSE))</f>
        <v/>
      </c>
      <c r="U10" s="989" t="str">
        <f>IF(E10=0,"",VLOOKUP(E10,'Tablas Técnicas'!$A$14:$V$771,10,FALSE))</f>
        <v/>
      </c>
      <c r="V10" s="984" t="str">
        <f>IF(E10=0,"",VLOOKUP(E10,'Tablas Técnicas'!$A$14:$V$771,11,FALSE))</f>
        <v/>
      </c>
      <c r="W10" s="987"/>
      <c r="X10" s="988" t="e">
        <f>VLOOKUP(E10,'Tablas Técnicas'!$A$14:$V$771,12,FALSE)</f>
        <v>#N/A</v>
      </c>
      <c r="Y10" s="988" t="e">
        <f>IF(W10=X10,VLOOKUP(E10,'Tablas Técnicas'!$A$14:$V$771,13,FALSE),0)</f>
        <v>#N/A</v>
      </c>
      <c r="Z10" s="988" t="e">
        <f>VLOOKUP(E10,'Tablas Técnicas'!$A$14:$V$771,14,FALSE)</f>
        <v>#N/A</v>
      </c>
      <c r="AA10" s="988" t="e">
        <f>IF(W10=Z10,VLOOKUP(E10,'Tablas Técnicas'!$A$14:$V$616,15,FALSE),0)</f>
        <v>#N/A</v>
      </c>
      <c r="AB10" s="988" t="e">
        <f>VLOOKUP(E10,'Tablas Técnicas'!$A$14:$V$771,16,FALSE)</f>
        <v>#N/A</v>
      </c>
      <c r="AC10" s="988" t="e">
        <f>IF(W10=AB10,VLOOKUP(E10,'Tablas Técnicas'!$A$14:$V$616,17,FALSE),0)</f>
        <v>#N/A</v>
      </c>
      <c r="AD10" s="988" t="e">
        <f>VLOOKUP(E10,'Tablas Técnicas'!$A$14:$V$771,18,FALSE)</f>
        <v>#N/A</v>
      </c>
      <c r="AE10" s="988" t="e">
        <f>IF(W10=AD10,VLOOKUP(E10,'Tablas Técnicas'!$A$14:$V$771,19,FALSE),0)</f>
        <v>#N/A</v>
      </c>
      <c r="AF10" s="990" t="str">
        <f>IF(E10=0,"",(Y10+AA10+AC10+AE10))</f>
        <v/>
      </c>
      <c r="AG10" s="987"/>
      <c r="AH10" s="988" t="e">
        <f>VLOOKUP(E10,'Tablas Técnicas'!$A$14:$V$771,12,FALSE)</f>
        <v>#N/A</v>
      </c>
      <c r="AI10" s="988" t="e">
        <f>IF(AG10=AH10,VLOOKUP(E10,'Tablas Técnicas'!$A$14:$V$771,13,FALSE),0)</f>
        <v>#N/A</v>
      </c>
      <c r="AJ10" s="988" t="e">
        <f>VLOOKUP(E10,'Tablas Técnicas'!$A$14:$V$771,14,FALSE)</f>
        <v>#N/A</v>
      </c>
      <c r="AK10" s="988" t="e">
        <f>IF(AG10=AJ10,VLOOKUP(E10,'Tablas Técnicas'!$A$14:$V$771,15,FALSE),0)</f>
        <v>#N/A</v>
      </c>
      <c r="AL10" s="988" t="e">
        <f>VLOOKUP(E10,'Tablas Técnicas'!$A$14:$V$771,16,FALSE)</f>
        <v>#N/A</v>
      </c>
      <c r="AM10" s="988" t="e">
        <f>IF(AG10=AL10,VLOOKUP(E10,'Tablas Técnicas'!$A$14:$V$771,17,FALSE),0)</f>
        <v>#N/A</v>
      </c>
      <c r="AN10" s="988" t="e">
        <f>VLOOKUP(E10,'Tablas Técnicas'!$A$14:$V$771,18,FALSE)</f>
        <v>#N/A</v>
      </c>
      <c r="AO10" s="988" t="e">
        <f>IF(AG10=AN10,VLOOKUP(E10,'Tablas Técnicas'!$A$14:$V$771,19,FALSE),0)</f>
        <v>#N/A</v>
      </c>
      <c r="AP10" s="990" t="str">
        <f>IF(E10=0,"",(AI10+AK10+AM10+AO10))</f>
        <v/>
      </c>
      <c r="AQ10" s="987"/>
      <c r="AR10" s="988" t="e">
        <f>VLOOKUP(E10,'Tablas Técnicas'!$A$14:$V$771,12,FALSE)</f>
        <v>#N/A</v>
      </c>
      <c r="AS10" s="988" t="e">
        <f>IF(AQ10=AR10,VLOOKUP(E10,'Tablas Técnicas'!$A$14:$V$771,13,FALSE),0)</f>
        <v>#N/A</v>
      </c>
      <c r="AT10" s="988" t="e">
        <f>VLOOKUP(E10,'Tablas Técnicas'!$A$14:$V$771,14,FALSE)</f>
        <v>#N/A</v>
      </c>
      <c r="AU10" s="988" t="e">
        <f>IF(AQ10=AT10,VLOOKUP(E10,'Tablas Técnicas'!$A$14:$V$771,15,FALSE),0)</f>
        <v>#N/A</v>
      </c>
      <c r="AV10" s="988" t="e">
        <f>VLOOKUP(E10,'Tablas Técnicas'!$A$14:$V$771,16,FALSE)</f>
        <v>#N/A</v>
      </c>
      <c r="AW10" s="988" t="e">
        <f>IF(AQ10=AV10,VLOOKUP(E10,'Tablas Técnicas'!$A$14:$V$771,17,FALSE),0)</f>
        <v>#N/A</v>
      </c>
      <c r="AX10" s="988" t="e">
        <f>VLOOKUP(E10,'Tablas Técnicas'!$A$14:$V$771,18,FALSE)</f>
        <v>#N/A</v>
      </c>
      <c r="AY10" s="988" t="e">
        <f>IF(AQ10=AX10,VLOOKUP(E10,'Tablas Técnicas'!$A$14:$V$771,19,FALSE),0)</f>
        <v>#N/A</v>
      </c>
      <c r="AZ10" s="989" t="str">
        <f>IF(E10=0,"",(AS10+AU10+AW10+AY10))</f>
        <v/>
      </c>
      <c r="BA10" s="987"/>
      <c r="BB10" s="988" t="e">
        <f>VLOOKUP(E10,'Tablas Técnicas'!$A$14:$V$771,12,FALSE)</f>
        <v>#N/A</v>
      </c>
      <c r="BC10" s="988" t="e">
        <f>IF(BA10=BB10,VLOOKUP(E10,'Tablas Técnicas'!$A$14:$V$771,13,FALSE),0)</f>
        <v>#N/A</v>
      </c>
      <c r="BD10" s="988" t="e">
        <f>VLOOKUP(E10,'Tablas Técnicas'!$A$14:$V$771,14,FALSE)</f>
        <v>#N/A</v>
      </c>
      <c r="BE10" s="988" t="e">
        <f>IF(BA10=BD10,VLOOKUP(E10,'Tablas Técnicas'!$A$14:$V$771,15,FALSE),0)</f>
        <v>#N/A</v>
      </c>
      <c r="BF10" s="988" t="e">
        <f>VLOOKUP(E10,'Tablas Técnicas'!$A$14:$V$771,16,FALSE)</f>
        <v>#N/A</v>
      </c>
      <c r="BG10" s="988" t="e">
        <f>IF(BA10=BF10,VLOOKUP(E10,'Tablas Técnicas'!$A$14:$V$771,17,FALSE),0)</f>
        <v>#N/A</v>
      </c>
      <c r="BH10" s="988" t="e">
        <f>VLOOKUP(E10,'Tablas Técnicas'!$A$14:$V$771,18,FALSE)</f>
        <v>#N/A</v>
      </c>
      <c r="BI10" s="988" t="e">
        <f>IF(BA10=BH10,VLOOKUP(E10,'Tablas Técnicas'!$A$14:$V$771,19,FALSE),0)</f>
        <v>#N/A</v>
      </c>
      <c r="BJ10" s="990" t="str">
        <f>IF(E10=0,"",(BC10+BE10+BG10+BI10))</f>
        <v/>
      </c>
      <c r="BK10" s="989" t="str">
        <f>IF(E10=0,"",VLOOKUP(E10,'Tablas Técnicas'!$A$14:$V$771,20,FALSE))</f>
        <v/>
      </c>
      <c r="BL10" s="989" t="str">
        <f>IF(E10=0,"",VLOOKUP(E10,'Tablas Técnicas'!$A$14:$V$771,21,FALSE))</f>
        <v/>
      </c>
      <c r="BM10" s="991" t="str">
        <f>IF(E10=0,"",VLOOKUP(E10,'Tablas Técnicas'!$A$14:$V$771,22,FALSE))</f>
        <v/>
      </c>
      <c r="BN10" s="992"/>
      <c r="BO10" s="993"/>
      <c r="BP10" s="978" t="str">
        <f>IF(I10="Si",VLOOKUP($D$8,'Tablas Técnicas'!$E$4:$F$6,2,FALSE),"")</f>
        <v/>
      </c>
      <c r="BQ10" s="979" t="str">
        <f>IF(L10="Si",VLOOKUP($D$8,'Tablas Técnicas'!$I$4:$J$6,2,FALSE),"")</f>
        <v/>
      </c>
      <c r="BR10" s="977" t="str">
        <f>IF(O10="Si",VLOOKUP($D$8,'Tablas Técnicas'!$I$7:$J$9,2,FALSE),"")</f>
        <v/>
      </c>
      <c r="BS10" s="994"/>
      <c r="BT10" s="4770" t="s">
        <v>4541</v>
      </c>
      <c r="BU10" s="4771"/>
      <c r="BV10" s="971"/>
      <c r="BX10" s="951"/>
      <c r="BY10" s="1286"/>
      <c r="BZ10" s="1304"/>
      <c r="CA10" s="939"/>
      <c r="CC10" s="1377" t="s">
        <v>10066</v>
      </c>
      <c r="DR10" s="939"/>
      <c r="DS10" s="1318"/>
      <c r="DT10" s="1325"/>
      <c r="DU10" s="1375" t="str">
        <f>IF(BW23="N/A","",BT22&amp;" "&amp;BW23&amp;IF(BY23="N/A"," "," ("&amp;BY23&amp;") "))</f>
        <v/>
      </c>
      <c r="DV10" s="1376" t="str">
        <f>IF(E10="","",E10)&amp;IF(I10="No",""," (Mant.)")&amp;IF(L10="No",""," (Sme)")&amp;IF(O10="No",""," (SMa)")</f>
        <v/>
      </c>
      <c r="DW10" s="1377" t="str">
        <f>IF(E40="","",E40)</f>
        <v/>
      </c>
      <c r="DX10" s="4778"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24"/>
      <c r="DZ10" s="939"/>
      <c r="EA10" s="1470">
        <f t="shared" ref="EA10:EA73" si="0">EA9</f>
        <v>1</v>
      </c>
    </row>
    <row r="11" spans="1:132" ht="12.75" customHeight="1" x14ac:dyDescent="0.2">
      <c r="A11" s="939"/>
      <c r="B11" s="939"/>
      <c r="C11" s="4822"/>
      <c r="D11" s="1452" t="s">
        <v>1766</v>
      </c>
      <c r="E11" s="995"/>
      <c r="F11" s="996" t="str">
        <f>IF(E11=0,"",VLOOKUP(E11,'Tablas Técnicas'!$A$14:$V$771,2,FALSE))</f>
        <v/>
      </c>
      <c r="G11" s="997"/>
      <c r="H11" s="998" t="str">
        <f>IF($E11=0,"",VLOOKUP($E11,'Tablas Técnicas'!$A$14:$V$771,4,FALSE))</f>
        <v/>
      </c>
      <c r="I11" s="999" t="s">
        <v>1690</v>
      </c>
      <c r="J11" s="1415" t="str">
        <f>IF(E11=0,"",VLOOKUP(E11,'Tablas Técnicas'!$A$14:$V$771,5,FALSE))</f>
        <v/>
      </c>
      <c r="K11" s="1001" t="str">
        <f>IF(I11="Si",IF(E11=0,"",VLOOKUP(E11,'Tablas Técnicas'!$A$14:$V$771,5,FALSE)),"")</f>
        <v/>
      </c>
      <c r="L11" s="999" t="s">
        <v>1690</v>
      </c>
      <c r="M11" s="1415" t="str">
        <f>IF(E11=0,"",VLOOKUP(E11,'Tablas Técnicas'!$A$14:$V$771,6,FALSE))</f>
        <v/>
      </c>
      <c r="N11" s="1002" t="str">
        <f>IF(L11="Si",IF(E11=0,"",VLOOKUP(E11,'Tablas Técnicas'!$A$14:$V$771,6,FALSE)),"")</f>
        <v/>
      </c>
      <c r="O11" s="999" t="s">
        <v>1690</v>
      </c>
      <c r="P11" s="1415" t="str">
        <f>IF(E11=0,"",VLOOKUP(E11,'Tablas Técnicas'!$A$14:$V$771,7,FALSE))</f>
        <v/>
      </c>
      <c r="Q11" s="1002" t="str">
        <f>IF(O11="Si",IF(E11=0,"",VLOOKUP(E11,'Tablas Técnicas'!$A$14:$V$771,7,FALSE)),"")</f>
        <v/>
      </c>
      <c r="R11" s="1000" t="str">
        <f>IF(E11=0,"",VLOOKUP(E11,'Tablas Técnicas'!$A$14:$V$771,8,FALSE))</f>
        <v/>
      </c>
      <c r="S11" s="998" t="str">
        <f>IF(R11=$D$8,$D$8,IF(R11=2,2,IF(R11=3,3,R11)))</f>
        <v/>
      </c>
      <c r="T11" s="4796" t="s">
        <v>4542</v>
      </c>
      <c r="U11" s="4797"/>
      <c r="V11" s="4797"/>
      <c r="W11" s="4797"/>
      <c r="X11" s="4797"/>
      <c r="Y11" s="4797"/>
      <c r="Z11" s="4797"/>
      <c r="AA11" s="4797"/>
      <c r="AB11" s="4797"/>
      <c r="AC11" s="4797"/>
      <c r="AD11" s="4797"/>
      <c r="AE11" s="4797"/>
      <c r="AF11" s="4797"/>
      <c r="AG11" s="4797"/>
      <c r="AH11" s="4797"/>
      <c r="AI11" s="4797"/>
      <c r="AJ11" s="4797"/>
      <c r="AK11" s="4797"/>
      <c r="AL11" s="4797"/>
      <c r="AM11" s="4797"/>
      <c r="AN11" s="4797"/>
      <c r="AO11" s="4797"/>
      <c r="AP11" s="4797"/>
      <c r="AQ11" s="4797"/>
      <c r="AR11" s="4797"/>
      <c r="AS11" s="4797"/>
      <c r="AT11" s="4797"/>
      <c r="AU11" s="4797"/>
      <c r="AV11" s="4797"/>
      <c r="AW11" s="4797"/>
      <c r="AX11" s="4797"/>
      <c r="AY11" s="4797"/>
      <c r="AZ11" s="4797"/>
      <c r="BA11" s="4797"/>
      <c r="BB11" s="4797"/>
      <c r="BC11" s="4797"/>
      <c r="BD11" s="4797"/>
      <c r="BE11" s="4797"/>
      <c r="BF11" s="4797"/>
      <c r="BG11" s="4797"/>
      <c r="BH11" s="4797"/>
      <c r="BI11" s="4797"/>
      <c r="BJ11" s="4797"/>
      <c r="BK11" s="4798"/>
      <c r="BL11" s="1437"/>
      <c r="BM11" s="1438"/>
      <c r="BN11" s="992"/>
      <c r="BO11" s="993"/>
      <c r="BP11" s="978" t="str">
        <f>IF(I11="Si",VLOOKUP($D$8,'Tablas Técnicas'!$E$4:$F$6,2,FALSE),"")</f>
        <v/>
      </c>
      <c r="BQ11" s="979" t="str">
        <f>IF(L11="Si",VLOOKUP($D$8,'Tablas Técnicas'!$I$4:$J$6,2,FALSE),"")</f>
        <v/>
      </c>
      <c r="BR11" s="977" t="str">
        <f>IF(O11="Si",VLOOKUP($D$8,'Tablas Técnicas'!$I$7:$J$9,2,FALSE),"")</f>
        <v/>
      </c>
      <c r="BS11" s="994"/>
      <c r="BT11" s="4772">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773"/>
      <c r="BV11" s="971"/>
      <c r="BX11" s="951"/>
      <c r="BY11" s="1286"/>
      <c r="BZ11" s="1304"/>
      <c r="CA11" s="939"/>
      <c r="CC11" s="1432">
        <f>SUM($H10:$H42)+IF(COUNTIF(I10:I38,"Si")&gt;0,10*$D8,0)+IF(COUNTIF(L10:L38,"Si")&gt;0,IF($D8=2,40,IF($D8=2,60,0)))+IF(COUNTIF(O10:O38,"Si")&gt;0,IF($D8=2,60,IF($D8=2,90,0)))</f>
        <v>0</v>
      </c>
      <c r="DR11" s="939"/>
      <c r="DS11" s="1318"/>
      <c r="DT11" s="1325"/>
      <c r="DU11" s="1375" t="str">
        <f>IF(BW25="N/A","",BT24&amp;" "&amp;BW25&amp;IF(BY25="N/A"," "," ("&amp;BY25&amp;") "))</f>
        <v/>
      </c>
      <c r="DV11" s="1376" t="str">
        <f>IF(E11="",""," "&amp;E11)&amp;IF(I11="No",""," (Mant.)")&amp;IF(L11="No",""," (Sme)")&amp;IF(O11="No",""," (SMa)")</f>
        <v/>
      </c>
      <c r="DW11" s="1377" t="str">
        <f>IF(E41="","",", "&amp;E41)</f>
        <v/>
      </c>
      <c r="DX11" s="4778"/>
      <c r="DY11" s="1324"/>
      <c r="DZ11" s="939"/>
      <c r="EA11" s="1470">
        <f t="shared" si="0"/>
        <v>1</v>
      </c>
    </row>
    <row r="12" spans="1:132" ht="12.75" customHeight="1" x14ac:dyDescent="0.2">
      <c r="A12" s="939"/>
      <c r="B12" s="939"/>
      <c r="C12" s="4822"/>
      <c r="D12" s="1453" t="s">
        <v>1766</v>
      </c>
      <c r="E12" s="1003"/>
      <c r="F12" s="1392" t="str">
        <f>IF(E12=0,"",VLOOKUP(E12,'Tablas Técnicas'!$A$14:$V$771,2,FALSE))</f>
        <v/>
      </c>
      <c r="G12" s="985"/>
      <c r="H12" s="1004" t="str">
        <f>IF($E12=0,"",VLOOKUP($E12,'Tablas Técnicas'!$A$14:$V$771,4,FALSE))</f>
        <v/>
      </c>
      <c r="I12" s="987" t="s">
        <v>1690</v>
      </c>
      <c r="J12" s="1411" t="str">
        <f>IF(E12=0,"",VLOOKUP(E12,'Tablas Técnicas'!$A$14:$V$771,5,FALSE))</f>
        <v/>
      </c>
      <c r="K12" s="1006" t="str">
        <f>IF(I12="Si",IF(E12=0,"",VLOOKUP(E12,'Tablas Técnicas'!$A$14:$V$771,5,FALSE)),"")</f>
        <v/>
      </c>
      <c r="L12" s="987" t="s">
        <v>1690</v>
      </c>
      <c r="M12" s="1411" t="str">
        <f>IF(E12=0,"",VLOOKUP(E12,'Tablas Técnicas'!$A$14:$V$771,6,FALSE))</f>
        <v/>
      </c>
      <c r="N12" s="990" t="str">
        <f>IF(L12="Si",IF(E12=0,"",VLOOKUP(E12,'Tablas Técnicas'!$A$14:$V$771,6,FALSE)),"")</f>
        <v/>
      </c>
      <c r="O12" s="987" t="s">
        <v>1690</v>
      </c>
      <c r="P12" s="1411" t="str">
        <f>IF(E12=0,"",VLOOKUP(E12,'Tablas Técnicas'!$A$14:$V$771,7,FALSE))</f>
        <v/>
      </c>
      <c r="Q12" s="990" t="str">
        <f>IF(O12="Si",IF(E12=0,"",VLOOKUP(E12,'Tablas Técnicas'!$A$14:$V$771,7,FALSE)),"")</f>
        <v/>
      </c>
      <c r="R12" s="1005" t="str">
        <f>IF(E12=0,"",VLOOKUP(E12,'Tablas Técnicas'!$A$14:$V$771,8,FALSE))</f>
        <v/>
      </c>
      <c r="S12" s="1392" t="str">
        <f>IF(R12=$D$8,$D$8,IF(R12=2,2,IF(R12=3,3,R12)))</f>
        <v/>
      </c>
      <c r="T12" s="4809"/>
      <c r="U12" s="4810"/>
      <c r="V12" s="1385" t="str">
        <f>IF(OR(V10=0,V10=""),"N/A",V10)</f>
        <v>N/A</v>
      </c>
      <c r="W12" s="4809" t="str">
        <f xml:space="preserve"> IF(OR(AF10=0,AF10=""),"N/A",W10)</f>
        <v>N/A</v>
      </c>
      <c r="X12" s="4811"/>
      <c r="Y12" s="4811"/>
      <c r="Z12" s="4811"/>
      <c r="AA12" s="4811"/>
      <c r="AB12" s="4811"/>
      <c r="AC12" s="4811"/>
      <c r="AD12" s="4811"/>
      <c r="AE12" s="4811"/>
      <c r="AF12" s="4810"/>
      <c r="AG12" s="4809" t="str">
        <f xml:space="preserve"> IF(OR(AP10="",AP10=0),"N/A",AG10)</f>
        <v>N/A</v>
      </c>
      <c r="AH12" s="4811"/>
      <c r="AI12" s="4811"/>
      <c r="AJ12" s="4811"/>
      <c r="AK12" s="4811"/>
      <c r="AL12" s="4811"/>
      <c r="AM12" s="4811"/>
      <c r="AN12" s="4811"/>
      <c r="AO12" s="4811"/>
      <c r="AP12" s="4810"/>
      <c r="AQ12" s="4809" t="str">
        <f xml:space="preserve"> IF(OR(AZ10="",AZ10=0),"N/A",AQ10)</f>
        <v>N/A</v>
      </c>
      <c r="AR12" s="4811"/>
      <c r="AS12" s="4811"/>
      <c r="AT12" s="4811"/>
      <c r="AU12" s="4811"/>
      <c r="AV12" s="4811"/>
      <c r="AW12" s="4811"/>
      <c r="AX12" s="4811"/>
      <c r="AY12" s="4811"/>
      <c r="AZ12" s="4810"/>
      <c r="BA12" s="4809" t="str">
        <f xml:space="preserve"> IF(OR(BJ10="",BJ10=0),"N/A",BA10)</f>
        <v>N/A</v>
      </c>
      <c r="BB12" s="4811"/>
      <c r="BC12" s="4811"/>
      <c r="BD12" s="4811"/>
      <c r="BE12" s="4811"/>
      <c r="BF12" s="4811"/>
      <c r="BG12" s="4811"/>
      <c r="BH12" s="4811"/>
      <c r="BI12" s="4811"/>
      <c r="BJ12" s="4810"/>
      <c r="BK12" s="1007" t="s">
        <v>4543</v>
      </c>
      <c r="BL12" s="989"/>
      <c r="BM12" s="1024"/>
      <c r="BN12" s="1008"/>
      <c r="BO12" s="1009"/>
      <c r="BP12" s="1010" t="str">
        <f>IF(I12="Si",VLOOKUP($D$8,'Tablas Técnicas'!$E$4:$F$6,2,FALSE),"")</f>
        <v/>
      </c>
      <c r="BQ12" s="980" t="str">
        <f>IF(L12="Si",VLOOKUP($D$8,'Tablas Técnicas'!$I$4:$J$6,2,FALSE),"")</f>
        <v/>
      </c>
      <c r="BR12" s="1011" t="str">
        <f>IF(O12="Si",VLOOKUP($D$8,'Tablas Técnicas'!$I$7:$J$9,2,FALSE),"")</f>
        <v/>
      </c>
      <c r="BS12" s="1012"/>
      <c r="BU12" s="956"/>
      <c r="BV12" s="971"/>
      <c r="BW12" s="951"/>
      <c r="BX12" s="951"/>
      <c r="BY12" s="1286"/>
      <c r="BZ12" s="1304"/>
      <c r="CA12" s="939"/>
      <c r="DR12" s="939"/>
      <c r="DS12" s="1318"/>
      <c r="DT12" s="1325"/>
      <c r="DU12" s="1375" t="str">
        <f>IF(BW27="N/A","",BT26&amp;" "&amp;BW27&amp;IF(BY27="N/A"," "," ("&amp;BY27&amp;") "))</f>
        <v/>
      </c>
      <c r="DV12" s="1376" t="str">
        <f>IF(E12="","",E12)&amp;IF(I12="No",""," (Mant.)")&amp;IF(L12="No",""," (Sme)")&amp;IF(O12="No",""," (SMa)")</f>
        <v/>
      </c>
      <c r="DW12" s="1377" t="str">
        <f>IF(E42="","",", "&amp;E42)</f>
        <v/>
      </c>
      <c r="DX12" s="4778"/>
      <c r="DY12" s="1324"/>
      <c r="DZ12" s="939"/>
      <c r="EA12" s="1470">
        <f t="shared" si="0"/>
        <v>1</v>
      </c>
    </row>
    <row r="13" spans="1:132" x14ac:dyDescent="0.2">
      <c r="A13" s="939"/>
      <c r="B13" s="939"/>
      <c r="C13" s="4822"/>
      <c r="D13" s="1452" t="s">
        <v>1766</v>
      </c>
      <c r="E13" s="995"/>
      <c r="F13" s="996" t="str">
        <f>IF(E13=0,"",VLOOKUP(E13,'Tablas Técnicas'!$A$14:$V$771,2,FALSE))</f>
        <v/>
      </c>
      <c r="G13" s="997"/>
      <c r="H13" s="998" t="str">
        <f>IF($E13=0,"",VLOOKUP($E13,'Tablas Técnicas'!$A$14:$V$771,4,FALSE))</f>
        <v/>
      </c>
      <c r="I13" s="999" t="s">
        <v>1690</v>
      </c>
      <c r="J13" s="1415" t="str">
        <f>IF(E13=0,"",VLOOKUP(E13,'Tablas Técnicas'!$A$14:$V$771,5,FALSE))</f>
        <v/>
      </c>
      <c r="K13" s="1001" t="str">
        <f>IF(I13="Si",IF(E13=0,"",VLOOKUP(E13,'Tablas Técnicas'!$A$14:$V$771,5,FALSE)),"")</f>
        <v/>
      </c>
      <c r="L13" s="999" t="s">
        <v>1690</v>
      </c>
      <c r="M13" s="1415" t="str">
        <f>IF(E13=0,"",VLOOKUP(E13,'Tablas Técnicas'!$A$14:$V$771,6,FALSE))</f>
        <v/>
      </c>
      <c r="N13" s="1002" t="str">
        <f>IF(L13="Si",IF(E13=0,"",VLOOKUP(E13,'Tablas Técnicas'!$A$14:$V$771,6,FALSE)),"")</f>
        <v/>
      </c>
      <c r="O13" s="999" t="s">
        <v>1690</v>
      </c>
      <c r="P13" s="1415" t="str">
        <f>IF(E13=0,"",VLOOKUP(E13,'Tablas Técnicas'!$A$14:$V$771,7,FALSE))</f>
        <v/>
      </c>
      <c r="Q13" s="1002" t="str">
        <f>IF(O13="Si",IF(E13=0,"",VLOOKUP(E13,'Tablas Técnicas'!$A$14:$V$771,7,FALSE)),"")</f>
        <v/>
      </c>
      <c r="R13" s="1000" t="str">
        <f>IF(E13=0,"",VLOOKUP(E13,'Tablas Técnicas'!$A$14:$V$771,8,FALSE))</f>
        <v/>
      </c>
      <c r="S13" s="998" t="str">
        <f>IF(R13=$D$8,$D$8,IF(R13=2,2,IF(R13=3,3,R13)))</f>
        <v/>
      </c>
      <c r="T13" s="4812" t="s">
        <v>4544</v>
      </c>
      <c r="U13" s="4813"/>
      <c r="V13" s="1391"/>
      <c r="W13" s="4814"/>
      <c r="X13" s="4815"/>
      <c r="Y13" s="4815"/>
      <c r="Z13" s="4815"/>
      <c r="AA13" s="4815"/>
      <c r="AB13" s="4815"/>
      <c r="AC13" s="4815"/>
      <c r="AD13" s="4815"/>
      <c r="AE13" s="4815"/>
      <c r="AF13" s="4816"/>
      <c r="AG13" s="4814"/>
      <c r="AH13" s="4815"/>
      <c r="AI13" s="4815"/>
      <c r="AJ13" s="4815"/>
      <c r="AK13" s="4815"/>
      <c r="AL13" s="4815"/>
      <c r="AM13" s="4815"/>
      <c r="AN13" s="4815"/>
      <c r="AO13" s="4815"/>
      <c r="AP13" s="4816"/>
      <c r="AQ13" s="4814"/>
      <c r="AR13" s="4815"/>
      <c r="AS13" s="4815"/>
      <c r="AT13" s="4815"/>
      <c r="AU13" s="4815"/>
      <c r="AV13" s="4815"/>
      <c r="AW13" s="4815"/>
      <c r="AX13" s="4815"/>
      <c r="AY13" s="4815"/>
      <c r="AZ13" s="4816"/>
      <c r="BA13" s="4814"/>
      <c r="BB13" s="4815"/>
      <c r="BC13" s="4815"/>
      <c r="BD13" s="4815"/>
      <c r="BE13" s="4815"/>
      <c r="BF13" s="4815"/>
      <c r="BG13" s="4815"/>
      <c r="BH13" s="4815"/>
      <c r="BI13" s="4815"/>
      <c r="BJ13" s="4816"/>
      <c r="BK13" s="998">
        <f>(SUM(F10:F14)+IF(AF10="",0,AF10)+IF(AP10="",0,AP10)+IF(AZ10="",0,AZ10)+IF(BJ10="",0,BJ10)+SUM(K10:K14)+SUM(N10:N14)+SUM(Q10:Q14))- SUM(V13:BA13)</f>
        <v>0</v>
      </c>
      <c r="BL13" s="1437"/>
      <c r="BM13" s="1438"/>
      <c r="BN13" s="992"/>
      <c r="BO13" s="993"/>
      <c r="BP13" s="978" t="str">
        <f>IF(I13="Si",VLOOKUP($D$8,'Tablas Técnicas'!$E$4:$F$6,2,FALSE),"")</f>
        <v/>
      </c>
      <c r="BQ13" s="979" t="str">
        <f>IF(L13="Si",VLOOKUP($D$8,'Tablas Técnicas'!$I$4:$J$6,2,FALSE),"")</f>
        <v/>
      </c>
      <c r="BR13" s="977" t="str">
        <f>IF(O13="Si",VLOOKUP($D$8,'Tablas Técnicas'!$I$7:$J$9,2,FALSE),"")</f>
        <v/>
      </c>
      <c r="BS13" s="994"/>
      <c r="BT13" s="4770" t="s">
        <v>4545</v>
      </c>
      <c r="BU13" s="4771"/>
      <c r="BV13" s="971"/>
      <c r="BW13" s="951"/>
      <c r="BX13" s="951"/>
      <c r="BY13" s="1286"/>
      <c r="BZ13" s="1304"/>
      <c r="CA13" s="939"/>
      <c r="DR13" s="939"/>
      <c r="DS13" s="1318"/>
      <c r="DT13" s="1325"/>
      <c r="DU13" s="1375" t="str">
        <f>IF(BW29="N/A","",BT28&amp;" "&amp;BW29&amp;IF(BY29="N/A"," "," ("&amp;BY29&amp;") "))</f>
        <v/>
      </c>
      <c r="DV13" s="1376" t="str">
        <f>IF(E13="","",E13)&amp;IF(I13="No",""," (Mant.)")&amp;IF(L13="No",""," (Sme)")&amp;IF(O13="No",""," (SMa)")</f>
        <v/>
      </c>
      <c r="DW13" s="1377"/>
      <c r="DX13" s="4778"/>
      <c r="DY13" s="1324"/>
      <c r="DZ13" s="939"/>
      <c r="EA13" s="1470">
        <f t="shared" si="0"/>
        <v>1</v>
      </c>
    </row>
    <row r="14" spans="1:132" x14ac:dyDescent="0.2">
      <c r="A14" s="939"/>
      <c r="B14" s="939"/>
      <c r="C14" s="4822"/>
      <c r="D14" s="1453" t="s">
        <v>1766</v>
      </c>
      <c r="E14" s="1003"/>
      <c r="F14" s="1392" t="str">
        <f>IF(E14=0,"",VLOOKUP(E14,'Tablas Técnicas'!$A$14:$V$771,2,FALSE))</f>
        <v/>
      </c>
      <c r="G14" s="985"/>
      <c r="H14" s="1004" t="str">
        <f>IF($E14=0,"",VLOOKUP($E14,'Tablas Técnicas'!$A$14:$V$771,4,FALSE))</f>
        <v/>
      </c>
      <c r="I14" s="987" t="s">
        <v>1690</v>
      </c>
      <c r="J14" s="1411" t="str">
        <f>IF(E14=0,"",VLOOKUP(E14,'Tablas Técnicas'!$A$14:$V$771,5,FALSE))</f>
        <v/>
      </c>
      <c r="K14" s="1006" t="str">
        <f>IF(I14="Si",IF(E14=0,"",VLOOKUP(E14,'Tablas Técnicas'!$A$14:$V$771,5,FALSE)),"")</f>
        <v/>
      </c>
      <c r="L14" s="987" t="s">
        <v>1690</v>
      </c>
      <c r="M14" s="1411" t="str">
        <f>IF(E14=0,"",VLOOKUP(E14,'Tablas Técnicas'!$A$14:$V$771,6,FALSE))</f>
        <v/>
      </c>
      <c r="N14" s="990" t="str">
        <f>IF(L14="Si",IF(E14=0,"",VLOOKUP(E14,'Tablas Técnicas'!$A$14:$V$771,6,FALSE)),"")</f>
        <v/>
      </c>
      <c r="O14" s="987" t="s">
        <v>1690</v>
      </c>
      <c r="P14" s="1411" t="str">
        <f>IF(E14=0,"",VLOOKUP(E14,'Tablas Técnicas'!$A$14:$V$771,7,FALSE))</f>
        <v/>
      </c>
      <c r="Q14" s="990" t="str">
        <f>IF(O14="Si",IF(E14=0,"",VLOOKUP(E14,'Tablas Técnicas'!$A$14:$V$771,7,FALSE)),"")</f>
        <v/>
      </c>
      <c r="R14" s="1005" t="str">
        <f>IF(E14=0,"",VLOOKUP(E14,'Tablas Técnicas'!$A$14:$V$771,8,FALSE))</f>
        <v/>
      </c>
      <c r="S14" s="1004" t="str">
        <f>IF(R14=$D$8,$D$8,IF(R14=2,2,IF(R14=3,3,R14)))</f>
        <v/>
      </c>
      <c r="T14" s="4803" t="s">
        <v>4546</v>
      </c>
      <c r="U14" s="4804"/>
      <c r="V14" s="1389"/>
      <c r="W14" s="4805"/>
      <c r="X14" s="4806"/>
      <c r="Y14" s="4806"/>
      <c r="Z14" s="4806"/>
      <c r="AA14" s="4806"/>
      <c r="AB14" s="4806"/>
      <c r="AC14" s="4806"/>
      <c r="AD14" s="4806"/>
      <c r="AE14" s="4806"/>
      <c r="AF14" s="4807"/>
      <c r="AG14" s="4805"/>
      <c r="AH14" s="4806"/>
      <c r="AI14" s="4806"/>
      <c r="AJ14" s="4806"/>
      <c r="AK14" s="4806"/>
      <c r="AL14" s="4806"/>
      <c r="AM14" s="4806"/>
      <c r="AN14" s="4806"/>
      <c r="AO14" s="4806"/>
      <c r="AP14" s="4807"/>
      <c r="AQ14" s="4805"/>
      <c r="AR14" s="4806"/>
      <c r="AS14" s="4806"/>
      <c r="AT14" s="4806"/>
      <c r="AU14" s="4806"/>
      <c r="AV14" s="4806"/>
      <c r="AW14" s="4806"/>
      <c r="AX14" s="4806"/>
      <c r="AY14" s="4806"/>
      <c r="AZ14" s="4807"/>
      <c r="BA14" s="4805"/>
      <c r="BB14" s="4806"/>
      <c r="BC14" s="4806"/>
      <c r="BD14" s="4806"/>
      <c r="BE14" s="4806"/>
      <c r="BF14" s="4806"/>
      <c r="BG14" s="4806"/>
      <c r="BH14" s="4806"/>
      <c r="BI14" s="4806"/>
      <c r="BJ14" s="4807"/>
      <c r="BK14" s="1014">
        <f>SUM(K10:K14)-SUM(V14:BA14)</f>
        <v>0</v>
      </c>
      <c r="BL14" s="1439"/>
      <c r="BM14" s="1440"/>
      <c r="BN14" s="1008"/>
      <c r="BO14" s="1009"/>
      <c r="BP14" s="1010" t="str">
        <f>IF(I14="Si",VLOOKUP($D$8,'Tablas Técnicas'!$E$4:$F$6,2,FALSE),"")</f>
        <v/>
      </c>
      <c r="BQ14" s="980" t="str">
        <f>IF(L14="Si",VLOOKUP($D$8,'Tablas Técnicas'!$I$4:$J$6,2,FALSE),"")</f>
        <v/>
      </c>
      <c r="BR14" s="1011" t="str">
        <f>IF(O14="Si",VLOOKUP($D$8,'Tablas Técnicas'!$I$7:$J$9,2,FALSE),"")</f>
        <v/>
      </c>
      <c r="BS14" s="1012"/>
      <c r="BT14" s="4774" t="s">
        <v>1690</v>
      </c>
      <c r="BU14" s="4775"/>
      <c r="BV14" s="971"/>
      <c r="BW14" s="951"/>
      <c r="BX14" s="951"/>
      <c r="BY14" s="1286"/>
      <c r="BZ14" s="1304"/>
      <c r="CA14" s="939"/>
      <c r="DR14" s="939"/>
      <c r="DS14" s="1318"/>
      <c r="DT14" s="1325"/>
      <c r="DU14" s="1375" t="str">
        <f>IF(BW31="N/A","",BT30&amp;" "&amp;BW31&amp;IF(BY31="N/A"," "," ("&amp;BY31&amp;") "))</f>
        <v/>
      </c>
      <c r="DV14" s="1376" t="str">
        <f>IF(E14="","",E14)&amp;IF(I14="No",""," (Mant.)")&amp;IF(L14="No",""," (Sme)")&amp;IF(O14="No",""," (SMa)")</f>
        <v/>
      </c>
      <c r="DW14" s="1377"/>
      <c r="DX14" s="4778"/>
      <c r="DY14" s="1324"/>
      <c r="DZ14" s="939"/>
      <c r="EA14" s="1470">
        <f t="shared" si="0"/>
        <v>1</v>
      </c>
    </row>
    <row r="15" spans="1:132" x14ac:dyDescent="0.2">
      <c r="A15" s="939"/>
      <c r="B15" s="1403"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822"/>
      <c r="D15" s="1454">
        <v>2</v>
      </c>
      <c r="E15" s="1246"/>
      <c r="F15" s="1016"/>
      <c r="G15" s="1017"/>
      <c r="H15" s="2159">
        <f t="array" ref="H15">IF(AND(OR(ISNUMBER(SEARCH("Empatía Elemental ("&amp;BK10:BM10&amp;")",Principal!$AF$30))),SUM(H10:H14)&gt;=10),-5,0)</f>
        <v>0</v>
      </c>
      <c r="I15" s="1413"/>
      <c r="J15" s="1416"/>
      <c r="K15" s="1017"/>
      <c r="L15" s="1413"/>
      <c r="M15" s="1416"/>
      <c r="N15" s="1017"/>
      <c r="O15" s="1413"/>
      <c r="P15" s="1416"/>
      <c r="Q15" s="1017"/>
      <c r="R15" s="1018"/>
      <c r="S15" s="1017"/>
      <c r="T15" s="1017"/>
      <c r="U15" s="974"/>
      <c r="V15" s="974"/>
      <c r="W15" s="974"/>
      <c r="X15" s="974"/>
      <c r="Y15" s="974"/>
      <c r="Z15" s="974"/>
      <c r="AA15" s="974"/>
      <c r="AB15" s="974"/>
      <c r="AC15" s="974"/>
      <c r="AD15" s="974"/>
      <c r="AE15" s="974"/>
      <c r="AF15" s="974"/>
      <c r="AG15" s="974"/>
      <c r="AH15" s="974"/>
      <c r="AI15" s="974"/>
      <c r="AJ15" s="974"/>
      <c r="AK15" s="974"/>
      <c r="AL15" s="974"/>
      <c r="AM15" s="974"/>
      <c r="AN15" s="974"/>
      <c r="AO15" s="974"/>
      <c r="AP15" s="974"/>
      <c r="AQ15" s="974"/>
      <c r="AR15" s="974"/>
      <c r="AS15" s="974"/>
      <c r="AT15" s="974"/>
      <c r="AU15" s="974"/>
      <c r="AV15" s="974"/>
      <c r="AW15" s="974"/>
      <c r="AX15" s="974"/>
      <c r="AY15" s="974"/>
      <c r="AZ15" s="974"/>
      <c r="BA15" s="974"/>
      <c r="BB15" s="974"/>
      <c r="BC15" s="974"/>
      <c r="BD15" s="974"/>
      <c r="BE15" s="974"/>
      <c r="BF15" s="974"/>
      <c r="BG15" s="974"/>
      <c r="BH15" s="974"/>
      <c r="BI15" s="974"/>
      <c r="BJ15" s="974"/>
      <c r="BK15" s="974"/>
      <c r="BL15" s="974"/>
      <c r="BM15" s="976"/>
      <c r="BN15" s="977">
        <f>SUM(K15:K18)</f>
        <v>0</v>
      </c>
      <c r="BO15" s="971" t="str">
        <f>IF(E15=0,"",(AF15+AP15+AZ15+BJ15))</f>
        <v/>
      </c>
      <c r="BP15" s="978" t="str">
        <f>IF(I15="Si",VLOOKUP($D$8,'Tablas Técnicas'!$E$4:$F$6,2,FALSE),"")</f>
        <v/>
      </c>
      <c r="BQ15" s="979" t="str">
        <f>IF(L15="Si",VLOOKUP($D$8,'Tablas Técnicas'!$I$4:$J$6,2,FALSE),"")</f>
        <v/>
      </c>
      <c r="BR15" s="977" t="str">
        <f>IF(O15="Si",VLOOKUP($D$8,'Tablas Técnicas'!$I$7:$J$9,2,FALSE),"")</f>
        <v/>
      </c>
      <c r="BS15" s="994"/>
      <c r="BT15" s="4770" t="s">
        <v>4547</v>
      </c>
      <c r="BU15" s="4771"/>
      <c r="BV15" s="971"/>
      <c r="BW15" s="951"/>
      <c r="BX15" s="951"/>
      <c r="BY15" s="1286"/>
      <c r="BZ15" s="1304"/>
      <c r="CA15" s="939"/>
      <c r="DR15" s="939"/>
      <c r="DS15" s="1318"/>
      <c r="DT15" s="1325"/>
      <c r="DU15" s="1375" t="str">
        <f>IF(BW33="N/A","",BT32&amp;" "&amp;BW33&amp;IF(BY33="N/A"," "," ("&amp;BY33&amp;") "))</f>
        <v/>
      </c>
      <c r="DV15" s="1380"/>
      <c r="DW15" s="1377"/>
      <c r="DX15" s="1427" t="s">
        <v>1828</v>
      </c>
      <c r="DY15" s="1324"/>
      <c r="DZ15" s="939"/>
      <c r="EA15" s="1470">
        <f t="shared" si="0"/>
        <v>1</v>
      </c>
    </row>
    <row r="16" spans="1:132" x14ac:dyDescent="0.2">
      <c r="A16" s="939"/>
      <c r="B16" s="939"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822"/>
      <c r="D16" s="1453" t="s">
        <v>1766</v>
      </c>
      <c r="E16" s="983"/>
      <c r="F16" s="1019"/>
      <c r="G16" s="989" t="str">
        <f>IF(E16=0,"",VLOOKUP(E16,'Tablas Técnicas'!$A$14:$V$771,3,FALSE))</f>
        <v/>
      </c>
      <c r="H16" s="1021" t="str">
        <f>IF($E16=0,"",VLOOKUP($E16,'Tablas Técnicas'!$A$14:$V$771,4,FALSE))</f>
        <v/>
      </c>
      <c r="I16" s="987" t="s">
        <v>1690</v>
      </c>
      <c r="J16" s="1414" t="str">
        <f>IF(E16=0,"",VLOOKUP(E16,'Tablas Técnicas'!$A$14:$V$771,5,FALSE))</f>
        <v/>
      </c>
      <c r="K16" s="1020" t="str">
        <f>IF(I16="Si",IF(E16=0,"",VLOOKUP(E16,'Tablas Técnicas'!$A$14:$V$771,5,FALSE)),"")</f>
        <v/>
      </c>
      <c r="L16" s="987" t="s">
        <v>1690</v>
      </c>
      <c r="M16" s="1414" t="str">
        <f>IF(E16=0,"",VLOOKUP(E16,'Tablas Técnicas'!$A$14:$V$771,6,FALSE))</f>
        <v/>
      </c>
      <c r="N16" s="990" t="str">
        <f>IF(L16="Si",IF(E16=0,"",VLOOKUP(E16,'Tablas Técnicas'!$A$14:$V$771,6,FALSE)),"")</f>
        <v/>
      </c>
      <c r="O16" s="987" t="s">
        <v>1690</v>
      </c>
      <c r="P16" s="1414" t="str">
        <f>IF(E16=0,"",VLOOKUP(E16,'Tablas Técnicas'!$A$14:$V$771,7,FALSE))</f>
        <v/>
      </c>
      <c r="Q16" s="990" t="str">
        <f>IF(O16="Si",IF(E16=0,"",VLOOKUP(E16,'Tablas Técnicas'!$A$14:$V$771,7,FALSE)),"")</f>
        <v/>
      </c>
      <c r="R16" s="1022" t="str">
        <f>IF(E16=0,"",VLOOKUP(E16,'Tablas Técnicas'!$A$14:$V$771,8,FALSE))</f>
        <v/>
      </c>
      <c r="S16" s="1021" t="str">
        <f>IF(R16=$D$8,$D$8,IF(R16=2,2,IF(R16=3,3,R16)))</f>
        <v/>
      </c>
      <c r="T16" s="989" t="str">
        <f>IF(E16=0,"",VLOOKUP(E16,'Tablas Técnicas'!$A$14:$V$771,9,FALSE))</f>
        <v/>
      </c>
      <c r="U16" s="989" t="str">
        <f>IF(E16=0,"",VLOOKUP(E16,'Tablas Técnicas'!$A$14:$V$771,10,FALSE))</f>
        <v/>
      </c>
      <c r="V16" s="984" t="str">
        <f>IF(E16=0,"",VLOOKUP(E16,'Tablas Técnicas'!$A$14:$V$771,11,FALSE))</f>
        <v/>
      </c>
      <c r="W16" s="987"/>
      <c r="X16" s="988" t="e">
        <f>VLOOKUP(E16,'Tablas Técnicas'!$A$14:$V$771,12,FALSE)</f>
        <v>#N/A</v>
      </c>
      <c r="Y16" s="988" t="e">
        <f>IF(W16=X16,VLOOKUP(E16,'Tablas Técnicas'!$A$14:$V$771,13,FALSE),0)</f>
        <v>#N/A</v>
      </c>
      <c r="Z16" s="988" t="e">
        <f>VLOOKUP(E16,'Tablas Técnicas'!$A$14:$V$771,14,FALSE)</f>
        <v>#N/A</v>
      </c>
      <c r="AA16" s="988" t="e">
        <f>IF(W16=Z16,VLOOKUP(E16,'Tablas Técnicas'!$A$14:$V$616,15,FALSE),0)</f>
        <v>#N/A</v>
      </c>
      <c r="AB16" s="988" t="e">
        <f>VLOOKUP(E16,'Tablas Técnicas'!$A$14:$V$771,16,FALSE)</f>
        <v>#N/A</v>
      </c>
      <c r="AC16" s="988" t="e">
        <f>IF(W16=AB16,VLOOKUP(E16,'Tablas Técnicas'!$A$14:$V$616,17,FALSE),0)</f>
        <v>#N/A</v>
      </c>
      <c r="AD16" s="988" t="e">
        <f>VLOOKUP(E16,'Tablas Técnicas'!$A$14:$V$771,18,FALSE)</f>
        <v>#N/A</v>
      </c>
      <c r="AE16" s="988" t="e">
        <f>IF(W16=AD16,VLOOKUP(E16,'Tablas Técnicas'!$A$14:$V$771,19,FALSE),0)</f>
        <v>#N/A</v>
      </c>
      <c r="AF16" s="989" t="str">
        <f>IF(E16=0,"",(Y16+AA16+AC16+AE16))</f>
        <v/>
      </c>
      <c r="AG16" s="987"/>
      <c r="AH16" s="1022" t="e">
        <f>VLOOKUP(E16,'Tablas Técnicas'!$A$14:$V$771,12,FALSE)</f>
        <v>#N/A</v>
      </c>
      <c r="AI16" s="1022" t="e">
        <f>IF(AG16=AH16,VLOOKUP(E16,'Tablas Técnicas'!$A$14:$V$771,13,FALSE),0)</f>
        <v>#N/A</v>
      </c>
      <c r="AJ16" s="1022" t="e">
        <f>VLOOKUP(E16,'Tablas Técnicas'!$A$14:$V$771,14,FALSE)</f>
        <v>#N/A</v>
      </c>
      <c r="AK16" s="1022" t="e">
        <f>IF(AG16=AJ16,VLOOKUP(E16,'Tablas Técnicas'!$A$14:$V$771,15,FALSE),0)</f>
        <v>#N/A</v>
      </c>
      <c r="AL16" s="1022" t="e">
        <f>VLOOKUP(E16,'Tablas Técnicas'!$A$14:$V$771,16,FALSE)</f>
        <v>#N/A</v>
      </c>
      <c r="AM16" s="1022" t="e">
        <f>IF(AG16=AL16,VLOOKUP(E16,'Tablas Técnicas'!$A$14:$V$771,17,FALSE),0)</f>
        <v>#N/A</v>
      </c>
      <c r="AN16" s="1022" t="e">
        <f>VLOOKUP(E16,'Tablas Técnicas'!$A$14:$V$771,18,FALSE)</f>
        <v>#N/A</v>
      </c>
      <c r="AO16" s="1022" t="e">
        <f>IF(AG16=AN16,VLOOKUP(E16,'Tablas Técnicas'!$A$14:$V$771,19,FALSE),0)</f>
        <v>#N/A</v>
      </c>
      <c r="AP16" s="1023" t="str">
        <f>IF(E16=0,"",(AI16+AK16+AM16+AO16))</f>
        <v/>
      </c>
      <c r="AQ16" s="987"/>
      <c r="AR16" s="988" t="e">
        <f>VLOOKUP(E16,'Tablas Técnicas'!$A$14:$V$771,12,FALSE)</f>
        <v>#N/A</v>
      </c>
      <c r="AS16" s="988" t="e">
        <f>IF(AQ16=AR16,VLOOKUP(E16,'Tablas Técnicas'!$A$14:$V$771,13,FALSE),0)</f>
        <v>#N/A</v>
      </c>
      <c r="AT16" s="988" t="e">
        <f>VLOOKUP(E16,'Tablas Técnicas'!$A$14:$V$771,14,FALSE)</f>
        <v>#N/A</v>
      </c>
      <c r="AU16" s="988" t="e">
        <f>IF(AQ16=AT16,VLOOKUP(E16,'Tablas Técnicas'!$A$14:$V$771,15,FALSE),0)</f>
        <v>#N/A</v>
      </c>
      <c r="AV16" s="988" t="e">
        <f>VLOOKUP(E16,'Tablas Técnicas'!$A$14:$V$771,16,FALSE)</f>
        <v>#N/A</v>
      </c>
      <c r="AW16" s="988" t="e">
        <f>IF(AQ16=AV16,VLOOKUP(E16,'Tablas Técnicas'!$A$14:$V$771,17,FALSE),0)</f>
        <v>#N/A</v>
      </c>
      <c r="AX16" s="988" t="e">
        <f>VLOOKUP(E16,'Tablas Técnicas'!$A$14:$V$771,18,FALSE)</f>
        <v>#N/A</v>
      </c>
      <c r="AY16" s="988" t="e">
        <f>IF(AQ16=AX16,VLOOKUP(E16,'Tablas Técnicas'!$A$14:$V$771,19,FALSE),0)</f>
        <v>#N/A</v>
      </c>
      <c r="AZ16" s="989" t="str">
        <f>IF(E16=0,"",(AS16+AU16+AW16+AY16))</f>
        <v/>
      </c>
      <c r="BA16" s="987"/>
      <c r="BB16" s="988" t="e">
        <f>VLOOKUP(E16,'Tablas Técnicas'!$A$14:$V$771,12,FALSE)</f>
        <v>#N/A</v>
      </c>
      <c r="BC16" s="988" t="e">
        <f>IF(BA16=BB16,VLOOKUP(E16,'Tablas Técnicas'!$A$14:$V$771,13,FALSE),0)</f>
        <v>#N/A</v>
      </c>
      <c r="BD16" s="988" t="e">
        <f>VLOOKUP(E16,'Tablas Técnicas'!$A$14:$V$771,14,FALSE)</f>
        <v>#N/A</v>
      </c>
      <c r="BE16" s="988" t="e">
        <f>IF(BA16=BD16,VLOOKUP(E16,'Tablas Técnicas'!$A$14:$V$771,15,FALSE),0)</f>
        <v>#N/A</v>
      </c>
      <c r="BF16" s="988" t="e">
        <f>VLOOKUP(E16,'Tablas Técnicas'!$A$14:$V$771,16,FALSE)</f>
        <v>#N/A</v>
      </c>
      <c r="BG16" s="988" t="e">
        <f>IF(BA16=BF16,VLOOKUP(E16,'Tablas Técnicas'!$A$14:$V$771,17,FALSE),0)</f>
        <v>#N/A</v>
      </c>
      <c r="BH16" s="988" t="e">
        <f>VLOOKUP(E16,'Tablas Técnicas'!$A$14:$V$771,18,FALSE)</f>
        <v>#N/A</v>
      </c>
      <c r="BI16" s="988" t="e">
        <f>IF(BA16=BH16,VLOOKUP(E16,'Tablas Técnicas'!$A$14:$V$771,19,FALSE),0)</f>
        <v>#N/A</v>
      </c>
      <c r="BJ16" s="990" t="str">
        <f>IF(E16=0,"",(BC16+BE16+BG16+BI16))</f>
        <v/>
      </c>
      <c r="BK16" s="989" t="str">
        <f>IF(E16=0,"",VLOOKUP(E16,'Tablas Técnicas'!$A$14:$V$771,20,FALSE))</f>
        <v/>
      </c>
      <c r="BL16" s="989" t="str">
        <f>IF(E16=0,"",VLOOKUP(E16,'Tablas Técnicas'!$A$14:$V$771,21,FALSE))</f>
        <v/>
      </c>
      <c r="BM16" s="1024" t="str">
        <f>IF(E16=0,"",VLOOKUP(E16,'Tablas Técnicas'!$A$14:$V$771,22,FALSE))</f>
        <v/>
      </c>
      <c r="BN16" s="992"/>
      <c r="BO16" s="993"/>
      <c r="BP16" s="978" t="str">
        <f>IF(I16="Si",VLOOKUP($D$8,'Tablas Técnicas'!$E$4:$F$6,2,FALSE),"")</f>
        <v/>
      </c>
      <c r="BQ16" s="979" t="str">
        <f>IF(L16="Si",VLOOKUP($D$8,'Tablas Técnicas'!$I$4:$J$6,2,FALSE),"")</f>
        <v/>
      </c>
      <c r="BR16" s="977" t="str">
        <f>IF(O16="Si",VLOOKUP($D$8,'Tablas Técnicas'!$I$7:$J$9,2,FALSE),"")</f>
        <v/>
      </c>
      <c r="BS16" s="994"/>
      <c r="BT16" s="4774" t="s">
        <v>4527</v>
      </c>
      <c r="BU16" s="4775"/>
      <c r="BV16" s="971"/>
      <c r="BW16" s="951"/>
      <c r="BX16" s="951"/>
      <c r="BY16" s="1286"/>
      <c r="BZ16" s="1304"/>
      <c r="CA16" s="939"/>
      <c r="DR16" s="939"/>
      <c r="DS16" s="1318"/>
      <c r="DT16" s="1325"/>
      <c r="DU16" s="1379"/>
      <c r="DV16" s="1376" t="str">
        <f>IF(E16="","",", "&amp;E16)&amp;IF(I16="No",""," (Mant.)")&amp;IF(L16="No",""," (Sme)")&amp;IF(O16="No",""," (SMa)")</f>
        <v/>
      </c>
      <c r="DW16" s="1377"/>
      <c r="DX16" s="1378" t="str">
        <f>IF(ISNUMBER(FIND('Tablas Técnicas'!A$678,DW34)),BL40&amp;BM40,IF(ISNUMBER(FIND('Tablas Técnicas'!A$679,DW34)),BL40&amp;" "&amp;BM40,""))</f>
        <v/>
      </c>
      <c r="DY16" s="1324"/>
      <c r="DZ16" s="939"/>
      <c r="EA16" s="1470">
        <f t="shared" si="0"/>
        <v>1</v>
      </c>
    </row>
    <row r="17" spans="1:131" x14ac:dyDescent="0.2">
      <c r="A17" s="939"/>
      <c r="B17" s="939"/>
      <c r="C17" s="4822"/>
      <c r="D17" s="1452" t="s">
        <v>1766</v>
      </c>
      <c r="E17" s="995"/>
      <c r="F17" s="1025"/>
      <c r="G17" s="1437" t="str">
        <f>IF(E17=0,"",VLOOKUP(E17,'Tablas Técnicas'!$A$14:$V$771,3,FALSE))</f>
        <v/>
      </c>
      <c r="H17" s="998" t="str">
        <f>IF($E17=0,"",VLOOKUP($E17,'Tablas Técnicas'!$A$14:$V$771,4,FALSE))</f>
        <v/>
      </c>
      <c r="I17" s="999" t="s">
        <v>1690</v>
      </c>
      <c r="J17" s="1415" t="str">
        <f>IF(E17=0,"",VLOOKUP(E17,'Tablas Técnicas'!$A$14:$V$771,5,FALSE))</f>
        <v/>
      </c>
      <c r="K17" s="1001" t="str">
        <f>IF(I17="Si",IF(E17=0,"",VLOOKUP(E17,'Tablas Técnicas'!$A$14:$V$771,5,FALSE)),"")</f>
        <v/>
      </c>
      <c r="L17" s="999" t="s">
        <v>1690</v>
      </c>
      <c r="M17" s="1415" t="str">
        <f>IF(E17=0,"",VLOOKUP(E17,'Tablas Técnicas'!$A$14:$V$771,6,FALSE))</f>
        <v/>
      </c>
      <c r="N17" s="1002" t="str">
        <f>IF(L17="Si",IF(E17=0,"",VLOOKUP(E17,'Tablas Técnicas'!$A$14:$V$771,6,FALSE)),"")</f>
        <v/>
      </c>
      <c r="O17" s="999" t="s">
        <v>1690</v>
      </c>
      <c r="P17" s="1415" t="str">
        <f>IF(E17=0,"",VLOOKUP(E17,'Tablas Técnicas'!$A$14:$V$771,7,FALSE))</f>
        <v/>
      </c>
      <c r="Q17" s="1002" t="str">
        <f>IF(O17="Si",IF(E17=0,"",VLOOKUP(E17,'Tablas Técnicas'!$A$14:$V$771,7,FALSE)),"")</f>
        <v/>
      </c>
      <c r="R17" s="1000" t="str">
        <f>IF(E17=0,"",VLOOKUP(E17,'Tablas Técnicas'!$A$14:$V$771,8,FALSE))</f>
        <v/>
      </c>
      <c r="S17" s="998" t="str">
        <f>IF(R17=$D$8,$D$8,IF(R17=2,2,IF(R17=3,3,R17)))</f>
        <v/>
      </c>
      <c r="T17" s="4796" t="s">
        <v>4542</v>
      </c>
      <c r="U17" s="4797"/>
      <c r="V17" s="4797"/>
      <c r="W17" s="4797"/>
      <c r="X17" s="4797"/>
      <c r="Y17" s="4797"/>
      <c r="Z17" s="4797"/>
      <c r="AA17" s="4797"/>
      <c r="AB17" s="4797"/>
      <c r="AC17" s="4797"/>
      <c r="AD17" s="4797"/>
      <c r="AE17" s="4797"/>
      <c r="AF17" s="4797"/>
      <c r="AG17" s="4797"/>
      <c r="AH17" s="4797"/>
      <c r="AI17" s="4797"/>
      <c r="AJ17" s="4797"/>
      <c r="AK17" s="4797"/>
      <c r="AL17" s="4797"/>
      <c r="AM17" s="4797"/>
      <c r="AN17" s="4797"/>
      <c r="AO17" s="4797"/>
      <c r="AP17" s="4797"/>
      <c r="AQ17" s="4797"/>
      <c r="AR17" s="4797"/>
      <c r="AS17" s="4797"/>
      <c r="AT17" s="4797"/>
      <c r="AU17" s="4797"/>
      <c r="AV17" s="4797"/>
      <c r="AW17" s="4797"/>
      <c r="AX17" s="4797"/>
      <c r="AY17" s="4797"/>
      <c r="AZ17" s="4797"/>
      <c r="BA17" s="4797"/>
      <c r="BB17" s="4797"/>
      <c r="BC17" s="4797"/>
      <c r="BD17" s="4797"/>
      <c r="BE17" s="4797"/>
      <c r="BF17" s="4797"/>
      <c r="BG17" s="4797"/>
      <c r="BH17" s="4797"/>
      <c r="BI17" s="4797"/>
      <c r="BJ17" s="4797"/>
      <c r="BK17" s="4798"/>
      <c r="BL17" s="1437"/>
      <c r="BM17" s="1438"/>
      <c r="BN17" s="992"/>
      <c r="BO17" s="993"/>
      <c r="BP17" s="978" t="str">
        <f>IF(I17="Si",VLOOKUP($D$8,'Tablas Técnicas'!$E$4:$F$6,2,FALSE),"")</f>
        <v/>
      </c>
      <c r="BQ17" s="979" t="str">
        <f>IF(L17="Si",VLOOKUP($D$8,'Tablas Técnicas'!$I$4:$J$6,2,FALSE),"")</f>
        <v/>
      </c>
      <c r="BR17" s="977" t="str">
        <f>IF(O17="Si",VLOOKUP($D$8,'Tablas Técnicas'!$I$7:$J$9,2,FALSE),"")</f>
        <v/>
      </c>
      <c r="BS17" s="994"/>
      <c r="BT17" s="4770" t="s">
        <v>4548</v>
      </c>
      <c r="BU17" s="4771"/>
      <c r="BV17" s="971"/>
      <c r="BW17" s="951"/>
      <c r="BX17" s="951"/>
      <c r="BY17" s="1286"/>
      <c r="BZ17" s="1304"/>
      <c r="CA17" s="939"/>
      <c r="DR17" s="939"/>
      <c r="DS17" s="1318"/>
      <c r="DT17" s="1325"/>
      <c r="DU17" s="1375"/>
      <c r="DV17" s="1376" t="str">
        <f>IF(E17="",""," "&amp;E17)&amp;IF(I17="No",""," (Mant.)")&amp;IF(L17="No",""," (Sme)")&amp;IF(O17="No",""," (SMa)")</f>
        <v/>
      </c>
      <c r="DW17" s="1377"/>
      <c r="DX17" s="1378"/>
      <c r="DY17" s="1324"/>
      <c r="DZ17" s="939"/>
      <c r="EA17" s="1470">
        <f t="shared" si="0"/>
        <v>1</v>
      </c>
    </row>
    <row r="18" spans="1:131" x14ac:dyDescent="0.2">
      <c r="A18" s="939"/>
      <c r="B18" s="939"/>
      <c r="C18" s="4822"/>
      <c r="D18" s="1453" t="s">
        <v>1766</v>
      </c>
      <c r="E18" s="1003"/>
      <c r="F18" s="1019"/>
      <c r="G18" s="989" t="str">
        <f>IF(E18=0,"",VLOOKUP(E18,'Tablas Técnicas'!$A$14:$V$771,3,FALSE))</f>
        <v/>
      </c>
      <c r="H18" s="1392" t="str">
        <f>IF($E18=0,"",VLOOKUP($E18,'Tablas Técnicas'!$A$14:$V$771,4,FALSE))</f>
        <v/>
      </c>
      <c r="I18" s="987" t="s">
        <v>1690</v>
      </c>
      <c r="J18" s="1411" t="str">
        <f>IF(E18=0,"",VLOOKUP(E18,'Tablas Técnicas'!$A$14:$V$771,5,FALSE))</f>
        <v/>
      </c>
      <c r="K18" s="1006" t="str">
        <f>IF(I18="Si",IF(E18=0,"",VLOOKUP(E18,'Tablas Técnicas'!$A$14:$V$771,5,FALSE)),"")</f>
        <v/>
      </c>
      <c r="L18" s="987" t="s">
        <v>1690</v>
      </c>
      <c r="M18" s="1411" t="str">
        <f>IF(E18=0,"",VLOOKUP(E18,'Tablas Técnicas'!$A$14:$V$771,6,FALSE))</f>
        <v/>
      </c>
      <c r="N18" s="990" t="str">
        <f>IF(L18="Si",IF(E18=0,"",VLOOKUP(E18,'Tablas Técnicas'!$A$14:$V$771,6,FALSE)),"")</f>
        <v/>
      </c>
      <c r="O18" s="987" t="s">
        <v>1690</v>
      </c>
      <c r="P18" s="1411" t="str">
        <f>IF(E18=0,"",VLOOKUP(E18,'Tablas Técnicas'!$A$14:$V$771,7,FALSE))</f>
        <v/>
      </c>
      <c r="Q18" s="990" t="str">
        <f>IF(O18="Si",IF(E18=0,"",VLOOKUP(E18,'Tablas Técnicas'!$A$14:$V$771,7,FALSE)),"")</f>
        <v/>
      </c>
      <c r="R18" s="1005" t="str">
        <f>IF(E18=0,"",VLOOKUP(E18,'Tablas Técnicas'!$A$14:$V$771,8,FALSE))</f>
        <v/>
      </c>
      <c r="S18" s="1392" t="str">
        <f>IF(R18=$D$8,$D$8,IF(R18=2,2,IF(R18=3,3,R18)))</f>
        <v/>
      </c>
      <c r="T18" s="4809"/>
      <c r="U18" s="4810"/>
      <c r="V18" s="1385" t="str">
        <f>IF(OR(V16=0,V16=""),"N/A",V16)</f>
        <v>N/A</v>
      </c>
      <c r="W18" s="4809" t="str">
        <f xml:space="preserve"> IF(OR(AF16=0,AF16=""),"N/A",W16)</f>
        <v>N/A</v>
      </c>
      <c r="X18" s="4811"/>
      <c r="Y18" s="4811"/>
      <c r="Z18" s="4811"/>
      <c r="AA18" s="4811"/>
      <c r="AB18" s="4811"/>
      <c r="AC18" s="4811"/>
      <c r="AD18" s="4811"/>
      <c r="AE18" s="4811"/>
      <c r="AF18" s="4810"/>
      <c r="AG18" s="4809" t="str">
        <f xml:space="preserve"> IF(OR(AP16="",AP16=0),"N/A",AG16)</f>
        <v>N/A</v>
      </c>
      <c r="AH18" s="4811"/>
      <c r="AI18" s="4811"/>
      <c r="AJ18" s="4811"/>
      <c r="AK18" s="4811"/>
      <c r="AL18" s="4811"/>
      <c r="AM18" s="4811"/>
      <c r="AN18" s="4811"/>
      <c r="AO18" s="4811"/>
      <c r="AP18" s="4810"/>
      <c r="AQ18" s="4809" t="str">
        <f xml:space="preserve"> IF(OR(AZ16="",AZ16=0),"N/A",AQ16)</f>
        <v>N/A</v>
      </c>
      <c r="AR18" s="4811"/>
      <c r="AS18" s="4811"/>
      <c r="AT18" s="4811"/>
      <c r="AU18" s="4811"/>
      <c r="AV18" s="4811"/>
      <c r="AW18" s="4811"/>
      <c r="AX18" s="4811"/>
      <c r="AY18" s="4811"/>
      <c r="AZ18" s="4810"/>
      <c r="BA18" s="4809" t="str">
        <f xml:space="preserve"> IF(OR(BJ16="",BJ16=0),"N/A",BA16)</f>
        <v>N/A</v>
      </c>
      <c r="BB18" s="4811"/>
      <c r="BC18" s="4811"/>
      <c r="BD18" s="4811"/>
      <c r="BE18" s="4811"/>
      <c r="BF18" s="4811"/>
      <c r="BG18" s="4811"/>
      <c r="BH18" s="4811"/>
      <c r="BI18" s="4811"/>
      <c r="BJ18" s="4810"/>
      <c r="BK18" s="1007" t="s">
        <v>4543</v>
      </c>
      <c r="BL18" s="989"/>
      <c r="BM18" s="1024"/>
      <c r="BN18" s="992"/>
      <c r="BO18" s="1009"/>
      <c r="BP18" s="978" t="str">
        <f>IF(I18="Si",VLOOKUP($D$8,'Tablas Técnicas'!$E$4:$F$6,2,FALSE),"")</f>
        <v/>
      </c>
      <c r="BQ18" s="979" t="str">
        <f>IF(L18="Si",VLOOKUP($D$8,'Tablas Técnicas'!$I$4:$J$6,2,FALSE),"")</f>
        <v/>
      </c>
      <c r="BR18" s="977" t="str">
        <f>IF(O18="Si",VLOOKUP($D$8,'Tablas Técnicas'!$I$7:$J$9,2,FALSE),"")</f>
        <v/>
      </c>
      <c r="BS18" s="994"/>
      <c r="BT18" s="4774" t="s">
        <v>4521</v>
      </c>
      <c r="BU18" s="4775"/>
      <c r="BV18" s="971"/>
      <c r="BW18" s="951"/>
      <c r="BX18" s="951"/>
      <c r="BY18" s="1286"/>
      <c r="BZ18" s="1304"/>
      <c r="CA18" s="939"/>
      <c r="DR18" s="939"/>
      <c r="DS18" s="1318"/>
      <c r="DT18" s="1325"/>
      <c r="DU18" s="1379"/>
      <c r="DV18" s="1376" t="str">
        <f>IF(E18="","",E18)&amp;IF(I18="No",""," (Mant.)")&amp;IF(L18="No",""," (Sme)")&amp;IF(O18="No",""," (SMa)")</f>
        <v/>
      </c>
      <c r="DW18" s="1377"/>
      <c r="DX18" s="1378"/>
      <c r="DY18" s="1324"/>
      <c r="DZ18" s="939"/>
      <c r="EA18" s="1470">
        <f t="shared" si="0"/>
        <v>1</v>
      </c>
    </row>
    <row r="19" spans="1:131" x14ac:dyDescent="0.2">
      <c r="A19" s="939"/>
      <c r="B19" s="939"/>
      <c r="C19" s="4822"/>
      <c r="D19" s="1452" t="s">
        <v>1766</v>
      </c>
      <c r="E19" s="995"/>
      <c r="F19" s="1025"/>
      <c r="G19" s="1437" t="str">
        <f>IF(E19=0,"",VLOOKUP(E19,'Tablas Técnicas'!$A$14:$V$771,3,FALSE))</f>
        <v/>
      </c>
      <c r="H19" s="998" t="str">
        <f>IF($E19=0,"",VLOOKUP($E19,'Tablas Técnicas'!$A$14:$V$771,4,FALSE))</f>
        <v/>
      </c>
      <c r="I19" s="999" t="s">
        <v>1690</v>
      </c>
      <c r="J19" s="1415" t="str">
        <f>IF(E19=0,"",VLOOKUP(E19,'Tablas Técnicas'!$A$14:$V$771,5,FALSE))</f>
        <v/>
      </c>
      <c r="K19" s="1001" t="str">
        <f>IF(I19="Si",IF(E19=0,"",VLOOKUP(E19,'Tablas Técnicas'!$A$14:$V$771,5,FALSE)),"")</f>
        <v/>
      </c>
      <c r="L19" s="999" t="s">
        <v>1690</v>
      </c>
      <c r="M19" s="1415" t="str">
        <f>IF(E19=0,"",VLOOKUP(E19,'Tablas Técnicas'!$A$14:$V$771,6,FALSE))</f>
        <v/>
      </c>
      <c r="N19" s="1002" t="str">
        <f>IF(L19="Si",IF(E19=0,"",VLOOKUP(E19,'Tablas Técnicas'!$A$14:$V$771,6,FALSE)),"")</f>
        <v/>
      </c>
      <c r="O19" s="999" t="s">
        <v>1690</v>
      </c>
      <c r="P19" s="1415" t="str">
        <f>IF(E19=0,"",VLOOKUP(E19,'Tablas Técnicas'!$A$14:$V$771,7,FALSE))</f>
        <v/>
      </c>
      <c r="Q19" s="1002" t="str">
        <f>IF(O19="Si",IF(E19=0,"",VLOOKUP(E19,'Tablas Técnicas'!$A$14:$V$771,7,FALSE)),"")</f>
        <v/>
      </c>
      <c r="R19" s="1000" t="str">
        <f>IF(E19=0,"",VLOOKUP(E19,'Tablas Técnicas'!$A$14:$V$771,8,FALSE))</f>
        <v/>
      </c>
      <c r="S19" s="998" t="str">
        <f>IF(R19=$D$8,$D$8,IF(R19=2,2,IF(R19=3,3,R19)))</f>
        <v/>
      </c>
      <c r="T19" s="4812" t="s">
        <v>4544</v>
      </c>
      <c r="U19" s="4813"/>
      <c r="V19" s="1391"/>
      <c r="W19" s="4814"/>
      <c r="X19" s="4815"/>
      <c r="Y19" s="4815"/>
      <c r="Z19" s="4815"/>
      <c r="AA19" s="4815"/>
      <c r="AB19" s="4815"/>
      <c r="AC19" s="4815"/>
      <c r="AD19" s="4815"/>
      <c r="AE19" s="4815"/>
      <c r="AF19" s="4816"/>
      <c r="AG19" s="4814"/>
      <c r="AH19" s="4815"/>
      <c r="AI19" s="4815"/>
      <c r="AJ19" s="4815"/>
      <c r="AK19" s="4815"/>
      <c r="AL19" s="4815"/>
      <c r="AM19" s="4815"/>
      <c r="AN19" s="4815"/>
      <c r="AO19" s="4815"/>
      <c r="AP19" s="4816"/>
      <c r="AQ19" s="4814"/>
      <c r="AR19" s="4815"/>
      <c r="AS19" s="4815"/>
      <c r="AT19" s="4815"/>
      <c r="AU19" s="4815"/>
      <c r="AV19" s="4815"/>
      <c r="AW19" s="4815"/>
      <c r="AX19" s="4815"/>
      <c r="AY19" s="4815"/>
      <c r="AZ19" s="4816"/>
      <c r="BA19" s="4814"/>
      <c r="BB19" s="4815"/>
      <c r="BC19" s="4815"/>
      <c r="BD19" s="4815"/>
      <c r="BE19" s="4815"/>
      <c r="BF19" s="4815"/>
      <c r="BG19" s="4815"/>
      <c r="BH19" s="4815"/>
      <c r="BI19" s="4815"/>
      <c r="BJ19" s="4816"/>
      <c r="BK19" s="998">
        <f>(SUM(G16:G20)+IF(AF16="",0,AF16)+IF(AP16="",0,AP16)+IF(AZ16="",0,AZ16)+IF(BJ16="",0,BJ16)+SUM(K16:K20)+SUM(N16:N20)+SUM(Q16:Q20))- SUM(V19:BA19)</f>
        <v>0</v>
      </c>
      <c r="BL19" s="1437"/>
      <c r="BM19" s="1438"/>
      <c r="BN19" s="992"/>
      <c r="BO19" s="993"/>
      <c r="BP19" s="978" t="str">
        <f>IF(I19="Si",VLOOKUP($D$8,'Tablas Técnicas'!$E$4:$F$6,2,FALSE),"")</f>
        <v/>
      </c>
      <c r="BQ19" s="979" t="str">
        <f>IF(L19="Si",VLOOKUP($D$8,'Tablas Técnicas'!$I$4:$J$6,2,FALSE),"")</f>
        <v/>
      </c>
      <c r="BR19" s="977" t="str">
        <f>IF(O19="Si",VLOOKUP($D$8,'Tablas Técnicas'!$I$7:$J$9,2,FALSE),"")</f>
        <v/>
      </c>
      <c r="BS19" s="994"/>
      <c r="BT19" s="4766" t="s">
        <v>4549</v>
      </c>
      <c r="BU19" s="4767"/>
      <c r="BV19" s="971"/>
      <c r="BW19" s="951"/>
      <c r="BX19" s="951"/>
      <c r="BY19" s="1286"/>
      <c r="BZ19" s="1304"/>
      <c r="CA19" s="939"/>
      <c r="DR19" s="939"/>
      <c r="DS19" s="1318"/>
      <c r="DT19" s="1325"/>
      <c r="DU19" s="1375"/>
      <c r="DV19" s="1376" t="str">
        <f>IF(E19="","",E19)&amp;IF(I19="No",""," (Mant.)")&amp;IF(L19="No",""," (Sme)")&amp;IF(O19="No",""," (SMa)")</f>
        <v/>
      </c>
      <c r="DW19" s="1377"/>
      <c r="DX19" s="1378"/>
      <c r="DY19" s="1324"/>
      <c r="DZ19" s="939"/>
      <c r="EA19" s="1470">
        <f t="shared" si="0"/>
        <v>1</v>
      </c>
    </row>
    <row r="20" spans="1:131" ht="12.75" customHeight="1" x14ac:dyDescent="0.2">
      <c r="A20" s="939"/>
      <c r="B20" s="939"/>
      <c r="C20" s="4822"/>
      <c r="D20" s="1453" t="s">
        <v>1766</v>
      </c>
      <c r="E20" s="1003"/>
      <c r="F20" s="1019"/>
      <c r="G20" s="989" t="str">
        <f>IF(E20=0,"",VLOOKUP(E20,'Tablas Técnicas'!$A$14:$V$771,3,FALSE))</f>
        <v/>
      </c>
      <c r="H20" s="1004" t="str">
        <f>IF($E20=0,"",VLOOKUP($E20,'Tablas Técnicas'!$A$14:$V$771,4,FALSE))</f>
        <v/>
      </c>
      <c r="I20" s="987" t="s">
        <v>1690</v>
      </c>
      <c r="J20" s="1411" t="str">
        <f>IF(E20=0,"",VLOOKUP(E20,'Tablas Técnicas'!$A$14:$V$771,5,FALSE))</f>
        <v/>
      </c>
      <c r="K20" s="1006" t="str">
        <f>IF(I20="Si",IF(E20=0,"",VLOOKUP(E20,'Tablas Técnicas'!$A$14:$V$771,5,FALSE)),"")</f>
        <v/>
      </c>
      <c r="L20" s="987" t="s">
        <v>1690</v>
      </c>
      <c r="M20" s="1411" t="str">
        <f>IF(E20=0,"",VLOOKUP(E20,'Tablas Técnicas'!$A$14:$V$771,6,FALSE))</f>
        <v/>
      </c>
      <c r="N20" s="990" t="str">
        <f>IF(L20="Si",IF(E20=0,"",VLOOKUP(E20,'Tablas Técnicas'!$A$14:$V$771,6,FALSE)),"")</f>
        <v/>
      </c>
      <c r="O20" s="987" t="s">
        <v>1690</v>
      </c>
      <c r="P20" s="1411" t="str">
        <f>IF(E20=0,"",VLOOKUP(E20,'Tablas Técnicas'!$A$14:$V$771,7,FALSE))</f>
        <v/>
      </c>
      <c r="Q20" s="990" t="str">
        <f>IF(O20="Si",IF(E20=0,"",VLOOKUP(E20,'Tablas Técnicas'!$A$14:$V$771,7,FALSE)),"")</f>
        <v/>
      </c>
      <c r="R20" s="1005" t="str">
        <f>IF(E20=0,"",VLOOKUP(E20,'Tablas Técnicas'!$A$14:$V$771,8,FALSE))</f>
        <v/>
      </c>
      <c r="S20" s="1004" t="str">
        <f>IF(R20=$D$8,$D$8,IF(R20=2,2,IF(R20=3,3,R20)))</f>
        <v/>
      </c>
      <c r="T20" s="4803" t="s">
        <v>4546</v>
      </c>
      <c r="U20" s="4804"/>
      <c r="V20" s="1389"/>
      <c r="W20" s="4805"/>
      <c r="X20" s="4806"/>
      <c r="Y20" s="4806"/>
      <c r="Z20" s="4806"/>
      <c r="AA20" s="4806"/>
      <c r="AB20" s="4806"/>
      <c r="AC20" s="4806"/>
      <c r="AD20" s="4806"/>
      <c r="AE20" s="4806"/>
      <c r="AF20" s="4807"/>
      <c r="AG20" s="4805"/>
      <c r="AH20" s="4806"/>
      <c r="AI20" s="4806"/>
      <c r="AJ20" s="4806"/>
      <c r="AK20" s="4806"/>
      <c r="AL20" s="4806"/>
      <c r="AM20" s="4806"/>
      <c r="AN20" s="4806"/>
      <c r="AO20" s="4806"/>
      <c r="AP20" s="4807"/>
      <c r="AQ20" s="4805"/>
      <c r="AR20" s="4806"/>
      <c r="AS20" s="4806"/>
      <c r="AT20" s="4806"/>
      <c r="AU20" s="4806"/>
      <c r="AV20" s="4806"/>
      <c r="AW20" s="4806"/>
      <c r="AX20" s="4806"/>
      <c r="AY20" s="4806"/>
      <c r="AZ20" s="4807"/>
      <c r="BA20" s="4805"/>
      <c r="BB20" s="4806"/>
      <c r="BC20" s="4806"/>
      <c r="BD20" s="4806"/>
      <c r="BE20" s="4806"/>
      <c r="BF20" s="4806"/>
      <c r="BG20" s="4806"/>
      <c r="BH20" s="4806"/>
      <c r="BI20" s="4806"/>
      <c r="BJ20" s="4807"/>
      <c r="BK20" s="1014">
        <f>SUM(K16:K20)-SUM(V20:BA20)</f>
        <v>0</v>
      </c>
      <c r="BL20" s="1439"/>
      <c r="BM20" s="1440"/>
      <c r="BN20" s="992"/>
      <c r="BO20" s="1009"/>
      <c r="BP20" s="978" t="str">
        <f>IF(I20="Si",VLOOKUP($D$8,'Tablas Técnicas'!$E$4:$F$6,2,FALSE),"")</f>
        <v/>
      </c>
      <c r="BQ20" s="979" t="str">
        <f>IF(L20="Si",VLOOKUP($D$8,'Tablas Técnicas'!$I$4:$J$6,2,FALSE),"")</f>
        <v/>
      </c>
      <c r="BR20" s="977" t="str">
        <f>IF(O20="Si",VLOOKUP($D$8,'Tablas Técnicas'!$I$7:$J$9,2,FALSE),"")</f>
        <v/>
      </c>
      <c r="BS20" s="994"/>
      <c r="BT20" s="2354">
        <f>IF(BT14="No",0,IF(D8=0,0,VLOOKUP(D8,'Tablas Técnicas'!$L$4:$N$7,2,FALSE)))+IF(BT16="Bajar coste de CM",0,IF(BT16="-5 CM",2,IF(BT16="-10 CM",4,IF(BT16="-15 CM",6,IF(BT16="-20 CM",8,0)))))+IF(BT18="Bajar coste de Ki",0,IF(BT18="-1 Ki",-1,IF(BT18="-2 Ki",-2,IF(BT18="-3 Ki",-3,IF(BT18="-4 Ki",-4,IF(BT18="-5 Ki",-5,0))))))-BU23-BU25-BU27-BU29-BU31-BU33</f>
        <v>0</v>
      </c>
      <c r="BU20" s="2355">
        <f>IF(BT14="No",0,IF(D8=0,0,VLOOKUP(D8,'Tablas Técnicas'!$L$4:$N$7,2,FALSE)))+IF(BT16="Bajar coste de CM",0,IF(BT16="-5 CM",2,IF(BT16="-10 CM",4,IF(BT16="-15 CM",6,IF(BT16="-20 CM",8,0)))))+IF(BT18="Bajar coste de Ki",0,IF(BT18="-1 Ki",-1,IF(BT18="-2 Ki",-2,IF(BT18="-3 Ki",-3,IF(BT18="-4 Ki",-4,IF(BT18="-5 Ki",-5,0))))))</f>
        <v>0</v>
      </c>
      <c r="BV20" s="971"/>
      <c r="BW20" s="951"/>
      <c r="BX20" s="951"/>
      <c r="BY20" s="1286"/>
      <c r="BZ20" s="4808"/>
      <c r="CA20" s="939"/>
      <c r="DR20" s="939"/>
      <c r="DS20" s="1318"/>
      <c r="DT20" s="1325"/>
      <c r="DU20" s="1379"/>
      <c r="DV20" s="1376" t="str">
        <f>IF(E20="","",E20)&amp;IF(I20="No",""," (Mant.)")&amp;IF(L20="No",""," (Sme)")&amp;IF(O20="No",""," (SMa)")</f>
        <v/>
      </c>
      <c r="DW20" s="1377"/>
      <c r="DX20" s="1378"/>
      <c r="DY20" s="1324"/>
      <c r="DZ20" s="939"/>
      <c r="EA20" s="1470">
        <f t="shared" si="0"/>
        <v>1</v>
      </c>
    </row>
    <row r="21" spans="1:131" x14ac:dyDescent="0.2">
      <c r="A21" s="939"/>
      <c r="B21" s="1403"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822"/>
      <c r="D21" s="1454">
        <v>3</v>
      </c>
      <c r="E21" s="1246"/>
      <c r="F21" s="1016"/>
      <c r="G21" s="1017"/>
      <c r="H21" s="2159">
        <f t="array" ref="H21">IF(AND(OR(ISNUMBER(SEARCH("Empatía Elemental ("&amp;BK16:BM16&amp;")",Principal!$AF$30))),SUM(H16:H20)&gt;=10),-5,0)</f>
        <v>0</v>
      </c>
      <c r="I21" s="1413"/>
      <c r="J21" s="1416"/>
      <c r="K21" s="1017"/>
      <c r="L21" s="1413"/>
      <c r="M21" s="1416"/>
      <c r="N21" s="1017"/>
      <c r="O21" s="1413"/>
      <c r="P21" s="1416"/>
      <c r="Q21" s="1017"/>
      <c r="R21" s="1018"/>
      <c r="S21" s="1017"/>
      <c r="T21" s="1017"/>
      <c r="U21" s="1017"/>
      <c r="V21" s="1017"/>
      <c r="W21" s="1017"/>
      <c r="X21" s="1017"/>
      <c r="Y21" s="1017"/>
      <c r="Z21" s="1017"/>
      <c r="AA21" s="1017"/>
      <c r="AB21" s="1017"/>
      <c r="AC21" s="1017"/>
      <c r="AD21" s="1017"/>
      <c r="AE21" s="1017"/>
      <c r="AF21" s="1017"/>
      <c r="AG21" s="1017"/>
      <c r="AH21" s="1017"/>
      <c r="AI21" s="1017"/>
      <c r="AJ21" s="1017"/>
      <c r="AK21" s="1017"/>
      <c r="AL21" s="1017"/>
      <c r="AM21" s="1017"/>
      <c r="AN21" s="1017"/>
      <c r="AO21" s="1017"/>
      <c r="AP21" s="1017"/>
      <c r="AQ21" s="1017"/>
      <c r="AR21" s="1017"/>
      <c r="AS21" s="1017"/>
      <c r="AT21" s="1017"/>
      <c r="AU21" s="1017"/>
      <c r="AV21" s="1017"/>
      <c r="AW21" s="1017"/>
      <c r="AX21" s="1017"/>
      <c r="AY21" s="1017"/>
      <c r="AZ21" s="1017"/>
      <c r="BA21" s="1017"/>
      <c r="BB21" s="1017"/>
      <c r="BC21" s="1017"/>
      <c r="BD21" s="1017"/>
      <c r="BE21" s="1017"/>
      <c r="BF21" s="1017"/>
      <c r="BG21" s="1017"/>
      <c r="BH21" s="1017"/>
      <c r="BI21" s="1017"/>
      <c r="BJ21" s="1017"/>
      <c r="BK21" s="1017"/>
      <c r="BL21" s="1017"/>
      <c r="BM21" s="1027"/>
      <c r="BN21" s="1028">
        <f>SUM(K21:K24)</f>
        <v>0</v>
      </c>
      <c r="BO21" s="971" t="str">
        <f>IF(E21=0,"",(AF21+AP21+AZ21+BJ21))</f>
        <v/>
      </c>
      <c r="BP21" s="1029" t="str">
        <f>IF(I21="Si",VLOOKUP($D$8,'Tablas Técnicas'!$E$4:$F$6,2,FALSE),"")</f>
        <v/>
      </c>
      <c r="BQ21" s="1030" t="str">
        <f>IF(L21="Si",VLOOKUP($D$8,'Tablas Técnicas'!$I$4:$J$6,2,FALSE),"")</f>
        <v/>
      </c>
      <c r="BR21" s="1028" t="str">
        <f>IF(O21="Si",VLOOKUP($D$8,'Tablas Técnicas'!$I$7:$J$9,2,FALSE),"")</f>
        <v/>
      </c>
      <c r="BS21" s="994"/>
      <c r="BU21" s="956"/>
      <c r="BV21" s="971"/>
      <c r="BW21" s="951"/>
      <c r="BX21" s="951"/>
      <c r="BY21" s="1286"/>
      <c r="BZ21" s="4808"/>
      <c r="CA21" s="939"/>
      <c r="DR21" s="939"/>
      <c r="DS21" s="1318"/>
      <c r="DT21" s="1325"/>
      <c r="DU21" s="1379"/>
      <c r="DV21" s="1380"/>
      <c r="DW21" s="1377"/>
      <c r="DX21" s="1378"/>
      <c r="DY21" s="1324"/>
      <c r="DZ21" s="939"/>
      <c r="EA21" s="1470">
        <f t="shared" si="0"/>
        <v>1</v>
      </c>
    </row>
    <row r="22" spans="1:131" x14ac:dyDescent="0.2">
      <c r="A22" s="939"/>
      <c r="B22" s="939"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822"/>
      <c r="D22" s="1453" t="s">
        <v>1766</v>
      </c>
      <c r="E22" s="983"/>
      <c r="F22" s="1019"/>
      <c r="G22" s="989" t="str">
        <f>IF(E22=0,"",VLOOKUP(E22,'Tablas Técnicas'!$A$14:$V$771,3,FALSE))</f>
        <v/>
      </c>
      <c r="H22" s="1031" t="str">
        <f>IF($E22=0,"",VLOOKUP($E22,'Tablas Técnicas'!$A$14:$V$771,4,FALSE))</f>
        <v/>
      </c>
      <c r="I22" s="987" t="s">
        <v>1690</v>
      </c>
      <c r="J22" s="1417" t="str">
        <f>IF(E22=0,"",VLOOKUP(E22,'Tablas Técnicas'!$A$14:$V$771,5,FALSE))</f>
        <v/>
      </c>
      <c r="K22" s="1033" t="str">
        <f>IF(I22="Si",IF(E22=0,"",VLOOKUP(E22,'Tablas Técnicas'!$A$14:$V$771,5,FALSE)),"")</f>
        <v/>
      </c>
      <c r="L22" s="987" t="s">
        <v>1690</v>
      </c>
      <c r="M22" s="1417" t="str">
        <f>IF(E22=0,"",VLOOKUP(E22,'Tablas Técnicas'!$A$14:$V$771,6,FALSE))</f>
        <v/>
      </c>
      <c r="N22" s="990" t="str">
        <f>IF(L22="Si",IF(E22=0,"",VLOOKUP(E22,'Tablas Técnicas'!$A$14:$V$771,6,FALSE)),"")</f>
        <v/>
      </c>
      <c r="O22" s="987" t="s">
        <v>1690</v>
      </c>
      <c r="P22" s="1417" t="str">
        <f>IF(E22=0,"",VLOOKUP(E22,'Tablas Técnicas'!$A$14:$V$771,7,FALSE))</f>
        <v/>
      </c>
      <c r="Q22" s="990" t="str">
        <f>IF(O22="Si",IF(E22=0,"",VLOOKUP(E22,'Tablas Técnicas'!$A$14:$V$771,7,FALSE)),"")</f>
        <v/>
      </c>
      <c r="R22" s="1032" t="str">
        <f>IF(E22=0,"",VLOOKUP(E22,'Tablas Técnicas'!$A$14:$V$771,8,FALSE))</f>
        <v/>
      </c>
      <c r="S22" s="1004" t="str">
        <f>IF(R22=$D$8,$D$8,IF(R22=2,2,IF(R22=3,3,R22)))</f>
        <v/>
      </c>
      <c r="T22" s="1033" t="str">
        <f>IF(E22=0,"",VLOOKUP(E22,'Tablas Técnicas'!$A$14:$V$771,9,FALSE))</f>
        <v/>
      </c>
      <c r="U22" s="1033" t="str">
        <f>IF(E22=0,"",VLOOKUP(E22,'Tablas Técnicas'!$A$14:$V$771,10,FALSE))</f>
        <v/>
      </c>
      <c r="V22" s="1034" t="str">
        <f>IF(E22=0,"",VLOOKUP(E22,'Tablas Técnicas'!$A$14:$V$771,11,FALSE))</f>
        <v/>
      </c>
      <c r="W22" s="987"/>
      <c r="X22" s="988" t="e">
        <f>VLOOKUP(E22,'Tablas Técnicas'!$A$14:$V$771,12,FALSE)</f>
        <v>#N/A</v>
      </c>
      <c r="Y22" s="988" t="e">
        <f>IF(W22=X22,VLOOKUP(E22,'Tablas Técnicas'!$A$14:$V$771,13,FALSE),0)</f>
        <v>#N/A</v>
      </c>
      <c r="Z22" s="988" t="e">
        <f>VLOOKUP(E22,'Tablas Técnicas'!$A$14:$V$771,14,FALSE)</f>
        <v>#N/A</v>
      </c>
      <c r="AA22" s="988" t="e">
        <f>IF(W22=Z22,VLOOKUP(E22,'Tablas Técnicas'!$A$14:$V$616,15,FALSE),0)</f>
        <v>#N/A</v>
      </c>
      <c r="AB22" s="988" t="e">
        <f>VLOOKUP(E22,'Tablas Técnicas'!$A$14:$V$771,16,FALSE)</f>
        <v>#N/A</v>
      </c>
      <c r="AC22" s="988" t="e">
        <f>IF(W22=AB22,VLOOKUP(E22,'Tablas Técnicas'!$A$14:$V$616,17,FALSE),0)</f>
        <v>#N/A</v>
      </c>
      <c r="AD22" s="988" t="e">
        <f>VLOOKUP(E22,'Tablas Técnicas'!$A$14:$V$771,18,FALSE)</f>
        <v>#N/A</v>
      </c>
      <c r="AE22" s="988" t="e">
        <f>IF(W22=AD22,VLOOKUP(E22,'Tablas Técnicas'!$A$14:$V$771,19,FALSE),0)</f>
        <v>#N/A</v>
      </c>
      <c r="AF22" s="1006" t="str">
        <f>IF(E22=0,"",(Y22+AA22+AC22+AE22))</f>
        <v/>
      </c>
      <c r="AG22" s="987"/>
      <c r="AH22" s="1005" t="e">
        <f>VLOOKUP(E22,'Tablas Técnicas'!$A$14:$V$771,12,FALSE)</f>
        <v>#N/A</v>
      </c>
      <c r="AI22" s="1005" t="e">
        <f>IF(AG22=AH22,VLOOKUP(E22,'Tablas Técnicas'!$A$14:$V$771,13,FALSE),0)</f>
        <v>#N/A</v>
      </c>
      <c r="AJ22" s="1005" t="e">
        <f>VLOOKUP(E22,'Tablas Técnicas'!$A$14:$V$771,14,FALSE)</f>
        <v>#N/A</v>
      </c>
      <c r="AK22" s="1005" t="e">
        <f>IF(AG22=AJ22,VLOOKUP(E22,'Tablas Técnicas'!$A$14:$V$771,15,FALSE),0)</f>
        <v>#N/A</v>
      </c>
      <c r="AL22" s="1005" t="e">
        <f>VLOOKUP(E22,'Tablas Técnicas'!$A$14:$V$771,16,FALSE)</f>
        <v>#N/A</v>
      </c>
      <c r="AM22" s="1005" t="e">
        <f>IF(AG22=AL22,VLOOKUP(E22,'Tablas Técnicas'!$A$14:$V$771,17,FALSE),0)</f>
        <v>#N/A</v>
      </c>
      <c r="AN22" s="1005" t="e">
        <f>VLOOKUP(E22,'Tablas Técnicas'!$A$14:$V$771,18,FALSE)</f>
        <v>#N/A</v>
      </c>
      <c r="AO22" s="1005" t="e">
        <f>IF(AG22=AN22,VLOOKUP(E22,'Tablas Técnicas'!$A$14:$V$771,19,FALSE),0)</f>
        <v>#N/A</v>
      </c>
      <c r="AP22" s="1393" t="str">
        <f>IF(E22=0,"",(AI22+AK22+AM22+AO22))</f>
        <v/>
      </c>
      <c r="AQ22" s="987"/>
      <c r="AR22" s="1005" t="e">
        <f>VLOOKUP(E22,'Tablas Técnicas'!$A$14:$V$771,12,FALSE)</f>
        <v>#N/A</v>
      </c>
      <c r="AS22" s="1005" t="e">
        <f>IF(AQ22=AR22,VLOOKUP(E22,'Tablas Técnicas'!$A$14:$V$771,13,FALSE),0)</f>
        <v>#N/A</v>
      </c>
      <c r="AT22" s="1005" t="e">
        <f>VLOOKUP(E22,'Tablas Técnicas'!$A$14:$V$771,14,FALSE)</f>
        <v>#N/A</v>
      </c>
      <c r="AU22" s="1005" t="e">
        <f>IF(AQ22=AT22,VLOOKUP(E22,'Tablas Técnicas'!$A$14:$V$771,15,FALSE),0)</f>
        <v>#N/A</v>
      </c>
      <c r="AV22" s="1005" t="e">
        <f>VLOOKUP(E22,'Tablas Técnicas'!$A$14:$V$771,16,FALSE)</f>
        <v>#N/A</v>
      </c>
      <c r="AW22" s="1005" t="e">
        <f>IF(AQ22=AV22,VLOOKUP(E22,'Tablas Técnicas'!$A$14:$V$771,17,FALSE),0)</f>
        <v>#N/A</v>
      </c>
      <c r="AX22" s="1005" t="e">
        <f>VLOOKUP(E22,'Tablas Técnicas'!$A$14:$V$771,18,FALSE)</f>
        <v>#N/A</v>
      </c>
      <c r="AY22" s="1005" t="e">
        <f>IF(AQ22=AX22,VLOOKUP(E22,'Tablas Técnicas'!$A$14:$V$771,19,FALSE),0)</f>
        <v>#N/A</v>
      </c>
      <c r="AZ22" s="1006" t="str">
        <f>IF(E22=0,"",(AS22+AU22+AW22+AY22))</f>
        <v/>
      </c>
      <c r="BA22" s="987"/>
      <c r="BB22" s="1005" t="e">
        <f>VLOOKUP(E22,'Tablas Técnicas'!$A$14:$V$771,12,FALSE)</f>
        <v>#N/A</v>
      </c>
      <c r="BC22" s="1005" t="e">
        <f>IF(BA22=BB22,VLOOKUP(E22,'Tablas Técnicas'!$A$14:$V$771,13,FALSE),0)</f>
        <v>#N/A</v>
      </c>
      <c r="BD22" s="1005" t="e">
        <f>VLOOKUP(E22,'Tablas Técnicas'!$A$14:$V$771,14,FALSE)</f>
        <v>#N/A</v>
      </c>
      <c r="BE22" s="1005" t="e">
        <f>IF(BA22=BD22,VLOOKUP(E22,'Tablas Técnicas'!$A$14:$V$771,15,FALSE),0)</f>
        <v>#N/A</v>
      </c>
      <c r="BF22" s="1005" t="e">
        <f>VLOOKUP(E22,'Tablas Técnicas'!$A$14:$V$771,16,FALSE)</f>
        <v>#N/A</v>
      </c>
      <c r="BG22" s="1005" t="e">
        <f>IF(BA22=BF22,VLOOKUP(E22,'Tablas Técnicas'!$A$14:$V$771,17,FALSE),0)</f>
        <v>#N/A</v>
      </c>
      <c r="BH22" s="1005" t="e">
        <f>VLOOKUP(E22,'Tablas Técnicas'!$A$14:$V$771,18,FALSE)</f>
        <v>#N/A</v>
      </c>
      <c r="BI22" s="1005" t="e">
        <f>IF(BA22=BH22,VLOOKUP(E22,'Tablas Técnicas'!$A$14:$V$771,19,FALSE),0)</f>
        <v>#N/A</v>
      </c>
      <c r="BJ22" s="1393" t="str">
        <f>IF(E22=0,"",(BC22+BE22+BG22+BI22))</f>
        <v/>
      </c>
      <c r="BK22" s="1033" t="str">
        <f>IF(E22=0,"",VLOOKUP(E22,'Tablas Técnicas'!$A$14:$V$771,20,FALSE))</f>
        <v/>
      </c>
      <c r="BL22" s="1020" t="str">
        <f>IF(E22=0,"",VLOOKUP(E22,'Tablas Técnicas'!$A$14:$V$771,21,FALSE))</f>
        <v/>
      </c>
      <c r="BM22" s="991" t="str">
        <f>IF(E22=0,"",VLOOKUP(E22,'Tablas Técnicas'!$A$14:$V$771,22,FALSE))</f>
        <v/>
      </c>
      <c r="BN22" s="992"/>
      <c r="BO22" s="993"/>
      <c r="BP22" s="978" t="str">
        <f>IF(I22="Si",VLOOKUP($D$8,'Tablas Técnicas'!$E$4:$F$6,2,FALSE),"")</f>
        <v/>
      </c>
      <c r="BQ22" s="979" t="str">
        <f>IF(L22="Si",VLOOKUP($D$8,'Tablas Técnicas'!$I$4:$J$6,2,FALSE),"")</f>
        <v/>
      </c>
      <c r="BR22" s="977" t="str">
        <f>IF(O22="Si",VLOOKUP($D$8,'Tablas Técnicas'!$I$7:$J$9,2,FALSE),"")</f>
        <v/>
      </c>
      <c r="BS22" s="994"/>
      <c r="BT22" s="1384" t="s">
        <v>1682</v>
      </c>
      <c r="BU22" s="1383" t="s">
        <v>4550</v>
      </c>
      <c r="BV22" s="971"/>
      <c r="BW22" s="1383" t="s">
        <v>4551</v>
      </c>
      <c r="BX22" s="1384" t="s">
        <v>4552</v>
      </c>
      <c r="BY22" s="1300" t="s">
        <v>4552</v>
      </c>
      <c r="BZ22" s="4808"/>
      <c r="CA22" s="939"/>
      <c r="DR22" s="939"/>
      <c r="DS22" s="1318"/>
      <c r="DT22" s="1326"/>
      <c r="DU22" s="1379"/>
      <c r="DV22" s="1376" t="str">
        <f>IF(E22="","",", "&amp;E22)&amp;IF(I22="No",""," (Mant.)")&amp;IF(L22="No",""," (Sme)")&amp;IF(O22="No",""," (SMa)")</f>
        <v/>
      </c>
      <c r="DW22" s="1377"/>
      <c r="DX22" s="1378"/>
      <c r="DY22" s="1324"/>
      <c r="DZ22" s="939"/>
      <c r="EA22" s="1470">
        <f t="shared" si="0"/>
        <v>1</v>
      </c>
    </row>
    <row r="23" spans="1:131" x14ac:dyDescent="0.2">
      <c r="A23" s="939"/>
      <c r="B23" s="939"/>
      <c r="C23" s="4822"/>
      <c r="D23" s="1452" t="s">
        <v>1766</v>
      </c>
      <c r="E23" s="995"/>
      <c r="F23" s="1025"/>
      <c r="G23" s="1437" t="str">
        <f>IF(E23=0,"",VLOOKUP(E23,'Tablas Técnicas'!$A$14:$V$771,3,FALSE))</f>
        <v/>
      </c>
      <c r="H23" s="998" t="str">
        <f>IF($E23=0,"",VLOOKUP($E23,'Tablas Técnicas'!$A$14:$V$771,4,FALSE))</f>
        <v/>
      </c>
      <c r="I23" s="999" t="s">
        <v>1690</v>
      </c>
      <c r="J23" s="1415" t="str">
        <f>IF(E23=0,"",VLOOKUP(E23,'Tablas Técnicas'!$A$14:$V$771,5,FALSE))</f>
        <v/>
      </c>
      <c r="K23" s="1001" t="str">
        <f>IF(I23="Si",IF(E23=0,"",VLOOKUP(E23,'Tablas Técnicas'!$A$14:$V$771,5,FALSE)),"")</f>
        <v/>
      </c>
      <c r="L23" s="999" t="s">
        <v>1690</v>
      </c>
      <c r="M23" s="1415" t="str">
        <f>IF(E23=0,"",VLOOKUP(E23,'Tablas Técnicas'!$A$14:$V$771,6,FALSE))</f>
        <v/>
      </c>
      <c r="N23" s="1002" t="str">
        <f>IF(L23="Si",IF(E23=0,"",VLOOKUP(E23,'Tablas Técnicas'!$A$14:$V$771,6,FALSE)),"")</f>
        <v/>
      </c>
      <c r="O23" s="999" t="s">
        <v>1690</v>
      </c>
      <c r="P23" s="1415" t="str">
        <f>IF(E23=0,"",VLOOKUP(E23,'Tablas Técnicas'!$A$14:$V$771,7,FALSE))</f>
        <v/>
      </c>
      <c r="Q23" s="1002" t="str">
        <f>IF(O23="Si",IF(E23=0,"",VLOOKUP(E23,'Tablas Técnicas'!$A$14:$V$771,7,FALSE)),"")</f>
        <v/>
      </c>
      <c r="R23" s="1000" t="str">
        <f>IF(E23=0,"",VLOOKUP(E23,'Tablas Técnicas'!$A$14:$V$771,8,FALSE))</f>
        <v/>
      </c>
      <c r="S23" s="998" t="str">
        <f>IF(R23=$D$8,$D$8,IF(R23=2,2,IF(R23=3,3,R23)))</f>
        <v/>
      </c>
      <c r="T23" s="4796" t="s">
        <v>4542</v>
      </c>
      <c r="U23" s="4797"/>
      <c r="V23" s="4797"/>
      <c r="W23" s="4797"/>
      <c r="X23" s="4797"/>
      <c r="Y23" s="4797"/>
      <c r="Z23" s="4797"/>
      <c r="AA23" s="4797"/>
      <c r="AB23" s="4797"/>
      <c r="AC23" s="4797"/>
      <c r="AD23" s="4797"/>
      <c r="AE23" s="4797"/>
      <c r="AF23" s="4797"/>
      <c r="AG23" s="4797"/>
      <c r="AH23" s="4797"/>
      <c r="AI23" s="4797"/>
      <c r="AJ23" s="4797"/>
      <c r="AK23" s="4797"/>
      <c r="AL23" s="4797"/>
      <c r="AM23" s="4797"/>
      <c r="AN23" s="4797"/>
      <c r="AO23" s="4797"/>
      <c r="AP23" s="4797"/>
      <c r="AQ23" s="4797"/>
      <c r="AR23" s="4797"/>
      <c r="AS23" s="4797"/>
      <c r="AT23" s="4797"/>
      <c r="AU23" s="4797"/>
      <c r="AV23" s="4797"/>
      <c r="AW23" s="4797"/>
      <c r="AX23" s="4797"/>
      <c r="AY23" s="4797"/>
      <c r="AZ23" s="4797"/>
      <c r="BA23" s="4797"/>
      <c r="BB23" s="4797"/>
      <c r="BC23" s="4797"/>
      <c r="BD23" s="4797"/>
      <c r="BE23" s="4797"/>
      <c r="BF23" s="4797"/>
      <c r="BG23" s="4797"/>
      <c r="BH23" s="4797"/>
      <c r="BI23" s="4797"/>
      <c r="BJ23" s="4797"/>
      <c r="BK23" s="4798"/>
      <c r="BL23" s="1437"/>
      <c r="BM23" s="1438"/>
      <c r="BN23" s="992"/>
      <c r="BO23" s="993"/>
      <c r="BP23" s="978" t="str">
        <f>IF(I23="Si",VLOOKUP($D$8,'Tablas Técnicas'!$E$4:$F$6,2,FALSE),"")</f>
        <v/>
      </c>
      <c r="BQ23" s="979" t="str">
        <f>IF(L23="Si",VLOOKUP($D$8,'Tablas Técnicas'!$I$4:$J$6,2,FALSE),"")</f>
        <v/>
      </c>
      <c r="BR23" s="977" t="str">
        <f>IF(O23="Si",VLOOKUP($D$8,'Tablas Técnicas'!$I$7:$J$9,2,FALSE),"")</f>
        <v/>
      </c>
      <c r="BS23" s="994"/>
      <c r="BT23" s="1390">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356"/>
      <c r="BV23" s="971"/>
      <c r="BW23" s="1026" t="str">
        <f>IF(SUM(BT23:BU23)=0,"N/A",SUM(BT23:BU23))</f>
        <v>N/A</v>
      </c>
      <c r="BX23" s="1390">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26" t="str">
        <f>IF(BX23=0,"N/A",BX23)</f>
        <v>N/A</v>
      </c>
      <c r="BZ23" s="1395"/>
      <c r="CA23" s="939"/>
      <c r="DR23" s="939"/>
      <c r="DS23" s="1318"/>
      <c r="DT23" s="1325"/>
      <c r="DU23" s="1379"/>
      <c r="DV23" s="1376" t="str">
        <f>IF(E23="",""," "&amp;E23)&amp;IF(I23="No",""," (Mant.)")&amp;IF(L23="No",""," (Sme)")&amp;IF(O23="No",""," (SMa)")</f>
        <v/>
      </c>
      <c r="DW23" s="1377"/>
      <c r="DX23" s="1378"/>
      <c r="DY23" s="1324"/>
      <c r="DZ23" s="939"/>
      <c r="EA23" s="1470">
        <f t="shared" si="0"/>
        <v>1</v>
      </c>
    </row>
    <row r="24" spans="1:131" x14ac:dyDescent="0.2">
      <c r="A24" s="939"/>
      <c r="B24" s="939"/>
      <c r="C24" s="4822"/>
      <c r="D24" s="1453" t="s">
        <v>1766</v>
      </c>
      <c r="E24" s="1003"/>
      <c r="F24" s="1019"/>
      <c r="G24" s="989" t="str">
        <f>IF(E24=0,"",VLOOKUP(E24,'Tablas Técnicas'!$A$14:$V$771,3,FALSE))</f>
        <v/>
      </c>
      <c r="H24" s="1392" t="str">
        <f>IF($E24=0,"",VLOOKUP($E24,'Tablas Técnicas'!$A$14:$V$771,4,FALSE))</f>
        <v/>
      </c>
      <c r="I24" s="987" t="s">
        <v>1690</v>
      </c>
      <c r="J24" s="1411" t="str">
        <f>IF(E24=0,"",VLOOKUP(E24,'Tablas Técnicas'!$A$14:$V$771,5,FALSE))</f>
        <v/>
      </c>
      <c r="K24" s="1006" t="str">
        <f>IF(I24="Si",IF(E24=0,"",VLOOKUP(E24,'Tablas Técnicas'!$A$14:$V$771,5,FALSE)),"")</f>
        <v/>
      </c>
      <c r="L24" s="987" t="s">
        <v>1690</v>
      </c>
      <c r="M24" s="1411" t="str">
        <f>IF(E24=0,"",VLOOKUP(E24,'Tablas Técnicas'!$A$14:$V$771,6,FALSE))</f>
        <v/>
      </c>
      <c r="N24" s="990" t="str">
        <f>IF(L24="Si",IF(E24=0,"",VLOOKUP(E24,'Tablas Técnicas'!$A$14:$V$771,6,FALSE)),"")</f>
        <v/>
      </c>
      <c r="O24" s="987" t="s">
        <v>1690</v>
      </c>
      <c r="P24" s="1411" t="str">
        <f>IF(E24=0,"",VLOOKUP(E24,'Tablas Técnicas'!$A$14:$V$771,7,FALSE))</f>
        <v/>
      </c>
      <c r="Q24" s="990" t="str">
        <f>IF(O24="Si",IF(E24=0,"",VLOOKUP(E24,'Tablas Técnicas'!$A$14:$V$771,7,FALSE)),"")</f>
        <v/>
      </c>
      <c r="R24" s="1005" t="str">
        <f>IF(E24=0,"",VLOOKUP(E24,'Tablas Técnicas'!$A$14:$V$771,8,FALSE))</f>
        <v/>
      </c>
      <c r="S24" s="1392" t="str">
        <f>IF(R24=$D$8,$D$8,IF(R24=2,2,IF(R24=3,3,R24)))</f>
        <v/>
      </c>
      <c r="T24" s="4809"/>
      <c r="U24" s="4810"/>
      <c r="V24" s="1385" t="str">
        <f>IF(OR(V22=0,V22=""),"N/A",V22)</f>
        <v>N/A</v>
      </c>
      <c r="W24" s="4809" t="str">
        <f xml:space="preserve"> IF(OR(AF22=0,AF22=""),"N/A",W22)</f>
        <v>N/A</v>
      </c>
      <c r="X24" s="4811"/>
      <c r="Y24" s="4811"/>
      <c r="Z24" s="4811"/>
      <c r="AA24" s="4811"/>
      <c r="AB24" s="4811"/>
      <c r="AC24" s="4811"/>
      <c r="AD24" s="4811"/>
      <c r="AE24" s="4811"/>
      <c r="AF24" s="4810"/>
      <c r="AG24" s="4809" t="str">
        <f xml:space="preserve"> IF(OR(AP22="",AP22=0),"N/A",AG22)</f>
        <v>N/A</v>
      </c>
      <c r="AH24" s="4811"/>
      <c r="AI24" s="4811"/>
      <c r="AJ24" s="4811"/>
      <c r="AK24" s="4811"/>
      <c r="AL24" s="4811"/>
      <c r="AM24" s="4811"/>
      <c r="AN24" s="4811"/>
      <c r="AO24" s="4811"/>
      <c r="AP24" s="4810"/>
      <c r="AQ24" s="4809" t="str">
        <f xml:space="preserve"> IF(OR(AZ22="",AZ22=0),"N/A",AQ22)</f>
        <v>N/A</v>
      </c>
      <c r="AR24" s="4811"/>
      <c r="AS24" s="4811"/>
      <c r="AT24" s="4811"/>
      <c r="AU24" s="4811"/>
      <c r="AV24" s="4811"/>
      <c r="AW24" s="4811"/>
      <c r="AX24" s="4811"/>
      <c r="AY24" s="4811"/>
      <c r="AZ24" s="4810"/>
      <c r="BA24" s="4809" t="str">
        <f xml:space="preserve"> IF(OR(BJ22="",BJ22=0),"N/A",BA22)</f>
        <v>N/A</v>
      </c>
      <c r="BB24" s="4811"/>
      <c r="BC24" s="4811"/>
      <c r="BD24" s="4811"/>
      <c r="BE24" s="4811"/>
      <c r="BF24" s="4811"/>
      <c r="BG24" s="4811"/>
      <c r="BH24" s="4811"/>
      <c r="BI24" s="4811"/>
      <c r="BJ24" s="4810"/>
      <c r="BK24" s="1007" t="s">
        <v>4543</v>
      </c>
      <c r="BL24" s="989"/>
      <c r="BM24" s="1024"/>
      <c r="BN24" s="1008"/>
      <c r="BO24" s="1009"/>
      <c r="BP24" s="1010" t="str">
        <f>IF(I24="Si",VLOOKUP($D$8,'Tablas Técnicas'!$E$4:$F$6,2,FALSE),"")</f>
        <v/>
      </c>
      <c r="BQ24" s="980" t="str">
        <f>IF(L24="Si",VLOOKUP($D$8,'Tablas Técnicas'!$I$4:$J$6,2,FALSE),"")</f>
        <v/>
      </c>
      <c r="BR24" s="1011" t="str">
        <f>IF(O24="Si",VLOOKUP($D$8,'Tablas Técnicas'!$I$7:$J$9,2,FALSE),"")</f>
        <v/>
      </c>
      <c r="BS24" s="994"/>
      <c r="BT24" s="1384" t="s">
        <v>1809</v>
      </c>
      <c r="BU24" s="1383" t="s">
        <v>4550</v>
      </c>
      <c r="BV24" s="971"/>
      <c r="BW24" s="1383" t="s">
        <v>4551</v>
      </c>
      <c r="BX24" s="1384" t="s">
        <v>4552</v>
      </c>
      <c r="BY24" s="1301" t="s">
        <v>4552</v>
      </c>
      <c r="BZ24" s="1395"/>
      <c r="CA24" s="939"/>
      <c r="DR24" s="939"/>
      <c r="DS24" s="1318"/>
      <c r="DT24" s="1325"/>
      <c r="DU24" s="1379"/>
      <c r="DV24" s="1376" t="str">
        <f>IF(E24="","",E24)&amp;IF(I24="No",""," (Mant.)")&amp;IF(L24="No",""," (Sme)")&amp;IF(O24="No",""," (SMa)")</f>
        <v/>
      </c>
      <c r="DW24" s="1376"/>
      <c r="DX24" s="1378"/>
      <c r="DY24" s="1324"/>
      <c r="DZ24" s="939"/>
      <c r="EA24" s="1470">
        <f t="shared" si="0"/>
        <v>1</v>
      </c>
    </row>
    <row r="25" spans="1:131" s="1013" customFormat="1" x14ac:dyDescent="0.2">
      <c r="A25" s="939"/>
      <c r="B25" s="939"/>
      <c r="C25" s="4822"/>
      <c r="D25" s="1452" t="s">
        <v>1766</v>
      </c>
      <c r="E25" s="995"/>
      <c r="F25" s="1025"/>
      <c r="G25" s="1437" t="str">
        <f>IF(E25=0,"",VLOOKUP(E25,'Tablas Técnicas'!$A$14:$V$771,3,FALSE))</f>
        <v/>
      </c>
      <c r="H25" s="998" t="str">
        <f>IF($E25=0,"",VLOOKUP($E25,'Tablas Técnicas'!$A$14:$V$771,4,FALSE))</f>
        <v/>
      </c>
      <c r="I25" s="999" t="s">
        <v>1690</v>
      </c>
      <c r="J25" s="1415" t="str">
        <f>IF(E25=0,"",VLOOKUP(E25,'Tablas Técnicas'!$A$14:$V$771,5,FALSE))</f>
        <v/>
      </c>
      <c r="K25" s="1001" t="str">
        <f>IF(I25="Si",IF(E25=0,"",VLOOKUP(E25,'Tablas Técnicas'!$A$14:$V$771,5,FALSE)),"")</f>
        <v/>
      </c>
      <c r="L25" s="999" t="s">
        <v>1690</v>
      </c>
      <c r="M25" s="1415" t="str">
        <f>IF(E25=0,"",VLOOKUP(E25,'Tablas Técnicas'!$A$14:$V$771,6,FALSE))</f>
        <v/>
      </c>
      <c r="N25" s="1002" t="str">
        <f>IF(L25="Si",IF(E25=0,"",VLOOKUP(E25,'Tablas Técnicas'!$A$14:$V$771,6,FALSE)),"")</f>
        <v/>
      </c>
      <c r="O25" s="999" t="s">
        <v>1690</v>
      </c>
      <c r="P25" s="1415" t="str">
        <f>IF(E25=0,"",VLOOKUP(E25,'Tablas Técnicas'!$A$14:$V$771,7,FALSE))</f>
        <v/>
      </c>
      <c r="Q25" s="1002" t="str">
        <f>IF(O25="Si",IF(E25=0,"",VLOOKUP(E25,'Tablas Técnicas'!$A$14:$V$771,7,FALSE)),"")</f>
        <v/>
      </c>
      <c r="R25" s="1000" t="str">
        <f>IF(E25=0,"",VLOOKUP(E25,'Tablas Técnicas'!$A$14:$V$771,8,FALSE))</f>
        <v/>
      </c>
      <c r="S25" s="998" t="str">
        <f>IF(R25=$D$8,$D$8,IF(R25=2,2,IF(R25=3,3,R25)))</f>
        <v/>
      </c>
      <c r="T25" s="4812" t="s">
        <v>4544</v>
      </c>
      <c r="U25" s="4813"/>
      <c r="V25" s="1391"/>
      <c r="W25" s="4814"/>
      <c r="X25" s="4815"/>
      <c r="Y25" s="4815"/>
      <c r="Z25" s="4815"/>
      <c r="AA25" s="4815"/>
      <c r="AB25" s="4815"/>
      <c r="AC25" s="4815"/>
      <c r="AD25" s="4815"/>
      <c r="AE25" s="4815"/>
      <c r="AF25" s="4816"/>
      <c r="AG25" s="4814"/>
      <c r="AH25" s="4815"/>
      <c r="AI25" s="4815"/>
      <c r="AJ25" s="4815"/>
      <c r="AK25" s="4815"/>
      <c r="AL25" s="4815"/>
      <c r="AM25" s="4815"/>
      <c r="AN25" s="4815"/>
      <c r="AO25" s="4815"/>
      <c r="AP25" s="4816"/>
      <c r="AQ25" s="4814"/>
      <c r="AR25" s="4815"/>
      <c r="AS25" s="4815"/>
      <c r="AT25" s="4815"/>
      <c r="AU25" s="4815"/>
      <c r="AV25" s="4815"/>
      <c r="AW25" s="4815"/>
      <c r="AX25" s="4815"/>
      <c r="AY25" s="4815"/>
      <c r="AZ25" s="4816"/>
      <c r="BA25" s="4814"/>
      <c r="BB25" s="4815"/>
      <c r="BC25" s="4815"/>
      <c r="BD25" s="4815"/>
      <c r="BE25" s="4815"/>
      <c r="BF25" s="4815"/>
      <c r="BG25" s="4815"/>
      <c r="BH25" s="4815"/>
      <c r="BI25" s="4815"/>
      <c r="BJ25" s="4816"/>
      <c r="BK25" s="998">
        <f>(SUM(G22:G26)+IF(AF22="",0,AF22)+IF(AP22="",0,AP22)+IF(AZ22="",0,AZ22)+IF(BJ22="",0,BJ22)+SUM(K22:K26)+SUM(N22:N26)+SUM(Q22:Q26))- SUM(V25:BA25)</f>
        <v>0</v>
      </c>
      <c r="BL25" s="1437"/>
      <c r="BM25" s="1438"/>
      <c r="BN25" s="992"/>
      <c r="BO25" s="993"/>
      <c r="BP25" s="978" t="str">
        <f>IF(I25="Si",VLOOKUP($D$8,'Tablas Técnicas'!$E$4:$F$6,2,FALSE),"")</f>
        <v/>
      </c>
      <c r="BQ25" s="979" t="str">
        <f>IF(L25="Si",VLOOKUP($D$8,'Tablas Técnicas'!$I$4:$J$6,2,FALSE),"")</f>
        <v/>
      </c>
      <c r="BR25" s="977" t="str">
        <f>IF(O25="Si",VLOOKUP($D$8,'Tablas Técnicas'!$I$7:$J$9,2,FALSE),"")</f>
        <v/>
      </c>
      <c r="BS25" s="994"/>
      <c r="BT25" s="1390">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356"/>
      <c r="BV25" s="971"/>
      <c r="BW25" s="1026" t="str">
        <f>IF(SUM(BT25:BU25)=0,"N/A",SUM(BT25:BU25))</f>
        <v>N/A</v>
      </c>
      <c r="BX25" s="1390">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26" t="str">
        <f>IF(BX25=0,"N/A",BX25)</f>
        <v>N/A</v>
      </c>
      <c r="BZ25" s="1395"/>
      <c r="CA25" s="943"/>
      <c r="CC25" s="2940"/>
      <c r="DR25" s="943"/>
      <c r="DS25" s="1319"/>
      <c r="DT25" s="1325"/>
      <c r="DU25" s="1375"/>
      <c r="DV25" s="1376" t="str">
        <f>IF(E25="","",E25)&amp;IF(I25="No",""," (Mant.)")&amp;IF(L25="No",""," (Sme)")&amp;IF(O25="No",""," (SMa)")</f>
        <v/>
      </c>
      <c r="DW25" s="1376"/>
      <c r="DX25" s="1381"/>
      <c r="DY25" s="1327"/>
      <c r="DZ25" s="943"/>
      <c r="EA25" s="1470">
        <f t="shared" si="0"/>
        <v>1</v>
      </c>
    </row>
    <row r="26" spans="1:131" x14ac:dyDescent="0.2">
      <c r="A26" s="939"/>
      <c r="B26" s="939"/>
      <c r="C26" s="4822"/>
      <c r="D26" s="1453" t="s">
        <v>1766</v>
      </c>
      <c r="E26" s="1003"/>
      <c r="F26" s="1019"/>
      <c r="G26" s="989" t="str">
        <f>IF(E26=0,"",VLOOKUP(E26,'Tablas Técnicas'!$A$14:$V$771,3,FALSE))</f>
        <v/>
      </c>
      <c r="H26" s="1014" t="str">
        <f>IF($E26=0,"",VLOOKUP($E26,'Tablas Técnicas'!$A$14:$V$771,4,FALSE))</f>
        <v/>
      </c>
      <c r="I26" s="987" t="s">
        <v>1690</v>
      </c>
      <c r="J26" s="1418" t="str">
        <f>IF(E26=0,"",VLOOKUP(E26,'Tablas Técnicas'!$A$14:$V$771,5,FALSE))</f>
        <v/>
      </c>
      <c r="K26" s="1015" t="str">
        <f>IF(I26="Si",IF(E26=0,"",VLOOKUP(E26,'Tablas Técnicas'!$A$14:$V$771,5,FALSE)),"")</f>
        <v/>
      </c>
      <c r="L26" s="987" t="s">
        <v>1690</v>
      </c>
      <c r="M26" s="1418" t="str">
        <f>IF(E26=0,"",VLOOKUP(E26,'Tablas Técnicas'!$A$14:$V$771,6,FALSE))</f>
        <v/>
      </c>
      <c r="N26" s="990" t="str">
        <f>IF(L26="Si",IF(E26=0,"",VLOOKUP(E26,'Tablas Técnicas'!$A$14:$V$771,6,FALSE)),"")</f>
        <v/>
      </c>
      <c r="O26" s="987" t="s">
        <v>1690</v>
      </c>
      <c r="P26" s="1418" t="str">
        <f>IF(E26=0,"",VLOOKUP(E26,'Tablas Técnicas'!$A$14:$V$771,7,FALSE))</f>
        <v/>
      </c>
      <c r="Q26" s="990" t="str">
        <f>IF(O26="Si",IF(E26=0,"",VLOOKUP(E26,'Tablas Técnicas'!$A$14:$V$771,7,FALSE)),"")</f>
        <v/>
      </c>
      <c r="R26" s="1035" t="str">
        <f>IF(E26=0,"",VLOOKUP(E26,'Tablas Técnicas'!$A$14:$V$771,8,FALSE))</f>
        <v/>
      </c>
      <c r="S26" s="1004" t="str">
        <f>IF(R26=$D$8,$D$8,IF(R26=2,2,IF(R26=3,3,R26)))</f>
        <v/>
      </c>
      <c r="T26" s="4803" t="s">
        <v>4546</v>
      </c>
      <c r="U26" s="4804"/>
      <c r="V26" s="1389"/>
      <c r="W26" s="4805"/>
      <c r="X26" s="4806"/>
      <c r="Y26" s="4806"/>
      <c r="Z26" s="4806"/>
      <c r="AA26" s="4806"/>
      <c r="AB26" s="4806"/>
      <c r="AC26" s="4806"/>
      <c r="AD26" s="4806"/>
      <c r="AE26" s="4806"/>
      <c r="AF26" s="4807"/>
      <c r="AG26" s="4805"/>
      <c r="AH26" s="4806"/>
      <c r="AI26" s="4806"/>
      <c r="AJ26" s="4806"/>
      <c r="AK26" s="4806"/>
      <c r="AL26" s="4806"/>
      <c r="AM26" s="4806"/>
      <c r="AN26" s="4806"/>
      <c r="AO26" s="4806"/>
      <c r="AP26" s="4807"/>
      <c r="AQ26" s="4805"/>
      <c r="AR26" s="4806"/>
      <c r="AS26" s="4806"/>
      <c r="AT26" s="4806"/>
      <c r="AU26" s="4806"/>
      <c r="AV26" s="4806"/>
      <c r="AW26" s="4806"/>
      <c r="AX26" s="4806"/>
      <c r="AY26" s="4806"/>
      <c r="AZ26" s="4807"/>
      <c r="BA26" s="4805"/>
      <c r="BB26" s="4806"/>
      <c r="BC26" s="4806"/>
      <c r="BD26" s="4806"/>
      <c r="BE26" s="4806"/>
      <c r="BF26" s="4806"/>
      <c r="BG26" s="4806"/>
      <c r="BH26" s="4806"/>
      <c r="BI26" s="4806"/>
      <c r="BJ26" s="4807"/>
      <c r="BK26" s="1014">
        <f>SUM(K22:K26)-SUM(V26:BA26)</f>
        <v>0</v>
      </c>
      <c r="BL26" s="1439"/>
      <c r="BM26" s="1440"/>
      <c r="BN26" s="1008"/>
      <c r="BO26" s="1009"/>
      <c r="BP26" s="1010" t="str">
        <f>IF(I26="Si",VLOOKUP($D$8,'Tablas Técnicas'!$E$4:$F$6,2,FALSE),"")</f>
        <v/>
      </c>
      <c r="BQ26" s="980" t="str">
        <f>IF(L26="Si",VLOOKUP($D$8,'Tablas Técnicas'!$I$4:$J$6,2,FALSE),"")</f>
        <v/>
      </c>
      <c r="BR26" s="1011" t="str">
        <f>IF(O26="Si",VLOOKUP($D$8,'Tablas Técnicas'!$I$7:$J$9,2,FALSE),"")</f>
        <v/>
      </c>
      <c r="BS26" s="994"/>
      <c r="BT26" s="1384" t="s">
        <v>1687</v>
      </c>
      <c r="BU26" s="1383" t="s">
        <v>4550</v>
      </c>
      <c r="BV26" s="971"/>
      <c r="BW26" s="1383" t="s">
        <v>4551</v>
      </c>
      <c r="BX26" s="1384" t="s">
        <v>4552</v>
      </c>
      <c r="BY26" s="1301" t="s">
        <v>4552</v>
      </c>
      <c r="BZ26" s="1395"/>
      <c r="CA26" s="939"/>
      <c r="DR26" s="939"/>
      <c r="DS26" s="1318"/>
      <c r="DT26" s="1325"/>
      <c r="DU26" s="1379"/>
      <c r="DV26" s="1376" t="str">
        <f>IF(E26="","",E26)&amp;IF(I26="No",""," (Mant.)")&amp;IF(L26="No",""," (Sme)")&amp;IF(O26="No",""," (SMa)")</f>
        <v/>
      </c>
      <c r="DW26" s="1376"/>
      <c r="DX26" s="1378"/>
      <c r="DY26" s="1324"/>
      <c r="DZ26" s="939"/>
      <c r="EA26" s="1470">
        <f t="shared" si="0"/>
        <v>1</v>
      </c>
    </row>
    <row r="27" spans="1:131" ht="11.25" customHeight="1" x14ac:dyDescent="0.2">
      <c r="A27" s="939"/>
      <c r="B27" s="1403"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822"/>
      <c r="D27" s="1454">
        <v>4</v>
      </c>
      <c r="E27" s="1246"/>
      <c r="F27" s="1016"/>
      <c r="G27" s="1017"/>
      <c r="H27" s="2159">
        <f t="array" ref="H27">IF(AND(OR(ISNUMBER(SEARCH("Empatía Elemental ("&amp;BK22:BM22&amp;")",Principal!$AF$30))),SUM(H22:H26)&gt;=10),-5,0)</f>
        <v>0</v>
      </c>
      <c r="I27" s="1413"/>
      <c r="J27" s="1416"/>
      <c r="K27" s="1017"/>
      <c r="L27" s="1413"/>
      <c r="M27" s="1416"/>
      <c r="N27" s="1017"/>
      <c r="O27" s="1413"/>
      <c r="P27" s="1416"/>
      <c r="Q27" s="1017"/>
      <c r="R27" s="1018"/>
      <c r="S27" s="1017"/>
      <c r="T27" s="1017"/>
      <c r="U27" s="1017"/>
      <c r="V27" s="1017"/>
      <c r="W27" s="1017"/>
      <c r="X27" s="1017"/>
      <c r="Y27" s="1017"/>
      <c r="Z27" s="1017"/>
      <c r="AA27" s="1017"/>
      <c r="AB27" s="1017"/>
      <c r="AC27" s="1017"/>
      <c r="AD27" s="1017"/>
      <c r="AE27" s="1017"/>
      <c r="AF27" s="1017"/>
      <c r="AG27" s="1017"/>
      <c r="AH27" s="1017"/>
      <c r="AI27" s="1017"/>
      <c r="AJ27" s="1017"/>
      <c r="AK27" s="1017"/>
      <c r="AL27" s="1017"/>
      <c r="AM27" s="1017"/>
      <c r="AN27" s="1017"/>
      <c r="AO27" s="1017"/>
      <c r="AP27" s="1017"/>
      <c r="AQ27" s="1017"/>
      <c r="AR27" s="1017"/>
      <c r="AS27" s="1017"/>
      <c r="AT27" s="1017"/>
      <c r="AU27" s="1017"/>
      <c r="AV27" s="1017"/>
      <c r="AW27" s="1017"/>
      <c r="AX27" s="1017"/>
      <c r="AY27" s="1017"/>
      <c r="AZ27" s="1017"/>
      <c r="BA27" s="1017"/>
      <c r="BB27" s="1017"/>
      <c r="BC27" s="1017"/>
      <c r="BD27" s="1017"/>
      <c r="BE27" s="1017"/>
      <c r="BF27" s="1017"/>
      <c r="BG27" s="1017"/>
      <c r="BH27" s="1017"/>
      <c r="BI27" s="1017"/>
      <c r="BJ27" s="1017"/>
      <c r="BK27" s="1017"/>
      <c r="BL27" s="1017"/>
      <c r="BM27" s="1027"/>
      <c r="BN27" s="1028">
        <f>SUM(K27:K30)</f>
        <v>0</v>
      </c>
      <c r="BO27" s="971" t="str">
        <f>IF(E27=0,"",(AF27+AP27+AZ27+BJ27))</f>
        <v/>
      </c>
      <c r="BP27" s="1029" t="str">
        <f>IF(I27="Si",VLOOKUP($D$8,'Tablas Técnicas'!$E$4:$F$6,2,FALSE),"")</f>
        <v/>
      </c>
      <c r="BQ27" s="1030" t="str">
        <f>IF(L27="Si",VLOOKUP($D$8,'Tablas Técnicas'!$I$4:$J$6,2,FALSE),"")</f>
        <v/>
      </c>
      <c r="BR27" s="1028" t="str">
        <f>IF(O27="Si",VLOOKUP($D$8,'Tablas Técnicas'!$I$7:$J$9,2,FALSE),"")</f>
        <v/>
      </c>
      <c r="BS27" s="994"/>
      <c r="BT27" s="1390">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356"/>
      <c r="BV27" s="971"/>
      <c r="BW27" s="1026" t="str">
        <f>IF(SUM(BT27:BU27)=0,"N/A",SUM(BT27:BU27))</f>
        <v>N/A</v>
      </c>
      <c r="BX27" s="1390">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26" t="str">
        <f>IF(BX27=0,"N/A",BX27)</f>
        <v>N/A</v>
      </c>
      <c r="BZ27" s="1395"/>
      <c r="CA27" s="939"/>
      <c r="DR27" s="939"/>
      <c r="DS27" s="1318"/>
      <c r="DT27" s="1325"/>
      <c r="DU27" s="1379"/>
      <c r="DV27" s="1380"/>
      <c r="DW27" s="1376"/>
      <c r="DX27" s="1378"/>
      <c r="DY27" s="1324"/>
      <c r="DZ27" s="939"/>
      <c r="EA27" s="1470">
        <f t="shared" si="0"/>
        <v>1</v>
      </c>
    </row>
    <row r="28" spans="1:131" ht="11.25" customHeight="1" x14ac:dyDescent="0.2">
      <c r="A28" s="939"/>
      <c r="B28" s="939"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822"/>
      <c r="D28" s="1453" t="s">
        <v>1766</v>
      </c>
      <c r="E28" s="983"/>
      <c r="F28" s="1019"/>
      <c r="G28" s="989" t="str">
        <f>IF(E28=0,"",VLOOKUP(E28,'Tablas Técnicas'!$A$14:$V$771,3,FALSE))</f>
        <v/>
      </c>
      <c r="H28" s="1031" t="str">
        <f>IF($E28=0,"",VLOOKUP($E28,'Tablas Técnicas'!$A$14:$V$771,4,FALSE))</f>
        <v/>
      </c>
      <c r="I28" s="987" t="s">
        <v>1690</v>
      </c>
      <c r="J28" s="1417" t="str">
        <f>IF(E28=0,"",VLOOKUP(E28,'Tablas Técnicas'!$A$14:$V$771,5,FALSE))</f>
        <v/>
      </c>
      <c r="K28" s="1033" t="str">
        <f>IF(I28="Si",IF(E28=0,"",VLOOKUP(E28,'Tablas Técnicas'!$A$14:$V$771,5,FALSE)),"")</f>
        <v/>
      </c>
      <c r="L28" s="987" t="s">
        <v>1690</v>
      </c>
      <c r="M28" s="1417" t="str">
        <f>IF(E28=0,"",VLOOKUP(E28,'Tablas Técnicas'!$A$14:$V$771,6,FALSE))</f>
        <v/>
      </c>
      <c r="N28" s="990" t="str">
        <f>IF(L28="Si",IF(E28=0,"",VLOOKUP(E28,'Tablas Técnicas'!$A$14:$V$771,6,FALSE)),"")</f>
        <v/>
      </c>
      <c r="O28" s="987" t="s">
        <v>1690</v>
      </c>
      <c r="P28" s="1417" t="str">
        <f>IF(E28=0,"",VLOOKUP(E28,'Tablas Técnicas'!$A$14:$V$771,7,FALSE))</f>
        <v/>
      </c>
      <c r="Q28" s="990" t="str">
        <f>IF(O28="Si",IF(E28=0,"",VLOOKUP(E28,'Tablas Técnicas'!$A$14:$V$771,7,FALSE)),"")</f>
        <v/>
      </c>
      <c r="R28" s="1032" t="str">
        <f>IF(E28=0,"",VLOOKUP(E28,'Tablas Técnicas'!$A$14:$V$771,8,FALSE))</f>
        <v/>
      </c>
      <c r="S28" s="1004" t="str">
        <f>IF(R28=$D$8,$D$8,IF(R28=2,2,IF(R28=3,3,R28)))</f>
        <v/>
      </c>
      <c r="T28" s="1033" t="str">
        <f>IF(E28=0,"",VLOOKUP(E28,'Tablas Técnicas'!$A$14:$V$771,9,FALSE))</f>
        <v/>
      </c>
      <c r="U28" s="1033" t="str">
        <f>IF(E28=0,"",VLOOKUP(E28,'Tablas Técnicas'!$A$14:$V$771,10,FALSE))</f>
        <v/>
      </c>
      <c r="V28" s="1034" t="str">
        <f>IF(E28=0,"",VLOOKUP(E28,'Tablas Técnicas'!$A$14:$V$771,11,FALSE))</f>
        <v/>
      </c>
      <c r="W28" s="987"/>
      <c r="X28" s="988" t="e">
        <f>VLOOKUP(E28,'Tablas Técnicas'!$A$14:$V$771,12,FALSE)</f>
        <v>#N/A</v>
      </c>
      <c r="Y28" s="988" t="e">
        <f>IF(W28=X28,VLOOKUP(E28,'Tablas Técnicas'!$A$14:$V$771,13,FALSE),0)</f>
        <v>#N/A</v>
      </c>
      <c r="Z28" s="988" t="e">
        <f>VLOOKUP(E28,'Tablas Técnicas'!$A$14:$V$771,14,FALSE)</f>
        <v>#N/A</v>
      </c>
      <c r="AA28" s="988" t="e">
        <f>IF(W28=Z28,VLOOKUP(E28,'Tablas Técnicas'!$A$14:$V$616,15,FALSE),0)</f>
        <v>#N/A</v>
      </c>
      <c r="AB28" s="988" t="e">
        <f>VLOOKUP(E28,'Tablas Técnicas'!$A$14:$V$771,16,FALSE)</f>
        <v>#N/A</v>
      </c>
      <c r="AC28" s="988" t="e">
        <f>IF(W28=AB28,VLOOKUP(E28,'Tablas Técnicas'!$A$14:$V$616,17,FALSE),0)</f>
        <v>#N/A</v>
      </c>
      <c r="AD28" s="988" t="e">
        <f>VLOOKUP(E28,'Tablas Técnicas'!$A$14:$V$771,18,FALSE)</f>
        <v>#N/A</v>
      </c>
      <c r="AE28" s="988" t="e">
        <f>IF(W28=AD28,VLOOKUP(E28,'Tablas Técnicas'!$A$14:$V$771,19,FALSE),0)</f>
        <v>#N/A</v>
      </c>
      <c r="AF28" s="1006" t="str">
        <f>IF(E28=0,"",(Y28+AA28+AC28+AE28))</f>
        <v/>
      </c>
      <c r="AG28" s="987"/>
      <c r="AH28" s="1005" t="e">
        <f>VLOOKUP(E28,'Tablas Técnicas'!$A$14:$V$771,12,FALSE)</f>
        <v>#N/A</v>
      </c>
      <c r="AI28" s="1005" t="e">
        <f>IF(AG28=AH28,VLOOKUP(E28,'Tablas Técnicas'!$A$14:$V$771,13,FALSE),0)</f>
        <v>#N/A</v>
      </c>
      <c r="AJ28" s="1005" t="e">
        <f>VLOOKUP(E28,'Tablas Técnicas'!$A$14:$V$771,14,FALSE)</f>
        <v>#N/A</v>
      </c>
      <c r="AK28" s="1005" t="e">
        <f>IF(AG28=AJ28,VLOOKUP(E28,'Tablas Técnicas'!$A$14:$V$771,15,FALSE),0)</f>
        <v>#N/A</v>
      </c>
      <c r="AL28" s="1005" t="e">
        <f>VLOOKUP(E28,'Tablas Técnicas'!$A$14:$V$771,16,FALSE)</f>
        <v>#N/A</v>
      </c>
      <c r="AM28" s="1005" t="e">
        <f>IF(AG28=AL28,VLOOKUP(E28,'Tablas Técnicas'!$A$14:$V$771,17,FALSE),0)</f>
        <v>#N/A</v>
      </c>
      <c r="AN28" s="1005" t="e">
        <f>VLOOKUP(E28,'Tablas Técnicas'!$A$14:$V$771,18,FALSE)</f>
        <v>#N/A</v>
      </c>
      <c r="AO28" s="1005" t="e">
        <f>IF(AG28=AN28,VLOOKUP(E28,'Tablas Técnicas'!$A$14:$V$771,19,FALSE),0)</f>
        <v>#N/A</v>
      </c>
      <c r="AP28" s="1393" t="str">
        <f>IF(E28=0,"",(AI28+AK28+AM28+AO28))</f>
        <v/>
      </c>
      <c r="AQ28" s="987"/>
      <c r="AR28" s="1005" t="e">
        <f>VLOOKUP(E28,'Tablas Técnicas'!$A$14:$V$771,12,FALSE)</f>
        <v>#N/A</v>
      </c>
      <c r="AS28" s="1005" t="e">
        <f>IF(AQ28=AR28,VLOOKUP(E28,'Tablas Técnicas'!$A$14:$V$771,13,FALSE),0)</f>
        <v>#N/A</v>
      </c>
      <c r="AT28" s="1005" t="e">
        <f>VLOOKUP(E28,'Tablas Técnicas'!$A$14:$V$771,14,FALSE)</f>
        <v>#N/A</v>
      </c>
      <c r="AU28" s="1005" t="e">
        <f>IF(AQ28=AT28,VLOOKUP(E28,'Tablas Técnicas'!$A$14:$V$771,15,FALSE),0)</f>
        <v>#N/A</v>
      </c>
      <c r="AV28" s="1005" t="e">
        <f>VLOOKUP(E28,'Tablas Técnicas'!$A$14:$V$771,16,FALSE)</f>
        <v>#N/A</v>
      </c>
      <c r="AW28" s="1005" t="e">
        <f>IF(AQ28=AV28,VLOOKUP(E28,'Tablas Técnicas'!$A$14:$V$771,17,FALSE),0)</f>
        <v>#N/A</v>
      </c>
      <c r="AX28" s="1005" t="e">
        <f>VLOOKUP(E28,'Tablas Técnicas'!$A$14:$V$771,18,FALSE)</f>
        <v>#N/A</v>
      </c>
      <c r="AY28" s="1005" t="e">
        <f>IF(AQ28=AX28,VLOOKUP(E28,'Tablas Técnicas'!$A$14:$V$771,19,FALSE),0)</f>
        <v>#N/A</v>
      </c>
      <c r="AZ28" s="1006" t="str">
        <f>IF(E28=0,"",(AS28+AU28+AW28+AY28))</f>
        <v/>
      </c>
      <c r="BA28" s="987"/>
      <c r="BB28" s="1005" t="e">
        <f>VLOOKUP(E28,'Tablas Técnicas'!$A$14:$V$771,12,FALSE)</f>
        <v>#N/A</v>
      </c>
      <c r="BC28" s="1005" t="e">
        <f>IF(BA28=BB28,VLOOKUP(E28,'Tablas Técnicas'!$A$14:$V$771,13,FALSE),0)</f>
        <v>#N/A</v>
      </c>
      <c r="BD28" s="1005" t="e">
        <f>VLOOKUP(E28,'Tablas Técnicas'!$A$14:$V$771,14,FALSE)</f>
        <v>#N/A</v>
      </c>
      <c r="BE28" s="1005" t="e">
        <f>IF(BA28=BD28,VLOOKUP(E28,'Tablas Técnicas'!$A$14:$V$771,15,FALSE),0)</f>
        <v>#N/A</v>
      </c>
      <c r="BF28" s="1005" t="e">
        <f>VLOOKUP(E28,'Tablas Técnicas'!$A$14:$V$771,16,FALSE)</f>
        <v>#N/A</v>
      </c>
      <c r="BG28" s="1005" t="e">
        <f>IF(BA28=BF28,VLOOKUP(E28,'Tablas Técnicas'!$A$14:$V$771,17,FALSE),0)</f>
        <v>#N/A</v>
      </c>
      <c r="BH28" s="1005" t="e">
        <f>VLOOKUP(E28,'Tablas Técnicas'!$A$14:$V$771,18,FALSE)</f>
        <v>#N/A</v>
      </c>
      <c r="BI28" s="1005" t="e">
        <f>IF(BA28=BH28,VLOOKUP(E28,'Tablas Técnicas'!$A$14:$V$771,19,FALSE),0)</f>
        <v>#N/A</v>
      </c>
      <c r="BJ28" s="1393" t="str">
        <f>IF(E28=0,"",(BC28+BE28+BG28+BI28))</f>
        <v/>
      </c>
      <c r="BK28" s="1033" t="str">
        <f>IF(E28=0,"",VLOOKUP(E28,'Tablas Técnicas'!$A$14:$V$771,20,FALSE))</f>
        <v/>
      </c>
      <c r="BL28" s="1020" t="str">
        <f>IF(E28=0,"",VLOOKUP(E28,'Tablas Técnicas'!$A$14:$V$771,21,FALSE))</f>
        <v/>
      </c>
      <c r="BM28" s="991" t="str">
        <f>IF(E28=0,"",VLOOKUP(E28,'Tablas Técnicas'!$A$14:$V$771,22,FALSE))</f>
        <v/>
      </c>
      <c r="BN28" s="992"/>
      <c r="BO28" s="993"/>
      <c r="BP28" s="978" t="str">
        <f>IF(I28="Si",VLOOKUP($D$8,'Tablas Técnicas'!$E$4:$F$6,2,FALSE),"")</f>
        <v/>
      </c>
      <c r="BQ28" s="979" t="str">
        <f>IF(L28="Si",VLOOKUP($D$8,'Tablas Técnicas'!$I$4:$J$6,2,FALSE),"")</f>
        <v/>
      </c>
      <c r="BR28" s="977" t="str">
        <f>IF(O28="Si",VLOOKUP($D$8,'Tablas Técnicas'!$I$7:$J$9,2,FALSE),"")</f>
        <v/>
      </c>
      <c r="BS28" s="994"/>
      <c r="BT28" s="1384" t="s">
        <v>1692</v>
      </c>
      <c r="BU28" s="1383" t="s">
        <v>4550</v>
      </c>
      <c r="BV28" s="971"/>
      <c r="BW28" s="1383" t="s">
        <v>4551</v>
      </c>
      <c r="BX28" s="1384" t="s">
        <v>4552</v>
      </c>
      <c r="BY28" s="1301" t="s">
        <v>4552</v>
      </c>
      <c r="BZ28" s="1395"/>
      <c r="CA28" s="939"/>
      <c r="DR28" s="939"/>
      <c r="DS28" s="1318"/>
      <c r="DT28" s="1325"/>
      <c r="DU28" s="1379"/>
      <c r="DV28" s="1376" t="str">
        <f>IF(E28="","",", "&amp;E28)&amp;IF(I28="No",""," (Mant.)")&amp;IF(L28="No",""," (Sme)")&amp;IF(O28="No",""," (SMa)")</f>
        <v/>
      </c>
      <c r="DW28" s="1376"/>
      <c r="DX28" s="1378"/>
      <c r="DY28" s="1324"/>
      <c r="DZ28" s="939"/>
      <c r="EA28" s="1470">
        <f t="shared" si="0"/>
        <v>1</v>
      </c>
    </row>
    <row r="29" spans="1:131" x14ac:dyDescent="0.2">
      <c r="A29" s="939"/>
      <c r="B29" s="939"/>
      <c r="C29" s="4822"/>
      <c r="D29" s="1452" t="s">
        <v>1766</v>
      </c>
      <c r="E29" s="995"/>
      <c r="F29" s="1025"/>
      <c r="G29" s="1437" t="str">
        <f>IF(E29=0,"",VLOOKUP(E29,'Tablas Técnicas'!$A$14:$V$771,3,FALSE))</f>
        <v/>
      </c>
      <c r="H29" s="998" t="str">
        <f>IF($E29=0,"",VLOOKUP($E29,'Tablas Técnicas'!$A$14:$V$771,4,FALSE))</f>
        <v/>
      </c>
      <c r="I29" s="999" t="s">
        <v>1690</v>
      </c>
      <c r="J29" s="1415" t="str">
        <f>IF(E29=0,"",VLOOKUP(E29,'Tablas Técnicas'!$A$14:$V$771,5,FALSE))</f>
        <v/>
      </c>
      <c r="K29" s="1001" t="str">
        <f>IF(I29="Si",IF(E29=0,"",VLOOKUP(E29,'Tablas Técnicas'!$A$14:$V$771,5,FALSE)),"")</f>
        <v/>
      </c>
      <c r="L29" s="999" t="s">
        <v>1690</v>
      </c>
      <c r="M29" s="1415" t="str">
        <f>IF(E29=0,"",VLOOKUP(E29,'Tablas Técnicas'!$A$14:$V$771,6,FALSE))</f>
        <v/>
      </c>
      <c r="N29" s="1002" t="str">
        <f>IF(L29="Si",IF(E29=0,"",VLOOKUP(E29,'Tablas Técnicas'!$A$14:$V$771,6,FALSE)),"")</f>
        <v/>
      </c>
      <c r="O29" s="999" t="s">
        <v>1690</v>
      </c>
      <c r="P29" s="1415" t="str">
        <f>IF(E29=0,"",VLOOKUP(E29,'Tablas Técnicas'!$A$14:$V$771,7,FALSE))</f>
        <v/>
      </c>
      <c r="Q29" s="1002" t="str">
        <f>IF(O29="Si",IF(E29=0,"",VLOOKUP(E29,'Tablas Técnicas'!$A$14:$V$771,7,FALSE)),"")</f>
        <v/>
      </c>
      <c r="R29" s="1000" t="str">
        <f>IF(E29=0,"",VLOOKUP(E29,'Tablas Técnicas'!$A$14:$V$771,8,FALSE))</f>
        <v/>
      </c>
      <c r="S29" s="998" t="str">
        <f>IF(R29=$D$8,$D$8,IF(R29=2,2,IF(R29=3,3,R29)))</f>
        <v/>
      </c>
      <c r="T29" s="4796" t="s">
        <v>4542</v>
      </c>
      <c r="U29" s="4797"/>
      <c r="V29" s="4797"/>
      <c r="W29" s="4797"/>
      <c r="X29" s="4797"/>
      <c r="Y29" s="4797"/>
      <c r="Z29" s="4797"/>
      <c r="AA29" s="4797"/>
      <c r="AB29" s="4797"/>
      <c r="AC29" s="4797"/>
      <c r="AD29" s="4797"/>
      <c r="AE29" s="4797"/>
      <c r="AF29" s="4797"/>
      <c r="AG29" s="4797"/>
      <c r="AH29" s="4797"/>
      <c r="AI29" s="4797"/>
      <c r="AJ29" s="4797"/>
      <c r="AK29" s="4797"/>
      <c r="AL29" s="4797"/>
      <c r="AM29" s="4797"/>
      <c r="AN29" s="4797"/>
      <c r="AO29" s="4797"/>
      <c r="AP29" s="4797"/>
      <c r="AQ29" s="4797"/>
      <c r="AR29" s="4797"/>
      <c r="AS29" s="4797"/>
      <c r="AT29" s="4797"/>
      <c r="AU29" s="4797"/>
      <c r="AV29" s="4797"/>
      <c r="AW29" s="4797"/>
      <c r="AX29" s="4797"/>
      <c r="AY29" s="4797"/>
      <c r="AZ29" s="4797"/>
      <c r="BA29" s="4797"/>
      <c r="BB29" s="4797"/>
      <c r="BC29" s="4797"/>
      <c r="BD29" s="4797"/>
      <c r="BE29" s="4797"/>
      <c r="BF29" s="4797"/>
      <c r="BG29" s="4797"/>
      <c r="BH29" s="4797"/>
      <c r="BI29" s="4797"/>
      <c r="BJ29" s="4797"/>
      <c r="BK29" s="4798"/>
      <c r="BL29" s="1437"/>
      <c r="BM29" s="1438"/>
      <c r="BN29" s="992"/>
      <c r="BO29" s="993"/>
      <c r="BP29" s="978" t="str">
        <f>IF(I29="Si",VLOOKUP($D$8,'Tablas Técnicas'!$E$4:$F$6,2,FALSE),"")</f>
        <v/>
      </c>
      <c r="BQ29" s="979" t="str">
        <f>IF(L29="Si",VLOOKUP($D$8,'Tablas Técnicas'!$I$4:$J$6,2,FALSE),"")</f>
        <v/>
      </c>
      <c r="BR29" s="977" t="str">
        <f>IF(O29="Si",VLOOKUP($D$8,'Tablas Técnicas'!$I$7:$J$9,2,FALSE),"")</f>
        <v/>
      </c>
      <c r="BS29" s="994"/>
      <c r="BT29" s="1390">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356"/>
      <c r="BV29" s="971"/>
      <c r="BW29" s="1026" t="str">
        <f>IF(SUM(BT29:BU29)=0,"N/A",SUM(BT29:BU29))</f>
        <v>N/A</v>
      </c>
      <c r="BX29" s="1390">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26" t="str">
        <f>IF(BX29=0,"N/A",BX29)</f>
        <v>N/A</v>
      </c>
      <c r="BZ29" s="1395"/>
      <c r="CA29" s="939"/>
      <c r="DR29" s="939"/>
      <c r="DS29" s="1318"/>
      <c r="DT29" s="1325"/>
      <c r="DU29" s="1379"/>
      <c r="DV29" s="1376" t="str">
        <f>IF(E29="",""," "&amp;E29)&amp;IF(I29="No",""," (Mant.)")&amp;IF(L29="No",""," (Sme)")&amp;IF(O29="No",""," (SMa)")</f>
        <v/>
      </c>
      <c r="DW29" s="1376"/>
      <c r="DX29" s="1378"/>
      <c r="DY29" s="1324"/>
      <c r="DZ29" s="939"/>
      <c r="EA29" s="1470">
        <f t="shared" si="0"/>
        <v>1</v>
      </c>
    </row>
    <row r="30" spans="1:131" x14ac:dyDescent="0.2">
      <c r="A30" s="939"/>
      <c r="B30" s="939"/>
      <c r="C30" s="4822"/>
      <c r="D30" s="1453" t="s">
        <v>1766</v>
      </c>
      <c r="E30" s="1003"/>
      <c r="F30" s="1019"/>
      <c r="G30" s="989" t="str">
        <f>IF(E30=0,"",VLOOKUP(E30,'Tablas Técnicas'!$A$14:$V$771,3,FALSE))</f>
        <v/>
      </c>
      <c r="H30" s="1392" t="str">
        <f>IF($E30=0,"",VLOOKUP($E30,'Tablas Técnicas'!$A$14:$V$771,4,FALSE))</f>
        <v/>
      </c>
      <c r="I30" s="987" t="s">
        <v>1690</v>
      </c>
      <c r="J30" s="1411" t="str">
        <f>IF(E30=0,"",VLOOKUP(E30,'Tablas Técnicas'!$A$14:$V$771,5,FALSE))</f>
        <v/>
      </c>
      <c r="K30" s="1006" t="str">
        <f>IF(I30="Si",IF(E30=0,"",VLOOKUP(E30,'Tablas Técnicas'!$A$14:$V$771,5,FALSE)),"")</f>
        <v/>
      </c>
      <c r="L30" s="987" t="s">
        <v>1690</v>
      </c>
      <c r="M30" s="1411" t="str">
        <f>IF(E30=0,"",VLOOKUP(E30,'Tablas Técnicas'!$A$14:$V$771,6,FALSE))</f>
        <v/>
      </c>
      <c r="N30" s="990" t="str">
        <f>IF(L30="Si",IF(E30=0,"",VLOOKUP(E30,'Tablas Técnicas'!$A$14:$V$771,6,FALSE)),"")</f>
        <v/>
      </c>
      <c r="O30" s="987" t="s">
        <v>1690</v>
      </c>
      <c r="P30" s="1411" t="str">
        <f>IF(E30=0,"",VLOOKUP(E30,'Tablas Técnicas'!$A$14:$V$771,7,FALSE))</f>
        <v/>
      </c>
      <c r="Q30" s="990" t="str">
        <f>IF(O30="Si",IF(E30=0,"",VLOOKUP(E30,'Tablas Técnicas'!$A$14:$V$771,7,FALSE)),"")</f>
        <v/>
      </c>
      <c r="R30" s="1005" t="str">
        <f>IF(E30=0,"",VLOOKUP(E30,'Tablas Técnicas'!$A$14:$V$771,8,FALSE))</f>
        <v/>
      </c>
      <c r="S30" s="1392" t="str">
        <f>IF(R30=$D$8,$D$8,IF(R30=2,2,IF(R30=3,3,R30)))</f>
        <v/>
      </c>
      <c r="T30" s="4809"/>
      <c r="U30" s="4810"/>
      <c r="V30" s="1385" t="str">
        <f>IF(OR(V28=0,V28=""),"N/A",V28)</f>
        <v>N/A</v>
      </c>
      <c r="W30" s="4809" t="str">
        <f xml:space="preserve"> IF(OR(AF28=0,AF28=""),"N/A",W28)</f>
        <v>N/A</v>
      </c>
      <c r="X30" s="4811"/>
      <c r="Y30" s="4811"/>
      <c r="Z30" s="4811"/>
      <c r="AA30" s="4811"/>
      <c r="AB30" s="4811"/>
      <c r="AC30" s="4811"/>
      <c r="AD30" s="4811"/>
      <c r="AE30" s="4811"/>
      <c r="AF30" s="4810"/>
      <c r="AG30" s="4809" t="str">
        <f xml:space="preserve"> IF(OR(AP28="",AP28=0),"N/A",AG28)</f>
        <v>N/A</v>
      </c>
      <c r="AH30" s="4811"/>
      <c r="AI30" s="4811"/>
      <c r="AJ30" s="4811"/>
      <c r="AK30" s="4811"/>
      <c r="AL30" s="4811"/>
      <c r="AM30" s="4811"/>
      <c r="AN30" s="4811"/>
      <c r="AO30" s="4811"/>
      <c r="AP30" s="4810"/>
      <c r="AQ30" s="4809" t="str">
        <f xml:space="preserve"> IF(OR(AZ28="",AZ28=0),"N/A",AQ28)</f>
        <v>N/A</v>
      </c>
      <c r="AR30" s="4811"/>
      <c r="AS30" s="4811"/>
      <c r="AT30" s="4811"/>
      <c r="AU30" s="4811"/>
      <c r="AV30" s="4811"/>
      <c r="AW30" s="4811"/>
      <c r="AX30" s="4811"/>
      <c r="AY30" s="4811"/>
      <c r="AZ30" s="4810"/>
      <c r="BA30" s="4809" t="str">
        <f xml:space="preserve"> IF(OR(BJ28="",BJ28=0),"N/A",BA28)</f>
        <v>N/A</v>
      </c>
      <c r="BB30" s="4811"/>
      <c r="BC30" s="4811"/>
      <c r="BD30" s="4811"/>
      <c r="BE30" s="4811"/>
      <c r="BF30" s="4811"/>
      <c r="BG30" s="4811"/>
      <c r="BH30" s="4811"/>
      <c r="BI30" s="4811"/>
      <c r="BJ30" s="4810"/>
      <c r="BK30" s="1007" t="s">
        <v>4543</v>
      </c>
      <c r="BL30" s="989"/>
      <c r="BM30" s="1024"/>
      <c r="BN30" s="1008"/>
      <c r="BO30" s="1009"/>
      <c r="BP30" s="1010" t="str">
        <f>IF(I30="Si",VLOOKUP($D$8,'Tablas Técnicas'!$E$4:$F$6,2,FALSE),"")</f>
        <v/>
      </c>
      <c r="BQ30" s="980" t="str">
        <f>IF(L30="Si",VLOOKUP($D$8,'Tablas Técnicas'!$I$4:$J$6,2,FALSE),"")</f>
        <v/>
      </c>
      <c r="BR30" s="1011" t="str">
        <f>IF(O30="Si",VLOOKUP($D$8,'Tablas Técnicas'!$I$7:$J$9,2,FALSE),"")</f>
        <v/>
      </c>
      <c r="BS30" s="994"/>
      <c r="BT30" s="1384" t="s">
        <v>1700</v>
      </c>
      <c r="BU30" s="1383" t="s">
        <v>4550</v>
      </c>
      <c r="BV30" s="971"/>
      <c r="BW30" s="1383" t="s">
        <v>4551</v>
      </c>
      <c r="BX30" s="1384" t="s">
        <v>4552</v>
      </c>
      <c r="BY30" s="1301" t="s">
        <v>4552</v>
      </c>
      <c r="BZ30" s="1395"/>
      <c r="CA30" s="939"/>
      <c r="DR30" s="939"/>
      <c r="DS30" s="1318"/>
      <c r="DT30" s="1325"/>
      <c r="DU30" s="1379"/>
      <c r="DV30" s="1376" t="str">
        <f>IF(E30="","",E30)&amp;IF(I30="No",""," (Mant.)")&amp;IF(L30="No",""," (Sme)")&amp;IF(O30="No",""," (SMa)")</f>
        <v/>
      </c>
      <c r="DW30" s="1377"/>
      <c r="DX30" s="1378"/>
      <c r="DY30" s="1324"/>
      <c r="DZ30" s="939"/>
      <c r="EA30" s="1470">
        <f t="shared" si="0"/>
        <v>1</v>
      </c>
    </row>
    <row r="31" spans="1:131" x14ac:dyDescent="0.2">
      <c r="A31" s="939"/>
      <c r="B31" s="939"/>
      <c r="C31" s="4822"/>
      <c r="D31" s="1452" t="s">
        <v>1766</v>
      </c>
      <c r="E31" s="995"/>
      <c r="F31" s="1025"/>
      <c r="G31" s="1437" t="str">
        <f>IF(E31=0,"",VLOOKUP(E31,'Tablas Técnicas'!$A$14:$V$771,3,FALSE))</f>
        <v/>
      </c>
      <c r="H31" s="998" t="str">
        <f>IF($E31=0,"",VLOOKUP($E31,'Tablas Técnicas'!$A$14:$V$771,4,FALSE))</f>
        <v/>
      </c>
      <c r="I31" s="999" t="s">
        <v>1690</v>
      </c>
      <c r="J31" s="1415" t="str">
        <f>IF(E31=0,"",VLOOKUP(E31,'Tablas Técnicas'!$A$14:$V$771,5,FALSE))</f>
        <v/>
      </c>
      <c r="K31" s="1001" t="str">
        <f>IF(I31="Si",IF(E31=0,"",VLOOKUP(E31,'Tablas Técnicas'!$A$14:$V$771,5,FALSE)),"")</f>
        <v/>
      </c>
      <c r="L31" s="999" t="s">
        <v>1690</v>
      </c>
      <c r="M31" s="1415" t="str">
        <f>IF(E31=0,"",VLOOKUP(E31,'Tablas Técnicas'!$A$14:$V$771,6,FALSE))</f>
        <v/>
      </c>
      <c r="N31" s="1002" t="str">
        <f>IF(L31="Si",IF(E31=0,"",VLOOKUP(E31,'Tablas Técnicas'!$A$14:$V$771,6,FALSE)),"")</f>
        <v/>
      </c>
      <c r="O31" s="999" t="s">
        <v>1690</v>
      </c>
      <c r="P31" s="1415" t="str">
        <f>IF(E31=0,"",VLOOKUP(E31,'Tablas Técnicas'!$A$14:$V$771,7,FALSE))</f>
        <v/>
      </c>
      <c r="Q31" s="1002" t="str">
        <f>IF(O31="Si",IF(E31=0,"",VLOOKUP(E31,'Tablas Técnicas'!$A$14:$V$771,7,FALSE)),"")</f>
        <v/>
      </c>
      <c r="R31" s="1000" t="str">
        <f>IF(E31=0,"",VLOOKUP(E31,'Tablas Técnicas'!$A$14:$V$771,8,FALSE))</f>
        <v/>
      </c>
      <c r="S31" s="998" t="str">
        <f>IF(R31=$D$8,$D$8,IF(R31=2,2,IF(R31=3,3,R31)))</f>
        <v/>
      </c>
      <c r="T31" s="4812" t="s">
        <v>4544</v>
      </c>
      <c r="U31" s="4813"/>
      <c r="V31" s="1391"/>
      <c r="W31" s="4814"/>
      <c r="X31" s="4815"/>
      <c r="Y31" s="4815"/>
      <c r="Z31" s="4815"/>
      <c r="AA31" s="4815"/>
      <c r="AB31" s="4815"/>
      <c r="AC31" s="4815"/>
      <c r="AD31" s="4815"/>
      <c r="AE31" s="4815"/>
      <c r="AF31" s="4816"/>
      <c r="AG31" s="4814"/>
      <c r="AH31" s="4815"/>
      <c r="AI31" s="4815"/>
      <c r="AJ31" s="4815"/>
      <c r="AK31" s="4815"/>
      <c r="AL31" s="4815"/>
      <c r="AM31" s="4815"/>
      <c r="AN31" s="4815"/>
      <c r="AO31" s="4815"/>
      <c r="AP31" s="4816"/>
      <c r="AQ31" s="4814"/>
      <c r="AR31" s="4815"/>
      <c r="AS31" s="4815"/>
      <c r="AT31" s="4815"/>
      <c r="AU31" s="4815"/>
      <c r="AV31" s="4815"/>
      <c r="AW31" s="4815"/>
      <c r="AX31" s="4815"/>
      <c r="AY31" s="4815"/>
      <c r="AZ31" s="4816"/>
      <c r="BA31" s="4814"/>
      <c r="BB31" s="4815"/>
      <c r="BC31" s="4815"/>
      <c r="BD31" s="4815"/>
      <c r="BE31" s="4815"/>
      <c r="BF31" s="4815"/>
      <c r="BG31" s="4815"/>
      <c r="BH31" s="4815"/>
      <c r="BI31" s="4815"/>
      <c r="BJ31" s="4816"/>
      <c r="BK31" s="998">
        <f>(SUM(G28:G32)+IF(AF28="",0,AF28)+IF(AP28="",0,AP28)+IF(AZ28="",0,AZ28)+IF(BJ28="",0,BJ28)+SUM(K28:K32)+SUM(N28:N32)+SUM(Q28:Q32))- SUM(V31:BA31)</f>
        <v>0</v>
      </c>
      <c r="BL31" s="1437"/>
      <c r="BM31" s="1438"/>
      <c r="BN31" s="992"/>
      <c r="BO31" s="993"/>
      <c r="BP31" s="978" t="str">
        <f>IF(I31="Si",VLOOKUP($D$8,'Tablas Técnicas'!$E$4:$F$6,2,FALSE),"")</f>
        <v/>
      </c>
      <c r="BQ31" s="979" t="str">
        <f>IF(L31="Si",VLOOKUP($D$8,'Tablas Técnicas'!$I$4:$J$6,2,FALSE),"")</f>
        <v/>
      </c>
      <c r="BR31" s="977" t="str">
        <f>IF(O31="Si",VLOOKUP($D$8,'Tablas Técnicas'!$I$7:$J$9,2,FALSE),"")</f>
        <v/>
      </c>
      <c r="BS31" s="994"/>
      <c r="BT31" s="1390">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356"/>
      <c r="BV31" s="971"/>
      <c r="BW31" s="1026" t="str">
        <f>IF(SUM(BT31:BU31)=0,"N/A",SUM(BT31:BU31))</f>
        <v>N/A</v>
      </c>
      <c r="BX31" s="1390">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26" t="str">
        <f>IF(BX31=0,"N/A",BX31)</f>
        <v>N/A</v>
      </c>
      <c r="BZ31" s="1395"/>
      <c r="CA31" s="939"/>
      <c r="DR31" s="939"/>
      <c r="DS31" s="1318"/>
      <c r="DT31" s="1325"/>
      <c r="DU31" s="1379"/>
      <c r="DV31" s="1376" t="str">
        <f>IF(E31="","",E31)&amp;IF(I31="No",""," (Mant.)")&amp;IF(L31="No",""," (Sme)")&amp;IF(O31="No",""," (SMa)")</f>
        <v/>
      </c>
      <c r="DW31" s="1377"/>
      <c r="DX31" s="1378"/>
      <c r="DY31" s="1324"/>
      <c r="DZ31" s="939"/>
      <c r="EA31" s="1470">
        <f t="shared" si="0"/>
        <v>1</v>
      </c>
    </row>
    <row r="32" spans="1:131" x14ac:dyDescent="0.2">
      <c r="A32" s="939"/>
      <c r="B32" s="939"/>
      <c r="C32" s="4822"/>
      <c r="D32" s="1453" t="s">
        <v>1766</v>
      </c>
      <c r="E32" s="1003"/>
      <c r="F32" s="1019"/>
      <c r="G32" s="989" t="str">
        <f>IF(E32=0,"",VLOOKUP(E32,'Tablas Técnicas'!$A$14:$V$771,3,FALSE))</f>
        <v/>
      </c>
      <c r="H32" s="1014" t="str">
        <f>IF($E32=0,"",VLOOKUP($E32,'Tablas Técnicas'!$A$14:$V$771,4,FALSE))</f>
        <v/>
      </c>
      <c r="I32" s="987" t="s">
        <v>1690</v>
      </c>
      <c r="J32" s="1418" t="str">
        <f>IF(E32=0,"",VLOOKUP(E32,'Tablas Técnicas'!$A$14:$V$771,5,FALSE))</f>
        <v/>
      </c>
      <c r="K32" s="1015" t="str">
        <f>IF(I32="Si",IF(E32=0,"",VLOOKUP(E32,'Tablas Técnicas'!$A$14:$V$771,5,FALSE)),"")</f>
        <v/>
      </c>
      <c r="L32" s="987" t="s">
        <v>1690</v>
      </c>
      <c r="M32" s="1418" t="str">
        <f>IF(E32=0,"",VLOOKUP(E32,'Tablas Técnicas'!$A$14:$V$771,6,FALSE))</f>
        <v/>
      </c>
      <c r="N32" s="990" t="str">
        <f>IF(L32="Si",IF(E32=0,"",VLOOKUP(E32,'Tablas Técnicas'!$A$14:$V$771,6,FALSE)),"")</f>
        <v/>
      </c>
      <c r="O32" s="987" t="s">
        <v>1690</v>
      </c>
      <c r="P32" s="1418" t="str">
        <f>IF(E32=0,"",VLOOKUP(E32,'Tablas Técnicas'!$A$14:$V$771,7,FALSE))</f>
        <v/>
      </c>
      <c r="Q32" s="990" t="str">
        <f>IF(O32="Si",IF(E32=0,"",VLOOKUP(E32,'Tablas Técnicas'!$A$14:$V$771,7,FALSE)),"")</f>
        <v/>
      </c>
      <c r="R32" s="1035" t="str">
        <f>IF(E32=0,"",VLOOKUP(E32,'Tablas Técnicas'!$A$14:$V$771,8,FALSE))</f>
        <v/>
      </c>
      <c r="S32" s="1004" t="str">
        <f>IF(R32=$D$8,$D$8,IF(R32=2,2,IF(R32=3,3,R32)))</f>
        <v/>
      </c>
      <c r="T32" s="4803" t="s">
        <v>4546</v>
      </c>
      <c r="U32" s="4804"/>
      <c r="V32" s="1389"/>
      <c r="W32" s="4805"/>
      <c r="X32" s="4806"/>
      <c r="Y32" s="4806"/>
      <c r="Z32" s="4806"/>
      <c r="AA32" s="4806"/>
      <c r="AB32" s="4806"/>
      <c r="AC32" s="4806"/>
      <c r="AD32" s="4806"/>
      <c r="AE32" s="4806"/>
      <c r="AF32" s="4807"/>
      <c r="AG32" s="4805"/>
      <c r="AH32" s="4806"/>
      <c r="AI32" s="4806"/>
      <c r="AJ32" s="4806"/>
      <c r="AK32" s="4806"/>
      <c r="AL32" s="4806"/>
      <c r="AM32" s="4806"/>
      <c r="AN32" s="4806"/>
      <c r="AO32" s="4806"/>
      <c r="AP32" s="4807"/>
      <c r="AQ32" s="4805"/>
      <c r="AR32" s="4806"/>
      <c r="AS32" s="4806"/>
      <c r="AT32" s="4806"/>
      <c r="AU32" s="4806"/>
      <c r="AV32" s="4806"/>
      <c r="AW32" s="4806"/>
      <c r="AX32" s="4806"/>
      <c r="AY32" s="4806"/>
      <c r="AZ32" s="4807"/>
      <c r="BA32" s="4805"/>
      <c r="BB32" s="4806"/>
      <c r="BC32" s="4806"/>
      <c r="BD32" s="4806"/>
      <c r="BE32" s="4806"/>
      <c r="BF32" s="4806"/>
      <c r="BG32" s="4806"/>
      <c r="BH32" s="4806"/>
      <c r="BI32" s="4806"/>
      <c r="BJ32" s="4807"/>
      <c r="BK32" s="1014">
        <f>SUM(K28:K32)-SUM(V32:BA32)</f>
        <v>0</v>
      </c>
      <c r="BL32" s="1439"/>
      <c r="BM32" s="1440"/>
      <c r="BN32" s="1008"/>
      <c r="BO32" s="1009"/>
      <c r="BP32" s="1010" t="str">
        <f>IF(I32="Si",VLOOKUP($D$8,'Tablas Técnicas'!$E$4:$F$6,2,FALSE),"")</f>
        <v/>
      </c>
      <c r="BQ32" s="980" t="str">
        <f>IF(L32="Si",VLOOKUP($D$8,'Tablas Técnicas'!$I$4:$J$6,2,FALSE),"")</f>
        <v/>
      </c>
      <c r="BR32" s="1011" t="str">
        <f>IF(O32="Si",VLOOKUP($D$8,'Tablas Técnicas'!$I$7:$J$9,2,FALSE),"")</f>
        <v/>
      </c>
      <c r="BS32" s="994"/>
      <c r="BT32" s="1384" t="s">
        <v>1701</v>
      </c>
      <c r="BU32" s="1383" t="s">
        <v>4550</v>
      </c>
      <c r="BV32" s="971"/>
      <c r="BW32" s="1383" t="s">
        <v>4551</v>
      </c>
      <c r="BX32" s="1384" t="s">
        <v>4552</v>
      </c>
      <c r="BY32" s="1301" t="s">
        <v>4552</v>
      </c>
      <c r="BZ32" s="1395"/>
      <c r="CA32" s="939"/>
      <c r="DR32" s="939"/>
      <c r="DS32" s="1318"/>
      <c r="DT32" s="1325"/>
      <c r="DU32" s="1379"/>
      <c r="DV32" s="1376" t="str">
        <f>IF(E32="","",E32)&amp;IF(I32="No",""," (Mant.)")&amp;IF(L32="No",""," (Sme)")&amp;IF(O32="No",""," (SMa)")</f>
        <v/>
      </c>
      <c r="DW32" s="1377"/>
      <c r="DX32" s="1378"/>
      <c r="DY32" s="1324"/>
      <c r="DZ32" s="939"/>
      <c r="EA32" s="1470">
        <f t="shared" si="0"/>
        <v>1</v>
      </c>
    </row>
    <row r="33" spans="1:132" x14ac:dyDescent="0.2">
      <c r="A33" s="939"/>
      <c r="B33" s="1403"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822"/>
      <c r="D33" s="1454">
        <v>5</v>
      </c>
      <c r="E33" s="1246"/>
      <c r="F33" s="1016"/>
      <c r="G33" s="1017"/>
      <c r="H33" s="2159">
        <f t="array" ref="H33">IF(AND(OR(ISNUMBER(SEARCH("Empatía Elemental ("&amp;BK28:BM28&amp;")",Principal!$AF$30))),SUM(H28:H32)&gt;=10),-5,0)</f>
        <v>0</v>
      </c>
      <c r="I33" s="1413"/>
      <c r="J33" s="1416"/>
      <c r="K33" s="1017"/>
      <c r="L33" s="1413"/>
      <c r="M33" s="1416"/>
      <c r="N33" s="1017"/>
      <c r="O33" s="1413"/>
      <c r="P33" s="1416"/>
      <c r="Q33" s="1017"/>
      <c r="R33" s="1018"/>
      <c r="S33" s="1017"/>
      <c r="T33" s="1017"/>
      <c r="U33" s="1017"/>
      <c r="V33" s="1017"/>
      <c r="W33" s="1017"/>
      <c r="X33" s="1017"/>
      <c r="Y33" s="1017"/>
      <c r="Z33" s="1017"/>
      <c r="AA33" s="1017"/>
      <c r="AB33" s="1017"/>
      <c r="AC33" s="1017"/>
      <c r="AD33" s="1017"/>
      <c r="AE33" s="1017"/>
      <c r="AF33" s="1017"/>
      <c r="AG33" s="1017"/>
      <c r="AH33" s="1017"/>
      <c r="AI33" s="1017"/>
      <c r="AJ33" s="1017"/>
      <c r="AK33" s="1017"/>
      <c r="AL33" s="1017"/>
      <c r="AM33" s="1017"/>
      <c r="AN33" s="1017"/>
      <c r="AO33" s="1017"/>
      <c r="AP33" s="1017"/>
      <c r="AQ33" s="1017"/>
      <c r="AR33" s="1017"/>
      <c r="AS33" s="1017"/>
      <c r="AT33" s="1017"/>
      <c r="AU33" s="1017"/>
      <c r="AV33" s="1017"/>
      <c r="AW33" s="1017"/>
      <c r="AX33" s="1017"/>
      <c r="AY33" s="1017"/>
      <c r="AZ33" s="1017"/>
      <c r="BA33" s="1017"/>
      <c r="BB33" s="1017"/>
      <c r="BC33" s="1017"/>
      <c r="BD33" s="1017"/>
      <c r="BE33" s="1017"/>
      <c r="BF33" s="1017"/>
      <c r="BG33" s="1017"/>
      <c r="BH33" s="1017"/>
      <c r="BI33" s="1017"/>
      <c r="BJ33" s="1017"/>
      <c r="BK33" s="1017"/>
      <c r="BL33" s="1017"/>
      <c r="BM33" s="1027"/>
      <c r="BN33" s="1028">
        <f>SUM(K33:K36)</f>
        <v>0</v>
      </c>
      <c r="BO33" s="971" t="str">
        <f>IF(E33=0,"",(AF33+AP33+AZ33+BJ33))</f>
        <v/>
      </c>
      <c r="BP33" s="1029" t="str">
        <f>IF(I33="Si",VLOOKUP($D$8,'Tablas Técnicas'!$E$4:$F$6,2,FALSE),"")</f>
        <v/>
      </c>
      <c r="BQ33" s="1030" t="str">
        <f>IF(L33="Si",VLOOKUP($D$8,'Tablas Técnicas'!$I$4:$J$6,2,FALSE),"")</f>
        <v/>
      </c>
      <c r="BR33" s="1028" t="str">
        <f>IF(O33="Si",VLOOKUP($D$8,'Tablas Técnicas'!$I$7:$J$9,2,FALSE),"")</f>
        <v/>
      </c>
      <c r="BS33" s="994"/>
      <c r="BT33" s="1390">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356"/>
      <c r="BV33" s="971"/>
      <c r="BW33" s="1026" t="str">
        <f>IF(SUM(BT33:BU33)=0,"N/A",SUM(BT33:BU33))</f>
        <v>N/A</v>
      </c>
      <c r="BX33" s="1390">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26" t="str">
        <f>IF(BX33=0,"N/A",BX33)</f>
        <v>N/A</v>
      </c>
      <c r="BZ33" s="1395"/>
      <c r="CA33" s="939"/>
      <c r="DR33" s="939"/>
      <c r="DS33" s="1318"/>
      <c r="DT33" s="1325"/>
      <c r="DU33" s="1379"/>
      <c r="DV33" s="1380"/>
      <c r="DW33" s="1377"/>
      <c r="DX33" s="1378"/>
      <c r="DY33" s="1324"/>
      <c r="DZ33" s="939"/>
      <c r="EA33" s="1470">
        <f t="shared" si="0"/>
        <v>1</v>
      </c>
    </row>
    <row r="34" spans="1:132" ht="12" thickBot="1" x14ac:dyDescent="0.25">
      <c r="A34" s="939"/>
      <c r="B34" s="939"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822"/>
      <c r="D34" s="1453" t="s">
        <v>1766</v>
      </c>
      <c r="E34" s="983"/>
      <c r="F34" s="1019"/>
      <c r="G34" s="989" t="str">
        <f>IF(E34=0,"",VLOOKUP(E34,'Tablas Técnicas'!$A$14:$V$771,3,FALSE))</f>
        <v/>
      </c>
      <c r="H34" s="1031" t="str">
        <f>IF($E34=0,"",VLOOKUP($E34,'Tablas Técnicas'!$A$14:$V$771,4,FALSE))</f>
        <v/>
      </c>
      <c r="I34" s="987" t="s">
        <v>1690</v>
      </c>
      <c r="J34" s="1417" t="str">
        <f>IF(E34=0,"",VLOOKUP(E34,'Tablas Técnicas'!$A$14:$V$771,5,FALSE))</f>
        <v/>
      </c>
      <c r="K34" s="1033" t="str">
        <f>IF(I34="Si",IF(E34=0,"",VLOOKUP(E34,'Tablas Técnicas'!$A$14:$V$771,5,FALSE)),"")</f>
        <v/>
      </c>
      <c r="L34" s="987" t="s">
        <v>1690</v>
      </c>
      <c r="M34" s="1417" t="str">
        <f>IF(E34=0,"",VLOOKUP(E34,'Tablas Técnicas'!$A$14:$V$771,6,FALSE))</f>
        <v/>
      </c>
      <c r="N34" s="990" t="str">
        <f>IF(L34="Si",IF(E34=0,"",VLOOKUP(E34,'Tablas Técnicas'!$A$14:$V$771,6,FALSE)),"")</f>
        <v/>
      </c>
      <c r="O34" s="987" t="s">
        <v>1690</v>
      </c>
      <c r="P34" s="1417" t="str">
        <f>IF(E34=0,"",VLOOKUP(E34,'Tablas Técnicas'!$A$14:$V$771,7,FALSE))</f>
        <v/>
      </c>
      <c r="Q34" s="990" t="str">
        <f>IF(O34="Si",IF(E34=0,"",VLOOKUP(E34,'Tablas Técnicas'!$A$14:$V$771,7,FALSE)),"")</f>
        <v/>
      </c>
      <c r="R34" s="1032" t="str">
        <f>IF(E34=0,"",VLOOKUP(E34,'Tablas Técnicas'!$A$14:$V$771,8,FALSE))</f>
        <v/>
      </c>
      <c r="S34" s="1004" t="str">
        <f>IF(R34=$D$8,$D$8,IF(R34=2,2,IF(R34=3,3,R34)))</f>
        <v/>
      </c>
      <c r="T34" s="1033" t="str">
        <f>IF(E34=0,"",VLOOKUP(E34,'Tablas Técnicas'!$A$14:$V$771,9,FALSE))</f>
        <v/>
      </c>
      <c r="U34" s="1033" t="str">
        <f>IF(E34=0,"",VLOOKUP(E34,'Tablas Técnicas'!$A$14:$V$771,10,FALSE))</f>
        <v/>
      </c>
      <c r="V34" s="1034" t="str">
        <f>IF(E34=0,"",VLOOKUP(E34,'Tablas Técnicas'!$A$14:$V$771,11,FALSE))</f>
        <v/>
      </c>
      <c r="W34" s="987"/>
      <c r="X34" s="988" t="e">
        <f>VLOOKUP(E34,'Tablas Técnicas'!$A$14:$V$771,12,FALSE)</f>
        <v>#N/A</v>
      </c>
      <c r="Y34" s="988" t="e">
        <f>IF(W34=X34,VLOOKUP(E34,'Tablas Técnicas'!$A$14:$V$771,13,FALSE),0)</f>
        <v>#N/A</v>
      </c>
      <c r="Z34" s="988" t="e">
        <f>VLOOKUP(E34,'Tablas Técnicas'!$A$14:$V$771,14,FALSE)</f>
        <v>#N/A</v>
      </c>
      <c r="AA34" s="988" t="e">
        <f>IF(W34=Z34,VLOOKUP(E34,'Tablas Técnicas'!$A$14:$V$616,15,FALSE),0)</f>
        <v>#N/A</v>
      </c>
      <c r="AB34" s="988" t="e">
        <f>VLOOKUP(E34,'Tablas Técnicas'!$A$14:$V$771,16,FALSE)</f>
        <v>#N/A</v>
      </c>
      <c r="AC34" s="988" t="e">
        <f>IF(W34=AB34,VLOOKUP(E34,'Tablas Técnicas'!$A$14:$V$616,17,FALSE),0)</f>
        <v>#N/A</v>
      </c>
      <c r="AD34" s="988" t="e">
        <f>VLOOKUP(E34,'Tablas Técnicas'!$A$14:$V$771,18,FALSE)</f>
        <v>#N/A</v>
      </c>
      <c r="AE34" s="988" t="e">
        <f>IF(W34=AD34,VLOOKUP(E34,'Tablas Técnicas'!$A$14:$V$771,19,FALSE),0)</f>
        <v>#N/A</v>
      </c>
      <c r="AF34" s="1006" t="str">
        <f>IF(E34=0,"",(Y34+AA34+AC34+AE34))</f>
        <v/>
      </c>
      <c r="AG34" s="987"/>
      <c r="AH34" s="1005" t="e">
        <f>VLOOKUP(E34,'Tablas Técnicas'!$A$14:$V$771,12,FALSE)</f>
        <v>#N/A</v>
      </c>
      <c r="AI34" s="1005" t="e">
        <f>IF(AG34=AH34,VLOOKUP(E34,'Tablas Técnicas'!$A$14:$V$771,13,FALSE),0)</f>
        <v>#N/A</v>
      </c>
      <c r="AJ34" s="1005" t="e">
        <f>VLOOKUP(E34,'Tablas Técnicas'!$A$14:$V$771,14,FALSE)</f>
        <v>#N/A</v>
      </c>
      <c r="AK34" s="1005" t="e">
        <f>IF(AG34=AJ34,VLOOKUP(E34,'Tablas Técnicas'!$A$14:$V$771,15,FALSE),0)</f>
        <v>#N/A</v>
      </c>
      <c r="AL34" s="1005" t="e">
        <f>VLOOKUP(E34,'Tablas Técnicas'!$A$14:$V$771,16,FALSE)</f>
        <v>#N/A</v>
      </c>
      <c r="AM34" s="1005" t="e">
        <f>IF(AG34=AL34,VLOOKUP(E34,'Tablas Técnicas'!$A$14:$V$771,17,FALSE),0)</f>
        <v>#N/A</v>
      </c>
      <c r="AN34" s="1005" t="e">
        <f>VLOOKUP(E34,'Tablas Técnicas'!$A$14:$V$771,18,FALSE)</f>
        <v>#N/A</v>
      </c>
      <c r="AO34" s="1005" t="e">
        <f>IF(AG34=AN34,VLOOKUP(E34,'Tablas Técnicas'!$A$14:$V$771,19,FALSE),0)</f>
        <v>#N/A</v>
      </c>
      <c r="AP34" s="1393" t="str">
        <f>IF(E34=0,"",(AI34+AK34+AM34+AO34))</f>
        <v/>
      </c>
      <c r="AQ34" s="987"/>
      <c r="AR34" s="1005" t="e">
        <f>VLOOKUP(E34,'Tablas Técnicas'!$A$14:$V$771,12,FALSE)</f>
        <v>#N/A</v>
      </c>
      <c r="AS34" s="1005" t="e">
        <f>IF(AQ34=AR34,VLOOKUP(E34,'Tablas Técnicas'!$A$14:$V$771,13,FALSE),0)</f>
        <v>#N/A</v>
      </c>
      <c r="AT34" s="1005" t="e">
        <f>VLOOKUP(E34,'Tablas Técnicas'!$A$14:$V$771,14,FALSE)</f>
        <v>#N/A</v>
      </c>
      <c r="AU34" s="1005" t="e">
        <f>IF(AQ34=AT34,VLOOKUP(E34,'Tablas Técnicas'!$A$14:$V$771,15,FALSE),0)</f>
        <v>#N/A</v>
      </c>
      <c r="AV34" s="1005" t="e">
        <f>VLOOKUP(E34,'Tablas Técnicas'!$A$14:$V$771,16,FALSE)</f>
        <v>#N/A</v>
      </c>
      <c r="AW34" s="1005" t="e">
        <f>IF(AQ34=AV34,VLOOKUP(E34,'Tablas Técnicas'!$A$14:$V$771,17,FALSE),0)</f>
        <v>#N/A</v>
      </c>
      <c r="AX34" s="1005" t="e">
        <f>VLOOKUP(E34,'Tablas Técnicas'!$A$14:$V$771,18,FALSE)</f>
        <v>#N/A</v>
      </c>
      <c r="AY34" s="1005" t="e">
        <f>IF(AQ34=AX34,VLOOKUP(E34,'Tablas Técnicas'!$A$14:$V$771,19,FALSE),0)</f>
        <v>#N/A</v>
      </c>
      <c r="AZ34" s="1006" t="str">
        <f>IF(E34=0,"",(AS34+AU34+AW34+AY34))</f>
        <v/>
      </c>
      <c r="BA34" s="987"/>
      <c r="BB34" s="1005" t="e">
        <f>VLOOKUP(E34,'Tablas Técnicas'!$A$14:$V$771,12,FALSE)</f>
        <v>#N/A</v>
      </c>
      <c r="BC34" s="1005" t="e">
        <f>IF(BA34=BB34,VLOOKUP(E34,'Tablas Técnicas'!$A$14:$V$771,13,FALSE),0)</f>
        <v>#N/A</v>
      </c>
      <c r="BD34" s="1005" t="e">
        <f>VLOOKUP(E34,'Tablas Técnicas'!$A$14:$V$771,14,FALSE)</f>
        <v>#N/A</v>
      </c>
      <c r="BE34" s="1005" t="e">
        <f>IF(BA34=BD34,VLOOKUP(E34,'Tablas Técnicas'!$A$14:$V$771,15,FALSE),0)</f>
        <v>#N/A</v>
      </c>
      <c r="BF34" s="1005" t="e">
        <f>VLOOKUP(E34,'Tablas Técnicas'!$A$14:$V$771,16,FALSE)</f>
        <v>#N/A</v>
      </c>
      <c r="BG34" s="1005" t="e">
        <f>IF(BA34=BF34,VLOOKUP(E34,'Tablas Técnicas'!$A$14:$V$771,17,FALSE),0)</f>
        <v>#N/A</v>
      </c>
      <c r="BH34" s="1005" t="e">
        <f>VLOOKUP(E34,'Tablas Técnicas'!$A$14:$V$771,18,FALSE)</f>
        <v>#N/A</v>
      </c>
      <c r="BI34" s="1005" t="e">
        <f>IF(BA34=BH34,VLOOKUP(E34,'Tablas Técnicas'!$A$14:$V$771,19,FALSE),0)</f>
        <v>#N/A</v>
      </c>
      <c r="BJ34" s="1393" t="str">
        <f>IF(E34=0,"",(BC34+BE34+BG34+BI34))</f>
        <v/>
      </c>
      <c r="BK34" s="1033" t="str">
        <f>IF(E34=0,"",VLOOKUP(E34,'Tablas Técnicas'!$A$14:$V$771,20,FALSE))</f>
        <v/>
      </c>
      <c r="BL34" s="1020" t="str">
        <f>IF(E34=0,"",VLOOKUP(E34,'Tablas Técnicas'!$A$14:$V$771,21,FALSE))</f>
        <v/>
      </c>
      <c r="BM34" s="991" t="str">
        <f>IF(E34=0,"",VLOOKUP(E34,'Tablas Técnicas'!$A$14:$V$771,22,FALSE))</f>
        <v/>
      </c>
      <c r="BN34" s="992"/>
      <c r="BO34" s="993"/>
      <c r="BP34" s="978" t="str">
        <f>IF(I34="Si",VLOOKUP($D$8,'Tablas Técnicas'!$E$4:$F$6,2,FALSE),"")</f>
        <v/>
      </c>
      <c r="BQ34" s="979" t="str">
        <f>IF(L34="Si",VLOOKUP($D$8,'Tablas Técnicas'!$I$4:$J$6,2,FALSE),"")</f>
        <v/>
      </c>
      <c r="BR34" s="977" t="str">
        <f>IF(O34="Si",VLOOKUP($D$8,'Tablas Técnicas'!$I$7:$J$9,2,FALSE),"")</f>
        <v/>
      </c>
      <c r="BS34" s="994"/>
      <c r="BU34" s="4777"/>
      <c r="BV34" s="4777"/>
      <c r="BW34" s="4777"/>
      <c r="BX34" s="951"/>
      <c r="BY34" s="1287"/>
      <c r="BZ34" s="1304"/>
      <c r="CA34" s="939"/>
      <c r="DR34" s="939"/>
      <c r="DS34" s="1318"/>
      <c r="DT34" s="1325"/>
      <c r="DU34" s="1428" t="str">
        <f>DU10&amp;DU11&amp;DU12&amp;DU13&amp;DU14&amp;DU15</f>
        <v/>
      </c>
      <c r="DV34" s="1429" t="str">
        <f>DV10&amp;DV11&amp;DV12&amp;DV13&amp;DV14&amp;DV16&amp;DV17&amp;DV18&amp;DV19&amp;DV20&amp;DV22&amp;DV23&amp;DV24&amp;DV25&amp;DV26&amp;DV28&amp;DV29&amp;DV30&amp;DV31&amp;DV32</f>
        <v/>
      </c>
      <c r="DW34" s="1430" t="str">
        <f>DW10&amp;DW11&amp;DW12</f>
        <v/>
      </c>
      <c r="DX34" s="1431" t="str">
        <f>IF(DX16="",DX10,DX16)</f>
        <v/>
      </c>
      <c r="DY34" s="1324"/>
      <c r="DZ34" s="939"/>
      <c r="EA34" s="1470">
        <f t="shared" si="0"/>
        <v>1</v>
      </c>
    </row>
    <row r="35" spans="1:132" x14ac:dyDescent="0.2">
      <c r="A35" s="939"/>
      <c r="B35" s="939"/>
      <c r="C35" s="4822"/>
      <c r="D35" s="1452" t="s">
        <v>1766</v>
      </c>
      <c r="E35" s="995"/>
      <c r="F35" s="1025"/>
      <c r="G35" s="1437" t="str">
        <f>IF(E35=0,"",VLOOKUP(E35,'Tablas Técnicas'!$A$14:$V$771,3,FALSE))</f>
        <v/>
      </c>
      <c r="H35" s="998" t="str">
        <f>IF($E35=0,"",VLOOKUP($E35,'Tablas Técnicas'!$A$14:$V$771,4,FALSE))</f>
        <v/>
      </c>
      <c r="I35" s="999" t="s">
        <v>1690</v>
      </c>
      <c r="J35" s="1415" t="str">
        <f>IF(E35=0,"",VLOOKUP(E35,'Tablas Técnicas'!$A$14:$V$771,5,FALSE))</f>
        <v/>
      </c>
      <c r="K35" s="1001" t="str">
        <f>IF(I35="Si",IF(E35=0,"",VLOOKUP(E35,'Tablas Técnicas'!$A$14:$V$771,5,FALSE)),"")</f>
        <v/>
      </c>
      <c r="L35" s="999" t="s">
        <v>1690</v>
      </c>
      <c r="M35" s="1415" t="str">
        <f>IF(E35=0,"",VLOOKUP(E35,'Tablas Técnicas'!$A$14:$V$771,6,FALSE))</f>
        <v/>
      </c>
      <c r="N35" s="1002" t="str">
        <f>IF(L35="Si",IF(E35=0,"",VLOOKUP(E35,'Tablas Técnicas'!$A$14:$V$771,6,FALSE)),"")</f>
        <v/>
      </c>
      <c r="O35" s="999" t="s">
        <v>1690</v>
      </c>
      <c r="P35" s="1415" t="str">
        <f>IF(E35=0,"",VLOOKUP(E35,'Tablas Técnicas'!$A$14:$V$771,7,FALSE))</f>
        <v/>
      </c>
      <c r="Q35" s="1002" t="str">
        <f>IF(O35="Si",IF(E35=0,"",VLOOKUP(E35,'Tablas Técnicas'!$A$14:$V$771,7,FALSE)),"")</f>
        <v/>
      </c>
      <c r="R35" s="1000" t="str">
        <f>IF(E35=0,"",VLOOKUP(E35,'Tablas Técnicas'!$A$14:$V$771,8,FALSE))</f>
        <v/>
      </c>
      <c r="S35" s="998" t="str">
        <f>IF(R35=$D$8,$D$8,IF(R35=2,2,IF(R35=3,3,R35)))</f>
        <v/>
      </c>
      <c r="T35" s="4796" t="s">
        <v>4542</v>
      </c>
      <c r="U35" s="4797"/>
      <c r="V35" s="4797"/>
      <c r="W35" s="4797"/>
      <c r="X35" s="4797"/>
      <c r="Y35" s="4797"/>
      <c r="Z35" s="4797"/>
      <c r="AA35" s="4797"/>
      <c r="AB35" s="4797"/>
      <c r="AC35" s="4797"/>
      <c r="AD35" s="4797"/>
      <c r="AE35" s="4797"/>
      <c r="AF35" s="4797"/>
      <c r="AG35" s="4797"/>
      <c r="AH35" s="4797"/>
      <c r="AI35" s="4797"/>
      <c r="AJ35" s="4797"/>
      <c r="AK35" s="4797"/>
      <c r="AL35" s="4797"/>
      <c r="AM35" s="4797"/>
      <c r="AN35" s="4797"/>
      <c r="AO35" s="4797"/>
      <c r="AP35" s="4797"/>
      <c r="AQ35" s="4797"/>
      <c r="AR35" s="4797"/>
      <c r="AS35" s="4797"/>
      <c r="AT35" s="4797"/>
      <c r="AU35" s="4797"/>
      <c r="AV35" s="4797"/>
      <c r="AW35" s="4797"/>
      <c r="AX35" s="4797"/>
      <c r="AY35" s="4797"/>
      <c r="AZ35" s="4797"/>
      <c r="BA35" s="4797"/>
      <c r="BB35" s="4797"/>
      <c r="BC35" s="4797"/>
      <c r="BD35" s="4797"/>
      <c r="BE35" s="4797"/>
      <c r="BF35" s="4797"/>
      <c r="BG35" s="4797"/>
      <c r="BH35" s="4797"/>
      <c r="BI35" s="4797"/>
      <c r="BJ35" s="4797"/>
      <c r="BK35" s="4798"/>
      <c r="BL35" s="1437"/>
      <c r="BM35" s="1438"/>
      <c r="BN35" s="992"/>
      <c r="BO35" s="993"/>
      <c r="BP35" s="978" t="str">
        <f>IF(I35="Si",VLOOKUP($D$8,'Tablas Técnicas'!$E$4:$F$6,2,FALSE),"")</f>
        <v/>
      </c>
      <c r="BQ35" s="979" t="str">
        <f>IF(L35="Si",VLOOKUP($D$8,'Tablas Técnicas'!$I$4:$J$6,2,FALSE),"")</f>
        <v/>
      </c>
      <c r="BR35" s="977" t="str">
        <f>IF(O35="Si",VLOOKUP($D$8,'Tablas Técnicas'!$I$7:$J$9,2,FALSE),"")</f>
        <v/>
      </c>
      <c r="BS35" s="994"/>
      <c r="BT35" s="1036"/>
      <c r="BU35" s="1074"/>
      <c r="BV35" s="1074"/>
      <c r="BW35" s="1074"/>
      <c r="BX35" s="951"/>
      <c r="BY35" s="1286"/>
      <c r="BZ35" s="1304"/>
      <c r="CA35" s="939"/>
      <c r="DR35" s="939"/>
      <c r="DS35" s="1318"/>
      <c r="DT35" s="1325"/>
      <c r="DU35" s="1377"/>
      <c r="DV35" s="1376" t="str">
        <f>IF(E35="","",E35)&amp;IF(I35="No",""," (Mant.)")&amp;IF(L35="No",""," (Sme)")&amp;IF(O35="No",""," (SMa)")</f>
        <v/>
      </c>
      <c r="DW35" s="1377"/>
      <c r="DX35" s="1377"/>
      <c r="DY35" s="1324"/>
      <c r="DZ35" s="939"/>
      <c r="EA35" s="1470">
        <f t="shared" si="0"/>
        <v>1</v>
      </c>
    </row>
    <row r="36" spans="1:132" x14ac:dyDescent="0.2">
      <c r="A36" s="939"/>
      <c r="B36" s="939"/>
      <c r="C36" s="4822"/>
      <c r="D36" s="1453" t="s">
        <v>1766</v>
      </c>
      <c r="E36" s="1003"/>
      <c r="F36" s="1019"/>
      <c r="G36" s="989" t="str">
        <f>IF(E36=0,"",VLOOKUP(E36,'Tablas Técnicas'!$A$14:$V$771,3,FALSE))</f>
        <v/>
      </c>
      <c r="H36" s="1392" t="str">
        <f>IF($E36=0,"",VLOOKUP($E36,'Tablas Técnicas'!$A$14:$V$771,4,FALSE))</f>
        <v/>
      </c>
      <c r="I36" s="987" t="s">
        <v>1690</v>
      </c>
      <c r="J36" s="1411" t="str">
        <f>IF(E36=0,"",VLOOKUP(E36,'Tablas Técnicas'!$A$14:$V$771,5,FALSE))</f>
        <v/>
      </c>
      <c r="K36" s="1006" t="str">
        <f>IF(I36="Si",IF(E36=0,"",VLOOKUP(E36,'Tablas Técnicas'!$A$14:$V$771,5,FALSE)),"")</f>
        <v/>
      </c>
      <c r="L36" s="987" t="s">
        <v>1690</v>
      </c>
      <c r="M36" s="1411" t="str">
        <f>IF(E36=0,"",VLOOKUP(E36,'Tablas Técnicas'!$A$14:$V$771,6,FALSE))</f>
        <v/>
      </c>
      <c r="N36" s="990" t="str">
        <f>IF(L36="Si",IF(E36=0,"",VLOOKUP(E36,'Tablas Técnicas'!$A$14:$V$771,6,FALSE)),"")</f>
        <v/>
      </c>
      <c r="O36" s="987" t="s">
        <v>1690</v>
      </c>
      <c r="P36" s="1411" t="str">
        <f>IF(E36=0,"",VLOOKUP(E36,'Tablas Técnicas'!$A$14:$V$771,7,FALSE))</f>
        <v/>
      </c>
      <c r="Q36" s="990" t="str">
        <f>IF(O36="Si",IF(E36=0,"",VLOOKUP(E36,'Tablas Técnicas'!$A$14:$V$771,7,FALSE)),"")</f>
        <v/>
      </c>
      <c r="R36" s="1005" t="str">
        <f>IF(E36=0,"",VLOOKUP(E36,'Tablas Técnicas'!$A$14:$V$771,8,FALSE))</f>
        <v/>
      </c>
      <c r="S36" s="1392" t="str">
        <f>IF(R36=$D$8,$D$8,IF(R36=2,2,IF(R36=3,3,R36)))</f>
        <v/>
      </c>
      <c r="T36" s="4809"/>
      <c r="U36" s="4810"/>
      <c r="V36" s="1385" t="str">
        <f>IF(OR(V34=0,V34=""),"N/A",V34)</f>
        <v>N/A</v>
      </c>
      <c r="W36" s="4809" t="str">
        <f xml:space="preserve"> IF(OR(AF34=0,AF34=""),"N/A",W34)</f>
        <v>N/A</v>
      </c>
      <c r="X36" s="4811"/>
      <c r="Y36" s="4811"/>
      <c r="Z36" s="4811"/>
      <c r="AA36" s="4811"/>
      <c r="AB36" s="4811"/>
      <c r="AC36" s="4811"/>
      <c r="AD36" s="4811"/>
      <c r="AE36" s="4811"/>
      <c r="AF36" s="4810"/>
      <c r="AG36" s="4809" t="str">
        <f xml:space="preserve"> IF(OR(AP34="",AP34=0),"N/A",AG34)</f>
        <v>N/A</v>
      </c>
      <c r="AH36" s="4811"/>
      <c r="AI36" s="4811"/>
      <c r="AJ36" s="4811"/>
      <c r="AK36" s="4811"/>
      <c r="AL36" s="4811"/>
      <c r="AM36" s="4811"/>
      <c r="AN36" s="4811"/>
      <c r="AO36" s="4811"/>
      <c r="AP36" s="4810"/>
      <c r="AQ36" s="4809" t="str">
        <f xml:space="preserve"> IF(OR(AZ34="",AZ34=0),"N/A",AQ34)</f>
        <v>N/A</v>
      </c>
      <c r="AR36" s="4811"/>
      <c r="AS36" s="4811"/>
      <c r="AT36" s="4811"/>
      <c r="AU36" s="4811"/>
      <c r="AV36" s="4811"/>
      <c r="AW36" s="4811"/>
      <c r="AX36" s="4811"/>
      <c r="AY36" s="4811"/>
      <c r="AZ36" s="4810"/>
      <c r="BA36" s="4809" t="str">
        <f xml:space="preserve"> IF(OR(BJ34="",BJ34=0),"N/A",BA34)</f>
        <v>N/A</v>
      </c>
      <c r="BB36" s="4811"/>
      <c r="BC36" s="4811"/>
      <c r="BD36" s="4811"/>
      <c r="BE36" s="4811"/>
      <c r="BF36" s="4811"/>
      <c r="BG36" s="4811"/>
      <c r="BH36" s="4811"/>
      <c r="BI36" s="4811"/>
      <c r="BJ36" s="4810"/>
      <c r="BK36" s="1007" t="s">
        <v>4543</v>
      </c>
      <c r="BL36" s="989"/>
      <c r="BM36" s="1024"/>
      <c r="BN36" s="1008"/>
      <c r="BO36" s="1009"/>
      <c r="BP36" s="1010" t="str">
        <f>IF(I36="Si",VLOOKUP($D$8,'Tablas Técnicas'!$E$4:$F$6,2,FALSE),"")</f>
        <v/>
      </c>
      <c r="BQ36" s="980" t="str">
        <f>IF(L36="Si",VLOOKUP($D$8,'Tablas Técnicas'!$I$4:$J$6,2,FALSE),"")</f>
        <v/>
      </c>
      <c r="BR36" s="1011" t="str">
        <f>IF(O36="Si",VLOOKUP($D$8,'Tablas Técnicas'!$I$7:$J$9,2,FALSE),"")</f>
        <v/>
      </c>
      <c r="BS36" s="994"/>
      <c r="BU36" s="4776"/>
      <c r="BV36" s="4776"/>
      <c r="BW36" s="4776"/>
      <c r="BX36" s="951"/>
      <c r="BY36" s="1286"/>
      <c r="BZ36" s="1304"/>
      <c r="CA36" s="939"/>
      <c r="DR36" s="939"/>
      <c r="DS36" s="1318"/>
      <c r="DT36" s="1325"/>
      <c r="DU36" s="1377"/>
      <c r="DV36" s="1376" t="str">
        <f>IF(E36="","",E36)&amp;IF(I36="No",""," (Mant.)")&amp;IF(L36="No",""," (Sme)")&amp;IF(O36="No",""," (SMa)")</f>
        <v/>
      </c>
      <c r="DW36" s="1377"/>
      <c r="DX36" s="1377"/>
      <c r="DY36" s="1324"/>
      <c r="DZ36" s="939"/>
      <c r="EA36" s="1470">
        <f t="shared" si="0"/>
        <v>1</v>
      </c>
    </row>
    <row r="37" spans="1:132" s="1013" customFormat="1" x14ac:dyDescent="0.2">
      <c r="A37" s="939"/>
      <c r="B37" s="939"/>
      <c r="C37" s="4822"/>
      <c r="D37" s="1452" t="s">
        <v>1766</v>
      </c>
      <c r="E37" s="995"/>
      <c r="F37" s="1025"/>
      <c r="G37" s="1437" t="str">
        <f>IF(E37=0,"",VLOOKUP(E37,'Tablas Técnicas'!$A$14:$V$771,3,FALSE))</f>
        <v/>
      </c>
      <c r="H37" s="998" t="str">
        <f>IF($E37=0,"",VLOOKUP($E37,'Tablas Técnicas'!$A$14:$V$771,4,FALSE))</f>
        <v/>
      </c>
      <c r="I37" s="999" t="s">
        <v>1690</v>
      </c>
      <c r="J37" s="1415" t="str">
        <f>IF(E37=0,"",VLOOKUP(E37,'Tablas Técnicas'!$A$14:$V$771,5,FALSE))</f>
        <v/>
      </c>
      <c r="K37" s="1001" t="str">
        <f>IF(I37="Si",IF(E37=0,"",VLOOKUP(E37,'Tablas Técnicas'!$A$14:$V$771,5,FALSE)),"")</f>
        <v/>
      </c>
      <c r="L37" s="999" t="s">
        <v>1690</v>
      </c>
      <c r="M37" s="1415" t="str">
        <f>IF(E37=0,"",VLOOKUP(E37,'Tablas Técnicas'!$A$14:$V$771,6,FALSE))</f>
        <v/>
      </c>
      <c r="N37" s="1002" t="str">
        <f>IF(L37="Si",IF(E37=0,"",VLOOKUP(E37,'Tablas Técnicas'!$A$14:$V$771,6,FALSE)),"")</f>
        <v/>
      </c>
      <c r="O37" s="999" t="s">
        <v>1690</v>
      </c>
      <c r="P37" s="1415" t="str">
        <f>IF(E37=0,"",VLOOKUP(E37,'Tablas Técnicas'!$A$14:$V$771,7,FALSE))</f>
        <v/>
      </c>
      <c r="Q37" s="1002" t="str">
        <f>IF(O37="Si",IF(E37=0,"",VLOOKUP(E37,'Tablas Técnicas'!$A$14:$V$771,7,FALSE)),"")</f>
        <v/>
      </c>
      <c r="R37" s="1000" t="str">
        <f>IF(E37=0,"",VLOOKUP(E37,'Tablas Técnicas'!$A$14:$V$771,8,FALSE))</f>
        <v/>
      </c>
      <c r="S37" s="998" t="str">
        <f>IF(R37=$D$8,$D$8,IF(R37=2,2,IF(R37=3,3,R37)))</f>
        <v/>
      </c>
      <c r="T37" s="4812" t="s">
        <v>4544</v>
      </c>
      <c r="U37" s="4813"/>
      <c r="V37" s="1391"/>
      <c r="W37" s="4814"/>
      <c r="X37" s="4815"/>
      <c r="Y37" s="4815"/>
      <c r="Z37" s="4815"/>
      <c r="AA37" s="4815"/>
      <c r="AB37" s="4815"/>
      <c r="AC37" s="4815"/>
      <c r="AD37" s="4815"/>
      <c r="AE37" s="4815"/>
      <c r="AF37" s="4816"/>
      <c r="AG37" s="4814"/>
      <c r="AH37" s="4815"/>
      <c r="AI37" s="4815"/>
      <c r="AJ37" s="4815"/>
      <c r="AK37" s="4815"/>
      <c r="AL37" s="4815"/>
      <c r="AM37" s="4815"/>
      <c r="AN37" s="4815"/>
      <c r="AO37" s="4815"/>
      <c r="AP37" s="4816"/>
      <c r="AQ37" s="4814"/>
      <c r="AR37" s="4815"/>
      <c r="AS37" s="4815"/>
      <c r="AT37" s="4815"/>
      <c r="AU37" s="4815"/>
      <c r="AV37" s="4815"/>
      <c r="AW37" s="4815"/>
      <c r="AX37" s="4815"/>
      <c r="AY37" s="4815"/>
      <c r="AZ37" s="4816"/>
      <c r="BA37" s="4814"/>
      <c r="BB37" s="4815"/>
      <c r="BC37" s="4815"/>
      <c r="BD37" s="4815"/>
      <c r="BE37" s="4815"/>
      <c r="BF37" s="4815"/>
      <c r="BG37" s="4815"/>
      <c r="BH37" s="4815"/>
      <c r="BI37" s="4815"/>
      <c r="BJ37" s="4816"/>
      <c r="BK37" s="998">
        <f>(SUM(G34:G38)+IF(AF34="",0,AF34)+IF(AP34="",0,AP34)+IF(AZ34="",0,AZ34)+IF(BJ34="",0,BJ34)+SUM(K34:K38)+SUM(N34:N38)+SUM(Q34:Q38))- SUM(V37:BA37)</f>
        <v>0</v>
      </c>
      <c r="BL37" s="1437"/>
      <c r="BM37" s="1438"/>
      <c r="BN37" s="992"/>
      <c r="BO37" s="993"/>
      <c r="BP37" s="978" t="str">
        <f>IF(I37="Si",VLOOKUP($D$8,'Tablas Técnicas'!$E$4:$F$6,2,FALSE),"")</f>
        <v/>
      </c>
      <c r="BQ37" s="979" t="str">
        <f>IF(L37="Si",VLOOKUP($D$8,'Tablas Técnicas'!$I$4:$J$6,2,FALSE),"")</f>
        <v/>
      </c>
      <c r="BR37" s="977" t="str">
        <f>IF(O37="Si",VLOOKUP($D$8,'Tablas Técnicas'!$I$7:$J$9,2,FALSE),"")</f>
        <v/>
      </c>
      <c r="BS37" s="994"/>
      <c r="BT37" s="960"/>
      <c r="BU37" s="1074"/>
      <c r="BV37" s="1074"/>
      <c r="BW37" s="1074"/>
      <c r="BX37" s="951"/>
      <c r="BY37" s="1286"/>
      <c r="BZ37" s="1304"/>
      <c r="CA37" s="943"/>
      <c r="CC37" s="2940"/>
      <c r="DR37" s="943"/>
      <c r="DS37" s="1319"/>
      <c r="DT37" s="1326"/>
      <c r="DU37" s="1432"/>
      <c r="DV37" s="1376" t="str">
        <f>IF(E37="","",E37)&amp;IF(I37="No",""," (Mant.)")&amp;IF(L37="No",""," (Sme)")&amp;IF(O37="No",""," (SMa)")</f>
        <v/>
      </c>
      <c r="DW37" s="1432"/>
      <c r="DX37" s="1432"/>
      <c r="DY37" s="1327"/>
      <c r="DZ37" s="943"/>
      <c r="EA37" s="1470">
        <f t="shared" si="0"/>
        <v>1</v>
      </c>
    </row>
    <row r="38" spans="1:132" x14ac:dyDescent="0.2">
      <c r="A38" s="939"/>
      <c r="B38" s="939"/>
      <c r="C38" s="4822"/>
      <c r="D38" s="1453" t="s">
        <v>1766</v>
      </c>
      <c r="E38" s="1003"/>
      <c r="F38" s="1019"/>
      <c r="G38" s="989" t="str">
        <f>IF(E38=0,"",VLOOKUP(E38,'Tablas Técnicas'!$A$14:$V$771,3,FALSE))</f>
        <v/>
      </c>
      <c r="H38" s="1004" t="str">
        <f>IF($E38=0,"",VLOOKUP($E38,'Tablas Técnicas'!$A$14:$V$771,4,FALSE))</f>
        <v/>
      </c>
      <c r="I38" s="987" t="s">
        <v>1690</v>
      </c>
      <c r="J38" s="1411" t="str">
        <f>IF(E38=0,"",VLOOKUP(E38,'Tablas Técnicas'!$A$14:$V$771,5,FALSE))</f>
        <v/>
      </c>
      <c r="K38" s="1006" t="str">
        <f>IF(I38="Si",IF(E38=0,"",VLOOKUP(E38,'Tablas Técnicas'!$A$14:$V$771,5,FALSE)),"")</f>
        <v/>
      </c>
      <c r="L38" s="987" t="s">
        <v>1690</v>
      </c>
      <c r="M38" s="1411" t="str">
        <f>IF(E38=0,"",VLOOKUP(E38,'Tablas Técnicas'!$A$14:$V$771,6,FALSE))</f>
        <v/>
      </c>
      <c r="N38" s="990" t="str">
        <f>IF(L38="Si",IF(E38=0,"",VLOOKUP(E38,'Tablas Técnicas'!$A$14:$V$771,6,FALSE)),"")</f>
        <v/>
      </c>
      <c r="O38" s="987" t="s">
        <v>1690</v>
      </c>
      <c r="P38" s="1411" t="str">
        <f>IF(E38=0,"",VLOOKUP(E38,'Tablas Técnicas'!$A$14:$V$771,7,FALSE))</f>
        <v/>
      </c>
      <c r="Q38" s="990" t="str">
        <f>IF(O38="Si",IF(E38=0,"",VLOOKUP(E38,'Tablas Técnicas'!$A$14:$V$771,7,FALSE)),"")</f>
        <v/>
      </c>
      <c r="R38" s="1005" t="str">
        <f>IF(E38=0,"",VLOOKUP(E38,'Tablas Técnicas'!$A$14:$V$771,8,FALSE))</f>
        <v/>
      </c>
      <c r="S38" s="1004" t="str">
        <f>IF(R38=$D$8,$D$8,IF(R38=2,2,IF(R38=3,3,R38)))</f>
        <v/>
      </c>
      <c r="T38" s="4817" t="s">
        <v>4546</v>
      </c>
      <c r="U38" s="4818"/>
      <c r="V38" s="1394"/>
      <c r="W38" s="4819"/>
      <c r="X38" s="4820"/>
      <c r="Y38" s="4820"/>
      <c r="Z38" s="4820"/>
      <c r="AA38" s="4820"/>
      <c r="AB38" s="4820"/>
      <c r="AC38" s="4820"/>
      <c r="AD38" s="4820"/>
      <c r="AE38" s="4820"/>
      <c r="AF38" s="4821"/>
      <c r="AG38" s="4819"/>
      <c r="AH38" s="4820"/>
      <c r="AI38" s="4820"/>
      <c r="AJ38" s="4820"/>
      <c r="AK38" s="4820"/>
      <c r="AL38" s="4820"/>
      <c r="AM38" s="4820"/>
      <c r="AN38" s="4820"/>
      <c r="AO38" s="4820"/>
      <c r="AP38" s="4821"/>
      <c r="AQ38" s="4819"/>
      <c r="AR38" s="4820"/>
      <c r="AS38" s="4820"/>
      <c r="AT38" s="4820"/>
      <c r="AU38" s="4820"/>
      <c r="AV38" s="4820"/>
      <c r="AW38" s="4820"/>
      <c r="AX38" s="4820"/>
      <c r="AY38" s="4820"/>
      <c r="AZ38" s="4821"/>
      <c r="BA38" s="4819"/>
      <c r="BB38" s="4820"/>
      <c r="BC38" s="4820"/>
      <c r="BD38" s="4820"/>
      <c r="BE38" s="4820"/>
      <c r="BF38" s="4820"/>
      <c r="BG38" s="4820"/>
      <c r="BH38" s="4820"/>
      <c r="BI38" s="4820"/>
      <c r="BJ38" s="4821"/>
      <c r="BK38" s="1004">
        <f>SUM(K34:K38)-SUM(V38:BA38)</f>
        <v>0</v>
      </c>
      <c r="BL38" s="989"/>
      <c r="BM38" s="1024"/>
      <c r="BN38" s="1008"/>
      <c r="BO38" s="1009"/>
      <c r="BP38" s="1010" t="str">
        <f>IF(I38="Si",VLOOKUP($D$8,'Tablas Técnicas'!$E$4:$F$6,2,FALSE),"")</f>
        <v/>
      </c>
      <c r="BQ38" s="980" t="str">
        <f>IF(L38="Si",VLOOKUP($D$8,'Tablas Técnicas'!$I$4:$J$6,2,FALSE),"")</f>
        <v/>
      </c>
      <c r="BR38" s="1011" t="str">
        <f>IF(O38="Si",VLOOKUP($D$8,'Tablas Técnicas'!$I$7:$J$9,2,FALSE),"")</f>
        <v/>
      </c>
      <c r="BS38" s="994"/>
      <c r="BU38" s="1074"/>
      <c r="BV38" s="1074"/>
      <c r="BW38" s="1074"/>
      <c r="BX38" s="951"/>
      <c r="BY38" s="1286"/>
      <c r="BZ38" s="1304"/>
      <c r="CA38" s="939"/>
      <c r="DR38" s="939"/>
      <c r="DS38" s="1318"/>
      <c r="DT38" s="1325"/>
      <c r="DU38" s="1377"/>
      <c r="DV38" s="1376" t="str">
        <f>IF(E38="","",E38)&amp;IF(I38="No",""," (Mant.)")&amp;IF(L38="No",""," (Sme)")&amp;IF(O38="No",""," (SMa)")</f>
        <v/>
      </c>
      <c r="DW38" s="1377"/>
      <c r="DX38" s="1377"/>
      <c r="DY38" s="1324"/>
      <c r="DZ38" s="939"/>
      <c r="EA38" s="1470">
        <f t="shared" si="0"/>
        <v>1</v>
      </c>
    </row>
    <row r="39" spans="1:132" ht="11.25" customHeight="1" x14ac:dyDescent="0.2">
      <c r="A39" s="939"/>
      <c r="B39" s="939"/>
      <c r="C39" s="4822"/>
      <c r="D39" s="1455"/>
      <c r="E39" s="1404" t="s">
        <v>4553</v>
      </c>
      <c r="F39" s="1016"/>
      <c r="G39" s="1017"/>
      <c r="H39" s="2159">
        <f t="array" ref="H39">IF(AND(OR(ISNUMBER(SEARCH("Empatía Elemental ("&amp;BK34:BM34&amp;")",Principal!$AF$30))),SUM(H34:H38)&gt;=10),-5,0)</f>
        <v>0</v>
      </c>
      <c r="I39" s="1017"/>
      <c r="J39" s="1018"/>
      <c r="K39" s="1017"/>
      <c r="L39" s="1017"/>
      <c r="M39" s="1018"/>
      <c r="N39" s="1017"/>
      <c r="O39" s="1017"/>
      <c r="P39" s="1018"/>
      <c r="Q39" s="1017"/>
      <c r="R39" s="1018"/>
      <c r="S39" s="1017"/>
      <c r="T39" s="1017"/>
      <c r="U39" s="1037"/>
      <c r="V39" s="1037"/>
      <c r="W39" s="1037"/>
      <c r="X39" s="1037"/>
      <c r="Y39" s="1037"/>
      <c r="Z39" s="1037"/>
      <c r="AA39" s="1037"/>
      <c r="AB39" s="1037"/>
      <c r="AC39" s="1037"/>
      <c r="AD39" s="1037"/>
      <c r="AE39" s="1037"/>
      <c r="AF39" s="1037"/>
      <c r="AG39" s="1037"/>
      <c r="AH39" s="1037"/>
      <c r="AI39" s="1037"/>
      <c r="AJ39" s="1037"/>
      <c r="AK39" s="1037"/>
      <c r="AL39" s="1037"/>
      <c r="AM39" s="1037"/>
      <c r="AN39" s="1037"/>
      <c r="AO39" s="1037"/>
      <c r="AP39" s="1037"/>
      <c r="AQ39" s="1037"/>
      <c r="AR39" s="1037"/>
      <c r="AS39" s="1037"/>
      <c r="AT39" s="1037"/>
      <c r="AU39" s="1037"/>
      <c r="AV39" s="1037"/>
      <c r="AW39" s="1037"/>
      <c r="AX39" s="1037"/>
      <c r="AY39" s="1037"/>
      <c r="AZ39" s="1037"/>
      <c r="BA39" s="1037"/>
      <c r="BB39" s="1037"/>
      <c r="BC39" s="1037"/>
      <c r="BD39" s="1037"/>
      <c r="BE39" s="1037"/>
      <c r="BF39" s="1037"/>
      <c r="BG39" s="1037"/>
      <c r="BH39" s="1037"/>
      <c r="BI39" s="1037"/>
      <c r="BJ39" s="1037"/>
      <c r="BK39" s="4802"/>
      <c r="BL39" s="4802"/>
      <c r="BM39" s="4767"/>
      <c r="BN39" s="977">
        <f>SUM(K39:K42)</f>
        <v>0</v>
      </c>
      <c r="BO39" s="971">
        <f>IF(E39=0,"",(AF39+AP39+AZ39+BJ39))</f>
        <v>0</v>
      </c>
      <c r="BP39" s="978" t="str">
        <f>IF(I39="Si",VLOOKUP($D$8,'Tablas Técnicas'!$E$4:$F$6,2,FALSE),"")</f>
        <v/>
      </c>
      <c r="BQ39" s="979" t="str">
        <f>IF(L39="Si",VLOOKUP($D$8,'Tablas Técnicas'!$I$4:$J$6,2,FALSE),"")</f>
        <v/>
      </c>
      <c r="BR39" s="977" t="str">
        <f>IF(O39="Si",VLOOKUP($D$8,'Tablas Técnicas'!$I$7:$J$9,2,FALSE),"")</f>
        <v/>
      </c>
      <c r="BS39" s="994"/>
      <c r="BT39" s="4766" t="s">
        <v>4555</v>
      </c>
      <c r="BU39" s="4767"/>
      <c r="BV39" s="971"/>
      <c r="BW39" s="951"/>
      <c r="BX39" s="951"/>
      <c r="BY39" s="1286"/>
      <c r="BZ39" s="1304"/>
      <c r="CA39" s="939"/>
      <c r="DR39" s="939"/>
      <c r="DT39" s="1325"/>
      <c r="DU39" s="1377"/>
      <c r="DV39" s="1377"/>
      <c r="DW39" s="1377"/>
      <c r="DX39" s="1377"/>
      <c r="DY39" s="1324"/>
      <c r="DZ39" s="939"/>
      <c r="EA39" s="1470">
        <f t="shared" si="0"/>
        <v>1</v>
      </c>
    </row>
    <row r="40" spans="1:132" ht="11.25" customHeight="1" x14ac:dyDescent="0.2">
      <c r="A40" s="939"/>
      <c r="B40" s="939"/>
      <c r="C40" s="4822"/>
      <c r="D40" s="1456" t="s">
        <v>4554</v>
      </c>
      <c r="E40" s="983"/>
      <c r="F40" s="1006"/>
      <c r="G40" s="1006"/>
      <c r="H40" s="1004" t="str">
        <f>IF(D8=0,"",IF(E40=0,"",VLOOKUP(E40,'Tablas Técnicas'!$A$14:$V$771,4,FALSE)))</f>
        <v/>
      </c>
      <c r="I40" s="1006"/>
      <c r="J40" s="1006"/>
      <c r="K40" s="1038"/>
      <c r="L40" s="1006"/>
      <c r="M40" s="1006"/>
      <c r="N40" s="1038"/>
      <c r="O40" s="1006"/>
      <c r="P40" s="1006"/>
      <c r="Q40" s="1006"/>
      <c r="R40" s="1005" t="str">
        <f>IF(E40=0,"",VLOOKUP(E40,'Tablas Técnicas'!$A$14:$V$771,8,FALSE))</f>
        <v/>
      </c>
      <c r="S40" s="1031" t="str">
        <f>IF(R40=$D$8,$D$8,IF(R40=2,2,IF(R40=3,3,R40)))</f>
        <v/>
      </c>
      <c r="T40" s="1006" t="str">
        <f>IF(E40=0,"",VLOOKUP(E40,'Tablas Técnicas'!$A$14:$V$771,9,FALSE))</f>
        <v/>
      </c>
      <c r="U40" s="1033" t="str">
        <f>IF(E40=0,"",VLOOKUP(E40,'Tablas Técnicas'!$A$14:$V$771,10,FALSE))</f>
        <v/>
      </c>
      <c r="V40" s="1034"/>
      <c r="W40" s="1034"/>
      <c r="X40" s="1033"/>
      <c r="Y40" s="1033"/>
      <c r="Z40" s="1033"/>
      <c r="AA40" s="1033"/>
      <c r="AB40" s="1033"/>
      <c r="AC40" s="1033"/>
      <c r="AD40" s="1033"/>
      <c r="AE40" s="1033"/>
      <c r="AF40" s="1033"/>
      <c r="AG40" s="4799" t="str">
        <f>IF(OR(E40='Tablas Técnicas'!A$678,E40='Tablas Técnicas'!A$679,E41='Tablas Técnicas'!A$678,E41='Tablas Técnicas'!A$679,E42='Tablas Técnicas'!A$678,E42='Tablas Técnicas'!A$679),"Selecciona la atadura elemental:","")</f>
        <v/>
      </c>
      <c r="AH40" s="4800"/>
      <c r="AI40" s="4800"/>
      <c r="AJ40" s="4800"/>
      <c r="AK40" s="4800"/>
      <c r="AL40" s="4800"/>
      <c r="AM40" s="4800"/>
      <c r="AN40" s="4800"/>
      <c r="AO40" s="4800"/>
      <c r="AP40" s="4800"/>
      <c r="AQ40" s="4800"/>
      <c r="AR40" s="4800"/>
      <c r="AS40" s="4800"/>
      <c r="AT40" s="4800"/>
      <c r="AU40" s="4800"/>
      <c r="AV40" s="4800"/>
      <c r="AW40" s="4800"/>
      <c r="AX40" s="4800"/>
      <c r="AY40" s="4800"/>
      <c r="AZ40" s="4800"/>
      <c r="BA40" s="4800"/>
      <c r="BB40" s="4800"/>
      <c r="BC40" s="4800"/>
      <c r="BD40" s="4800"/>
      <c r="BE40" s="4800"/>
      <c r="BF40" s="4800"/>
      <c r="BG40" s="4800"/>
      <c r="BH40" s="4800"/>
      <c r="BI40" s="4800"/>
      <c r="BJ40" s="4800"/>
      <c r="BK40" s="4801"/>
      <c r="BL40" s="1441"/>
      <c r="BM40" s="1441"/>
      <c r="BN40" s="1006"/>
      <c r="BO40" s="1006"/>
      <c r="BP40" s="1038"/>
      <c r="BQ40" s="1006"/>
      <c r="BR40" s="1006"/>
      <c r="BS40" s="1006"/>
      <c r="BT40" s="4768">
        <f>D8</f>
        <v>1</v>
      </c>
      <c r="BU40" s="4769"/>
      <c r="BV40" s="971">
        <f>IF(BV39=0,0,VLOOKUP(BV39,'Tablas Técnicas'!$M$4:$N$7,2,FALSE))</f>
        <v>0</v>
      </c>
      <c r="BW40" s="951"/>
      <c r="BX40" s="951"/>
      <c r="BY40" s="1286"/>
      <c r="BZ40" s="1304"/>
      <c r="CA40" s="939"/>
      <c r="DR40" s="939"/>
      <c r="DT40" s="1325"/>
      <c r="DU40" s="1377"/>
      <c r="DV40" s="1377"/>
      <c r="DW40" s="1377"/>
      <c r="DX40" s="1377"/>
      <c r="DY40" s="1324"/>
      <c r="DZ40" s="939"/>
      <c r="EA40" s="1470">
        <f t="shared" si="0"/>
        <v>1</v>
      </c>
    </row>
    <row r="41" spans="1:132" x14ac:dyDescent="0.2">
      <c r="A41" s="939"/>
      <c r="B41" s="939"/>
      <c r="C41" s="4822"/>
      <c r="D41" s="1452" t="s">
        <v>4556</v>
      </c>
      <c r="E41" s="1039"/>
      <c r="F41" s="1405"/>
      <c r="G41" s="1406"/>
      <c r="H41" s="996" t="str">
        <f>IF(VALUE(D8)&gt;1,IF(E41=0,"",VLOOKUP(E41,'Tablas Técnicas'!$A$14:$V$771,4,FALSE)),"")</f>
        <v/>
      </c>
      <c r="I41" s="1405"/>
      <c r="J41" s="1406"/>
      <c r="K41" s="1406"/>
      <c r="L41" s="1405"/>
      <c r="M41" s="1406"/>
      <c r="N41" s="1407"/>
      <c r="O41" s="1406"/>
      <c r="P41" s="1406"/>
      <c r="Q41" s="1406"/>
      <c r="R41" s="1000" t="str">
        <f>IF(E41=0,"",VLOOKUP(E41,'Tablas Técnicas'!$A$14:$V$771,8,FALSE))</f>
        <v/>
      </c>
      <c r="S41" s="998" t="str">
        <f>IF(R41=$D$8,$D$8,IF(R41=2,2,IF(R41=3,3,R41)))</f>
        <v/>
      </c>
      <c r="T41" s="1001" t="str">
        <f>IF(E41=0,"",VLOOKUP(E41,'Tablas Técnicas'!$A$14:$V$771,9,FALSE))</f>
        <v/>
      </c>
      <c r="U41" s="1001" t="str">
        <f>IF(E41=0,"",VLOOKUP(E41,'Tablas Técnicas'!$A$14:$V$771,10,FALSE))</f>
        <v/>
      </c>
      <c r="V41" s="1405"/>
      <c r="W41" s="1405"/>
      <c r="X41" s="1406"/>
      <c r="Y41" s="1406"/>
      <c r="Z41" s="1406"/>
      <c r="AA41" s="1406"/>
      <c r="AB41" s="1406"/>
      <c r="AC41" s="1406"/>
      <c r="AD41" s="1406"/>
      <c r="AE41" s="1406"/>
      <c r="AF41" s="1406"/>
      <c r="AG41" s="1408"/>
      <c r="AH41" s="1409"/>
      <c r="AI41" s="1409"/>
      <c r="AJ41" s="1409"/>
      <c r="AK41" s="1409"/>
      <c r="AL41" s="1409"/>
      <c r="AM41" s="1409"/>
      <c r="AN41" s="1409"/>
      <c r="AO41" s="1409"/>
      <c r="AP41" s="1407"/>
      <c r="AQ41" s="1409"/>
      <c r="AR41" s="1409"/>
      <c r="AS41" s="1409"/>
      <c r="AT41" s="1409"/>
      <c r="AU41" s="1409"/>
      <c r="AV41" s="1409"/>
      <c r="AW41" s="1409"/>
      <c r="AX41" s="1409"/>
      <c r="AY41" s="1409"/>
      <c r="AZ41" s="1410"/>
      <c r="BA41" s="1406"/>
      <c r="BB41" s="1406"/>
      <c r="BC41" s="1406"/>
      <c r="BD41" s="1406"/>
      <c r="BE41" s="1406"/>
      <c r="BF41" s="1406"/>
      <c r="BG41" s="1406"/>
      <c r="BH41" s="1406"/>
      <c r="BI41" s="1406"/>
      <c r="BJ41" s="1407"/>
      <c r="BK41" s="1406"/>
      <c r="BL41" s="1442"/>
      <c r="BM41" s="1443"/>
      <c r="BN41" s="1406"/>
      <c r="BO41" s="1406"/>
      <c r="BP41" s="1407"/>
      <c r="BQ41" s="1406"/>
      <c r="BR41" s="1406"/>
      <c r="BS41" s="1406"/>
      <c r="BU41" s="956"/>
      <c r="BV41" s="971"/>
      <c r="BW41" s="951"/>
      <c r="BX41" s="951"/>
      <c r="BY41" s="1286"/>
      <c r="BZ41" s="1304"/>
      <c r="CA41" s="939"/>
      <c r="DR41" s="939"/>
      <c r="DT41" s="1325"/>
      <c r="DU41" s="1377"/>
      <c r="DV41" s="1377"/>
      <c r="DW41" s="1377"/>
      <c r="DX41" s="1377"/>
      <c r="DY41" s="1324"/>
      <c r="DZ41" s="939"/>
      <c r="EA41" s="1470">
        <f t="shared" si="0"/>
        <v>1</v>
      </c>
    </row>
    <row r="42" spans="1:132" s="1013" customFormat="1" x14ac:dyDescent="0.2">
      <c r="A42" s="939"/>
      <c r="B42" s="939"/>
      <c r="C42" s="4822"/>
      <c r="D42" s="1457" t="s">
        <v>4557</v>
      </c>
      <c r="E42" s="1040"/>
      <c r="F42" s="1387"/>
      <c r="G42" s="1015"/>
      <c r="H42" s="1014" t="str">
        <f>IF(VALUE(D8)=3,IF(E42=0,"",VLOOKUP(E42,'Tablas Técnicas'!$A$14:$V$771,4,FALSE)),"")</f>
        <v/>
      </c>
      <c r="I42" s="1015"/>
      <c r="J42" s="1015"/>
      <c r="K42" s="1015"/>
      <c r="L42" s="1387"/>
      <c r="M42" s="1015"/>
      <c r="N42" s="1015"/>
      <c r="O42" s="1387"/>
      <c r="P42" s="1015"/>
      <c r="Q42" s="1015"/>
      <c r="R42" s="1035" t="str">
        <f>IF(E42=0,"",VLOOKUP(E42,'Tablas Técnicas'!$A$14:$V$771,8,FALSE))</f>
        <v/>
      </c>
      <c r="S42" s="1014" t="str">
        <f>IF(R42=$D$8,$D$8,IF(R42=2,2,IF(R42=3,3,R42)))</f>
        <v/>
      </c>
      <c r="T42" s="1015" t="str">
        <f>IF(E42=0,"",VLOOKUP(E42,'Tablas Técnicas'!$A$14:$V$771,9,FALSE))</f>
        <v/>
      </c>
      <c r="U42" s="1015" t="str">
        <f>IF(E42=0,"",VLOOKUP(E42,'Tablas Técnicas'!$A$14:$V$771,10,FALSE))</f>
        <v/>
      </c>
      <c r="V42" s="1387"/>
      <c r="W42" s="1298"/>
      <c r="X42" s="1298"/>
      <c r="Y42" s="1298"/>
      <c r="Z42" s="1298"/>
      <c r="AA42" s="1298"/>
      <c r="AB42" s="1298"/>
      <c r="AC42" s="1298"/>
      <c r="AD42" s="1298"/>
      <c r="AE42" s="1298"/>
      <c r="AF42" s="1299"/>
      <c r="AG42" s="1387"/>
      <c r="AH42" s="1015"/>
      <c r="AI42" s="1015"/>
      <c r="AJ42" s="1015"/>
      <c r="AK42" s="1015"/>
      <c r="AL42" s="1015"/>
      <c r="AM42" s="1015"/>
      <c r="AN42" s="1015"/>
      <c r="AO42" s="1015"/>
      <c r="AP42" s="1388"/>
      <c r="AQ42" s="1015"/>
      <c r="AR42" s="1015"/>
      <c r="AS42" s="1015"/>
      <c r="AT42" s="1015"/>
      <c r="AU42" s="1015"/>
      <c r="AV42" s="1015"/>
      <c r="AW42" s="1015"/>
      <c r="AX42" s="1015"/>
      <c r="AY42" s="1015"/>
      <c r="AZ42" s="1388"/>
      <c r="BA42" s="1015"/>
      <c r="BB42" s="1015"/>
      <c r="BC42" s="1015"/>
      <c r="BD42" s="1015"/>
      <c r="BE42" s="1015"/>
      <c r="BF42" s="1015"/>
      <c r="BG42" s="1015"/>
      <c r="BH42" s="1015"/>
      <c r="BI42" s="1015"/>
      <c r="BJ42" s="1388"/>
      <c r="BK42" s="1015"/>
      <c r="BL42" s="1439"/>
      <c r="BM42" s="1444"/>
      <c r="BN42" s="1015"/>
      <c r="BO42" s="1015"/>
      <c r="BP42" s="1015"/>
      <c r="BQ42" s="1387"/>
      <c r="BR42" s="1015"/>
      <c r="BS42" s="1015"/>
      <c r="BT42" s="956"/>
      <c r="BU42" s="956"/>
      <c r="BV42" s="971">
        <f>IF(BV41=0,0,VLOOKUP(BV41,'Tablas Técnicas'!$M$4:$N$7,2,FALSE))</f>
        <v>0</v>
      </c>
      <c r="BW42" s="951"/>
      <c r="BX42" s="951"/>
      <c r="BY42" s="1286"/>
      <c r="BZ42" s="1304"/>
      <c r="CA42" s="943"/>
      <c r="CC42" s="2940"/>
      <c r="DR42" s="943"/>
      <c r="DS42" s="1320"/>
      <c r="DT42" s="1328"/>
      <c r="DU42" s="1433"/>
      <c r="DV42" s="1433"/>
      <c r="DW42" s="1433"/>
      <c r="DX42" s="1433"/>
      <c r="DY42" s="1329"/>
      <c r="DZ42" s="943"/>
      <c r="EA42" s="1470">
        <f t="shared" si="0"/>
        <v>1</v>
      </c>
    </row>
    <row r="43" spans="1:132" x14ac:dyDescent="0.2">
      <c r="A43" s="943"/>
      <c r="B43" s="943"/>
      <c r="C43" s="4822"/>
      <c r="D43" s="1458"/>
      <c r="E43" s="956"/>
      <c r="F43" s="951"/>
      <c r="G43" s="956"/>
      <c r="H43" s="956"/>
      <c r="I43" s="951"/>
      <c r="J43" s="956"/>
      <c r="K43" s="956"/>
      <c r="L43" s="956"/>
      <c r="M43" s="956"/>
      <c r="N43" s="956"/>
      <c r="O43" s="956"/>
      <c r="P43" s="956"/>
      <c r="Q43" s="956"/>
      <c r="R43" s="956"/>
      <c r="S43" s="956"/>
      <c r="T43" s="956"/>
      <c r="U43" s="956"/>
      <c r="V43" s="956"/>
      <c r="W43" s="956"/>
      <c r="X43" s="956"/>
      <c r="Y43" s="956"/>
      <c r="Z43" s="956"/>
      <c r="AA43" s="956"/>
      <c r="AB43" s="956"/>
      <c r="AC43" s="956"/>
      <c r="AD43" s="956"/>
      <c r="AE43" s="956"/>
      <c r="AF43" s="956"/>
      <c r="AG43" s="956"/>
      <c r="AH43" s="956"/>
      <c r="AI43" s="956"/>
      <c r="AJ43" s="956"/>
      <c r="AK43" s="956"/>
      <c r="AL43" s="956"/>
      <c r="AM43" s="956"/>
      <c r="AN43" s="956"/>
      <c r="AO43" s="956"/>
      <c r="AP43" s="956"/>
      <c r="AQ43" s="956"/>
      <c r="AR43" s="956"/>
      <c r="AS43" s="956"/>
      <c r="AT43" s="956"/>
      <c r="AU43" s="956"/>
      <c r="AV43" s="956"/>
      <c r="AW43" s="956"/>
      <c r="AX43" s="956"/>
      <c r="AY43" s="956"/>
      <c r="AZ43" s="956"/>
      <c r="BA43" s="956"/>
      <c r="BB43" s="956"/>
      <c r="BC43" s="956"/>
      <c r="BD43" s="956"/>
      <c r="BE43" s="956"/>
      <c r="BF43" s="956"/>
      <c r="BG43" s="956"/>
      <c r="BH43" s="956"/>
      <c r="BI43" s="956"/>
      <c r="BJ43" s="956"/>
      <c r="BK43" s="956"/>
      <c r="BL43" s="1402"/>
      <c r="BM43" s="1402"/>
      <c r="BN43" s="944">
        <f>SUM(BN48:BN63)</f>
        <v>0</v>
      </c>
      <c r="BO43" s="944">
        <f>SUM(BO48:BO63)</f>
        <v>0</v>
      </c>
      <c r="BP43" s="944">
        <f>SUM(BP48:BP63)</f>
        <v>0</v>
      </c>
      <c r="BQ43" s="944">
        <f>SUM(BQ48:BQ63)</f>
        <v>0</v>
      </c>
      <c r="BR43" s="944">
        <f>SUM(BR48:BR63)</f>
        <v>0</v>
      </c>
      <c r="BS43" s="1041"/>
      <c r="BU43" s="956"/>
      <c r="BW43" s="951"/>
      <c r="BX43" s="951"/>
      <c r="BY43" s="960"/>
      <c r="BZ43" s="1304"/>
      <c r="CA43" s="939"/>
      <c r="DR43" s="939"/>
      <c r="DT43" s="1325"/>
      <c r="DU43" s="1377"/>
      <c r="DV43" s="1377"/>
      <c r="DW43" s="1377"/>
      <c r="DX43" s="1377"/>
      <c r="DY43" s="1324"/>
      <c r="DZ43" s="939"/>
      <c r="EA43" s="1470">
        <f t="shared" si="0"/>
        <v>1</v>
      </c>
    </row>
    <row r="44" spans="1:132" x14ac:dyDescent="0.2">
      <c r="A44" s="939"/>
      <c r="B44" s="939"/>
      <c r="C44" s="4822"/>
      <c r="D44" s="1450" t="s">
        <v>7698</v>
      </c>
      <c r="E44" s="2941"/>
      <c r="F44" s="957"/>
      <c r="G44" s="957"/>
      <c r="H44" s="957"/>
      <c r="I44" s="957"/>
      <c r="J44" s="958"/>
      <c r="K44" s="957"/>
      <c r="L44" s="957"/>
      <c r="M44" s="958"/>
      <c r="N44" s="957"/>
      <c r="O44" s="957"/>
      <c r="P44" s="958"/>
      <c r="Q44" s="957"/>
      <c r="R44" s="958"/>
      <c r="S44" s="957"/>
      <c r="T44" s="957"/>
      <c r="U44" s="957"/>
      <c r="V44" s="957"/>
      <c r="W44" s="951"/>
      <c r="X44" s="958"/>
      <c r="Y44" s="958"/>
      <c r="Z44" s="958"/>
      <c r="AA44" s="958"/>
      <c r="AB44" s="958"/>
      <c r="AC44" s="958"/>
      <c r="AD44" s="958"/>
      <c r="AE44" s="958"/>
      <c r="AF44" s="957"/>
      <c r="AG44" s="951"/>
      <c r="AH44" s="958"/>
      <c r="AI44" s="958"/>
      <c r="AJ44" s="958"/>
      <c r="AK44" s="958"/>
      <c r="AL44" s="958"/>
      <c r="AM44" s="958"/>
      <c r="AN44" s="958"/>
      <c r="AO44" s="958"/>
      <c r="AP44" s="951"/>
      <c r="AQ44" s="951"/>
      <c r="AR44" s="958"/>
      <c r="AS44" s="958"/>
      <c r="AT44" s="958"/>
      <c r="AU44" s="958"/>
      <c r="AV44" s="958"/>
      <c r="AW44" s="958"/>
      <c r="AX44" s="958"/>
      <c r="AY44" s="958"/>
      <c r="AZ44" s="951"/>
      <c r="BA44" s="951"/>
      <c r="BB44" s="958"/>
      <c r="BC44" s="958"/>
      <c r="BD44" s="958"/>
      <c r="BE44" s="958"/>
      <c r="BF44" s="958"/>
      <c r="BG44" s="958"/>
      <c r="BH44" s="958"/>
      <c r="BI44" s="958"/>
      <c r="BJ44" s="951"/>
      <c r="BK44" s="951"/>
      <c r="BL44" s="951"/>
      <c r="BM44" s="951"/>
      <c r="BN44" s="944">
        <f>SUM(BN46:BN79)</f>
        <v>0</v>
      </c>
      <c r="BO44" s="944">
        <f>SUM(BO46:BO79)</f>
        <v>0</v>
      </c>
      <c r="BP44" s="944">
        <f>MAX(BP46:BP79)</f>
        <v>0</v>
      </c>
      <c r="BQ44" s="944">
        <f>MAX(BQ46:BQ79)</f>
        <v>0</v>
      </c>
      <c r="BR44" s="944">
        <f>MAX(BR46:BR79)</f>
        <v>0</v>
      </c>
      <c r="BS44" s="959"/>
      <c r="BU44" s="3026"/>
      <c r="BV44" s="961"/>
      <c r="BW44" s="951"/>
      <c r="BX44" s="951"/>
      <c r="BY44" s="1286"/>
      <c r="BZ44" s="1304"/>
      <c r="CA44" s="939"/>
      <c r="DR44" s="939"/>
      <c r="DT44" s="1325"/>
      <c r="DU44" s="1377"/>
      <c r="DV44" s="1377"/>
      <c r="DW44" s="1377"/>
      <c r="DX44" s="1377"/>
      <c r="DY44" s="1324"/>
      <c r="DZ44" s="939"/>
      <c r="EA44" s="1470">
        <f t="shared" si="0"/>
        <v>1</v>
      </c>
    </row>
    <row r="45" spans="1:132" ht="12" thickBot="1" x14ac:dyDescent="0.25">
      <c r="A45" s="939"/>
      <c r="B45" s="939"/>
      <c r="C45" s="4822"/>
      <c r="D45" s="1451">
        <v>1</v>
      </c>
      <c r="E45" s="962" t="s">
        <v>8064</v>
      </c>
      <c r="F45" s="963" t="s">
        <v>1789</v>
      </c>
      <c r="G45" s="964" t="s">
        <v>1790</v>
      </c>
      <c r="H45" s="964" t="s">
        <v>1811</v>
      </c>
      <c r="I45" s="965" t="s">
        <v>3334</v>
      </c>
      <c r="J45" s="966"/>
      <c r="K45" s="967"/>
      <c r="L45" s="965" t="s">
        <v>3335</v>
      </c>
      <c r="M45" s="966"/>
      <c r="N45" s="967"/>
      <c r="O45" s="965" t="s">
        <v>3336</v>
      </c>
      <c r="P45" s="966"/>
      <c r="Q45" s="967"/>
      <c r="R45" s="968" t="s">
        <v>4533</v>
      </c>
      <c r="S45" s="964" t="s">
        <v>3304</v>
      </c>
      <c r="T45" s="3036" t="s">
        <v>1708</v>
      </c>
      <c r="U45" s="3036" t="s">
        <v>1679</v>
      </c>
      <c r="V45" s="3036" t="s">
        <v>3337</v>
      </c>
      <c r="W45" s="4794" t="s">
        <v>3338</v>
      </c>
      <c r="X45" s="4794"/>
      <c r="Y45" s="4794"/>
      <c r="Z45" s="4794"/>
      <c r="AA45" s="4794"/>
      <c r="AB45" s="4794"/>
      <c r="AC45" s="4794"/>
      <c r="AD45" s="4794"/>
      <c r="AE45" s="4794"/>
      <c r="AF45" s="4794"/>
      <c r="AG45" s="4794"/>
      <c r="AH45" s="4794"/>
      <c r="AI45" s="4794"/>
      <c r="AJ45" s="4794"/>
      <c r="AK45" s="4794"/>
      <c r="AL45" s="4794"/>
      <c r="AM45" s="4794"/>
      <c r="AN45" s="4794"/>
      <c r="AO45" s="4794"/>
      <c r="AP45" s="4794"/>
      <c r="AQ45" s="4794"/>
      <c r="AR45" s="4794"/>
      <c r="AS45" s="4794"/>
      <c r="AT45" s="4794"/>
      <c r="AU45" s="4794"/>
      <c r="AV45" s="4794"/>
      <c r="AW45" s="4794"/>
      <c r="AX45" s="4794"/>
      <c r="AY45" s="4794"/>
      <c r="AZ45" s="4794"/>
      <c r="BA45" s="4794"/>
      <c r="BB45" s="4794"/>
      <c r="BC45" s="4794"/>
      <c r="BD45" s="4794"/>
      <c r="BE45" s="4794"/>
      <c r="BF45" s="4794"/>
      <c r="BG45" s="4794"/>
      <c r="BH45" s="4794"/>
      <c r="BI45" s="4794"/>
      <c r="BJ45" s="4794"/>
      <c r="BK45" s="4794" t="s">
        <v>3339</v>
      </c>
      <c r="BL45" s="4794"/>
      <c r="BM45" s="4795"/>
      <c r="BN45" s="969" t="s">
        <v>4534</v>
      </c>
      <c r="BO45" s="969" t="s">
        <v>4535</v>
      </c>
      <c r="BP45" s="969" t="s">
        <v>4536</v>
      </c>
      <c r="BQ45" s="969" t="s">
        <v>4537</v>
      </c>
      <c r="BR45" s="969" t="s">
        <v>4538</v>
      </c>
      <c r="BS45" s="970" t="s">
        <v>4539</v>
      </c>
      <c r="BT45" s="4770" t="s">
        <v>4540</v>
      </c>
      <c r="BU45" s="4771"/>
      <c r="BV45" s="971"/>
      <c r="BW45" s="951"/>
      <c r="BX45" s="951"/>
      <c r="BY45" s="1286"/>
      <c r="BZ45" s="1304"/>
      <c r="CA45" s="939"/>
      <c r="DR45" s="939"/>
      <c r="DT45" s="1325"/>
      <c r="DU45" s="1377"/>
      <c r="DV45" s="1377"/>
      <c r="DW45" s="1377"/>
      <c r="DX45" s="1377"/>
      <c r="DY45" s="1324"/>
      <c r="DZ45" s="939"/>
      <c r="EB45" s="2158">
        <f>D45</f>
        <v>1</v>
      </c>
    </row>
    <row r="46" spans="1:132" x14ac:dyDescent="0.2">
      <c r="A46" s="972"/>
      <c r="B46" s="1403"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822"/>
      <c r="D46" s="1452">
        <v>1</v>
      </c>
      <c r="E46" s="1246"/>
      <c r="F46" s="973"/>
      <c r="G46" s="974"/>
      <c r="H46" s="974"/>
      <c r="I46" s="974"/>
      <c r="J46" s="975"/>
      <c r="K46" s="974"/>
      <c r="L46" s="974"/>
      <c r="M46" s="975"/>
      <c r="N46" s="974"/>
      <c r="O46" s="974"/>
      <c r="P46" s="975"/>
      <c r="Q46" s="974"/>
      <c r="R46" s="975"/>
      <c r="S46" s="974"/>
      <c r="T46" s="974"/>
      <c r="U46" s="974"/>
      <c r="V46" s="974"/>
      <c r="W46" s="974"/>
      <c r="X46" s="974"/>
      <c r="Y46" s="974"/>
      <c r="Z46" s="974"/>
      <c r="AA46" s="974"/>
      <c r="AB46" s="974"/>
      <c r="AC46" s="974"/>
      <c r="AD46" s="974"/>
      <c r="AE46" s="974"/>
      <c r="AF46" s="974"/>
      <c r="AG46" s="974"/>
      <c r="AH46" s="974"/>
      <c r="AI46" s="974"/>
      <c r="AJ46" s="974"/>
      <c r="AK46" s="974"/>
      <c r="AL46" s="974"/>
      <c r="AM46" s="974"/>
      <c r="AN46" s="974"/>
      <c r="AO46" s="974"/>
      <c r="AP46" s="974"/>
      <c r="AQ46" s="974"/>
      <c r="AR46" s="974"/>
      <c r="AS46" s="974"/>
      <c r="AT46" s="974"/>
      <c r="AU46" s="974"/>
      <c r="AV46" s="974"/>
      <c r="AW46" s="974"/>
      <c r="AX46" s="974"/>
      <c r="AY46" s="974"/>
      <c r="AZ46" s="974"/>
      <c r="BA46" s="974"/>
      <c r="BB46" s="974"/>
      <c r="BC46" s="974"/>
      <c r="BD46" s="974"/>
      <c r="BE46" s="974"/>
      <c r="BF46" s="974"/>
      <c r="BG46" s="974"/>
      <c r="BH46" s="974"/>
      <c r="BI46" s="974"/>
      <c r="BJ46" s="974"/>
      <c r="BK46" s="974"/>
      <c r="BL46" s="974"/>
      <c r="BM46" s="976"/>
      <c r="BN46" s="977">
        <f>SUM(K46:K49)</f>
        <v>0</v>
      </c>
      <c r="BO46" s="971" t="str">
        <f>IF(E46=0,"",(AF46+AP46+AZ46+BJ46))</f>
        <v/>
      </c>
      <c r="BP46" s="978" t="str">
        <f>IF(I46="Si",VLOOKUP($D$8,'Tablas Técnicas'!$E$4:$F$6,2,FALSE),"")</f>
        <v/>
      </c>
      <c r="BQ46" s="979" t="str">
        <f>IF(L46="Si",VLOOKUP($D$8,'Tablas Técnicas'!$I$4:$J$6,2,FALSE),"")</f>
        <v/>
      </c>
      <c r="BR46" s="977" t="str">
        <f>IF(O46="Si",VLOOKUP($D$8,'Tablas Técnicas'!$I$7:$J$9,2,FALSE),"")</f>
        <v/>
      </c>
      <c r="BS46" s="980">
        <f>VLOOKUP(D45,'Tablas Técnicas'!$P$6:$R$8,3)</f>
        <v>50</v>
      </c>
      <c r="BT46" s="981">
        <f>VLOOKUP(D45,'Tablas Técnicas'!$P$6:$R$8,3,FALSE)</f>
        <v>50</v>
      </c>
      <c r="BU46" s="982">
        <f>VLOOKUP(D45,'Tablas Técnicas'!$P$6:$R$8,2,FALSE)</f>
        <v>20</v>
      </c>
      <c r="BV46" s="971">
        <f>IF(D45=0,"",VLOOKUP(D45,'Tablas Técnicas'!$L$4:$N$7,2,FALSE))</f>
        <v>3</v>
      </c>
      <c r="BW46" s="951"/>
      <c r="BX46" s="951"/>
      <c r="BY46" s="1286"/>
      <c r="BZ46" s="1304"/>
      <c r="CA46" s="939"/>
      <c r="DR46" s="939"/>
      <c r="DT46" s="1325"/>
      <c r="DU46" s="1424" t="s">
        <v>1801</v>
      </c>
      <c r="DV46" s="1425" t="s">
        <v>3315</v>
      </c>
      <c r="DW46" s="1425" t="s">
        <v>3301</v>
      </c>
      <c r="DX46" s="1426" t="s">
        <v>7701</v>
      </c>
      <c r="DY46" s="1324"/>
      <c r="DZ46" s="939"/>
      <c r="EA46" s="1470">
        <f>EB45</f>
        <v>1</v>
      </c>
    </row>
    <row r="47" spans="1:132" x14ac:dyDescent="0.2">
      <c r="A47" s="939"/>
      <c r="B47" s="939"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822"/>
      <c r="D47" s="1453" t="s">
        <v>1766</v>
      </c>
      <c r="E47" s="983"/>
      <c r="F47" s="984" t="str">
        <f>IF(E47=0,"",VLOOKUP(E47,'Tablas Técnicas'!$A$14:$V$771,2,FALSE))</f>
        <v/>
      </c>
      <c r="G47" s="985"/>
      <c r="H47" s="986" t="str">
        <f>IF($E47=0,"",VLOOKUP($E47,'Tablas Técnicas'!$A$14:$V$771,4,FALSE))</f>
        <v/>
      </c>
      <c r="I47" s="987" t="s">
        <v>1690</v>
      </c>
      <c r="J47" s="1412" t="str">
        <f>IF(E47=0,"",VLOOKUP(E47,'Tablas Técnicas'!$A$14:$V$771,5,FALSE))</f>
        <v/>
      </c>
      <c r="K47" s="989" t="str">
        <f>IF(I47="Si",IF(E47=0,"",VLOOKUP(E47,'Tablas Técnicas'!$A$14:$V$771,5,FALSE)),"")</f>
        <v/>
      </c>
      <c r="L47" s="987" t="s">
        <v>1690</v>
      </c>
      <c r="M47" s="1412" t="str">
        <f>IF(E47=0,"",VLOOKUP(E47,'Tablas Técnicas'!$A$14:$V$771,6,FALSE))</f>
        <v/>
      </c>
      <c r="N47" s="990" t="str">
        <f>IF(L47="Si",IF(E47=0,"",VLOOKUP(E47,'Tablas Técnicas'!$A$14:$V$771,6,FALSE)),"")</f>
        <v/>
      </c>
      <c r="O47" s="987" t="s">
        <v>1690</v>
      </c>
      <c r="P47" s="1412" t="str">
        <f>IF(E47=0,"",VLOOKUP(E47,'Tablas Técnicas'!$A$14:$V$771,7,FALSE))</f>
        <v/>
      </c>
      <c r="Q47" s="990" t="str">
        <f>IF(O47="Si",IF(E47=0,"",VLOOKUP(E47,'Tablas Técnicas'!$A$14:$V$771,7,FALSE)),"")</f>
        <v/>
      </c>
      <c r="R47" s="988" t="str">
        <f>IF(E47=0,"",VLOOKUP(E47,'Tablas Técnicas'!$A$14:$V$771,8,FALSE))</f>
        <v/>
      </c>
      <c r="S47" s="986" t="str">
        <f>IF(R47=$D$8,$D$8,IF(R47=2,2,IF(R47=3,3,R47)))</f>
        <v/>
      </c>
      <c r="T47" s="989" t="str">
        <f>IF(E47=0,"",VLOOKUP(E47,'Tablas Técnicas'!$A$14:$V$771,9,FALSE))</f>
        <v/>
      </c>
      <c r="U47" s="989" t="str">
        <f>IF(E47=0,"",VLOOKUP(E47,'Tablas Técnicas'!$A$14:$V$771,10,FALSE))</f>
        <v/>
      </c>
      <c r="V47" s="984" t="str">
        <f>IF(E47=0,"",VLOOKUP(E47,'Tablas Técnicas'!$A$14:$V$771,11,FALSE))</f>
        <v/>
      </c>
      <c r="W47" s="987"/>
      <c r="X47" s="988" t="e">
        <f>VLOOKUP(E47,'Tablas Técnicas'!$A$14:$V$771,12,FALSE)</f>
        <v>#N/A</v>
      </c>
      <c r="Y47" s="988" t="e">
        <f>IF(W47=X47,VLOOKUP(E47,'Tablas Técnicas'!$A$14:$V$771,13,FALSE),0)</f>
        <v>#N/A</v>
      </c>
      <c r="Z47" s="988" t="e">
        <f>VLOOKUP(E47,'Tablas Técnicas'!$A$14:$V$771,14,FALSE)</f>
        <v>#N/A</v>
      </c>
      <c r="AA47" s="988" t="e">
        <f>IF(W47=Z47,VLOOKUP(E47,'Tablas Técnicas'!$A$14:$V$616,15,FALSE),0)</f>
        <v>#N/A</v>
      </c>
      <c r="AB47" s="988" t="e">
        <f>VLOOKUP(E47,'Tablas Técnicas'!$A$14:$V$771,16,FALSE)</f>
        <v>#N/A</v>
      </c>
      <c r="AC47" s="988" t="e">
        <f>IF(W47=AB47,VLOOKUP(E47,'Tablas Técnicas'!$A$14:$V$616,17,FALSE),0)</f>
        <v>#N/A</v>
      </c>
      <c r="AD47" s="988" t="e">
        <f>VLOOKUP(E47,'Tablas Técnicas'!$A$14:$V$771,18,FALSE)</f>
        <v>#N/A</v>
      </c>
      <c r="AE47" s="988" t="e">
        <f>IF(W47=AD47,VLOOKUP(E47,'Tablas Técnicas'!$A$14:$V$771,19,FALSE),0)</f>
        <v>#N/A</v>
      </c>
      <c r="AF47" s="990" t="str">
        <f>IF(E47=0,"",(Y47+AA47+AC47+AE47))</f>
        <v/>
      </c>
      <c r="AG47" s="987"/>
      <c r="AH47" s="988" t="e">
        <f>VLOOKUP(E47,'Tablas Técnicas'!$A$14:$V$771,12,FALSE)</f>
        <v>#N/A</v>
      </c>
      <c r="AI47" s="988" t="e">
        <f>IF(AG47=AH47,VLOOKUP(E47,'Tablas Técnicas'!$A$14:$V$771,13,FALSE),0)</f>
        <v>#N/A</v>
      </c>
      <c r="AJ47" s="988" t="e">
        <f>VLOOKUP(E47,'Tablas Técnicas'!$A$14:$V$771,14,FALSE)</f>
        <v>#N/A</v>
      </c>
      <c r="AK47" s="988" t="e">
        <f>IF(AG47=AJ47,VLOOKUP(E47,'Tablas Técnicas'!$A$14:$V$771,15,FALSE),0)</f>
        <v>#N/A</v>
      </c>
      <c r="AL47" s="988" t="e">
        <f>VLOOKUP(E47,'Tablas Técnicas'!$A$14:$V$771,16,FALSE)</f>
        <v>#N/A</v>
      </c>
      <c r="AM47" s="988" t="e">
        <f>IF(AG47=AL47,VLOOKUP(E47,'Tablas Técnicas'!$A$14:$V$771,17,FALSE),0)</f>
        <v>#N/A</v>
      </c>
      <c r="AN47" s="988" t="e">
        <f>VLOOKUP(E47,'Tablas Técnicas'!$A$14:$V$771,18,FALSE)</f>
        <v>#N/A</v>
      </c>
      <c r="AO47" s="988" t="e">
        <f>IF(AG47=AN47,VLOOKUP(E47,'Tablas Técnicas'!$A$14:$V$771,19,FALSE),0)</f>
        <v>#N/A</v>
      </c>
      <c r="AP47" s="990" t="str">
        <f>IF(E47=0,"",(AI47+AK47+AM47+AO47))</f>
        <v/>
      </c>
      <c r="AQ47" s="987"/>
      <c r="AR47" s="988" t="e">
        <f>VLOOKUP(E47,'Tablas Técnicas'!$A$14:$V$771,12,FALSE)</f>
        <v>#N/A</v>
      </c>
      <c r="AS47" s="988" t="e">
        <f>IF(AQ47=AR47,VLOOKUP(E47,'Tablas Técnicas'!$A$14:$V$771,13,FALSE),0)</f>
        <v>#N/A</v>
      </c>
      <c r="AT47" s="988" t="e">
        <f>VLOOKUP(E47,'Tablas Técnicas'!$A$14:$V$771,14,FALSE)</f>
        <v>#N/A</v>
      </c>
      <c r="AU47" s="988" t="e">
        <f>IF(AQ47=AT47,VLOOKUP(E47,'Tablas Técnicas'!$A$14:$V$771,15,FALSE),0)</f>
        <v>#N/A</v>
      </c>
      <c r="AV47" s="988" t="e">
        <f>VLOOKUP(E47,'Tablas Técnicas'!$A$14:$V$771,16,FALSE)</f>
        <v>#N/A</v>
      </c>
      <c r="AW47" s="988" t="e">
        <f>IF(AQ47=AV47,VLOOKUP(E47,'Tablas Técnicas'!$A$14:$V$771,17,FALSE),0)</f>
        <v>#N/A</v>
      </c>
      <c r="AX47" s="988" t="e">
        <f>VLOOKUP(E47,'Tablas Técnicas'!$A$14:$V$771,18,FALSE)</f>
        <v>#N/A</v>
      </c>
      <c r="AY47" s="988" t="e">
        <f>IF(AQ47=AX47,VLOOKUP(E47,'Tablas Técnicas'!$A$14:$V$771,19,FALSE),0)</f>
        <v>#N/A</v>
      </c>
      <c r="AZ47" s="989" t="str">
        <f>IF(E47=0,"",(AS47+AU47+AW47+AY47))</f>
        <v/>
      </c>
      <c r="BA47" s="987"/>
      <c r="BB47" s="988" t="e">
        <f>VLOOKUP(E47,'Tablas Técnicas'!$A$14:$V$771,12,FALSE)</f>
        <v>#N/A</v>
      </c>
      <c r="BC47" s="988" t="e">
        <f>IF(BA47=BB47,VLOOKUP(E47,'Tablas Técnicas'!$A$14:$V$771,13,FALSE),0)</f>
        <v>#N/A</v>
      </c>
      <c r="BD47" s="988" t="e">
        <f>VLOOKUP(E47,'Tablas Técnicas'!$A$14:$V$771,14,FALSE)</f>
        <v>#N/A</v>
      </c>
      <c r="BE47" s="988" t="e">
        <f>IF(BA47=BD47,VLOOKUP(E47,'Tablas Técnicas'!$A$14:$V$771,15,FALSE),0)</f>
        <v>#N/A</v>
      </c>
      <c r="BF47" s="988" t="e">
        <f>VLOOKUP(E47,'Tablas Técnicas'!$A$14:$V$771,16,FALSE)</f>
        <v>#N/A</v>
      </c>
      <c r="BG47" s="988" t="e">
        <f>IF(BA47=BF47,VLOOKUP(E47,'Tablas Técnicas'!$A$14:$V$771,17,FALSE),0)</f>
        <v>#N/A</v>
      </c>
      <c r="BH47" s="988" t="e">
        <f>VLOOKUP(E47,'Tablas Técnicas'!$A$14:$V$771,18,FALSE)</f>
        <v>#N/A</v>
      </c>
      <c r="BI47" s="988" t="e">
        <f>IF(BA47=BH47,VLOOKUP(E47,'Tablas Técnicas'!$A$14:$V$771,19,FALSE),0)</f>
        <v>#N/A</v>
      </c>
      <c r="BJ47" s="990" t="str">
        <f>IF(E47=0,"",(BC47+BE47+BG47+BI47))</f>
        <v/>
      </c>
      <c r="BK47" s="989" t="str">
        <f>IF(E47=0,"",VLOOKUP(E47,'Tablas Técnicas'!$A$14:$V$771,20,FALSE))</f>
        <v/>
      </c>
      <c r="BL47" s="989" t="str">
        <f>IF(E47=0,"",VLOOKUP(E47,'Tablas Técnicas'!$A$14:$V$771,21,FALSE))</f>
        <v/>
      </c>
      <c r="BM47" s="991" t="str">
        <f>IF(E47=0,"",VLOOKUP(E47,'Tablas Técnicas'!$A$14:$V$771,22,FALSE))</f>
        <v/>
      </c>
      <c r="BN47" s="992"/>
      <c r="BO47" s="993"/>
      <c r="BP47" s="978" t="str">
        <f>IF(I47="Si",VLOOKUP($D$8,'Tablas Técnicas'!$E$4:$F$6,2,FALSE),"")</f>
        <v/>
      </c>
      <c r="BQ47" s="979" t="str">
        <f>IF(L47="Si",VLOOKUP($D$8,'Tablas Técnicas'!$I$4:$J$6,2,FALSE),"")</f>
        <v/>
      </c>
      <c r="BR47" s="977" t="str">
        <f>IF(O47="Si",VLOOKUP($D$8,'Tablas Técnicas'!$I$7:$J$9,2,FALSE),"")</f>
        <v/>
      </c>
      <c r="BS47" s="994"/>
      <c r="BT47" s="4770" t="s">
        <v>4541</v>
      </c>
      <c r="BU47" s="4771"/>
      <c r="BV47" s="971"/>
      <c r="BX47" s="951"/>
      <c r="BY47" s="1286"/>
      <c r="BZ47" s="1304"/>
      <c r="CA47" s="939"/>
      <c r="DR47" s="939"/>
      <c r="DT47" s="1325"/>
      <c r="DU47" s="1375" t="str">
        <f>IF(BW60="N/A","",BT59&amp;" "&amp;BW60&amp;IF(BY60="N/A"," "," ("&amp;BY60&amp;") "))</f>
        <v/>
      </c>
      <c r="DV47" s="1376" t="str">
        <f>IF(E47="","",E47)&amp;IF(I47="No",""," (Mant.)")&amp;IF(L47="No",""," (Sme)")&amp;IF(O47="No",""," (SMa)")</f>
        <v/>
      </c>
      <c r="DW47" s="1377" t="str">
        <f>IF(E77="","",E77)</f>
        <v/>
      </c>
      <c r="DX47" s="4778"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24"/>
      <c r="DZ47" s="939"/>
      <c r="EA47" s="1470">
        <f t="shared" si="0"/>
        <v>1</v>
      </c>
    </row>
    <row r="48" spans="1:132" ht="11.25" customHeight="1" x14ac:dyDescent="0.2">
      <c r="A48" s="939"/>
      <c r="B48" s="939"/>
      <c r="C48" s="4822"/>
      <c r="D48" s="1452" t="s">
        <v>1766</v>
      </c>
      <c r="E48" s="995"/>
      <c r="F48" s="996" t="str">
        <f>IF(E48=0,"",VLOOKUP(E48,'Tablas Técnicas'!$A$14:$V$771,2,FALSE))</f>
        <v/>
      </c>
      <c r="G48" s="997"/>
      <c r="H48" s="998" t="str">
        <f>IF($E48=0,"",VLOOKUP($E48,'Tablas Técnicas'!$A$14:$V$771,4,FALSE))</f>
        <v/>
      </c>
      <c r="I48" s="999" t="s">
        <v>1690</v>
      </c>
      <c r="J48" s="1415" t="str">
        <f>IF(E48=0,"",VLOOKUP(E48,'Tablas Técnicas'!$A$14:$V$771,5,FALSE))</f>
        <v/>
      </c>
      <c r="K48" s="1001" t="str">
        <f>IF(I48="Si",IF(E48=0,"",VLOOKUP(E48,'Tablas Técnicas'!$A$14:$V$771,5,FALSE)),"")</f>
        <v/>
      </c>
      <c r="L48" s="999" t="s">
        <v>1690</v>
      </c>
      <c r="M48" s="1415" t="str">
        <f>IF(E48=0,"",VLOOKUP(E48,'Tablas Técnicas'!$A$14:$V$771,6,FALSE))</f>
        <v/>
      </c>
      <c r="N48" s="1002" t="str">
        <f>IF(L48="Si",IF(E48=0,"",VLOOKUP(E48,'Tablas Técnicas'!$A$14:$V$771,6,FALSE)),"")</f>
        <v/>
      </c>
      <c r="O48" s="999" t="s">
        <v>1690</v>
      </c>
      <c r="P48" s="1415" t="str">
        <f>IF(E48=0,"",VLOOKUP(E48,'Tablas Técnicas'!$A$14:$V$771,7,FALSE))</f>
        <v/>
      </c>
      <c r="Q48" s="1002" t="str">
        <f>IF(O48="Si",IF(E48=0,"",VLOOKUP(E48,'Tablas Técnicas'!$A$14:$V$771,7,FALSE)),"")</f>
        <v/>
      </c>
      <c r="R48" s="1000" t="str">
        <f>IF(E48=0,"",VLOOKUP(E48,'Tablas Técnicas'!$A$14:$V$771,8,FALSE))</f>
        <v/>
      </c>
      <c r="S48" s="998" t="str">
        <f>IF(R48=$D$8,$D$8,IF(R48=2,2,IF(R48=3,3,R48)))</f>
        <v/>
      </c>
      <c r="T48" s="4796" t="s">
        <v>4542</v>
      </c>
      <c r="U48" s="4797"/>
      <c r="V48" s="4797"/>
      <c r="W48" s="4797"/>
      <c r="X48" s="4797"/>
      <c r="Y48" s="4797"/>
      <c r="Z48" s="4797"/>
      <c r="AA48" s="4797"/>
      <c r="AB48" s="4797"/>
      <c r="AC48" s="4797"/>
      <c r="AD48" s="4797"/>
      <c r="AE48" s="4797"/>
      <c r="AF48" s="4797"/>
      <c r="AG48" s="4797"/>
      <c r="AH48" s="4797"/>
      <c r="AI48" s="4797"/>
      <c r="AJ48" s="4797"/>
      <c r="AK48" s="4797"/>
      <c r="AL48" s="4797"/>
      <c r="AM48" s="4797"/>
      <c r="AN48" s="4797"/>
      <c r="AO48" s="4797"/>
      <c r="AP48" s="4797"/>
      <c r="AQ48" s="4797"/>
      <c r="AR48" s="4797"/>
      <c r="AS48" s="4797"/>
      <c r="AT48" s="4797"/>
      <c r="AU48" s="4797"/>
      <c r="AV48" s="4797"/>
      <c r="AW48" s="4797"/>
      <c r="AX48" s="4797"/>
      <c r="AY48" s="4797"/>
      <c r="AZ48" s="4797"/>
      <c r="BA48" s="4797"/>
      <c r="BB48" s="4797"/>
      <c r="BC48" s="4797"/>
      <c r="BD48" s="4797"/>
      <c r="BE48" s="4797"/>
      <c r="BF48" s="4797"/>
      <c r="BG48" s="4797"/>
      <c r="BH48" s="4797"/>
      <c r="BI48" s="4797"/>
      <c r="BJ48" s="4797"/>
      <c r="BK48" s="4798"/>
      <c r="BL48" s="1437"/>
      <c r="BM48" s="1438"/>
      <c r="BN48" s="992"/>
      <c r="BO48" s="993"/>
      <c r="BP48" s="978" t="str">
        <f>IF(I48="Si",VLOOKUP($D$8,'Tablas Técnicas'!$E$4:$F$6,2,FALSE),"")</f>
        <v/>
      </c>
      <c r="BQ48" s="979" t="str">
        <f>IF(L48="Si",VLOOKUP($D$8,'Tablas Técnicas'!$I$4:$J$6,2,FALSE),"")</f>
        <v/>
      </c>
      <c r="BR48" s="977" t="str">
        <f>IF(O48="Si",VLOOKUP($D$8,'Tablas Técnicas'!$I$7:$J$9,2,FALSE),"")</f>
        <v/>
      </c>
      <c r="BS48" s="994"/>
      <c r="BT48" s="4772">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773"/>
      <c r="BV48" s="971"/>
      <c r="BX48" s="951"/>
      <c r="BY48" s="1286"/>
      <c r="BZ48" s="1304"/>
      <c r="CA48" s="939"/>
      <c r="DR48" s="939"/>
      <c r="DT48" s="1325"/>
      <c r="DU48" s="1375" t="str">
        <f>IF(BW62="N/A","",BT61&amp;" "&amp;BW62&amp;IF(BY62="N/A"," "," ("&amp;BY62&amp;") "))</f>
        <v/>
      </c>
      <c r="DV48" s="1376" t="str">
        <f>IF(E48="",""," "&amp;E48)&amp;IF(I48="No",""," (Mant.)")&amp;IF(L48="No",""," (Sme)")&amp;IF(O48="No",""," (SMa)")</f>
        <v/>
      </c>
      <c r="DW48" s="1377" t="str">
        <f>IF(E78="","",", "&amp;E78)</f>
        <v/>
      </c>
      <c r="DX48" s="4778"/>
      <c r="DY48" s="1324"/>
      <c r="DZ48" s="939"/>
      <c r="EA48" s="1470">
        <f t="shared" si="0"/>
        <v>1</v>
      </c>
    </row>
    <row r="49" spans="1:131" ht="11.25" customHeight="1" x14ac:dyDescent="0.2">
      <c r="A49" s="939"/>
      <c r="B49" s="939"/>
      <c r="C49" s="4822"/>
      <c r="D49" s="1453" t="s">
        <v>1766</v>
      </c>
      <c r="E49" s="1003"/>
      <c r="F49" s="3033" t="str">
        <f>IF(E49=0,"",VLOOKUP(E49,'Tablas Técnicas'!$A$14:$V$771,2,FALSE))</f>
        <v/>
      </c>
      <c r="G49" s="985"/>
      <c r="H49" s="1004" t="str">
        <f>IF($E49=0,"",VLOOKUP($E49,'Tablas Técnicas'!$A$14:$V$771,4,FALSE))</f>
        <v/>
      </c>
      <c r="I49" s="987" t="s">
        <v>1690</v>
      </c>
      <c r="J49" s="1411" t="str">
        <f>IF(E49=0,"",VLOOKUP(E49,'Tablas Técnicas'!$A$14:$V$771,5,FALSE))</f>
        <v/>
      </c>
      <c r="K49" s="1006" t="str">
        <f>IF(I49="Si",IF(E49=0,"",VLOOKUP(E49,'Tablas Técnicas'!$A$14:$V$771,5,FALSE)),"")</f>
        <v/>
      </c>
      <c r="L49" s="987" t="s">
        <v>1690</v>
      </c>
      <c r="M49" s="1411" t="str">
        <f>IF(E49=0,"",VLOOKUP(E49,'Tablas Técnicas'!$A$14:$V$771,6,FALSE))</f>
        <v/>
      </c>
      <c r="N49" s="990" t="str">
        <f>IF(L49="Si",IF(E49=0,"",VLOOKUP(E49,'Tablas Técnicas'!$A$14:$V$771,6,FALSE)),"")</f>
        <v/>
      </c>
      <c r="O49" s="987" t="s">
        <v>1690</v>
      </c>
      <c r="P49" s="1411" t="str">
        <f>IF(E49=0,"",VLOOKUP(E49,'Tablas Técnicas'!$A$14:$V$771,7,FALSE))</f>
        <v/>
      </c>
      <c r="Q49" s="990" t="str">
        <f>IF(O49="Si",IF(E49=0,"",VLOOKUP(E49,'Tablas Técnicas'!$A$14:$V$771,7,FALSE)),"")</f>
        <v/>
      </c>
      <c r="R49" s="1005" t="str">
        <f>IF(E49=0,"",VLOOKUP(E49,'Tablas Técnicas'!$A$14:$V$771,8,FALSE))</f>
        <v/>
      </c>
      <c r="S49" s="3033" t="str">
        <f>IF(R49=$D$8,$D$8,IF(R49=2,2,IF(R49=3,3,R49)))</f>
        <v/>
      </c>
      <c r="T49" s="4809"/>
      <c r="U49" s="4810"/>
      <c r="V49" s="3029" t="str">
        <f>IF(OR(V47=0,V47=""),"N/A",V47)</f>
        <v>N/A</v>
      </c>
      <c r="W49" s="4809" t="str">
        <f xml:space="preserve"> IF(OR(AF47=0,AF47=""),"N/A",W47)</f>
        <v>N/A</v>
      </c>
      <c r="X49" s="4811"/>
      <c r="Y49" s="4811"/>
      <c r="Z49" s="4811"/>
      <c r="AA49" s="4811"/>
      <c r="AB49" s="4811"/>
      <c r="AC49" s="4811"/>
      <c r="AD49" s="4811"/>
      <c r="AE49" s="4811"/>
      <c r="AF49" s="4810"/>
      <c r="AG49" s="4809" t="str">
        <f xml:space="preserve"> IF(OR(AP47="",AP47=0),"N/A",AG47)</f>
        <v>N/A</v>
      </c>
      <c r="AH49" s="4811"/>
      <c r="AI49" s="4811"/>
      <c r="AJ49" s="4811"/>
      <c r="AK49" s="4811"/>
      <c r="AL49" s="4811"/>
      <c r="AM49" s="4811"/>
      <c r="AN49" s="4811"/>
      <c r="AO49" s="4811"/>
      <c r="AP49" s="4810"/>
      <c r="AQ49" s="4809" t="str">
        <f xml:space="preserve"> IF(OR(AZ47="",AZ47=0),"N/A",AQ47)</f>
        <v>N/A</v>
      </c>
      <c r="AR49" s="4811"/>
      <c r="AS49" s="4811"/>
      <c r="AT49" s="4811"/>
      <c r="AU49" s="4811"/>
      <c r="AV49" s="4811"/>
      <c r="AW49" s="4811"/>
      <c r="AX49" s="4811"/>
      <c r="AY49" s="4811"/>
      <c r="AZ49" s="4810"/>
      <c r="BA49" s="4809" t="str">
        <f xml:space="preserve"> IF(OR(BJ47="",BJ47=0),"N/A",BA47)</f>
        <v>N/A</v>
      </c>
      <c r="BB49" s="4811"/>
      <c r="BC49" s="4811"/>
      <c r="BD49" s="4811"/>
      <c r="BE49" s="4811"/>
      <c r="BF49" s="4811"/>
      <c r="BG49" s="4811"/>
      <c r="BH49" s="4811"/>
      <c r="BI49" s="4811"/>
      <c r="BJ49" s="4810"/>
      <c r="BK49" s="1007" t="s">
        <v>4543</v>
      </c>
      <c r="BL49" s="989"/>
      <c r="BM49" s="1024"/>
      <c r="BN49" s="1008"/>
      <c r="BO49" s="1009"/>
      <c r="BP49" s="1010" t="str">
        <f>IF(I49="Si",VLOOKUP($D$8,'Tablas Técnicas'!$E$4:$F$6,2,FALSE),"")</f>
        <v/>
      </c>
      <c r="BQ49" s="980" t="str">
        <f>IF(L49="Si",VLOOKUP($D$8,'Tablas Técnicas'!$I$4:$J$6,2,FALSE),"")</f>
        <v/>
      </c>
      <c r="BR49" s="1011" t="str">
        <f>IF(O49="Si",VLOOKUP($D$8,'Tablas Técnicas'!$I$7:$J$9,2,FALSE),"")</f>
        <v/>
      </c>
      <c r="BS49" s="1012"/>
      <c r="BU49" s="3026"/>
      <c r="BV49" s="971"/>
      <c r="BW49" s="951"/>
      <c r="BX49" s="951"/>
      <c r="BY49" s="1286"/>
      <c r="BZ49" s="1304"/>
      <c r="CA49" s="939"/>
      <c r="DR49" s="939"/>
      <c r="DT49" s="1325"/>
      <c r="DU49" s="1375" t="str">
        <f>IF(BW64="N/A","",BT63&amp;" "&amp;BW64&amp;IF(BY64="N/A"," "," ("&amp;BY64&amp;") "))</f>
        <v/>
      </c>
      <c r="DV49" s="1376" t="str">
        <f>IF(E49="","",E49)&amp;IF(I49="No",""," (Mant.)")&amp;IF(L49="No",""," (Sme)")&amp;IF(O49="No",""," (SMa)")</f>
        <v/>
      </c>
      <c r="DW49" s="1377" t="str">
        <f>IF(E79="","",", "&amp;E79)</f>
        <v/>
      </c>
      <c r="DX49" s="4778"/>
      <c r="DY49" s="1324"/>
      <c r="DZ49" s="939"/>
      <c r="EA49" s="1470">
        <f t="shared" si="0"/>
        <v>1</v>
      </c>
    </row>
    <row r="50" spans="1:131" x14ac:dyDescent="0.2">
      <c r="A50" s="939"/>
      <c r="B50" s="939"/>
      <c r="C50" s="4822"/>
      <c r="D50" s="1452" t="s">
        <v>1766</v>
      </c>
      <c r="E50" s="995"/>
      <c r="F50" s="996" t="str">
        <f>IF(E50=0,"",VLOOKUP(E50,'Tablas Técnicas'!$A$14:$V$771,2,FALSE))</f>
        <v/>
      </c>
      <c r="G50" s="997"/>
      <c r="H50" s="998" t="str">
        <f>IF($E50=0,"",VLOOKUP($E50,'Tablas Técnicas'!$A$14:$V$771,4,FALSE))</f>
        <v/>
      </c>
      <c r="I50" s="999" t="s">
        <v>1690</v>
      </c>
      <c r="J50" s="1415" t="str">
        <f>IF(E50=0,"",VLOOKUP(E50,'Tablas Técnicas'!$A$14:$V$771,5,FALSE))</f>
        <v/>
      </c>
      <c r="K50" s="1001" t="str">
        <f>IF(I50="Si",IF(E50=0,"",VLOOKUP(E50,'Tablas Técnicas'!$A$14:$V$771,5,FALSE)),"")</f>
        <v/>
      </c>
      <c r="L50" s="999" t="s">
        <v>1690</v>
      </c>
      <c r="M50" s="1415" t="str">
        <f>IF(E50=0,"",VLOOKUP(E50,'Tablas Técnicas'!$A$14:$V$771,6,FALSE))</f>
        <v/>
      </c>
      <c r="N50" s="1002" t="str">
        <f>IF(L50="Si",IF(E50=0,"",VLOOKUP(E50,'Tablas Técnicas'!$A$14:$V$771,6,FALSE)),"")</f>
        <v/>
      </c>
      <c r="O50" s="999" t="s">
        <v>1690</v>
      </c>
      <c r="P50" s="1415" t="str">
        <f>IF(E50=0,"",VLOOKUP(E50,'Tablas Técnicas'!$A$14:$V$771,7,FALSE))</f>
        <v/>
      </c>
      <c r="Q50" s="1002" t="str">
        <f>IF(O50="Si",IF(E50=0,"",VLOOKUP(E50,'Tablas Técnicas'!$A$14:$V$771,7,FALSE)),"")</f>
        <v/>
      </c>
      <c r="R50" s="1000" t="str">
        <f>IF(E50=0,"",VLOOKUP(E50,'Tablas Técnicas'!$A$14:$V$771,8,FALSE))</f>
        <v/>
      </c>
      <c r="S50" s="998" t="str">
        <f>IF(R50=$D$8,$D$8,IF(R50=2,2,IF(R50=3,3,R50)))</f>
        <v/>
      </c>
      <c r="T50" s="4812" t="s">
        <v>4544</v>
      </c>
      <c r="U50" s="4813"/>
      <c r="V50" s="3025"/>
      <c r="W50" s="4814"/>
      <c r="X50" s="4815"/>
      <c r="Y50" s="4815"/>
      <c r="Z50" s="4815"/>
      <c r="AA50" s="4815"/>
      <c r="AB50" s="4815"/>
      <c r="AC50" s="4815"/>
      <c r="AD50" s="4815"/>
      <c r="AE50" s="4815"/>
      <c r="AF50" s="4816"/>
      <c r="AG50" s="4814"/>
      <c r="AH50" s="4815"/>
      <c r="AI50" s="4815"/>
      <c r="AJ50" s="4815"/>
      <c r="AK50" s="4815"/>
      <c r="AL50" s="4815"/>
      <c r="AM50" s="4815"/>
      <c r="AN50" s="4815"/>
      <c r="AO50" s="4815"/>
      <c r="AP50" s="4816"/>
      <c r="AQ50" s="4814"/>
      <c r="AR50" s="4815"/>
      <c r="AS50" s="4815"/>
      <c r="AT50" s="4815"/>
      <c r="AU50" s="4815"/>
      <c r="AV50" s="4815"/>
      <c r="AW50" s="4815"/>
      <c r="AX50" s="4815"/>
      <c r="AY50" s="4815"/>
      <c r="AZ50" s="4816"/>
      <c r="BA50" s="4814"/>
      <c r="BB50" s="4815"/>
      <c r="BC50" s="4815"/>
      <c r="BD50" s="4815"/>
      <c r="BE50" s="4815"/>
      <c r="BF50" s="4815"/>
      <c r="BG50" s="4815"/>
      <c r="BH50" s="4815"/>
      <c r="BI50" s="4815"/>
      <c r="BJ50" s="4816"/>
      <c r="BK50" s="998">
        <f>(SUM(F47:F51)+IF(AF47="",0,AF47)+IF(AP47="",0,AP47)+IF(AZ47="",0,AZ47)+IF(BJ47="",0,BJ47)+SUM(K47:K51)+SUM(N47:N51)+SUM(Q47:Q51))- SUM(V50:BA50)</f>
        <v>0</v>
      </c>
      <c r="BL50" s="1437"/>
      <c r="BM50" s="1438"/>
      <c r="BN50" s="992"/>
      <c r="BO50" s="993"/>
      <c r="BP50" s="978" t="str">
        <f>IF(I50="Si",VLOOKUP($D$8,'Tablas Técnicas'!$E$4:$F$6,2,FALSE),"")</f>
        <v/>
      </c>
      <c r="BQ50" s="979" t="str">
        <f>IF(L50="Si",VLOOKUP($D$8,'Tablas Técnicas'!$I$4:$J$6,2,FALSE),"")</f>
        <v/>
      </c>
      <c r="BR50" s="977" t="str">
        <f>IF(O50="Si",VLOOKUP($D$8,'Tablas Técnicas'!$I$7:$J$9,2,FALSE),"")</f>
        <v/>
      </c>
      <c r="BS50" s="994"/>
      <c r="BT50" s="4770" t="s">
        <v>4545</v>
      </c>
      <c r="BU50" s="4771"/>
      <c r="BV50" s="971"/>
      <c r="BW50" s="951"/>
      <c r="BX50" s="951"/>
      <c r="BY50" s="1286"/>
      <c r="BZ50" s="1304"/>
      <c r="CA50" s="939"/>
      <c r="DR50" s="939"/>
      <c r="DT50" s="1325"/>
      <c r="DU50" s="1375" t="str">
        <f>IF(BW66="N/A","",BT65&amp;" "&amp;BW66&amp;IF(BY66="N/A"," "," ("&amp;BY66&amp;") "))</f>
        <v/>
      </c>
      <c r="DV50" s="1376" t="str">
        <f>IF(E50="","",E50)&amp;IF(I50="No",""," (Mant.)")&amp;IF(L50="No",""," (Sme)")&amp;IF(O50="No",""," (SMa)")</f>
        <v/>
      </c>
      <c r="DW50" s="1377"/>
      <c r="DX50" s="4778"/>
      <c r="DY50" s="1324"/>
      <c r="DZ50" s="939"/>
      <c r="EA50" s="1470">
        <f t="shared" si="0"/>
        <v>1</v>
      </c>
    </row>
    <row r="51" spans="1:131" x14ac:dyDescent="0.2">
      <c r="A51" s="939"/>
      <c r="B51" s="939"/>
      <c r="C51" s="4822"/>
      <c r="D51" s="1453" t="s">
        <v>1766</v>
      </c>
      <c r="E51" s="1003"/>
      <c r="F51" s="3033" t="str">
        <f>IF(E51=0,"",VLOOKUP(E51,'Tablas Técnicas'!$A$14:$V$771,2,FALSE))</f>
        <v/>
      </c>
      <c r="G51" s="985"/>
      <c r="H51" s="1004" t="str">
        <f>IF($E51=0,"",VLOOKUP($E51,'Tablas Técnicas'!$A$14:$V$771,4,FALSE))</f>
        <v/>
      </c>
      <c r="I51" s="987" t="s">
        <v>1690</v>
      </c>
      <c r="J51" s="1411" t="str">
        <f>IF(E51=0,"",VLOOKUP(E51,'Tablas Técnicas'!$A$14:$V$771,5,FALSE))</f>
        <v/>
      </c>
      <c r="K51" s="1006" t="str">
        <f>IF(I51="Si",IF(E51=0,"",VLOOKUP(E51,'Tablas Técnicas'!$A$14:$V$771,5,FALSE)),"")</f>
        <v/>
      </c>
      <c r="L51" s="987" t="s">
        <v>1690</v>
      </c>
      <c r="M51" s="1411" t="str">
        <f>IF(E51=0,"",VLOOKUP(E51,'Tablas Técnicas'!$A$14:$V$771,6,FALSE))</f>
        <v/>
      </c>
      <c r="N51" s="990" t="str">
        <f>IF(L51="Si",IF(E51=0,"",VLOOKUP(E51,'Tablas Técnicas'!$A$14:$V$771,6,FALSE)),"")</f>
        <v/>
      </c>
      <c r="O51" s="987" t="s">
        <v>1690</v>
      </c>
      <c r="P51" s="1411" t="str">
        <f>IF(E51=0,"",VLOOKUP(E51,'Tablas Técnicas'!$A$14:$V$771,7,FALSE))</f>
        <v/>
      </c>
      <c r="Q51" s="990" t="str">
        <f>IF(O51="Si",IF(E51=0,"",VLOOKUP(E51,'Tablas Técnicas'!$A$14:$V$771,7,FALSE)),"")</f>
        <v/>
      </c>
      <c r="R51" s="1005" t="str">
        <f>IF(E51=0,"",VLOOKUP(E51,'Tablas Técnicas'!$A$14:$V$771,8,FALSE))</f>
        <v/>
      </c>
      <c r="S51" s="1004" t="str">
        <f>IF(R51=$D$8,$D$8,IF(R51=2,2,IF(R51=3,3,R51)))</f>
        <v/>
      </c>
      <c r="T51" s="4803" t="s">
        <v>4546</v>
      </c>
      <c r="U51" s="4804"/>
      <c r="V51" s="3032"/>
      <c r="W51" s="4805"/>
      <c r="X51" s="4806"/>
      <c r="Y51" s="4806"/>
      <c r="Z51" s="4806"/>
      <c r="AA51" s="4806"/>
      <c r="AB51" s="4806"/>
      <c r="AC51" s="4806"/>
      <c r="AD51" s="4806"/>
      <c r="AE51" s="4806"/>
      <c r="AF51" s="4807"/>
      <c r="AG51" s="4805"/>
      <c r="AH51" s="4806"/>
      <c r="AI51" s="4806"/>
      <c r="AJ51" s="4806"/>
      <c r="AK51" s="4806"/>
      <c r="AL51" s="4806"/>
      <c r="AM51" s="4806"/>
      <c r="AN51" s="4806"/>
      <c r="AO51" s="4806"/>
      <c r="AP51" s="4807"/>
      <c r="AQ51" s="4805"/>
      <c r="AR51" s="4806"/>
      <c r="AS51" s="4806"/>
      <c r="AT51" s="4806"/>
      <c r="AU51" s="4806"/>
      <c r="AV51" s="4806"/>
      <c r="AW51" s="4806"/>
      <c r="AX51" s="4806"/>
      <c r="AY51" s="4806"/>
      <c r="AZ51" s="4807"/>
      <c r="BA51" s="4805"/>
      <c r="BB51" s="4806"/>
      <c r="BC51" s="4806"/>
      <c r="BD51" s="4806"/>
      <c r="BE51" s="4806"/>
      <c r="BF51" s="4806"/>
      <c r="BG51" s="4806"/>
      <c r="BH51" s="4806"/>
      <c r="BI51" s="4806"/>
      <c r="BJ51" s="4807"/>
      <c r="BK51" s="1014">
        <f>SUM(K47:K51)-SUM(V51:BA51)</f>
        <v>0</v>
      </c>
      <c r="BL51" s="1439"/>
      <c r="BM51" s="1440"/>
      <c r="BN51" s="1008"/>
      <c r="BO51" s="1009"/>
      <c r="BP51" s="1010" t="str">
        <f>IF(I51="Si",VLOOKUP($D$8,'Tablas Técnicas'!$E$4:$F$6,2,FALSE),"")</f>
        <v/>
      </c>
      <c r="BQ51" s="980" t="str">
        <f>IF(L51="Si",VLOOKUP($D$8,'Tablas Técnicas'!$I$4:$J$6,2,FALSE),"")</f>
        <v/>
      </c>
      <c r="BR51" s="1011" t="str">
        <f>IF(O51="Si",VLOOKUP($D$8,'Tablas Técnicas'!$I$7:$J$9,2,FALSE),"")</f>
        <v/>
      </c>
      <c r="BS51" s="1012"/>
      <c r="BT51" s="4774" t="s">
        <v>1690</v>
      </c>
      <c r="BU51" s="4775"/>
      <c r="BV51" s="971"/>
      <c r="BW51" s="951"/>
      <c r="BX51" s="951"/>
      <c r="BY51" s="1286"/>
      <c r="BZ51" s="1304"/>
      <c r="CA51" s="939"/>
      <c r="DR51" s="939"/>
      <c r="DT51" s="1325"/>
      <c r="DU51" s="1375" t="str">
        <f>IF(BW68="N/A","",BT67&amp;" "&amp;BW68&amp;IF(BY68="N/A"," "," ("&amp;BY68&amp;") "))</f>
        <v/>
      </c>
      <c r="DV51" s="1376" t="str">
        <f>IF(E51="","",E51)&amp;IF(I51="No",""," (Mant.)")&amp;IF(L51="No",""," (Sme)")&amp;IF(O51="No",""," (SMa)")</f>
        <v/>
      </c>
      <c r="DW51" s="1377"/>
      <c r="DX51" s="4778"/>
      <c r="DY51" s="1324"/>
      <c r="DZ51" s="939"/>
      <c r="EA51" s="1470">
        <f t="shared" si="0"/>
        <v>1</v>
      </c>
    </row>
    <row r="52" spans="1:131" x14ac:dyDescent="0.2">
      <c r="A52" s="939"/>
      <c r="B52" s="1403"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822"/>
      <c r="D52" s="1454">
        <v>2</v>
      </c>
      <c r="E52" s="1246"/>
      <c r="F52" s="1016"/>
      <c r="G52" s="1017"/>
      <c r="H52" s="2159">
        <f t="array" ref="H52">IF(AND(OR(ISNUMBER(SEARCH("Empatía Elemental ("&amp;BK47:BM47&amp;")",Principal!$AF$30))),SUM(H47:H51)&gt;=10),-5,0)</f>
        <v>0</v>
      </c>
      <c r="I52" s="1413"/>
      <c r="J52" s="1416"/>
      <c r="K52" s="1017"/>
      <c r="L52" s="1413"/>
      <c r="M52" s="1416"/>
      <c r="N52" s="1017"/>
      <c r="O52" s="1413"/>
      <c r="P52" s="1416"/>
      <c r="Q52" s="1017"/>
      <c r="R52" s="1018"/>
      <c r="S52" s="1017"/>
      <c r="T52" s="1017"/>
      <c r="U52" s="974"/>
      <c r="V52" s="974"/>
      <c r="W52" s="974"/>
      <c r="X52" s="974"/>
      <c r="Y52" s="974"/>
      <c r="Z52" s="974"/>
      <c r="AA52" s="974"/>
      <c r="AB52" s="974"/>
      <c r="AC52" s="974"/>
      <c r="AD52" s="974"/>
      <c r="AE52" s="974"/>
      <c r="AF52" s="974"/>
      <c r="AG52" s="974"/>
      <c r="AH52" s="974"/>
      <c r="AI52" s="974"/>
      <c r="AJ52" s="974"/>
      <c r="AK52" s="974"/>
      <c r="AL52" s="974"/>
      <c r="AM52" s="974"/>
      <c r="AN52" s="974"/>
      <c r="AO52" s="974"/>
      <c r="AP52" s="974"/>
      <c r="AQ52" s="974"/>
      <c r="AR52" s="974"/>
      <c r="AS52" s="974"/>
      <c r="AT52" s="974"/>
      <c r="AU52" s="974"/>
      <c r="AV52" s="974"/>
      <c r="AW52" s="974"/>
      <c r="AX52" s="974"/>
      <c r="AY52" s="974"/>
      <c r="AZ52" s="974"/>
      <c r="BA52" s="974"/>
      <c r="BB52" s="974"/>
      <c r="BC52" s="974"/>
      <c r="BD52" s="974"/>
      <c r="BE52" s="974"/>
      <c r="BF52" s="974"/>
      <c r="BG52" s="974"/>
      <c r="BH52" s="974"/>
      <c r="BI52" s="974"/>
      <c r="BJ52" s="974"/>
      <c r="BK52" s="974"/>
      <c r="BL52" s="974"/>
      <c r="BM52" s="976"/>
      <c r="BN52" s="977">
        <f>SUM(K52:K55)</f>
        <v>0</v>
      </c>
      <c r="BO52" s="971" t="str">
        <f>IF(E52=0,"",(AF52+AP52+AZ52+BJ52))</f>
        <v/>
      </c>
      <c r="BP52" s="978" t="str">
        <f>IF(I52="Si",VLOOKUP($D$8,'Tablas Técnicas'!$E$4:$F$6,2,FALSE),"")</f>
        <v/>
      </c>
      <c r="BQ52" s="979" t="str">
        <f>IF(L52="Si",VLOOKUP($D$8,'Tablas Técnicas'!$I$4:$J$6,2,FALSE),"")</f>
        <v/>
      </c>
      <c r="BR52" s="977" t="str">
        <f>IF(O52="Si",VLOOKUP($D$8,'Tablas Técnicas'!$I$7:$J$9,2,FALSE),"")</f>
        <v/>
      </c>
      <c r="BS52" s="994"/>
      <c r="BT52" s="4770" t="s">
        <v>4547</v>
      </c>
      <c r="BU52" s="4771"/>
      <c r="BV52" s="971"/>
      <c r="BW52" s="951"/>
      <c r="BX52" s="951"/>
      <c r="BY52" s="1286"/>
      <c r="BZ52" s="1304"/>
      <c r="CA52" s="939"/>
      <c r="DR52" s="939"/>
      <c r="DT52" s="1325"/>
      <c r="DU52" s="1375" t="str">
        <f>IF(BW70="N/A","",BT69&amp;" "&amp;BW70&amp;IF(BY70="N/A"," "," ("&amp;BY70&amp;") "))</f>
        <v/>
      </c>
      <c r="DV52" s="1380"/>
      <c r="DW52" s="1377"/>
      <c r="DX52" s="1427" t="s">
        <v>1828</v>
      </c>
      <c r="DY52" s="1324"/>
      <c r="DZ52" s="939"/>
      <c r="EA52" s="1470">
        <f t="shared" si="0"/>
        <v>1</v>
      </c>
    </row>
    <row r="53" spans="1:131" s="1013" customFormat="1" x14ac:dyDescent="0.2">
      <c r="A53" s="939"/>
      <c r="B53" s="939"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822"/>
      <c r="D53" s="1453" t="s">
        <v>1766</v>
      </c>
      <c r="E53" s="983"/>
      <c r="F53" s="1019"/>
      <c r="G53" s="989" t="str">
        <f>IF(E53=0,"",VLOOKUP(E53,'Tablas Técnicas'!$A$14:$V$771,3,FALSE))</f>
        <v/>
      </c>
      <c r="H53" s="1021" t="str">
        <f>IF($E53=0,"",VLOOKUP($E53,'Tablas Técnicas'!$A$14:$V$771,4,FALSE))</f>
        <v/>
      </c>
      <c r="I53" s="987" t="s">
        <v>1690</v>
      </c>
      <c r="J53" s="1414" t="str">
        <f>IF(E53=0,"",VLOOKUP(E53,'Tablas Técnicas'!$A$14:$V$771,5,FALSE))</f>
        <v/>
      </c>
      <c r="K53" s="1020" t="str">
        <f>IF(I53="Si",IF(E53=0,"",VLOOKUP(E53,'Tablas Técnicas'!$A$14:$V$771,5,FALSE)),"")</f>
        <v/>
      </c>
      <c r="L53" s="987" t="s">
        <v>1690</v>
      </c>
      <c r="M53" s="1414" t="str">
        <f>IF(E53=0,"",VLOOKUP(E53,'Tablas Técnicas'!$A$14:$V$771,6,FALSE))</f>
        <v/>
      </c>
      <c r="N53" s="990" t="str">
        <f>IF(L53="Si",IF(E53=0,"",VLOOKUP(E53,'Tablas Técnicas'!$A$14:$V$771,6,FALSE)),"")</f>
        <v/>
      </c>
      <c r="O53" s="987" t="s">
        <v>1690</v>
      </c>
      <c r="P53" s="1414" t="str">
        <f>IF(E53=0,"",VLOOKUP(E53,'Tablas Técnicas'!$A$14:$V$771,7,FALSE))</f>
        <v/>
      </c>
      <c r="Q53" s="990" t="str">
        <f>IF(O53="Si",IF(E53=0,"",VLOOKUP(E53,'Tablas Técnicas'!$A$14:$V$771,7,FALSE)),"")</f>
        <v/>
      </c>
      <c r="R53" s="1022" t="str">
        <f>IF(E53=0,"",VLOOKUP(E53,'Tablas Técnicas'!$A$14:$V$771,8,FALSE))</f>
        <v/>
      </c>
      <c r="S53" s="1021" t="str">
        <f>IF(R53=$D$8,$D$8,IF(R53=2,2,IF(R53=3,3,R53)))</f>
        <v/>
      </c>
      <c r="T53" s="989" t="str">
        <f>IF(E53=0,"",VLOOKUP(E53,'Tablas Técnicas'!$A$14:$V$771,9,FALSE))</f>
        <v/>
      </c>
      <c r="U53" s="989" t="str">
        <f>IF(E53=0,"",VLOOKUP(E53,'Tablas Técnicas'!$A$14:$V$771,10,FALSE))</f>
        <v/>
      </c>
      <c r="V53" s="984" t="str">
        <f>IF(E53=0,"",VLOOKUP(E53,'Tablas Técnicas'!$A$14:$V$771,11,FALSE))</f>
        <v/>
      </c>
      <c r="W53" s="987"/>
      <c r="X53" s="988" t="e">
        <f>VLOOKUP(E53,'Tablas Técnicas'!$A$14:$V$771,12,FALSE)</f>
        <v>#N/A</v>
      </c>
      <c r="Y53" s="988" t="e">
        <f>IF(W53=X53,VLOOKUP(E53,'Tablas Técnicas'!$A$14:$V$771,13,FALSE),0)</f>
        <v>#N/A</v>
      </c>
      <c r="Z53" s="988" t="e">
        <f>VLOOKUP(E53,'Tablas Técnicas'!$A$14:$V$771,14,FALSE)</f>
        <v>#N/A</v>
      </c>
      <c r="AA53" s="988" t="e">
        <f>IF(W53=Z53,VLOOKUP(E53,'Tablas Técnicas'!$A$14:$V$616,15,FALSE),0)</f>
        <v>#N/A</v>
      </c>
      <c r="AB53" s="988" t="e">
        <f>VLOOKUP(E53,'Tablas Técnicas'!$A$14:$V$771,16,FALSE)</f>
        <v>#N/A</v>
      </c>
      <c r="AC53" s="988" t="e">
        <f>IF(W53=AB53,VLOOKUP(E53,'Tablas Técnicas'!$A$14:$V$616,17,FALSE),0)</f>
        <v>#N/A</v>
      </c>
      <c r="AD53" s="988" t="e">
        <f>VLOOKUP(E53,'Tablas Técnicas'!$A$14:$V$771,18,FALSE)</f>
        <v>#N/A</v>
      </c>
      <c r="AE53" s="988" t="e">
        <f>IF(W53=AD53,VLOOKUP(E53,'Tablas Técnicas'!$A$14:$V$771,19,FALSE),0)</f>
        <v>#N/A</v>
      </c>
      <c r="AF53" s="989" t="str">
        <f>IF(E53=0,"",(Y53+AA53+AC53+AE53))</f>
        <v/>
      </c>
      <c r="AG53" s="987"/>
      <c r="AH53" s="1022" t="e">
        <f>VLOOKUP(E53,'Tablas Técnicas'!$A$14:$V$771,12,FALSE)</f>
        <v>#N/A</v>
      </c>
      <c r="AI53" s="1022" t="e">
        <f>IF(AG53=AH53,VLOOKUP(E53,'Tablas Técnicas'!$A$14:$V$771,13,FALSE),0)</f>
        <v>#N/A</v>
      </c>
      <c r="AJ53" s="1022" t="e">
        <f>VLOOKUP(E53,'Tablas Técnicas'!$A$14:$V$771,14,FALSE)</f>
        <v>#N/A</v>
      </c>
      <c r="AK53" s="1022" t="e">
        <f>IF(AG53=AJ53,VLOOKUP(E53,'Tablas Técnicas'!$A$14:$V$771,15,FALSE),0)</f>
        <v>#N/A</v>
      </c>
      <c r="AL53" s="1022" t="e">
        <f>VLOOKUP(E53,'Tablas Técnicas'!$A$14:$V$771,16,FALSE)</f>
        <v>#N/A</v>
      </c>
      <c r="AM53" s="1022" t="e">
        <f>IF(AG53=AL53,VLOOKUP(E53,'Tablas Técnicas'!$A$14:$V$771,17,FALSE),0)</f>
        <v>#N/A</v>
      </c>
      <c r="AN53" s="1022" t="e">
        <f>VLOOKUP(E53,'Tablas Técnicas'!$A$14:$V$771,18,FALSE)</f>
        <v>#N/A</v>
      </c>
      <c r="AO53" s="1022" t="e">
        <f>IF(AG53=AN53,VLOOKUP(E53,'Tablas Técnicas'!$A$14:$V$771,19,FALSE),0)</f>
        <v>#N/A</v>
      </c>
      <c r="AP53" s="1023" t="str">
        <f>IF(E53=0,"",(AI53+AK53+AM53+AO53))</f>
        <v/>
      </c>
      <c r="AQ53" s="987"/>
      <c r="AR53" s="988" t="e">
        <f>VLOOKUP(E53,'Tablas Técnicas'!$A$14:$V$771,12,FALSE)</f>
        <v>#N/A</v>
      </c>
      <c r="AS53" s="988" t="e">
        <f>IF(AQ53=AR53,VLOOKUP(E53,'Tablas Técnicas'!$A$14:$V$771,13,FALSE),0)</f>
        <v>#N/A</v>
      </c>
      <c r="AT53" s="988" t="e">
        <f>VLOOKUP(E53,'Tablas Técnicas'!$A$14:$V$771,14,FALSE)</f>
        <v>#N/A</v>
      </c>
      <c r="AU53" s="988" t="e">
        <f>IF(AQ53=AT53,VLOOKUP(E53,'Tablas Técnicas'!$A$14:$V$771,15,FALSE),0)</f>
        <v>#N/A</v>
      </c>
      <c r="AV53" s="988" t="e">
        <f>VLOOKUP(E53,'Tablas Técnicas'!$A$14:$V$771,16,FALSE)</f>
        <v>#N/A</v>
      </c>
      <c r="AW53" s="988" t="e">
        <f>IF(AQ53=AV53,VLOOKUP(E53,'Tablas Técnicas'!$A$14:$V$771,17,FALSE),0)</f>
        <v>#N/A</v>
      </c>
      <c r="AX53" s="988" t="e">
        <f>VLOOKUP(E53,'Tablas Técnicas'!$A$14:$V$771,18,FALSE)</f>
        <v>#N/A</v>
      </c>
      <c r="AY53" s="988" t="e">
        <f>IF(AQ53=AX53,VLOOKUP(E53,'Tablas Técnicas'!$A$14:$V$771,19,FALSE),0)</f>
        <v>#N/A</v>
      </c>
      <c r="AZ53" s="989" t="str">
        <f>IF(E53=0,"",(AS53+AU53+AW53+AY53))</f>
        <v/>
      </c>
      <c r="BA53" s="987"/>
      <c r="BB53" s="988" t="e">
        <f>VLOOKUP(E53,'Tablas Técnicas'!$A$14:$V$771,12,FALSE)</f>
        <v>#N/A</v>
      </c>
      <c r="BC53" s="988" t="e">
        <f>IF(BA53=BB53,VLOOKUP(E53,'Tablas Técnicas'!$A$14:$V$771,13,FALSE),0)</f>
        <v>#N/A</v>
      </c>
      <c r="BD53" s="988" t="e">
        <f>VLOOKUP(E53,'Tablas Técnicas'!$A$14:$V$771,14,FALSE)</f>
        <v>#N/A</v>
      </c>
      <c r="BE53" s="988" t="e">
        <f>IF(BA53=BD53,VLOOKUP(E53,'Tablas Técnicas'!$A$14:$V$771,15,FALSE),0)</f>
        <v>#N/A</v>
      </c>
      <c r="BF53" s="988" t="e">
        <f>VLOOKUP(E53,'Tablas Técnicas'!$A$14:$V$771,16,FALSE)</f>
        <v>#N/A</v>
      </c>
      <c r="BG53" s="988" t="e">
        <f>IF(BA53=BF53,VLOOKUP(E53,'Tablas Técnicas'!$A$14:$V$771,17,FALSE),0)</f>
        <v>#N/A</v>
      </c>
      <c r="BH53" s="988" t="e">
        <f>VLOOKUP(E53,'Tablas Técnicas'!$A$14:$V$771,18,FALSE)</f>
        <v>#N/A</v>
      </c>
      <c r="BI53" s="988" t="e">
        <f>IF(BA53=BH53,VLOOKUP(E53,'Tablas Técnicas'!$A$14:$V$771,19,FALSE),0)</f>
        <v>#N/A</v>
      </c>
      <c r="BJ53" s="990" t="str">
        <f>IF(E53=0,"",(BC53+BE53+BG53+BI53))</f>
        <v/>
      </c>
      <c r="BK53" s="989" t="str">
        <f>IF(E53=0,"",VLOOKUP(E53,'Tablas Técnicas'!$A$14:$V$771,20,FALSE))</f>
        <v/>
      </c>
      <c r="BL53" s="989" t="str">
        <f>IF(E53=0,"",VLOOKUP(E53,'Tablas Técnicas'!$A$14:$V$771,21,FALSE))</f>
        <v/>
      </c>
      <c r="BM53" s="1024" t="str">
        <f>IF(E53=0,"",VLOOKUP(E53,'Tablas Técnicas'!$A$14:$V$771,22,FALSE))</f>
        <v/>
      </c>
      <c r="BN53" s="992"/>
      <c r="BO53" s="993"/>
      <c r="BP53" s="978" t="str">
        <f>IF(I53="Si",VLOOKUP($D$8,'Tablas Técnicas'!$E$4:$F$6,2,FALSE),"")</f>
        <v/>
      </c>
      <c r="BQ53" s="979" t="str">
        <f>IF(L53="Si",VLOOKUP($D$8,'Tablas Técnicas'!$I$4:$J$6,2,FALSE),"")</f>
        <v/>
      </c>
      <c r="BR53" s="977" t="str">
        <f>IF(O53="Si",VLOOKUP($D$8,'Tablas Técnicas'!$I$7:$J$9,2,FALSE),"")</f>
        <v/>
      </c>
      <c r="BS53" s="994"/>
      <c r="BT53" s="4774" t="s">
        <v>4527</v>
      </c>
      <c r="BU53" s="4775"/>
      <c r="BV53" s="971"/>
      <c r="BW53" s="951"/>
      <c r="BX53" s="951"/>
      <c r="BY53" s="1286"/>
      <c r="BZ53" s="1304"/>
      <c r="CA53" s="939"/>
      <c r="CC53" s="2940"/>
      <c r="DR53" s="939"/>
      <c r="DS53" s="1320"/>
      <c r="DT53" s="1326"/>
      <c r="DU53" s="1379"/>
      <c r="DV53" s="1376" t="str">
        <f>IF(E53="","",", "&amp;E53)&amp;IF(I53="No",""," (Mant.)")&amp;IF(L53="No",""," (Sme)")&amp;IF(O53="No",""," (SMa)")</f>
        <v/>
      </c>
      <c r="DW53" s="1377"/>
      <c r="DX53" s="1378" t="str">
        <f>IF(ISNUMBER(FIND('Tablas Técnicas'!A$678,DW71)),BL77&amp;BM77,IF(ISNUMBER(FIND('Tablas Técnicas'!A$679,DW71)),BL77&amp;" "&amp;BM77,""))</f>
        <v/>
      </c>
      <c r="DY53" s="1327"/>
      <c r="DZ53" s="939"/>
      <c r="EA53" s="1470">
        <f t="shared" si="0"/>
        <v>1</v>
      </c>
    </row>
    <row r="54" spans="1:131" x14ac:dyDescent="0.2">
      <c r="A54" s="939"/>
      <c r="B54" s="939"/>
      <c r="C54" s="4822"/>
      <c r="D54" s="1452" t="s">
        <v>1766</v>
      </c>
      <c r="E54" s="995"/>
      <c r="F54" s="1025"/>
      <c r="G54" s="1437" t="str">
        <f>IF(E54=0,"",VLOOKUP(E54,'Tablas Técnicas'!$A$14:$V$771,3,FALSE))</f>
        <v/>
      </c>
      <c r="H54" s="998" t="str">
        <f>IF($E54=0,"",VLOOKUP($E54,'Tablas Técnicas'!$A$14:$V$771,4,FALSE))</f>
        <v/>
      </c>
      <c r="I54" s="999" t="s">
        <v>1690</v>
      </c>
      <c r="J54" s="1415" t="str">
        <f>IF(E54=0,"",VLOOKUP(E54,'Tablas Técnicas'!$A$14:$V$771,5,FALSE))</f>
        <v/>
      </c>
      <c r="K54" s="1001" t="str">
        <f>IF(I54="Si",IF(E54=0,"",VLOOKUP(E54,'Tablas Técnicas'!$A$14:$V$771,5,FALSE)),"")</f>
        <v/>
      </c>
      <c r="L54" s="999" t="s">
        <v>1690</v>
      </c>
      <c r="M54" s="1415" t="str">
        <f>IF(E54=0,"",VLOOKUP(E54,'Tablas Técnicas'!$A$14:$V$771,6,FALSE))</f>
        <v/>
      </c>
      <c r="N54" s="1002" t="str">
        <f>IF(L54="Si",IF(E54=0,"",VLOOKUP(E54,'Tablas Técnicas'!$A$14:$V$771,6,FALSE)),"")</f>
        <v/>
      </c>
      <c r="O54" s="999" t="s">
        <v>1690</v>
      </c>
      <c r="P54" s="1415" t="str">
        <f>IF(E54=0,"",VLOOKUP(E54,'Tablas Técnicas'!$A$14:$V$771,7,FALSE))</f>
        <v/>
      </c>
      <c r="Q54" s="1002" t="str">
        <f>IF(O54="Si",IF(E54=0,"",VLOOKUP(E54,'Tablas Técnicas'!$A$14:$V$771,7,FALSE)),"")</f>
        <v/>
      </c>
      <c r="R54" s="1000" t="str">
        <f>IF(E54=0,"",VLOOKUP(E54,'Tablas Técnicas'!$A$14:$V$771,8,FALSE))</f>
        <v/>
      </c>
      <c r="S54" s="998" t="str">
        <f>IF(R54=$D$8,$D$8,IF(R54=2,2,IF(R54=3,3,R54)))</f>
        <v/>
      </c>
      <c r="T54" s="4796" t="s">
        <v>4542</v>
      </c>
      <c r="U54" s="4797"/>
      <c r="V54" s="4797"/>
      <c r="W54" s="4797"/>
      <c r="X54" s="4797"/>
      <c r="Y54" s="4797"/>
      <c r="Z54" s="4797"/>
      <c r="AA54" s="4797"/>
      <c r="AB54" s="4797"/>
      <c r="AC54" s="4797"/>
      <c r="AD54" s="4797"/>
      <c r="AE54" s="4797"/>
      <c r="AF54" s="4797"/>
      <c r="AG54" s="4797"/>
      <c r="AH54" s="4797"/>
      <c r="AI54" s="4797"/>
      <c r="AJ54" s="4797"/>
      <c r="AK54" s="4797"/>
      <c r="AL54" s="4797"/>
      <c r="AM54" s="4797"/>
      <c r="AN54" s="4797"/>
      <c r="AO54" s="4797"/>
      <c r="AP54" s="4797"/>
      <c r="AQ54" s="4797"/>
      <c r="AR54" s="4797"/>
      <c r="AS54" s="4797"/>
      <c r="AT54" s="4797"/>
      <c r="AU54" s="4797"/>
      <c r="AV54" s="4797"/>
      <c r="AW54" s="4797"/>
      <c r="AX54" s="4797"/>
      <c r="AY54" s="4797"/>
      <c r="AZ54" s="4797"/>
      <c r="BA54" s="4797"/>
      <c r="BB54" s="4797"/>
      <c r="BC54" s="4797"/>
      <c r="BD54" s="4797"/>
      <c r="BE54" s="4797"/>
      <c r="BF54" s="4797"/>
      <c r="BG54" s="4797"/>
      <c r="BH54" s="4797"/>
      <c r="BI54" s="4797"/>
      <c r="BJ54" s="4797"/>
      <c r="BK54" s="4798"/>
      <c r="BL54" s="1437"/>
      <c r="BM54" s="1438"/>
      <c r="BN54" s="992"/>
      <c r="BO54" s="993"/>
      <c r="BP54" s="978" t="str">
        <f>IF(I54="Si",VLOOKUP($D$8,'Tablas Técnicas'!$E$4:$F$6,2,FALSE),"")</f>
        <v/>
      </c>
      <c r="BQ54" s="979" t="str">
        <f>IF(L54="Si",VLOOKUP($D$8,'Tablas Técnicas'!$I$4:$J$6,2,FALSE),"")</f>
        <v/>
      </c>
      <c r="BR54" s="977" t="str">
        <f>IF(O54="Si",VLOOKUP($D$8,'Tablas Técnicas'!$I$7:$J$9,2,FALSE),"")</f>
        <v/>
      </c>
      <c r="BS54" s="994"/>
      <c r="BT54" s="4770" t="s">
        <v>4548</v>
      </c>
      <c r="BU54" s="4771"/>
      <c r="BV54" s="971"/>
      <c r="BW54" s="951"/>
      <c r="BX54" s="951"/>
      <c r="BY54" s="1286"/>
      <c r="BZ54" s="1304"/>
      <c r="CA54" s="939"/>
      <c r="DR54" s="939"/>
      <c r="DT54" s="1325"/>
      <c r="DU54" s="1375"/>
      <c r="DV54" s="1376" t="str">
        <f>IF(E54="",""," "&amp;E54)&amp;IF(I54="No",""," (Mant.)")&amp;IF(L54="No",""," (Sme)")&amp;IF(O54="No",""," (SMa)")</f>
        <v/>
      </c>
      <c r="DW54" s="1377"/>
      <c r="DX54" s="1378"/>
      <c r="DY54" s="1324"/>
      <c r="DZ54" s="939"/>
      <c r="EA54" s="1470">
        <f t="shared" si="0"/>
        <v>1</v>
      </c>
    </row>
    <row r="55" spans="1:131" ht="11.25" customHeight="1" x14ac:dyDescent="0.2">
      <c r="A55" s="939"/>
      <c r="B55" s="939"/>
      <c r="C55" s="4822"/>
      <c r="D55" s="1453" t="s">
        <v>1766</v>
      </c>
      <c r="E55" s="1003"/>
      <c r="F55" s="1019"/>
      <c r="G55" s="989" t="str">
        <f>IF(E55=0,"",VLOOKUP(E55,'Tablas Técnicas'!$A$14:$V$771,3,FALSE))</f>
        <v/>
      </c>
      <c r="H55" s="3033" t="str">
        <f>IF($E55=0,"",VLOOKUP($E55,'Tablas Técnicas'!$A$14:$V$771,4,FALSE))</f>
        <v/>
      </c>
      <c r="I55" s="987" t="s">
        <v>1690</v>
      </c>
      <c r="J55" s="1411" t="str">
        <f>IF(E55=0,"",VLOOKUP(E55,'Tablas Técnicas'!$A$14:$V$771,5,FALSE))</f>
        <v/>
      </c>
      <c r="K55" s="1006" t="str">
        <f>IF(I55="Si",IF(E55=0,"",VLOOKUP(E55,'Tablas Técnicas'!$A$14:$V$771,5,FALSE)),"")</f>
        <v/>
      </c>
      <c r="L55" s="987" t="s">
        <v>1690</v>
      </c>
      <c r="M55" s="1411" t="str">
        <f>IF(E55=0,"",VLOOKUP(E55,'Tablas Técnicas'!$A$14:$V$771,6,FALSE))</f>
        <v/>
      </c>
      <c r="N55" s="990" t="str">
        <f>IF(L55="Si",IF(E55=0,"",VLOOKUP(E55,'Tablas Técnicas'!$A$14:$V$771,6,FALSE)),"")</f>
        <v/>
      </c>
      <c r="O55" s="987" t="s">
        <v>1690</v>
      </c>
      <c r="P55" s="1411" t="str">
        <f>IF(E55=0,"",VLOOKUP(E55,'Tablas Técnicas'!$A$14:$V$771,7,FALSE))</f>
        <v/>
      </c>
      <c r="Q55" s="990" t="str">
        <f>IF(O55="Si",IF(E55=0,"",VLOOKUP(E55,'Tablas Técnicas'!$A$14:$V$771,7,FALSE)),"")</f>
        <v/>
      </c>
      <c r="R55" s="1005" t="str">
        <f>IF(E55=0,"",VLOOKUP(E55,'Tablas Técnicas'!$A$14:$V$771,8,FALSE))</f>
        <v/>
      </c>
      <c r="S55" s="3033" t="str">
        <f>IF(R55=$D$8,$D$8,IF(R55=2,2,IF(R55=3,3,R55)))</f>
        <v/>
      </c>
      <c r="T55" s="4809"/>
      <c r="U55" s="4810"/>
      <c r="V55" s="3029" t="str">
        <f>IF(OR(V53=0,V53=""),"N/A",V53)</f>
        <v>N/A</v>
      </c>
      <c r="W55" s="4809" t="str">
        <f xml:space="preserve"> IF(OR(AF53=0,AF53=""),"N/A",W53)</f>
        <v>N/A</v>
      </c>
      <c r="X55" s="4811"/>
      <c r="Y55" s="4811"/>
      <c r="Z55" s="4811"/>
      <c r="AA55" s="4811"/>
      <c r="AB55" s="4811"/>
      <c r="AC55" s="4811"/>
      <c r="AD55" s="4811"/>
      <c r="AE55" s="4811"/>
      <c r="AF55" s="4810"/>
      <c r="AG55" s="4809" t="str">
        <f xml:space="preserve"> IF(OR(AP53="",AP53=0),"N/A",AG53)</f>
        <v>N/A</v>
      </c>
      <c r="AH55" s="4811"/>
      <c r="AI55" s="4811"/>
      <c r="AJ55" s="4811"/>
      <c r="AK55" s="4811"/>
      <c r="AL55" s="4811"/>
      <c r="AM55" s="4811"/>
      <c r="AN55" s="4811"/>
      <c r="AO55" s="4811"/>
      <c r="AP55" s="4810"/>
      <c r="AQ55" s="4809" t="str">
        <f xml:space="preserve"> IF(OR(AZ53="",AZ53=0),"N/A",AQ53)</f>
        <v>N/A</v>
      </c>
      <c r="AR55" s="4811"/>
      <c r="AS55" s="4811"/>
      <c r="AT55" s="4811"/>
      <c r="AU55" s="4811"/>
      <c r="AV55" s="4811"/>
      <c r="AW55" s="4811"/>
      <c r="AX55" s="4811"/>
      <c r="AY55" s="4811"/>
      <c r="AZ55" s="4810"/>
      <c r="BA55" s="4809" t="str">
        <f xml:space="preserve"> IF(OR(BJ53="",BJ53=0),"N/A",BA53)</f>
        <v>N/A</v>
      </c>
      <c r="BB55" s="4811"/>
      <c r="BC55" s="4811"/>
      <c r="BD55" s="4811"/>
      <c r="BE55" s="4811"/>
      <c r="BF55" s="4811"/>
      <c r="BG55" s="4811"/>
      <c r="BH55" s="4811"/>
      <c r="BI55" s="4811"/>
      <c r="BJ55" s="4810"/>
      <c r="BK55" s="1007" t="s">
        <v>4543</v>
      </c>
      <c r="BL55" s="989"/>
      <c r="BM55" s="1024"/>
      <c r="BN55" s="992"/>
      <c r="BO55" s="1009"/>
      <c r="BP55" s="978" t="str">
        <f>IF(I55="Si",VLOOKUP($D$8,'Tablas Técnicas'!$E$4:$F$6,2,FALSE),"")</f>
        <v/>
      </c>
      <c r="BQ55" s="979" t="str">
        <f>IF(L55="Si",VLOOKUP($D$8,'Tablas Técnicas'!$I$4:$J$6,2,FALSE),"")</f>
        <v/>
      </c>
      <c r="BR55" s="977" t="str">
        <f>IF(O55="Si",VLOOKUP($D$8,'Tablas Técnicas'!$I$7:$J$9,2,FALSE),"")</f>
        <v/>
      </c>
      <c r="BS55" s="994"/>
      <c r="BT55" s="4774" t="s">
        <v>4521</v>
      </c>
      <c r="BU55" s="4775"/>
      <c r="BV55" s="971"/>
      <c r="BW55" s="951"/>
      <c r="BX55" s="951"/>
      <c r="BY55" s="1286"/>
      <c r="BZ55" s="1304"/>
      <c r="CA55" s="939"/>
      <c r="DR55" s="939"/>
      <c r="DT55" s="1325"/>
      <c r="DU55" s="1379"/>
      <c r="DV55" s="1376" t="str">
        <f>IF(E55="","",E55)&amp;IF(I55="No",""," (Mant.)")&amp;IF(L55="No",""," (Sme)")&amp;IF(O55="No",""," (SMa)")</f>
        <v/>
      </c>
      <c r="DW55" s="1377"/>
      <c r="DX55" s="1378"/>
      <c r="DY55" s="1324"/>
      <c r="DZ55" s="939"/>
      <c r="EA55" s="1470">
        <f t="shared" si="0"/>
        <v>1</v>
      </c>
    </row>
    <row r="56" spans="1:131" ht="11.25" customHeight="1" x14ac:dyDescent="0.2">
      <c r="A56" s="939"/>
      <c r="B56" s="939"/>
      <c r="C56" s="4822"/>
      <c r="D56" s="1452" t="s">
        <v>1766</v>
      </c>
      <c r="E56" s="995"/>
      <c r="F56" s="1025"/>
      <c r="G56" s="1437" t="str">
        <f>IF(E56=0,"",VLOOKUP(E56,'Tablas Técnicas'!$A$14:$V$771,3,FALSE))</f>
        <v/>
      </c>
      <c r="H56" s="998" t="str">
        <f>IF($E56=0,"",VLOOKUP($E56,'Tablas Técnicas'!$A$14:$V$771,4,FALSE))</f>
        <v/>
      </c>
      <c r="I56" s="999" t="s">
        <v>1690</v>
      </c>
      <c r="J56" s="1415" t="str">
        <f>IF(E56=0,"",VLOOKUP(E56,'Tablas Técnicas'!$A$14:$V$771,5,FALSE))</f>
        <v/>
      </c>
      <c r="K56" s="1001" t="str">
        <f>IF(I56="Si",IF(E56=0,"",VLOOKUP(E56,'Tablas Técnicas'!$A$14:$V$771,5,FALSE)),"")</f>
        <v/>
      </c>
      <c r="L56" s="999" t="s">
        <v>1690</v>
      </c>
      <c r="M56" s="1415" t="str">
        <f>IF(E56=0,"",VLOOKUP(E56,'Tablas Técnicas'!$A$14:$V$771,6,FALSE))</f>
        <v/>
      </c>
      <c r="N56" s="1002" t="str">
        <f>IF(L56="Si",IF(E56=0,"",VLOOKUP(E56,'Tablas Técnicas'!$A$14:$V$771,6,FALSE)),"")</f>
        <v/>
      </c>
      <c r="O56" s="999" t="s">
        <v>1690</v>
      </c>
      <c r="P56" s="1415" t="str">
        <f>IF(E56=0,"",VLOOKUP(E56,'Tablas Técnicas'!$A$14:$V$771,7,FALSE))</f>
        <v/>
      </c>
      <c r="Q56" s="1002" t="str">
        <f>IF(O56="Si",IF(E56=0,"",VLOOKUP(E56,'Tablas Técnicas'!$A$14:$V$771,7,FALSE)),"")</f>
        <v/>
      </c>
      <c r="R56" s="1000" t="str">
        <f>IF(E56=0,"",VLOOKUP(E56,'Tablas Técnicas'!$A$14:$V$771,8,FALSE))</f>
        <v/>
      </c>
      <c r="S56" s="998" t="str">
        <f>IF(R56=$D$8,$D$8,IF(R56=2,2,IF(R56=3,3,R56)))</f>
        <v/>
      </c>
      <c r="T56" s="4812" t="s">
        <v>4544</v>
      </c>
      <c r="U56" s="4813"/>
      <c r="V56" s="3025"/>
      <c r="W56" s="4814"/>
      <c r="X56" s="4815"/>
      <c r="Y56" s="4815"/>
      <c r="Z56" s="4815"/>
      <c r="AA56" s="4815"/>
      <c r="AB56" s="4815"/>
      <c r="AC56" s="4815"/>
      <c r="AD56" s="4815"/>
      <c r="AE56" s="4815"/>
      <c r="AF56" s="4816"/>
      <c r="AG56" s="4814"/>
      <c r="AH56" s="4815"/>
      <c r="AI56" s="4815"/>
      <c r="AJ56" s="4815"/>
      <c r="AK56" s="4815"/>
      <c r="AL56" s="4815"/>
      <c r="AM56" s="4815"/>
      <c r="AN56" s="4815"/>
      <c r="AO56" s="4815"/>
      <c r="AP56" s="4816"/>
      <c r="AQ56" s="4814"/>
      <c r="AR56" s="4815"/>
      <c r="AS56" s="4815"/>
      <c r="AT56" s="4815"/>
      <c r="AU56" s="4815"/>
      <c r="AV56" s="4815"/>
      <c r="AW56" s="4815"/>
      <c r="AX56" s="4815"/>
      <c r="AY56" s="4815"/>
      <c r="AZ56" s="4816"/>
      <c r="BA56" s="4814"/>
      <c r="BB56" s="4815"/>
      <c r="BC56" s="4815"/>
      <c r="BD56" s="4815"/>
      <c r="BE56" s="4815"/>
      <c r="BF56" s="4815"/>
      <c r="BG56" s="4815"/>
      <c r="BH56" s="4815"/>
      <c r="BI56" s="4815"/>
      <c r="BJ56" s="4816"/>
      <c r="BK56" s="998">
        <f>(SUM(G53:G57)+IF(AF53="",0,AF53)+IF(AP53="",0,AP53)+IF(AZ53="",0,AZ53)+IF(BJ53="",0,BJ53)+SUM(K53:K57)+SUM(N53:N57)+SUM(Q53:Q57))- SUM(V56:BA56)</f>
        <v>0</v>
      </c>
      <c r="BL56" s="1437"/>
      <c r="BM56" s="1438"/>
      <c r="BN56" s="992"/>
      <c r="BO56" s="993"/>
      <c r="BP56" s="978" t="str">
        <f>IF(I56="Si",VLOOKUP($D$8,'Tablas Técnicas'!$E$4:$F$6,2,FALSE),"")</f>
        <v/>
      </c>
      <c r="BQ56" s="979" t="str">
        <f>IF(L56="Si",VLOOKUP($D$8,'Tablas Técnicas'!$I$4:$J$6,2,FALSE),"")</f>
        <v/>
      </c>
      <c r="BR56" s="977" t="str">
        <f>IF(O56="Si",VLOOKUP($D$8,'Tablas Técnicas'!$I$7:$J$9,2,FALSE),"")</f>
        <v/>
      </c>
      <c r="BS56" s="994"/>
      <c r="BT56" s="4766" t="s">
        <v>4549</v>
      </c>
      <c r="BU56" s="4767"/>
      <c r="BV56" s="971"/>
      <c r="BW56" s="951"/>
      <c r="BX56" s="951"/>
      <c r="BY56" s="1286"/>
      <c r="BZ56" s="1304"/>
      <c r="CA56" s="939"/>
      <c r="DR56" s="939"/>
      <c r="DT56" s="1325"/>
      <c r="DU56" s="1375"/>
      <c r="DV56" s="1376" t="str">
        <f>IF(E56="","",E56)&amp;IF(I56="No",""," (Mant.)")&amp;IF(L56="No",""," (Sme)")&amp;IF(O56="No",""," (SMa)")</f>
        <v/>
      </c>
      <c r="DW56" s="1377"/>
      <c r="DX56" s="1378"/>
      <c r="DY56" s="1324"/>
      <c r="DZ56" s="939"/>
      <c r="EA56" s="1470">
        <f t="shared" si="0"/>
        <v>1</v>
      </c>
    </row>
    <row r="57" spans="1:131" x14ac:dyDescent="0.2">
      <c r="A57" s="939"/>
      <c r="B57" s="939"/>
      <c r="C57" s="4822"/>
      <c r="D57" s="1453" t="s">
        <v>1766</v>
      </c>
      <c r="E57" s="1003"/>
      <c r="F57" s="1019"/>
      <c r="G57" s="989" t="str">
        <f>IF(E57=0,"",VLOOKUP(E57,'Tablas Técnicas'!$A$14:$V$771,3,FALSE))</f>
        <v/>
      </c>
      <c r="H57" s="1004" t="str">
        <f>IF($E57=0,"",VLOOKUP($E57,'Tablas Técnicas'!$A$14:$V$771,4,FALSE))</f>
        <v/>
      </c>
      <c r="I57" s="987" t="s">
        <v>1690</v>
      </c>
      <c r="J57" s="1411" t="str">
        <f>IF(E57=0,"",VLOOKUP(E57,'Tablas Técnicas'!$A$14:$V$771,5,FALSE))</f>
        <v/>
      </c>
      <c r="K57" s="1006" t="str">
        <f>IF(I57="Si",IF(E57=0,"",VLOOKUP(E57,'Tablas Técnicas'!$A$14:$V$771,5,FALSE)),"")</f>
        <v/>
      </c>
      <c r="L57" s="987" t="s">
        <v>1690</v>
      </c>
      <c r="M57" s="1411" t="str">
        <f>IF(E57=0,"",VLOOKUP(E57,'Tablas Técnicas'!$A$14:$V$771,6,FALSE))</f>
        <v/>
      </c>
      <c r="N57" s="990" t="str">
        <f>IF(L57="Si",IF(E57=0,"",VLOOKUP(E57,'Tablas Técnicas'!$A$14:$V$771,6,FALSE)),"")</f>
        <v/>
      </c>
      <c r="O57" s="987" t="s">
        <v>1690</v>
      </c>
      <c r="P57" s="1411" t="str">
        <f>IF(E57=0,"",VLOOKUP(E57,'Tablas Técnicas'!$A$14:$V$771,7,FALSE))</f>
        <v/>
      </c>
      <c r="Q57" s="990" t="str">
        <f>IF(O57="Si",IF(E57=0,"",VLOOKUP(E57,'Tablas Técnicas'!$A$14:$V$771,7,FALSE)),"")</f>
        <v/>
      </c>
      <c r="R57" s="1005" t="str">
        <f>IF(E57=0,"",VLOOKUP(E57,'Tablas Técnicas'!$A$14:$V$771,8,FALSE))</f>
        <v/>
      </c>
      <c r="S57" s="1004" t="str">
        <f>IF(R57=$D$8,$D$8,IF(R57=2,2,IF(R57=3,3,R57)))</f>
        <v/>
      </c>
      <c r="T57" s="4803" t="s">
        <v>4546</v>
      </c>
      <c r="U57" s="4804"/>
      <c r="V57" s="3032"/>
      <c r="W57" s="4805"/>
      <c r="X57" s="4806"/>
      <c r="Y57" s="4806"/>
      <c r="Z57" s="4806"/>
      <c r="AA57" s="4806"/>
      <c r="AB57" s="4806"/>
      <c r="AC57" s="4806"/>
      <c r="AD57" s="4806"/>
      <c r="AE57" s="4806"/>
      <c r="AF57" s="4807"/>
      <c r="AG57" s="4805"/>
      <c r="AH57" s="4806"/>
      <c r="AI57" s="4806"/>
      <c r="AJ57" s="4806"/>
      <c r="AK57" s="4806"/>
      <c r="AL57" s="4806"/>
      <c r="AM57" s="4806"/>
      <c r="AN57" s="4806"/>
      <c r="AO57" s="4806"/>
      <c r="AP57" s="4807"/>
      <c r="AQ57" s="4805"/>
      <c r="AR57" s="4806"/>
      <c r="AS57" s="4806"/>
      <c r="AT57" s="4806"/>
      <c r="AU57" s="4806"/>
      <c r="AV57" s="4806"/>
      <c r="AW57" s="4806"/>
      <c r="AX57" s="4806"/>
      <c r="AY57" s="4806"/>
      <c r="AZ57" s="4807"/>
      <c r="BA57" s="4805"/>
      <c r="BB57" s="4806"/>
      <c r="BC57" s="4806"/>
      <c r="BD57" s="4806"/>
      <c r="BE57" s="4806"/>
      <c r="BF57" s="4806"/>
      <c r="BG57" s="4806"/>
      <c r="BH57" s="4806"/>
      <c r="BI57" s="4806"/>
      <c r="BJ57" s="4807"/>
      <c r="BK57" s="1014">
        <f>SUM(K53:K57)-SUM(V57:BA57)</f>
        <v>0</v>
      </c>
      <c r="BL57" s="1439"/>
      <c r="BM57" s="1440"/>
      <c r="BN57" s="992"/>
      <c r="BO57" s="1009"/>
      <c r="BP57" s="978" t="str">
        <f>IF(I57="Si",VLOOKUP($D$8,'Tablas Técnicas'!$E$4:$F$6,2,FALSE),"")</f>
        <v/>
      </c>
      <c r="BQ57" s="979" t="str">
        <f>IF(L57="Si",VLOOKUP($D$8,'Tablas Técnicas'!$I$4:$J$6,2,FALSE),"")</f>
        <v/>
      </c>
      <c r="BR57" s="977" t="str">
        <f>IF(O57="Si",VLOOKUP($D$8,'Tablas Técnicas'!$I$7:$J$9,2,FALSE),"")</f>
        <v/>
      </c>
      <c r="BS57" s="994"/>
      <c r="BT57" s="2354">
        <f>IF(BT51="No",0,IF(D45=0,0,VLOOKUP(D45,'Tablas Técnicas'!$L$4:$N$7,2,FALSE)))+IF(BT53="Bajar coste de CM",0,IF(BT53="-5 CM",2,IF(BT53="-10 CM",4,IF(BT53="-15 CM",6,IF(BT53="-20 CM",8,0)))))+IF(BT55="Bajar coste de Ki",0,IF(BT55="-1 Ki",-1,IF(BT55="-2 Ki",-2,IF(BT55="-3 Ki",-3,IF(BT55="-4 Ki",-4,IF(BT55="-5 Ki",-5,0))))))-BU60-BU62-BU64-BU66-BU68-BU70</f>
        <v>0</v>
      </c>
      <c r="BU57" s="2355">
        <f>IF(BT51="No",0,IF(D45=0,0,VLOOKUP(D45,'Tablas Técnicas'!$L$4:$N$7,2,FALSE)))+IF(BT53="Bajar coste de CM",0,IF(BT53="-5 CM",2,IF(BT53="-10 CM",4,IF(BT53="-15 CM",6,IF(BT53="-20 CM",8,0)))))+IF(BT55="Bajar coste de Ki",0,IF(BT55="-1 Ki",-1,IF(BT55="-2 Ki",-2,IF(BT55="-3 Ki",-3,IF(BT55="-4 Ki",-4,IF(BT55="-5 Ki",-5,0))))))</f>
        <v>0</v>
      </c>
      <c r="BV57" s="971"/>
      <c r="BW57" s="951"/>
      <c r="BX57" s="951"/>
      <c r="BY57" s="1286"/>
      <c r="BZ57" s="4808"/>
      <c r="CA57" s="939"/>
      <c r="DR57" s="939"/>
      <c r="DT57" s="1325"/>
      <c r="DU57" s="1379"/>
      <c r="DV57" s="1376" t="str">
        <f>IF(E57="","",E57)&amp;IF(I57="No",""," (Mant.)")&amp;IF(L57="No",""," (Sme)")&amp;IF(O57="No",""," (SMa)")</f>
        <v/>
      </c>
      <c r="DW57" s="1377"/>
      <c r="DX57" s="1378"/>
      <c r="DY57" s="1324"/>
      <c r="DZ57" s="939"/>
      <c r="EA57" s="1470">
        <f t="shared" si="0"/>
        <v>1</v>
      </c>
    </row>
    <row r="58" spans="1:131" x14ac:dyDescent="0.2">
      <c r="A58" s="939"/>
      <c r="B58" s="1403"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822"/>
      <c r="D58" s="1454">
        <v>3</v>
      </c>
      <c r="E58" s="1246"/>
      <c r="F58" s="1016"/>
      <c r="G58" s="1017"/>
      <c r="H58" s="2159">
        <f t="array" ref="H58">IF(AND(OR(ISNUMBER(SEARCH("Empatía Elemental ("&amp;BK53:BM53&amp;")",Principal!$AF$30))),SUM(H53:H57)&gt;=10),-5,0)</f>
        <v>0</v>
      </c>
      <c r="I58" s="1413"/>
      <c r="J58" s="1416"/>
      <c r="K58" s="1017"/>
      <c r="L58" s="1413"/>
      <c r="M58" s="1416"/>
      <c r="N58" s="1017"/>
      <c r="O58" s="1413"/>
      <c r="P58" s="1416"/>
      <c r="Q58" s="1017"/>
      <c r="R58" s="1018"/>
      <c r="S58" s="1017"/>
      <c r="T58" s="1017"/>
      <c r="U58" s="1017"/>
      <c r="V58" s="1017"/>
      <c r="W58" s="1017"/>
      <c r="X58" s="1017"/>
      <c r="Y58" s="1017"/>
      <c r="Z58" s="1017"/>
      <c r="AA58" s="1017"/>
      <c r="AB58" s="1017"/>
      <c r="AC58" s="1017"/>
      <c r="AD58" s="1017"/>
      <c r="AE58" s="1017"/>
      <c r="AF58" s="1017"/>
      <c r="AG58" s="1017"/>
      <c r="AH58" s="1017"/>
      <c r="AI58" s="1017"/>
      <c r="AJ58" s="1017"/>
      <c r="AK58" s="1017"/>
      <c r="AL58" s="1017"/>
      <c r="AM58" s="1017"/>
      <c r="AN58" s="1017"/>
      <c r="AO58" s="1017"/>
      <c r="AP58" s="1017"/>
      <c r="AQ58" s="1017"/>
      <c r="AR58" s="1017"/>
      <c r="AS58" s="1017"/>
      <c r="AT58" s="1017"/>
      <c r="AU58" s="1017"/>
      <c r="AV58" s="1017"/>
      <c r="AW58" s="1017"/>
      <c r="AX58" s="1017"/>
      <c r="AY58" s="1017"/>
      <c r="AZ58" s="1017"/>
      <c r="BA58" s="1017"/>
      <c r="BB58" s="1017"/>
      <c r="BC58" s="1017"/>
      <c r="BD58" s="1017"/>
      <c r="BE58" s="1017"/>
      <c r="BF58" s="1017"/>
      <c r="BG58" s="1017"/>
      <c r="BH58" s="1017"/>
      <c r="BI58" s="1017"/>
      <c r="BJ58" s="1017"/>
      <c r="BK58" s="1017"/>
      <c r="BL58" s="1017"/>
      <c r="BM58" s="1027"/>
      <c r="BN58" s="1028">
        <f>SUM(K58:K61)</f>
        <v>0</v>
      </c>
      <c r="BO58" s="971" t="str">
        <f>IF(E58=0,"",(AF58+AP58+AZ58+BJ58))</f>
        <v/>
      </c>
      <c r="BP58" s="1029" t="str">
        <f>IF(I58="Si",VLOOKUP($D$8,'Tablas Técnicas'!$E$4:$F$6,2,FALSE),"")</f>
        <v/>
      </c>
      <c r="BQ58" s="1030" t="str">
        <f>IF(L58="Si",VLOOKUP($D$8,'Tablas Técnicas'!$I$4:$J$6,2,FALSE),"")</f>
        <v/>
      </c>
      <c r="BR58" s="1028" t="str">
        <f>IF(O58="Si",VLOOKUP($D$8,'Tablas Técnicas'!$I$7:$J$9,2,FALSE),"")</f>
        <v/>
      </c>
      <c r="BS58" s="994"/>
      <c r="BU58" s="3026"/>
      <c r="BV58" s="971"/>
      <c r="BW58" s="951"/>
      <c r="BX58" s="951"/>
      <c r="BY58" s="1286"/>
      <c r="BZ58" s="4808"/>
      <c r="CA58" s="939"/>
      <c r="DR58" s="939"/>
      <c r="DT58" s="1325"/>
      <c r="DU58" s="1379"/>
      <c r="DV58" s="1380"/>
      <c r="DW58" s="1377"/>
      <c r="DX58" s="1378"/>
      <c r="DY58" s="1324"/>
      <c r="DZ58" s="939"/>
      <c r="EA58" s="1470">
        <f t="shared" si="0"/>
        <v>1</v>
      </c>
    </row>
    <row r="59" spans="1:131" x14ac:dyDescent="0.2">
      <c r="A59" s="939"/>
      <c r="B59" s="939"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822"/>
      <c r="D59" s="1453" t="s">
        <v>1766</v>
      </c>
      <c r="E59" s="983"/>
      <c r="F59" s="1019"/>
      <c r="G59" s="989" t="str">
        <f>IF(E59=0,"",VLOOKUP(E59,'Tablas Técnicas'!$A$14:$V$771,3,FALSE))</f>
        <v/>
      </c>
      <c r="H59" s="1031" t="str">
        <f>IF($E59=0,"",VLOOKUP($E59,'Tablas Técnicas'!$A$14:$V$771,4,FALSE))</f>
        <v/>
      </c>
      <c r="I59" s="987" t="s">
        <v>1690</v>
      </c>
      <c r="J59" s="1417" t="str">
        <f>IF(E59=0,"",VLOOKUP(E59,'Tablas Técnicas'!$A$14:$V$771,5,FALSE))</f>
        <v/>
      </c>
      <c r="K59" s="1033" t="str">
        <f>IF(I59="Si",IF(E59=0,"",VLOOKUP(E59,'Tablas Técnicas'!$A$14:$V$771,5,FALSE)),"")</f>
        <v/>
      </c>
      <c r="L59" s="987" t="s">
        <v>1690</v>
      </c>
      <c r="M59" s="1417" t="str">
        <f>IF(E59=0,"",VLOOKUP(E59,'Tablas Técnicas'!$A$14:$V$771,6,FALSE))</f>
        <v/>
      </c>
      <c r="N59" s="990" t="str">
        <f>IF(L59="Si",IF(E59=0,"",VLOOKUP(E59,'Tablas Técnicas'!$A$14:$V$771,6,FALSE)),"")</f>
        <v/>
      </c>
      <c r="O59" s="987" t="s">
        <v>1690</v>
      </c>
      <c r="P59" s="1417" t="str">
        <f>IF(E59=0,"",VLOOKUP(E59,'Tablas Técnicas'!$A$14:$V$771,7,FALSE))</f>
        <v/>
      </c>
      <c r="Q59" s="990" t="str">
        <f>IF(O59="Si",IF(E59=0,"",VLOOKUP(E59,'Tablas Técnicas'!$A$14:$V$771,7,FALSE)),"")</f>
        <v/>
      </c>
      <c r="R59" s="1032" t="str">
        <f>IF(E59=0,"",VLOOKUP(E59,'Tablas Técnicas'!$A$14:$V$771,8,FALSE))</f>
        <v/>
      </c>
      <c r="S59" s="1004" t="str">
        <f>IF(R59=$D$8,$D$8,IF(R59=2,2,IF(R59=3,3,R59)))</f>
        <v/>
      </c>
      <c r="T59" s="1033" t="str">
        <f>IF(E59=0,"",VLOOKUP(E59,'Tablas Técnicas'!$A$14:$V$771,9,FALSE))</f>
        <v/>
      </c>
      <c r="U59" s="1033" t="str">
        <f>IF(E59=0,"",VLOOKUP(E59,'Tablas Técnicas'!$A$14:$V$771,10,FALSE))</f>
        <v/>
      </c>
      <c r="V59" s="1034" t="str">
        <f>IF(E59=0,"",VLOOKUP(E59,'Tablas Técnicas'!$A$14:$V$771,11,FALSE))</f>
        <v/>
      </c>
      <c r="W59" s="987"/>
      <c r="X59" s="988" t="e">
        <f>VLOOKUP(E59,'Tablas Técnicas'!$A$14:$V$771,12,FALSE)</f>
        <v>#N/A</v>
      </c>
      <c r="Y59" s="988" t="e">
        <f>IF(W59=X59,VLOOKUP(E59,'Tablas Técnicas'!$A$14:$V$771,13,FALSE),0)</f>
        <v>#N/A</v>
      </c>
      <c r="Z59" s="988" t="e">
        <f>VLOOKUP(E59,'Tablas Técnicas'!$A$14:$V$771,14,FALSE)</f>
        <v>#N/A</v>
      </c>
      <c r="AA59" s="988" t="e">
        <f>IF(W59=Z59,VLOOKUP(E59,'Tablas Técnicas'!$A$14:$V$616,15,FALSE),0)</f>
        <v>#N/A</v>
      </c>
      <c r="AB59" s="988" t="e">
        <f>VLOOKUP(E59,'Tablas Técnicas'!$A$14:$V$771,16,FALSE)</f>
        <v>#N/A</v>
      </c>
      <c r="AC59" s="988" t="e">
        <f>IF(W59=AB59,VLOOKUP(E59,'Tablas Técnicas'!$A$14:$V$616,17,FALSE),0)</f>
        <v>#N/A</v>
      </c>
      <c r="AD59" s="988" t="e">
        <f>VLOOKUP(E59,'Tablas Técnicas'!$A$14:$V$771,18,FALSE)</f>
        <v>#N/A</v>
      </c>
      <c r="AE59" s="988" t="e">
        <f>IF(W59=AD59,VLOOKUP(E59,'Tablas Técnicas'!$A$14:$V$771,19,FALSE),0)</f>
        <v>#N/A</v>
      </c>
      <c r="AF59" s="1006" t="str">
        <f>IF(E59=0,"",(Y59+AA59+AC59+AE59))</f>
        <v/>
      </c>
      <c r="AG59" s="987"/>
      <c r="AH59" s="1005" t="e">
        <f>VLOOKUP(E59,'Tablas Técnicas'!$A$14:$V$771,12,FALSE)</f>
        <v>#N/A</v>
      </c>
      <c r="AI59" s="1005" t="e">
        <f>IF(AG59=AH59,VLOOKUP(E59,'Tablas Técnicas'!$A$14:$V$771,13,FALSE),0)</f>
        <v>#N/A</v>
      </c>
      <c r="AJ59" s="1005" t="e">
        <f>VLOOKUP(E59,'Tablas Técnicas'!$A$14:$V$771,14,FALSE)</f>
        <v>#N/A</v>
      </c>
      <c r="AK59" s="1005" t="e">
        <f>IF(AG59=AJ59,VLOOKUP(E59,'Tablas Técnicas'!$A$14:$V$771,15,FALSE),0)</f>
        <v>#N/A</v>
      </c>
      <c r="AL59" s="1005" t="e">
        <f>VLOOKUP(E59,'Tablas Técnicas'!$A$14:$V$771,16,FALSE)</f>
        <v>#N/A</v>
      </c>
      <c r="AM59" s="1005" t="e">
        <f>IF(AG59=AL59,VLOOKUP(E59,'Tablas Técnicas'!$A$14:$V$771,17,FALSE),0)</f>
        <v>#N/A</v>
      </c>
      <c r="AN59" s="1005" t="e">
        <f>VLOOKUP(E59,'Tablas Técnicas'!$A$14:$V$771,18,FALSE)</f>
        <v>#N/A</v>
      </c>
      <c r="AO59" s="1005" t="e">
        <f>IF(AG59=AN59,VLOOKUP(E59,'Tablas Técnicas'!$A$14:$V$771,19,FALSE),0)</f>
        <v>#N/A</v>
      </c>
      <c r="AP59" s="3034" t="str">
        <f>IF(E59=0,"",(AI59+AK59+AM59+AO59))</f>
        <v/>
      </c>
      <c r="AQ59" s="987"/>
      <c r="AR59" s="1005" t="e">
        <f>VLOOKUP(E59,'Tablas Técnicas'!$A$14:$V$771,12,FALSE)</f>
        <v>#N/A</v>
      </c>
      <c r="AS59" s="1005" t="e">
        <f>IF(AQ59=AR59,VLOOKUP(E59,'Tablas Técnicas'!$A$14:$V$771,13,FALSE),0)</f>
        <v>#N/A</v>
      </c>
      <c r="AT59" s="1005" t="e">
        <f>VLOOKUP(E59,'Tablas Técnicas'!$A$14:$V$771,14,FALSE)</f>
        <v>#N/A</v>
      </c>
      <c r="AU59" s="1005" t="e">
        <f>IF(AQ59=AT59,VLOOKUP(E59,'Tablas Técnicas'!$A$14:$V$771,15,FALSE),0)</f>
        <v>#N/A</v>
      </c>
      <c r="AV59" s="1005" t="e">
        <f>VLOOKUP(E59,'Tablas Técnicas'!$A$14:$V$771,16,FALSE)</f>
        <v>#N/A</v>
      </c>
      <c r="AW59" s="1005" t="e">
        <f>IF(AQ59=AV59,VLOOKUP(E59,'Tablas Técnicas'!$A$14:$V$771,17,FALSE),0)</f>
        <v>#N/A</v>
      </c>
      <c r="AX59" s="1005" t="e">
        <f>VLOOKUP(E59,'Tablas Técnicas'!$A$14:$V$771,18,FALSE)</f>
        <v>#N/A</v>
      </c>
      <c r="AY59" s="1005" t="e">
        <f>IF(AQ59=AX59,VLOOKUP(E59,'Tablas Técnicas'!$A$14:$V$771,19,FALSE),0)</f>
        <v>#N/A</v>
      </c>
      <c r="AZ59" s="1006" t="str">
        <f>IF(E59=0,"",(AS59+AU59+AW59+AY59))</f>
        <v/>
      </c>
      <c r="BA59" s="987"/>
      <c r="BB59" s="1005" t="e">
        <f>VLOOKUP(E59,'Tablas Técnicas'!$A$14:$V$771,12,FALSE)</f>
        <v>#N/A</v>
      </c>
      <c r="BC59" s="1005" t="e">
        <f>IF(BA59=BB59,VLOOKUP(E59,'Tablas Técnicas'!$A$14:$V$771,13,FALSE),0)</f>
        <v>#N/A</v>
      </c>
      <c r="BD59" s="1005" t="e">
        <f>VLOOKUP(E59,'Tablas Técnicas'!$A$14:$V$771,14,FALSE)</f>
        <v>#N/A</v>
      </c>
      <c r="BE59" s="1005" t="e">
        <f>IF(BA59=BD59,VLOOKUP(E59,'Tablas Técnicas'!$A$14:$V$771,15,FALSE),0)</f>
        <v>#N/A</v>
      </c>
      <c r="BF59" s="1005" t="e">
        <f>VLOOKUP(E59,'Tablas Técnicas'!$A$14:$V$771,16,FALSE)</f>
        <v>#N/A</v>
      </c>
      <c r="BG59" s="1005" t="e">
        <f>IF(BA59=BF59,VLOOKUP(E59,'Tablas Técnicas'!$A$14:$V$771,17,FALSE),0)</f>
        <v>#N/A</v>
      </c>
      <c r="BH59" s="1005" t="e">
        <f>VLOOKUP(E59,'Tablas Técnicas'!$A$14:$V$771,18,FALSE)</f>
        <v>#N/A</v>
      </c>
      <c r="BI59" s="1005" t="e">
        <f>IF(BA59=BH59,VLOOKUP(E59,'Tablas Técnicas'!$A$14:$V$771,19,FALSE),0)</f>
        <v>#N/A</v>
      </c>
      <c r="BJ59" s="3034" t="str">
        <f>IF(E59=0,"",(BC59+BE59+BG59+BI59))</f>
        <v/>
      </c>
      <c r="BK59" s="1033" t="str">
        <f>IF(E59=0,"",VLOOKUP(E59,'Tablas Técnicas'!$A$14:$V$771,20,FALSE))</f>
        <v/>
      </c>
      <c r="BL59" s="1020" t="str">
        <f>IF(E59=0,"",VLOOKUP(E59,'Tablas Técnicas'!$A$14:$V$771,21,FALSE))</f>
        <v/>
      </c>
      <c r="BM59" s="991" t="str">
        <f>IF(E59=0,"",VLOOKUP(E59,'Tablas Técnicas'!$A$14:$V$771,22,FALSE))</f>
        <v/>
      </c>
      <c r="BN59" s="992"/>
      <c r="BO59" s="993"/>
      <c r="BP59" s="978" t="str">
        <f>IF(I59="Si",VLOOKUP($D$8,'Tablas Técnicas'!$E$4:$F$6,2,FALSE),"")</f>
        <v/>
      </c>
      <c r="BQ59" s="979" t="str">
        <f>IF(L59="Si",VLOOKUP($D$8,'Tablas Técnicas'!$I$4:$J$6,2,FALSE),"")</f>
        <v/>
      </c>
      <c r="BR59" s="977" t="str">
        <f>IF(O59="Si",VLOOKUP($D$8,'Tablas Técnicas'!$I$7:$J$9,2,FALSE),"")</f>
        <v/>
      </c>
      <c r="BS59" s="994"/>
      <c r="BT59" s="3023" t="s">
        <v>1682</v>
      </c>
      <c r="BU59" s="3024" t="s">
        <v>4550</v>
      </c>
      <c r="BV59" s="971"/>
      <c r="BW59" s="3024" t="s">
        <v>4551</v>
      </c>
      <c r="BX59" s="3023" t="s">
        <v>4552</v>
      </c>
      <c r="BY59" s="1300" t="s">
        <v>4552</v>
      </c>
      <c r="BZ59" s="4808"/>
      <c r="CA59" s="939"/>
      <c r="DR59" s="939"/>
      <c r="DT59" s="1325"/>
      <c r="DU59" s="1379"/>
      <c r="DV59" s="1376" t="str">
        <f>IF(E59="","",", "&amp;E59)&amp;IF(I59="No",""," (Mant.)")&amp;IF(L59="No",""," (Sme)")&amp;IF(O59="No",""," (SMa)")</f>
        <v/>
      </c>
      <c r="DW59" s="1377"/>
      <c r="DX59" s="1378"/>
      <c r="DY59" s="1324"/>
      <c r="DZ59" s="939"/>
      <c r="EA59" s="1470">
        <f t="shared" si="0"/>
        <v>1</v>
      </c>
    </row>
    <row r="60" spans="1:131" x14ac:dyDescent="0.2">
      <c r="A60" s="939"/>
      <c r="B60" s="939"/>
      <c r="C60" s="4822"/>
      <c r="D60" s="1452" t="s">
        <v>1766</v>
      </c>
      <c r="E60" s="995"/>
      <c r="F60" s="1025"/>
      <c r="G60" s="1437" t="str">
        <f>IF(E60=0,"",VLOOKUP(E60,'Tablas Técnicas'!$A$14:$V$771,3,FALSE))</f>
        <v/>
      </c>
      <c r="H60" s="998" t="str">
        <f>IF($E60=0,"",VLOOKUP($E60,'Tablas Técnicas'!$A$14:$V$771,4,FALSE))</f>
        <v/>
      </c>
      <c r="I60" s="999" t="s">
        <v>1690</v>
      </c>
      <c r="J60" s="1415" t="str">
        <f>IF(E60=0,"",VLOOKUP(E60,'Tablas Técnicas'!$A$14:$V$771,5,FALSE))</f>
        <v/>
      </c>
      <c r="K60" s="1001" t="str">
        <f>IF(I60="Si",IF(E60=0,"",VLOOKUP(E60,'Tablas Técnicas'!$A$14:$V$771,5,FALSE)),"")</f>
        <v/>
      </c>
      <c r="L60" s="999" t="s">
        <v>1690</v>
      </c>
      <c r="M60" s="1415" t="str">
        <f>IF(E60=0,"",VLOOKUP(E60,'Tablas Técnicas'!$A$14:$V$771,6,FALSE))</f>
        <v/>
      </c>
      <c r="N60" s="1002" t="str">
        <f>IF(L60="Si",IF(E60=0,"",VLOOKUP(E60,'Tablas Técnicas'!$A$14:$V$771,6,FALSE)),"")</f>
        <v/>
      </c>
      <c r="O60" s="999" t="s">
        <v>1690</v>
      </c>
      <c r="P60" s="1415" t="str">
        <f>IF(E60=0,"",VLOOKUP(E60,'Tablas Técnicas'!$A$14:$V$771,7,FALSE))</f>
        <v/>
      </c>
      <c r="Q60" s="1002" t="str">
        <f>IF(O60="Si",IF(E60=0,"",VLOOKUP(E60,'Tablas Técnicas'!$A$14:$V$771,7,FALSE)),"")</f>
        <v/>
      </c>
      <c r="R60" s="1000" t="str">
        <f>IF(E60=0,"",VLOOKUP(E60,'Tablas Técnicas'!$A$14:$V$771,8,FALSE))</f>
        <v/>
      </c>
      <c r="S60" s="998" t="str">
        <f>IF(R60=$D$8,$D$8,IF(R60=2,2,IF(R60=3,3,R60)))</f>
        <v/>
      </c>
      <c r="T60" s="4796" t="s">
        <v>4542</v>
      </c>
      <c r="U60" s="4797"/>
      <c r="V60" s="4797"/>
      <c r="W60" s="4797"/>
      <c r="X60" s="4797"/>
      <c r="Y60" s="4797"/>
      <c r="Z60" s="4797"/>
      <c r="AA60" s="4797"/>
      <c r="AB60" s="4797"/>
      <c r="AC60" s="4797"/>
      <c r="AD60" s="4797"/>
      <c r="AE60" s="4797"/>
      <c r="AF60" s="4797"/>
      <c r="AG60" s="4797"/>
      <c r="AH60" s="4797"/>
      <c r="AI60" s="4797"/>
      <c r="AJ60" s="4797"/>
      <c r="AK60" s="4797"/>
      <c r="AL60" s="4797"/>
      <c r="AM60" s="4797"/>
      <c r="AN60" s="4797"/>
      <c r="AO60" s="4797"/>
      <c r="AP60" s="4797"/>
      <c r="AQ60" s="4797"/>
      <c r="AR60" s="4797"/>
      <c r="AS60" s="4797"/>
      <c r="AT60" s="4797"/>
      <c r="AU60" s="4797"/>
      <c r="AV60" s="4797"/>
      <c r="AW60" s="4797"/>
      <c r="AX60" s="4797"/>
      <c r="AY60" s="4797"/>
      <c r="AZ60" s="4797"/>
      <c r="BA60" s="4797"/>
      <c r="BB60" s="4797"/>
      <c r="BC60" s="4797"/>
      <c r="BD60" s="4797"/>
      <c r="BE60" s="4797"/>
      <c r="BF60" s="4797"/>
      <c r="BG60" s="4797"/>
      <c r="BH60" s="4797"/>
      <c r="BI60" s="4797"/>
      <c r="BJ60" s="4797"/>
      <c r="BK60" s="4798"/>
      <c r="BL60" s="1437"/>
      <c r="BM60" s="1438"/>
      <c r="BN60" s="992"/>
      <c r="BO60" s="993"/>
      <c r="BP60" s="978" t="str">
        <f>IF(I60="Si",VLOOKUP($D$8,'Tablas Técnicas'!$E$4:$F$6,2,FALSE),"")</f>
        <v/>
      </c>
      <c r="BQ60" s="979" t="str">
        <f>IF(L60="Si",VLOOKUP($D$8,'Tablas Técnicas'!$I$4:$J$6,2,FALSE),"")</f>
        <v/>
      </c>
      <c r="BR60" s="977" t="str">
        <f>IF(O60="Si",VLOOKUP($D$8,'Tablas Técnicas'!$I$7:$J$9,2,FALSE),"")</f>
        <v/>
      </c>
      <c r="BS60" s="994"/>
      <c r="BT60" s="3028">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356"/>
      <c r="BV60" s="971"/>
      <c r="BW60" s="1026" t="str">
        <f>IF(SUM(BT60:BU60)=0,"N/A",SUM(BT60:BU60))</f>
        <v>N/A</v>
      </c>
      <c r="BX60" s="3028">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26" t="str">
        <f>IF(BX60=0,"N/A",BX60)</f>
        <v>N/A</v>
      </c>
      <c r="BZ60" s="3027"/>
      <c r="CA60" s="939"/>
      <c r="DR60" s="939"/>
      <c r="DT60" s="1325"/>
      <c r="DU60" s="1379"/>
      <c r="DV60" s="1376" t="str">
        <f>IF(E60="",""," "&amp;E60)&amp;IF(I60="No",""," (Mant.)")&amp;IF(L60="No",""," (Sme)")&amp;IF(O60="No",""," (SMa)")</f>
        <v/>
      </c>
      <c r="DW60" s="1377"/>
      <c r="DX60" s="1378"/>
      <c r="DY60" s="1324"/>
      <c r="DZ60" s="939"/>
      <c r="EA60" s="1470">
        <f t="shared" si="0"/>
        <v>1</v>
      </c>
    </row>
    <row r="61" spans="1:131" x14ac:dyDescent="0.2">
      <c r="A61" s="939"/>
      <c r="B61" s="939"/>
      <c r="C61" s="4822"/>
      <c r="D61" s="1453" t="s">
        <v>1766</v>
      </c>
      <c r="E61" s="1003"/>
      <c r="F61" s="1019"/>
      <c r="G61" s="989" t="str">
        <f>IF(E61=0,"",VLOOKUP(E61,'Tablas Técnicas'!$A$14:$V$771,3,FALSE))</f>
        <v/>
      </c>
      <c r="H61" s="3033" t="str">
        <f>IF($E61=0,"",VLOOKUP($E61,'Tablas Técnicas'!$A$14:$V$771,4,FALSE))</f>
        <v/>
      </c>
      <c r="I61" s="987" t="s">
        <v>1690</v>
      </c>
      <c r="J61" s="1411" t="str">
        <f>IF(E61=0,"",VLOOKUP(E61,'Tablas Técnicas'!$A$14:$V$771,5,FALSE))</f>
        <v/>
      </c>
      <c r="K61" s="1006" t="str">
        <f>IF(I61="Si",IF(E61=0,"",VLOOKUP(E61,'Tablas Técnicas'!$A$14:$V$771,5,FALSE)),"")</f>
        <v/>
      </c>
      <c r="L61" s="987" t="s">
        <v>1690</v>
      </c>
      <c r="M61" s="1411" t="str">
        <f>IF(E61=0,"",VLOOKUP(E61,'Tablas Técnicas'!$A$14:$V$771,6,FALSE))</f>
        <v/>
      </c>
      <c r="N61" s="990" t="str">
        <f>IF(L61="Si",IF(E61=0,"",VLOOKUP(E61,'Tablas Técnicas'!$A$14:$V$771,6,FALSE)),"")</f>
        <v/>
      </c>
      <c r="O61" s="987" t="s">
        <v>1690</v>
      </c>
      <c r="P61" s="1411" t="str">
        <f>IF(E61=0,"",VLOOKUP(E61,'Tablas Técnicas'!$A$14:$V$771,7,FALSE))</f>
        <v/>
      </c>
      <c r="Q61" s="990" t="str">
        <f>IF(O61="Si",IF(E61=0,"",VLOOKUP(E61,'Tablas Técnicas'!$A$14:$V$771,7,FALSE)),"")</f>
        <v/>
      </c>
      <c r="R61" s="1005" t="str">
        <f>IF(E61=0,"",VLOOKUP(E61,'Tablas Técnicas'!$A$14:$V$771,8,FALSE))</f>
        <v/>
      </c>
      <c r="S61" s="3033" t="str">
        <f>IF(R61=$D$8,$D$8,IF(R61=2,2,IF(R61=3,3,R61)))</f>
        <v/>
      </c>
      <c r="T61" s="4809"/>
      <c r="U61" s="4810"/>
      <c r="V61" s="3029" t="str">
        <f>IF(OR(V59=0,V59=""),"N/A",V59)</f>
        <v>N/A</v>
      </c>
      <c r="W61" s="4809" t="str">
        <f xml:space="preserve"> IF(OR(AF59=0,AF59=""),"N/A",W59)</f>
        <v>N/A</v>
      </c>
      <c r="X61" s="4811"/>
      <c r="Y61" s="4811"/>
      <c r="Z61" s="4811"/>
      <c r="AA61" s="4811"/>
      <c r="AB61" s="4811"/>
      <c r="AC61" s="4811"/>
      <c r="AD61" s="4811"/>
      <c r="AE61" s="4811"/>
      <c r="AF61" s="4810"/>
      <c r="AG61" s="4809" t="str">
        <f xml:space="preserve"> IF(OR(AP59="",AP59=0),"N/A",AG59)</f>
        <v>N/A</v>
      </c>
      <c r="AH61" s="4811"/>
      <c r="AI61" s="4811"/>
      <c r="AJ61" s="4811"/>
      <c r="AK61" s="4811"/>
      <c r="AL61" s="4811"/>
      <c r="AM61" s="4811"/>
      <c r="AN61" s="4811"/>
      <c r="AO61" s="4811"/>
      <c r="AP61" s="4810"/>
      <c r="AQ61" s="4809" t="str">
        <f xml:space="preserve"> IF(OR(AZ59="",AZ59=0),"N/A",AQ59)</f>
        <v>N/A</v>
      </c>
      <c r="AR61" s="4811"/>
      <c r="AS61" s="4811"/>
      <c r="AT61" s="4811"/>
      <c r="AU61" s="4811"/>
      <c r="AV61" s="4811"/>
      <c r="AW61" s="4811"/>
      <c r="AX61" s="4811"/>
      <c r="AY61" s="4811"/>
      <c r="AZ61" s="4810"/>
      <c r="BA61" s="4809" t="str">
        <f xml:space="preserve"> IF(OR(BJ59="",BJ59=0),"N/A",BA59)</f>
        <v>N/A</v>
      </c>
      <c r="BB61" s="4811"/>
      <c r="BC61" s="4811"/>
      <c r="BD61" s="4811"/>
      <c r="BE61" s="4811"/>
      <c r="BF61" s="4811"/>
      <c r="BG61" s="4811"/>
      <c r="BH61" s="4811"/>
      <c r="BI61" s="4811"/>
      <c r="BJ61" s="4810"/>
      <c r="BK61" s="1007" t="s">
        <v>4543</v>
      </c>
      <c r="BL61" s="989"/>
      <c r="BM61" s="1024"/>
      <c r="BN61" s="1008"/>
      <c r="BO61" s="1009"/>
      <c r="BP61" s="1010" t="str">
        <f>IF(I61="Si",VLOOKUP($D$8,'Tablas Técnicas'!$E$4:$F$6,2,FALSE),"")</f>
        <v/>
      </c>
      <c r="BQ61" s="980" t="str">
        <f>IF(L61="Si",VLOOKUP($D$8,'Tablas Técnicas'!$I$4:$J$6,2,FALSE),"")</f>
        <v/>
      </c>
      <c r="BR61" s="1011" t="str">
        <f>IF(O61="Si",VLOOKUP($D$8,'Tablas Técnicas'!$I$7:$J$9,2,FALSE),"")</f>
        <v/>
      </c>
      <c r="BS61" s="994"/>
      <c r="BT61" s="3023" t="s">
        <v>1809</v>
      </c>
      <c r="BU61" s="3024" t="s">
        <v>4550</v>
      </c>
      <c r="BV61" s="971"/>
      <c r="BW61" s="3024" t="s">
        <v>4551</v>
      </c>
      <c r="BX61" s="3023" t="s">
        <v>4552</v>
      </c>
      <c r="BY61" s="1301" t="s">
        <v>4552</v>
      </c>
      <c r="BZ61" s="3027"/>
      <c r="CA61" s="939"/>
      <c r="DR61" s="939"/>
      <c r="DT61" s="1325"/>
      <c r="DU61" s="1379"/>
      <c r="DV61" s="1376" t="str">
        <f>IF(E61="","",E61)&amp;IF(I61="No",""," (Mant.)")&amp;IF(L61="No",""," (Sme)")&amp;IF(O61="No",""," (SMa)")</f>
        <v/>
      </c>
      <c r="DW61" s="1376"/>
      <c r="DX61" s="1378"/>
      <c r="DY61" s="1324"/>
      <c r="DZ61" s="939"/>
      <c r="EA61" s="1470">
        <f t="shared" si="0"/>
        <v>1</v>
      </c>
    </row>
    <row r="62" spans="1:131" s="1013" customFormat="1" x14ac:dyDescent="0.2">
      <c r="A62" s="939"/>
      <c r="B62" s="939"/>
      <c r="C62" s="4822"/>
      <c r="D62" s="1452" t="s">
        <v>1766</v>
      </c>
      <c r="E62" s="995"/>
      <c r="F62" s="1025"/>
      <c r="G62" s="1437" t="str">
        <f>IF(E62=0,"",VLOOKUP(E62,'Tablas Técnicas'!$A$14:$V$771,3,FALSE))</f>
        <v/>
      </c>
      <c r="H62" s="998" t="str">
        <f>IF($E62=0,"",VLOOKUP($E62,'Tablas Técnicas'!$A$14:$V$771,4,FALSE))</f>
        <v/>
      </c>
      <c r="I62" s="999" t="s">
        <v>1690</v>
      </c>
      <c r="J62" s="1415" t="str">
        <f>IF(E62=0,"",VLOOKUP(E62,'Tablas Técnicas'!$A$14:$V$771,5,FALSE))</f>
        <v/>
      </c>
      <c r="K62" s="1001" t="str">
        <f>IF(I62="Si",IF(E62=0,"",VLOOKUP(E62,'Tablas Técnicas'!$A$14:$V$771,5,FALSE)),"")</f>
        <v/>
      </c>
      <c r="L62" s="999" t="s">
        <v>1690</v>
      </c>
      <c r="M62" s="1415" t="str">
        <f>IF(E62=0,"",VLOOKUP(E62,'Tablas Técnicas'!$A$14:$V$771,6,FALSE))</f>
        <v/>
      </c>
      <c r="N62" s="1002" t="str">
        <f>IF(L62="Si",IF(E62=0,"",VLOOKUP(E62,'Tablas Técnicas'!$A$14:$V$771,6,FALSE)),"")</f>
        <v/>
      </c>
      <c r="O62" s="999" t="s">
        <v>1690</v>
      </c>
      <c r="P62" s="1415" t="str">
        <f>IF(E62=0,"",VLOOKUP(E62,'Tablas Técnicas'!$A$14:$V$771,7,FALSE))</f>
        <v/>
      </c>
      <c r="Q62" s="1002" t="str">
        <f>IF(O62="Si",IF(E62=0,"",VLOOKUP(E62,'Tablas Técnicas'!$A$14:$V$771,7,FALSE)),"")</f>
        <v/>
      </c>
      <c r="R62" s="1000" t="str">
        <f>IF(E62=0,"",VLOOKUP(E62,'Tablas Técnicas'!$A$14:$V$771,8,FALSE))</f>
        <v/>
      </c>
      <c r="S62" s="998" t="str">
        <f>IF(R62=$D$8,$D$8,IF(R62=2,2,IF(R62=3,3,R62)))</f>
        <v/>
      </c>
      <c r="T62" s="4812" t="s">
        <v>4544</v>
      </c>
      <c r="U62" s="4813"/>
      <c r="V62" s="3025"/>
      <c r="W62" s="4814"/>
      <c r="X62" s="4815"/>
      <c r="Y62" s="4815"/>
      <c r="Z62" s="4815"/>
      <c r="AA62" s="4815"/>
      <c r="AB62" s="4815"/>
      <c r="AC62" s="4815"/>
      <c r="AD62" s="4815"/>
      <c r="AE62" s="4815"/>
      <c r="AF62" s="4816"/>
      <c r="AG62" s="4814"/>
      <c r="AH62" s="4815"/>
      <c r="AI62" s="4815"/>
      <c r="AJ62" s="4815"/>
      <c r="AK62" s="4815"/>
      <c r="AL62" s="4815"/>
      <c r="AM62" s="4815"/>
      <c r="AN62" s="4815"/>
      <c r="AO62" s="4815"/>
      <c r="AP62" s="4816"/>
      <c r="AQ62" s="4814"/>
      <c r="AR62" s="4815"/>
      <c r="AS62" s="4815"/>
      <c r="AT62" s="4815"/>
      <c r="AU62" s="4815"/>
      <c r="AV62" s="4815"/>
      <c r="AW62" s="4815"/>
      <c r="AX62" s="4815"/>
      <c r="AY62" s="4815"/>
      <c r="AZ62" s="4816"/>
      <c r="BA62" s="4814"/>
      <c r="BB62" s="4815"/>
      <c r="BC62" s="4815"/>
      <c r="BD62" s="4815"/>
      <c r="BE62" s="4815"/>
      <c r="BF62" s="4815"/>
      <c r="BG62" s="4815"/>
      <c r="BH62" s="4815"/>
      <c r="BI62" s="4815"/>
      <c r="BJ62" s="4816"/>
      <c r="BK62" s="998">
        <f>(SUM(G59:G63)+IF(AF59="",0,AF59)+IF(AP59="",0,AP59)+IF(AZ59="",0,AZ59)+IF(BJ59="",0,BJ59)+SUM(K59:K63)+SUM(N59:N63)+SUM(Q59:Q63))- SUM(V62:BA62)</f>
        <v>0</v>
      </c>
      <c r="BL62" s="1437"/>
      <c r="BM62" s="1438"/>
      <c r="BN62" s="992"/>
      <c r="BO62" s="993"/>
      <c r="BP62" s="978" t="str">
        <f>IF(I62="Si",VLOOKUP($D$8,'Tablas Técnicas'!$E$4:$F$6,2,FALSE),"")</f>
        <v/>
      </c>
      <c r="BQ62" s="979" t="str">
        <f>IF(L62="Si",VLOOKUP($D$8,'Tablas Técnicas'!$I$4:$J$6,2,FALSE),"")</f>
        <v/>
      </c>
      <c r="BR62" s="977" t="str">
        <f>IF(O62="Si",VLOOKUP($D$8,'Tablas Técnicas'!$I$7:$J$9,2,FALSE),"")</f>
        <v/>
      </c>
      <c r="BS62" s="994"/>
      <c r="BT62" s="3028">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356"/>
      <c r="BV62" s="971"/>
      <c r="BW62" s="1026" t="str">
        <f>IF(SUM(BT62:BU62)=0,"N/A",SUM(BT62:BU62))</f>
        <v>N/A</v>
      </c>
      <c r="BX62" s="3028">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26" t="str">
        <f>IF(BX62=0,"N/A",BX62)</f>
        <v>N/A</v>
      </c>
      <c r="BZ62" s="3027"/>
      <c r="CA62" s="943"/>
      <c r="CC62" s="2940"/>
      <c r="DR62" s="943"/>
      <c r="DS62" s="1320"/>
      <c r="DT62" s="1326"/>
      <c r="DU62" s="1375"/>
      <c r="DV62" s="1376" t="str">
        <f>IF(E62="","",E62)&amp;IF(I62="No",""," (Mant.)")&amp;IF(L62="No",""," (Sme)")&amp;IF(O62="No",""," (SMa)")</f>
        <v/>
      </c>
      <c r="DW62" s="1376"/>
      <c r="DX62" s="1381"/>
      <c r="DY62" s="1327"/>
      <c r="DZ62" s="943"/>
      <c r="EA62" s="1470">
        <f t="shared" si="0"/>
        <v>1</v>
      </c>
    </row>
    <row r="63" spans="1:131" x14ac:dyDescent="0.2">
      <c r="A63" s="939"/>
      <c r="B63" s="939"/>
      <c r="C63" s="4822"/>
      <c r="D63" s="1453" t="s">
        <v>1766</v>
      </c>
      <c r="E63" s="1003"/>
      <c r="F63" s="1019"/>
      <c r="G63" s="989" t="str">
        <f>IF(E63=0,"",VLOOKUP(E63,'Tablas Técnicas'!$A$14:$V$771,3,FALSE))</f>
        <v/>
      </c>
      <c r="H63" s="1014" t="str">
        <f>IF($E63=0,"",VLOOKUP($E63,'Tablas Técnicas'!$A$14:$V$771,4,FALSE))</f>
        <v/>
      </c>
      <c r="I63" s="987" t="s">
        <v>1690</v>
      </c>
      <c r="J63" s="1418" t="str">
        <f>IF(E63=0,"",VLOOKUP(E63,'Tablas Técnicas'!$A$14:$V$771,5,FALSE))</f>
        <v/>
      </c>
      <c r="K63" s="1015" t="str">
        <f>IF(I63="Si",IF(E63=0,"",VLOOKUP(E63,'Tablas Técnicas'!$A$14:$V$771,5,FALSE)),"")</f>
        <v/>
      </c>
      <c r="L63" s="987" t="s">
        <v>1690</v>
      </c>
      <c r="M63" s="1418" t="str">
        <f>IF(E63=0,"",VLOOKUP(E63,'Tablas Técnicas'!$A$14:$V$771,6,FALSE))</f>
        <v/>
      </c>
      <c r="N63" s="990" t="str">
        <f>IF(L63="Si",IF(E63=0,"",VLOOKUP(E63,'Tablas Técnicas'!$A$14:$V$771,6,FALSE)),"")</f>
        <v/>
      </c>
      <c r="O63" s="987" t="s">
        <v>1690</v>
      </c>
      <c r="P63" s="1418" t="str">
        <f>IF(E63=0,"",VLOOKUP(E63,'Tablas Técnicas'!$A$14:$V$771,7,FALSE))</f>
        <v/>
      </c>
      <c r="Q63" s="990" t="str">
        <f>IF(O63="Si",IF(E63=0,"",VLOOKUP(E63,'Tablas Técnicas'!$A$14:$V$771,7,FALSE)),"")</f>
        <v/>
      </c>
      <c r="R63" s="1035" t="str">
        <f>IF(E63=0,"",VLOOKUP(E63,'Tablas Técnicas'!$A$14:$V$771,8,FALSE))</f>
        <v/>
      </c>
      <c r="S63" s="1004" t="str">
        <f>IF(R63=$D$8,$D$8,IF(R63=2,2,IF(R63=3,3,R63)))</f>
        <v/>
      </c>
      <c r="T63" s="4803" t="s">
        <v>4546</v>
      </c>
      <c r="U63" s="4804"/>
      <c r="V63" s="3032"/>
      <c r="W63" s="4805"/>
      <c r="X63" s="4806"/>
      <c r="Y63" s="4806"/>
      <c r="Z63" s="4806"/>
      <c r="AA63" s="4806"/>
      <c r="AB63" s="4806"/>
      <c r="AC63" s="4806"/>
      <c r="AD63" s="4806"/>
      <c r="AE63" s="4806"/>
      <c r="AF63" s="4807"/>
      <c r="AG63" s="4805"/>
      <c r="AH63" s="4806"/>
      <c r="AI63" s="4806"/>
      <c r="AJ63" s="4806"/>
      <c r="AK63" s="4806"/>
      <c r="AL63" s="4806"/>
      <c r="AM63" s="4806"/>
      <c r="AN63" s="4806"/>
      <c r="AO63" s="4806"/>
      <c r="AP63" s="4807"/>
      <c r="AQ63" s="4805"/>
      <c r="AR63" s="4806"/>
      <c r="AS63" s="4806"/>
      <c r="AT63" s="4806"/>
      <c r="AU63" s="4806"/>
      <c r="AV63" s="4806"/>
      <c r="AW63" s="4806"/>
      <c r="AX63" s="4806"/>
      <c r="AY63" s="4806"/>
      <c r="AZ63" s="4807"/>
      <c r="BA63" s="4805"/>
      <c r="BB63" s="4806"/>
      <c r="BC63" s="4806"/>
      <c r="BD63" s="4806"/>
      <c r="BE63" s="4806"/>
      <c r="BF63" s="4806"/>
      <c r="BG63" s="4806"/>
      <c r="BH63" s="4806"/>
      <c r="BI63" s="4806"/>
      <c r="BJ63" s="4807"/>
      <c r="BK63" s="1014">
        <f>SUM(K59:K63)-SUM(V63:BA63)</f>
        <v>0</v>
      </c>
      <c r="BL63" s="1439"/>
      <c r="BM63" s="1440"/>
      <c r="BN63" s="1008"/>
      <c r="BO63" s="1009"/>
      <c r="BP63" s="1010" t="str">
        <f>IF(I63="Si",VLOOKUP($D$8,'Tablas Técnicas'!$E$4:$F$6,2,FALSE),"")</f>
        <v/>
      </c>
      <c r="BQ63" s="980" t="str">
        <f>IF(L63="Si",VLOOKUP($D$8,'Tablas Técnicas'!$I$4:$J$6,2,FALSE),"")</f>
        <v/>
      </c>
      <c r="BR63" s="1011" t="str">
        <f>IF(O63="Si",VLOOKUP($D$8,'Tablas Técnicas'!$I$7:$J$9,2,FALSE),"")</f>
        <v/>
      </c>
      <c r="BS63" s="994"/>
      <c r="BT63" s="3023" t="s">
        <v>1687</v>
      </c>
      <c r="BU63" s="3024" t="s">
        <v>4550</v>
      </c>
      <c r="BV63" s="971"/>
      <c r="BW63" s="3024" t="s">
        <v>4551</v>
      </c>
      <c r="BX63" s="3023" t="s">
        <v>4552</v>
      </c>
      <c r="BY63" s="1301" t="s">
        <v>4552</v>
      </c>
      <c r="BZ63" s="3027"/>
      <c r="CA63" s="939"/>
      <c r="DR63" s="939"/>
      <c r="DT63" s="1325"/>
      <c r="DU63" s="1379"/>
      <c r="DV63" s="1376" t="str">
        <f>IF(E63="","",E63)&amp;IF(I63="No",""," (Mant.)")&amp;IF(L63="No",""," (Sme)")&amp;IF(O63="No",""," (SMa)")</f>
        <v/>
      </c>
      <c r="DW63" s="1376"/>
      <c r="DX63" s="1378"/>
      <c r="DY63" s="1324"/>
      <c r="DZ63" s="939"/>
      <c r="EA63" s="1470">
        <f t="shared" si="0"/>
        <v>1</v>
      </c>
    </row>
    <row r="64" spans="1:131" x14ac:dyDescent="0.2">
      <c r="A64" s="939"/>
      <c r="B64" s="1403"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822"/>
      <c r="D64" s="1454">
        <v>4</v>
      </c>
      <c r="E64" s="1246"/>
      <c r="F64" s="1016"/>
      <c r="G64" s="1017"/>
      <c r="H64" s="2159">
        <f t="array" ref="H64">IF(AND(OR(ISNUMBER(SEARCH("Empatía Elemental ("&amp;BK59:BM59&amp;")",Principal!$AF$30))),SUM(H59:H63)&gt;=10),-5,0)</f>
        <v>0</v>
      </c>
      <c r="I64" s="1413"/>
      <c r="J64" s="1416"/>
      <c r="K64" s="1017"/>
      <c r="L64" s="1413"/>
      <c r="M64" s="1416"/>
      <c r="N64" s="1017"/>
      <c r="O64" s="1413"/>
      <c r="P64" s="1416"/>
      <c r="Q64" s="1017"/>
      <c r="R64" s="1018"/>
      <c r="S64" s="1017"/>
      <c r="T64" s="1017"/>
      <c r="U64" s="1017"/>
      <c r="V64" s="1017"/>
      <c r="W64" s="1017"/>
      <c r="X64" s="1017"/>
      <c r="Y64" s="1017"/>
      <c r="Z64" s="1017"/>
      <c r="AA64" s="1017"/>
      <c r="AB64" s="1017"/>
      <c r="AC64" s="1017"/>
      <c r="AD64" s="1017"/>
      <c r="AE64" s="1017"/>
      <c r="AF64" s="1017"/>
      <c r="AG64" s="1017"/>
      <c r="AH64" s="1017"/>
      <c r="AI64" s="1017"/>
      <c r="AJ64" s="1017"/>
      <c r="AK64" s="1017"/>
      <c r="AL64" s="1017"/>
      <c r="AM64" s="1017"/>
      <c r="AN64" s="1017"/>
      <c r="AO64" s="1017"/>
      <c r="AP64" s="1017"/>
      <c r="AQ64" s="1017"/>
      <c r="AR64" s="1017"/>
      <c r="AS64" s="1017"/>
      <c r="AT64" s="1017"/>
      <c r="AU64" s="1017"/>
      <c r="AV64" s="1017"/>
      <c r="AW64" s="1017"/>
      <c r="AX64" s="1017"/>
      <c r="AY64" s="1017"/>
      <c r="AZ64" s="1017"/>
      <c r="BA64" s="1017"/>
      <c r="BB64" s="1017"/>
      <c r="BC64" s="1017"/>
      <c r="BD64" s="1017"/>
      <c r="BE64" s="1017"/>
      <c r="BF64" s="1017"/>
      <c r="BG64" s="1017"/>
      <c r="BH64" s="1017"/>
      <c r="BI64" s="1017"/>
      <c r="BJ64" s="1017"/>
      <c r="BK64" s="1017"/>
      <c r="BL64" s="1017"/>
      <c r="BM64" s="1027"/>
      <c r="BN64" s="1028">
        <f>SUM(K64:K67)</f>
        <v>0</v>
      </c>
      <c r="BO64" s="971" t="str">
        <f>IF(E64=0,"",(AF64+AP64+AZ64+BJ64))</f>
        <v/>
      </c>
      <c r="BP64" s="1029" t="str">
        <f>IF(I64="Si",VLOOKUP($D$8,'Tablas Técnicas'!$E$4:$F$6,2,FALSE),"")</f>
        <v/>
      </c>
      <c r="BQ64" s="1030" t="str">
        <f>IF(L64="Si",VLOOKUP($D$8,'Tablas Técnicas'!$I$4:$J$6,2,FALSE),"")</f>
        <v/>
      </c>
      <c r="BR64" s="1028" t="str">
        <f>IF(O64="Si",VLOOKUP($D$8,'Tablas Técnicas'!$I$7:$J$9,2,FALSE),"")</f>
        <v/>
      </c>
      <c r="BS64" s="994"/>
      <c r="BT64" s="3028">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356"/>
      <c r="BV64" s="971"/>
      <c r="BW64" s="1026" t="str">
        <f>IF(SUM(BT64:BU64)=0,"N/A",SUM(BT64:BU64))</f>
        <v>N/A</v>
      </c>
      <c r="BX64" s="3028">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26" t="str">
        <f>IF(BX64=0,"N/A",BX64)</f>
        <v>N/A</v>
      </c>
      <c r="BZ64" s="3027"/>
      <c r="CA64" s="939"/>
      <c r="DR64" s="939"/>
      <c r="DT64" s="1325"/>
      <c r="DU64" s="1379"/>
      <c r="DV64" s="1380"/>
      <c r="DW64" s="1376"/>
      <c r="DX64" s="1378"/>
      <c r="DY64" s="1324"/>
      <c r="DZ64" s="939"/>
      <c r="EA64" s="1470">
        <f t="shared" si="0"/>
        <v>1</v>
      </c>
    </row>
    <row r="65" spans="1:131" x14ac:dyDescent="0.2">
      <c r="A65" s="939"/>
      <c r="B65" s="939"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822"/>
      <c r="D65" s="1453" t="s">
        <v>1766</v>
      </c>
      <c r="E65" s="983"/>
      <c r="F65" s="1019"/>
      <c r="G65" s="989" t="str">
        <f>IF(E65=0,"",VLOOKUP(E65,'Tablas Técnicas'!$A$14:$V$771,3,FALSE))</f>
        <v/>
      </c>
      <c r="H65" s="1031" t="str">
        <f>IF($E65=0,"",VLOOKUP($E65,'Tablas Técnicas'!$A$14:$V$771,4,FALSE))</f>
        <v/>
      </c>
      <c r="I65" s="987" t="s">
        <v>1690</v>
      </c>
      <c r="J65" s="1417" t="str">
        <f>IF(E65=0,"",VLOOKUP(E65,'Tablas Técnicas'!$A$14:$V$771,5,FALSE))</f>
        <v/>
      </c>
      <c r="K65" s="1033" t="str">
        <f>IF(I65="Si",IF(E65=0,"",VLOOKUP(E65,'Tablas Técnicas'!$A$14:$V$771,5,FALSE)),"")</f>
        <v/>
      </c>
      <c r="L65" s="987" t="s">
        <v>1690</v>
      </c>
      <c r="M65" s="1417" t="str">
        <f>IF(E65=0,"",VLOOKUP(E65,'Tablas Técnicas'!$A$14:$V$771,6,FALSE))</f>
        <v/>
      </c>
      <c r="N65" s="990" t="str">
        <f>IF(L65="Si",IF(E65=0,"",VLOOKUP(E65,'Tablas Técnicas'!$A$14:$V$771,6,FALSE)),"")</f>
        <v/>
      </c>
      <c r="O65" s="987" t="s">
        <v>1690</v>
      </c>
      <c r="P65" s="1417" t="str">
        <f>IF(E65=0,"",VLOOKUP(E65,'Tablas Técnicas'!$A$14:$V$771,7,FALSE))</f>
        <v/>
      </c>
      <c r="Q65" s="990" t="str">
        <f>IF(O65="Si",IF(E65=0,"",VLOOKUP(E65,'Tablas Técnicas'!$A$14:$V$771,7,FALSE)),"")</f>
        <v/>
      </c>
      <c r="R65" s="1032" t="str">
        <f>IF(E65=0,"",VLOOKUP(E65,'Tablas Técnicas'!$A$14:$V$771,8,FALSE))</f>
        <v/>
      </c>
      <c r="S65" s="1004" t="str">
        <f>IF(R65=$D$8,$D$8,IF(R65=2,2,IF(R65=3,3,R65)))</f>
        <v/>
      </c>
      <c r="T65" s="1033" t="str">
        <f>IF(E65=0,"",VLOOKUP(E65,'Tablas Técnicas'!$A$14:$V$771,9,FALSE))</f>
        <v/>
      </c>
      <c r="U65" s="1033" t="str">
        <f>IF(E65=0,"",VLOOKUP(E65,'Tablas Técnicas'!$A$14:$V$771,10,FALSE))</f>
        <v/>
      </c>
      <c r="V65" s="1034" t="str">
        <f>IF(E65=0,"",VLOOKUP(E65,'Tablas Técnicas'!$A$14:$V$771,11,FALSE))</f>
        <v/>
      </c>
      <c r="W65" s="987"/>
      <c r="X65" s="988" t="e">
        <f>VLOOKUP(E65,'Tablas Técnicas'!$A$14:$V$771,12,FALSE)</f>
        <v>#N/A</v>
      </c>
      <c r="Y65" s="988" t="e">
        <f>IF(W65=X65,VLOOKUP(E65,'Tablas Técnicas'!$A$14:$V$771,13,FALSE),0)</f>
        <v>#N/A</v>
      </c>
      <c r="Z65" s="988" t="e">
        <f>VLOOKUP(E65,'Tablas Técnicas'!$A$14:$V$771,14,FALSE)</f>
        <v>#N/A</v>
      </c>
      <c r="AA65" s="988" t="e">
        <f>IF(W65=Z65,VLOOKUP(E65,'Tablas Técnicas'!$A$14:$V$616,15,FALSE),0)</f>
        <v>#N/A</v>
      </c>
      <c r="AB65" s="988" t="e">
        <f>VLOOKUP(E65,'Tablas Técnicas'!$A$14:$V$771,16,FALSE)</f>
        <v>#N/A</v>
      </c>
      <c r="AC65" s="988" t="e">
        <f>IF(W65=AB65,VLOOKUP(E65,'Tablas Técnicas'!$A$14:$V$616,17,FALSE),0)</f>
        <v>#N/A</v>
      </c>
      <c r="AD65" s="988" t="e">
        <f>VLOOKUP(E65,'Tablas Técnicas'!$A$14:$V$771,18,FALSE)</f>
        <v>#N/A</v>
      </c>
      <c r="AE65" s="988" t="e">
        <f>IF(W65=AD65,VLOOKUP(E65,'Tablas Técnicas'!$A$14:$V$771,19,FALSE),0)</f>
        <v>#N/A</v>
      </c>
      <c r="AF65" s="1006" t="str">
        <f>IF(E65=0,"",(Y65+AA65+AC65+AE65))</f>
        <v/>
      </c>
      <c r="AG65" s="987"/>
      <c r="AH65" s="1005" t="e">
        <f>VLOOKUP(E65,'Tablas Técnicas'!$A$14:$V$771,12,FALSE)</f>
        <v>#N/A</v>
      </c>
      <c r="AI65" s="1005" t="e">
        <f>IF(AG65=AH65,VLOOKUP(E65,'Tablas Técnicas'!$A$14:$V$771,13,FALSE),0)</f>
        <v>#N/A</v>
      </c>
      <c r="AJ65" s="1005" t="e">
        <f>VLOOKUP(E65,'Tablas Técnicas'!$A$14:$V$771,14,FALSE)</f>
        <v>#N/A</v>
      </c>
      <c r="AK65" s="1005" t="e">
        <f>IF(AG65=AJ65,VLOOKUP(E65,'Tablas Técnicas'!$A$14:$V$771,15,FALSE),0)</f>
        <v>#N/A</v>
      </c>
      <c r="AL65" s="1005" t="e">
        <f>VLOOKUP(E65,'Tablas Técnicas'!$A$14:$V$771,16,FALSE)</f>
        <v>#N/A</v>
      </c>
      <c r="AM65" s="1005" t="e">
        <f>IF(AG65=AL65,VLOOKUP(E65,'Tablas Técnicas'!$A$14:$V$771,17,FALSE),0)</f>
        <v>#N/A</v>
      </c>
      <c r="AN65" s="1005" t="e">
        <f>VLOOKUP(E65,'Tablas Técnicas'!$A$14:$V$771,18,FALSE)</f>
        <v>#N/A</v>
      </c>
      <c r="AO65" s="1005" t="e">
        <f>IF(AG65=AN65,VLOOKUP(E65,'Tablas Técnicas'!$A$14:$V$771,19,FALSE),0)</f>
        <v>#N/A</v>
      </c>
      <c r="AP65" s="3034" t="str">
        <f>IF(E65=0,"",(AI65+AK65+AM65+AO65))</f>
        <v/>
      </c>
      <c r="AQ65" s="987"/>
      <c r="AR65" s="1005" t="e">
        <f>VLOOKUP(E65,'Tablas Técnicas'!$A$14:$V$771,12,FALSE)</f>
        <v>#N/A</v>
      </c>
      <c r="AS65" s="1005" t="e">
        <f>IF(AQ65=AR65,VLOOKUP(E65,'Tablas Técnicas'!$A$14:$V$771,13,FALSE),0)</f>
        <v>#N/A</v>
      </c>
      <c r="AT65" s="1005" t="e">
        <f>VLOOKUP(E65,'Tablas Técnicas'!$A$14:$V$771,14,FALSE)</f>
        <v>#N/A</v>
      </c>
      <c r="AU65" s="1005" t="e">
        <f>IF(AQ65=AT65,VLOOKUP(E65,'Tablas Técnicas'!$A$14:$V$771,15,FALSE),0)</f>
        <v>#N/A</v>
      </c>
      <c r="AV65" s="1005" t="e">
        <f>VLOOKUP(E65,'Tablas Técnicas'!$A$14:$V$771,16,FALSE)</f>
        <v>#N/A</v>
      </c>
      <c r="AW65" s="1005" t="e">
        <f>IF(AQ65=AV65,VLOOKUP(E65,'Tablas Técnicas'!$A$14:$V$771,17,FALSE),0)</f>
        <v>#N/A</v>
      </c>
      <c r="AX65" s="1005" t="e">
        <f>VLOOKUP(E65,'Tablas Técnicas'!$A$14:$V$771,18,FALSE)</f>
        <v>#N/A</v>
      </c>
      <c r="AY65" s="1005" t="e">
        <f>IF(AQ65=AX65,VLOOKUP(E65,'Tablas Técnicas'!$A$14:$V$771,19,FALSE),0)</f>
        <v>#N/A</v>
      </c>
      <c r="AZ65" s="1006" t="str">
        <f>IF(E65=0,"",(AS65+AU65+AW65+AY65))</f>
        <v/>
      </c>
      <c r="BA65" s="987"/>
      <c r="BB65" s="1005" t="e">
        <f>VLOOKUP(E65,'Tablas Técnicas'!$A$14:$V$771,12,FALSE)</f>
        <v>#N/A</v>
      </c>
      <c r="BC65" s="1005" t="e">
        <f>IF(BA65=BB65,VLOOKUP(E65,'Tablas Técnicas'!$A$14:$V$771,13,FALSE),0)</f>
        <v>#N/A</v>
      </c>
      <c r="BD65" s="1005" t="e">
        <f>VLOOKUP(E65,'Tablas Técnicas'!$A$14:$V$771,14,FALSE)</f>
        <v>#N/A</v>
      </c>
      <c r="BE65" s="1005" t="e">
        <f>IF(BA65=BD65,VLOOKUP(E65,'Tablas Técnicas'!$A$14:$V$771,15,FALSE),0)</f>
        <v>#N/A</v>
      </c>
      <c r="BF65" s="1005" t="e">
        <f>VLOOKUP(E65,'Tablas Técnicas'!$A$14:$V$771,16,FALSE)</f>
        <v>#N/A</v>
      </c>
      <c r="BG65" s="1005" t="e">
        <f>IF(BA65=BF65,VLOOKUP(E65,'Tablas Técnicas'!$A$14:$V$771,17,FALSE),0)</f>
        <v>#N/A</v>
      </c>
      <c r="BH65" s="1005" t="e">
        <f>VLOOKUP(E65,'Tablas Técnicas'!$A$14:$V$771,18,FALSE)</f>
        <v>#N/A</v>
      </c>
      <c r="BI65" s="1005" t="e">
        <f>IF(BA65=BH65,VLOOKUP(E65,'Tablas Técnicas'!$A$14:$V$771,19,FALSE),0)</f>
        <v>#N/A</v>
      </c>
      <c r="BJ65" s="3034" t="str">
        <f>IF(E65=0,"",(BC65+BE65+BG65+BI65))</f>
        <v/>
      </c>
      <c r="BK65" s="1033" t="str">
        <f>IF(E65=0,"",VLOOKUP(E65,'Tablas Técnicas'!$A$14:$V$771,20,FALSE))</f>
        <v/>
      </c>
      <c r="BL65" s="1020" t="str">
        <f>IF(E65=0,"",VLOOKUP(E65,'Tablas Técnicas'!$A$14:$V$771,21,FALSE))</f>
        <v/>
      </c>
      <c r="BM65" s="991" t="str">
        <f>IF(E65=0,"",VLOOKUP(E65,'Tablas Técnicas'!$A$14:$V$771,22,FALSE))</f>
        <v/>
      </c>
      <c r="BN65" s="992"/>
      <c r="BO65" s="993"/>
      <c r="BP65" s="978" t="str">
        <f>IF(I65="Si",VLOOKUP($D$8,'Tablas Técnicas'!$E$4:$F$6,2,FALSE),"")</f>
        <v/>
      </c>
      <c r="BQ65" s="979" t="str">
        <f>IF(L65="Si",VLOOKUP($D$8,'Tablas Técnicas'!$I$4:$J$6,2,FALSE),"")</f>
        <v/>
      </c>
      <c r="BR65" s="977" t="str">
        <f>IF(O65="Si",VLOOKUP($D$8,'Tablas Técnicas'!$I$7:$J$9,2,FALSE),"")</f>
        <v/>
      </c>
      <c r="BS65" s="994"/>
      <c r="BT65" s="3023" t="s">
        <v>1692</v>
      </c>
      <c r="BU65" s="3024" t="s">
        <v>4550</v>
      </c>
      <c r="BV65" s="971"/>
      <c r="BW65" s="3024" t="s">
        <v>4551</v>
      </c>
      <c r="BX65" s="3023" t="s">
        <v>4552</v>
      </c>
      <c r="BY65" s="1301" t="s">
        <v>4552</v>
      </c>
      <c r="BZ65" s="3027"/>
      <c r="CA65" s="939"/>
      <c r="DR65" s="939"/>
      <c r="DT65" s="1325"/>
      <c r="DU65" s="1379"/>
      <c r="DV65" s="1376" t="str">
        <f>IF(E65="","",", "&amp;E65)&amp;IF(I65="No",""," (Mant.)")&amp;IF(L65="No",""," (Sme)")&amp;IF(O65="No",""," (SMa)")</f>
        <v/>
      </c>
      <c r="DW65" s="1376"/>
      <c r="DX65" s="1378"/>
      <c r="DY65" s="1324"/>
      <c r="DZ65" s="939"/>
      <c r="EA65" s="1470">
        <f t="shared" si="0"/>
        <v>1</v>
      </c>
    </row>
    <row r="66" spans="1:131" ht="11.25" customHeight="1" x14ac:dyDescent="0.2">
      <c r="A66" s="939"/>
      <c r="B66" s="939"/>
      <c r="C66" s="4822"/>
      <c r="D66" s="1452" t="s">
        <v>1766</v>
      </c>
      <c r="E66" s="995"/>
      <c r="F66" s="1025"/>
      <c r="G66" s="1437" t="str">
        <f>IF(E66=0,"",VLOOKUP(E66,'Tablas Técnicas'!$A$14:$V$771,3,FALSE))</f>
        <v/>
      </c>
      <c r="H66" s="998" t="str">
        <f>IF($E66=0,"",VLOOKUP($E66,'Tablas Técnicas'!$A$14:$V$771,4,FALSE))</f>
        <v/>
      </c>
      <c r="I66" s="999" t="s">
        <v>1690</v>
      </c>
      <c r="J66" s="1415" t="str">
        <f>IF(E66=0,"",VLOOKUP(E66,'Tablas Técnicas'!$A$14:$V$771,5,FALSE))</f>
        <v/>
      </c>
      <c r="K66" s="1001" t="str">
        <f>IF(I66="Si",IF(E66=0,"",VLOOKUP(E66,'Tablas Técnicas'!$A$14:$V$771,5,FALSE)),"")</f>
        <v/>
      </c>
      <c r="L66" s="999" t="s">
        <v>1690</v>
      </c>
      <c r="M66" s="1415" t="str">
        <f>IF(E66=0,"",VLOOKUP(E66,'Tablas Técnicas'!$A$14:$V$771,6,FALSE))</f>
        <v/>
      </c>
      <c r="N66" s="1002" t="str">
        <f>IF(L66="Si",IF(E66=0,"",VLOOKUP(E66,'Tablas Técnicas'!$A$14:$V$771,6,FALSE)),"")</f>
        <v/>
      </c>
      <c r="O66" s="999" t="s">
        <v>1690</v>
      </c>
      <c r="P66" s="1415" t="str">
        <f>IF(E66=0,"",VLOOKUP(E66,'Tablas Técnicas'!$A$14:$V$771,7,FALSE))</f>
        <v/>
      </c>
      <c r="Q66" s="1002" t="str">
        <f>IF(O66="Si",IF(E66=0,"",VLOOKUP(E66,'Tablas Técnicas'!$A$14:$V$771,7,FALSE)),"")</f>
        <v/>
      </c>
      <c r="R66" s="1000" t="str">
        <f>IF(E66=0,"",VLOOKUP(E66,'Tablas Técnicas'!$A$14:$V$771,8,FALSE))</f>
        <v/>
      </c>
      <c r="S66" s="998" t="str">
        <f>IF(R66=$D$8,$D$8,IF(R66=2,2,IF(R66=3,3,R66)))</f>
        <v/>
      </c>
      <c r="T66" s="4796" t="s">
        <v>4542</v>
      </c>
      <c r="U66" s="4797"/>
      <c r="V66" s="4797"/>
      <c r="W66" s="4797"/>
      <c r="X66" s="4797"/>
      <c r="Y66" s="4797"/>
      <c r="Z66" s="4797"/>
      <c r="AA66" s="4797"/>
      <c r="AB66" s="4797"/>
      <c r="AC66" s="4797"/>
      <c r="AD66" s="4797"/>
      <c r="AE66" s="4797"/>
      <c r="AF66" s="4797"/>
      <c r="AG66" s="4797"/>
      <c r="AH66" s="4797"/>
      <c r="AI66" s="4797"/>
      <c r="AJ66" s="4797"/>
      <c r="AK66" s="4797"/>
      <c r="AL66" s="4797"/>
      <c r="AM66" s="4797"/>
      <c r="AN66" s="4797"/>
      <c r="AO66" s="4797"/>
      <c r="AP66" s="4797"/>
      <c r="AQ66" s="4797"/>
      <c r="AR66" s="4797"/>
      <c r="AS66" s="4797"/>
      <c r="AT66" s="4797"/>
      <c r="AU66" s="4797"/>
      <c r="AV66" s="4797"/>
      <c r="AW66" s="4797"/>
      <c r="AX66" s="4797"/>
      <c r="AY66" s="4797"/>
      <c r="AZ66" s="4797"/>
      <c r="BA66" s="4797"/>
      <c r="BB66" s="4797"/>
      <c r="BC66" s="4797"/>
      <c r="BD66" s="4797"/>
      <c r="BE66" s="4797"/>
      <c r="BF66" s="4797"/>
      <c r="BG66" s="4797"/>
      <c r="BH66" s="4797"/>
      <c r="BI66" s="4797"/>
      <c r="BJ66" s="4797"/>
      <c r="BK66" s="4798"/>
      <c r="BL66" s="1437"/>
      <c r="BM66" s="1438"/>
      <c r="BN66" s="992"/>
      <c r="BO66" s="993"/>
      <c r="BP66" s="978" t="str">
        <f>IF(I66="Si",VLOOKUP($D$8,'Tablas Técnicas'!$E$4:$F$6,2,FALSE),"")</f>
        <v/>
      </c>
      <c r="BQ66" s="979" t="str">
        <f>IF(L66="Si",VLOOKUP($D$8,'Tablas Técnicas'!$I$4:$J$6,2,FALSE),"")</f>
        <v/>
      </c>
      <c r="BR66" s="977" t="str">
        <f>IF(O66="Si",VLOOKUP($D$8,'Tablas Técnicas'!$I$7:$J$9,2,FALSE),"")</f>
        <v/>
      </c>
      <c r="BS66" s="994"/>
      <c r="BT66" s="3028">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356"/>
      <c r="BV66" s="971"/>
      <c r="BW66" s="1026" t="str">
        <f>IF(SUM(BT66:BU66)=0,"N/A",SUM(BT66:BU66))</f>
        <v>N/A</v>
      </c>
      <c r="BX66" s="3028">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26" t="str">
        <f>IF(BX66=0,"N/A",BX66)</f>
        <v>N/A</v>
      </c>
      <c r="BZ66" s="3027"/>
      <c r="CA66" s="939"/>
      <c r="DR66" s="939"/>
      <c r="DT66" s="1325"/>
      <c r="DU66" s="1379"/>
      <c r="DV66" s="1376" t="str">
        <f>IF(E66="",""," "&amp;E66)&amp;IF(I66="No",""," (Mant.)")&amp;IF(L66="No",""," (Sme)")&amp;IF(O66="No",""," (SMa)")</f>
        <v/>
      </c>
      <c r="DW66" s="1376"/>
      <c r="DX66" s="1378"/>
      <c r="DY66" s="1324"/>
      <c r="DZ66" s="939"/>
      <c r="EA66" s="1470">
        <f t="shared" si="0"/>
        <v>1</v>
      </c>
    </row>
    <row r="67" spans="1:131" ht="11.25" customHeight="1" x14ac:dyDescent="0.2">
      <c r="A67" s="939"/>
      <c r="B67" s="939"/>
      <c r="C67" s="4822"/>
      <c r="D67" s="1453" t="s">
        <v>1766</v>
      </c>
      <c r="E67" s="1003"/>
      <c r="F67" s="1019"/>
      <c r="G67" s="989" t="str">
        <f>IF(E67=0,"",VLOOKUP(E67,'Tablas Técnicas'!$A$14:$V$771,3,FALSE))</f>
        <v/>
      </c>
      <c r="H67" s="3033" t="str">
        <f>IF($E67=0,"",VLOOKUP($E67,'Tablas Técnicas'!$A$14:$V$771,4,FALSE))</f>
        <v/>
      </c>
      <c r="I67" s="987" t="s">
        <v>1690</v>
      </c>
      <c r="J67" s="1411" t="str">
        <f>IF(E67=0,"",VLOOKUP(E67,'Tablas Técnicas'!$A$14:$V$771,5,FALSE))</f>
        <v/>
      </c>
      <c r="K67" s="1006" t="str">
        <f>IF(I67="Si",IF(E67=0,"",VLOOKUP(E67,'Tablas Técnicas'!$A$14:$V$771,5,FALSE)),"")</f>
        <v/>
      </c>
      <c r="L67" s="987" t="s">
        <v>1690</v>
      </c>
      <c r="M67" s="1411" t="str">
        <f>IF(E67=0,"",VLOOKUP(E67,'Tablas Técnicas'!$A$14:$V$771,6,FALSE))</f>
        <v/>
      </c>
      <c r="N67" s="990" t="str">
        <f>IF(L67="Si",IF(E67=0,"",VLOOKUP(E67,'Tablas Técnicas'!$A$14:$V$771,6,FALSE)),"")</f>
        <v/>
      </c>
      <c r="O67" s="987" t="s">
        <v>1690</v>
      </c>
      <c r="P67" s="1411" t="str">
        <f>IF(E67=0,"",VLOOKUP(E67,'Tablas Técnicas'!$A$14:$V$771,7,FALSE))</f>
        <v/>
      </c>
      <c r="Q67" s="990" t="str">
        <f>IF(O67="Si",IF(E67=0,"",VLOOKUP(E67,'Tablas Técnicas'!$A$14:$V$771,7,FALSE)),"")</f>
        <v/>
      </c>
      <c r="R67" s="1005" t="str">
        <f>IF(E67=0,"",VLOOKUP(E67,'Tablas Técnicas'!$A$14:$V$771,8,FALSE))</f>
        <v/>
      </c>
      <c r="S67" s="3033" t="str">
        <f>IF(R67=$D$8,$D$8,IF(R67=2,2,IF(R67=3,3,R67)))</f>
        <v/>
      </c>
      <c r="T67" s="4809"/>
      <c r="U67" s="4810"/>
      <c r="V67" s="3029" t="str">
        <f>IF(OR(V65=0,V65=""),"N/A",V65)</f>
        <v>N/A</v>
      </c>
      <c r="W67" s="4809" t="str">
        <f xml:space="preserve"> IF(OR(AF65=0,AF65=""),"N/A",W65)</f>
        <v>N/A</v>
      </c>
      <c r="X67" s="4811"/>
      <c r="Y67" s="4811"/>
      <c r="Z67" s="4811"/>
      <c r="AA67" s="4811"/>
      <c r="AB67" s="4811"/>
      <c r="AC67" s="4811"/>
      <c r="AD67" s="4811"/>
      <c r="AE67" s="4811"/>
      <c r="AF67" s="4810"/>
      <c r="AG67" s="4809" t="str">
        <f xml:space="preserve"> IF(OR(AP65="",AP65=0),"N/A",AG65)</f>
        <v>N/A</v>
      </c>
      <c r="AH67" s="4811"/>
      <c r="AI67" s="4811"/>
      <c r="AJ67" s="4811"/>
      <c r="AK67" s="4811"/>
      <c r="AL67" s="4811"/>
      <c r="AM67" s="4811"/>
      <c r="AN67" s="4811"/>
      <c r="AO67" s="4811"/>
      <c r="AP67" s="4810"/>
      <c r="AQ67" s="4809" t="str">
        <f xml:space="preserve"> IF(OR(AZ65="",AZ65=0),"N/A",AQ65)</f>
        <v>N/A</v>
      </c>
      <c r="AR67" s="4811"/>
      <c r="AS67" s="4811"/>
      <c r="AT67" s="4811"/>
      <c r="AU67" s="4811"/>
      <c r="AV67" s="4811"/>
      <c r="AW67" s="4811"/>
      <c r="AX67" s="4811"/>
      <c r="AY67" s="4811"/>
      <c r="AZ67" s="4810"/>
      <c r="BA67" s="4809" t="str">
        <f xml:space="preserve"> IF(OR(BJ65="",BJ65=0),"N/A",BA65)</f>
        <v>N/A</v>
      </c>
      <c r="BB67" s="4811"/>
      <c r="BC67" s="4811"/>
      <c r="BD67" s="4811"/>
      <c r="BE67" s="4811"/>
      <c r="BF67" s="4811"/>
      <c r="BG67" s="4811"/>
      <c r="BH67" s="4811"/>
      <c r="BI67" s="4811"/>
      <c r="BJ67" s="4810"/>
      <c r="BK67" s="1007" t="s">
        <v>4543</v>
      </c>
      <c r="BL67" s="989"/>
      <c r="BM67" s="1024"/>
      <c r="BN67" s="1008"/>
      <c r="BO67" s="1009"/>
      <c r="BP67" s="1010" t="str">
        <f>IF(I67="Si",VLOOKUP($D$8,'Tablas Técnicas'!$E$4:$F$6,2,FALSE),"")</f>
        <v/>
      </c>
      <c r="BQ67" s="980" t="str">
        <f>IF(L67="Si",VLOOKUP($D$8,'Tablas Técnicas'!$I$4:$J$6,2,FALSE),"")</f>
        <v/>
      </c>
      <c r="BR67" s="1011" t="str">
        <f>IF(O67="Si",VLOOKUP($D$8,'Tablas Técnicas'!$I$7:$J$9,2,FALSE),"")</f>
        <v/>
      </c>
      <c r="BS67" s="994"/>
      <c r="BT67" s="3023" t="s">
        <v>1700</v>
      </c>
      <c r="BU67" s="3024" t="s">
        <v>4550</v>
      </c>
      <c r="BV67" s="971"/>
      <c r="BW67" s="3024" t="s">
        <v>4551</v>
      </c>
      <c r="BX67" s="3023" t="s">
        <v>4552</v>
      </c>
      <c r="BY67" s="1301" t="s">
        <v>4552</v>
      </c>
      <c r="BZ67" s="3027"/>
      <c r="CA67" s="939"/>
      <c r="DR67" s="939"/>
      <c r="DT67" s="1325"/>
      <c r="DU67" s="1379"/>
      <c r="DV67" s="1376" t="str">
        <f>IF(E67="","",E67)&amp;IF(I67="No",""," (Mant.)")&amp;IF(L67="No",""," (Sme)")&amp;IF(O67="No",""," (SMa)")</f>
        <v/>
      </c>
      <c r="DW67" s="1377"/>
      <c r="DX67" s="1378"/>
      <c r="DY67" s="1324"/>
      <c r="DZ67" s="939"/>
      <c r="EA67" s="1470">
        <f t="shared" si="0"/>
        <v>1</v>
      </c>
    </row>
    <row r="68" spans="1:131" x14ac:dyDescent="0.2">
      <c r="A68" s="939"/>
      <c r="B68" s="939"/>
      <c r="C68" s="4822"/>
      <c r="D68" s="1452" t="s">
        <v>1766</v>
      </c>
      <c r="E68" s="995"/>
      <c r="F68" s="1025"/>
      <c r="G68" s="1437" t="str">
        <f>IF(E68=0,"",VLOOKUP(E68,'Tablas Técnicas'!$A$14:$V$771,3,FALSE))</f>
        <v/>
      </c>
      <c r="H68" s="998" t="str">
        <f>IF($E68=0,"",VLOOKUP($E68,'Tablas Técnicas'!$A$14:$V$771,4,FALSE))</f>
        <v/>
      </c>
      <c r="I68" s="999" t="s">
        <v>1690</v>
      </c>
      <c r="J68" s="1415" t="str">
        <f>IF(E68=0,"",VLOOKUP(E68,'Tablas Técnicas'!$A$14:$V$771,5,FALSE))</f>
        <v/>
      </c>
      <c r="K68" s="1001" t="str">
        <f>IF(I68="Si",IF(E68=0,"",VLOOKUP(E68,'Tablas Técnicas'!$A$14:$V$771,5,FALSE)),"")</f>
        <v/>
      </c>
      <c r="L68" s="999" t="s">
        <v>1690</v>
      </c>
      <c r="M68" s="1415" t="str">
        <f>IF(E68=0,"",VLOOKUP(E68,'Tablas Técnicas'!$A$14:$V$771,6,FALSE))</f>
        <v/>
      </c>
      <c r="N68" s="1002" t="str">
        <f>IF(L68="Si",IF(E68=0,"",VLOOKUP(E68,'Tablas Técnicas'!$A$14:$V$771,6,FALSE)),"")</f>
        <v/>
      </c>
      <c r="O68" s="999" t="s">
        <v>1690</v>
      </c>
      <c r="P68" s="1415" t="str">
        <f>IF(E68=0,"",VLOOKUP(E68,'Tablas Técnicas'!$A$14:$V$771,7,FALSE))</f>
        <v/>
      </c>
      <c r="Q68" s="1002" t="str">
        <f>IF(O68="Si",IF(E68=0,"",VLOOKUP(E68,'Tablas Técnicas'!$A$14:$V$771,7,FALSE)),"")</f>
        <v/>
      </c>
      <c r="R68" s="1000" t="str">
        <f>IF(E68=0,"",VLOOKUP(E68,'Tablas Técnicas'!$A$14:$V$771,8,FALSE))</f>
        <v/>
      </c>
      <c r="S68" s="998" t="str">
        <f>IF(R68=$D$8,$D$8,IF(R68=2,2,IF(R68=3,3,R68)))</f>
        <v/>
      </c>
      <c r="T68" s="4812" t="s">
        <v>4544</v>
      </c>
      <c r="U68" s="4813"/>
      <c r="V68" s="3025"/>
      <c r="W68" s="4814"/>
      <c r="X68" s="4815"/>
      <c r="Y68" s="4815"/>
      <c r="Z68" s="4815"/>
      <c r="AA68" s="4815"/>
      <c r="AB68" s="4815"/>
      <c r="AC68" s="4815"/>
      <c r="AD68" s="4815"/>
      <c r="AE68" s="4815"/>
      <c r="AF68" s="4816"/>
      <c r="AG68" s="4814"/>
      <c r="AH68" s="4815"/>
      <c r="AI68" s="4815"/>
      <c r="AJ68" s="4815"/>
      <c r="AK68" s="4815"/>
      <c r="AL68" s="4815"/>
      <c r="AM68" s="4815"/>
      <c r="AN68" s="4815"/>
      <c r="AO68" s="4815"/>
      <c r="AP68" s="4816"/>
      <c r="AQ68" s="4814"/>
      <c r="AR68" s="4815"/>
      <c r="AS68" s="4815"/>
      <c r="AT68" s="4815"/>
      <c r="AU68" s="4815"/>
      <c r="AV68" s="4815"/>
      <c r="AW68" s="4815"/>
      <c r="AX68" s="4815"/>
      <c r="AY68" s="4815"/>
      <c r="AZ68" s="4816"/>
      <c r="BA68" s="4814"/>
      <c r="BB68" s="4815"/>
      <c r="BC68" s="4815"/>
      <c r="BD68" s="4815"/>
      <c r="BE68" s="4815"/>
      <c r="BF68" s="4815"/>
      <c r="BG68" s="4815"/>
      <c r="BH68" s="4815"/>
      <c r="BI68" s="4815"/>
      <c r="BJ68" s="4816"/>
      <c r="BK68" s="998">
        <f>(SUM(G65:G69)+IF(AF65="",0,AF65)+IF(AP65="",0,AP65)+IF(AZ65="",0,AZ65)+IF(BJ65="",0,BJ65)+SUM(K65:K69)+SUM(N65:N69)+SUM(Q65:Q69))- SUM(V68:BA68)</f>
        <v>0</v>
      </c>
      <c r="BL68" s="1437"/>
      <c r="BM68" s="1438"/>
      <c r="BN68" s="992"/>
      <c r="BO68" s="993"/>
      <c r="BP68" s="978" t="str">
        <f>IF(I68="Si",VLOOKUP($D$8,'Tablas Técnicas'!$E$4:$F$6,2,FALSE),"")</f>
        <v/>
      </c>
      <c r="BQ68" s="979" t="str">
        <f>IF(L68="Si",VLOOKUP($D$8,'Tablas Técnicas'!$I$4:$J$6,2,FALSE),"")</f>
        <v/>
      </c>
      <c r="BR68" s="977" t="str">
        <f>IF(O68="Si",VLOOKUP($D$8,'Tablas Técnicas'!$I$7:$J$9,2,FALSE),"")</f>
        <v/>
      </c>
      <c r="BS68" s="994"/>
      <c r="BT68" s="3028">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356"/>
      <c r="BV68" s="971"/>
      <c r="BW68" s="1026" t="str">
        <f>IF(SUM(BT68:BU68)=0,"N/A",SUM(BT68:BU68))</f>
        <v>N/A</v>
      </c>
      <c r="BX68" s="3028">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26" t="str">
        <f>IF(BX68=0,"N/A",BX68)</f>
        <v>N/A</v>
      </c>
      <c r="BZ68" s="3027"/>
      <c r="CA68" s="939"/>
      <c r="DR68" s="939"/>
      <c r="DT68" s="1325"/>
      <c r="DU68" s="1379"/>
      <c r="DV68" s="1376" t="str">
        <f>IF(E68="","",E68)&amp;IF(I68="No",""," (Mant.)")&amp;IF(L68="No",""," (Sme)")&amp;IF(O68="No",""," (SMa)")</f>
        <v/>
      </c>
      <c r="DW68" s="1377"/>
      <c r="DX68" s="1378"/>
      <c r="DY68" s="1324"/>
      <c r="DZ68" s="939"/>
      <c r="EA68" s="1470">
        <f t="shared" si="0"/>
        <v>1</v>
      </c>
    </row>
    <row r="69" spans="1:131" x14ac:dyDescent="0.2">
      <c r="A69" s="939"/>
      <c r="B69" s="939"/>
      <c r="C69" s="4822"/>
      <c r="D69" s="1453" t="s">
        <v>1766</v>
      </c>
      <c r="E69" s="1003"/>
      <c r="F69" s="1019"/>
      <c r="G69" s="989" t="str">
        <f>IF(E69=0,"",VLOOKUP(E69,'Tablas Técnicas'!$A$14:$V$771,3,FALSE))</f>
        <v/>
      </c>
      <c r="H69" s="1014" t="str">
        <f>IF($E69=0,"",VLOOKUP($E69,'Tablas Técnicas'!$A$14:$V$771,4,FALSE))</f>
        <v/>
      </c>
      <c r="I69" s="987" t="s">
        <v>1690</v>
      </c>
      <c r="J69" s="1418" t="str">
        <f>IF(E69=0,"",VLOOKUP(E69,'Tablas Técnicas'!$A$14:$V$771,5,FALSE))</f>
        <v/>
      </c>
      <c r="K69" s="1015" t="str">
        <f>IF(I69="Si",IF(E69=0,"",VLOOKUP(E69,'Tablas Técnicas'!$A$14:$V$771,5,FALSE)),"")</f>
        <v/>
      </c>
      <c r="L69" s="987" t="s">
        <v>1690</v>
      </c>
      <c r="M69" s="1418" t="str">
        <f>IF(E69=0,"",VLOOKUP(E69,'Tablas Técnicas'!$A$14:$V$771,6,FALSE))</f>
        <v/>
      </c>
      <c r="N69" s="990" t="str">
        <f>IF(L69="Si",IF(E69=0,"",VLOOKUP(E69,'Tablas Técnicas'!$A$14:$V$771,6,FALSE)),"")</f>
        <v/>
      </c>
      <c r="O69" s="987" t="s">
        <v>1690</v>
      </c>
      <c r="P69" s="1418" t="str">
        <f>IF(E69=0,"",VLOOKUP(E69,'Tablas Técnicas'!$A$14:$V$771,7,FALSE))</f>
        <v/>
      </c>
      <c r="Q69" s="990" t="str">
        <f>IF(O69="Si",IF(E69=0,"",VLOOKUP(E69,'Tablas Técnicas'!$A$14:$V$771,7,FALSE)),"")</f>
        <v/>
      </c>
      <c r="R69" s="1035" t="str">
        <f>IF(E69=0,"",VLOOKUP(E69,'Tablas Técnicas'!$A$14:$V$771,8,FALSE))</f>
        <v/>
      </c>
      <c r="S69" s="1004" t="str">
        <f>IF(R69=$D$8,$D$8,IF(R69=2,2,IF(R69=3,3,R69)))</f>
        <v/>
      </c>
      <c r="T69" s="4803" t="s">
        <v>4546</v>
      </c>
      <c r="U69" s="4804"/>
      <c r="V69" s="3032"/>
      <c r="W69" s="4805"/>
      <c r="X69" s="4806"/>
      <c r="Y69" s="4806"/>
      <c r="Z69" s="4806"/>
      <c r="AA69" s="4806"/>
      <c r="AB69" s="4806"/>
      <c r="AC69" s="4806"/>
      <c r="AD69" s="4806"/>
      <c r="AE69" s="4806"/>
      <c r="AF69" s="4807"/>
      <c r="AG69" s="4805"/>
      <c r="AH69" s="4806"/>
      <c r="AI69" s="4806"/>
      <c r="AJ69" s="4806"/>
      <c r="AK69" s="4806"/>
      <c r="AL69" s="4806"/>
      <c r="AM69" s="4806"/>
      <c r="AN69" s="4806"/>
      <c r="AO69" s="4806"/>
      <c r="AP69" s="4807"/>
      <c r="AQ69" s="4805"/>
      <c r="AR69" s="4806"/>
      <c r="AS69" s="4806"/>
      <c r="AT69" s="4806"/>
      <c r="AU69" s="4806"/>
      <c r="AV69" s="4806"/>
      <c r="AW69" s="4806"/>
      <c r="AX69" s="4806"/>
      <c r="AY69" s="4806"/>
      <c r="AZ69" s="4807"/>
      <c r="BA69" s="4805"/>
      <c r="BB69" s="4806"/>
      <c r="BC69" s="4806"/>
      <c r="BD69" s="4806"/>
      <c r="BE69" s="4806"/>
      <c r="BF69" s="4806"/>
      <c r="BG69" s="4806"/>
      <c r="BH69" s="4806"/>
      <c r="BI69" s="4806"/>
      <c r="BJ69" s="4807"/>
      <c r="BK69" s="1014">
        <f>SUM(K65:K69)-SUM(V69:BA69)</f>
        <v>0</v>
      </c>
      <c r="BL69" s="1439"/>
      <c r="BM69" s="1440"/>
      <c r="BN69" s="1008"/>
      <c r="BO69" s="1009"/>
      <c r="BP69" s="1010" t="str">
        <f>IF(I69="Si",VLOOKUP($D$8,'Tablas Técnicas'!$E$4:$F$6,2,FALSE),"")</f>
        <v/>
      </c>
      <c r="BQ69" s="980" t="str">
        <f>IF(L69="Si",VLOOKUP($D$8,'Tablas Técnicas'!$I$4:$J$6,2,FALSE),"")</f>
        <v/>
      </c>
      <c r="BR69" s="1011" t="str">
        <f>IF(O69="Si",VLOOKUP($D$8,'Tablas Técnicas'!$I$7:$J$9,2,FALSE),"")</f>
        <v/>
      </c>
      <c r="BS69" s="994"/>
      <c r="BT69" s="3023" t="s">
        <v>1701</v>
      </c>
      <c r="BU69" s="3024" t="s">
        <v>4550</v>
      </c>
      <c r="BV69" s="971"/>
      <c r="BW69" s="3024" t="s">
        <v>4551</v>
      </c>
      <c r="BX69" s="3023" t="s">
        <v>4552</v>
      </c>
      <c r="BY69" s="1301" t="s">
        <v>4552</v>
      </c>
      <c r="BZ69" s="3027"/>
      <c r="CA69" s="939"/>
      <c r="DR69" s="939"/>
      <c r="DT69" s="1325"/>
      <c r="DU69" s="1379"/>
      <c r="DV69" s="1376" t="str">
        <f>IF(E69="","",E69)&amp;IF(I69="No",""," (Mant.)")&amp;IF(L69="No",""," (Sme)")&amp;IF(O69="No",""," (SMa)")</f>
        <v/>
      </c>
      <c r="DW69" s="1377"/>
      <c r="DX69" s="1378"/>
      <c r="DY69" s="1324"/>
      <c r="DZ69" s="939"/>
      <c r="EA69" s="1470">
        <f t="shared" si="0"/>
        <v>1</v>
      </c>
    </row>
    <row r="70" spans="1:131" x14ac:dyDescent="0.2">
      <c r="A70" s="939"/>
      <c r="B70" s="1403"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822"/>
      <c r="D70" s="1454">
        <v>5</v>
      </c>
      <c r="E70" s="1246"/>
      <c r="F70" s="1016"/>
      <c r="G70" s="1017"/>
      <c r="H70" s="2159">
        <f t="array" ref="H70">IF(AND(OR(ISNUMBER(SEARCH("Empatía Elemental ("&amp;BK65:BM65&amp;")",Principal!$AF$30))),SUM(H65:H69)&gt;=10),-5,0)</f>
        <v>0</v>
      </c>
      <c r="I70" s="1413"/>
      <c r="J70" s="1416"/>
      <c r="K70" s="1017"/>
      <c r="L70" s="1413"/>
      <c r="M70" s="1416"/>
      <c r="N70" s="1017"/>
      <c r="O70" s="1413"/>
      <c r="P70" s="1416"/>
      <c r="Q70" s="1017"/>
      <c r="R70" s="1018"/>
      <c r="S70" s="1017"/>
      <c r="T70" s="1017"/>
      <c r="U70" s="1017"/>
      <c r="V70" s="1017"/>
      <c r="W70" s="1017"/>
      <c r="X70" s="1017"/>
      <c r="Y70" s="1017"/>
      <c r="Z70" s="1017"/>
      <c r="AA70" s="1017"/>
      <c r="AB70" s="1017"/>
      <c r="AC70" s="1017"/>
      <c r="AD70" s="1017"/>
      <c r="AE70" s="1017"/>
      <c r="AF70" s="1017"/>
      <c r="AG70" s="1017"/>
      <c r="AH70" s="1017"/>
      <c r="AI70" s="1017"/>
      <c r="AJ70" s="1017"/>
      <c r="AK70" s="1017"/>
      <c r="AL70" s="1017"/>
      <c r="AM70" s="1017"/>
      <c r="AN70" s="1017"/>
      <c r="AO70" s="1017"/>
      <c r="AP70" s="1017"/>
      <c r="AQ70" s="1017"/>
      <c r="AR70" s="1017"/>
      <c r="AS70" s="1017"/>
      <c r="AT70" s="1017"/>
      <c r="AU70" s="1017"/>
      <c r="AV70" s="1017"/>
      <c r="AW70" s="1017"/>
      <c r="AX70" s="1017"/>
      <c r="AY70" s="1017"/>
      <c r="AZ70" s="1017"/>
      <c r="BA70" s="1017"/>
      <c r="BB70" s="1017"/>
      <c r="BC70" s="1017"/>
      <c r="BD70" s="1017"/>
      <c r="BE70" s="1017"/>
      <c r="BF70" s="1017"/>
      <c r="BG70" s="1017"/>
      <c r="BH70" s="1017"/>
      <c r="BI70" s="1017"/>
      <c r="BJ70" s="1017"/>
      <c r="BK70" s="1017"/>
      <c r="BL70" s="1017"/>
      <c r="BM70" s="1027"/>
      <c r="BN70" s="1028">
        <f>SUM(K70:K73)</f>
        <v>0</v>
      </c>
      <c r="BO70" s="971" t="str">
        <f>IF(E70=0,"",(AF70+AP70+AZ70+BJ70))</f>
        <v/>
      </c>
      <c r="BP70" s="1029" t="str">
        <f>IF(I70="Si",VLOOKUP($D$8,'Tablas Técnicas'!$E$4:$F$6,2,FALSE),"")</f>
        <v/>
      </c>
      <c r="BQ70" s="1030" t="str">
        <f>IF(L70="Si",VLOOKUP($D$8,'Tablas Técnicas'!$I$4:$J$6,2,FALSE),"")</f>
        <v/>
      </c>
      <c r="BR70" s="1028" t="str">
        <f>IF(O70="Si",VLOOKUP($D$8,'Tablas Técnicas'!$I$7:$J$9,2,FALSE),"")</f>
        <v/>
      </c>
      <c r="BS70" s="994"/>
      <c r="BT70" s="3028">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356"/>
      <c r="BV70" s="971"/>
      <c r="BW70" s="1026" t="str">
        <f>IF(SUM(BT70:BU70)=0,"N/A",SUM(BT70:BU70))</f>
        <v>N/A</v>
      </c>
      <c r="BX70" s="3028">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26" t="str">
        <f>IF(BX70=0,"N/A",BX70)</f>
        <v>N/A</v>
      </c>
      <c r="BZ70" s="3027"/>
      <c r="CA70" s="939"/>
      <c r="DR70" s="939"/>
      <c r="DT70" s="1325"/>
      <c r="DU70" s="1379"/>
      <c r="DV70" s="1380"/>
      <c r="DW70" s="1377"/>
      <c r="DX70" s="1378"/>
      <c r="DY70" s="1324"/>
      <c r="DZ70" s="939"/>
      <c r="EA70" s="1470">
        <f t="shared" si="0"/>
        <v>1</v>
      </c>
    </row>
    <row r="71" spans="1:131" s="1013" customFormat="1" ht="12" thickBot="1" x14ac:dyDescent="0.25">
      <c r="A71" s="939"/>
      <c r="B71" s="939"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822"/>
      <c r="D71" s="1453" t="s">
        <v>1766</v>
      </c>
      <c r="E71" s="983"/>
      <c r="F71" s="1019"/>
      <c r="G71" s="989" t="str">
        <f>IF(E71=0,"",VLOOKUP(E71,'Tablas Técnicas'!$A$14:$V$771,3,FALSE))</f>
        <v/>
      </c>
      <c r="H71" s="1031" t="str">
        <f>IF($E71=0,"",VLOOKUP($E71,'Tablas Técnicas'!$A$14:$V$771,4,FALSE))</f>
        <v/>
      </c>
      <c r="I71" s="987" t="s">
        <v>1690</v>
      </c>
      <c r="J71" s="1417" t="str">
        <f>IF(E71=0,"",VLOOKUP(E71,'Tablas Técnicas'!$A$14:$V$771,5,FALSE))</f>
        <v/>
      </c>
      <c r="K71" s="1033" t="str">
        <f>IF(I71="Si",IF(E71=0,"",VLOOKUP(E71,'Tablas Técnicas'!$A$14:$V$771,5,FALSE)),"")</f>
        <v/>
      </c>
      <c r="L71" s="987" t="s">
        <v>1690</v>
      </c>
      <c r="M71" s="1417" t="str">
        <f>IF(E71=0,"",VLOOKUP(E71,'Tablas Técnicas'!$A$14:$V$771,6,FALSE))</f>
        <v/>
      </c>
      <c r="N71" s="990" t="str">
        <f>IF(L71="Si",IF(E71=0,"",VLOOKUP(E71,'Tablas Técnicas'!$A$14:$V$771,6,FALSE)),"")</f>
        <v/>
      </c>
      <c r="O71" s="987" t="s">
        <v>1690</v>
      </c>
      <c r="P71" s="1417" t="str">
        <f>IF(E71=0,"",VLOOKUP(E71,'Tablas Técnicas'!$A$14:$V$771,7,FALSE))</f>
        <v/>
      </c>
      <c r="Q71" s="990" t="str">
        <f>IF(O71="Si",IF(E71=0,"",VLOOKUP(E71,'Tablas Técnicas'!$A$14:$V$771,7,FALSE)),"")</f>
        <v/>
      </c>
      <c r="R71" s="1032" t="str">
        <f>IF(E71=0,"",VLOOKUP(E71,'Tablas Técnicas'!$A$14:$V$771,8,FALSE))</f>
        <v/>
      </c>
      <c r="S71" s="1004" t="str">
        <f>IF(R71=$D$8,$D$8,IF(R71=2,2,IF(R71=3,3,R71)))</f>
        <v/>
      </c>
      <c r="T71" s="1033" t="str">
        <f>IF(E71=0,"",VLOOKUP(E71,'Tablas Técnicas'!$A$14:$V$771,9,FALSE))</f>
        <v/>
      </c>
      <c r="U71" s="1033" t="str">
        <f>IF(E71=0,"",VLOOKUP(E71,'Tablas Técnicas'!$A$14:$V$771,10,FALSE))</f>
        <v/>
      </c>
      <c r="V71" s="1034" t="str">
        <f>IF(E71=0,"",VLOOKUP(E71,'Tablas Técnicas'!$A$14:$V$771,11,FALSE))</f>
        <v/>
      </c>
      <c r="W71" s="987"/>
      <c r="X71" s="988" t="e">
        <f>VLOOKUP(E71,'Tablas Técnicas'!$A$14:$V$771,12,FALSE)</f>
        <v>#N/A</v>
      </c>
      <c r="Y71" s="988" t="e">
        <f>IF(W71=X71,VLOOKUP(E71,'Tablas Técnicas'!$A$14:$V$771,13,FALSE),0)</f>
        <v>#N/A</v>
      </c>
      <c r="Z71" s="988" t="e">
        <f>VLOOKUP(E71,'Tablas Técnicas'!$A$14:$V$771,14,FALSE)</f>
        <v>#N/A</v>
      </c>
      <c r="AA71" s="988" t="e">
        <f>IF(W71=Z71,VLOOKUP(E71,'Tablas Técnicas'!$A$14:$V$616,15,FALSE),0)</f>
        <v>#N/A</v>
      </c>
      <c r="AB71" s="988" t="e">
        <f>VLOOKUP(E71,'Tablas Técnicas'!$A$14:$V$771,16,FALSE)</f>
        <v>#N/A</v>
      </c>
      <c r="AC71" s="988" t="e">
        <f>IF(W71=AB71,VLOOKUP(E71,'Tablas Técnicas'!$A$14:$V$616,17,FALSE),0)</f>
        <v>#N/A</v>
      </c>
      <c r="AD71" s="988" t="e">
        <f>VLOOKUP(E71,'Tablas Técnicas'!$A$14:$V$771,18,FALSE)</f>
        <v>#N/A</v>
      </c>
      <c r="AE71" s="988" t="e">
        <f>IF(W71=AD71,VLOOKUP(E71,'Tablas Técnicas'!$A$14:$V$771,19,FALSE),0)</f>
        <v>#N/A</v>
      </c>
      <c r="AF71" s="1006" t="str">
        <f>IF(E71=0,"",(Y71+AA71+AC71+AE71))</f>
        <v/>
      </c>
      <c r="AG71" s="987"/>
      <c r="AH71" s="1005" t="e">
        <f>VLOOKUP(E71,'Tablas Técnicas'!$A$14:$V$771,12,FALSE)</f>
        <v>#N/A</v>
      </c>
      <c r="AI71" s="1005" t="e">
        <f>IF(AG71=AH71,VLOOKUP(E71,'Tablas Técnicas'!$A$14:$V$771,13,FALSE),0)</f>
        <v>#N/A</v>
      </c>
      <c r="AJ71" s="1005" t="e">
        <f>VLOOKUP(E71,'Tablas Técnicas'!$A$14:$V$771,14,FALSE)</f>
        <v>#N/A</v>
      </c>
      <c r="AK71" s="1005" t="e">
        <f>IF(AG71=AJ71,VLOOKUP(E71,'Tablas Técnicas'!$A$14:$V$771,15,FALSE),0)</f>
        <v>#N/A</v>
      </c>
      <c r="AL71" s="1005" t="e">
        <f>VLOOKUP(E71,'Tablas Técnicas'!$A$14:$V$771,16,FALSE)</f>
        <v>#N/A</v>
      </c>
      <c r="AM71" s="1005" t="e">
        <f>IF(AG71=AL71,VLOOKUP(E71,'Tablas Técnicas'!$A$14:$V$771,17,FALSE),0)</f>
        <v>#N/A</v>
      </c>
      <c r="AN71" s="1005" t="e">
        <f>VLOOKUP(E71,'Tablas Técnicas'!$A$14:$V$771,18,FALSE)</f>
        <v>#N/A</v>
      </c>
      <c r="AO71" s="1005" t="e">
        <f>IF(AG71=AN71,VLOOKUP(E71,'Tablas Técnicas'!$A$14:$V$771,19,FALSE),0)</f>
        <v>#N/A</v>
      </c>
      <c r="AP71" s="3034" t="str">
        <f>IF(E71=0,"",(AI71+AK71+AM71+AO71))</f>
        <v/>
      </c>
      <c r="AQ71" s="987"/>
      <c r="AR71" s="1005" t="e">
        <f>VLOOKUP(E71,'Tablas Técnicas'!$A$14:$V$771,12,FALSE)</f>
        <v>#N/A</v>
      </c>
      <c r="AS71" s="1005" t="e">
        <f>IF(AQ71=AR71,VLOOKUP(E71,'Tablas Técnicas'!$A$14:$V$771,13,FALSE),0)</f>
        <v>#N/A</v>
      </c>
      <c r="AT71" s="1005" t="e">
        <f>VLOOKUP(E71,'Tablas Técnicas'!$A$14:$V$771,14,FALSE)</f>
        <v>#N/A</v>
      </c>
      <c r="AU71" s="1005" t="e">
        <f>IF(AQ71=AT71,VLOOKUP(E71,'Tablas Técnicas'!$A$14:$V$771,15,FALSE),0)</f>
        <v>#N/A</v>
      </c>
      <c r="AV71" s="1005" t="e">
        <f>VLOOKUP(E71,'Tablas Técnicas'!$A$14:$V$771,16,FALSE)</f>
        <v>#N/A</v>
      </c>
      <c r="AW71" s="1005" t="e">
        <f>IF(AQ71=AV71,VLOOKUP(E71,'Tablas Técnicas'!$A$14:$V$771,17,FALSE),0)</f>
        <v>#N/A</v>
      </c>
      <c r="AX71" s="1005" t="e">
        <f>VLOOKUP(E71,'Tablas Técnicas'!$A$14:$V$771,18,FALSE)</f>
        <v>#N/A</v>
      </c>
      <c r="AY71" s="1005" t="e">
        <f>IF(AQ71=AX71,VLOOKUP(E71,'Tablas Técnicas'!$A$14:$V$771,19,FALSE),0)</f>
        <v>#N/A</v>
      </c>
      <c r="AZ71" s="1006" t="str">
        <f>IF(E71=0,"",(AS71+AU71+AW71+AY71))</f>
        <v/>
      </c>
      <c r="BA71" s="987"/>
      <c r="BB71" s="1005" t="e">
        <f>VLOOKUP(E71,'Tablas Técnicas'!$A$14:$V$771,12,FALSE)</f>
        <v>#N/A</v>
      </c>
      <c r="BC71" s="1005" t="e">
        <f>IF(BA71=BB71,VLOOKUP(E71,'Tablas Técnicas'!$A$14:$V$771,13,FALSE),0)</f>
        <v>#N/A</v>
      </c>
      <c r="BD71" s="1005" t="e">
        <f>VLOOKUP(E71,'Tablas Técnicas'!$A$14:$V$771,14,FALSE)</f>
        <v>#N/A</v>
      </c>
      <c r="BE71" s="1005" t="e">
        <f>IF(BA71=BD71,VLOOKUP(E71,'Tablas Técnicas'!$A$14:$V$771,15,FALSE),0)</f>
        <v>#N/A</v>
      </c>
      <c r="BF71" s="1005" t="e">
        <f>VLOOKUP(E71,'Tablas Técnicas'!$A$14:$V$771,16,FALSE)</f>
        <v>#N/A</v>
      </c>
      <c r="BG71" s="1005" t="e">
        <f>IF(BA71=BF71,VLOOKUP(E71,'Tablas Técnicas'!$A$14:$V$771,17,FALSE),0)</f>
        <v>#N/A</v>
      </c>
      <c r="BH71" s="1005" t="e">
        <f>VLOOKUP(E71,'Tablas Técnicas'!$A$14:$V$771,18,FALSE)</f>
        <v>#N/A</v>
      </c>
      <c r="BI71" s="1005" t="e">
        <f>IF(BA71=BH71,VLOOKUP(E71,'Tablas Técnicas'!$A$14:$V$771,19,FALSE),0)</f>
        <v>#N/A</v>
      </c>
      <c r="BJ71" s="3034" t="str">
        <f>IF(E71=0,"",(BC71+BE71+BG71+BI71))</f>
        <v/>
      </c>
      <c r="BK71" s="1033" t="str">
        <f>IF(E71=0,"",VLOOKUP(E71,'Tablas Técnicas'!$A$14:$V$771,20,FALSE))</f>
        <v/>
      </c>
      <c r="BL71" s="1020" t="str">
        <f>IF(E71=0,"",VLOOKUP(E71,'Tablas Técnicas'!$A$14:$V$771,21,FALSE))</f>
        <v/>
      </c>
      <c r="BM71" s="991" t="str">
        <f>IF(E71=0,"",VLOOKUP(E71,'Tablas Técnicas'!$A$14:$V$771,22,FALSE))</f>
        <v/>
      </c>
      <c r="BN71" s="992"/>
      <c r="BO71" s="993"/>
      <c r="BP71" s="978" t="str">
        <f>IF(I71="Si",VLOOKUP($D$8,'Tablas Técnicas'!$E$4:$F$6,2,FALSE),"")</f>
        <v/>
      </c>
      <c r="BQ71" s="979" t="str">
        <f>IF(L71="Si",VLOOKUP($D$8,'Tablas Técnicas'!$I$4:$J$6,2,FALSE),"")</f>
        <v/>
      </c>
      <c r="BR71" s="977" t="str">
        <f>IF(O71="Si",VLOOKUP($D$8,'Tablas Técnicas'!$I$7:$J$9,2,FALSE),"")</f>
        <v/>
      </c>
      <c r="BS71" s="994"/>
      <c r="BT71" s="960"/>
      <c r="BU71" s="4777"/>
      <c r="BV71" s="4777"/>
      <c r="BW71" s="4777"/>
      <c r="BX71" s="951"/>
      <c r="BY71" s="1287"/>
      <c r="BZ71" s="1304"/>
      <c r="CA71" s="939"/>
      <c r="CC71" s="2940"/>
      <c r="DR71" s="939"/>
      <c r="DS71" s="1320"/>
      <c r="DT71" s="1326"/>
      <c r="DU71" s="1428" t="str">
        <f>DU47&amp;DU48&amp;DU49&amp;DU50&amp;DU51&amp;DU52</f>
        <v/>
      </c>
      <c r="DV71" s="1429" t="str">
        <f>DV47&amp;DV48&amp;DV49&amp;DV50&amp;DV51&amp;DV53&amp;DV54&amp;DV55&amp;DV56&amp;DV57&amp;DV59&amp;DV60&amp;DV61&amp;DV62&amp;DV63&amp;DV65&amp;DV66&amp;DV67&amp;DV68&amp;DV69</f>
        <v/>
      </c>
      <c r="DW71" s="1430" t="str">
        <f>DW47&amp;DW48&amp;DW49</f>
        <v/>
      </c>
      <c r="DX71" s="1431" t="str">
        <f>IF(DX53="",DX47,DX53)</f>
        <v/>
      </c>
      <c r="DY71" s="1327"/>
      <c r="DZ71" s="939"/>
      <c r="EA71" s="1470">
        <f t="shared" si="0"/>
        <v>1</v>
      </c>
    </row>
    <row r="72" spans="1:131" x14ac:dyDescent="0.2">
      <c r="A72" s="939"/>
      <c r="B72" s="939"/>
      <c r="C72" s="4822"/>
      <c r="D72" s="1452" t="s">
        <v>1766</v>
      </c>
      <c r="E72" s="995"/>
      <c r="F72" s="1025"/>
      <c r="G72" s="1437" t="str">
        <f>IF(E72=0,"",VLOOKUP(E72,'Tablas Técnicas'!$A$14:$V$771,3,FALSE))</f>
        <v/>
      </c>
      <c r="H72" s="998" t="str">
        <f>IF($E72=0,"",VLOOKUP($E72,'Tablas Técnicas'!$A$14:$V$771,4,FALSE))</f>
        <v/>
      </c>
      <c r="I72" s="999" t="s">
        <v>1690</v>
      </c>
      <c r="J72" s="1415" t="str">
        <f>IF(E72=0,"",VLOOKUP(E72,'Tablas Técnicas'!$A$14:$V$771,5,FALSE))</f>
        <v/>
      </c>
      <c r="K72" s="1001" t="str">
        <f>IF(I72="Si",IF(E72=0,"",VLOOKUP(E72,'Tablas Técnicas'!$A$14:$V$771,5,FALSE)),"")</f>
        <v/>
      </c>
      <c r="L72" s="999" t="s">
        <v>1690</v>
      </c>
      <c r="M72" s="1415" t="str">
        <f>IF(E72=0,"",VLOOKUP(E72,'Tablas Técnicas'!$A$14:$V$771,6,FALSE))</f>
        <v/>
      </c>
      <c r="N72" s="1002" t="str">
        <f>IF(L72="Si",IF(E72=0,"",VLOOKUP(E72,'Tablas Técnicas'!$A$14:$V$771,6,FALSE)),"")</f>
        <v/>
      </c>
      <c r="O72" s="999" t="s">
        <v>1690</v>
      </c>
      <c r="P72" s="1415" t="str">
        <f>IF(E72=0,"",VLOOKUP(E72,'Tablas Técnicas'!$A$14:$V$771,7,FALSE))</f>
        <v/>
      </c>
      <c r="Q72" s="1002" t="str">
        <f>IF(O72="Si",IF(E72=0,"",VLOOKUP(E72,'Tablas Técnicas'!$A$14:$V$771,7,FALSE)),"")</f>
        <v/>
      </c>
      <c r="R72" s="1000" t="str">
        <f>IF(E72=0,"",VLOOKUP(E72,'Tablas Técnicas'!$A$14:$V$771,8,FALSE))</f>
        <v/>
      </c>
      <c r="S72" s="998" t="str">
        <f>IF(R72=$D$8,$D$8,IF(R72=2,2,IF(R72=3,3,R72)))</f>
        <v/>
      </c>
      <c r="T72" s="4796" t="s">
        <v>4542</v>
      </c>
      <c r="U72" s="4797"/>
      <c r="V72" s="4797"/>
      <c r="W72" s="4797"/>
      <c r="X72" s="4797"/>
      <c r="Y72" s="4797"/>
      <c r="Z72" s="4797"/>
      <c r="AA72" s="4797"/>
      <c r="AB72" s="4797"/>
      <c r="AC72" s="4797"/>
      <c r="AD72" s="4797"/>
      <c r="AE72" s="4797"/>
      <c r="AF72" s="4797"/>
      <c r="AG72" s="4797"/>
      <c r="AH72" s="4797"/>
      <c r="AI72" s="4797"/>
      <c r="AJ72" s="4797"/>
      <c r="AK72" s="4797"/>
      <c r="AL72" s="4797"/>
      <c r="AM72" s="4797"/>
      <c r="AN72" s="4797"/>
      <c r="AO72" s="4797"/>
      <c r="AP72" s="4797"/>
      <c r="AQ72" s="4797"/>
      <c r="AR72" s="4797"/>
      <c r="AS72" s="4797"/>
      <c r="AT72" s="4797"/>
      <c r="AU72" s="4797"/>
      <c r="AV72" s="4797"/>
      <c r="AW72" s="4797"/>
      <c r="AX72" s="4797"/>
      <c r="AY72" s="4797"/>
      <c r="AZ72" s="4797"/>
      <c r="BA72" s="4797"/>
      <c r="BB72" s="4797"/>
      <c r="BC72" s="4797"/>
      <c r="BD72" s="4797"/>
      <c r="BE72" s="4797"/>
      <c r="BF72" s="4797"/>
      <c r="BG72" s="4797"/>
      <c r="BH72" s="4797"/>
      <c r="BI72" s="4797"/>
      <c r="BJ72" s="4797"/>
      <c r="BK72" s="4798"/>
      <c r="BL72" s="1437"/>
      <c r="BM72" s="1438"/>
      <c r="BN72" s="992"/>
      <c r="BO72" s="993"/>
      <c r="BP72" s="978" t="str">
        <f>IF(I72="Si",VLOOKUP($D$8,'Tablas Técnicas'!$E$4:$F$6,2,FALSE),"")</f>
        <v/>
      </c>
      <c r="BQ72" s="979" t="str">
        <f>IF(L72="Si",VLOOKUP($D$8,'Tablas Técnicas'!$I$4:$J$6,2,FALSE),"")</f>
        <v/>
      </c>
      <c r="BR72" s="977" t="str">
        <f>IF(O72="Si",VLOOKUP($D$8,'Tablas Técnicas'!$I$7:$J$9,2,FALSE),"")</f>
        <v/>
      </c>
      <c r="BS72" s="994"/>
      <c r="BT72" s="1036"/>
      <c r="BU72" s="1074"/>
      <c r="BV72" s="1074"/>
      <c r="BW72" s="1074"/>
      <c r="BX72" s="951"/>
      <c r="BY72" s="1286"/>
      <c r="BZ72" s="1304"/>
      <c r="CA72" s="939"/>
      <c r="DR72" s="939"/>
      <c r="DT72" s="1325"/>
      <c r="DU72" s="1377"/>
      <c r="DV72" s="1376" t="str">
        <f>IF(E72="","",E72)&amp;IF(I72="No",""," (Mant.)")&amp;IF(L72="No",""," (Sme)")&amp;IF(O72="No",""," (SMa)")</f>
        <v/>
      </c>
      <c r="DW72" s="1377"/>
      <c r="DX72" s="1377"/>
      <c r="DY72" s="1324"/>
      <c r="DZ72" s="939"/>
      <c r="EA72" s="1470">
        <f t="shared" si="0"/>
        <v>1</v>
      </c>
    </row>
    <row r="73" spans="1:131" ht="11.25" customHeight="1" x14ac:dyDescent="0.2">
      <c r="A73" s="939"/>
      <c r="B73" s="939"/>
      <c r="C73" s="4822"/>
      <c r="D73" s="1453" t="s">
        <v>1766</v>
      </c>
      <c r="E73" s="1003"/>
      <c r="F73" s="1019"/>
      <c r="G73" s="989" t="str">
        <f>IF(E73=0,"",VLOOKUP(E73,'Tablas Técnicas'!$A$14:$V$771,3,FALSE))</f>
        <v/>
      </c>
      <c r="H73" s="3033" t="str">
        <f>IF($E73=0,"",VLOOKUP($E73,'Tablas Técnicas'!$A$14:$V$771,4,FALSE))</f>
        <v/>
      </c>
      <c r="I73" s="987" t="s">
        <v>1690</v>
      </c>
      <c r="J73" s="1411" t="str">
        <f>IF(E73=0,"",VLOOKUP(E73,'Tablas Técnicas'!$A$14:$V$771,5,FALSE))</f>
        <v/>
      </c>
      <c r="K73" s="1006" t="str">
        <f>IF(I73="Si",IF(E73=0,"",VLOOKUP(E73,'Tablas Técnicas'!$A$14:$V$771,5,FALSE)),"")</f>
        <v/>
      </c>
      <c r="L73" s="987" t="s">
        <v>1690</v>
      </c>
      <c r="M73" s="1411" t="str">
        <f>IF(E73=0,"",VLOOKUP(E73,'Tablas Técnicas'!$A$14:$V$771,6,FALSE))</f>
        <v/>
      </c>
      <c r="N73" s="990" t="str">
        <f>IF(L73="Si",IF(E73=0,"",VLOOKUP(E73,'Tablas Técnicas'!$A$14:$V$771,6,FALSE)),"")</f>
        <v/>
      </c>
      <c r="O73" s="987" t="s">
        <v>1690</v>
      </c>
      <c r="P73" s="1411" t="str">
        <f>IF(E73=0,"",VLOOKUP(E73,'Tablas Técnicas'!$A$14:$V$771,7,FALSE))</f>
        <v/>
      </c>
      <c r="Q73" s="990" t="str">
        <f>IF(O73="Si",IF(E73=0,"",VLOOKUP(E73,'Tablas Técnicas'!$A$14:$V$771,7,FALSE)),"")</f>
        <v/>
      </c>
      <c r="R73" s="1005" t="str">
        <f>IF(E73=0,"",VLOOKUP(E73,'Tablas Técnicas'!$A$14:$V$771,8,FALSE))</f>
        <v/>
      </c>
      <c r="S73" s="3033" t="str">
        <f>IF(R73=$D$8,$D$8,IF(R73=2,2,IF(R73=3,3,R73)))</f>
        <v/>
      </c>
      <c r="T73" s="4809"/>
      <c r="U73" s="4810"/>
      <c r="V73" s="3029" t="str">
        <f>IF(OR(V71=0,V71=""),"N/A",V71)</f>
        <v>N/A</v>
      </c>
      <c r="W73" s="4809" t="str">
        <f xml:space="preserve"> IF(OR(AF71=0,AF71=""),"N/A",W71)</f>
        <v>N/A</v>
      </c>
      <c r="X73" s="4811"/>
      <c r="Y73" s="4811"/>
      <c r="Z73" s="4811"/>
      <c r="AA73" s="4811"/>
      <c r="AB73" s="4811"/>
      <c r="AC73" s="4811"/>
      <c r="AD73" s="4811"/>
      <c r="AE73" s="4811"/>
      <c r="AF73" s="4810"/>
      <c r="AG73" s="4809" t="str">
        <f xml:space="preserve"> IF(OR(AP71="",AP71=0),"N/A",AG71)</f>
        <v>N/A</v>
      </c>
      <c r="AH73" s="4811"/>
      <c r="AI73" s="4811"/>
      <c r="AJ73" s="4811"/>
      <c r="AK73" s="4811"/>
      <c r="AL73" s="4811"/>
      <c r="AM73" s="4811"/>
      <c r="AN73" s="4811"/>
      <c r="AO73" s="4811"/>
      <c r="AP73" s="4810"/>
      <c r="AQ73" s="4809" t="str">
        <f xml:space="preserve"> IF(OR(AZ71="",AZ71=0),"N/A",AQ71)</f>
        <v>N/A</v>
      </c>
      <c r="AR73" s="4811"/>
      <c r="AS73" s="4811"/>
      <c r="AT73" s="4811"/>
      <c r="AU73" s="4811"/>
      <c r="AV73" s="4811"/>
      <c r="AW73" s="4811"/>
      <c r="AX73" s="4811"/>
      <c r="AY73" s="4811"/>
      <c r="AZ73" s="4810"/>
      <c r="BA73" s="4809" t="str">
        <f xml:space="preserve"> IF(OR(BJ71="",BJ71=0),"N/A",BA71)</f>
        <v>N/A</v>
      </c>
      <c r="BB73" s="4811"/>
      <c r="BC73" s="4811"/>
      <c r="BD73" s="4811"/>
      <c r="BE73" s="4811"/>
      <c r="BF73" s="4811"/>
      <c r="BG73" s="4811"/>
      <c r="BH73" s="4811"/>
      <c r="BI73" s="4811"/>
      <c r="BJ73" s="4810"/>
      <c r="BK73" s="1007" t="s">
        <v>4543</v>
      </c>
      <c r="BL73" s="989"/>
      <c r="BM73" s="1024"/>
      <c r="BN73" s="1008"/>
      <c r="BO73" s="1009"/>
      <c r="BP73" s="1010" t="str">
        <f>IF(I73="Si",VLOOKUP($D$8,'Tablas Técnicas'!$E$4:$F$6,2,FALSE),"")</f>
        <v/>
      </c>
      <c r="BQ73" s="980" t="str">
        <f>IF(L73="Si",VLOOKUP($D$8,'Tablas Técnicas'!$I$4:$J$6,2,FALSE),"")</f>
        <v/>
      </c>
      <c r="BR73" s="1011" t="str">
        <f>IF(O73="Si",VLOOKUP($D$8,'Tablas Técnicas'!$I$7:$J$9,2,FALSE),"")</f>
        <v/>
      </c>
      <c r="BS73" s="994"/>
      <c r="BU73" s="4776"/>
      <c r="BV73" s="4776"/>
      <c r="BW73" s="4776"/>
      <c r="BX73" s="951"/>
      <c r="BY73" s="1286"/>
      <c r="BZ73" s="1304"/>
      <c r="CA73" s="939"/>
      <c r="DR73" s="939"/>
      <c r="DT73" s="1325"/>
      <c r="DU73" s="1377"/>
      <c r="DV73" s="1376" t="str">
        <f>IF(E73="","",E73)&amp;IF(I73="No",""," (Mant.)")&amp;IF(L73="No",""," (Sme)")&amp;IF(O73="No",""," (SMa)")</f>
        <v/>
      </c>
      <c r="DW73" s="1377"/>
      <c r="DX73" s="1377"/>
      <c r="DY73" s="1324"/>
      <c r="DZ73" s="939"/>
      <c r="EA73" s="1470">
        <f t="shared" si="0"/>
        <v>1</v>
      </c>
    </row>
    <row r="74" spans="1:131" ht="11.25" customHeight="1" x14ac:dyDescent="0.2">
      <c r="A74" s="939"/>
      <c r="B74" s="939"/>
      <c r="C74" s="4822"/>
      <c r="D74" s="1452" t="s">
        <v>1766</v>
      </c>
      <c r="E74" s="995"/>
      <c r="F74" s="1025"/>
      <c r="G74" s="1437" t="str">
        <f>IF(E74=0,"",VLOOKUP(E74,'Tablas Técnicas'!$A$14:$V$771,3,FALSE))</f>
        <v/>
      </c>
      <c r="H74" s="998" t="str">
        <f>IF($E74=0,"",VLOOKUP($E74,'Tablas Técnicas'!$A$14:$V$771,4,FALSE))</f>
        <v/>
      </c>
      <c r="I74" s="999" t="s">
        <v>1690</v>
      </c>
      <c r="J74" s="1415" t="str">
        <f>IF(E74=0,"",VLOOKUP(E74,'Tablas Técnicas'!$A$14:$V$771,5,FALSE))</f>
        <v/>
      </c>
      <c r="K74" s="1001" t="str">
        <f>IF(I74="Si",IF(E74=0,"",VLOOKUP(E74,'Tablas Técnicas'!$A$14:$V$771,5,FALSE)),"")</f>
        <v/>
      </c>
      <c r="L74" s="999" t="s">
        <v>1690</v>
      </c>
      <c r="M74" s="1415" t="str">
        <f>IF(E74=0,"",VLOOKUP(E74,'Tablas Técnicas'!$A$14:$V$771,6,FALSE))</f>
        <v/>
      </c>
      <c r="N74" s="1002" t="str">
        <f>IF(L74="Si",IF(E74=0,"",VLOOKUP(E74,'Tablas Técnicas'!$A$14:$V$771,6,FALSE)),"")</f>
        <v/>
      </c>
      <c r="O74" s="999" t="s">
        <v>1690</v>
      </c>
      <c r="P74" s="1415" t="str">
        <f>IF(E74=0,"",VLOOKUP(E74,'Tablas Técnicas'!$A$14:$V$771,7,FALSE))</f>
        <v/>
      </c>
      <c r="Q74" s="1002" t="str">
        <f>IF(O74="Si",IF(E74=0,"",VLOOKUP(E74,'Tablas Técnicas'!$A$14:$V$771,7,FALSE)),"")</f>
        <v/>
      </c>
      <c r="R74" s="1000" t="str">
        <f>IF(E74=0,"",VLOOKUP(E74,'Tablas Técnicas'!$A$14:$V$771,8,FALSE))</f>
        <v/>
      </c>
      <c r="S74" s="998" t="str">
        <f>IF(R74=$D$8,$D$8,IF(R74=2,2,IF(R74=3,3,R74)))</f>
        <v/>
      </c>
      <c r="T74" s="4812" t="s">
        <v>4544</v>
      </c>
      <c r="U74" s="4813"/>
      <c r="V74" s="3025"/>
      <c r="W74" s="4814"/>
      <c r="X74" s="4815"/>
      <c r="Y74" s="4815"/>
      <c r="Z74" s="4815"/>
      <c r="AA74" s="4815"/>
      <c r="AB74" s="4815"/>
      <c r="AC74" s="4815"/>
      <c r="AD74" s="4815"/>
      <c r="AE74" s="4815"/>
      <c r="AF74" s="4816"/>
      <c r="AG74" s="4814"/>
      <c r="AH74" s="4815"/>
      <c r="AI74" s="4815"/>
      <c r="AJ74" s="4815"/>
      <c r="AK74" s="4815"/>
      <c r="AL74" s="4815"/>
      <c r="AM74" s="4815"/>
      <c r="AN74" s="4815"/>
      <c r="AO74" s="4815"/>
      <c r="AP74" s="4816"/>
      <c r="AQ74" s="4814"/>
      <c r="AR74" s="4815"/>
      <c r="AS74" s="4815"/>
      <c r="AT74" s="4815"/>
      <c r="AU74" s="4815"/>
      <c r="AV74" s="4815"/>
      <c r="AW74" s="4815"/>
      <c r="AX74" s="4815"/>
      <c r="AY74" s="4815"/>
      <c r="AZ74" s="4816"/>
      <c r="BA74" s="4814"/>
      <c r="BB74" s="4815"/>
      <c r="BC74" s="4815"/>
      <c r="BD74" s="4815"/>
      <c r="BE74" s="4815"/>
      <c r="BF74" s="4815"/>
      <c r="BG74" s="4815"/>
      <c r="BH74" s="4815"/>
      <c r="BI74" s="4815"/>
      <c r="BJ74" s="4816"/>
      <c r="BK74" s="998">
        <f>(SUM(G71:G75)+IF(AF71="",0,AF71)+IF(AP71="",0,AP71)+IF(AZ71="",0,AZ71)+IF(BJ71="",0,BJ71)+SUM(K71:K75)+SUM(N71:N75)+SUM(Q71:Q75))- SUM(V74:BA74)</f>
        <v>0</v>
      </c>
      <c r="BL74" s="1437"/>
      <c r="BM74" s="1438"/>
      <c r="BN74" s="992"/>
      <c r="BO74" s="993"/>
      <c r="BP74" s="978" t="str">
        <f>IF(I74="Si",VLOOKUP($D$8,'Tablas Técnicas'!$E$4:$F$6,2,FALSE),"")</f>
        <v/>
      </c>
      <c r="BQ74" s="979" t="str">
        <f>IF(L74="Si",VLOOKUP($D$8,'Tablas Técnicas'!$I$4:$J$6,2,FALSE),"")</f>
        <v/>
      </c>
      <c r="BR74" s="977" t="str">
        <f>IF(O74="Si",VLOOKUP($D$8,'Tablas Técnicas'!$I$7:$J$9,2,FALSE),"")</f>
        <v/>
      </c>
      <c r="BS74" s="994"/>
      <c r="BU74" s="1074"/>
      <c r="BV74" s="1074"/>
      <c r="BW74" s="1074"/>
      <c r="BX74" s="951"/>
      <c r="BY74" s="1286"/>
      <c r="BZ74" s="1304"/>
      <c r="CA74" s="943"/>
      <c r="DR74" s="943"/>
      <c r="DT74" s="1325"/>
      <c r="DU74" s="1432"/>
      <c r="DV74" s="1376" t="str">
        <f>IF(E74="","",E74)&amp;IF(I74="No",""," (Mant.)")&amp;IF(L74="No",""," (Sme)")&amp;IF(O74="No",""," (SMa)")</f>
        <v/>
      </c>
      <c r="DW74" s="1432"/>
      <c r="DX74" s="1432"/>
      <c r="DY74" s="1324"/>
      <c r="DZ74" s="943"/>
      <c r="EA74" s="1470">
        <f t="shared" ref="EA74:EA137" si="1">EA73</f>
        <v>1</v>
      </c>
    </row>
    <row r="75" spans="1:131" x14ac:dyDescent="0.2">
      <c r="A75" s="939"/>
      <c r="B75" s="939"/>
      <c r="C75" s="4822"/>
      <c r="D75" s="1453" t="s">
        <v>1766</v>
      </c>
      <c r="E75" s="1003"/>
      <c r="F75" s="1019"/>
      <c r="G75" s="989" t="str">
        <f>IF(E75=0,"",VLOOKUP(E75,'Tablas Técnicas'!$A$14:$V$771,3,FALSE))</f>
        <v/>
      </c>
      <c r="H75" s="1004" t="str">
        <f>IF($E75=0,"",VLOOKUP($E75,'Tablas Técnicas'!$A$14:$V$771,4,FALSE))</f>
        <v/>
      </c>
      <c r="I75" s="987" t="s">
        <v>1690</v>
      </c>
      <c r="J75" s="1411" t="str">
        <f>IF(E75=0,"",VLOOKUP(E75,'Tablas Técnicas'!$A$14:$V$771,5,FALSE))</f>
        <v/>
      </c>
      <c r="K75" s="1006" t="str">
        <f>IF(I75="Si",IF(E75=0,"",VLOOKUP(E75,'Tablas Técnicas'!$A$14:$V$771,5,FALSE)),"")</f>
        <v/>
      </c>
      <c r="L75" s="987" t="s">
        <v>1690</v>
      </c>
      <c r="M75" s="1411" t="str">
        <f>IF(E75=0,"",VLOOKUP(E75,'Tablas Técnicas'!$A$14:$V$771,6,FALSE))</f>
        <v/>
      </c>
      <c r="N75" s="990" t="str">
        <f>IF(L75="Si",IF(E75=0,"",VLOOKUP(E75,'Tablas Técnicas'!$A$14:$V$771,6,FALSE)),"")</f>
        <v/>
      </c>
      <c r="O75" s="987" t="s">
        <v>1690</v>
      </c>
      <c r="P75" s="1411" t="str">
        <f>IF(E75=0,"",VLOOKUP(E75,'Tablas Técnicas'!$A$14:$V$771,7,FALSE))</f>
        <v/>
      </c>
      <c r="Q75" s="990" t="str">
        <f>IF(O75="Si",IF(E75=0,"",VLOOKUP(E75,'Tablas Técnicas'!$A$14:$V$771,7,FALSE)),"")</f>
        <v/>
      </c>
      <c r="R75" s="1005" t="str">
        <f>IF(E75=0,"",VLOOKUP(E75,'Tablas Técnicas'!$A$14:$V$771,8,FALSE))</f>
        <v/>
      </c>
      <c r="S75" s="1004" t="str">
        <f>IF(R75=$D$8,$D$8,IF(R75=2,2,IF(R75=3,3,R75)))</f>
        <v/>
      </c>
      <c r="T75" s="4817" t="s">
        <v>4546</v>
      </c>
      <c r="U75" s="4818"/>
      <c r="V75" s="3035"/>
      <c r="W75" s="4819"/>
      <c r="X75" s="4820"/>
      <c r="Y75" s="4820"/>
      <c r="Z75" s="4820"/>
      <c r="AA75" s="4820"/>
      <c r="AB75" s="4820"/>
      <c r="AC75" s="4820"/>
      <c r="AD75" s="4820"/>
      <c r="AE75" s="4820"/>
      <c r="AF75" s="4821"/>
      <c r="AG75" s="4819"/>
      <c r="AH75" s="4820"/>
      <c r="AI75" s="4820"/>
      <c r="AJ75" s="4820"/>
      <c r="AK75" s="4820"/>
      <c r="AL75" s="4820"/>
      <c r="AM75" s="4820"/>
      <c r="AN75" s="4820"/>
      <c r="AO75" s="4820"/>
      <c r="AP75" s="4821"/>
      <c r="AQ75" s="4819"/>
      <c r="AR75" s="4820"/>
      <c r="AS75" s="4820"/>
      <c r="AT75" s="4820"/>
      <c r="AU75" s="4820"/>
      <c r="AV75" s="4820"/>
      <c r="AW75" s="4820"/>
      <c r="AX75" s="4820"/>
      <c r="AY75" s="4820"/>
      <c r="AZ75" s="4821"/>
      <c r="BA75" s="4819"/>
      <c r="BB75" s="4820"/>
      <c r="BC75" s="4820"/>
      <c r="BD75" s="4820"/>
      <c r="BE75" s="4820"/>
      <c r="BF75" s="4820"/>
      <c r="BG75" s="4820"/>
      <c r="BH75" s="4820"/>
      <c r="BI75" s="4820"/>
      <c r="BJ75" s="4821"/>
      <c r="BK75" s="1004">
        <f>SUM(K71:K75)-SUM(V75:BA75)</f>
        <v>0</v>
      </c>
      <c r="BL75" s="989"/>
      <c r="BM75" s="1024"/>
      <c r="BN75" s="1008"/>
      <c r="BO75" s="1009"/>
      <c r="BP75" s="1010" t="str">
        <f>IF(I75="Si",VLOOKUP($D$8,'Tablas Técnicas'!$E$4:$F$6,2,FALSE),"")</f>
        <v/>
      </c>
      <c r="BQ75" s="980" t="str">
        <f>IF(L75="Si",VLOOKUP($D$8,'Tablas Técnicas'!$I$4:$J$6,2,FALSE),"")</f>
        <v/>
      </c>
      <c r="BR75" s="1011" t="str">
        <f>IF(O75="Si",VLOOKUP($D$8,'Tablas Técnicas'!$I$7:$J$9,2,FALSE),"")</f>
        <v/>
      </c>
      <c r="BS75" s="994"/>
      <c r="BU75" s="1074"/>
      <c r="BV75" s="1074"/>
      <c r="BW75" s="1074"/>
      <c r="BX75" s="951"/>
      <c r="BY75" s="1286"/>
      <c r="BZ75" s="1304"/>
      <c r="CA75" s="939"/>
      <c r="DR75" s="939"/>
      <c r="DT75" s="1325"/>
      <c r="DU75" s="1377"/>
      <c r="DV75" s="1376" t="str">
        <f>IF(E75="","",E75)&amp;IF(I75="No",""," (Mant.)")&amp;IF(L75="No",""," (Sme)")&amp;IF(O75="No",""," (SMa)")</f>
        <v/>
      </c>
      <c r="DW75" s="1377"/>
      <c r="DX75" s="1377"/>
      <c r="DY75" s="1324"/>
      <c r="DZ75" s="939"/>
      <c r="EA75" s="1470">
        <f t="shared" si="1"/>
        <v>1</v>
      </c>
    </row>
    <row r="76" spans="1:131" x14ac:dyDescent="0.2">
      <c r="A76" s="939"/>
      <c r="B76" s="939"/>
      <c r="C76" s="4822"/>
      <c r="D76" s="1455"/>
      <c r="E76" s="1404" t="s">
        <v>4553</v>
      </c>
      <c r="F76" s="1016"/>
      <c r="G76" s="1017"/>
      <c r="H76" s="2159">
        <f t="array" ref="H76">IF(AND(OR(ISNUMBER(SEARCH("Empatía Elemental ("&amp;BK71:BM71&amp;")",Principal!$AF$30))),SUM(H71:H75)&gt;=10),-5,0)</f>
        <v>0</v>
      </c>
      <c r="I76" s="1017"/>
      <c r="J76" s="1018"/>
      <c r="K76" s="1017"/>
      <c r="L76" s="1017"/>
      <c r="M76" s="1018"/>
      <c r="N76" s="1017"/>
      <c r="O76" s="1017"/>
      <c r="P76" s="1018"/>
      <c r="Q76" s="1017"/>
      <c r="R76" s="1018"/>
      <c r="S76" s="1017"/>
      <c r="T76" s="1017"/>
      <c r="U76" s="1037"/>
      <c r="V76" s="1037"/>
      <c r="W76" s="1037"/>
      <c r="X76" s="1037"/>
      <c r="Y76" s="1037"/>
      <c r="Z76" s="1037"/>
      <c r="AA76" s="1037"/>
      <c r="AB76" s="1037"/>
      <c r="AC76" s="1037"/>
      <c r="AD76" s="1037"/>
      <c r="AE76" s="1037"/>
      <c r="AF76" s="1037"/>
      <c r="AG76" s="1037"/>
      <c r="AH76" s="1037"/>
      <c r="AI76" s="1037"/>
      <c r="AJ76" s="1037"/>
      <c r="AK76" s="1037"/>
      <c r="AL76" s="1037"/>
      <c r="AM76" s="1037"/>
      <c r="AN76" s="1037"/>
      <c r="AO76" s="1037"/>
      <c r="AP76" s="1037"/>
      <c r="AQ76" s="1037"/>
      <c r="AR76" s="1037"/>
      <c r="AS76" s="1037"/>
      <c r="AT76" s="1037"/>
      <c r="AU76" s="1037"/>
      <c r="AV76" s="1037"/>
      <c r="AW76" s="1037"/>
      <c r="AX76" s="1037"/>
      <c r="AY76" s="1037"/>
      <c r="AZ76" s="1037"/>
      <c r="BA76" s="1037"/>
      <c r="BB76" s="1037"/>
      <c r="BC76" s="1037"/>
      <c r="BD76" s="1037"/>
      <c r="BE76" s="1037"/>
      <c r="BF76" s="1037"/>
      <c r="BG76" s="1037"/>
      <c r="BH76" s="1037"/>
      <c r="BI76" s="1037"/>
      <c r="BJ76" s="1037"/>
      <c r="BK76" s="4802"/>
      <c r="BL76" s="4802"/>
      <c r="BM76" s="4767"/>
      <c r="BN76" s="977">
        <f>SUM(K76:K79)</f>
        <v>0</v>
      </c>
      <c r="BO76" s="971">
        <f>IF(E76=0,"",(AF76+AP76+AZ76+BJ76))</f>
        <v>0</v>
      </c>
      <c r="BP76" s="978" t="str">
        <f>IF(I76="Si",VLOOKUP($D$8,'Tablas Técnicas'!$E$4:$F$6,2,FALSE),"")</f>
        <v/>
      </c>
      <c r="BQ76" s="979" t="str">
        <f>IF(L76="Si",VLOOKUP($D$8,'Tablas Técnicas'!$I$4:$J$6,2,FALSE),"")</f>
        <v/>
      </c>
      <c r="BR76" s="977" t="str">
        <f>IF(O76="Si",VLOOKUP($D$8,'Tablas Técnicas'!$I$7:$J$9,2,FALSE),"")</f>
        <v/>
      </c>
      <c r="BS76" s="994"/>
      <c r="BT76" s="4766" t="s">
        <v>4555</v>
      </c>
      <c r="BU76" s="4767"/>
      <c r="BV76" s="971"/>
      <c r="BW76" s="951"/>
      <c r="BX76" s="951"/>
      <c r="BY76" s="1286"/>
      <c r="BZ76" s="1304"/>
      <c r="CA76" s="939"/>
      <c r="DR76" s="939"/>
      <c r="DT76" s="1325"/>
      <c r="DU76" s="1377"/>
      <c r="DV76" s="1377"/>
      <c r="DW76" s="1377"/>
      <c r="DX76" s="1377"/>
      <c r="DY76" s="1324"/>
      <c r="DZ76" s="939"/>
      <c r="EA76" s="1470">
        <f t="shared" si="1"/>
        <v>1</v>
      </c>
    </row>
    <row r="77" spans="1:131" ht="12" x14ac:dyDescent="0.2">
      <c r="A77" s="939"/>
      <c r="B77" s="939"/>
      <c r="C77" s="4822"/>
      <c r="D77" s="1456" t="s">
        <v>4554</v>
      </c>
      <c r="E77" s="983"/>
      <c r="F77" s="1006"/>
      <c r="G77" s="1006"/>
      <c r="H77" s="1004" t="str">
        <f>IF(D45=0,"",IF(E77=0,"",VLOOKUP(E77,'Tablas Técnicas'!$A$14:$V$771,4,FALSE)))</f>
        <v/>
      </c>
      <c r="I77" s="1006"/>
      <c r="J77" s="1006"/>
      <c r="K77" s="1038"/>
      <c r="L77" s="1006"/>
      <c r="M77" s="1006"/>
      <c r="N77" s="1038"/>
      <c r="O77" s="1006"/>
      <c r="P77" s="1006"/>
      <c r="Q77" s="1006"/>
      <c r="R77" s="1005" t="str">
        <f>IF(E77=0,"",VLOOKUP(E77,'Tablas Técnicas'!$A$14:$V$771,8,FALSE))</f>
        <v/>
      </c>
      <c r="S77" s="1031" t="str">
        <f>IF(R77=$D$8,$D$8,IF(R77=2,2,IF(R77=3,3,R77)))</f>
        <v/>
      </c>
      <c r="T77" s="1006" t="str">
        <f>IF(E77=0,"",VLOOKUP(E77,'Tablas Técnicas'!$A$14:$V$771,9,FALSE))</f>
        <v/>
      </c>
      <c r="U77" s="1033" t="str">
        <f>IF(E77=0,"",VLOOKUP(E77,'Tablas Técnicas'!$A$14:$V$771,10,FALSE))</f>
        <v/>
      </c>
      <c r="V77" s="1034"/>
      <c r="W77" s="1034"/>
      <c r="X77" s="1033"/>
      <c r="Y77" s="1033"/>
      <c r="Z77" s="1033"/>
      <c r="AA77" s="1033"/>
      <c r="AB77" s="1033"/>
      <c r="AC77" s="1033"/>
      <c r="AD77" s="1033"/>
      <c r="AE77" s="1033"/>
      <c r="AF77" s="1033"/>
      <c r="AG77" s="4799" t="str">
        <f>IF(OR(E77='Tablas Técnicas'!A$678,E77='Tablas Técnicas'!A$679,E78='Tablas Técnicas'!A$678,E78='Tablas Técnicas'!A$679,E79='Tablas Técnicas'!A$678,E79='Tablas Técnicas'!A$679),"Selecciona la atadura elemental:","")</f>
        <v/>
      </c>
      <c r="AH77" s="4800"/>
      <c r="AI77" s="4800"/>
      <c r="AJ77" s="4800"/>
      <c r="AK77" s="4800"/>
      <c r="AL77" s="4800"/>
      <c r="AM77" s="4800"/>
      <c r="AN77" s="4800"/>
      <c r="AO77" s="4800"/>
      <c r="AP77" s="4800"/>
      <c r="AQ77" s="4800"/>
      <c r="AR77" s="4800"/>
      <c r="AS77" s="4800"/>
      <c r="AT77" s="4800"/>
      <c r="AU77" s="4800"/>
      <c r="AV77" s="4800"/>
      <c r="AW77" s="4800"/>
      <c r="AX77" s="4800"/>
      <c r="AY77" s="4800"/>
      <c r="AZ77" s="4800"/>
      <c r="BA77" s="4800"/>
      <c r="BB77" s="4800"/>
      <c r="BC77" s="4800"/>
      <c r="BD77" s="4800"/>
      <c r="BE77" s="4800"/>
      <c r="BF77" s="4800"/>
      <c r="BG77" s="4800"/>
      <c r="BH77" s="4800"/>
      <c r="BI77" s="4800"/>
      <c r="BJ77" s="4800"/>
      <c r="BK77" s="4801"/>
      <c r="BL77" s="1441"/>
      <c r="BM77" s="1441"/>
      <c r="BN77" s="1006"/>
      <c r="BO77" s="1006"/>
      <c r="BP77" s="1038"/>
      <c r="BQ77" s="1006"/>
      <c r="BR77" s="1006"/>
      <c r="BS77" s="1006"/>
      <c r="BT77" s="4768">
        <f>D45</f>
        <v>1</v>
      </c>
      <c r="BU77" s="4769"/>
      <c r="BV77" s="971">
        <f>IF(BV76=0,0,VLOOKUP(BV76,'Tablas Técnicas'!$M$4:$N$7,2,FALSE))</f>
        <v>0</v>
      </c>
      <c r="BW77" s="951"/>
      <c r="BX77" s="951"/>
      <c r="BY77" s="1286"/>
      <c r="BZ77" s="1304"/>
      <c r="CA77" s="939"/>
      <c r="DR77" s="939"/>
      <c r="DT77" s="1325"/>
      <c r="DU77" s="1377"/>
      <c r="DV77" s="1377"/>
      <c r="DW77" s="1377"/>
      <c r="DX77" s="1377"/>
      <c r="DY77" s="1324"/>
      <c r="DZ77" s="939"/>
      <c r="EA77" s="1470">
        <f t="shared" si="1"/>
        <v>1</v>
      </c>
    </row>
    <row r="78" spans="1:131" x14ac:dyDescent="0.2">
      <c r="A78" s="939"/>
      <c r="B78" s="939"/>
      <c r="C78" s="4822"/>
      <c r="D78" s="1452" t="s">
        <v>4556</v>
      </c>
      <c r="E78" s="1039"/>
      <c r="F78" s="1405"/>
      <c r="G78" s="1406"/>
      <c r="H78" s="996" t="str">
        <f>IF(VALUE(D45)&gt;1,IF(E78=0,"",VLOOKUP(E78,'Tablas Técnicas'!$A$14:$V$771,4,FALSE)),"")</f>
        <v/>
      </c>
      <c r="I78" s="1405"/>
      <c r="J78" s="1406"/>
      <c r="K78" s="1406"/>
      <c r="L78" s="1405"/>
      <c r="M78" s="1406"/>
      <c r="N78" s="1407"/>
      <c r="O78" s="1406"/>
      <c r="P78" s="1406"/>
      <c r="Q78" s="1406"/>
      <c r="R78" s="1000" t="str">
        <f>IF(E78=0,"",VLOOKUP(E78,'Tablas Técnicas'!$A$14:$V$771,8,FALSE))</f>
        <v/>
      </c>
      <c r="S78" s="998" t="str">
        <f>IF(R78=$D$8,$D$8,IF(R78=2,2,IF(R78=3,3,R78)))</f>
        <v/>
      </c>
      <c r="T78" s="1001" t="str">
        <f>IF(E78=0,"",VLOOKUP(E78,'Tablas Técnicas'!$A$14:$V$771,9,FALSE))</f>
        <v/>
      </c>
      <c r="U78" s="1001" t="str">
        <f>IF(E78=0,"",VLOOKUP(E78,'Tablas Técnicas'!$A$14:$V$771,10,FALSE))</f>
        <v/>
      </c>
      <c r="V78" s="1405"/>
      <c r="W78" s="1405"/>
      <c r="X78" s="1406"/>
      <c r="Y78" s="1406"/>
      <c r="Z78" s="1406"/>
      <c r="AA78" s="1406"/>
      <c r="AB78" s="1406"/>
      <c r="AC78" s="1406"/>
      <c r="AD78" s="1406"/>
      <c r="AE78" s="1406"/>
      <c r="AF78" s="1406"/>
      <c r="AG78" s="1408"/>
      <c r="AH78" s="1409"/>
      <c r="AI78" s="1409"/>
      <c r="AJ78" s="1409"/>
      <c r="AK78" s="1409"/>
      <c r="AL78" s="1409"/>
      <c r="AM78" s="1409"/>
      <c r="AN78" s="1409"/>
      <c r="AO78" s="1409"/>
      <c r="AP78" s="1407"/>
      <c r="AQ78" s="1409"/>
      <c r="AR78" s="1409"/>
      <c r="AS78" s="1409"/>
      <c r="AT78" s="1409"/>
      <c r="AU78" s="1409"/>
      <c r="AV78" s="1409"/>
      <c r="AW78" s="1409"/>
      <c r="AX78" s="1409"/>
      <c r="AY78" s="1409"/>
      <c r="AZ78" s="1410"/>
      <c r="BA78" s="1406"/>
      <c r="BB78" s="1406"/>
      <c r="BC78" s="1406"/>
      <c r="BD78" s="1406"/>
      <c r="BE78" s="1406"/>
      <c r="BF78" s="1406"/>
      <c r="BG78" s="1406"/>
      <c r="BH78" s="1406"/>
      <c r="BI78" s="1406"/>
      <c r="BJ78" s="1407"/>
      <c r="BK78" s="1406"/>
      <c r="BL78" s="1442"/>
      <c r="BM78" s="1443"/>
      <c r="BN78" s="1406"/>
      <c r="BO78" s="1406"/>
      <c r="BP78" s="1407"/>
      <c r="BQ78" s="1406"/>
      <c r="BR78" s="1406"/>
      <c r="BS78" s="1406"/>
      <c r="BU78" s="3026"/>
      <c r="BV78" s="971"/>
      <c r="BW78" s="951"/>
      <c r="BX78" s="951"/>
      <c r="BY78" s="1286"/>
      <c r="BZ78" s="1304"/>
      <c r="CA78" s="939"/>
      <c r="DR78" s="939"/>
      <c r="DT78" s="1325"/>
      <c r="DU78" s="1377"/>
      <c r="DV78" s="1377"/>
      <c r="DW78" s="1377"/>
      <c r="DX78" s="1377"/>
      <c r="DY78" s="1324"/>
      <c r="DZ78" s="939"/>
      <c r="EA78" s="1470">
        <f t="shared" si="1"/>
        <v>1</v>
      </c>
    </row>
    <row r="79" spans="1:131" x14ac:dyDescent="0.2">
      <c r="A79" s="939"/>
      <c r="B79" s="939"/>
      <c r="C79" s="4822"/>
      <c r="D79" s="1457" t="s">
        <v>4557</v>
      </c>
      <c r="E79" s="1040"/>
      <c r="F79" s="3030"/>
      <c r="G79" s="1015"/>
      <c r="H79" s="1014" t="str">
        <f>IF(VALUE(D45)=3,IF(E79=0,"",VLOOKUP(E79,'Tablas Técnicas'!$A$14:$V$771,4,FALSE)),"")</f>
        <v/>
      </c>
      <c r="I79" s="1015"/>
      <c r="J79" s="1015"/>
      <c r="K79" s="1015"/>
      <c r="L79" s="3030"/>
      <c r="M79" s="1015"/>
      <c r="N79" s="1015"/>
      <c r="O79" s="3030"/>
      <c r="P79" s="1015"/>
      <c r="Q79" s="1015"/>
      <c r="R79" s="1035" t="str">
        <f>IF(E79=0,"",VLOOKUP(E79,'Tablas Técnicas'!$A$14:$V$771,8,FALSE))</f>
        <v/>
      </c>
      <c r="S79" s="1014" t="str">
        <f>IF(R79=$D$8,$D$8,IF(R79=2,2,IF(R79=3,3,R79)))</f>
        <v/>
      </c>
      <c r="T79" s="1015" t="str">
        <f>IF(E79=0,"",VLOOKUP(E79,'Tablas Técnicas'!$A$14:$V$771,9,FALSE))</f>
        <v/>
      </c>
      <c r="U79" s="1015" t="str">
        <f>IF(E79=0,"",VLOOKUP(E79,'Tablas Técnicas'!$A$14:$V$771,10,FALSE))</f>
        <v/>
      </c>
      <c r="V79" s="3030"/>
      <c r="W79" s="1298"/>
      <c r="X79" s="1298"/>
      <c r="Y79" s="1298"/>
      <c r="Z79" s="1298"/>
      <c r="AA79" s="1298"/>
      <c r="AB79" s="1298"/>
      <c r="AC79" s="1298"/>
      <c r="AD79" s="1298"/>
      <c r="AE79" s="1298"/>
      <c r="AF79" s="1299"/>
      <c r="AG79" s="3030"/>
      <c r="AH79" s="1015"/>
      <c r="AI79" s="1015"/>
      <c r="AJ79" s="1015"/>
      <c r="AK79" s="1015"/>
      <c r="AL79" s="1015"/>
      <c r="AM79" s="1015"/>
      <c r="AN79" s="1015"/>
      <c r="AO79" s="1015"/>
      <c r="AP79" s="3031"/>
      <c r="AQ79" s="1015"/>
      <c r="AR79" s="1015"/>
      <c r="AS79" s="1015"/>
      <c r="AT79" s="1015"/>
      <c r="AU79" s="1015"/>
      <c r="AV79" s="1015"/>
      <c r="AW79" s="1015"/>
      <c r="AX79" s="1015"/>
      <c r="AY79" s="1015"/>
      <c r="AZ79" s="3031"/>
      <c r="BA79" s="1015"/>
      <c r="BB79" s="1015"/>
      <c r="BC79" s="1015"/>
      <c r="BD79" s="1015"/>
      <c r="BE79" s="1015"/>
      <c r="BF79" s="1015"/>
      <c r="BG79" s="1015"/>
      <c r="BH79" s="1015"/>
      <c r="BI79" s="1015"/>
      <c r="BJ79" s="3031"/>
      <c r="BK79" s="1015"/>
      <c r="BL79" s="1439"/>
      <c r="BM79" s="1444"/>
      <c r="BN79" s="1015"/>
      <c r="BO79" s="1015"/>
      <c r="BP79" s="1015"/>
      <c r="BQ79" s="3030"/>
      <c r="BR79" s="1015"/>
      <c r="BS79" s="1015"/>
      <c r="BT79" s="3026"/>
      <c r="BU79" s="3026"/>
      <c r="BV79" s="971">
        <f>IF(BV78=0,0,VLOOKUP(BV78,'Tablas Técnicas'!$M$4:$N$7,2,FALSE))</f>
        <v>0</v>
      </c>
      <c r="BW79" s="951"/>
      <c r="BX79" s="951"/>
      <c r="BY79" s="1286"/>
      <c r="BZ79" s="1304"/>
      <c r="CA79" s="943"/>
      <c r="DR79" s="943"/>
      <c r="DT79" s="1328"/>
      <c r="DU79" s="1433"/>
      <c r="DV79" s="1433"/>
      <c r="DW79" s="1433"/>
      <c r="DX79" s="1433"/>
      <c r="DY79" s="1329"/>
      <c r="DZ79" s="943"/>
      <c r="EA79" s="1470">
        <f t="shared" si="1"/>
        <v>1</v>
      </c>
    </row>
    <row r="80" spans="1:131" x14ac:dyDescent="0.2">
      <c r="A80" s="943"/>
      <c r="B80" s="943"/>
      <c r="C80" s="4822"/>
      <c r="D80" s="1458"/>
      <c r="E80" s="3026"/>
      <c r="F80" s="951"/>
      <c r="G80" s="3026"/>
      <c r="H80" s="3026"/>
      <c r="I80" s="951"/>
      <c r="J80" s="3026"/>
      <c r="K80" s="3026"/>
      <c r="L80" s="3026"/>
      <c r="M80" s="3026"/>
      <c r="N80" s="3026"/>
      <c r="O80" s="3026"/>
      <c r="P80" s="3026"/>
      <c r="Q80" s="3026"/>
      <c r="R80" s="3026"/>
      <c r="S80" s="3026"/>
      <c r="T80" s="3026"/>
      <c r="U80" s="3026"/>
      <c r="V80" s="3026"/>
      <c r="W80" s="3026"/>
      <c r="X80" s="3026"/>
      <c r="Y80" s="3026"/>
      <c r="Z80" s="3026"/>
      <c r="AA80" s="3026"/>
      <c r="AB80" s="3026"/>
      <c r="AC80" s="3026"/>
      <c r="AD80" s="3026"/>
      <c r="AE80" s="3026"/>
      <c r="AF80" s="3026"/>
      <c r="AG80" s="3026"/>
      <c r="AH80" s="3026"/>
      <c r="AI80" s="3026"/>
      <c r="AJ80" s="3026"/>
      <c r="AK80" s="3026"/>
      <c r="AL80" s="3026"/>
      <c r="AM80" s="3026"/>
      <c r="AN80" s="3026"/>
      <c r="AO80" s="3026"/>
      <c r="AP80" s="3026"/>
      <c r="AQ80" s="3026"/>
      <c r="AR80" s="3026"/>
      <c r="AS80" s="3026"/>
      <c r="AT80" s="3026"/>
      <c r="AU80" s="3026"/>
      <c r="AV80" s="3026"/>
      <c r="AW80" s="3026"/>
      <c r="AX80" s="3026"/>
      <c r="AY80" s="3026"/>
      <c r="AZ80" s="3026"/>
      <c r="BA80" s="3026"/>
      <c r="BB80" s="3026"/>
      <c r="BC80" s="3026"/>
      <c r="BD80" s="3026"/>
      <c r="BE80" s="3026"/>
      <c r="BF80" s="3026"/>
      <c r="BG80" s="3026"/>
      <c r="BH80" s="3026"/>
      <c r="BI80" s="3026"/>
      <c r="BJ80" s="3026"/>
      <c r="BK80" s="3026"/>
      <c r="BL80" s="3026"/>
      <c r="BM80" s="3026"/>
      <c r="BN80" s="944">
        <f>SUM(BN85:BN100)</f>
        <v>0</v>
      </c>
      <c r="BO80" s="944">
        <f>SUM(BO85:BO100)</f>
        <v>0</v>
      </c>
      <c r="BP80" s="944">
        <f>SUM(BP85:BP100)</f>
        <v>0</v>
      </c>
      <c r="BQ80" s="944">
        <f>SUM(BQ85:BQ100)</f>
        <v>0</v>
      </c>
      <c r="BR80" s="944">
        <f>SUM(BR85:BR100)</f>
        <v>0</v>
      </c>
      <c r="BS80" s="1041"/>
      <c r="BU80" s="3026"/>
      <c r="BW80" s="951"/>
      <c r="BX80" s="951"/>
      <c r="BY80" s="960"/>
      <c r="BZ80" s="1304"/>
      <c r="CA80" s="939"/>
      <c r="DR80" s="939"/>
      <c r="DT80" s="1325"/>
      <c r="DU80" s="1377"/>
      <c r="DV80" s="1377"/>
      <c r="DW80" s="1377"/>
      <c r="DX80" s="1377"/>
      <c r="DY80" s="1324"/>
      <c r="DZ80" s="939"/>
      <c r="EA80" s="1470">
        <f t="shared" si="1"/>
        <v>1</v>
      </c>
    </row>
    <row r="81" spans="1:132" x14ac:dyDescent="0.2">
      <c r="A81" s="939"/>
      <c r="B81" s="939"/>
      <c r="C81" s="4822"/>
      <c r="D81" s="1450" t="s">
        <v>7698</v>
      </c>
      <c r="E81" s="2941"/>
      <c r="F81" s="957"/>
      <c r="G81" s="957"/>
      <c r="H81" s="957"/>
      <c r="I81" s="957"/>
      <c r="J81" s="958"/>
      <c r="K81" s="957"/>
      <c r="L81" s="957"/>
      <c r="M81" s="958"/>
      <c r="N81" s="957"/>
      <c r="O81" s="957"/>
      <c r="P81" s="958"/>
      <c r="Q81" s="957"/>
      <c r="R81" s="958"/>
      <c r="S81" s="957"/>
      <c r="T81" s="957"/>
      <c r="U81" s="957"/>
      <c r="V81" s="957"/>
      <c r="W81" s="951"/>
      <c r="X81" s="958"/>
      <c r="Y81" s="958"/>
      <c r="Z81" s="958"/>
      <c r="AA81" s="958"/>
      <c r="AB81" s="958"/>
      <c r="AC81" s="958"/>
      <c r="AD81" s="958"/>
      <c r="AE81" s="958"/>
      <c r="AF81" s="957"/>
      <c r="AG81" s="951"/>
      <c r="AH81" s="958"/>
      <c r="AI81" s="958"/>
      <c r="AJ81" s="958"/>
      <c r="AK81" s="958"/>
      <c r="AL81" s="958"/>
      <c r="AM81" s="958"/>
      <c r="AN81" s="958"/>
      <c r="AO81" s="958"/>
      <c r="AP81" s="951"/>
      <c r="AQ81" s="951"/>
      <c r="AR81" s="958"/>
      <c r="AS81" s="958"/>
      <c r="AT81" s="958"/>
      <c r="AU81" s="958"/>
      <c r="AV81" s="958"/>
      <c r="AW81" s="958"/>
      <c r="AX81" s="958"/>
      <c r="AY81" s="958"/>
      <c r="AZ81" s="951"/>
      <c r="BA81" s="951"/>
      <c r="BB81" s="958"/>
      <c r="BC81" s="958"/>
      <c r="BD81" s="958"/>
      <c r="BE81" s="958"/>
      <c r="BF81" s="958"/>
      <c r="BG81" s="958"/>
      <c r="BH81" s="958"/>
      <c r="BI81" s="958"/>
      <c r="BJ81" s="951"/>
      <c r="BK81" s="951"/>
      <c r="BL81" s="951"/>
      <c r="BM81" s="951"/>
      <c r="BN81" s="944">
        <f>SUM(BN83:BN116)</f>
        <v>0</v>
      </c>
      <c r="BO81" s="944">
        <f>SUM(BO83:BO116)</f>
        <v>0</v>
      </c>
      <c r="BP81" s="944">
        <f>MAX(BP83:BP116)</f>
        <v>0</v>
      </c>
      <c r="BQ81" s="944">
        <f>MAX(BQ83:BQ116)</f>
        <v>0</v>
      </c>
      <c r="BR81" s="944">
        <f>MAX(BR83:BR116)</f>
        <v>0</v>
      </c>
      <c r="BS81" s="959"/>
      <c r="BU81" s="3026"/>
      <c r="BV81" s="961"/>
      <c r="BW81" s="951"/>
      <c r="BX81" s="951"/>
      <c r="BY81" s="1286"/>
      <c r="BZ81" s="1304"/>
      <c r="CA81" s="939"/>
      <c r="DR81" s="939"/>
      <c r="DT81" s="1325"/>
      <c r="DU81" s="1377"/>
      <c r="DV81" s="1377"/>
      <c r="DW81" s="1377"/>
      <c r="DX81" s="1377"/>
      <c r="DY81" s="1324"/>
      <c r="DZ81" s="939"/>
      <c r="EA81" s="1470">
        <f t="shared" si="1"/>
        <v>1</v>
      </c>
    </row>
    <row r="82" spans="1:132" ht="12" thickBot="1" x14ac:dyDescent="0.25">
      <c r="A82" s="939"/>
      <c r="B82" s="939"/>
      <c r="C82" s="4822"/>
      <c r="D82" s="1451">
        <v>1</v>
      </c>
      <c r="E82" s="962" t="s">
        <v>8064</v>
      </c>
      <c r="F82" s="963" t="s">
        <v>1789</v>
      </c>
      <c r="G82" s="964" t="s">
        <v>1790</v>
      </c>
      <c r="H82" s="964" t="s">
        <v>1811</v>
      </c>
      <c r="I82" s="965" t="s">
        <v>3334</v>
      </c>
      <c r="J82" s="966"/>
      <c r="K82" s="967"/>
      <c r="L82" s="965" t="s">
        <v>3335</v>
      </c>
      <c r="M82" s="966"/>
      <c r="N82" s="967"/>
      <c r="O82" s="965" t="s">
        <v>3336</v>
      </c>
      <c r="P82" s="966"/>
      <c r="Q82" s="967"/>
      <c r="R82" s="968" t="s">
        <v>4533</v>
      </c>
      <c r="S82" s="964" t="s">
        <v>3304</v>
      </c>
      <c r="T82" s="3036" t="s">
        <v>1708</v>
      </c>
      <c r="U82" s="3036" t="s">
        <v>1679</v>
      </c>
      <c r="V82" s="3036" t="s">
        <v>3337</v>
      </c>
      <c r="W82" s="4794" t="s">
        <v>3338</v>
      </c>
      <c r="X82" s="4794"/>
      <c r="Y82" s="4794"/>
      <c r="Z82" s="4794"/>
      <c r="AA82" s="4794"/>
      <c r="AB82" s="4794"/>
      <c r="AC82" s="4794"/>
      <c r="AD82" s="4794"/>
      <c r="AE82" s="4794"/>
      <c r="AF82" s="4794"/>
      <c r="AG82" s="4794"/>
      <c r="AH82" s="4794"/>
      <c r="AI82" s="4794"/>
      <c r="AJ82" s="4794"/>
      <c r="AK82" s="4794"/>
      <c r="AL82" s="4794"/>
      <c r="AM82" s="4794"/>
      <c r="AN82" s="4794"/>
      <c r="AO82" s="4794"/>
      <c r="AP82" s="4794"/>
      <c r="AQ82" s="4794"/>
      <c r="AR82" s="4794"/>
      <c r="AS82" s="4794"/>
      <c r="AT82" s="4794"/>
      <c r="AU82" s="4794"/>
      <c r="AV82" s="4794"/>
      <c r="AW82" s="4794"/>
      <c r="AX82" s="4794"/>
      <c r="AY82" s="4794"/>
      <c r="AZ82" s="4794"/>
      <c r="BA82" s="4794"/>
      <c r="BB82" s="4794"/>
      <c r="BC82" s="4794"/>
      <c r="BD82" s="4794"/>
      <c r="BE82" s="4794"/>
      <c r="BF82" s="4794"/>
      <c r="BG82" s="4794"/>
      <c r="BH82" s="4794"/>
      <c r="BI82" s="4794"/>
      <c r="BJ82" s="4794"/>
      <c r="BK82" s="4794" t="s">
        <v>3339</v>
      </c>
      <c r="BL82" s="4794"/>
      <c r="BM82" s="4795"/>
      <c r="BN82" s="969" t="s">
        <v>4534</v>
      </c>
      <c r="BO82" s="969" t="s">
        <v>4535</v>
      </c>
      <c r="BP82" s="969" t="s">
        <v>4536</v>
      </c>
      <c r="BQ82" s="969" t="s">
        <v>4537</v>
      </c>
      <c r="BR82" s="969" t="s">
        <v>4538</v>
      </c>
      <c r="BS82" s="970" t="s">
        <v>4539</v>
      </c>
      <c r="BT82" s="4770" t="s">
        <v>4540</v>
      </c>
      <c r="BU82" s="4771"/>
      <c r="BV82" s="971"/>
      <c r="BW82" s="951"/>
      <c r="BX82" s="951"/>
      <c r="BY82" s="1286"/>
      <c r="BZ82" s="1304"/>
      <c r="CA82" s="939"/>
      <c r="DR82" s="939"/>
      <c r="DT82" s="1325"/>
      <c r="DU82" s="1377"/>
      <c r="DV82" s="1377"/>
      <c r="DW82" s="1377"/>
      <c r="DX82" s="1377"/>
      <c r="DY82" s="1324"/>
      <c r="DZ82" s="939"/>
      <c r="EB82" s="2158">
        <f>D82</f>
        <v>1</v>
      </c>
    </row>
    <row r="83" spans="1:132" x14ac:dyDescent="0.2">
      <c r="A83" s="972"/>
      <c r="B83" s="1403"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822"/>
      <c r="D83" s="1452">
        <v>1</v>
      </c>
      <c r="E83" s="1246"/>
      <c r="F83" s="973"/>
      <c r="G83" s="974"/>
      <c r="H83" s="974"/>
      <c r="I83" s="974"/>
      <c r="J83" s="975"/>
      <c r="K83" s="974"/>
      <c r="L83" s="974"/>
      <c r="M83" s="975"/>
      <c r="N83" s="974"/>
      <c r="O83" s="974"/>
      <c r="P83" s="975"/>
      <c r="Q83" s="974"/>
      <c r="R83" s="975"/>
      <c r="S83" s="974"/>
      <c r="T83" s="974"/>
      <c r="U83" s="974"/>
      <c r="V83" s="974"/>
      <c r="W83" s="974"/>
      <c r="X83" s="974"/>
      <c r="Y83" s="974"/>
      <c r="Z83" s="974"/>
      <c r="AA83" s="974"/>
      <c r="AB83" s="974"/>
      <c r="AC83" s="974"/>
      <c r="AD83" s="974"/>
      <c r="AE83" s="974"/>
      <c r="AF83" s="974"/>
      <c r="AG83" s="974"/>
      <c r="AH83" s="974"/>
      <c r="AI83" s="974"/>
      <c r="AJ83" s="974"/>
      <c r="AK83" s="974"/>
      <c r="AL83" s="974"/>
      <c r="AM83" s="974"/>
      <c r="AN83" s="974"/>
      <c r="AO83" s="974"/>
      <c r="AP83" s="974"/>
      <c r="AQ83" s="974"/>
      <c r="AR83" s="974"/>
      <c r="AS83" s="974"/>
      <c r="AT83" s="974"/>
      <c r="AU83" s="974"/>
      <c r="AV83" s="974"/>
      <c r="AW83" s="974"/>
      <c r="AX83" s="974"/>
      <c r="AY83" s="974"/>
      <c r="AZ83" s="974"/>
      <c r="BA83" s="974"/>
      <c r="BB83" s="974"/>
      <c r="BC83" s="974"/>
      <c r="BD83" s="974"/>
      <c r="BE83" s="974"/>
      <c r="BF83" s="974"/>
      <c r="BG83" s="974"/>
      <c r="BH83" s="974"/>
      <c r="BI83" s="974"/>
      <c r="BJ83" s="974"/>
      <c r="BK83" s="974"/>
      <c r="BL83" s="974"/>
      <c r="BM83" s="976"/>
      <c r="BN83" s="977">
        <f>SUM(K83:K86)</f>
        <v>0</v>
      </c>
      <c r="BO83" s="971" t="str">
        <f>IF(E83=0,"",(AF83+AP83+AZ83+BJ83))</f>
        <v/>
      </c>
      <c r="BP83" s="978" t="str">
        <f>IF(I83="Si",VLOOKUP($D$8,'Tablas Técnicas'!$E$4:$F$6,2,FALSE),"")</f>
        <v/>
      </c>
      <c r="BQ83" s="979" t="str">
        <f>IF(L83="Si",VLOOKUP($D$8,'Tablas Técnicas'!$I$4:$J$6,2,FALSE),"")</f>
        <v/>
      </c>
      <c r="BR83" s="977" t="str">
        <f>IF(O83="Si",VLOOKUP($D$8,'Tablas Técnicas'!$I$7:$J$9,2,FALSE),"")</f>
        <v/>
      </c>
      <c r="BS83" s="980">
        <f>VLOOKUP(D82,'Tablas Técnicas'!$P$6:$R$8,3)</f>
        <v>50</v>
      </c>
      <c r="BT83" s="981">
        <f>VLOOKUP(D82,'Tablas Técnicas'!$P$6:$R$8,3,FALSE)</f>
        <v>50</v>
      </c>
      <c r="BU83" s="982">
        <f>VLOOKUP(D82,'Tablas Técnicas'!$P$6:$R$8,2,FALSE)</f>
        <v>20</v>
      </c>
      <c r="BV83" s="971">
        <f>IF(D82=0,"",VLOOKUP(D82,'Tablas Técnicas'!$L$4:$N$7,2,FALSE))</f>
        <v>3</v>
      </c>
      <c r="BW83" s="951"/>
      <c r="BX83" s="951"/>
      <c r="BY83" s="1286"/>
      <c r="BZ83" s="1304"/>
      <c r="CA83" s="939"/>
      <c r="DR83" s="939"/>
      <c r="DT83" s="1325"/>
      <c r="DU83" s="1424" t="s">
        <v>1801</v>
      </c>
      <c r="DV83" s="1425" t="s">
        <v>3315</v>
      </c>
      <c r="DW83" s="1425" t="s">
        <v>3301</v>
      </c>
      <c r="DX83" s="1426" t="s">
        <v>7701</v>
      </c>
      <c r="DY83" s="1324"/>
      <c r="DZ83" s="939"/>
      <c r="EA83" s="1470">
        <f>EB82</f>
        <v>1</v>
      </c>
    </row>
    <row r="84" spans="1:132" s="1013" customFormat="1" ht="11.25" customHeight="1" x14ac:dyDescent="0.2">
      <c r="A84" s="939"/>
      <c r="B84" s="939"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822"/>
      <c r="D84" s="1453" t="s">
        <v>1766</v>
      </c>
      <c r="E84" s="983"/>
      <c r="F84" s="984" t="str">
        <f>IF(E84=0,"",VLOOKUP(E84,'Tablas Técnicas'!$A$14:$V$771,2,FALSE))</f>
        <v/>
      </c>
      <c r="G84" s="985"/>
      <c r="H84" s="986" t="str">
        <f>IF($E84=0,"",VLOOKUP($E84,'Tablas Técnicas'!$A$14:$V$771,4,FALSE))</f>
        <v/>
      </c>
      <c r="I84" s="987" t="s">
        <v>1690</v>
      </c>
      <c r="J84" s="1412" t="str">
        <f>IF(E84=0,"",VLOOKUP(E84,'Tablas Técnicas'!$A$14:$V$771,5,FALSE))</f>
        <v/>
      </c>
      <c r="K84" s="989" t="str">
        <f>IF(I84="Si",IF(E84=0,"",VLOOKUP(E84,'Tablas Técnicas'!$A$14:$V$771,5,FALSE)),"")</f>
        <v/>
      </c>
      <c r="L84" s="987" t="s">
        <v>1690</v>
      </c>
      <c r="M84" s="1412" t="str">
        <f>IF(E84=0,"",VLOOKUP(E84,'Tablas Técnicas'!$A$14:$V$771,6,FALSE))</f>
        <v/>
      </c>
      <c r="N84" s="990" t="str">
        <f>IF(L84="Si",IF(E84=0,"",VLOOKUP(E84,'Tablas Técnicas'!$A$14:$V$771,6,FALSE)),"")</f>
        <v/>
      </c>
      <c r="O84" s="987" t="s">
        <v>1690</v>
      </c>
      <c r="P84" s="1412" t="str">
        <f>IF(E84=0,"",VLOOKUP(E84,'Tablas Técnicas'!$A$14:$V$771,7,FALSE))</f>
        <v/>
      </c>
      <c r="Q84" s="990" t="str">
        <f>IF(O84="Si",IF(E84=0,"",VLOOKUP(E84,'Tablas Técnicas'!$A$14:$V$771,7,FALSE)),"")</f>
        <v/>
      </c>
      <c r="R84" s="988" t="str">
        <f>IF(E84=0,"",VLOOKUP(E84,'Tablas Técnicas'!$A$14:$V$771,8,FALSE))</f>
        <v/>
      </c>
      <c r="S84" s="986" t="str">
        <f>IF(R84=$D$8,$D$8,IF(R84=2,2,IF(R84=3,3,R84)))</f>
        <v/>
      </c>
      <c r="T84" s="989" t="str">
        <f>IF(E84=0,"",VLOOKUP(E84,'Tablas Técnicas'!$A$14:$V$771,9,FALSE))</f>
        <v/>
      </c>
      <c r="U84" s="989" t="str">
        <f>IF(E84=0,"",VLOOKUP(E84,'Tablas Técnicas'!$A$14:$V$771,10,FALSE))</f>
        <v/>
      </c>
      <c r="V84" s="984" t="str">
        <f>IF(E84=0,"",VLOOKUP(E84,'Tablas Técnicas'!$A$14:$V$771,11,FALSE))</f>
        <v/>
      </c>
      <c r="W84" s="987"/>
      <c r="X84" s="988" t="e">
        <f>VLOOKUP(E84,'Tablas Técnicas'!$A$14:$V$771,12,FALSE)</f>
        <v>#N/A</v>
      </c>
      <c r="Y84" s="988" t="e">
        <f>IF(W84=X84,VLOOKUP(E84,'Tablas Técnicas'!$A$14:$V$771,13,FALSE),0)</f>
        <v>#N/A</v>
      </c>
      <c r="Z84" s="988" t="e">
        <f>VLOOKUP(E84,'Tablas Técnicas'!$A$14:$V$771,14,FALSE)</f>
        <v>#N/A</v>
      </c>
      <c r="AA84" s="988" t="e">
        <f>IF(W84=Z84,VLOOKUP(E84,'Tablas Técnicas'!$A$14:$V$616,15,FALSE),0)</f>
        <v>#N/A</v>
      </c>
      <c r="AB84" s="988" t="e">
        <f>VLOOKUP(E84,'Tablas Técnicas'!$A$14:$V$771,16,FALSE)</f>
        <v>#N/A</v>
      </c>
      <c r="AC84" s="988" t="e">
        <f>IF(W84=AB84,VLOOKUP(E84,'Tablas Técnicas'!$A$14:$V$616,17,FALSE),0)</f>
        <v>#N/A</v>
      </c>
      <c r="AD84" s="988" t="e">
        <f>VLOOKUP(E84,'Tablas Técnicas'!$A$14:$V$771,18,FALSE)</f>
        <v>#N/A</v>
      </c>
      <c r="AE84" s="988" t="e">
        <f>IF(W84=AD84,VLOOKUP(E84,'Tablas Técnicas'!$A$14:$V$771,19,FALSE),0)</f>
        <v>#N/A</v>
      </c>
      <c r="AF84" s="990" t="str">
        <f>IF(E84=0,"",(Y84+AA84+AC84+AE84))</f>
        <v/>
      </c>
      <c r="AG84" s="987"/>
      <c r="AH84" s="988" t="e">
        <f>VLOOKUP(E84,'Tablas Técnicas'!$A$14:$V$771,12,FALSE)</f>
        <v>#N/A</v>
      </c>
      <c r="AI84" s="988" t="e">
        <f>IF(AG84=AH84,VLOOKUP(E84,'Tablas Técnicas'!$A$14:$V$771,13,FALSE),0)</f>
        <v>#N/A</v>
      </c>
      <c r="AJ84" s="988" t="e">
        <f>VLOOKUP(E84,'Tablas Técnicas'!$A$14:$V$771,14,FALSE)</f>
        <v>#N/A</v>
      </c>
      <c r="AK84" s="988" t="e">
        <f>IF(AG84=AJ84,VLOOKUP(E84,'Tablas Técnicas'!$A$14:$V$771,15,FALSE),0)</f>
        <v>#N/A</v>
      </c>
      <c r="AL84" s="988" t="e">
        <f>VLOOKUP(E84,'Tablas Técnicas'!$A$14:$V$771,16,FALSE)</f>
        <v>#N/A</v>
      </c>
      <c r="AM84" s="988" t="e">
        <f>IF(AG84=AL84,VLOOKUP(E84,'Tablas Técnicas'!$A$14:$V$771,17,FALSE),0)</f>
        <v>#N/A</v>
      </c>
      <c r="AN84" s="988" t="e">
        <f>VLOOKUP(E84,'Tablas Técnicas'!$A$14:$V$771,18,FALSE)</f>
        <v>#N/A</v>
      </c>
      <c r="AO84" s="988" t="e">
        <f>IF(AG84=AN84,VLOOKUP(E84,'Tablas Técnicas'!$A$14:$V$771,19,FALSE),0)</f>
        <v>#N/A</v>
      </c>
      <c r="AP84" s="990" t="str">
        <f>IF(E84=0,"",(AI84+AK84+AM84+AO84))</f>
        <v/>
      </c>
      <c r="AQ84" s="987"/>
      <c r="AR84" s="988" t="e">
        <f>VLOOKUP(E84,'Tablas Técnicas'!$A$14:$V$771,12,FALSE)</f>
        <v>#N/A</v>
      </c>
      <c r="AS84" s="988" t="e">
        <f>IF(AQ84=AR84,VLOOKUP(E84,'Tablas Técnicas'!$A$14:$V$771,13,FALSE),0)</f>
        <v>#N/A</v>
      </c>
      <c r="AT84" s="988" t="e">
        <f>VLOOKUP(E84,'Tablas Técnicas'!$A$14:$V$771,14,FALSE)</f>
        <v>#N/A</v>
      </c>
      <c r="AU84" s="988" t="e">
        <f>IF(AQ84=AT84,VLOOKUP(E84,'Tablas Técnicas'!$A$14:$V$771,15,FALSE),0)</f>
        <v>#N/A</v>
      </c>
      <c r="AV84" s="988" t="e">
        <f>VLOOKUP(E84,'Tablas Técnicas'!$A$14:$V$771,16,FALSE)</f>
        <v>#N/A</v>
      </c>
      <c r="AW84" s="988" t="e">
        <f>IF(AQ84=AV84,VLOOKUP(E84,'Tablas Técnicas'!$A$14:$V$771,17,FALSE),0)</f>
        <v>#N/A</v>
      </c>
      <c r="AX84" s="988" t="e">
        <f>VLOOKUP(E84,'Tablas Técnicas'!$A$14:$V$771,18,FALSE)</f>
        <v>#N/A</v>
      </c>
      <c r="AY84" s="988" t="e">
        <f>IF(AQ84=AX84,VLOOKUP(E84,'Tablas Técnicas'!$A$14:$V$771,19,FALSE),0)</f>
        <v>#N/A</v>
      </c>
      <c r="AZ84" s="989" t="str">
        <f>IF(E84=0,"",(AS84+AU84+AW84+AY84))</f>
        <v/>
      </c>
      <c r="BA84" s="987"/>
      <c r="BB84" s="988" t="e">
        <f>VLOOKUP(E84,'Tablas Técnicas'!$A$14:$V$771,12,FALSE)</f>
        <v>#N/A</v>
      </c>
      <c r="BC84" s="988" t="e">
        <f>IF(BA84=BB84,VLOOKUP(E84,'Tablas Técnicas'!$A$14:$V$771,13,FALSE),0)</f>
        <v>#N/A</v>
      </c>
      <c r="BD84" s="988" t="e">
        <f>VLOOKUP(E84,'Tablas Técnicas'!$A$14:$V$771,14,FALSE)</f>
        <v>#N/A</v>
      </c>
      <c r="BE84" s="988" t="e">
        <f>IF(BA84=BD84,VLOOKUP(E84,'Tablas Técnicas'!$A$14:$V$771,15,FALSE),0)</f>
        <v>#N/A</v>
      </c>
      <c r="BF84" s="988" t="e">
        <f>VLOOKUP(E84,'Tablas Técnicas'!$A$14:$V$771,16,FALSE)</f>
        <v>#N/A</v>
      </c>
      <c r="BG84" s="988" t="e">
        <f>IF(BA84=BF84,VLOOKUP(E84,'Tablas Técnicas'!$A$14:$V$771,17,FALSE),0)</f>
        <v>#N/A</v>
      </c>
      <c r="BH84" s="988" t="e">
        <f>VLOOKUP(E84,'Tablas Técnicas'!$A$14:$V$771,18,FALSE)</f>
        <v>#N/A</v>
      </c>
      <c r="BI84" s="988" t="e">
        <f>IF(BA84=BH84,VLOOKUP(E84,'Tablas Técnicas'!$A$14:$V$771,19,FALSE),0)</f>
        <v>#N/A</v>
      </c>
      <c r="BJ84" s="990" t="str">
        <f>IF(E84=0,"",(BC84+BE84+BG84+BI84))</f>
        <v/>
      </c>
      <c r="BK84" s="989" t="str">
        <f>IF(E84=0,"",VLOOKUP(E84,'Tablas Técnicas'!$A$14:$V$771,20,FALSE))</f>
        <v/>
      </c>
      <c r="BL84" s="989" t="str">
        <f>IF(E84=0,"",VLOOKUP(E84,'Tablas Técnicas'!$A$14:$V$771,21,FALSE))</f>
        <v/>
      </c>
      <c r="BM84" s="991" t="str">
        <f>IF(E84=0,"",VLOOKUP(E84,'Tablas Técnicas'!$A$14:$V$771,22,FALSE))</f>
        <v/>
      </c>
      <c r="BN84" s="992"/>
      <c r="BO84" s="993"/>
      <c r="BP84" s="978" t="str">
        <f>IF(I84="Si",VLOOKUP($D$8,'Tablas Técnicas'!$E$4:$F$6,2,FALSE),"")</f>
        <v/>
      </c>
      <c r="BQ84" s="979" t="str">
        <f>IF(L84="Si",VLOOKUP($D$8,'Tablas Técnicas'!$I$4:$J$6,2,FALSE),"")</f>
        <v/>
      </c>
      <c r="BR84" s="977" t="str">
        <f>IF(O84="Si",VLOOKUP($D$8,'Tablas Técnicas'!$I$7:$J$9,2,FALSE),"")</f>
        <v/>
      </c>
      <c r="BS84" s="994"/>
      <c r="BT84" s="4770" t="s">
        <v>4541</v>
      </c>
      <c r="BU84" s="4771"/>
      <c r="BV84" s="971"/>
      <c r="BW84" s="945"/>
      <c r="BX84" s="951"/>
      <c r="BY84" s="1286"/>
      <c r="BZ84" s="1304"/>
      <c r="CA84" s="939"/>
      <c r="CC84" s="2940"/>
      <c r="DR84" s="939"/>
      <c r="DS84" s="1320"/>
      <c r="DT84" s="1325"/>
      <c r="DU84" s="1375" t="str">
        <f>IF(BW97="N/A","",BT96&amp;" "&amp;BW97&amp;IF(BY97="N/A"," "," ("&amp;BY97&amp;") "))</f>
        <v/>
      </c>
      <c r="DV84" s="1376" t="str">
        <f>IF(E84="","",E84)&amp;IF(I84="No",""," (Mant.)")&amp;IF(L84="No",""," (Sme)")&amp;IF(O84="No",""," (SMa)")</f>
        <v/>
      </c>
      <c r="DW84" s="1377" t="str">
        <f>IF(E114="","",E114)</f>
        <v/>
      </c>
      <c r="DX84" s="4778"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24"/>
      <c r="DZ84" s="939"/>
      <c r="EA84" s="1470">
        <f t="shared" si="1"/>
        <v>1</v>
      </c>
    </row>
    <row r="85" spans="1:132" ht="11.25" customHeight="1" x14ac:dyDescent="0.2">
      <c r="A85" s="939"/>
      <c r="B85" s="939"/>
      <c r="C85" s="4822"/>
      <c r="D85" s="1452" t="s">
        <v>1766</v>
      </c>
      <c r="E85" s="995"/>
      <c r="F85" s="996" t="str">
        <f>IF(E85=0,"",VLOOKUP(E85,'Tablas Técnicas'!$A$14:$V$771,2,FALSE))</f>
        <v/>
      </c>
      <c r="G85" s="997"/>
      <c r="H85" s="998" t="str">
        <f>IF($E85=0,"",VLOOKUP($E85,'Tablas Técnicas'!$A$14:$V$771,4,FALSE))</f>
        <v/>
      </c>
      <c r="I85" s="999" t="s">
        <v>1690</v>
      </c>
      <c r="J85" s="1415" t="str">
        <f>IF(E85=0,"",VLOOKUP(E85,'Tablas Técnicas'!$A$14:$V$771,5,FALSE))</f>
        <v/>
      </c>
      <c r="K85" s="1001" t="str">
        <f>IF(I85="Si",IF(E85=0,"",VLOOKUP(E85,'Tablas Técnicas'!$A$14:$V$771,5,FALSE)),"")</f>
        <v/>
      </c>
      <c r="L85" s="999" t="s">
        <v>1690</v>
      </c>
      <c r="M85" s="1415" t="str">
        <f>IF(E85=0,"",VLOOKUP(E85,'Tablas Técnicas'!$A$14:$V$771,6,FALSE))</f>
        <v/>
      </c>
      <c r="N85" s="1002" t="str">
        <f>IF(L85="Si",IF(E85=0,"",VLOOKUP(E85,'Tablas Técnicas'!$A$14:$V$771,6,FALSE)),"")</f>
        <v/>
      </c>
      <c r="O85" s="999" t="s">
        <v>1690</v>
      </c>
      <c r="P85" s="1415" t="str">
        <f>IF(E85=0,"",VLOOKUP(E85,'Tablas Técnicas'!$A$14:$V$771,7,FALSE))</f>
        <v/>
      </c>
      <c r="Q85" s="1002" t="str">
        <f>IF(O85="Si",IF(E85=0,"",VLOOKUP(E85,'Tablas Técnicas'!$A$14:$V$771,7,FALSE)),"")</f>
        <v/>
      </c>
      <c r="R85" s="1000" t="str">
        <f>IF(E85=0,"",VLOOKUP(E85,'Tablas Técnicas'!$A$14:$V$771,8,FALSE))</f>
        <v/>
      </c>
      <c r="S85" s="998" t="str">
        <f>IF(R85=$D$8,$D$8,IF(R85=2,2,IF(R85=3,3,R85)))</f>
        <v/>
      </c>
      <c r="T85" s="4796" t="s">
        <v>4542</v>
      </c>
      <c r="U85" s="4797"/>
      <c r="V85" s="4797"/>
      <c r="W85" s="4797"/>
      <c r="X85" s="4797"/>
      <c r="Y85" s="4797"/>
      <c r="Z85" s="4797"/>
      <c r="AA85" s="4797"/>
      <c r="AB85" s="4797"/>
      <c r="AC85" s="4797"/>
      <c r="AD85" s="4797"/>
      <c r="AE85" s="4797"/>
      <c r="AF85" s="4797"/>
      <c r="AG85" s="4797"/>
      <c r="AH85" s="4797"/>
      <c r="AI85" s="4797"/>
      <c r="AJ85" s="4797"/>
      <c r="AK85" s="4797"/>
      <c r="AL85" s="4797"/>
      <c r="AM85" s="4797"/>
      <c r="AN85" s="4797"/>
      <c r="AO85" s="4797"/>
      <c r="AP85" s="4797"/>
      <c r="AQ85" s="4797"/>
      <c r="AR85" s="4797"/>
      <c r="AS85" s="4797"/>
      <c r="AT85" s="4797"/>
      <c r="AU85" s="4797"/>
      <c r="AV85" s="4797"/>
      <c r="AW85" s="4797"/>
      <c r="AX85" s="4797"/>
      <c r="AY85" s="4797"/>
      <c r="AZ85" s="4797"/>
      <c r="BA85" s="4797"/>
      <c r="BB85" s="4797"/>
      <c r="BC85" s="4797"/>
      <c r="BD85" s="4797"/>
      <c r="BE85" s="4797"/>
      <c r="BF85" s="4797"/>
      <c r="BG85" s="4797"/>
      <c r="BH85" s="4797"/>
      <c r="BI85" s="4797"/>
      <c r="BJ85" s="4797"/>
      <c r="BK85" s="4798"/>
      <c r="BL85" s="1437"/>
      <c r="BM85" s="1438"/>
      <c r="BN85" s="992"/>
      <c r="BO85" s="993"/>
      <c r="BP85" s="978" t="str">
        <f>IF(I85="Si",VLOOKUP($D$8,'Tablas Técnicas'!$E$4:$F$6,2,FALSE),"")</f>
        <v/>
      </c>
      <c r="BQ85" s="979" t="str">
        <f>IF(L85="Si",VLOOKUP($D$8,'Tablas Técnicas'!$I$4:$J$6,2,FALSE),"")</f>
        <v/>
      </c>
      <c r="BR85" s="977" t="str">
        <f>IF(O85="Si",VLOOKUP($D$8,'Tablas Técnicas'!$I$7:$J$9,2,FALSE),"")</f>
        <v/>
      </c>
      <c r="BS85" s="994"/>
      <c r="BT85" s="4772">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773"/>
      <c r="BV85" s="971"/>
      <c r="BX85" s="951"/>
      <c r="BY85" s="1286"/>
      <c r="BZ85" s="1304"/>
      <c r="CA85" s="939"/>
      <c r="DR85" s="939"/>
      <c r="DT85" s="1325"/>
      <c r="DU85" s="1375" t="str">
        <f>IF(BW99="N/A","",BT98&amp;" "&amp;BW99&amp;IF(BY99="N/A"," "," ("&amp;BY99&amp;") "))</f>
        <v/>
      </c>
      <c r="DV85" s="1376" t="str">
        <f>IF(E85="",""," "&amp;E85)&amp;IF(I85="No",""," (Mant.)")&amp;IF(L85="No",""," (Sme)")&amp;IF(O85="No",""," (SMa)")</f>
        <v/>
      </c>
      <c r="DW85" s="1377" t="str">
        <f>IF(E115="","",", "&amp;E115)</f>
        <v/>
      </c>
      <c r="DX85" s="4778"/>
      <c r="DY85" s="1324"/>
      <c r="DZ85" s="939"/>
      <c r="EA85" s="1470">
        <f t="shared" si="1"/>
        <v>1</v>
      </c>
    </row>
    <row r="86" spans="1:132" x14ac:dyDescent="0.2">
      <c r="A86" s="939"/>
      <c r="B86" s="939"/>
      <c r="C86" s="4822"/>
      <c r="D86" s="1453" t="s">
        <v>1766</v>
      </c>
      <c r="E86" s="1003"/>
      <c r="F86" s="3033" t="str">
        <f>IF(E86=0,"",VLOOKUP(E86,'Tablas Técnicas'!$A$14:$V$771,2,FALSE))</f>
        <v/>
      </c>
      <c r="G86" s="985"/>
      <c r="H86" s="1004" t="str">
        <f>IF($E86=0,"",VLOOKUP($E86,'Tablas Técnicas'!$A$14:$V$771,4,FALSE))</f>
        <v/>
      </c>
      <c r="I86" s="987" t="s">
        <v>1690</v>
      </c>
      <c r="J86" s="1411" t="str">
        <f>IF(E86=0,"",VLOOKUP(E86,'Tablas Técnicas'!$A$14:$V$771,5,FALSE))</f>
        <v/>
      </c>
      <c r="K86" s="1006" t="str">
        <f>IF(I86="Si",IF(E86=0,"",VLOOKUP(E86,'Tablas Técnicas'!$A$14:$V$771,5,FALSE)),"")</f>
        <v/>
      </c>
      <c r="L86" s="987" t="s">
        <v>1690</v>
      </c>
      <c r="M86" s="1411" t="str">
        <f>IF(E86=0,"",VLOOKUP(E86,'Tablas Técnicas'!$A$14:$V$771,6,FALSE))</f>
        <v/>
      </c>
      <c r="N86" s="990" t="str">
        <f>IF(L86="Si",IF(E86=0,"",VLOOKUP(E86,'Tablas Técnicas'!$A$14:$V$771,6,FALSE)),"")</f>
        <v/>
      </c>
      <c r="O86" s="987" t="s">
        <v>1690</v>
      </c>
      <c r="P86" s="1411" t="str">
        <f>IF(E86=0,"",VLOOKUP(E86,'Tablas Técnicas'!$A$14:$V$771,7,FALSE))</f>
        <v/>
      </c>
      <c r="Q86" s="990" t="str">
        <f>IF(O86="Si",IF(E86=0,"",VLOOKUP(E86,'Tablas Técnicas'!$A$14:$V$771,7,FALSE)),"")</f>
        <v/>
      </c>
      <c r="R86" s="1005" t="str">
        <f>IF(E86=0,"",VLOOKUP(E86,'Tablas Técnicas'!$A$14:$V$771,8,FALSE))</f>
        <v/>
      </c>
      <c r="S86" s="3033" t="str">
        <f>IF(R86=$D$8,$D$8,IF(R86=2,2,IF(R86=3,3,R86)))</f>
        <v/>
      </c>
      <c r="T86" s="4809"/>
      <c r="U86" s="4810"/>
      <c r="V86" s="3029" t="str">
        <f>IF(OR(V84=0,V84=""),"N/A",V84)</f>
        <v>N/A</v>
      </c>
      <c r="W86" s="4809" t="str">
        <f xml:space="preserve"> IF(OR(AF84=0,AF84=""),"N/A",W84)</f>
        <v>N/A</v>
      </c>
      <c r="X86" s="4811"/>
      <c r="Y86" s="4811"/>
      <c r="Z86" s="4811"/>
      <c r="AA86" s="4811"/>
      <c r="AB86" s="4811"/>
      <c r="AC86" s="4811"/>
      <c r="AD86" s="4811"/>
      <c r="AE86" s="4811"/>
      <c r="AF86" s="4810"/>
      <c r="AG86" s="4809" t="str">
        <f xml:space="preserve"> IF(OR(AP84="",AP84=0),"N/A",AG84)</f>
        <v>N/A</v>
      </c>
      <c r="AH86" s="4811"/>
      <c r="AI86" s="4811"/>
      <c r="AJ86" s="4811"/>
      <c r="AK86" s="4811"/>
      <c r="AL86" s="4811"/>
      <c r="AM86" s="4811"/>
      <c r="AN86" s="4811"/>
      <c r="AO86" s="4811"/>
      <c r="AP86" s="4810"/>
      <c r="AQ86" s="4809" t="str">
        <f xml:space="preserve"> IF(OR(AZ84="",AZ84=0),"N/A",AQ84)</f>
        <v>N/A</v>
      </c>
      <c r="AR86" s="4811"/>
      <c r="AS86" s="4811"/>
      <c r="AT86" s="4811"/>
      <c r="AU86" s="4811"/>
      <c r="AV86" s="4811"/>
      <c r="AW86" s="4811"/>
      <c r="AX86" s="4811"/>
      <c r="AY86" s="4811"/>
      <c r="AZ86" s="4810"/>
      <c r="BA86" s="4809" t="str">
        <f xml:space="preserve"> IF(OR(BJ84="",BJ84=0),"N/A",BA84)</f>
        <v>N/A</v>
      </c>
      <c r="BB86" s="4811"/>
      <c r="BC86" s="4811"/>
      <c r="BD86" s="4811"/>
      <c r="BE86" s="4811"/>
      <c r="BF86" s="4811"/>
      <c r="BG86" s="4811"/>
      <c r="BH86" s="4811"/>
      <c r="BI86" s="4811"/>
      <c r="BJ86" s="4810"/>
      <c r="BK86" s="1007" t="s">
        <v>4543</v>
      </c>
      <c r="BL86" s="989"/>
      <c r="BM86" s="1024"/>
      <c r="BN86" s="1008"/>
      <c r="BO86" s="1009"/>
      <c r="BP86" s="1010" t="str">
        <f>IF(I86="Si",VLOOKUP($D$8,'Tablas Técnicas'!$E$4:$F$6,2,FALSE),"")</f>
        <v/>
      </c>
      <c r="BQ86" s="980" t="str">
        <f>IF(L86="Si",VLOOKUP($D$8,'Tablas Técnicas'!$I$4:$J$6,2,FALSE),"")</f>
        <v/>
      </c>
      <c r="BR86" s="1011" t="str">
        <f>IF(O86="Si",VLOOKUP($D$8,'Tablas Técnicas'!$I$7:$J$9,2,FALSE),"")</f>
        <v/>
      </c>
      <c r="BS86" s="1012"/>
      <c r="BU86" s="3026"/>
      <c r="BV86" s="971"/>
      <c r="BW86" s="951"/>
      <c r="BX86" s="951"/>
      <c r="BY86" s="1286"/>
      <c r="BZ86" s="1304"/>
      <c r="CA86" s="939"/>
      <c r="DR86" s="939"/>
      <c r="DT86" s="1325"/>
      <c r="DU86" s="1375" t="str">
        <f>IF(BW101="N/A","",BT100&amp;" "&amp;BW101&amp;IF(BY101="N/A"," "," ("&amp;BY101&amp;") "))</f>
        <v/>
      </c>
      <c r="DV86" s="1376" t="str">
        <f>IF(E86="","",E86)&amp;IF(I86="No",""," (Mant.)")&amp;IF(L86="No",""," (Sme)")&amp;IF(O86="No",""," (SMa)")</f>
        <v/>
      </c>
      <c r="DW86" s="1377" t="str">
        <f>IF(E116="","",", "&amp;E116)</f>
        <v/>
      </c>
      <c r="DX86" s="4778"/>
      <c r="DY86" s="1324"/>
      <c r="DZ86" s="939"/>
      <c r="EA86" s="1470">
        <f t="shared" si="1"/>
        <v>1</v>
      </c>
    </row>
    <row r="87" spans="1:132" x14ac:dyDescent="0.2">
      <c r="A87" s="939"/>
      <c r="B87" s="939"/>
      <c r="C87" s="4822"/>
      <c r="D87" s="1452" t="s">
        <v>1766</v>
      </c>
      <c r="E87" s="995"/>
      <c r="F87" s="996" t="str">
        <f>IF(E87=0,"",VLOOKUP(E87,'Tablas Técnicas'!$A$14:$V$771,2,FALSE))</f>
        <v/>
      </c>
      <c r="G87" s="997"/>
      <c r="H87" s="998" t="str">
        <f>IF($E87=0,"",VLOOKUP($E87,'Tablas Técnicas'!$A$14:$V$771,4,FALSE))</f>
        <v/>
      </c>
      <c r="I87" s="999" t="s">
        <v>1690</v>
      </c>
      <c r="J87" s="1415" t="str">
        <f>IF(E87=0,"",VLOOKUP(E87,'Tablas Técnicas'!$A$14:$V$771,5,FALSE))</f>
        <v/>
      </c>
      <c r="K87" s="1001" t="str">
        <f>IF(I87="Si",IF(E87=0,"",VLOOKUP(E87,'Tablas Técnicas'!$A$14:$V$771,5,FALSE)),"")</f>
        <v/>
      </c>
      <c r="L87" s="999" t="s">
        <v>1690</v>
      </c>
      <c r="M87" s="1415" t="str">
        <f>IF(E87=0,"",VLOOKUP(E87,'Tablas Técnicas'!$A$14:$V$771,6,FALSE))</f>
        <v/>
      </c>
      <c r="N87" s="1002" t="str">
        <f>IF(L87="Si",IF(E87=0,"",VLOOKUP(E87,'Tablas Técnicas'!$A$14:$V$771,6,FALSE)),"")</f>
        <v/>
      </c>
      <c r="O87" s="999" t="s">
        <v>1690</v>
      </c>
      <c r="P87" s="1415" t="str">
        <f>IF(E87=0,"",VLOOKUP(E87,'Tablas Técnicas'!$A$14:$V$771,7,FALSE))</f>
        <v/>
      </c>
      <c r="Q87" s="1002" t="str">
        <f>IF(O87="Si",IF(E87=0,"",VLOOKUP(E87,'Tablas Técnicas'!$A$14:$V$771,7,FALSE)),"")</f>
        <v/>
      </c>
      <c r="R87" s="1000" t="str">
        <f>IF(E87=0,"",VLOOKUP(E87,'Tablas Técnicas'!$A$14:$V$771,8,FALSE))</f>
        <v/>
      </c>
      <c r="S87" s="998" t="str">
        <f>IF(R87=$D$8,$D$8,IF(R87=2,2,IF(R87=3,3,R87)))</f>
        <v/>
      </c>
      <c r="T87" s="4812" t="s">
        <v>4544</v>
      </c>
      <c r="U87" s="4813"/>
      <c r="V87" s="3025"/>
      <c r="W87" s="4814"/>
      <c r="X87" s="4815"/>
      <c r="Y87" s="4815"/>
      <c r="Z87" s="4815"/>
      <c r="AA87" s="4815"/>
      <c r="AB87" s="4815"/>
      <c r="AC87" s="4815"/>
      <c r="AD87" s="4815"/>
      <c r="AE87" s="4815"/>
      <c r="AF87" s="4816"/>
      <c r="AG87" s="4814"/>
      <c r="AH87" s="4815"/>
      <c r="AI87" s="4815"/>
      <c r="AJ87" s="4815"/>
      <c r="AK87" s="4815"/>
      <c r="AL87" s="4815"/>
      <c r="AM87" s="4815"/>
      <c r="AN87" s="4815"/>
      <c r="AO87" s="4815"/>
      <c r="AP87" s="4816"/>
      <c r="AQ87" s="4814"/>
      <c r="AR87" s="4815"/>
      <c r="AS87" s="4815"/>
      <c r="AT87" s="4815"/>
      <c r="AU87" s="4815"/>
      <c r="AV87" s="4815"/>
      <c r="AW87" s="4815"/>
      <c r="AX87" s="4815"/>
      <c r="AY87" s="4815"/>
      <c r="AZ87" s="4816"/>
      <c r="BA87" s="4814"/>
      <c r="BB87" s="4815"/>
      <c r="BC87" s="4815"/>
      <c r="BD87" s="4815"/>
      <c r="BE87" s="4815"/>
      <c r="BF87" s="4815"/>
      <c r="BG87" s="4815"/>
      <c r="BH87" s="4815"/>
      <c r="BI87" s="4815"/>
      <c r="BJ87" s="4816"/>
      <c r="BK87" s="998">
        <f>(SUM(F84:F88)+IF(AF84="",0,AF84)+IF(AP84="",0,AP84)+IF(AZ84="",0,AZ84)+IF(BJ84="",0,BJ84)+SUM(K84:K88)+SUM(N84:N88)+SUM(Q84:Q88))- SUM(V87:BA87)</f>
        <v>0</v>
      </c>
      <c r="BL87" s="1437"/>
      <c r="BM87" s="1438"/>
      <c r="BN87" s="992"/>
      <c r="BO87" s="993"/>
      <c r="BP87" s="978" t="str">
        <f>IF(I87="Si",VLOOKUP($D$8,'Tablas Técnicas'!$E$4:$F$6,2,FALSE),"")</f>
        <v/>
      </c>
      <c r="BQ87" s="979" t="str">
        <f>IF(L87="Si",VLOOKUP($D$8,'Tablas Técnicas'!$I$4:$J$6,2,FALSE),"")</f>
        <v/>
      </c>
      <c r="BR87" s="977" t="str">
        <f>IF(O87="Si",VLOOKUP($D$8,'Tablas Técnicas'!$I$7:$J$9,2,FALSE),"")</f>
        <v/>
      </c>
      <c r="BS87" s="994"/>
      <c r="BT87" s="4770" t="s">
        <v>4545</v>
      </c>
      <c r="BU87" s="4771"/>
      <c r="BV87" s="971"/>
      <c r="BW87" s="951"/>
      <c r="BX87" s="951"/>
      <c r="BY87" s="1286"/>
      <c r="BZ87" s="1304"/>
      <c r="CA87" s="939"/>
      <c r="DR87" s="939"/>
      <c r="DT87" s="1325"/>
      <c r="DU87" s="1375" t="str">
        <f>IF(BW103="N/A","",BT102&amp;" "&amp;BW103&amp;IF(BY103="N/A"," "," ("&amp;BY103&amp;") "))</f>
        <v/>
      </c>
      <c r="DV87" s="1376" t="str">
        <f>IF(E87="","",E87)&amp;IF(I87="No",""," (Mant.)")&amp;IF(L87="No",""," (Sme)")&amp;IF(O87="No",""," (SMa)")</f>
        <v/>
      </c>
      <c r="DW87" s="1377"/>
      <c r="DX87" s="4778"/>
      <c r="DY87" s="1324"/>
      <c r="DZ87" s="939"/>
      <c r="EA87" s="1470">
        <f t="shared" si="1"/>
        <v>1</v>
      </c>
    </row>
    <row r="88" spans="1:132" x14ac:dyDescent="0.2">
      <c r="A88" s="939"/>
      <c r="B88" s="939"/>
      <c r="C88" s="4822"/>
      <c r="D88" s="1453" t="s">
        <v>1766</v>
      </c>
      <c r="E88" s="1003"/>
      <c r="F88" s="3033" t="str">
        <f>IF(E88=0,"",VLOOKUP(E88,'Tablas Técnicas'!$A$14:$V$771,2,FALSE))</f>
        <v/>
      </c>
      <c r="G88" s="985"/>
      <c r="H88" s="1004" t="str">
        <f>IF($E88=0,"",VLOOKUP($E88,'Tablas Técnicas'!$A$14:$V$771,4,FALSE))</f>
        <v/>
      </c>
      <c r="I88" s="987" t="s">
        <v>1690</v>
      </c>
      <c r="J88" s="1411" t="str">
        <f>IF(E88=0,"",VLOOKUP(E88,'Tablas Técnicas'!$A$14:$V$771,5,FALSE))</f>
        <v/>
      </c>
      <c r="K88" s="1006" t="str">
        <f>IF(I88="Si",IF(E88=0,"",VLOOKUP(E88,'Tablas Técnicas'!$A$14:$V$771,5,FALSE)),"")</f>
        <v/>
      </c>
      <c r="L88" s="987" t="s">
        <v>1690</v>
      </c>
      <c r="M88" s="1411" t="str">
        <f>IF(E88=0,"",VLOOKUP(E88,'Tablas Técnicas'!$A$14:$V$771,6,FALSE))</f>
        <v/>
      </c>
      <c r="N88" s="990" t="str">
        <f>IF(L88="Si",IF(E88=0,"",VLOOKUP(E88,'Tablas Técnicas'!$A$14:$V$771,6,FALSE)),"")</f>
        <v/>
      </c>
      <c r="O88" s="987" t="s">
        <v>1690</v>
      </c>
      <c r="P88" s="1411" t="str">
        <f>IF(E88=0,"",VLOOKUP(E88,'Tablas Técnicas'!$A$14:$V$771,7,FALSE))</f>
        <v/>
      </c>
      <c r="Q88" s="990" t="str">
        <f>IF(O88="Si",IF(E88=0,"",VLOOKUP(E88,'Tablas Técnicas'!$A$14:$V$771,7,FALSE)),"")</f>
        <v/>
      </c>
      <c r="R88" s="1005" t="str">
        <f>IF(E88=0,"",VLOOKUP(E88,'Tablas Técnicas'!$A$14:$V$771,8,FALSE))</f>
        <v/>
      </c>
      <c r="S88" s="1004" t="str">
        <f>IF(R88=$D$8,$D$8,IF(R88=2,2,IF(R88=3,3,R88)))</f>
        <v/>
      </c>
      <c r="T88" s="4803" t="s">
        <v>4546</v>
      </c>
      <c r="U88" s="4804"/>
      <c r="V88" s="3032"/>
      <c r="W88" s="4805"/>
      <c r="X88" s="4806"/>
      <c r="Y88" s="4806"/>
      <c r="Z88" s="4806"/>
      <c r="AA88" s="4806"/>
      <c r="AB88" s="4806"/>
      <c r="AC88" s="4806"/>
      <c r="AD88" s="4806"/>
      <c r="AE88" s="4806"/>
      <c r="AF88" s="4807"/>
      <c r="AG88" s="4805"/>
      <c r="AH88" s="4806"/>
      <c r="AI88" s="4806"/>
      <c r="AJ88" s="4806"/>
      <c r="AK88" s="4806"/>
      <c r="AL88" s="4806"/>
      <c r="AM88" s="4806"/>
      <c r="AN88" s="4806"/>
      <c r="AO88" s="4806"/>
      <c r="AP88" s="4807"/>
      <c r="AQ88" s="4805"/>
      <c r="AR88" s="4806"/>
      <c r="AS88" s="4806"/>
      <c r="AT88" s="4806"/>
      <c r="AU88" s="4806"/>
      <c r="AV88" s="4806"/>
      <c r="AW88" s="4806"/>
      <c r="AX88" s="4806"/>
      <c r="AY88" s="4806"/>
      <c r="AZ88" s="4807"/>
      <c r="BA88" s="4805"/>
      <c r="BB88" s="4806"/>
      <c r="BC88" s="4806"/>
      <c r="BD88" s="4806"/>
      <c r="BE88" s="4806"/>
      <c r="BF88" s="4806"/>
      <c r="BG88" s="4806"/>
      <c r="BH88" s="4806"/>
      <c r="BI88" s="4806"/>
      <c r="BJ88" s="4807"/>
      <c r="BK88" s="1014">
        <f>SUM(K84:K88)-SUM(V88:BA88)</f>
        <v>0</v>
      </c>
      <c r="BL88" s="1439"/>
      <c r="BM88" s="1440"/>
      <c r="BN88" s="1008"/>
      <c r="BO88" s="1009"/>
      <c r="BP88" s="1010" t="str">
        <f>IF(I88="Si",VLOOKUP($D$8,'Tablas Técnicas'!$E$4:$F$6,2,FALSE),"")</f>
        <v/>
      </c>
      <c r="BQ88" s="980" t="str">
        <f>IF(L88="Si",VLOOKUP($D$8,'Tablas Técnicas'!$I$4:$J$6,2,FALSE),"")</f>
        <v/>
      </c>
      <c r="BR88" s="1011" t="str">
        <f>IF(O88="Si",VLOOKUP($D$8,'Tablas Técnicas'!$I$7:$J$9,2,FALSE),"")</f>
        <v/>
      </c>
      <c r="BS88" s="1012"/>
      <c r="BT88" s="4774" t="s">
        <v>1690</v>
      </c>
      <c r="BU88" s="4775"/>
      <c r="BV88" s="971"/>
      <c r="BW88" s="951"/>
      <c r="BX88" s="951"/>
      <c r="BY88" s="1286"/>
      <c r="BZ88" s="1304"/>
      <c r="CA88" s="939"/>
      <c r="DR88" s="939"/>
      <c r="DT88" s="1325"/>
      <c r="DU88" s="1375" t="str">
        <f>IF(BW105="N/A","",BT104&amp;" "&amp;BW105&amp;IF(BY105="N/A"," "," ("&amp;BY105&amp;") "))</f>
        <v/>
      </c>
      <c r="DV88" s="1376" t="str">
        <f>IF(E88="","",E88)&amp;IF(I88="No",""," (Mant.)")&amp;IF(L88="No",""," (Sme)")&amp;IF(O88="No",""," (SMa)")</f>
        <v/>
      </c>
      <c r="DW88" s="1377"/>
      <c r="DX88" s="4778"/>
      <c r="DY88" s="1324"/>
      <c r="DZ88" s="939"/>
      <c r="EA88" s="1470">
        <f t="shared" si="1"/>
        <v>1</v>
      </c>
    </row>
    <row r="89" spans="1:132" s="1013" customFormat="1" x14ac:dyDescent="0.2">
      <c r="A89" s="939"/>
      <c r="B89" s="1403"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822"/>
      <c r="D89" s="1454">
        <v>2</v>
      </c>
      <c r="E89" s="1246"/>
      <c r="F89" s="1016"/>
      <c r="G89" s="1017"/>
      <c r="H89" s="2159">
        <f t="array" ref="H89">IF(AND(OR(ISNUMBER(SEARCH("Empatía Elemental ("&amp;BK84:BM84&amp;")",Principal!$AF$30))),SUM(H84:H88)&gt;=10),-5,0)</f>
        <v>0</v>
      </c>
      <c r="I89" s="1413"/>
      <c r="J89" s="1416"/>
      <c r="K89" s="1017"/>
      <c r="L89" s="1413"/>
      <c r="M89" s="1416"/>
      <c r="N89" s="1017"/>
      <c r="O89" s="1413"/>
      <c r="P89" s="1416"/>
      <c r="Q89" s="1017"/>
      <c r="R89" s="1018"/>
      <c r="S89" s="1017"/>
      <c r="T89" s="1017"/>
      <c r="U89" s="974"/>
      <c r="V89" s="974"/>
      <c r="W89" s="974"/>
      <c r="X89" s="974"/>
      <c r="Y89" s="974"/>
      <c r="Z89" s="974"/>
      <c r="AA89" s="974"/>
      <c r="AB89" s="974"/>
      <c r="AC89" s="974"/>
      <c r="AD89" s="974"/>
      <c r="AE89" s="974"/>
      <c r="AF89" s="974"/>
      <c r="AG89" s="974"/>
      <c r="AH89" s="974"/>
      <c r="AI89" s="974"/>
      <c r="AJ89" s="974"/>
      <c r="AK89" s="974"/>
      <c r="AL89" s="974"/>
      <c r="AM89" s="974"/>
      <c r="AN89" s="974"/>
      <c r="AO89" s="974"/>
      <c r="AP89" s="974"/>
      <c r="AQ89" s="974"/>
      <c r="AR89" s="974"/>
      <c r="AS89" s="974"/>
      <c r="AT89" s="974"/>
      <c r="AU89" s="974"/>
      <c r="AV89" s="974"/>
      <c r="AW89" s="974"/>
      <c r="AX89" s="974"/>
      <c r="AY89" s="974"/>
      <c r="AZ89" s="974"/>
      <c r="BA89" s="974"/>
      <c r="BB89" s="974"/>
      <c r="BC89" s="974"/>
      <c r="BD89" s="974"/>
      <c r="BE89" s="974"/>
      <c r="BF89" s="974"/>
      <c r="BG89" s="974"/>
      <c r="BH89" s="974"/>
      <c r="BI89" s="974"/>
      <c r="BJ89" s="974"/>
      <c r="BK89" s="974"/>
      <c r="BL89" s="974"/>
      <c r="BM89" s="976"/>
      <c r="BN89" s="977">
        <f>SUM(K89:K92)</f>
        <v>0</v>
      </c>
      <c r="BO89" s="971" t="str">
        <f>IF(E89=0,"",(AF89+AP89+AZ89+BJ89))</f>
        <v/>
      </c>
      <c r="BP89" s="978" t="str">
        <f>IF(I89="Si",VLOOKUP($D$8,'Tablas Técnicas'!$E$4:$F$6,2,FALSE),"")</f>
        <v/>
      </c>
      <c r="BQ89" s="979" t="str">
        <f>IF(L89="Si",VLOOKUP($D$8,'Tablas Técnicas'!$I$4:$J$6,2,FALSE),"")</f>
        <v/>
      </c>
      <c r="BR89" s="977" t="str">
        <f>IF(O89="Si",VLOOKUP($D$8,'Tablas Técnicas'!$I$7:$J$9,2,FALSE),"")</f>
        <v/>
      </c>
      <c r="BS89" s="994"/>
      <c r="BT89" s="4770" t="s">
        <v>4547</v>
      </c>
      <c r="BU89" s="4771"/>
      <c r="BV89" s="971"/>
      <c r="BW89" s="951"/>
      <c r="BX89" s="951"/>
      <c r="BY89" s="1286"/>
      <c r="BZ89" s="1304"/>
      <c r="CA89" s="939"/>
      <c r="CC89" s="2940"/>
      <c r="DR89" s="939"/>
      <c r="DS89" s="1320"/>
      <c r="DT89" s="1325"/>
      <c r="DU89" s="1375" t="str">
        <f>IF(BW107="N/A","",BT106&amp;" "&amp;BW107&amp;IF(BY107="N/A"," "," ("&amp;BY107&amp;") "))</f>
        <v/>
      </c>
      <c r="DV89" s="1380"/>
      <c r="DW89" s="1377"/>
      <c r="DX89" s="1427" t="s">
        <v>1828</v>
      </c>
      <c r="DY89" s="1324"/>
      <c r="DZ89" s="939"/>
      <c r="EA89" s="1470">
        <f t="shared" si="1"/>
        <v>1</v>
      </c>
    </row>
    <row r="90" spans="1:132" x14ac:dyDescent="0.2">
      <c r="A90" s="939"/>
      <c r="B90" s="939"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822"/>
      <c r="D90" s="1453" t="s">
        <v>1766</v>
      </c>
      <c r="E90" s="983"/>
      <c r="F90" s="1019"/>
      <c r="G90" s="989" t="str">
        <f>IF(E90=0,"",VLOOKUP(E90,'Tablas Técnicas'!$A$14:$V$771,3,FALSE))</f>
        <v/>
      </c>
      <c r="H90" s="1021" t="str">
        <f>IF($E90=0,"",VLOOKUP($E90,'Tablas Técnicas'!$A$14:$V$771,4,FALSE))</f>
        <v/>
      </c>
      <c r="I90" s="987" t="s">
        <v>1690</v>
      </c>
      <c r="J90" s="1414" t="str">
        <f>IF(E90=0,"",VLOOKUP(E90,'Tablas Técnicas'!$A$14:$V$771,5,FALSE))</f>
        <v/>
      </c>
      <c r="K90" s="1020" t="str">
        <f>IF(I90="Si",IF(E90=0,"",VLOOKUP(E90,'Tablas Técnicas'!$A$14:$V$771,5,FALSE)),"")</f>
        <v/>
      </c>
      <c r="L90" s="987" t="s">
        <v>1690</v>
      </c>
      <c r="M90" s="1414" t="str">
        <f>IF(E90=0,"",VLOOKUP(E90,'Tablas Técnicas'!$A$14:$V$771,6,FALSE))</f>
        <v/>
      </c>
      <c r="N90" s="990" t="str">
        <f>IF(L90="Si",IF(E90=0,"",VLOOKUP(E90,'Tablas Técnicas'!$A$14:$V$771,6,FALSE)),"")</f>
        <v/>
      </c>
      <c r="O90" s="987" t="s">
        <v>1690</v>
      </c>
      <c r="P90" s="1414" t="str">
        <f>IF(E90=0,"",VLOOKUP(E90,'Tablas Técnicas'!$A$14:$V$771,7,FALSE))</f>
        <v/>
      </c>
      <c r="Q90" s="990" t="str">
        <f>IF(O90="Si",IF(E90=0,"",VLOOKUP(E90,'Tablas Técnicas'!$A$14:$V$771,7,FALSE)),"")</f>
        <v/>
      </c>
      <c r="R90" s="1022" t="str">
        <f>IF(E90=0,"",VLOOKUP(E90,'Tablas Técnicas'!$A$14:$V$771,8,FALSE))</f>
        <v/>
      </c>
      <c r="S90" s="1021" t="str">
        <f>IF(R90=$D$8,$D$8,IF(R90=2,2,IF(R90=3,3,R90)))</f>
        <v/>
      </c>
      <c r="T90" s="989" t="str">
        <f>IF(E90=0,"",VLOOKUP(E90,'Tablas Técnicas'!$A$14:$V$771,9,FALSE))</f>
        <v/>
      </c>
      <c r="U90" s="989" t="str">
        <f>IF(E90=0,"",VLOOKUP(E90,'Tablas Técnicas'!$A$14:$V$771,10,FALSE))</f>
        <v/>
      </c>
      <c r="V90" s="984" t="str">
        <f>IF(E90=0,"",VLOOKUP(E90,'Tablas Técnicas'!$A$14:$V$771,11,FALSE))</f>
        <v/>
      </c>
      <c r="W90" s="987"/>
      <c r="X90" s="988" t="e">
        <f>VLOOKUP(E90,'Tablas Técnicas'!$A$14:$V$771,12,FALSE)</f>
        <v>#N/A</v>
      </c>
      <c r="Y90" s="988" t="e">
        <f>IF(W90=X90,VLOOKUP(E90,'Tablas Técnicas'!$A$14:$V$771,13,FALSE),0)</f>
        <v>#N/A</v>
      </c>
      <c r="Z90" s="988" t="e">
        <f>VLOOKUP(E90,'Tablas Técnicas'!$A$14:$V$771,14,FALSE)</f>
        <v>#N/A</v>
      </c>
      <c r="AA90" s="988" t="e">
        <f>IF(W90=Z90,VLOOKUP(E90,'Tablas Técnicas'!$A$14:$V$616,15,FALSE),0)</f>
        <v>#N/A</v>
      </c>
      <c r="AB90" s="988" t="e">
        <f>VLOOKUP(E90,'Tablas Técnicas'!$A$14:$V$771,16,FALSE)</f>
        <v>#N/A</v>
      </c>
      <c r="AC90" s="988" t="e">
        <f>IF(W90=AB90,VLOOKUP(E90,'Tablas Técnicas'!$A$14:$V$616,17,FALSE),0)</f>
        <v>#N/A</v>
      </c>
      <c r="AD90" s="988" t="e">
        <f>VLOOKUP(E90,'Tablas Técnicas'!$A$14:$V$771,18,FALSE)</f>
        <v>#N/A</v>
      </c>
      <c r="AE90" s="988" t="e">
        <f>IF(W90=AD90,VLOOKUP(E90,'Tablas Técnicas'!$A$14:$V$771,19,FALSE),0)</f>
        <v>#N/A</v>
      </c>
      <c r="AF90" s="989" t="str">
        <f>IF(E90=0,"",(Y90+AA90+AC90+AE90))</f>
        <v/>
      </c>
      <c r="AG90" s="987"/>
      <c r="AH90" s="1022" t="e">
        <f>VLOOKUP(E90,'Tablas Técnicas'!$A$14:$V$771,12,FALSE)</f>
        <v>#N/A</v>
      </c>
      <c r="AI90" s="1022" t="e">
        <f>IF(AG90=AH90,VLOOKUP(E90,'Tablas Técnicas'!$A$14:$V$771,13,FALSE),0)</f>
        <v>#N/A</v>
      </c>
      <c r="AJ90" s="1022" t="e">
        <f>VLOOKUP(E90,'Tablas Técnicas'!$A$14:$V$771,14,FALSE)</f>
        <v>#N/A</v>
      </c>
      <c r="AK90" s="1022" t="e">
        <f>IF(AG90=AJ90,VLOOKUP(E90,'Tablas Técnicas'!$A$14:$V$771,15,FALSE),0)</f>
        <v>#N/A</v>
      </c>
      <c r="AL90" s="1022" t="e">
        <f>VLOOKUP(E90,'Tablas Técnicas'!$A$14:$V$771,16,FALSE)</f>
        <v>#N/A</v>
      </c>
      <c r="AM90" s="1022" t="e">
        <f>IF(AG90=AL90,VLOOKUP(E90,'Tablas Técnicas'!$A$14:$V$771,17,FALSE),0)</f>
        <v>#N/A</v>
      </c>
      <c r="AN90" s="1022" t="e">
        <f>VLOOKUP(E90,'Tablas Técnicas'!$A$14:$V$771,18,FALSE)</f>
        <v>#N/A</v>
      </c>
      <c r="AO90" s="1022" t="e">
        <f>IF(AG90=AN90,VLOOKUP(E90,'Tablas Técnicas'!$A$14:$V$771,19,FALSE),0)</f>
        <v>#N/A</v>
      </c>
      <c r="AP90" s="1023" t="str">
        <f>IF(E90=0,"",(AI90+AK90+AM90+AO90))</f>
        <v/>
      </c>
      <c r="AQ90" s="987"/>
      <c r="AR90" s="988" t="e">
        <f>VLOOKUP(E90,'Tablas Técnicas'!$A$14:$V$771,12,FALSE)</f>
        <v>#N/A</v>
      </c>
      <c r="AS90" s="988" t="e">
        <f>IF(AQ90=AR90,VLOOKUP(E90,'Tablas Técnicas'!$A$14:$V$771,13,FALSE),0)</f>
        <v>#N/A</v>
      </c>
      <c r="AT90" s="988" t="e">
        <f>VLOOKUP(E90,'Tablas Técnicas'!$A$14:$V$771,14,FALSE)</f>
        <v>#N/A</v>
      </c>
      <c r="AU90" s="988" t="e">
        <f>IF(AQ90=AT90,VLOOKUP(E90,'Tablas Técnicas'!$A$14:$V$771,15,FALSE),0)</f>
        <v>#N/A</v>
      </c>
      <c r="AV90" s="988" t="e">
        <f>VLOOKUP(E90,'Tablas Técnicas'!$A$14:$V$771,16,FALSE)</f>
        <v>#N/A</v>
      </c>
      <c r="AW90" s="988" t="e">
        <f>IF(AQ90=AV90,VLOOKUP(E90,'Tablas Técnicas'!$A$14:$V$771,17,FALSE),0)</f>
        <v>#N/A</v>
      </c>
      <c r="AX90" s="988" t="e">
        <f>VLOOKUP(E90,'Tablas Técnicas'!$A$14:$V$771,18,FALSE)</f>
        <v>#N/A</v>
      </c>
      <c r="AY90" s="988" t="e">
        <f>IF(AQ90=AX90,VLOOKUP(E90,'Tablas Técnicas'!$A$14:$V$771,19,FALSE),0)</f>
        <v>#N/A</v>
      </c>
      <c r="AZ90" s="989" t="str">
        <f>IF(E90=0,"",(AS90+AU90+AW90+AY90))</f>
        <v/>
      </c>
      <c r="BA90" s="987"/>
      <c r="BB90" s="988" t="e">
        <f>VLOOKUP(E90,'Tablas Técnicas'!$A$14:$V$771,12,FALSE)</f>
        <v>#N/A</v>
      </c>
      <c r="BC90" s="988" t="e">
        <f>IF(BA90=BB90,VLOOKUP(E90,'Tablas Técnicas'!$A$14:$V$771,13,FALSE),0)</f>
        <v>#N/A</v>
      </c>
      <c r="BD90" s="988" t="e">
        <f>VLOOKUP(E90,'Tablas Técnicas'!$A$14:$V$771,14,FALSE)</f>
        <v>#N/A</v>
      </c>
      <c r="BE90" s="988" t="e">
        <f>IF(BA90=BD90,VLOOKUP(E90,'Tablas Técnicas'!$A$14:$V$771,15,FALSE),0)</f>
        <v>#N/A</v>
      </c>
      <c r="BF90" s="988" t="e">
        <f>VLOOKUP(E90,'Tablas Técnicas'!$A$14:$V$771,16,FALSE)</f>
        <v>#N/A</v>
      </c>
      <c r="BG90" s="988" t="e">
        <f>IF(BA90=BF90,VLOOKUP(E90,'Tablas Técnicas'!$A$14:$V$771,17,FALSE),0)</f>
        <v>#N/A</v>
      </c>
      <c r="BH90" s="988" t="e">
        <f>VLOOKUP(E90,'Tablas Técnicas'!$A$14:$V$771,18,FALSE)</f>
        <v>#N/A</v>
      </c>
      <c r="BI90" s="988" t="e">
        <f>IF(BA90=BH90,VLOOKUP(E90,'Tablas Técnicas'!$A$14:$V$771,19,FALSE),0)</f>
        <v>#N/A</v>
      </c>
      <c r="BJ90" s="990" t="str">
        <f>IF(E90=0,"",(BC90+BE90+BG90+BI90))</f>
        <v/>
      </c>
      <c r="BK90" s="989" t="str">
        <f>IF(E90=0,"",VLOOKUP(E90,'Tablas Técnicas'!$A$14:$V$771,20,FALSE))</f>
        <v/>
      </c>
      <c r="BL90" s="989" t="str">
        <f>IF(E90=0,"",VLOOKUP(E90,'Tablas Técnicas'!$A$14:$V$771,21,FALSE))</f>
        <v/>
      </c>
      <c r="BM90" s="1024" t="str">
        <f>IF(E90=0,"",VLOOKUP(E90,'Tablas Técnicas'!$A$14:$V$771,22,FALSE))</f>
        <v/>
      </c>
      <c r="BN90" s="992"/>
      <c r="BO90" s="993"/>
      <c r="BP90" s="978" t="str">
        <f>IF(I90="Si",VLOOKUP($D$8,'Tablas Técnicas'!$E$4:$F$6,2,FALSE),"")</f>
        <v/>
      </c>
      <c r="BQ90" s="979" t="str">
        <f>IF(L90="Si",VLOOKUP($D$8,'Tablas Técnicas'!$I$4:$J$6,2,FALSE),"")</f>
        <v/>
      </c>
      <c r="BR90" s="977" t="str">
        <f>IF(O90="Si",VLOOKUP($D$8,'Tablas Técnicas'!$I$7:$J$9,2,FALSE),"")</f>
        <v/>
      </c>
      <c r="BS90" s="994"/>
      <c r="BT90" s="4774" t="s">
        <v>4527</v>
      </c>
      <c r="BU90" s="4775"/>
      <c r="BV90" s="971"/>
      <c r="BW90" s="951"/>
      <c r="BX90" s="951"/>
      <c r="BY90" s="1286"/>
      <c r="BZ90" s="1304"/>
      <c r="CA90" s="939"/>
      <c r="DR90" s="939"/>
      <c r="DT90" s="1326"/>
      <c r="DU90" s="1379"/>
      <c r="DV90" s="1376" t="str">
        <f>IF(E90="","",", "&amp;E90)&amp;IF(I90="No",""," (Mant.)")&amp;IF(L90="No",""," (Sme)")&amp;IF(O90="No",""," (SMa)")</f>
        <v/>
      </c>
      <c r="DW90" s="1377"/>
      <c r="DX90" s="1378" t="str">
        <f>IF(ISNUMBER(FIND('Tablas Técnicas'!A$678,DW108)),BL114&amp;BM114,IF(ISNUMBER(FIND('Tablas Técnicas'!A$679,DW108)),BL114&amp;" "&amp;BM114,""))</f>
        <v/>
      </c>
      <c r="DY90" s="1327"/>
      <c r="DZ90" s="939"/>
      <c r="EA90" s="1470">
        <f t="shared" si="1"/>
        <v>1</v>
      </c>
    </row>
    <row r="91" spans="1:132" ht="11.25" customHeight="1" x14ac:dyDescent="0.2">
      <c r="A91" s="939"/>
      <c r="B91" s="939"/>
      <c r="C91" s="4822"/>
      <c r="D91" s="1452" t="s">
        <v>1766</v>
      </c>
      <c r="E91" s="995"/>
      <c r="F91" s="1025"/>
      <c r="G91" s="1437" t="str">
        <f>IF(E91=0,"",VLOOKUP(E91,'Tablas Técnicas'!$A$14:$V$771,3,FALSE))</f>
        <v/>
      </c>
      <c r="H91" s="998" t="str">
        <f>IF($E91=0,"",VLOOKUP($E91,'Tablas Técnicas'!$A$14:$V$771,4,FALSE))</f>
        <v/>
      </c>
      <c r="I91" s="999" t="s">
        <v>1690</v>
      </c>
      <c r="J91" s="1415" t="str">
        <f>IF(E91=0,"",VLOOKUP(E91,'Tablas Técnicas'!$A$14:$V$771,5,FALSE))</f>
        <v/>
      </c>
      <c r="K91" s="1001" t="str">
        <f>IF(I91="Si",IF(E91=0,"",VLOOKUP(E91,'Tablas Técnicas'!$A$14:$V$771,5,FALSE)),"")</f>
        <v/>
      </c>
      <c r="L91" s="999" t="s">
        <v>1690</v>
      </c>
      <c r="M91" s="1415" t="str">
        <f>IF(E91=0,"",VLOOKUP(E91,'Tablas Técnicas'!$A$14:$V$771,6,FALSE))</f>
        <v/>
      </c>
      <c r="N91" s="1002" t="str">
        <f>IF(L91="Si",IF(E91=0,"",VLOOKUP(E91,'Tablas Técnicas'!$A$14:$V$771,6,FALSE)),"")</f>
        <v/>
      </c>
      <c r="O91" s="999" t="s">
        <v>1690</v>
      </c>
      <c r="P91" s="1415" t="str">
        <f>IF(E91=0,"",VLOOKUP(E91,'Tablas Técnicas'!$A$14:$V$771,7,FALSE))</f>
        <v/>
      </c>
      <c r="Q91" s="1002" t="str">
        <f>IF(O91="Si",IF(E91=0,"",VLOOKUP(E91,'Tablas Técnicas'!$A$14:$V$771,7,FALSE)),"")</f>
        <v/>
      </c>
      <c r="R91" s="1000" t="str">
        <f>IF(E91=0,"",VLOOKUP(E91,'Tablas Técnicas'!$A$14:$V$771,8,FALSE))</f>
        <v/>
      </c>
      <c r="S91" s="998" t="str">
        <f>IF(R91=$D$8,$D$8,IF(R91=2,2,IF(R91=3,3,R91)))</f>
        <v/>
      </c>
      <c r="T91" s="4796" t="s">
        <v>4542</v>
      </c>
      <c r="U91" s="4797"/>
      <c r="V91" s="4797"/>
      <c r="W91" s="4797"/>
      <c r="X91" s="4797"/>
      <c r="Y91" s="4797"/>
      <c r="Z91" s="4797"/>
      <c r="AA91" s="4797"/>
      <c r="AB91" s="4797"/>
      <c r="AC91" s="4797"/>
      <c r="AD91" s="4797"/>
      <c r="AE91" s="4797"/>
      <c r="AF91" s="4797"/>
      <c r="AG91" s="4797"/>
      <c r="AH91" s="4797"/>
      <c r="AI91" s="4797"/>
      <c r="AJ91" s="4797"/>
      <c r="AK91" s="4797"/>
      <c r="AL91" s="4797"/>
      <c r="AM91" s="4797"/>
      <c r="AN91" s="4797"/>
      <c r="AO91" s="4797"/>
      <c r="AP91" s="4797"/>
      <c r="AQ91" s="4797"/>
      <c r="AR91" s="4797"/>
      <c r="AS91" s="4797"/>
      <c r="AT91" s="4797"/>
      <c r="AU91" s="4797"/>
      <c r="AV91" s="4797"/>
      <c r="AW91" s="4797"/>
      <c r="AX91" s="4797"/>
      <c r="AY91" s="4797"/>
      <c r="AZ91" s="4797"/>
      <c r="BA91" s="4797"/>
      <c r="BB91" s="4797"/>
      <c r="BC91" s="4797"/>
      <c r="BD91" s="4797"/>
      <c r="BE91" s="4797"/>
      <c r="BF91" s="4797"/>
      <c r="BG91" s="4797"/>
      <c r="BH91" s="4797"/>
      <c r="BI91" s="4797"/>
      <c r="BJ91" s="4797"/>
      <c r="BK91" s="4798"/>
      <c r="BL91" s="1437"/>
      <c r="BM91" s="1438"/>
      <c r="BN91" s="992"/>
      <c r="BO91" s="993"/>
      <c r="BP91" s="978" t="str">
        <f>IF(I91="Si",VLOOKUP($D$8,'Tablas Técnicas'!$E$4:$F$6,2,FALSE),"")</f>
        <v/>
      </c>
      <c r="BQ91" s="979" t="str">
        <f>IF(L91="Si",VLOOKUP($D$8,'Tablas Técnicas'!$I$4:$J$6,2,FALSE),"")</f>
        <v/>
      </c>
      <c r="BR91" s="977" t="str">
        <f>IF(O91="Si",VLOOKUP($D$8,'Tablas Técnicas'!$I$7:$J$9,2,FALSE),"")</f>
        <v/>
      </c>
      <c r="BS91" s="994"/>
      <c r="BT91" s="4770" t="s">
        <v>4548</v>
      </c>
      <c r="BU91" s="4771"/>
      <c r="BV91" s="971"/>
      <c r="BW91" s="951"/>
      <c r="BX91" s="951"/>
      <c r="BY91" s="1286"/>
      <c r="BZ91" s="1304"/>
      <c r="CA91" s="939"/>
      <c r="DR91" s="939"/>
      <c r="DT91" s="1325"/>
      <c r="DU91" s="1375"/>
      <c r="DV91" s="1376" t="str">
        <f>IF(E91="",""," "&amp;E91)&amp;IF(I91="No",""," (Mant.)")&amp;IF(L91="No",""," (Sme)")&amp;IF(O91="No",""," (SMa)")</f>
        <v/>
      </c>
      <c r="DW91" s="1377"/>
      <c r="DX91" s="1378"/>
      <c r="DY91" s="1324"/>
      <c r="DZ91" s="939"/>
      <c r="EA91" s="1470">
        <f t="shared" si="1"/>
        <v>1</v>
      </c>
    </row>
    <row r="92" spans="1:132" ht="11.25" customHeight="1" x14ac:dyDescent="0.2">
      <c r="A92" s="939"/>
      <c r="B92" s="939"/>
      <c r="C92" s="4822"/>
      <c r="D92" s="1453" t="s">
        <v>1766</v>
      </c>
      <c r="E92" s="1003"/>
      <c r="F92" s="1019"/>
      <c r="G92" s="989" t="str">
        <f>IF(E92=0,"",VLOOKUP(E92,'Tablas Técnicas'!$A$14:$V$771,3,FALSE))</f>
        <v/>
      </c>
      <c r="H92" s="3033" t="str">
        <f>IF($E92=0,"",VLOOKUP($E92,'Tablas Técnicas'!$A$14:$V$771,4,FALSE))</f>
        <v/>
      </c>
      <c r="I92" s="987" t="s">
        <v>1690</v>
      </c>
      <c r="J92" s="1411" t="str">
        <f>IF(E92=0,"",VLOOKUP(E92,'Tablas Técnicas'!$A$14:$V$771,5,FALSE))</f>
        <v/>
      </c>
      <c r="K92" s="1006" t="str">
        <f>IF(I92="Si",IF(E92=0,"",VLOOKUP(E92,'Tablas Técnicas'!$A$14:$V$771,5,FALSE)),"")</f>
        <v/>
      </c>
      <c r="L92" s="987" t="s">
        <v>1690</v>
      </c>
      <c r="M92" s="1411" t="str">
        <f>IF(E92=0,"",VLOOKUP(E92,'Tablas Técnicas'!$A$14:$V$771,6,FALSE))</f>
        <v/>
      </c>
      <c r="N92" s="990" t="str">
        <f>IF(L92="Si",IF(E92=0,"",VLOOKUP(E92,'Tablas Técnicas'!$A$14:$V$771,6,FALSE)),"")</f>
        <v/>
      </c>
      <c r="O92" s="987" t="s">
        <v>1690</v>
      </c>
      <c r="P92" s="1411" t="str">
        <f>IF(E92=0,"",VLOOKUP(E92,'Tablas Técnicas'!$A$14:$V$771,7,FALSE))</f>
        <v/>
      </c>
      <c r="Q92" s="990" t="str">
        <f>IF(O92="Si",IF(E92=0,"",VLOOKUP(E92,'Tablas Técnicas'!$A$14:$V$771,7,FALSE)),"")</f>
        <v/>
      </c>
      <c r="R92" s="1005" t="str">
        <f>IF(E92=0,"",VLOOKUP(E92,'Tablas Técnicas'!$A$14:$V$771,8,FALSE))</f>
        <v/>
      </c>
      <c r="S92" s="3033" t="str">
        <f>IF(R92=$D$8,$D$8,IF(R92=2,2,IF(R92=3,3,R92)))</f>
        <v/>
      </c>
      <c r="T92" s="4809"/>
      <c r="U92" s="4810"/>
      <c r="V92" s="3029" t="str">
        <f>IF(OR(V90=0,V90=""),"N/A",V90)</f>
        <v>N/A</v>
      </c>
      <c r="W92" s="4809" t="str">
        <f xml:space="preserve"> IF(OR(AF90=0,AF90=""),"N/A",W90)</f>
        <v>N/A</v>
      </c>
      <c r="X92" s="4811"/>
      <c r="Y92" s="4811"/>
      <c r="Z92" s="4811"/>
      <c r="AA92" s="4811"/>
      <c r="AB92" s="4811"/>
      <c r="AC92" s="4811"/>
      <c r="AD92" s="4811"/>
      <c r="AE92" s="4811"/>
      <c r="AF92" s="4810"/>
      <c r="AG92" s="4809" t="str">
        <f xml:space="preserve"> IF(OR(AP90="",AP90=0),"N/A",AG90)</f>
        <v>N/A</v>
      </c>
      <c r="AH92" s="4811"/>
      <c r="AI92" s="4811"/>
      <c r="AJ92" s="4811"/>
      <c r="AK92" s="4811"/>
      <c r="AL92" s="4811"/>
      <c r="AM92" s="4811"/>
      <c r="AN92" s="4811"/>
      <c r="AO92" s="4811"/>
      <c r="AP92" s="4810"/>
      <c r="AQ92" s="4809" t="str">
        <f xml:space="preserve"> IF(OR(AZ90="",AZ90=0),"N/A",AQ90)</f>
        <v>N/A</v>
      </c>
      <c r="AR92" s="4811"/>
      <c r="AS92" s="4811"/>
      <c r="AT92" s="4811"/>
      <c r="AU92" s="4811"/>
      <c r="AV92" s="4811"/>
      <c r="AW92" s="4811"/>
      <c r="AX92" s="4811"/>
      <c r="AY92" s="4811"/>
      <c r="AZ92" s="4810"/>
      <c r="BA92" s="4809" t="str">
        <f xml:space="preserve"> IF(OR(BJ90="",BJ90=0),"N/A",BA90)</f>
        <v>N/A</v>
      </c>
      <c r="BB92" s="4811"/>
      <c r="BC92" s="4811"/>
      <c r="BD92" s="4811"/>
      <c r="BE92" s="4811"/>
      <c r="BF92" s="4811"/>
      <c r="BG92" s="4811"/>
      <c r="BH92" s="4811"/>
      <c r="BI92" s="4811"/>
      <c r="BJ92" s="4810"/>
      <c r="BK92" s="1007" t="s">
        <v>4543</v>
      </c>
      <c r="BL92" s="989"/>
      <c r="BM92" s="1024"/>
      <c r="BN92" s="992"/>
      <c r="BO92" s="1009"/>
      <c r="BP92" s="978" t="str">
        <f>IF(I92="Si",VLOOKUP($D$8,'Tablas Técnicas'!$E$4:$F$6,2,FALSE),"")</f>
        <v/>
      </c>
      <c r="BQ92" s="979" t="str">
        <f>IF(L92="Si",VLOOKUP($D$8,'Tablas Técnicas'!$I$4:$J$6,2,FALSE),"")</f>
        <v/>
      </c>
      <c r="BR92" s="977" t="str">
        <f>IF(O92="Si",VLOOKUP($D$8,'Tablas Técnicas'!$I$7:$J$9,2,FALSE),"")</f>
        <v/>
      </c>
      <c r="BS92" s="994"/>
      <c r="BT92" s="4774" t="s">
        <v>4521</v>
      </c>
      <c r="BU92" s="4775"/>
      <c r="BV92" s="971"/>
      <c r="BW92" s="951"/>
      <c r="BX92" s="951"/>
      <c r="BY92" s="1286"/>
      <c r="BZ92" s="1304"/>
      <c r="CA92" s="939"/>
      <c r="DR92" s="939"/>
      <c r="DT92" s="1325"/>
      <c r="DU92" s="1379"/>
      <c r="DV92" s="1376" t="str">
        <f>IF(E92="","",E92)&amp;IF(I92="No",""," (Mant.)")&amp;IF(L92="No",""," (Sme)")&amp;IF(O92="No",""," (SMa)")</f>
        <v/>
      </c>
      <c r="DW92" s="1377"/>
      <c r="DX92" s="1378"/>
      <c r="DY92" s="1324"/>
      <c r="DZ92" s="939"/>
      <c r="EA92" s="1470">
        <f t="shared" si="1"/>
        <v>1</v>
      </c>
    </row>
    <row r="93" spans="1:132" x14ac:dyDescent="0.2">
      <c r="A93" s="939"/>
      <c r="B93" s="939"/>
      <c r="C93" s="4822"/>
      <c r="D93" s="1452" t="s">
        <v>1766</v>
      </c>
      <c r="E93" s="995"/>
      <c r="F93" s="1025"/>
      <c r="G93" s="1437" t="str">
        <f>IF(E93=0,"",VLOOKUP(E93,'Tablas Técnicas'!$A$14:$V$771,3,FALSE))</f>
        <v/>
      </c>
      <c r="H93" s="998" t="str">
        <f>IF($E93=0,"",VLOOKUP($E93,'Tablas Técnicas'!$A$14:$V$771,4,FALSE))</f>
        <v/>
      </c>
      <c r="I93" s="999" t="s">
        <v>1690</v>
      </c>
      <c r="J93" s="1415" t="str">
        <f>IF(E93=0,"",VLOOKUP(E93,'Tablas Técnicas'!$A$14:$V$771,5,FALSE))</f>
        <v/>
      </c>
      <c r="K93" s="1001" t="str">
        <f>IF(I93="Si",IF(E93=0,"",VLOOKUP(E93,'Tablas Técnicas'!$A$14:$V$771,5,FALSE)),"")</f>
        <v/>
      </c>
      <c r="L93" s="999" t="s">
        <v>1690</v>
      </c>
      <c r="M93" s="1415" t="str">
        <f>IF(E93=0,"",VLOOKUP(E93,'Tablas Técnicas'!$A$14:$V$771,6,FALSE))</f>
        <v/>
      </c>
      <c r="N93" s="1002" t="str">
        <f>IF(L93="Si",IF(E93=0,"",VLOOKUP(E93,'Tablas Técnicas'!$A$14:$V$771,6,FALSE)),"")</f>
        <v/>
      </c>
      <c r="O93" s="999" t="s">
        <v>1690</v>
      </c>
      <c r="P93" s="1415" t="str">
        <f>IF(E93=0,"",VLOOKUP(E93,'Tablas Técnicas'!$A$14:$V$771,7,FALSE))</f>
        <v/>
      </c>
      <c r="Q93" s="1002" t="str">
        <f>IF(O93="Si",IF(E93=0,"",VLOOKUP(E93,'Tablas Técnicas'!$A$14:$V$771,7,FALSE)),"")</f>
        <v/>
      </c>
      <c r="R93" s="1000" t="str">
        <f>IF(E93=0,"",VLOOKUP(E93,'Tablas Técnicas'!$A$14:$V$771,8,FALSE))</f>
        <v/>
      </c>
      <c r="S93" s="998" t="str">
        <f>IF(R93=$D$8,$D$8,IF(R93=2,2,IF(R93=3,3,R93)))</f>
        <v/>
      </c>
      <c r="T93" s="4812" t="s">
        <v>4544</v>
      </c>
      <c r="U93" s="4813"/>
      <c r="V93" s="3025"/>
      <c r="W93" s="4814"/>
      <c r="X93" s="4815"/>
      <c r="Y93" s="4815"/>
      <c r="Z93" s="4815"/>
      <c r="AA93" s="4815"/>
      <c r="AB93" s="4815"/>
      <c r="AC93" s="4815"/>
      <c r="AD93" s="4815"/>
      <c r="AE93" s="4815"/>
      <c r="AF93" s="4816"/>
      <c r="AG93" s="4814"/>
      <c r="AH93" s="4815"/>
      <c r="AI93" s="4815"/>
      <c r="AJ93" s="4815"/>
      <c r="AK93" s="4815"/>
      <c r="AL93" s="4815"/>
      <c r="AM93" s="4815"/>
      <c r="AN93" s="4815"/>
      <c r="AO93" s="4815"/>
      <c r="AP93" s="4816"/>
      <c r="AQ93" s="4814"/>
      <c r="AR93" s="4815"/>
      <c r="AS93" s="4815"/>
      <c r="AT93" s="4815"/>
      <c r="AU93" s="4815"/>
      <c r="AV93" s="4815"/>
      <c r="AW93" s="4815"/>
      <c r="AX93" s="4815"/>
      <c r="AY93" s="4815"/>
      <c r="AZ93" s="4816"/>
      <c r="BA93" s="4814"/>
      <c r="BB93" s="4815"/>
      <c r="BC93" s="4815"/>
      <c r="BD93" s="4815"/>
      <c r="BE93" s="4815"/>
      <c r="BF93" s="4815"/>
      <c r="BG93" s="4815"/>
      <c r="BH93" s="4815"/>
      <c r="BI93" s="4815"/>
      <c r="BJ93" s="4816"/>
      <c r="BK93" s="998">
        <f>(SUM(G90:G94)+IF(AF90="",0,AF90)+IF(AP90="",0,AP90)+IF(AZ90="",0,AZ90)+IF(BJ90="",0,BJ90)+SUM(K90:K94)+SUM(N90:N94)+SUM(Q90:Q94))- SUM(V93:BA93)</f>
        <v>0</v>
      </c>
      <c r="BL93" s="1437"/>
      <c r="BM93" s="1438"/>
      <c r="BN93" s="992"/>
      <c r="BO93" s="993"/>
      <c r="BP93" s="978" t="str">
        <f>IF(I93="Si",VLOOKUP($D$8,'Tablas Técnicas'!$E$4:$F$6,2,FALSE),"")</f>
        <v/>
      </c>
      <c r="BQ93" s="979" t="str">
        <f>IF(L93="Si",VLOOKUP($D$8,'Tablas Técnicas'!$I$4:$J$6,2,FALSE),"")</f>
        <v/>
      </c>
      <c r="BR93" s="977" t="str">
        <f>IF(O93="Si",VLOOKUP($D$8,'Tablas Técnicas'!$I$7:$J$9,2,FALSE),"")</f>
        <v/>
      </c>
      <c r="BS93" s="994"/>
      <c r="BT93" s="4766" t="s">
        <v>4549</v>
      </c>
      <c r="BU93" s="4767"/>
      <c r="BV93" s="971"/>
      <c r="BW93" s="951"/>
      <c r="BX93" s="951"/>
      <c r="BY93" s="1286"/>
      <c r="BZ93" s="1304"/>
      <c r="CA93" s="939"/>
      <c r="DR93" s="939"/>
      <c r="DT93" s="1325"/>
      <c r="DU93" s="1375"/>
      <c r="DV93" s="1376" t="str">
        <f>IF(E93="","",E93)&amp;IF(I93="No",""," (Mant.)")&amp;IF(L93="No",""," (Sme)")&amp;IF(O93="No",""," (SMa)")</f>
        <v/>
      </c>
      <c r="DW93" s="1377"/>
      <c r="DX93" s="1378"/>
      <c r="DY93" s="1324"/>
      <c r="DZ93" s="939"/>
      <c r="EA93" s="1470">
        <f t="shared" si="1"/>
        <v>1</v>
      </c>
    </row>
    <row r="94" spans="1:132" x14ac:dyDescent="0.2">
      <c r="A94" s="939"/>
      <c r="B94" s="939"/>
      <c r="C94" s="4822"/>
      <c r="D94" s="1453" t="s">
        <v>1766</v>
      </c>
      <c r="E94" s="1003"/>
      <c r="F94" s="1019"/>
      <c r="G94" s="989" t="str">
        <f>IF(E94=0,"",VLOOKUP(E94,'Tablas Técnicas'!$A$14:$V$771,3,FALSE))</f>
        <v/>
      </c>
      <c r="H94" s="1004" t="str">
        <f>IF($E94=0,"",VLOOKUP($E94,'Tablas Técnicas'!$A$14:$V$771,4,FALSE))</f>
        <v/>
      </c>
      <c r="I94" s="987" t="s">
        <v>1690</v>
      </c>
      <c r="J94" s="1411" t="str">
        <f>IF(E94=0,"",VLOOKUP(E94,'Tablas Técnicas'!$A$14:$V$771,5,FALSE))</f>
        <v/>
      </c>
      <c r="K94" s="1006" t="str">
        <f>IF(I94="Si",IF(E94=0,"",VLOOKUP(E94,'Tablas Técnicas'!$A$14:$V$771,5,FALSE)),"")</f>
        <v/>
      </c>
      <c r="L94" s="987" t="s">
        <v>1690</v>
      </c>
      <c r="M94" s="1411" t="str">
        <f>IF(E94=0,"",VLOOKUP(E94,'Tablas Técnicas'!$A$14:$V$771,6,FALSE))</f>
        <v/>
      </c>
      <c r="N94" s="990" t="str">
        <f>IF(L94="Si",IF(E94=0,"",VLOOKUP(E94,'Tablas Técnicas'!$A$14:$V$771,6,FALSE)),"")</f>
        <v/>
      </c>
      <c r="O94" s="987" t="s">
        <v>1690</v>
      </c>
      <c r="P94" s="1411" t="str">
        <f>IF(E94=0,"",VLOOKUP(E94,'Tablas Técnicas'!$A$14:$V$771,7,FALSE))</f>
        <v/>
      </c>
      <c r="Q94" s="990" t="str">
        <f>IF(O94="Si",IF(E94=0,"",VLOOKUP(E94,'Tablas Técnicas'!$A$14:$V$771,7,FALSE)),"")</f>
        <v/>
      </c>
      <c r="R94" s="1005" t="str">
        <f>IF(E94=0,"",VLOOKUP(E94,'Tablas Técnicas'!$A$14:$V$771,8,FALSE))</f>
        <v/>
      </c>
      <c r="S94" s="1004" t="str">
        <f>IF(R94=$D$8,$D$8,IF(R94=2,2,IF(R94=3,3,R94)))</f>
        <v/>
      </c>
      <c r="T94" s="4803" t="s">
        <v>4546</v>
      </c>
      <c r="U94" s="4804"/>
      <c r="V94" s="3032"/>
      <c r="W94" s="4805"/>
      <c r="X94" s="4806"/>
      <c r="Y94" s="4806"/>
      <c r="Z94" s="4806"/>
      <c r="AA94" s="4806"/>
      <c r="AB94" s="4806"/>
      <c r="AC94" s="4806"/>
      <c r="AD94" s="4806"/>
      <c r="AE94" s="4806"/>
      <c r="AF94" s="4807"/>
      <c r="AG94" s="4805"/>
      <c r="AH94" s="4806"/>
      <c r="AI94" s="4806"/>
      <c r="AJ94" s="4806"/>
      <c r="AK94" s="4806"/>
      <c r="AL94" s="4806"/>
      <c r="AM94" s="4806"/>
      <c r="AN94" s="4806"/>
      <c r="AO94" s="4806"/>
      <c r="AP94" s="4807"/>
      <c r="AQ94" s="4805"/>
      <c r="AR94" s="4806"/>
      <c r="AS94" s="4806"/>
      <c r="AT94" s="4806"/>
      <c r="AU94" s="4806"/>
      <c r="AV94" s="4806"/>
      <c r="AW94" s="4806"/>
      <c r="AX94" s="4806"/>
      <c r="AY94" s="4806"/>
      <c r="AZ94" s="4807"/>
      <c r="BA94" s="4805"/>
      <c r="BB94" s="4806"/>
      <c r="BC94" s="4806"/>
      <c r="BD94" s="4806"/>
      <c r="BE94" s="4806"/>
      <c r="BF94" s="4806"/>
      <c r="BG94" s="4806"/>
      <c r="BH94" s="4806"/>
      <c r="BI94" s="4806"/>
      <c r="BJ94" s="4807"/>
      <c r="BK94" s="1014">
        <f>SUM(K90:K94)-SUM(V94:BA94)</f>
        <v>0</v>
      </c>
      <c r="BL94" s="1439"/>
      <c r="BM94" s="1440"/>
      <c r="BN94" s="992"/>
      <c r="BO94" s="1009"/>
      <c r="BP94" s="978" t="str">
        <f>IF(I94="Si",VLOOKUP($D$8,'Tablas Técnicas'!$E$4:$F$6,2,FALSE),"")</f>
        <v/>
      </c>
      <c r="BQ94" s="979" t="str">
        <f>IF(L94="Si",VLOOKUP($D$8,'Tablas Técnicas'!$I$4:$J$6,2,FALSE),"")</f>
        <v/>
      </c>
      <c r="BR94" s="977" t="str">
        <f>IF(O94="Si",VLOOKUP($D$8,'Tablas Técnicas'!$I$7:$J$9,2,FALSE),"")</f>
        <v/>
      </c>
      <c r="BS94" s="994"/>
      <c r="BT94" s="2354">
        <f>IF(BT88="No",0,IF(D82=0,0,VLOOKUP(D82,'Tablas Técnicas'!$L$4:$N$7,2,FALSE)))+IF(BT90="Bajar coste de CM",0,IF(BT90="-5 CM",2,IF(BT90="-10 CM",4,IF(BT90="-15 CM",6,IF(BT90="-20 CM",8,0)))))+IF(BT92="Bajar coste de Ki",0,IF(BT92="-1 Ki",-1,IF(BT92="-2 Ki",-2,IF(BT92="-3 Ki",-3,IF(BT92="-4 Ki",-4,IF(BT92="-5 Ki",-5,0))))))-BU97-BU99-BU101-BU103-BU105-BU107</f>
        <v>0</v>
      </c>
      <c r="BU94" s="2355">
        <f>IF(BT88="No",0,IF(D82=0,0,VLOOKUP(D82,'Tablas Técnicas'!$L$4:$N$7,2,FALSE)))+IF(BT90="Bajar coste de CM",0,IF(BT90="-5 CM",2,IF(BT90="-10 CM",4,IF(BT90="-15 CM",6,IF(BT90="-20 CM",8,0)))))+IF(BT92="Bajar coste de Ki",0,IF(BT92="-1 Ki",-1,IF(BT92="-2 Ki",-2,IF(BT92="-3 Ki",-3,IF(BT92="-4 Ki",-4,IF(BT92="-5 Ki",-5,0))))))</f>
        <v>0</v>
      </c>
      <c r="BV94" s="971"/>
      <c r="BW94" s="951"/>
      <c r="BX94" s="951"/>
      <c r="BY94" s="1286"/>
      <c r="BZ94" s="4808"/>
      <c r="CA94" s="939"/>
      <c r="DR94" s="939"/>
      <c r="DT94" s="1325"/>
      <c r="DU94" s="1379"/>
      <c r="DV94" s="1376" t="str">
        <f>IF(E94="","",E94)&amp;IF(I94="No",""," (Mant.)")&amp;IF(L94="No",""," (Sme)")&amp;IF(O94="No",""," (SMa)")</f>
        <v/>
      </c>
      <c r="DW94" s="1377"/>
      <c r="DX94" s="1378"/>
      <c r="DY94" s="1324"/>
      <c r="DZ94" s="939"/>
      <c r="EA94" s="1470">
        <f t="shared" si="1"/>
        <v>1</v>
      </c>
    </row>
    <row r="95" spans="1:132" x14ac:dyDescent="0.2">
      <c r="A95" s="939"/>
      <c r="B95" s="1403"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822"/>
      <c r="D95" s="1454">
        <v>3</v>
      </c>
      <c r="E95" s="1246"/>
      <c r="F95" s="1016"/>
      <c r="G95" s="1017"/>
      <c r="H95" s="2159">
        <f t="array" ref="H95">IF(AND(OR(ISNUMBER(SEARCH("Empatía Elemental ("&amp;BK90:BM90&amp;")",Principal!$AF$30))),SUM(H90:H94)&gt;=10),-5,0)</f>
        <v>0</v>
      </c>
      <c r="I95" s="1413"/>
      <c r="J95" s="1416"/>
      <c r="K95" s="1017"/>
      <c r="L95" s="1413"/>
      <c r="M95" s="1416"/>
      <c r="N95" s="1017"/>
      <c r="O95" s="1413"/>
      <c r="P95" s="1416"/>
      <c r="Q95" s="1017"/>
      <c r="R95" s="1018"/>
      <c r="S95" s="1017"/>
      <c r="T95" s="1017"/>
      <c r="U95" s="1017"/>
      <c r="V95" s="1017"/>
      <c r="W95" s="1017"/>
      <c r="X95" s="1017"/>
      <c r="Y95" s="1017"/>
      <c r="Z95" s="1017"/>
      <c r="AA95" s="1017"/>
      <c r="AB95" s="1017"/>
      <c r="AC95" s="1017"/>
      <c r="AD95" s="1017"/>
      <c r="AE95" s="1017"/>
      <c r="AF95" s="1017"/>
      <c r="AG95" s="1017"/>
      <c r="AH95" s="1017"/>
      <c r="AI95" s="1017"/>
      <c r="AJ95" s="1017"/>
      <c r="AK95" s="1017"/>
      <c r="AL95" s="1017"/>
      <c r="AM95" s="1017"/>
      <c r="AN95" s="1017"/>
      <c r="AO95" s="1017"/>
      <c r="AP95" s="1017"/>
      <c r="AQ95" s="1017"/>
      <c r="AR95" s="1017"/>
      <c r="AS95" s="1017"/>
      <c r="AT95" s="1017"/>
      <c r="AU95" s="1017"/>
      <c r="AV95" s="1017"/>
      <c r="AW95" s="1017"/>
      <c r="AX95" s="1017"/>
      <c r="AY95" s="1017"/>
      <c r="AZ95" s="1017"/>
      <c r="BA95" s="1017"/>
      <c r="BB95" s="1017"/>
      <c r="BC95" s="1017"/>
      <c r="BD95" s="1017"/>
      <c r="BE95" s="1017"/>
      <c r="BF95" s="1017"/>
      <c r="BG95" s="1017"/>
      <c r="BH95" s="1017"/>
      <c r="BI95" s="1017"/>
      <c r="BJ95" s="1017"/>
      <c r="BK95" s="1017"/>
      <c r="BL95" s="1017"/>
      <c r="BM95" s="1027"/>
      <c r="BN95" s="1028">
        <f>SUM(K95:K98)</f>
        <v>0</v>
      </c>
      <c r="BO95" s="971" t="str">
        <f>IF(E95=0,"",(AF95+AP95+AZ95+BJ95))</f>
        <v/>
      </c>
      <c r="BP95" s="1029" t="str">
        <f>IF(I95="Si",VLOOKUP($D$8,'Tablas Técnicas'!$E$4:$F$6,2,FALSE),"")</f>
        <v/>
      </c>
      <c r="BQ95" s="1030" t="str">
        <f>IF(L95="Si",VLOOKUP($D$8,'Tablas Técnicas'!$I$4:$J$6,2,FALSE),"")</f>
        <v/>
      </c>
      <c r="BR95" s="1028" t="str">
        <f>IF(O95="Si",VLOOKUP($D$8,'Tablas Técnicas'!$I$7:$J$9,2,FALSE),"")</f>
        <v/>
      </c>
      <c r="BS95" s="994"/>
      <c r="BU95" s="3026"/>
      <c r="BV95" s="971"/>
      <c r="BW95" s="951"/>
      <c r="BX95" s="951"/>
      <c r="BY95" s="1286"/>
      <c r="BZ95" s="4808"/>
      <c r="CA95" s="939"/>
      <c r="DR95" s="939"/>
      <c r="DT95" s="1325"/>
      <c r="DU95" s="1379"/>
      <c r="DV95" s="1380"/>
      <c r="DW95" s="1377"/>
      <c r="DX95" s="1378"/>
      <c r="DY95" s="1324"/>
      <c r="DZ95" s="939"/>
      <c r="EA95" s="1470">
        <f t="shared" si="1"/>
        <v>1</v>
      </c>
    </row>
    <row r="96" spans="1:132" x14ac:dyDescent="0.2">
      <c r="A96" s="939"/>
      <c r="B96" s="939"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822"/>
      <c r="D96" s="1453" t="s">
        <v>1766</v>
      </c>
      <c r="E96" s="983"/>
      <c r="F96" s="1019"/>
      <c r="G96" s="989" t="str">
        <f>IF(E96=0,"",VLOOKUP(E96,'Tablas Técnicas'!$A$14:$V$771,3,FALSE))</f>
        <v/>
      </c>
      <c r="H96" s="1031" t="str">
        <f>IF($E96=0,"",VLOOKUP($E96,'Tablas Técnicas'!$A$14:$V$771,4,FALSE))</f>
        <v/>
      </c>
      <c r="I96" s="987" t="s">
        <v>1690</v>
      </c>
      <c r="J96" s="1417" t="str">
        <f>IF(E96=0,"",VLOOKUP(E96,'Tablas Técnicas'!$A$14:$V$771,5,FALSE))</f>
        <v/>
      </c>
      <c r="K96" s="1033" t="str">
        <f>IF(I96="Si",IF(E96=0,"",VLOOKUP(E96,'Tablas Técnicas'!$A$14:$V$771,5,FALSE)),"")</f>
        <v/>
      </c>
      <c r="L96" s="987" t="s">
        <v>1690</v>
      </c>
      <c r="M96" s="1417" t="str">
        <f>IF(E96=0,"",VLOOKUP(E96,'Tablas Técnicas'!$A$14:$V$771,6,FALSE))</f>
        <v/>
      </c>
      <c r="N96" s="990" t="str">
        <f>IF(L96="Si",IF(E96=0,"",VLOOKUP(E96,'Tablas Técnicas'!$A$14:$V$771,6,FALSE)),"")</f>
        <v/>
      </c>
      <c r="O96" s="987" t="s">
        <v>1690</v>
      </c>
      <c r="P96" s="1417" t="str">
        <f>IF(E96=0,"",VLOOKUP(E96,'Tablas Técnicas'!$A$14:$V$771,7,FALSE))</f>
        <v/>
      </c>
      <c r="Q96" s="990" t="str">
        <f>IF(O96="Si",IF(E96=0,"",VLOOKUP(E96,'Tablas Técnicas'!$A$14:$V$771,7,FALSE)),"")</f>
        <v/>
      </c>
      <c r="R96" s="1032" t="str">
        <f>IF(E96=0,"",VLOOKUP(E96,'Tablas Técnicas'!$A$14:$V$771,8,FALSE))</f>
        <v/>
      </c>
      <c r="S96" s="1004" t="str">
        <f>IF(R96=$D$8,$D$8,IF(R96=2,2,IF(R96=3,3,R96)))</f>
        <v/>
      </c>
      <c r="T96" s="1033" t="str">
        <f>IF(E96=0,"",VLOOKUP(E96,'Tablas Técnicas'!$A$14:$V$771,9,FALSE))</f>
        <v/>
      </c>
      <c r="U96" s="1033" t="str">
        <f>IF(E96=0,"",VLOOKUP(E96,'Tablas Técnicas'!$A$14:$V$771,10,FALSE))</f>
        <v/>
      </c>
      <c r="V96" s="1034" t="str">
        <f>IF(E96=0,"",VLOOKUP(E96,'Tablas Técnicas'!$A$14:$V$771,11,FALSE))</f>
        <v/>
      </c>
      <c r="W96" s="987"/>
      <c r="X96" s="988" t="e">
        <f>VLOOKUP(E96,'Tablas Técnicas'!$A$14:$V$771,12,FALSE)</f>
        <v>#N/A</v>
      </c>
      <c r="Y96" s="988" t="e">
        <f>IF(W96=X96,VLOOKUP(E96,'Tablas Técnicas'!$A$14:$V$771,13,FALSE),0)</f>
        <v>#N/A</v>
      </c>
      <c r="Z96" s="988" t="e">
        <f>VLOOKUP(E96,'Tablas Técnicas'!$A$14:$V$771,14,FALSE)</f>
        <v>#N/A</v>
      </c>
      <c r="AA96" s="988" t="e">
        <f>IF(W96=Z96,VLOOKUP(E96,'Tablas Técnicas'!$A$14:$V$616,15,FALSE),0)</f>
        <v>#N/A</v>
      </c>
      <c r="AB96" s="988" t="e">
        <f>VLOOKUP(E96,'Tablas Técnicas'!$A$14:$V$771,16,FALSE)</f>
        <v>#N/A</v>
      </c>
      <c r="AC96" s="988" t="e">
        <f>IF(W96=AB96,VLOOKUP(E96,'Tablas Técnicas'!$A$14:$V$616,17,FALSE),0)</f>
        <v>#N/A</v>
      </c>
      <c r="AD96" s="988" t="e">
        <f>VLOOKUP(E96,'Tablas Técnicas'!$A$14:$V$771,18,FALSE)</f>
        <v>#N/A</v>
      </c>
      <c r="AE96" s="988" t="e">
        <f>IF(W96=AD96,VLOOKUP(E96,'Tablas Técnicas'!$A$14:$V$771,19,FALSE),0)</f>
        <v>#N/A</v>
      </c>
      <c r="AF96" s="1006" t="str">
        <f>IF(E96=0,"",(Y96+AA96+AC96+AE96))</f>
        <v/>
      </c>
      <c r="AG96" s="987"/>
      <c r="AH96" s="1005" t="e">
        <f>VLOOKUP(E96,'Tablas Técnicas'!$A$14:$V$771,12,FALSE)</f>
        <v>#N/A</v>
      </c>
      <c r="AI96" s="1005" t="e">
        <f>IF(AG96=AH96,VLOOKUP(E96,'Tablas Técnicas'!$A$14:$V$771,13,FALSE),0)</f>
        <v>#N/A</v>
      </c>
      <c r="AJ96" s="1005" t="e">
        <f>VLOOKUP(E96,'Tablas Técnicas'!$A$14:$V$771,14,FALSE)</f>
        <v>#N/A</v>
      </c>
      <c r="AK96" s="1005" t="e">
        <f>IF(AG96=AJ96,VLOOKUP(E96,'Tablas Técnicas'!$A$14:$V$771,15,FALSE),0)</f>
        <v>#N/A</v>
      </c>
      <c r="AL96" s="1005" t="e">
        <f>VLOOKUP(E96,'Tablas Técnicas'!$A$14:$V$771,16,FALSE)</f>
        <v>#N/A</v>
      </c>
      <c r="AM96" s="1005" t="e">
        <f>IF(AG96=AL96,VLOOKUP(E96,'Tablas Técnicas'!$A$14:$V$771,17,FALSE),0)</f>
        <v>#N/A</v>
      </c>
      <c r="AN96" s="1005" t="e">
        <f>VLOOKUP(E96,'Tablas Técnicas'!$A$14:$V$771,18,FALSE)</f>
        <v>#N/A</v>
      </c>
      <c r="AO96" s="1005" t="e">
        <f>IF(AG96=AN96,VLOOKUP(E96,'Tablas Técnicas'!$A$14:$V$771,19,FALSE),0)</f>
        <v>#N/A</v>
      </c>
      <c r="AP96" s="3034" t="str">
        <f>IF(E96=0,"",(AI96+AK96+AM96+AO96))</f>
        <v/>
      </c>
      <c r="AQ96" s="987"/>
      <c r="AR96" s="1005" t="e">
        <f>VLOOKUP(E96,'Tablas Técnicas'!$A$14:$V$771,12,FALSE)</f>
        <v>#N/A</v>
      </c>
      <c r="AS96" s="1005" t="e">
        <f>IF(AQ96=AR96,VLOOKUP(E96,'Tablas Técnicas'!$A$14:$V$771,13,FALSE),0)</f>
        <v>#N/A</v>
      </c>
      <c r="AT96" s="1005" t="e">
        <f>VLOOKUP(E96,'Tablas Técnicas'!$A$14:$V$771,14,FALSE)</f>
        <v>#N/A</v>
      </c>
      <c r="AU96" s="1005" t="e">
        <f>IF(AQ96=AT96,VLOOKUP(E96,'Tablas Técnicas'!$A$14:$V$771,15,FALSE),0)</f>
        <v>#N/A</v>
      </c>
      <c r="AV96" s="1005" t="e">
        <f>VLOOKUP(E96,'Tablas Técnicas'!$A$14:$V$771,16,FALSE)</f>
        <v>#N/A</v>
      </c>
      <c r="AW96" s="1005" t="e">
        <f>IF(AQ96=AV96,VLOOKUP(E96,'Tablas Técnicas'!$A$14:$V$771,17,FALSE),0)</f>
        <v>#N/A</v>
      </c>
      <c r="AX96" s="1005" t="e">
        <f>VLOOKUP(E96,'Tablas Técnicas'!$A$14:$V$771,18,FALSE)</f>
        <v>#N/A</v>
      </c>
      <c r="AY96" s="1005" t="e">
        <f>IF(AQ96=AX96,VLOOKUP(E96,'Tablas Técnicas'!$A$14:$V$771,19,FALSE),0)</f>
        <v>#N/A</v>
      </c>
      <c r="AZ96" s="1006" t="str">
        <f>IF(E96=0,"",(AS96+AU96+AW96+AY96))</f>
        <v/>
      </c>
      <c r="BA96" s="987"/>
      <c r="BB96" s="1005" t="e">
        <f>VLOOKUP(E96,'Tablas Técnicas'!$A$14:$V$771,12,FALSE)</f>
        <v>#N/A</v>
      </c>
      <c r="BC96" s="1005" t="e">
        <f>IF(BA96=BB96,VLOOKUP(E96,'Tablas Técnicas'!$A$14:$V$771,13,FALSE),0)</f>
        <v>#N/A</v>
      </c>
      <c r="BD96" s="1005" t="e">
        <f>VLOOKUP(E96,'Tablas Técnicas'!$A$14:$V$771,14,FALSE)</f>
        <v>#N/A</v>
      </c>
      <c r="BE96" s="1005" t="e">
        <f>IF(BA96=BD96,VLOOKUP(E96,'Tablas Técnicas'!$A$14:$V$771,15,FALSE),0)</f>
        <v>#N/A</v>
      </c>
      <c r="BF96" s="1005" t="e">
        <f>VLOOKUP(E96,'Tablas Técnicas'!$A$14:$V$771,16,FALSE)</f>
        <v>#N/A</v>
      </c>
      <c r="BG96" s="1005" t="e">
        <f>IF(BA96=BF96,VLOOKUP(E96,'Tablas Técnicas'!$A$14:$V$771,17,FALSE),0)</f>
        <v>#N/A</v>
      </c>
      <c r="BH96" s="1005" t="e">
        <f>VLOOKUP(E96,'Tablas Técnicas'!$A$14:$V$771,18,FALSE)</f>
        <v>#N/A</v>
      </c>
      <c r="BI96" s="1005" t="e">
        <f>IF(BA96=BH96,VLOOKUP(E96,'Tablas Técnicas'!$A$14:$V$771,19,FALSE),0)</f>
        <v>#N/A</v>
      </c>
      <c r="BJ96" s="3034" t="str">
        <f>IF(E96=0,"",(BC96+BE96+BG96+BI96))</f>
        <v/>
      </c>
      <c r="BK96" s="1033" t="str">
        <f>IF(E96=0,"",VLOOKUP(E96,'Tablas Técnicas'!$A$14:$V$771,20,FALSE))</f>
        <v/>
      </c>
      <c r="BL96" s="1020" t="str">
        <f>IF(E96=0,"",VLOOKUP(E96,'Tablas Técnicas'!$A$14:$V$771,21,FALSE))</f>
        <v/>
      </c>
      <c r="BM96" s="991" t="str">
        <f>IF(E96=0,"",VLOOKUP(E96,'Tablas Técnicas'!$A$14:$V$771,22,FALSE))</f>
        <v/>
      </c>
      <c r="BN96" s="992"/>
      <c r="BO96" s="993"/>
      <c r="BP96" s="978" t="str">
        <f>IF(I96="Si",VLOOKUP($D$8,'Tablas Técnicas'!$E$4:$F$6,2,FALSE),"")</f>
        <v/>
      </c>
      <c r="BQ96" s="979" t="str">
        <f>IF(L96="Si",VLOOKUP($D$8,'Tablas Técnicas'!$I$4:$J$6,2,FALSE),"")</f>
        <v/>
      </c>
      <c r="BR96" s="977" t="str">
        <f>IF(O96="Si",VLOOKUP($D$8,'Tablas Técnicas'!$I$7:$J$9,2,FALSE),"")</f>
        <v/>
      </c>
      <c r="BS96" s="994"/>
      <c r="BT96" s="3023" t="s">
        <v>1682</v>
      </c>
      <c r="BU96" s="3024" t="s">
        <v>4550</v>
      </c>
      <c r="BV96" s="971"/>
      <c r="BW96" s="3024" t="s">
        <v>4551</v>
      </c>
      <c r="BX96" s="3023" t="s">
        <v>4552</v>
      </c>
      <c r="BY96" s="1300" t="s">
        <v>4552</v>
      </c>
      <c r="BZ96" s="4808"/>
      <c r="CA96" s="939"/>
      <c r="DR96" s="939"/>
      <c r="DT96" s="1325"/>
      <c r="DU96" s="1379"/>
      <c r="DV96" s="1376" t="str">
        <f>IF(E96="","",", "&amp;E96)&amp;IF(I96="No",""," (Mant.)")&amp;IF(L96="No",""," (Sme)")&amp;IF(O96="No",""," (SMa)")</f>
        <v/>
      </c>
      <c r="DW96" s="1377"/>
      <c r="DX96" s="1378"/>
      <c r="DY96" s="1324"/>
      <c r="DZ96" s="939"/>
      <c r="EA96" s="1470">
        <f t="shared" si="1"/>
        <v>1</v>
      </c>
    </row>
    <row r="97" spans="1:131" x14ac:dyDescent="0.2">
      <c r="A97" s="939"/>
      <c r="B97" s="939"/>
      <c r="C97" s="4822"/>
      <c r="D97" s="1452" t="s">
        <v>1766</v>
      </c>
      <c r="E97" s="995"/>
      <c r="F97" s="1025"/>
      <c r="G97" s="1437" t="str">
        <f>IF(E97=0,"",VLOOKUP(E97,'Tablas Técnicas'!$A$14:$V$771,3,FALSE))</f>
        <v/>
      </c>
      <c r="H97" s="998" t="str">
        <f>IF($E97=0,"",VLOOKUP($E97,'Tablas Técnicas'!$A$14:$V$771,4,FALSE))</f>
        <v/>
      </c>
      <c r="I97" s="999" t="s">
        <v>1690</v>
      </c>
      <c r="J97" s="1415" t="str">
        <f>IF(E97=0,"",VLOOKUP(E97,'Tablas Técnicas'!$A$14:$V$771,5,FALSE))</f>
        <v/>
      </c>
      <c r="K97" s="1001" t="str">
        <f>IF(I97="Si",IF(E97=0,"",VLOOKUP(E97,'Tablas Técnicas'!$A$14:$V$771,5,FALSE)),"")</f>
        <v/>
      </c>
      <c r="L97" s="999" t="s">
        <v>1690</v>
      </c>
      <c r="M97" s="1415" t="str">
        <f>IF(E97=0,"",VLOOKUP(E97,'Tablas Técnicas'!$A$14:$V$771,6,FALSE))</f>
        <v/>
      </c>
      <c r="N97" s="1002" t="str">
        <f>IF(L97="Si",IF(E97=0,"",VLOOKUP(E97,'Tablas Técnicas'!$A$14:$V$771,6,FALSE)),"")</f>
        <v/>
      </c>
      <c r="O97" s="999" t="s">
        <v>1690</v>
      </c>
      <c r="P97" s="1415" t="str">
        <f>IF(E97=0,"",VLOOKUP(E97,'Tablas Técnicas'!$A$14:$V$771,7,FALSE))</f>
        <v/>
      </c>
      <c r="Q97" s="1002" t="str">
        <f>IF(O97="Si",IF(E97=0,"",VLOOKUP(E97,'Tablas Técnicas'!$A$14:$V$771,7,FALSE)),"")</f>
        <v/>
      </c>
      <c r="R97" s="1000" t="str">
        <f>IF(E97=0,"",VLOOKUP(E97,'Tablas Técnicas'!$A$14:$V$771,8,FALSE))</f>
        <v/>
      </c>
      <c r="S97" s="998" t="str">
        <f>IF(R97=$D$8,$D$8,IF(R97=2,2,IF(R97=3,3,R97)))</f>
        <v/>
      </c>
      <c r="T97" s="4796" t="s">
        <v>4542</v>
      </c>
      <c r="U97" s="4797"/>
      <c r="V97" s="4797"/>
      <c r="W97" s="4797"/>
      <c r="X97" s="4797"/>
      <c r="Y97" s="4797"/>
      <c r="Z97" s="4797"/>
      <c r="AA97" s="4797"/>
      <c r="AB97" s="4797"/>
      <c r="AC97" s="4797"/>
      <c r="AD97" s="4797"/>
      <c r="AE97" s="4797"/>
      <c r="AF97" s="4797"/>
      <c r="AG97" s="4797"/>
      <c r="AH97" s="4797"/>
      <c r="AI97" s="4797"/>
      <c r="AJ97" s="4797"/>
      <c r="AK97" s="4797"/>
      <c r="AL97" s="4797"/>
      <c r="AM97" s="4797"/>
      <c r="AN97" s="4797"/>
      <c r="AO97" s="4797"/>
      <c r="AP97" s="4797"/>
      <c r="AQ97" s="4797"/>
      <c r="AR97" s="4797"/>
      <c r="AS97" s="4797"/>
      <c r="AT97" s="4797"/>
      <c r="AU97" s="4797"/>
      <c r="AV97" s="4797"/>
      <c r="AW97" s="4797"/>
      <c r="AX97" s="4797"/>
      <c r="AY97" s="4797"/>
      <c r="AZ97" s="4797"/>
      <c r="BA97" s="4797"/>
      <c r="BB97" s="4797"/>
      <c r="BC97" s="4797"/>
      <c r="BD97" s="4797"/>
      <c r="BE97" s="4797"/>
      <c r="BF97" s="4797"/>
      <c r="BG97" s="4797"/>
      <c r="BH97" s="4797"/>
      <c r="BI97" s="4797"/>
      <c r="BJ97" s="4797"/>
      <c r="BK97" s="4798"/>
      <c r="BL97" s="1437"/>
      <c r="BM97" s="1438"/>
      <c r="BN97" s="992"/>
      <c r="BO97" s="993"/>
      <c r="BP97" s="978" t="str">
        <f>IF(I97="Si",VLOOKUP($D$8,'Tablas Técnicas'!$E$4:$F$6,2,FALSE),"")</f>
        <v/>
      </c>
      <c r="BQ97" s="979" t="str">
        <f>IF(L97="Si",VLOOKUP($D$8,'Tablas Técnicas'!$I$4:$J$6,2,FALSE),"")</f>
        <v/>
      </c>
      <c r="BR97" s="977" t="str">
        <f>IF(O97="Si",VLOOKUP($D$8,'Tablas Técnicas'!$I$7:$J$9,2,FALSE),"")</f>
        <v/>
      </c>
      <c r="BS97" s="994"/>
      <c r="BT97" s="3028">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356"/>
      <c r="BV97" s="971"/>
      <c r="BW97" s="1026" t="str">
        <f>IF(SUM(BT97:BU97)=0,"N/A",SUM(BT97:BU97))</f>
        <v>N/A</v>
      </c>
      <c r="BX97" s="3028">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26" t="str">
        <f>IF(BX97=0,"N/A",BX97)</f>
        <v>N/A</v>
      </c>
      <c r="BZ97" s="3027"/>
      <c r="CA97" s="939"/>
      <c r="DR97" s="939"/>
      <c r="DT97" s="1325"/>
      <c r="DU97" s="1379"/>
      <c r="DV97" s="1376" t="str">
        <f>IF(E97="",""," "&amp;E97)&amp;IF(I97="No",""," (Mant.)")&amp;IF(L97="No",""," (Sme)")&amp;IF(O97="No",""," (SMa)")</f>
        <v/>
      </c>
      <c r="DW97" s="1377"/>
      <c r="DX97" s="1378"/>
      <c r="DY97" s="1324"/>
      <c r="DZ97" s="939"/>
      <c r="EA97" s="1470">
        <f t="shared" si="1"/>
        <v>1</v>
      </c>
    </row>
    <row r="98" spans="1:131" x14ac:dyDescent="0.2">
      <c r="A98" s="939"/>
      <c r="B98" s="939"/>
      <c r="C98" s="4822"/>
      <c r="D98" s="1453" t="s">
        <v>1766</v>
      </c>
      <c r="E98" s="1003"/>
      <c r="F98" s="1019"/>
      <c r="G98" s="989" t="str">
        <f>IF(E98=0,"",VLOOKUP(E98,'Tablas Técnicas'!$A$14:$V$771,3,FALSE))</f>
        <v/>
      </c>
      <c r="H98" s="3033" t="str">
        <f>IF($E98=0,"",VLOOKUP($E98,'Tablas Técnicas'!$A$14:$V$771,4,FALSE))</f>
        <v/>
      </c>
      <c r="I98" s="987" t="s">
        <v>1690</v>
      </c>
      <c r="J98" s="1411" t="str">
        <f>IF(E98=0,"",VLOOKUP(E98,'Tablas Técnicas'!$A$14:$V$771,5,FALSE))</f>
        <v/>
      </c>
      <c r="K98" s="1006" t="str">
        <f>IF(I98="Si",IF(E98=0,"",VLOOKUP(E98,'Tablas Técnicas'!$A$14:$V$771,5,FALSE)),"")</f>
        <v/>
      </c>
      <c r="L98" s="987" t="s">
        <v>1690</v>
      </c>
      <c r="M98" s="1411" t="str">
        <f>IF(E98=0,"",VLOOKUP(E98,'Tablas Técnicas'!$A$14:$V$771,6,FALSE))</f>
        <v/>
      </c>
      <c r="N98" s="990" t="str">
        <f>IF(L98="Si",IF(E98=0,"",VLOOKUP(E98,'Tablas Técnicas'!$A$14:$V$771,6,FALSE)),"")</f>
        <v/>
      </c>
      <c r="O98" s="987" t="s">
        <v>1690</v>
      </c>
      <c r="P98" s="1411" t="str">
        <f>IF(E98=0,"",VLOOKUP(E98,'Tablas Técnicas'!$A$14:$V$771,7,FALSE))</f>
        <v/>
      </c>
      <c r="Q98" s="990" t="str">
        <f>IF(O98="Si",IF(E98=0,"",VLOOKUP(E98,'Tablas Técnicas'!$A$14:$V$771,7,FALSE)),"")</f>
        <v/>
      </c>
      <c r="R98" s="1005" t="str">
        <f>IF(E98=0,"",VLOOKUP(E98,'Tablas Técnicas'!$A$14:$V$771,8,FALSE))</f>
        <v/>
      </c>
      <c r="S98" s="3033" t="str">
        <f>IF(R98=$D$8,$D$8,IF(R98=2,2,IF(R98=3,3,R98)))</f>
        <v/>
      </c>
      <c r="T98" s="4809"/>
      <c r="U98" s="4810"/>
      <c r="V98" s="3029" t="str">
        <f>IF(OR(V96=0,V96=""),"N/A",V96)</f>
        <v>N/A</v>
      </c>
      <c r="W98" s="4809" t="str">
        <f xml:space="preserve"> IF(OR(AF96=0,AF96=""),"N/A",W96)</f>
        <v>N/A</v>
      </c>
      <c r="X98" s="4811"/>
      <c r="Y98" s="4811"/>
      <c r="Z98" s="4811"/>
      <c r="AA98" s="4811"/>
      <c r="AB98" s="4811"/>
      <c r="AC98" s="4811"/>
      <c r="AD98" s="4811"/>
      <c r="AE98" s="4811"/>
      <c r="AF98" s="4810"/>
      <c r="AG98" s="4809" t="str">
        <f xml:space="preserve"> IF(OR(AP96="",AP96=0),"N/A",AG96)</f>
        <v>N/A</v>
      </c>
      <c r="AH98" s="4811"/>
      <c r="AI98" s="4811"/>
      <c r="AJ98" s="4811"/>
      <c r="AK98" s="4811"/>
      <c r="AL98" s="4811"/>
      <c r="AM98" s="4811"/>
      <c r="AN98" s="4811"/>
      <c r="AO98" s="4811"/>
      <c r="AP98" s="4810"/>
      <c r="AQ98" s="4809" t="str">
        <f xml:space="preserve"> IF(OR(AZ96="",AZ96=0),"N/A",AQ96)</f>
        <v>N/A</v>
      </c>
      <c r="AR98" s="4811"/>
      <c r="AS98" s="4811"/>
      <c r="AT98" s="4811"/>
      <c r="AU98" s="4811"/>
      <c r="AV98" s="4811"/>
      <c r="AW98" s="4811"/>
      <c r="AX98" s="4811"/>
      <c r="AY98" s="4811"/>
      <c r="AZ98" s="4810"/>
      <c r="BA98" s="4809" t="str">
        <f xml:space="preserve"> IF(OR(BJ96="",BJ96=0),"N/A",BA96)</f>
        <v>N/A</v>
      </c>
      <c r="BB98" s="4811"/>
      <c r="BC98" s="4811"/>
      <c r="BD98" s="4811"/>
      <c r="BE98" s="4811"/>
      <c r="BF98" s="4811"/>
      <c r="BG98" s="4811"/>
      <c r="BH98" s="4811"/>
      <c r="BI98" s="4811"/>
      <c r="BJ98" s="4810"/>
      <c r="BK98" s="1007" t="s">
        <v>4543</v>
      </c>
      <c r="BL98" s="989"/>
      <c r="BM98" s="1024"/>
      <c r="BN98" s="1008"/>
      <c r="BO98" s="1009"/>
      <c r="BP98" s="1010" t="str">
        <f>IF(I98="Si",VLOOKUP($D$8,'Tablas Técnicas'!$E$4:$F$6,2,FALSE),"")</f>
        <v/>
      </c>
      <c r="BQ98" s="980" t="str">
        <f>IF(L98="Si",VLOOKUP($D$8,'Tablas Técnicas'!$I$4:$J$6,2,FALSE),"")</f>
        <v/>
      </c>
      <c r="BR98" s="1011" t="str">
        <f>IF(O98="Si",VLOOKUP($D$8,'Tablas Técnicas'!$I$7:$J$9,2,FALSE),"")</f>
        <v/>
      </c>
      <c r="BS98" s="994"/>
      <c r="BT98" s="3023" t="s">
        <v>1809</v>
      </c>
      <c r="BU98" s="3024" t="s">
        <v>4550</v>
      </c>
      <c r="BV98" s="971"/>
      <c r="BW98" s="3024" t="s">
        <v>4551</v>
      </c>
      <c r="BX98" s="3023" t="s">
        <v>4552</v>
      </c>
      <c r="BY98" s="1301" t="s">
        <v>4552</v>
      </c>
      <c r="BZ98" s="3027"/>
      <c r="CA98" s="939"/>
      <c r="DR98" s="939"/>
      <c r="DT98" s="1325"/>
      <c r="DU98" s="1379"/>
      <c r="DV98" s="1376" t="str">
        <f>IF(E98="","",E98)&amp;IF(I98="No",""," (Mant.)")&amp;IF(L98="No",""," (Sme)")&amp;IF(O98="No",""," (SMa)")</f>
        <v/>
      </c>
      <c r="DW98" s="1376"/>
      <c r="DX98" s="1378"/>
      <c r="DY98" s="1324"/>
      <c r="DZ98" s="939"/>
      <c r="EA98" s="1470">
        <f t="shared" si="1"/>
        <v>1</v>
      </c>
    </row>
    <row r="99" spans="1:131" x14ac:dyDescent="0.2">
      <c r="A99" s="939"/>
      <c r="B99" s="939"/>
      <c r="C99" s="4822"/>
      <c r="D99" s="1452" t="s">
        <v>1766</v>
      </c>
      <c r="E99" s="995"/>
      <c r="F99" s="1025"/>
      <c r="G99" s="1437" t="str">
        <f>IF(E99=0,"",VLOOKUP(E99,'Tablas Técnicas'!$A$14:$V$771,3,FALSE))</f>
        <v/>
      </c>
      <c r="H99" s="998" t="str">
        <f>IF($E99=0,"",VLOOKUP($E99,'Tablas Técnicas'!$A$14:$V$771,4,FALSE))</f>
        <v/>
      </c>
      <c r="I99" s="999" t="s">
        <v>1690</v>
      </c>
      <c r="J99" s="1415" t="str">
        <f>IF(E99=0,"",VLOOKUP(E99,'Tablas Técnicas'!$A$14:$V$771,5,FALSE))</f>
        <v/>
      </c>
      <c r="K99" s="1001" t="str">
        <f>IF(I99="Si",IF(E99=0,"",VLOOKUP(E99,'Tablas Técnicas'!$A$14:$V$771,5,FALSE)),"")</f>
        <v/>
      </c>
      <c r="L99" s="999" t="s">
        <v>1690</v>
      </c>
      <c r="M99" s="1415" t="str">
        <f>IF(E99=0,"",VLOOKUP(E99,'Tablas Técnicas'!$A$14:$V$771,6,FALSE))</f>
        <v/>
      </c>
      <c r="N99" s="1002" t="str">
        <f>IF(L99="Si",IF(E99=0,"",VLOOKUP(E99,'Tablas Técnicas'!$A$14:$V$771,6,FALSE)),"")</f>
        <v/>
      </c>
      <c r="O99" s="999" t="s">
        <v>1690</v>
      </c>
      <c r="P99" s="1415" t="str">
        <f>IF(E99=0,"",VLOOKUP(E99,'Tablas Técnicas'!$A$14:$V$771,7,FALSE))</f>
        <v/>
      </c>
      <c r="Q99" s="1002" t="str">
        <f>IF(O99="Si",IF(E99=0,"",VLOOKUP(E99,'Tablas Técnicas'!$A$14:$V$771,7,FALSE)),"")</f>
        <v/>
      </c>
      <c r="R99" s="1000" t="str">
        <f>IF(E99=0,"",VLOOKUP(E99,'Tablas Técnicas'!$A$14:$V$771,8,FALSE))</f>
        <v/>
      </c>
      <c r="S99" s="998" t="str">
        <f>IF(R99=$D$8,$D$8,IF(R99=2,2,IF(R99=3,3,R99)))</f>
        <v/>
      </c>
      <c r="T99" s="4812" t="s">
        <v>4544</v>
      </c>
      <c r="U99" s="4813"/>
      <c r="V99" s="3025"/>
      <c r="W99" s="4814"/>
      <c r="X99" s="4815"/>
      <c r="Y99" s="4815"/>
      <c r="Z99" s="4815"/>
      <c r="AA99" s="4815"/>
      <c r="AB99" s="4815"/>
      <c r="AC99" s="4815"/>
      <c r="AD99" s="4815"/>
      <c r="AE99" s="4815"/>
      <c r="AF99" s="4816"/>
      <c r="AG99" s="4814"/>
      <c r="AH99" s="4815"/>
      <c r="AI99" s="4815"/>
      <c r="AJ99" s="4815"/>
      <c r="AK99" s="4815"/>
      <c r="AL99" s="4815"/>
      <c r="AM99" s="4815"/>
      <c r="AN99" s="4815"/>
      <c r="AO99" s="4815"/>
      <c r="AP99" s="4816"/>
      <c r="AQ99" s="4814"/>
      <c r="AR99" s="4815"/>
      <c r="AS99" s="4815"/>
      <c r="AT99" s="4815"/>
      <c r="AU99" s="4815"/>
      <c r="AV99" s="4815"/>
      <c r="AW99" s="4815"/>
      <c r="AX99" s="4815"/>
      <c r="AY99" s="4815"/>
      <c r="AZ99" s="4816"/>
      <c r="BA99" s="4814"/>
      <c r="BB99" s="4815"/>
      <c r="BC99" s="4815"/>
      <c r="BD99" s="4815"/>
      <c r="BE99" s="4815"/>
      <c r="BF99" s="4815"/>
      <c r="BG99" s="4815"/>
      <c r="BH99" s="4815"/>
      <c r="BI99" s="4815"/>
      <c r="BJ99" s="4816"/>
      <c r="BK99" s="998">
        <f>(SUM(G96:G100)+IF(AF96="",0,AF96)+IF(AP96="",0,AP96)+IF(AZ96="",0,AZ96)+IF(BJ96="",0,BJ96)+SUM(K96:K100)+SUM(N96:N100)+SUM(Q96:Q100))- SUM(V99:BA99)</f>
        <v>0</v>
      </c>
      <c r="BL99" s="1437"/>
      <c r="BM99" s="1438"/>
      <c r="BN99" s="992"/>
      <c r="BO99" s="993"/>
      <c r="BP99" s="978" t="str">
        <f>IF(I99="Si",VLOOKUP($D$8,'Tablas Técnicas'!$E$4:$F$6,2,FALSE),"")</f>
        <v/>
      </c>
      <c r="BQ99" s="979" t="str">
        <f>IF(L99="Si",VLOOKUP($D$8,'Tablas Técnicas'!$I$4:$J$6,2,FALSE),"")</f>
        <v/>
      </c>
      <c r="BR99" s="977" t="str">
        <f>IF(O99="Si",VLOOKUP($D$8,'Tablas Técnicas'!$I$7:$J$9,2,FALSE),"")</f>
        <v/>
      </c>
      <c r="BS99" s="994"/>
      <c r="BT99" s="3028">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356"/>
      <c r="BV99" s="971"/>
      <c r="BW99" s="1026" t="str">
        <f>IF(SUM(BT99:BU99)=0,"N/A",SUM(BT99:BU99))</f>
        <v>N/A</v>
      </c>
      <c r="BX99" s="3028">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26" t="str">
        <f>IF(BX99=0,"N/A",BX99)</f>
        <v>N/A</v>
      </c>
      <c r="BZ99" s="3027"/>
      <c r="CA99" s="943"/>
      <c r="DR99" s="943"/>
      <c r="DT99" s="1326"/>
      <c r="DU99" s="1375"/>
      <c r="DV99" s="1376" t="str">
        <f>IF(E99="","",E99)&amp;IF(I99="No",""," (Mant.)")&amp;IF(L99="No",""," (Sme)")&amp;IF(O99="No",""," (SMa)")</f>
        <v/>
      </c>
      <c r="DW99" s="1376"/>
      <c r="DX99" s="1381"/>
      <c r="DY99" s="1327"/>
      <c r="DZ99" s="943"/>
      <c r="EA99" s="1470">
        <f t="shared" si="1"/>
        <v>1</v>
      </c>
    </row>
    <row r="100" spans="1:131" x14ac:dyDescent="0.2">
      <c r="A100" s="939"/>
      <c r="B100" s="939"/>
      <c r="C100" s="4822"/>
      <c r="D100" s="1453" t="s">
        <v>1766</v>
      </c>
      <c r="E100" s="1003"/>
      <c r="F100" s="1019"/>
      <c r="G100" s="989" t="str">
        <f>IF(E100=0,"",VLOOKUP(E100,'Tablas Técnicas'!$A$14:$V$771,3,FALSE))</f>
        <v/>
      </c>
      <c r="H100" s="1014" t="str">
        <f>IF($E100=0,"",VLOOKUP($E100,'Tablas Técnicas'!$A$14:$V$771,4,FALSE))</f>
        <v/>
      </c>
      <c r="I100" s="987" t="s">
        <v>1690</v>
      </c>
      <c r="J100" s="1418" t="str">
        <f>IF(E100=0,"",VLOOKUP(E100,'Tablas Técnicas'!$A$14:$V$771,5,FALSE))</f>
        <v/>
      </c>
      <c r="K100" s="1015" t="str">
        <f>IF(I100="Si",IF(E100=0,"",VLOOKUP(E100,'Tablas Técnicas'!$A$14:$V$771,5,FALSE)),"")</f>
        <v/>
      </c>
      <c r="L100" s="987" t="s">
        <v>1690</v>
      </c>
      <c r="M100" s="1418" t="str">
        <f>IF(E100=0,"",VLOOKUP(E100,'Tablas Técnicas'!$A$14:$V$771,6,FALSE))</f>
        <v/>
      </c>
      <c r="N100" s="990" t="str">
        <f>IF(L100="Si",IF(E100=0,"",VLOOKUP(E100,'Tablas Técnicas'!$A$14:$V$771,6,FALSE)),"")</f>
        <v/>
      </c>
      <c r="O100" s="987" t="s">
        <v>1690</v>
      </c>
      <c r="P100" s="1418" t="str">
        <f>IF(E100=0,"",VLOOKUP(E100,'Tablas Técnicas'!$A$14:$V$771,7,FALSE))</f>
        <v/>
      </c>
      <c r="Q100" s="990" t="str">
        <f>IF(O100="Si",IF(E100=0,"",VLOOKUP(E100,'Tablas Técnicas'!$A$14:$V$771,7,FALSE)),"")</f>
        <v/>
      </c>
      <c r="R100" s="1035" t="str">
        <f>IF(E100=0,"",VLOOKUP(E100,'Tablas Técnicas'!$A$14:$V$771,8,FALSE))</f>
        <v/>
      </c>
      <c r="S100" s="1004" t="str">
        <f>IF(R100=$D$8,$D$8,IF(R100=2,2,IF(R100=3,3,R100)))</f>
        <v/>
      </c>
      <c r="T100" s="4803" t="s">
        <v>4546</v>
      </c>
      <c r="U100" s="4804"/>
      <c r="V100" s="3032"/>
      <c r="W100" s="4805"/>
      <c r="X100" s="4806"/>
      <c r="Y100" s="4806"/>
      <c r="Z100" s="4806"/>
      <c r="AA100" s="4806"/>
      <c r="AB100" s="4806"/>
      <c r="AC100" s="4806"/>
      <c r="AD100" s="4806"/>
      <c r="AE100" s="4806"/>
      <c r="AF100" s="4807"/>
      <c r="AG100" s="4805"/>
      <c r="AH100" s="4806"/>
      <c r="AI100" s="4806"/>
      <c r="AJ100" s="4806"/>
      <c r="AK100" s="4806"/>
      <c r="AL100" s="4806"/>
      <c r="AM100" s="4806"/>
      <c r="AN100" s="4806"/>
      <c r="AO100" s="4806"/>
      <c r="AP100" s="4807"/>
      <c r="AQ100" s="4805"/>
      <c r="AR100" s="4806"/>
      <c r="AS100" s="4806"/>
      <c r="AT100" s="4806"/>
      <c r="AU100" s="4806"/>
      <c r="AV100" s="4806"/>
      <c r="AW100" s="4806"/>
      <c r="AX100" s="4806"/>
      <c r="AY100" s="4806"/>
      <c r="AZ100" s="4807"/>
      <c r="BA100" s="4805"/>
      <c r="BB100" s="4806"/>
      <c r="BC100" s="4806"/>
      <c r="BD100" s="4806"/>
      <c r="BE100" s="4806"/>
      <c r="BF100" s="4806"/>
      <c r="BG100" s="4806"/>
      <c r="BH100" s="4806"/>
      <c r="BI100" s="4806"/>
      <c r="BJ100" s="4807"/>
      <c r="BK100" s="1014">
        <f>SUM(K96:K100)-SUM(V100:BA100)</f>
        <v>0</v>
      </c>
      <c r="BL100" s="1439"/>
      <c r="BM100" s="1440"/>
      <c r="BN100" s="1008"/>
      <c r="BO100" s="1009"/>
      <c r="BP100" s="1010" t="str">
        <f>IF(I100="Si",VLOOKUP($D$8,'Tablas Técnicas'!$E$4:$F$6,2,FALSE),"")</f>
        <v/>
      </c>
      <c r="BQ100" s="980" t="str">
        <f>IF(L100="Si",VLOOKUP($D$8,'Tablas Técnicas'!$I$4:$J$6,2,FALSE),"")</f>
        <v/>
      </c>
      <c r="BR100" s="1011" t="str">
        <f>IF(O100="Si",VLOOKUP($D$8,'Tablas Técnicas'!$I$7:$J$9,2,FALSE),"")</f>
        <v/>
      </c>
      <c r="BS100" s="994"/>
      <c r="BT100" s="3023" t="s">
        <v>1687</v>
      </c>
      <c r="BU100" s="3024" t="s">
        <v>4550</v>
      </c>
      <c r="BV100" s="971"/>
      <c r="BW100" s="3024" t="s">
        <v>4551</v>
      </c>
      <c r="BX100" s="3023" t="s">
        <v>4552</v>
      </c>
      <c r="BY100" s="1301" t="s">
        <v>4552</v>
      </c>
      <c r="BZ100" s="3027"/>
      <c r="CA100" s="939"/>
      <c r="DR100" s="939"/>
      <c r="DT100" s="1325"/>
      <c r="DU100" s="1379"/>
      <c r="DV100" s="1376" t="str">
        <f>IF(E100="","",E100)&amp;IF(I100="No",""," (Mant.)")&amp;IF(L100="No",""," (Sme)")&amp;IF(O100="No",""," (SMa)")</f>
        <v/>
      </c>
      <c r="DW100" s="1376"/>
      <c r="DX100" s="1378"/>
      <c r="DY100" s="1324"/>
      <c r="DZ100" s="939"/>
      <c r="EA100" s="1470">
        <f t="shared" si="1"/>
        <v>1</v>
      </c>
    </row>
    <row r="101" spans="1:131" x14ac:dyDescent="0.2">
      <c r="A101" s="939"/>
      <c r="B101" s="1403"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822"/>
      <c r="D101" s="1454">
        <v>4</v>
      </c>
      <c r="E101" s="1246"/>
      <c r="F101" s="1016"/>
      <c r="G101" s="1017"/>
      <c r="H101" s="2159">
        <f t="array" ref="H101">IF(AND(OR(ISNUMBER(SEARCH("Empatía Elemental ("&amp;BK96:BM96&amp;")",Principal!$AF$30))),SUM(H96:H100)&gt;=10),-5,0)</f>
        <v>0</v>
      </c>
      <c r="I101" s="1413"/>
      <c r="J101" s="1416"/>
      <c r="K101" s="1017"/>
      <c r="L101" s="1413"/>
      <c r="M101" s="1416"/>
      <c r="N101" s="1017"/>
      <c r="O101" s="1413"/>
      <c r="P101" s="1416"/>
      <c r="Q101" s="1017"/>
      <c r="R101" s="1018"/>
      <c r="S101" s="1017"/>
      <c r="T101" s="1017"/>
      <c r="U101" s="1017"/>
      <c r="V101" s="1017"/>
      <c r="W101" s="1017"/>
      <c r="X101" s="1017"/>
      <c r="Y101" s="1017"/>
      <c r="Z101" s="1017"/>
      <c r="AA101" s="1017"/>
      <c r="AB101" s="1017"/>
      <c r="AC101" s="1017"/>
      <c r="AD101" s="1017"/>
      <c r="AE101" s="1017"/>
      <c r="AF101" s="1017"/>
      <c r="AG101" s="1017"/>
      <c r="AH101" s="1017"/>
      <c r="AI101" s="1017"/>
      <c r="AJ101" s="1017"/>
      <c r="AK101" s="1017"/>
      <c r="AL101" s="1017"/>
      <c r="AM101" s="1017"/>
      <c r="AN101" s="1017"/>
      <c r="AO101" s="1017"/>
      <c r="AP101" s="1017"/>
      <c r="AQ101" s="1017"/>
      <c r="AR101" s="1017"/>
      <c r="AS101" s="1017"/>
      <c r="AT101" s="1017"/>
      <c r="AU101" s="1017"/>
      <c r="AV101" s="1017"/>
      <c r="AW101" s="1017"/>
      <c r="AX101" s="1017"/>
      <c r="AY101" s="1017"/>
      <c r="AZ101" s="1017"/>
      <c r="BA101" s="1017"/>
      <c r="BB101" s="1017"/>
      <c r="BC101" s="1017"/>
      <c r="BD101" s="1017"/>
      <c r="BE101" s="1017"/>
      <c r="BF101" s="1017"/>
      <c r="BG101" s="1017"/>
      <c r="BH101" s="1017"/>
      <c r="BI101" s="1017"/>
      <c r="BJ101" s="1017"/>
      <c r="BK101" s="1017"/>
      <c r="BL101" s="1017"/>
      <c r="BM101" s="1027"/>
      <c r="BN101" s="1028">
        <f>SUM(K101:K104)</f>
        <v>0</v>
      </c>
      <c r="BO101" s="971" t="str">
        <f>IF(E101=0,"",(AF101+AP101+AZ101+BJ101))</f>
        <v/>
      </c>
      <c r="BP101" s="1029" t="str">
        <f>IF(I101="Si",VLOOKUP($D$8,'Tablas Técnicas'!$E$4:$F$6,2,FALSE),"")</f>
        <v/>
      </c>
      <c r="BQ101" s="1030" t="str">
        <f>IF(L101="Si",VLOOKUP($D$8,'Tablas Técnicas'!$I$4:$J$6,2,FALSE),"")</f>
        <v/>
      </c>
      <c r="BR101" s="1028" t="str">
        <f>IF(O101="Si",VLOOKUP($D$8,'Tablas Técnicas'!$I$7:$J$9,2,FALSE),"")</f>
        <v/>
      </c>
      <c r="BS101" s="994"/>
      <c r="BT101" s="3028">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356"/>
      <c r="BV101" s="971"/>
      <c r="BW101" s="1026" t="str">
        <f>IF(SUM(BT101:BU101)=0,"N/A",SUM(BT101:BU101))</f>
        <v>N/A</v>
      </c>
      <c r="BX101" s="3028">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26" t="str">
        <f>IF(BX101=0,"N/A",BX101)</f>
        <v>N/A</v>
      </c>
      <c r="BZ101" s="3027"/>
      <c r="CA101" s="939"/>
      <c r="DR101" s="939"/>
      <c r="DT101" s="1325"/>
      <c r="DU101" s="1379"/>
      <c r="DV101" s="1380"/>
      <c r="DW101" s="1376"/>
      <c r="DX101" s="1378"/>
      <c r="DY101" s="1324"/>
      <c r="DZ101" s="939"/>
      <c r="EA101" s="1470">
        <f t="shared" si="1"/>
        <v>1</v>
      </c>
    </row>
    <row r="102" spans="1:131" ht="11.25" customHeight="1" x14ac:dyDescent="0.2">
      <c r="A102" s="939"/>
      <c r="B102" s="939"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822"/>
      <c r="D102" s="1453" t="s">
        <v>1766</v>
      </c>
      <c r="E102" s="983"/>
      <c r="F102" s="1019"/>
      <c r="G102" s="989" t="str">
        <f>IF(E102=0,"",VLOOKUP(E102,'Tablas Técnicas'!$A$14:$V$771,3,FALSE))</f>
        <v/>
      </c>
      <c r="H102" s="1031" t="str">
        <f>IF($E102=0,"",VLOOKUP($E102,'Tablas Técnicas'!$A$14:$V$771,4,FALSE))</f>
        <v/>
      </c>
      <c r="I102" s="987" t="s">
        <v>1690</v>
      </c>
      <c r="J102" s="1417" t="str">
        <f>IF(E102=0,"",VLOOKUP(E102,'Tablas Técnicas'!$A$14:$V$771,5,FALSE))</f>
        <v/>
      </c>
      <c r="K102" s="1033" t="str">
        <f>IF(I102="Si",IF(E102=0,"",VLOOKUP(E102,'Tablas Técnicas'!$A$14:$V$771,5,FALSE)),"")</f>
        <v/>
      </c>
      <c r="L102" s="987" t="s">
        <v>1690</v>
      </c>
      <c r="M102" s="1417" t="str">
        <f>IF(E102=0,"",VLOOKUP(E102,'Tablas Técnicas'!$A$14:$V$771,6,FALSE))</f>
        <v/>
      </c>
      <c r="N102" s="990" t="str">
        <f>IF(L102="Si",IF(E102=0,"",VLOOKUP(E102,'Tablas Técnicas'!$A$14:$V$771,6,FALSE)),"")</f>
        <v/>
      </c>
      <c r="O102" s="987" t="s">
        <v>1690</v>
      </c>
      <c r="P102" s="1417" t="str">
        <f>IF(E102=0,"",VLOOKUP(E102,'Tablas Técnicas'!$A$14:$V$771,7,FALSE))</f>
        <v/>
      </c>
      <c r="Q102" s="990" t="str">
        <f>IF(O102="Si",IF(E102=0,"",VLOOKUP(E102,'Tablas Técnicas'!$A$14:$V$771,7,FALSE)),"")</f>
        <v/>
      </c>
      <c r="R102" s="1032" t="str">
        <f>IF(E102=0,"",VLOOKUP(E102,'Tablas Técnicas'!$A$14:$V$771,8,FALSE))</f>
        <v/>
      </c>
      <c r="S102" s="1004" t="str">
        <f>IF(R102=$D$8,$D$8,IF(R102=2,2,IF(R102=3,3,R102)))</f>
        <v/>
      </c>
      <c r="T102" s="1033" t="str">
        <f>IF(E102=0,"",VLOOKUP(E102,'Tablas Técnicas'!$A$14:$V$771,9,FALSE))</f>
        <v/>
      </c>
      <c r="U102" s="1033" t="str">
        <f>IF(E102=0,"",VLOOKUP(E102,'Tablas Técnicas'!$A$14:$V$771,10,FALSE))</f>
        <v/>
      </c>
      <c r="V102" s="1034" t="str">
        <f>IF(E102=0,"",VLOOKUP(E102,'Tablas Técnicas'!$A$14:$V$771,11,FALSE))</f>
        <v/>
      </c>
      <c r="W102" s="987"/>
      <c r="X102" s="988" t="e">
        <f>VLOOKUP(E102,'Tablas Técnicas'!$A$14:$V$771,12,FALSE)</f>
        <v>#N/A</v>
      </c>
      <c r="Y102" s="988" t="e">
        <f>IF(W102=X102,VLOOKUP(E102,'Tablas Técnicas'!$A$14:$V$771,13,FALSE),0)</f>
        <v>#N/A</v>
      </c>
      <c r="Z102" s="988" t="e">
        <f>VLOOKUP(E102,'Tablas Técnicas'!$A$14:$V$771,14,FALSE)</f>
        <v>#N/A</v>
      </c>
      <c r="AA102" s="988" t="e">
        <f>IF(W102=Z102,VLOOKUP(E102,'Tablas Técnicas'!$A$14:$V$616,15,FALSE),0)</f>
        <v>#N/A</v>
      </c>
      <c r="AB102" s="988" t="e">
        <f>VLOOKUP(E102,'Tablas Técnicas'!$A$14:$V$771,16,FALSE)</f>
        <v>#N/A</v>
      </c>
      <c r="AC102" s="988" t="e">
        <f>IF(W102=AB102,VLOOKUP(E102,'Tablas Técnicas'!$A$14:$V$616,17,FALSE),0)</f>
        <v>#N/A</v>
      </c>
      <c r="AD102" s="988" t="e">
        <f>VLOOKUP(E102,'Tablas Técnicas'!$A$14:$V$771,18,FALSE)</f>
        <v>#N/A</v>
      </c>
      <c r="AE102" s="988" t="e">
        <f>IF(W102=AD102,VLOOKUP(E102,'Tablas Técnicas'!$A$14:$V$771,19,FALSE),0)</f>
        <v>#N/A</v>
      </c>
      <c r="AF102" s="1006" t="str">
        <f>IF(E102=0,"",(Y102+AA102+AC102+AE102))</f>
        <v/>
      </c>
      <c r="AG102" s="987"/>
      <c r="AH102" s="1005" t="e">
        <f>VLOOKUP(E102,'Tablas Técnicas'!$A$14:$V$771,12,FALSE)</f>
        <v>#N/A</v>
      </c>
      <c r="AI102" s="1005" t="e">
        <f>IF(AG102=AH102,VLOOKUP(E102,'Tablas Técnicas'!$A$14:$V$771,13,FALSE),0)</f>
        <v>#N/A</v>
      </c>
      <c r="AJ102" s="1005" t="e">
        <f>VLOOKUP(E102,'Tablas Técnicas'!$A$14:$V$771,14,FALSE)</f>
        <v>#N/A</v>
      </c>
      <c r="AK102" s="1005" t="e">
        <f>IF(AG102=AJ102,VLOOKUP(E102,'Tablas Técnicas'!$A$14:$V$771,15,FALSE),0)</f>
        <v>#N/A</v>
      </c>
      <c r="AL102" s="1005" t="e">
        <f>VLOOKUP(E102,'Tablas Técnicas'!$A$14:$V$771,16,FALSE)</f>
        <v>#N/A</v>
      </c>
      <c r="AM102" s="1005" t="e">
        <f>IF(AG102=AL102,VLOOKUP(E102,'Tablas Técnicas'!$A$14:$V$771,17,FALSE),0)</f>
        <v>#N/A</v>
      </c>
      <c r="AN102" s="1005" t="e">
        <f>VLOOKUP(E102,'Tablas Técnicas'!$A$14:$V$771,18,FALSE)</f>
        <v>#N/A</v>
      </c>
      <c r="AO102" s="1005" t="e">
        <f>IF(AG102=AN102,VLOOKUP(E102,'Tablas Técnicas'!$A$14:$V$771,19,FALSE),0)</f>
        <v>#N/A</v>
      </c>
      <c r="AP102" s="3034" t="str">
        <f>IF(E102=0,"",(AI102+AK102+AM102+AO102))</f>
        <v/>
      </c>
      <c r="AQ102" s="987"/>
      <c r="AR102" s="1005" t="e">
        <f>VLOOKUP(E102,'Tablas Técnicas'!$A$14:$V$771,12,FALSE)</f>
        <v>#N/A</v>
      </c>
      <c r="AS102" s="1005" t="e">
        <f>IF(AQ102=AR102,VLOOKUP(E102,'Tablas Técnicas'!$A$14:$V$771,13,FALSE),0)</f>
        <v>#N/A</v>
      </c>
      <c r="AT102" s="1005" t="e">
        <f>VLOOKUP(E102,'Tablas Técnicas'!$A$14:$V$771,14,FALSE)</f>
        <v>#N/A</v>
      </c>
      <c r="AU102" s="1005" t="e">
        <f>IF(AQ102=AT102,VLOOKUP(E102,'Tablas Técnicas'!$A$14:$V$771,15,FALSE),0)</f>
        <v>#N/A</v>
      </c>
      <c r="AV102" s="1005" t="e">
        <f>VLOOKUP(E102,'Tablas Técnicas'!$A$14:$V$771,16,FALSE)</f>
        <v>#N/A</v>
      </c>
      <c r="AW102" s="1005" t="e">
        <f>IF(AQ102=AV102,VLOOKUP(E102,'Tablas Técnicas'!$A$14:$V$771,17,FALSE),0)</f>
        <v>#N/A</v>
      </c>
      <c r="AX102" s="1005" t="e">
        <f>VLOOKUP(E102,'Tablas Técnicas'!$A$14:$V$771,18,FALSE)</f>
        <v>#N/A</v>
      </c>
      <c r="AY102" s="1005" t="e">
        <f>IF(AQ102=AX102,VLOOKUP(E102,'Tablas Técnicas'!$A$14:$V$771,19,FALSE),0)</f>
        <v>#N/A</v>
      </c>
      <c r="AZ102" s="1006" t="str">
        <f>IF(E102=0,"",(AS102+AU102+AW102+AY102))</f>
        <v/>
      </c>
      <c r="BA102" s="987"/>
      <c r="BB102" s="1005" t="e">
        <f>VLOOKUP(E102,'Tablas Técnicas'!$A$14:$V$771,12,FALSE)</f>
        <v>#N/A</v>
      </c>
      <c r="BC102" s="1005" t="e">
        <f>IF(BA102=BB102,VLOOKUP(E102,'Tablas Técnicas'!$A$14:$V$771,13,FALSE),0)</f>
        <v>#N/A</v>
      </c>
      <c r="BD102" s="1005" t="e">
        <f>VLOOKUP(E102,'Tablas Técnicas'!$A$14:$V$771,14,FALSE)</f>
        <v>#N/A</v>
      </c>
      <c r="BE102" s="1005" t="e">
        <f>IF(BA102=BD102,VLOOKUP(E102,'Tablas Técnicas'!$A$14:$V$771,15,FALSE),0)</f>
        <v>#N/A</v>
      </c>
      <c r="BF102" s="1005" t="e">
        <f>VLOOKUP(E102,'Tablas Técnicas'!$A$14:$V$771,16,FALSE)</f>
        <v>#N/A</v>
      </c>
      <c r="BG102" s="1005" t="e">
        <f>IF(BA102=BF102,VLOOKUP(E102,'Tablas Técnicas'!$A$14:$V$771,17,FALSE),0)</f>
        <v>#N/A</v>
      </c>
      <c r="BH102" s="1005" t="e">
        <f>VLOOKUP(E102,'Tablas Técnicas'!$A$14:$V$771,18,FALSE)</f>
        <v>#N/A</v>
      </c>
      <c r="BI102" s="1005" t="e">
        <f>IF(BA102=BH102,VLOOKUP(E102,'Tablas Técnicas'!$A$14:$V$771,19,FALSE),0)</f>
        <v>#N/A</v>
      </c>
      <c r="BJ102" s="3034" t="str">
        <f>IF(E102=0,"",(BC102+BE102+BG102+BI102))</f>
        <v/>
      </c>
      <c r="BK102" s="1033" t="str">
        <f>IF(E102=0,"",VLOOKUP(E102,'Tablas Técnicas'!$A$14:$V$771,20,FALSE))</f>
        <v/>
      </c>
      <c r="BL102" s="1020" t="str">
        <f>IF(E102=0,"",VLOOKUP(E102,'Tablas Técnicas'!$A$14:$V$771,21,FALSE))</f>
        <v/>
      </c>
      <c r="BM102" s="991" t="str">
        <f>IF(E102=0,"",VLOOKUP(E102,'Tablas Técnicas'!$A$14:$V$771,22,FALSE))</f>
        <v/>
      </c>
      <c r="BN102" s="992"/>
      <c r="BO102" s="993"/>
      <c r="BP102" s="978" t="str">
        <f>IF(I102="Si",VLOOKUP($D$8,'Tablas Técnicas'!$E$4:$F$6,2,FALSE),"")</f>
        <v/>
      </c>
      <c r="BQ102" s="979" t="str">
        <f>IF(L102="Si",VLOOKUP($D$8,'Tablas Técnicas'!$I$4:$J$6,2,FALSE),"")</f>
        <v/>
      </c>
      <c r="BR102" s="977" t="str">
        <f>IF(O102="Si",VLOOKUP($D$8,'Tablas Técnicas'!$I$7:$J$9,2,FALSE),"")</f>
        <v/>
      </c>
      <c r="BS102" s="994"/>
      <c r="BT102" s="3023" t="s">
        <v>1692</v>
      </c>
      <c r="BU102" s="3024" t="s">
        <v>4550</v>
      </c>
      <c r="BV102" s="971"/>
      <c r="BW102" s="3024" t="s">
        <v>4551</v>
      </c>
      <c r="BX102" s="3023" t="s">
        <v>4552</v>
      </c>
      <c r="BY102" s="1301" t="s">
        <v>4552</v>
      </c>
      <c r="BZ102" s="3027"/>
      <c r="CA102" s="939"/>
      <c r="DR102" s="939"/>
      <c r="DT102" s="1325"/>
      <c r="DU102" s="1379"/>
      <c r="DV102" s="1376" t="str">
        <f>IF(E102="","",", "&amp;E102)&amp;IF(I102="No",""," (Mant.)")&amp;IF(L102="No",""," (Sme)")&amp;IF(O102="No",""," (SMa)")</f>
        <v/>
      </c>
      <c r="DW102" s="1376"/>
      <c r="DX102" s="1378"/>
      <c r="DY102" s="1324"/>
      <c r="DZ102" s="939"/>
      <c r="EA102" s="1470">
        <f t="shared" si="1"/>
        <v>1</v>
      </c>
    </row>
    <row r="103" spans="1:131" ht="11.25" customHeight="1" x14ac:dyDescent="0.2">
      <c r="A103" s="939"/>
      <c r="B103" s="939"/>
      <c r="C103" s="4822"/>
      <c r="D103" s="1452" t="s">
        <v>1766</v>
      </c>
      <c r="E103" s="995"/>
      <c r="F103" s="1025"/>
      <c r="G103" s="1437" t="str">
        <f>IF(E103=0,"",VLOOKUP(E103,'Tablas Técnicas'!$A$14:$V$771,3,FALSE))</f>
        <v/>
      </c>
      <c r="H103" s="998" t="str">
        <f>IF($E103=0,"",VLOOKUP($E103,'Tablas Técnicas'!$A$14:$V$771,4,FALSE))</f>
        <v/>
      </c>
      <c r="I103" s="999" t="s">
        <v>1690</v>
      </c>
      <c r="J103" s="1415" t="str">
        <f>IF(E103=0,"",VLOOKUP(E103,'Tablas Técnicas'!$A$14:$V$771,5,FALSE))</f>
        <v/>
      </c>
      <c r="K103" s="1001" t="str">
        <f>IF(I103="Si",IF(E103=0,"",VLOOKUP(E103,'Tablas Técnicas'!$A$14:$V$771,5,FALSE)),"")</f>
        <v/>
      </c>
      <c r="L103" s="999" t="s">
        <v>1690</v>
      </c>
      <c r="M103" s="1415" t="str">
        <f>IF(E103=0,"",VLOOKUP(E103,'Tablas Técnicas'!$A$14:$V$771,6,FALSE))</f>
        <v/>
      </c>
      <c r="N103" s="1002" t="str">
        <f>IF(L103="Si",IF(E103=0,"",VLOOKUP(E103,'Tablas Técnicas'!$A$14:$V$771,6,FALSE)),"")</f>
        <v/>
      </c>
      <c r="O103" s="999" t="s">
        <v>1690</v>
      </c>
      <c r="P103" s="1415" t="str">
        <f>IF(E103=0,"",VLOOKUP(E103,'Tablas Técnicas'!$A$14:$V$771,7,FALSE))</f>
        <v/>
      </c>
      <c r="Q103" s="1002" t="str">
        <f>IF(O103="Si",IF(E103=0,"",VLOOKUP(E103,'Tablas Técnicas'!$A$14:$V$771,7,FALSE)),"")</f>
        <v/>
      </c>
      <c r="R103" s="1000" t="str">
        <f>IF(E103=0,"",VLOOKUP(E103,'Tablas Técnicas'!$A$14:$V$771,8,FALSE))</f>
        <v/>
      </c>
      <c r="S103" s="998" t="str">
        <f>IF(R103=$D$8,$D$8,IF(R103=2,2,IF(R103=3,3,R103)))</f>
        <v/>
      </c>
      <c r="T103" s="4796" t="s">
        <v>4542</v>
      </c>
      <c r="U103" s="4797"/>
      <c r="V103" s="4797"/>
      <c r="W103" s="4797"/>
      <c r="X103" s="4797"/>
      <c r="Y103" s="4797"/>
      <c r="Z103" s="4797"/>
      <c r="AA103" s="4797"/>
      <c r="AB103" s="4797"/>
      <c r="AC103" s="4797"/>
      <c r="AD103" s="4797"/>
      <c r="AE103" s="4797"/>
      <c r="AF103" s="4797"/>
      <c r="AG103" s="4797"/>
      <c r="AH103" s="4797"/>
      <c r="AI103" s="4797"/>
      <c r="AJ103" s="4797"/>
      <c r="AK103" s="4797"/>
      <c r="AL103" s="4797"/>
      <c r="AM103" s="4797"/>
      <c r="AN103" s="4797"/>
      <c r="AO103" s="4797"/>
      <c r="AP103" s="4797"/>
      <c r="AQ103" s="4797"/>
      <c r="AR103" s="4797"/>
      <c r="AS103" s="4797"/>
      <c r="AT103" s="4797"/>
      <c r="AU103" s="4797"/>
      <c r="AV103" s="4797"/>
      <c r="AW103" s="4797"/>
      <c r="AX103" s="4797"/>
      <c r="AY103" s="4797"/>
      <c r="AZ103" s="4797"/>
      <c r="BA103" s="4797"/>
      <c r="BB103" s="4797"/>
      <c r="BC103" s="4797"/>
      <c r="BD103" s="4797"/>
      <c r="BE103" s="4797"/>
      <c r="BF103" s="4797"/>
      <c r="BG103" s="4797"/>
      <c r="BH103" s="4797"/>
      <c r="BI103" s="4797"/>
      <c r="BJ103" s="4797"/>
      <c r="BK103" s="4798"/>
      <c r="BL103" s="1437"/>
      <c r="BM103" s="1438"/>
      <c r="BN103" s="992"/>
      <c r="BO103" s="993"/>
      <c r="BP103" s="978" t="str">
        <f>IF(I103="Si",VLOOKUP($D$8,'Tablas Técnicas'!$E$4:$F$6,2,FALSE),"")</f>
        <v/>
      </c>
      <c r="BQ103" s="979" t="str">
        <f>IF(L103="Si",VLOOKUP($D$8,'Tablas Técnicas'!$I$4:$J$6,2,FALSE),"")</f>
        <v/>
      </c>
      <c r="BR103" s="977" t="str">
        <f>IF(O103="Si",VLOOKUP($D$8,'Tablas Técnicas'!$I$7:$J$9,2,FALSE),"")</f>
        <v/>
      </c>
      <c r="BS103" s="994"/>
      <c r="BT103" s="3028">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356"/>
      <c r="BV103" s="971"/>
      <c r="BW103" s="1026" t="str">
        <f>IF(SUM(BT103:BU103)=0,"N/A",SUM(BT103:BU103))</f>
        <v>N/A</v>
      </c>
      <c r="BX103" s="3028">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26" t="str">
        <f>IF(BX103=0,"N/A",BX103)</f>
        <v>N/A</v>
      </c>
      <c r="BZ103" s="3027"/>
      <c r="CA103" s="939"/>
      <c r="DR103" s="939"/>
      <c r="DT103" s="1325"/>
      <c r="DU103" s="1379"/>
      <c r="DV103" s="1376" t="str">
        <f>IF(E103="",""," "&amp;E103)&amp;IF(I103="No",""," (Mant.)")&amp;IF(L103="No",""," (Sme)")&amp;IF(O103="No",""," (SMa)")</f>
        <v/>
      </c>
      <c r="DW103" s="1376"/>
      <c r="DX103" s="1378"/>
      <c r="DY103" s="1324"/>
      <c r="DZ103" s="939"/>
      <c r="EA103" s="1470">
        <f t="shared" si="1"/>
        <v>1</v>
      </c>
    </row>
    <row r="104" spans="1:131" x14ac:dyDescent="0.2">
      <c r="A104" s="939"/>
      <c r="B104" s="939"/>
      <c r="C104" s="4822"/>
      <c r="D104" s="1453" t="s">
        <v>1766</v>
      </c>
      <c r="E104" s="1003"/>
      <c r="F104" s="1019"/>
      <c r="G104" s="989" t="str">
        <f>IF(E104=0,"",VLOOKUP(E104,'Tablas Técnicas'!$A$14:$V$771,3,FALSE))</f>
        <v/>
      </c>
      <c r="H104" s="3033" t="str">
        <f>IF($E104=0,"",VLOOKUP($E104,'Tablas Técnicas'!$A$14:$V$771,4,FALSE))</f>
        <v/>
      </c>
      <c r="I104" s="987" t="s">
        <v>1690</v>
      </c>
      <c r="J104" s="1411" t="str">
        <f>IF(E104=0,"",VLOOKUP(E104,'Tablas Técnicas'!$A$14:$V$771,5,FALSE))</f>
        <v/>
      </c>
      <c r="K104" s="1006" t="str">
        <f>IF(I104="Si",IF(E104=0,"",VLOOKUP(E104,'Tablas Técnicas'!$A$14:$V$771,5,FALSE)),"")</f>
        <v/>
      </c>
      <c r="L104" s="987" t="s">
        <v>1690</v>
      </c>
      <c r="M104" s="1411" t="str">
        <f>IF(E104=0,"",VLOOKUP(E104,'Tablas Técnicas'!$A$14:$V$771,6,FALSE))</f>
        <v/>
      </c>
      <c r="N104" s="990" t="str">
        <f>IF(L104="Si",IF(E104=0,"",VLOOKUP(E104,'Tablas Técnicas'!$A$14:$V$771,6,FALSE)),"")</f>
        <v/>
      </c>
      <c r="O104" s="987" t="s">
        <v>1690</v>
      </c>
      <c r="P104" s="1411" t="str">
        <f>IF(E104=0,"",VLOOKUP(E104,'Tablas Técnicas'!$A$14:$V$771,7,FALSE))</f>
        <v/>
      </c>
      <c r="Q104" s="990" t="str">
        <f>IF(O104="Si",IF(E104=0,"",VLOOKUP(E104,'Tablas Técnicas'!$A$14:$V$771,7,FALSE)),"")</f>
        <v/>
      </c>
      <c r="R104" s="1005" t="str">
        <f>IF(E104=0,"",VLOOKUP(E104,'Tablas Técnicas'!$A$14:$V$771,8,FALSE))</f>
        <v/>
      </c>
      <c r="S104" s="3033" t="str">
        <f>IF(R104=$D$8,$D$8,IF(R104=2,2,IF(R104=3,3,R104)))</f>
        <v/>
      </c>
      <c r="T104" s="4809"/>
      <c r="U104" s="4810"/>
      <c r="V104" s="3029" t="str">
        <f>IF(OR(V102=0,V102=""),"N/A",V102)</f>
        <v>N/A</v>
      </c>
      <c r="W104" s="4809" t="str">
        <f xml:space="preserve"> IF(OR(AF102=0,AF102=""),"N/A",W102)</f>
        <v>N/A</v>
      </c>
      <c r="X104" s="4811"/>
      <c r="Y104" s="4811"/>
      <c r="Z104" s="4811"/>
      <c r="AA104" s="4811"/>
      <c r="AB104" s="4811"/>
      <c r="AC104" s="4811"/>
      <c r="AD104" s="4811"/>
      <c r="AE104" s="4811"/>
      <c r="AF104" s="4810"/>
      <c r="AG104" s="4809" t="str">
        <f xml:space="preserve"> IF(OR(AP102="",AP102=0),"N/A",AG102)</f>
        <v>N/A</v>
      </c>
      <c r="AH104" s="4811"/>
      <c r="AI104" s="4811"/>
      <c r="AJ104" s="4811"/>
      <c r="AK104" s="4811"/>
      <c r="AL104" s="4811"/>
      <c r="AM104" s="4811"/>
      <c r="AN104" s="4811"/>
      <c r="AO104" s="4811"/>
      <c r="AP104" s="4810"/>
      <c r="AQ104" s="4809" t="str">
        <f xml:space="preserve"> IF(OR(AZ102="",AZ102=0),"N/A",AQ102)</f>
        <v>N/A</v>
      </c>
      <c r="AR104" s="4811"/>
      <c r="AS104" s="4811"/>
      <c r="AT104" s="4811"/>
      <c r="AU104" s="4811"/>
      <c r="AV104" s="4811"/>
      <c r="AW104" s="4811"/>
      <c r="AX104" s="4811"/>
      <c r="AY104" s="4811"/>
      <c r="AZ104" s="4810"/>
      <c r="BA104" s="4809" t="str">
        <f xml:space="preserve"> IF(OR(BJ102="",BJ102=0),"N/A",BA102)</f>
        <v>N/A</v>
      </c>
      <c r="BB104" s="4811"/>
      <c r="BC104" s="4811"/>
      <c r="BD104" s="4811"/>
      <c r="BE104" s="4811"/>
      <c r="BF104" s="4811"/>
      <c r="BG104" s="4811"/>
      <c r="BH104" s="4811"/>
      <c r="BI104" s="4811"/>
      <c r="BJ104" s="4810"/>
      <c r="BK104" s="1007" t="s">
        <v>4543</v>
      </c>
      <c r="BL104" s="989"/>
      <c r="BM104" s="1024"/>
      <c r="BN104" s="1008"/>
      <c r="BO104" s="1009"/>
      <c r="BP104" s="1010" t="str">
        <f>IF(I104="Si",VLOOKUP($D$8,'Tablas Técnicas'!$E$4:$F$6,2,FALSE),"")</f>
        <v/>
      </c>
      <c r="BQ104" s="980" t="str">
        <f>IF(L104="Si",VLOOKUP($D$8,'Tablas Técnicas'!$I$4:$J$6,2,FALSE),"")</f>
        <v/>
      </c>
      <c r="BR104" s="1011" t="str">
        <f>IF(O104="Si",VLOOKUP($D$8,'Tablas Técnicas'!$I$7:$J$9,2,FALSE),"")</f>
        <v/>
      </c>
      <c r="BS104" s="994"/>
      <c r="BT104" s="3023" t="s">
        <v>1700</v>
      </c>
      <c r="BU104" s="3024" t="s">
        <v>4550</v>
      </c>
      <c r="BV104" s="971"/>
      <c r="BW104" s="3024" t="s">
        <v>4551</v>
      </c>
      <c r="BX104" s="3023" t="s">
        <v>4552</v>
      </c>
      <c r="BY104" s="1301" t="s">
        <v>4552</v>
      </c>
      <c r="BZ104" s="3027"/>
      <c r="CA104" s="939"/>
      <c r="DR104" s="939"/>
      <c r="DT104" s="1325"/>
      <c r="DU104" s="1379"/>
      <c r="DV104" s="1376" t="str">
        <f>IF(E104="","",E104)&amp;IF(I104="No",""," (Mant.)")&amp;IF(L104="No",""," (Sme)")&amp;IF(O104="No",""," (SMa)")</f>
        <v/>
      </c>
      <c r="DW104" s="1377"/>
      <c r="DX104" s="1378"/>
      <c r="DY104" s="1324"/>
      <c r="DZ104" s="939"/>
      <c r="EA104" s="1470">
        <f t="shared" si="1"/>
        <v>1</v>
      </c>
    </row>
    <row r="105" spans="1:131" x14ac:dyDescent="0.2">
      <c r="A105" s="939"/>
      <c r="B105" s="939"/>
      <c r="C105" s="4822"/>
      <c r="D105" s="1452" t="s">
        <v>1766</v>
      </c>
      <c r="E105" s="995"/>
      <c r="F105" s="1025"/>
      <c r="G105" s="1437" t="str">
        <f>IF(E105=0,"",VLOOKUP(E105,'Tablas Técnicas'!$A$14:$V$771,3,FALSE))</f>
        <v/>
      </c>
      <c r="H105" s="998" t="str">
        <f>IF($E105=0,"",VLOOKUP($E105,'Tablas Técnicas'!$A$14:$V$771,4,FALSE))</f>
        <v/>
      </c>
      <c r="I105" s="999" t="s">
        <v>1690</v>
      </c>
      <c r="J105" s="1415" t="str">
        <f>IF(E105=0,"",VLOOKUP(E105,'Tablas Técnicas'!$A$14:$V$771,5,FALSE))</f>
        <v/>
      </c>
      <c r="K105" s="1001" t="str">
        <f>IF(I105="Si",IF(E105=0,"",VLOOKUP(E105,'Tablas Técnicas'!$A$14:$V$771,5,FALSE)),"")</f>
        <v/>
      </c>
      <c r="L105" s="999" t="s">
        <v>1690</v>
      </c>
      <c r="M105" s="1415" t="str">
        <f>IF(E105=0,"",VLOOKUP(E105,'Tablas Técnicas'!$A$14:$V$771,6,FALSE))</f>
        <v/>
      </c>
      <c r="N105" s="1002" t="str">
        <f>IF(L105="Si",IF(E105=0,"",VLOOKUP(E105,'Tablas Técnicas'!$A$14:$V$771,6,FALSE)),"")</f>
        <v/>
      </c>
      <c r="O105" s="999" t="s">
        <v>1690</v>
      </c>
      <c r="P105" s="1415" t="str">
        <f>IF(E105=0,"",VLOOKUP(E105,'Tablas Técnicas'!$A$14:$V$771,7,FALSE))</f>
        <v/>
      </c>
      <c r="Q105" s="1002" t="str">
        <f>IF(O105="Si",IF(E105=0,"",VLOOKUP(E105,'Tablas Técnicas'!$A$14:$V$771,7,FALSE)),"")</f>
        <v/>
      </c>
      <c r="R105" s="1000" t="str">
        <f>IF(E105=0,"",VLOOKUP(E105,'Tablas Técnicas'!$A$14:$V$771,8,FALSE))</f>
        <v/>
      </c>
      <c r="S105" s="998" t="str">
        <f>IF(R105=$D$8,$D$8,IF(R105=2,2,IF(R105=3,3,R105)))</f>
        <v/>
      </c>
      <c r="T105" s="4812" t="s">
        <v>4544</v>
      </c>
      <c r="U105" s="4813"/>
      <c r="V105" s="3025"/>
      <c r="W105" s="4814"/>
      <c r="X105" s="4815"/>
      <c r="Y105" s="4815"/>
      <c r="Z105" s="4815"/>
      <c r="AA105" s="4815"/>
      <c r="AB105" s="4815"/>
      <c r="AC105" s="4815"/>
      <c r="AD105" s="4815"/>
      <c r="AE105" s="4815"/>
      <c r="AF105" s="4816"/>
      <c r="AG105" s="4814"/>
      <c r="AH105" s="4815"/>
      <c r="AI105" s="4815"/>
      <c r="AJ105" s="4815"/>
      <c r="AK105" s="4815"/>
      <c r="AL105" s="4815"/>
      <c r="AM105" s="4815"/>
      <c r="AN105" s="4815"/>
      <c r="AO105" s="4815"/>
      <c r="AP105" s="4816"/>
      <c r="AQ105" s="4814"/>
      <c r="AR105" s="4815"/>
      <c r="AS105" s="4815"/>
      <c r="AT105" s="4815"/>
      <c r="AU105" s="4815"/>
      <c r="AV105" s="4815"/>
      <c r="AW105" s="4815"/>
      <c r="AX105" s="4815"/>
      <c r="AY105" s="4815"/>
      <c r="AZ105" s="4816"/>
      <c r="BA105" s="4814"/>
      <c r="BB105" s="4815"/>
      <c r="BC105" s="4815"/>
      <c r="BD105" s="4815"/>
      <c r="BE105" s="4815"/>
      <c r="BF105" s="4815"/>
      <c r="BG105" s="4815"/>
      <c r="BH105" s="4815"/>
      <c r="BI105" s="4815"/>
      <c r="BJ105" s="4816"/>
      <c r="BK105" s="998">
        <f>(SUM(G102:G106)+IF(AF102="",0,AF102)+IF(AP102="",0,AP102)+IF(AZ102="",0,AZ102)+IF(BJ102="",0,BJ102)+SUM(K102:K106)+SUM(N102:N106)+SUM(Q102:Q106))- SUM(V105:BA105)</f>
        <v>0</v>
      </c>
      <c r="BL105" s="1437"/>
      <c r="BM105" s="1438"/>
      <c r="BN105" s="992"/>
      <c r="BO105" s="993"/>
      <c r="BP105" s="978" t="str">
        <f>IF(I105="Si",VLOOKUP($D$8,'Tablas Técnicas'!$E$4:$F$6,2,FALSE),"")</f>
        <v/>
      </c>
      <c r="BQ105" s="979" t="str">
        <f>IF(L105="Si",VLOOKUP($D$8,'Tablas Técnicas'!$I$4:$J$6,2,FALSE),"")</f>
        <v/>
      </c>
      <c r="BR105" s="977" t="str">
        <f>IF(O105="Si",VLOOKUP($D$8,'Tablas Técnicas'!$I$7:$J$9,2,FALSE),"")</f>
        <v/>
      </c>
      <c r="BS105" s="994"/>
      <c r="BT105" s="3028">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356"/>
      <c r="BV105" s="971"/>
      <c r="BW105" s="1026" t="str">
        <f>IF(SUM(BT105:BU105)=0,"N/A",SUM(BT105:BU105))</f>
        <v>N/A</v>
      </c>
      <c r="BX105" s="3028">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26" t="str">
        <f>IF(BX105=0,"N/A",BX105)</f>
        <v>N/A</v>
      </c>
      <c r="BZ105" s="3027"/>
      <c r="CA105" s="939"/>
      <c r="DR105" s="939"/>
      <c r="DT105" s="1325"/>
      <c r="DU105" s="1379"/>
      <c r="DV105" s="1376" t="str">
        <f>IF(E105="","",E105)&amp;IF(I105="No",""," (Mant.)")&amp;IF(L105="No",""," (Sme)")&amp;IF(O105="No",""," (SMa)")</f>
        <v/>
      </c>
      <c r="DW105" s="1377"/>
      <c r="DX105" s="1378"/>
      <c r="DY105" s="1324"/>
      <c r="DZ105" s="939"/>
      <c r="EA105" s="1470">
        <f t="shared" si="1"/>
        <v>1</v>
      </c>
    </row>
    <row r="106" spans="1:131" s="1013" customFormat="1" x14ac:dyDescent="0.2">
      <c r="A106" s="939"/>
      <c r="B106" s="939"/>
      <c r="C106" s="4822"/>
      <c r="D106" s="1453" t="s">
        <v>1766</v>
      </c>
      <c r="E106" s="1003"/>
      <c r="F106" s="1019"/>
      <c r="G106" s="989" t="str">
        <f>IF(E106=0,"",VLOOKUP(E106,'Tablas Técnicas'!$A$14:$V$771,3,FALSE))</f>
        <v/>
      </c>
      <c r="H106" s="1014" t="str">
        <f>IF($E106=0,"",VLOOKUP($E106,'Tablas Técnicas'!$A$14:$V$771,4,FALSE))</f>
        <v/>
      </c>
      <c r="I106" s="987" t="s">
        <v>1690</v>
      </c>
      <c r="J106" s="1418" t="str">
        <f>IF(E106=0,"",VLOOKUP(E106,'Tablas Técnicas'!$A$14:$V$771,5,FALSE))</f>
        <v/>
      </c>
      <c r="K106" s="1015" t="str">
        <f>IF(I106="Si",IF(E106=0,"",VLOOKUP(E106,'Tablas Técnicas'!$A$14:$V$771,5,FALSE)),"")</f>
        <v/>
      </c>
      <c r="L106" s="987" t="s">
        <v>1690</v>
      </c>
      <c r="M106" s="1418" t="str">
        <f>IF(E106=0,"",VLOOKUP(E106,'Tablas Técnicas'!$A$14:$V$771,6,FALSE))</f>
        <v/>
      </c>
      <c r="N106" s="990" t="str">
        <f>IF(L106="Si",IF(E106=0,"",VLOOKUP(E106,'Tablas Técnicas'!$A$14:$V$771,6,FALSE)),"")</f>
        <v/>
      </c>
      <c r="O106" s="987" t="s">
        <v>1690</v>
      </c>
      <c r="P106" s="1418" t="str">
        <f>IF(E106=0,"",VLOOKUP(E106,'Tablas Técnicas'!$A$14:$V$771,7,FALSE))</f>
        <v/>
      </c>
      <c r="Q106" s="990" t="str">
        <f>IF(O106="Si",IF(E106=0,"",VLOOKUP(E106,'Tablas Técnicas'!$A$14:$V$771,7,FALSE)),"")</f>
        <v/>
      </c>
      <c r="R106" s="1035" t="str">
        <f>IF(E106=0,"",VLOOKUP(E106,'Tablas Técnicas'!$A$14:$V$771,8,FALSE))</f>
        <v/>
      </c>
      <c r="S106" s="1004" t="str">
        <f>IF(R106=$D$8,$D$8,IF(R106=2,2,IF(R106=3,3,R106)))</f>
        <v/>
      </c>
      <c r="T106" s="4803" t="s">
        <v>4546</v>
      </c>
      <c r="U106" s="4804"/>
      <c r="V106" s="3032"/>
      <c r="W106" s="4805"/>
      <c r="X106" s="4806"/>
      <c r="Y106" s="4806"/>
      <c r="Z106" s="4806"/>
      <c r="AA106" s="4806"/>
      <c r="AB106" s="4806"/>
      <c r="AC106" s="4806"/>
      <c r="AD106" s="4806"/>
      <c r="AE106" s="4806"/>
      <c r="AF106" s="4807"/>
      <c r="AG106" s="4805"/>
      <c r="AH106" s="4806"/>
      <c r="AI106" s="4806"/>
      <c r="AJ106" s="4806"/>
      <c r="AK106" s="4806"/>
      <c r="AL106" s="4806"/>
      <c r="AM106" s="4806"/>
      <c r="AN106" s="4806"/>
      <c r="AO106" s="4806"/>
      <c r="AP106" s="4807"/>
      <c r="AQ106" s="4805"/>
      <c r="AR106" s="4806"/>
      <c r="AS106" s="4806"/>
      <c r="AT106" s="4806"/>
      <c r="AU106" s="4806"/>
      <c r="AV106" s="4806"/>
      <c r="AW106" s="4806"/>
      <c r="AX106" s="4806"/>
      <c r="AY106" s="4806"/>
      <c r="AZ106" s="4807"/>
      <c r="BA106" s="4805"/>
      <c r="BB106" s="4806"/>
      <c r="BC106" s="4806"/>
      <c r="BD106" s="4806"/>
      <c r="BE106" s="4806"/>
      <c r="BF106" s="4806"/>
      <c r="BG106" s="4806"/>
      <c r="BH106" s="4806"/>
      <c r="BI106" s="4806"/>
      <c r="BJ106" s="4807"/>
      <c r="BK106" s="1014">
        <f>SUM(K102:K106)-SUM(V106:BA106)</f>
        <v>0</v>
      </c>
      <c r="BL106" s="1439"/>
      <c r="BM106" s="1440"/>
      <c r="BN106" s="1008"/>
      <c r="BO106" s="1009"/>
      <c r="BP106" s="1010" t="str">
        <f>IF(I106="Si",VLOOKUP($D$8,'Tablas Técnicas'!$E$4:$F$6,2,FALSE),"")</f>
        <v/>
      </c>
      <c r="BQ106" s="980" t="str">
        <f>IF(L106="Si",VLOOKUP($D$8,'Tablas Técnicas'!$I$4:$J$6,2,FALSE),"")</f>
        <v/>
      </c>
      <c r="BR106" s="1011" t="str">
        <f>IF(O106="Si",VLOOKUP($D$8,'Tablas Técnicas'!$I$7:$J$9,2,FALSE),"")</f>
        <v/>
      </c>
      <c r="BS106" s="994"/>
      <c r="BT106" s="3023" t="s">
        <v>1701</v>
      </c>
      <c r="BU106" s="3024" t="s">
        <v>4550</v>
      </c>
      <c r="BV106" s="971"/>
      <c r="BW106" s="3024" t="s">
        <v>4551</v>
      </c>
      <c r="BX106" s="3023" t="s">
        <v>4552</v>
      </c>
      <c r="BY106" s="1301" t="s">
        <v>4552</v>
      </c>
      <c r="BZ106" s="3027"/>
      <c r="CA106" s="939"/>
      <c r="CC106" s="2940"/>
      <c r="DR106" s="939"/>
      <c r="DS106" s="1320"/>
      <c r="DT106" s="1325"/>
      <c r="DU106" s="1379"/>
      <c r="DV106" s="1376" t="str">
        <f>IF(E106="","",E106)&amp;IF(I106="No",""," (Mant.)")&amp;IF(L106="No",""," (Sme)")&amp;IF(O106="No",""," (SMa)")</f>
        <v/>
      </c>
      <c r="DW106" s="1377"/>
      <c r="DX106" s="1378"/>
      <c r="DY106" s="1324"/>
      <c r="DZ106" s="939"/>
      <c r="EA106" s="1470">
        <f t="shared" si="1"/>
        <v>1</v>
      </c>
    </row>
    <row r="107" spans="1:131" s="1013" customFormat="1" x14ac:dyDescent="0.2">
      <c r="A107" s="939"/>
      <c r="B107" s="1403"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822"/>
      <c r="D107" s="1454">
        <v>5</v>
      </c>
      <c r="E107" s="1246"/>
      <c r="F107" s="1016"/>
      <c r="G107" s="1017"/>
      <c r="H107" s="2159">
        <f t="array" ref="H107">IF(AND(OR(ISNUMBER(SEARCH("Empatía Elemental ("&amp;BK102:BM102&amp;")",Principal!$AF$30))),SUM(H102:H106)&gt;=10),-5,0)</f>
        <v>0</v>
      </c>
      <c r="I107" s="1413"/>
      <c r="J107" s="1416"/>
      <c r="K107" s="1017"/>
      <c r="L107" s="1413"/>
      <c r="M107" s="1416"/>
      <c r="N107" s="1017"/>
      <c r="O107" s="1413"/>
      <c r="P107" s="1416"/>
      <c r="Q107" s="1017"/>
      <c r="R107" s="1018"/>
      <c r="S107" s="1017"/>
      <c r="T107" s="1017"/>
      <c r="U107" s="1017"/>
      <c r="V107" s="1017"/>
      <c r="W107" s="1017"/>
      <c r="X107" s="1017"/>
      <c r="Y107" s="1017"/>
      <c r="Z107" s="1017"/>
      <c r="AA107" s="1017"/>
      <c r="AB107" s="1017"/>
      <c r="AC107" s="1017"/>
      <c r="AD107" s="1017"/>
      <c r="AE107" s="1017"/>
      <c r="AF107" s="1017"/>
      <c r="AG107" s="1017"/>
      <c r="AH107" s="1017"/>
      <c r="AI107" s="1017"/>
      <c r="AJ107" s="1017"/>
      <c r="AK107" s="1017"/>
      <c r="AL107" s="1017"/>
      <c r="AM107" s="1017"/>
      <c r="AN107" s="1017"/>
      <c r="AO107" s="1017"/>
      <c r="AP107" s="1017"/>
      <c r="AQ107" s="1017"/>
      <c r="AR107" s="1017"/>
      <c r="AS107" s="1017"/>
      <c r="AT107" s="1017"/>
      <c r="AU107" s="1017"/>
      <c r="AV107" s="1017"/>
      <c r="AW107" s="1017"/>
      <c r="AX107" s="1017"/>
      <c r="AY107" s="1017"/>
      <c r="AZ107" s="1017"/>
      <c r="BA107" s="1017"/>
      <c r="BB107" s="1017"/>
      <c r="BC107" s="1017"/>
      <c r="BD107" s="1017"/>
      <c r="BE107" s="1017"/>
      <c r="BF107" s="1017"/>
      <c r="BG107" s="1017"/>
      <c r="BH107" s="1017"/>
      <c r="BI107" s="1017"/>
      <c r="BJ107" s="1017"/>
      <c r="BK107" s="1017"/>
      <c r="BL107" s="1017"/>
      <c r="BM107" s="1027"/>
      <c r="BN107" s="1028">
        <f>SUM(K107:K110)</f>
        <v>0</v>
      </c>
      <c r="BO107" s="971" t="str">
        <f>IF(E107=0,"",(AF107+AP107+AZ107+BJ107))</f>
        <v/>
      </c>
      <c r="BP107" s="1029" t="str">
        <f>IF(I107="Si",VLOOKUP($D$8,'Tablas Técnicas'!$E$4:$F$6,2,FALSE),"")</f>
        <v/>
      </c>
      <c r="BQ107" s="1030" t="str">
        <f>IF(L107="Si",VLOOKUP($D$8,'Tablas Técnicas'!$I$4:$J$6,2,FALSE),"")</f>
        <v/>
      </c>
      <c r="BR107" s="1028" t="str">
        <f>IF(O107="Si",VLOOKUP($D$8,'Tablas Técnicas'!$I$7:$J$9,2,FALSE),"")</f>
        <v/>
      </c>
      <c r="BS107" s="994"/>
      <c r="BT107" s="3028">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356"/>
      <c r="BV107" s="971"/>
      <c r="BW107" s="1026" t="str">
        <f>IF(SUM(BT107:BU107)=0,"N/A",SUM(BT107:BU107))</f>
        <v>N/A</v>
      </c>
      <c r="BX107" s="3028">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26" t="str">
        <f>IF(BX107=0,"N/A",BX107)</f>
        <v>N/A</v>
      </c>
      <c r="BZ107" s="3027"/>
      <c r="CA107" s="939"/>
      <c r="CC107" s="2940"/>
      <c r="DR107" s="939"/>
      <c r="DS107" s="1320"/>
      <c r="DT107" s="1325"/>
      <c r="DU107" s="1379"/>
      <c r="DV107" s="1380"/>
      <c r="DW107" s="1377"/>
      <c r="DX107" s="1378"/>
      <c r="DY107" s="1324"/>
      <c r="DZ107" s="939"/>
      <c r="EA107" s="1470">
        <f t="shared" si="1"/>
        <v>1</v>
      </c>
    </row>
    <row r="108" spans="1:131" ht="12" thickBot="1" x14ac:dyDescent="0.25">
      <c r="A108" s="939"/>
      <c r="B108" s="939"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822"/>
      <c r="D108" s="1453" t="s">
        <v>1766</v>
      </c>
      <c r="E108" s="983"/>
      <c r="F108" s="1019"/>
      <c r="G108" s="989" t="str">
        <f>IF(E108=0,"",VLOOKUP(E108,'Tablas Técnicas'!$A$14:$V$771,3,FALSE))</f>
        <v/>
      </c>
      <c r="H108" s="1031" t="str">
        <f>IF($E108=0,"",VLOOKUP($E108,'Tablas Técnicas'!$A$14:$V$771,4,FALSE))</f>
        <v/>
      </c>
      <c r="I108" s="987" t="s">
        <v>1690</v>
      </c>
      <c r="J108" s="1417" t="str">
        <f>IF(E108=0,"",VLOOKUP(E108,'Tablas Técnicas'!$A$14:$V$771,5,FALSE))</f>
        <v/>
      </c>
      <c r="K108" s="1033" t="str">
        <f>IF(I108="Si",IF(E108=0,"",VLOOKUP(E108,'Tablas Técnicas'!$A$14:$V$771,5,FALSE)),"")</f>
        <v/>
      </c>
      <c r="L108" s="987" t="s">
        <v>1690</v>
      </c>
      <c r="M108" s="1417" t="str">
        <f>IF(E108=0,"",VLOOKUP(E108,'Tablas Técnicas'!$A$14:$V$771,6,FALSE))</f>
        <v/>
      </c>
      <c r="N108" s="990" t="str">
        <f>IF(L108="Si",IF(E108=0,"",VLOOKUP(E108,'Tablas Técnicas'!$A$14:$V$771,6,FALSE)),"")</f>
        <v/>
      </c>
      <c r="O108" s="987" t="s">
        <v>1690</v>
      </c>
      <c r="P108" s="1417" t="str">
        <f>IF(E108=0,"",VLOOKUP(E108,'Tablas Técnicas'!$A$14:$V$771,7,FALSE))</f>
        <v/>
      </c>
      <c r="Q108" s="990" t="str">
        <f>IF(O108="Si",IF(E108=0,"",VLOOKUP(E108,'Tablas Técnicas'!$A$14:$V$771,7,FALSE)),"")</f>
        <v/>
      </c>
      <c r="R108" s="1032" t="str">
        <f>IF(E108=0,"",VLOOKUP(E108,'Tablas Técnicas'!$A$14:$V$771,8,FALSE))</f>
        <v/>
      </c>
      <c r="S108" s="1004" t="str">
        <f>IF(R108=$D$8,$D$8,IF(R108=2,2,IF(R108=3,3,R108)))</f>
        <v/>
      </c>
      <c r="T108" s="1033" t="str">
        <f>IF(E108=0,"",VLOOKUP(E108,'Tablas Técnicas'!$A$14:$V$771,9,FALSE))</f>
        <v/>
      </c>
      <c r="U108" s="1033" t="str">
        <f>IF(E108=0,"",VLOOKUP(E108,'Tablas Técnicas'!$A$14:$V$771,10,FALSE))</f>
        <v/>
      </c>
      <c r="V108" s="1034" t="str">
        <f>IF(E108=0,"",VLOOKUP(E108,'Tablas Técnicas'!$A$14:$V$771,11,FALSE))</f>
        <v/>
      </c>
      <c r="W108" s="987"/>
      <c r="X108" s="988" t="e">
        <f>VLOOKUP(E108,'Tablas Técnicas'!$A$14:$V$771,12,FALSE)</f>
        <v>#N/A</v>
      </c>
      <c r="Y108" s="988" t="e">
        <f>IF(W108=X108,VLOOKUP(E108,'Tablas Técnicas'!$A$14:$V$771,13,FALSE),0)</f>
        <v>#N/A</v>
      </c>
      <c r="Z108" s="988" t="e">
        <f>VLOOKUP(E108,'Tablas Técnicas'!$A$14:$V$771,14,FALSE)</f>
        <v>#N/A</v>
      </c>
      <c r="AA108" s="988" t="e">
        <f>IF(W108=Z108,VLOOKUP(E108,'Tablas Técnicas'!$A$14:$V$616,15,FALSE),0)</f>
        <v>#N/A</v>
      </c>
      <c r="AB108" s="988" t="e">
        <f>VLOOKUP(E108,'Tablas Técnicas'!$A$14:$V$771,16,FALSE)</f>
        <v>#N/A</v>
      </c>
      <c r="AC108" s="988" t="e">
        <f>IF(W108=AB108,VLOOKUP(E108,'Tablas Técnicas'!$A$14:$V$616,17,FALSE),0)</f>
        <v>#N/A</v>
      </c>
      <c r="AD108" s="988" t="e">
        <f>VLOOKUP(E108,'Tablas Técnicas'!$A$14:$V$771,18,FALSE)</f>
        <v>#N/A</v>
      </c>
      <c r="AE108" s="988" t="e">
        <f>IF(W108=AD108,VLOOKUP(E108,'Tablas Técnicas'!$A$14:$V$771,19,FALSE),0)</f>
        <v>#N/A</v>
      </c>
      <c r="AF108" s="1006" t="str">
        <f>IF(E108=0,"",(Y108+AA108+AC108+AE108))</f>
        <v/>
      </c>
      <c r="AG108" s="987"/>
      <c r="AH108" s="1005" t="e">
        <f>VLOOKUP(E108,'Tablas Técnicas'!$A$14:$V$771,12,FALSE)</f>
        <v>#N/A</v>
      </c>
      <c r="AI108" s="1005" t="e">
        <f>IF(AG108=AH108,VLOOKUP(E108,'Tablas Técnicas'!$A$14:$V$771,13,FALSE),0)</f>
        <v>#N/A</v>
      </c>
      <c r="AJ108" s="1005" t="e">
        <f>VLOOKUP(E108,'Tablas Técnicas'!$A$14:$V$771,14,FALSE)</f>
        <v>#N/A</v>
      </c>
      <c r="AK108" s="1005" t="e">
        <f>IF(AG108=AJ108,VLOOKUP(E108,'Tablas Técnicas'!$A$14:$V$771,15,FALSE),0)</f>
        <v>#N/A</v>
      </c>
      <c r="AL108" s="1005" t="e">
        <f>VLOOKUP(E108,'Tablas Técnicas'!$A$14:$V$771,16,FALSE)</f>
        <v>#N/A</v>
      </c>
      <c r="AM108" s="1005" t="e">
        <f>IF(AG108=AL108,VLOOKUP(E108,'Tablas Técnicas'!$A$14:$V$771,17,FALSE),0)</f>
        <v>#N/A</v>
      </c>
      <c r="AN108" s="1005" t="e">
        <f>VLOOKUP(E108,'Tablas Técnicas'!$A$14:$V$771,18,FALSE)</f>
        <v>#N/A</v>
      </c>
      <c r="AO108" s="1005" t="e">
        <f>IF(AG108=AN108,VLOOKUP(E108,'Tablas Técnicas'!$A$14:$V$771,19,FALSE),0)</f>
        <v>#N/A</v>
      </c>
      <c r="AP108" s="3034" t="str">
        <f>IF(E108=0,"",(AI108+AK108+AM108+AO108))</f>
        <v/>
      </c>
      <c r="AQ108" s="987"/>
      <c r="AR108" s="1005" t="e">
        <f>VLOOKUP(E108,'Tablas Técnicas'!$A$14:$V$771,12,FALSE)</f>
        <v>#N/A</v>
      </c>
      <c r="AS108" s="1005" t="e">
        <f>IF(AQ108=AR108,VLOOKUP(E108,'Tablas Técnicas'!$A$14:$V$771,13,FALSE),0)</f>
        <v>#N/A</v>
      </c>
      <c r="AT108" s="1005" t="e">
        <f>VLOOKUP(E108,'Tablas Técnicas'!$A$14:$V$771,14,FALSE)</f>
        <v>#N/A</v>
      </c>
      <c r="AU108" s="1005" t="e">
        <f>IF(AQ108=AT108,VLOOKUP(E108,'Tablas Técnicas'!$A$14:$V$771,15,FALSE),0)</f>
        <v>#N/A</v>
      </c>
      <c r="AV108" s="1005" t="e">
        <f>VLOOKUP(E108,'Tablas Técnicas'!$A$14:$V$771,16,FALSE)</f>
        <v>#N/A</v>
      </c>
      <c r="AW108" s="1005" t="e">
        <f>IF(AQ108=AV108,VLOOKUP(E108,'Tablas Técnicas'!$A$14:$V$771,17,FALSE),0)</f>
        <v>#N/A</v>
      </c>
      <c r="AX108" s="1005" t="e">
        <f>VLOOKUP(E108,'Tablas Técnicas'!$A$14:$V$771,18,FALSE)</f>
        <v>#N/A</v>
      </c>
      <c r="AY108" s="1005" t="e">
        <f>IF(AQ108=AX108,VLOOKUP(E108,'Tablas Técnicas'!$A$14:$V$771,19,FALSE),0)</f>
        <v>#N/A</v>
      </c>
      <c r="AZ108" s="1006" t="str">
        <f>IF(E108=0,"",(AS108+AU108+AW108+AY108))</f>
        <v/>
      </c>
      <c r="BA108" s="987"/>
      <c r="BB108" s="1005" t="e">
        <f>VLOOKUP(E108,'Tablas Técnicas'!$A$14:$V$771,12,FALSE)</f>
        <v>#N/A</v>
      </c>
      <c r="BC108" s="1005" t="e">
        <f>IF(BA108=BB108,VLOOKUP(E108,'Tablas Técnicas'!$A$14:$V$771,13,FALSE),0)</f>
        <v>#N/A</v>
      </c>
      <c r="BD108" s="1005" t="e">
        <f>VLOOKUP(E108,'Tablas Técnicas'!$A$14:$V$771,14,FALSE)</f>
        <v>#N/A</v>
      </c>
      <c r="BE108" s="1005" t="e">
        <f>IF(BA108=BD108,VLOOKUP(E108,'Tablas Técnicas'!$A$14:$V$771,15,FALSE),0)</f>
        <v>#N/A</v>
      </c>
      <c r="BF108" s="1005" t="e">
        <f>VLOOKUP(E108,'Tablas Técnicas'!$A$14:$V$771,16,FALSE)</f>
        <v>#N/A</v>
      </c>
      <c r="BG108" s="1005" t="e">
        <f>IF(BA108=BF108,VLOOKUP(E108,'Tablas Técnicas'!$A$14:$V$771,17,FALSE),0)</f>
        <v>#N/A</v>
      </c>
      <c r="BH108" s="1005" t="e">
        <f>VLOOKUP(E108,'Tablas Técnicas'!$A$14:$V$771,18,FALSE)</f>
        <v>#N/A</v>
      </c>
      <c r="BI108" s="1005" t="e">
        <f>IF(BA108=BH108,VLOOKUP(E108,'Tablas Técnicas'!$A$14:$V$771,19,FALSE),0)</f>
        <v>#N/A</v>
      </c>
      <c r="BJ108" s="3034" t="str">
        <f>IF(E108=0,"",(BC108+BE108+BG108+BI108))</f>
        <v/>
      </c>
      <c r="BK108" s="1033" t="str">
        <f>IF(E108=0,"",VLOOKUP(E108,'Tablas Técnicas'!$A$14:$V$771,20,FALSE))</f>
        <v/>
      </c>
      <c r="BL108" s="1020" t="str">
        <f>IF(E108=0,"",VLOOKUP(E108,'Tablas Técnicas'!$A$14:$V$771,21,FALSE))</f>
        <v/>
      </c>
      <c r="BM108" s="991" t="str">
        <f>IF(E108=0,"",VLOOKUP(E108,'Tablas Técnicas'!$A$14:$V$771,22,FALSE))</f>
        <v/>
      </c>
      <c r="BN108" s="992"/>
      <c r="BO108" s="993"/>
      <c r="BP108" s="978" t="str">
        <f>IF(I108="Si",VLOOKUP($D$8,'Tablas Técnicas'!$E$4:$F$6,2,FALSE),"")</f>
        <v/>
      </c>
      <c r="BQ108" s="979" t="str">
        <f>IF(L108="Si",VLOOKUP($D$8,'Tablas Técnicas'!$I$4:$J$6,2,FALSE),"")</f>
        <v/>
      </c>
      <c r="BR108" s="977" t="str">
        <f>IF(O108="Si",VLOOKUP($D$8,'Tablas Técnicas'!$I$7:$J$9,2,FALSE),"")</f>
        <v/>
      </c>
      <c r="BS108" s="994"/>
      <c r="BU108" s="4777"/>
      <c r="BV108" s="4777"/>
      <c r="BW108" s="4777"/>
      <c r="BX108" s="951"/>
      <c r="BY108" s="1287"/>
      <c r="BZ108" s="1304"/>
      <c r="CA108" s="939"/>
      <c r="DR108" s="939"/>
      <c r="DT108" s="1326"/>
      <c r="DU108" s="1428" t="str">
        <f>DU84&amp;DU85&amp;DU86&amp;DU87&amp;DU88&amp;DU89</f>
        <v/>
      </c>
      <c r="DV108" s="1429" t="str">
        <f>DV84&amp;DV85&amp;DV86&amp;DV87&amp;DV88&amp;DV90&amp;DV91&amp;DV92&amp;DV93&amp;DV94&amp;DV96&amp;DV97&amp;DV98&amp;DV99&amp;DV100&amp;DV102&amp;DV103&amp;DV104&amp;DV105&amp;DV106</f>
        <v/>
      </c>
      <c r="DW108" s="1430" t="str">
        <f>DW84&amp;DW85&amp;DW86</f>
        <v/>
      </c>
      <c r="DX108" s="1431" t="str">
        <f>IF(DX90="",DX84,DX90)</f>
        <v/>
      </c>
      <c r="DY108" s="1327"/>
      <c r="DZ108" s="939"/>
      <c r="EA108" s="1470">
        <f t="shared" si="1"/>
        <v>1</v>
      </c>
    </row>
    <row r="109" spans="1:131" ht="11.25" customHeight="1" x14ac:dyDescent="0.2">
      <c r="A109" s="939"/>
      <c r="B109" s="939"/>
      <c r="C109" s="4822"/>
      <c r="D109" s="1452" t="s">
        <v>1766</v>
      </c>
      <c r="E109" s="995"/>
      <c r="F109" s="1025"/>
      <c r="G109" s="1437" t="str">
        <f>IF(E109=0,"",VLOOKUP(E109,'Tablas Técnicas'!$A$14:$V$771,3,FALSE))</f>
        <v/>
      </c>
      <c r="H109" s="998" t="str">
        <f>IF($E109=0,"",VLOOKUP($E109,'Tablas Técnicas'!$A$14:$V$771,4,FALSE))</f>
        <v/>
      </c>
      <c r="I109" s="999" t="s">
        <v>1690</v>
      </c>
      <c r="J109" s="1415" t="str">
        <f>IF(E109=0,"",VLOOKUP(E109,'Tablas Técnicas'!$A$14:$V$771,5,FALSE))</f>
        <v/>
      </c>
      <c r="K109" s="1001" t="str">
        <f>IF(I109="Si",IF(E109=0,"",VLOOKUP(E109,'Tablas Técnicas'!$A$14:$V$771,5,FALSE)),"")</f>
        <v/>
      </c>
      <c r="L109" s="999" t="s">
        <v>1690</v>
      </c>
      <c r="M109" s="1415" t="str">
        <f>IF(E109=0,"",VLOOKUP(E109,'Tablas Técnicas'!$A$14:$V$771,6,FALSE))</f>
        <v/>
      </c>
      <c r="N109" s="1002" t="str">
        <f>IF(L109="Si",IF(E109=0,"",VLOOKUP(E109,'Tablas Técnicas'!$A$14:$V$771,6,FALSE)),"")</f>
        <v/>
      </c>
      <c r="O109" s="999" t="s">
        <v>1690</v>
      </c>
      <c r="P109" s="1415" t="str">
        <f>IF(E109=0,"",VLOOKUP(E109,'Tablas Técnicas'!$A$14:$V$771,7,FALSE))</f>
        <v/>
      </c>
      <c r="Q109" s="1002" t="str">
        <f>IF(O109="Si",IF(E109=0,"",VLOOKUP(E109,'Tablas Técnicas'!$A$14:$V$771,7,FALSE)),"")</f>
        <v/>
      </c>
      <c r="R109" s="1000" t="str">
        <f>IF(E109=0,"",VLOOKUP(E109,'Tablas Técnicas'!$A$14:$V$771,8,FALSE))</f>
        <v/>
      </c>
      <c r="S109" s="998" t="str">
        <f>IF(R109=$D$8,$D$8,IF(R109=2,2,IF(R109=3,3,R109)))</f>
        <v/>
      </c>
      <c r="T109" s="4796" t="s">
        <v>4542</v>
      </c>
      <c r="U109" s="4797"/>
      <c r="V109" s="4797"/>
      <c r="W109" s="4797"/>
      <c r="X109" s="4797"/>
      <c r="Y109" s="4797"/>
      <c r="Z109" s="4797"/>
      <c r="AA109" s="4797"/>
      <c r="AB109" s="4797"/>
      <c r="AC109" s="4797"/>
      <c r="AD109" s="4797"/>
      <c r="AE109" s="4797"/>
      <c r="AF109" s="4797"/>
      <c r="AG109" s="4797"/>
      <c r="AH109" s="4797"/>
      <c r="AI109" s="4797"/>
      <c r="AJ109" s="4797"/>
      <c r="AK109" s="4797"/>
      <c r="AL109" s="4797"/>
      <c r="AM109" s="4797"/>
      <c r="AN109" s="4797"/>
      <c r="AO109" s="4797"/>
      <c r="AP109" s="4797"/>
      <c r="AQ109" s="4797"/>
      <c r="AR109" s="4797"/>
      <c r="AS109" s="4797"/>
      <c r="AT109" s="4797"/>
      <c r="AU109" s="4797"/>
      <c r="AV109" s="4797"/>
      <c r="AW109" s="4797"/>
      <c r="AX109" s="4797"/>
      <c r="AY109" s="4797"/>
      <c r="AZ109" s="4797"/>
      <c r="BA109" s="4797"/>
      <c r="BB109" s="4797"/>
      <c r="BC109" s="4797"/>
      <c r="BD109" s="4797"/>
      <c r="BE109" s="4797"/>
      <c r="BF109" s="4797"/>
      <c r="BG109" s="4797"/>
      <c r="BH109" s="4797"/>
      <c r="BI109" s="4797"/>
      <c r="BJ109" s="4797"/>
      <c r="BK109" s="4798"/>
      <c r="BL109" s="1437"/>
      <c r="BM109" s="1438"/>
      <c r="BN109" s="992"/>
      <c r="BO109" s="993"/>
      <c r="BP109" s="978" t="str">
        <f>IF(I109="Si",VLOOKUP($D$8,'Tablas Técnicas'!$E$4:$F$6,2,FALSE),"")</f>
        <v/>
      </c>
      <c r="BQ109" s="979" t="str">
        <f>IF(L109="Si",VLOOKUP($D$8,'Tablas Técnicas'!$I$4:$J$6,2,FALSE),"")</f>
        <v/>
      </c>
      <c r="BR109" s="977" t="str">
        <f>IF(O109="Si",VLOOKUP($D$8,'Tablas Técnicas'!$I$7:$J$9,2,FALSE),"")</f>
        <v/>
      </c>
      <c r="BS109" s="994"/>
      <c r="BT109" s="1036"/>
      <c r="BU109" s="1074"/>
      <c r="BV109" s="1074"/>
      <c r="BW109" s="1074"/>
      <c r="BX109" s="951"/>
      <c r="BY109" s="1286"/>
      <c r="BZ109" s="1304"/>
      <c r="CA109" s="939"/>
      <c r="DR109" s="939"/>
      <c r="DT109" s="1325"/>
      <c r="DU109" s="1377"/>
      <c r="DV109" s="1376" t="str">
        <f>IF(E109="","",E109)&amp;IF(I109="No",""," (Mant.)")&amp;IF(L109="No",""," (Sme)")&amp;IF(O109="No",""," (SMa)")</f>
        <v/>
      </c>
      <c r="DW109" s="1377"/>
      <c r="DX109" s="1377"/>
      <c r="DY109" s="1324"/>
      <c r="DZ109" s="939"/>
      <c r="EA109" s="1470">
        <f t="shared" si="1"/>
        <v>1</v>
      </c>
    </row>
    <row r="110" spans="1:131" ht="11.25" customHeight="1" x14ac:dyDescent="0.2">
      <c r="A110" s="939"/>
      <c r="B110" s="939"/>
      <c r="C110" s="4822"/>
      <c r="D110" s="1453" t="s">
        <v>1766</v>
      </c>
      <c r="E110" s="1003"/>
      <c r="F110" s="1019"/>
      <c r="G110" s="989" t="str">
        <f>IF(E110=0,"",VLOOKUP(E110,'Tablas Técnicas'!$A$14:$V$771,3,FALSE))</f>
        <v/>
      </c>
      <c r="H110" s="3033" t="str">
        <f>IF($E110=0,"",VLOOKUP($E110,'Tablas Técnicas'!$A$14:$V$771,4,FALSE))</f>
        <v/>
      </c>
      <c r="I110" s="987" t="s">
        <v>1690</v>
      </c>
      <c r="J110" s="1411" t="str">
        <f>IF(E110=0,"",VLOOKUP(E110,'Tablas Técnicas'!$A$14:$V$771,5,FALSE))</f>
        <v/>
      </c>
      <c r="K110" s="1006" t="str">
        <f>IF(I110="Si",IF(E110=0,"",VLOOKUP(E110,'Tablas Técnicas'!$A$14:$V$771,5,FALSE)),"")</f>
        <v/>
      </c>
      <c r="L110" s="987" t="s">
        <v>1690</v>
      </c>
      <c r="M110" s="1411" t="str">
        <f>IF(E110=0,"",VLOOKUP(E110,'Tablas Técnicas'!$A$14:$V$771,6,FALSE))</f>
        <v/>
      </c>
      <c r="N110" s="990" t="str">
        <f>IF(L110="Si",IF(E110=0,"",VLOOKUP(E110,'Tablas Técnicas'!$A$14:$V$771,6,FALSE)),"")</f>
        <v/>
      </c>
      <c r="O110" s="987" t="s">
        <v>1690</v>
      </c>
      <c r="P110" s="1411" t="str">
        <f>IF(E110=0,"",VLOOKUP(E110,'Tablas Técnicas'!$A$14:$V$771,7,FALSE))</f>
        <v/>
      </c>
      <c r="Q110" s="990" t="str">
        <f>IF(O110="Si",IF(E110=0,"",VLOOKUP(E110,'Tablas Técnicas'!$A$14:$V$771,7,FALSE)),"")</f>
        <v/>
      </c>
      <c r="R110" s="1005" t="str">
        <f>IF(E110=0,"",VLOOKUP(E110,'Tablas Técnicas'!$A$14:$V$771,8,FALSE))</f>
        <v/>
      </c>
      <c r="S110" s="3033" t="str">
        <f>IF(R110=$D$8,$D$8,IF(R110=2,2,IF(R110=3,3,R110)))</f>
        <v/>
      </c>
      <c r="T110" s="4809"/>
      <c r="U110" s="4810"/>
      <c r="V110" s="3029" t="str">
        <f>IF(OR(V108=0,V108=""),"N/A",V108)</f>
        <v>N/A</v>
      </c>
      <c r="W110" s="4809" t="str">
        <f xml:space="preserve"> IF(OR(AF108=0,AF108=""),"N/A",W108)</f>
        <v>N/A</v>
      </c>
      <c r="X110" s="4811"/>
      <c r="Y110" s="4811"/>
      <c r="Z110" s="4811"/>
      <c r="AA110" s="4811"/>
      <c r="AB110" s="4811"/>
      <c r="AC110" s="4811"/>
      <c r="AD110" s="4811"/>
      <c r="AE110" s="4811"/>
      <c r="AF110" s="4810"/>
      <c r="AG110" s="4809" t="str">
        <f xml:space="preserve"> IF(OR(AP108="",AP108=0),"N/A",AG108)</f>
        <v>N/A</v>
      </c>
      <c r="AH110" s="4811"/>
      <c r="AI110" s="4811"/>
      <c r="AJ110" s="4811"/>
      <c r="AK110" s="4811"/>
      <c r="AL110" s="4811"/>
      <c r="AM110" s="4811"/>
      <c r="AN110" s="4811"/>
      <c r="AO110" s="4811"/>
      <c r="AP110" s="4810"/>
      <c r="AQ110" s="4809" t="str">
        <f xml:space="preserve"> IF(OR(AZ108="",AZ108=0),"N/A",AQ108)</f>
        <v>N/A</v>
      </c>
      <c r="AR110" s="4811"/>
      <c r="AS110" s="4811"/>
      <c r="AT110" s="4811"/>
      <c r="AU110" s="4811"/>
      <c r="AV110" s="4811"/>
      <c r="AW110" s="4811"/>
      <c r="AX110" s="4811"/>
      <c r="AY110" s="4811"/>
      <c r="AZ110" s="4810"/>
      <c r="BA110" s="4809" t="str">
        <f xml:space="preserve"> IF(OR(BJ108="",BJ108=0),"N/A",BA108)</f>
        <v>N/A</v>
      </c>
      <c r="BB110" s="4811"/>
      <c r="BC110" s="4811"/>
      <c r="BD110" s="4811"/>
      <c r="BE110" s="4811"/>
      <c r="BF110" s="4811"/>
      <c r="BG110" s="4811"/>
      <c r="BH110" s="4811"/>
      <c r="BI110" s="4811"/>
      <c r="BJ110" s="4810"/>
      <c r="BK110" s="1007" t="s">
        <v>4543</v>
      </c>
      <c r="BL110" s="989"/>
      <c r="BM110" s="1024"/>
      <c r="BN110" s="1008"/>
      <c r="BO110" s="1009"/>
      <c r="BP110" s="1010" t="str">
        <f>IF(I110="Si",VLOOKUP($D$8,'Tablas Técnicas'!$E$4:$F$6,2,FALSE),"")</f>
        <v/>
      </c>
      <c r="BQ110" s="980" t="str">
        <f>IF(L110="Si",VLOOKUP($D$8,'Tablas Técnicas'!$I$4:$J$6,2,FALSE),"")</f>
        <v/>
      </c>
      <c r="BR110" s="1011" t="str">
        <f>IF(O110="Si",VLOOKUP($D$8,'Tablas Técnicas'!$I$7:$J$9,2,FALSE),"")</f>
        <v/>
      </c>
      <c r="BS110" s="994"/>
      <c r="BU110" s="4776"/>
      <c r="BV110" s="4776"/>
      <c r="BW110" s="4776"/>
      <c r="BX110" s="951"/>
      <c r="BY110" s="1286"/>
      <c r="BZ110" s="1304"/>
      <c r="CA110" s="939"/>
      <c r="DR110" s="939"/>
      <c r="DT110" s="1325"/>
      <c r="DU110" s="1377"/>
      <c r="DV110" s="1376" t="str">
        <f>IF(E110="","",E110)&amp;IF(I110="No",""," (Mant.)")&amp;IF(L110="No",""," (Sme)")&amp;IF(O110="No",""," (SMa)")</f>
        <v/>
      </c>
      <c r="DW110" s="1377"/>
      <c r="DX110" s="1377"/>
      <c r="DY110" s="1324"/>
      <c r="DZ110" s="939"/>
      <c r="EA110" s="1470">
        <f t="shared" si="1"/>
        <v>1</v>
      </c>
    </row>
    <row r="111" spans="1:131" x14ac:dyDescent="0.2">
      <c r="A111" s="939"/>
      <c r="B111" s="939"/>
      <c r="C111" s="4822"/>
      <c r="D111" s="1452" t="s">
        <v>1766</v>
      </c>
      <c r="E111" s="995"/>
      <c r="F111" s="1025"/>
      <c r="G111" s="1437" t="str">
        <f>IF(E111=0,"",VLOOKUP(E111,'Tablas Técnicas'!$A$14:$V$771,3,FALSE))</f>
        <v/>
      </c>
      <c r="H111" s="998" t="str">
        <f>IF($E111=0,"",VLOOKUP($E111,'Tablas Técnicas'!$A$14:$V$771,4,FALSE))</f>
        <v/>
      </c>
      <c r="I111" s="999" t="s">
        <v>1690</v>
      </c>
      <c r="J111" s="1415" t="str">
        <f>IF(E111=0,"",VLOOKUP(E111,'Tablas Técnicas'!$A$14:$V$771,5,FALSE))</f>
        <v/>
      </c>
      <c r="K111" s="1001" t="str">
        <f>IF(I111="Si",IF(E111=0,"",VLOOKUP(E111,'Tablas Técnicas'!$A$14:$V$771,5,FALSE)),"")</f>
        <v/>
      </c>
      <c r="L111" s="999" t="s">
        <v>1690</v>
      </c>
      <c r="M111" s="1415" t="str">
        <f>IF(E111=0,"",VLOOKUP(E111,'Tablas Técnicas'!$A$14:$V$771,6,FALSE))</f>
        <v/>
      </c>
      <c r="N111" s="1002" t="str">
        <f>IF(L111="Si",IF(E111=0,"",VLOOKUP(E111,'Tablas Técnicas'!$A$14:$V$771,6,FALSE)),"")</f>
        <v/>
      </c>
      <c r="O111" s="999" t="s">
        <v>1690</v>
      </c>
      <c r="P111" s="1415" t="str">
        <f>IF(E111=0,"",VLOOKUP(E111,'Tablas Técnicas'!$A$14:$V$771,7,FALSE))</f>
        <v/>
      </c>
      <c r="Q111" s="1002" t="str">
        <f>IF(O111="Si",IF(E111=0,"",VLOOKUP(E111,'Tablas Técnicas'!$A$14:$V$771,7,FALSE)),"")</f>
        <v/>
      </c>
      <c r="R111" s="1000" t="str">
        <f>IF(E111=0,"",VLOOKUP(E111,'Tablas Técnicas'!$A$14:$V$771,8,FALSE))</f>
        <v/>
      </c>
      <c r="S111" s="998" t="str">
        <f>IF(R111=$D$8,$D$8,IF(R111=2,2,IF(R111=3,3,R111)))</f>
        <v/>
      </c>
      <c r="T111" s="4812" t="s">
        <v>4544</v>
      </c>
      <c r="U111" s="4813"/>
      <c r="V111" s="3025"/>
      <c r="W111" s="4814"/>
      <c r="X111" s="4815"/>
      <c r="Y111" s="4815"/>
      <c r="Z111" s="4815"/>
      <c r="AA111" s="4815"/>
      <c r="AB111" s="4815"/>
      <c r="AC111" s="4815"/>
      <c r="AD111" s="4815"/>
      <c r="AE111" s="4815"/>
      <c r="AF111" s="4816"/>
      <c r="AG111" s="4814"/>
      <c r="AH111" s="4815"/>
      <c r="AI111" s="4815"/>
      <c r="AJ111" s="4815"/>
      <c r="AK111" s="4815"/>
      <c r="AL111" s="4815"/>
      <c r="AM111" s="4815"/>
      <c r="AN111" s="4815"/>
      <c r="AO111" s="4815"/>
      <c r="AP111" s="4816"/>
      <c r="AQ111" s="4814"/>
      <c r="AR111" s="4815"/>
      <c r="AS111" s="4815"/>
      <c r="AT111" s="4815"/>
      <c r="AU111" s="4815"/>
      <c r="AV111" s="4815"/>
      <c r="AW111" s="4815"/>
      <c r="AX111" s="4815"/>
      <c r="AY111" s="4815"/>
      <c r="AZ111" s="4816"/>
      <c r="BA111" s="4814"/>
      <c r="BB111" s="4815"/>
      <c r="BC111" s="4815"/>
      <c r="BD111" s="4815"/>
      <c r="BE111" s="4815"/>
      <c r="BF111" s="4815"/>
      <c r="BG111" s="4815"/>
      <c r="BH111" s="4815"/>
      <c r="BI111" s="4815"/>
      <c r="BJ111" s="4816"/>
      <c r="BK111" s="998">
        <f>(SUM(G108:G112)+IF(AF108="",0,AF108)+IF(AP108="",0,AP108)+IF(AZ108="",0,AZ108)+IF(BJ108="",0,BJ108)+SUM(K108:K112)+SUM(N108:N112)+SUM(Q108:Q112))- SUM(V111:BA111)</f>
        <v>0</v>
      </c>
      <c r="BL111" s="1437"/>
      <c r="BM111" s="1438"/>
      <c r="BN111" s="992"/>
      <c r="BO111" s="993"/>
      <c r="BP111" s="978" t="str">
        <f>IF(I111="Si",VLOOKUP($D$8,'Tablas Técnicas'!$E$4:$F$6,2,FALSE),"")</f>
        <v/>
      </c>
      <c r="BQ111" s="979" t="str">
        <f>IF(L111="Si",VLOOKUP($D$8,'Tablas Técnicas'!$I$4:$J$6,2,FALSE),"")</f>
        <v/>
      </c>
      <c r="BR111" s="977" t="str">
        <f>IF(O111="Si",VLOOKUP($D$8,'Tablas Técnicas'!$I$7:$J$9,2,FALSE),"")</f>
        <v/>
      </c>
      <c r="BS111" s="994"/>
      <c r="BU111" s="1074"/>
      <c r="BV111" s="1074"/>
      <c r="BW111" s="1074"/>
      <c r="BX111" s="951"/>
      <c r="BY111" s="1286"/>
      <c r="BZ111" s="1304"/>
      <c r="CA111" s="943"/>
      <c r="DR111" s="943"/>
      <c r="DT111" s="1325"/>
      <c r="DU111" s="1432"/>
      <c r="DV111" s="1376" t="str">
        <f>IF(E111="","",E111)&amp;IF(I111="No",""," (Mant.)")&amp;IF(L111="No",""," (Sme)")&amp;IF(O111="No",""," (SMa)")</f>
        <v/>
      </c>
      <c r="DW111" s="1432"/>
      <c r="DX111" s="1432"/>
      <c r="DY111" s="1324"/>
      <c r="DZ111" s="943"/>
      <c r="EA111" s="1470">
        <f t="shared" si="1"/>
        <v>1</v>
      </c>
    </row>
    <row r="112" spans="1:131" x14ac:dyDescent="0.2">
      <c r="A112" s="939"/>
      <c r="B112" s="939"/>
      <c r="C112" s="4822"/>
      <c r="D112" s="1453" t="s">
        <v>1766</v>
      </c>
      <c r="E112" s="1003"/>
      <c r="F112" s="1019"/>
      <c r="G112" s="989" t="str">
        <f>IF(E112=0,"",VLOOKUP(E112,'Tablas Técnicas'!$A$14:$V$771,3,FALSE))</f>
        <v/>
      </c>
      <c r="H112" s="1004" t="str">
        <f>IF($E112=0,"",VLOOKUP($E112,'Tablas Técnicas'!$A$14:$V$771,4,FALSE))</f>
        <v/>
      </c>
      <c r="I112" s="987" t="s">
        <v>1690</v>
      </c>
      <c r="J112" s="1411" t="str">
        <f>IF(E112=0,"",VLOOKUP(E112,'Tablas Técnicas'!$A$14:$V$771,5,FALSE))</f>
        <v/>
      </c>
      <c r="K112" s="1006" t="str">
        <f>IF(I112="Si",IF(E112=0,"",VLOOKUP(E112,'Tablas Técnicas'!$A$14:$V$771,5,FALSE)),"")</f>
        <v/>
      </c>
      <c r="L112" s="987" t="s">
        <v>1690</v>
      </c>
      <c r="M112" s="1411" t="str">
        <f>IF(E112=0,"",VLOOKUP(E112,'Tablas Técnicas'!$A$14:$V$771,6,FALSE))</f>
        <v/>
      </c>
      <c r="N112" s="990" t="str">
        <f>IF(L112="Si",IF(E112=0,"",VLOOKUP(E112,'Tablas Técnicas'!$A$14:$V$771,6,FALSE)),"")</f>
        <v/>
      </c>
      <c r="O112" s="987" t="s">
        <v>1690</v>
      </c>
      <c r="P112" s="1411" t="str">
        <f>IF(E112=0,"",VLOOKUP(E112,'Tablas Técnicas'!$A$14:$V$771,7,FALSE))</f>
        <v/>
      </c>
      <c r="Q112" s="990" t="str">
        <f>IF(O112="Si",IF(E112=0,"",VLOOKUP(E112,'Tablas Técnicas'!$A$14:$V$771,7,FALSE)),"")</f>
        <v/>
      </c>
      <c r="R112" s="1005" t="str">
        <f>IF(E112=0,"",VLOOKUP(E112,'Tablas Técnicas'!$A$14:$V$771,8,FALSE))</f>
        <v/>
      </c>
      <c r="S112" s="1004" t="str">
        <f>IF(R112=$D$8,$D$8,IF(R112=2,2,IF(R112=3,3,R112)))</f>
        <v/>
      </c>
      <c r="T112" s="4817" t="s">
        <v>4546</v>
      </c>
      <c r="U112" s="4818"/>
      <c r="V112" s="3035"/>
      <c r="W112" s="4819"/>
      <c r="X112" s="4820"/>
      <c r="Y112" s="4820"/>
      <c r="Z112" s="4820"/>
      <c r="AA112" s="4820"/>
      <c r="AB112" s="4820"/>
      <c r="AC112" s="4820"/>
      <c r="AD112" s="4820"/>
      <c r="AE112" s="4820"/>
      <c r="AF112" s="4821"/>
      <c r="AG112" s="4819"/>
      <c r="AH112" s="4820"/>
      <c r="AI112" s="4820"/>
      <c r="AJ112" s="4820"/>
      <c r="AK112" s="4820"/>
      <c r="AL112" s="4820"/>
      <c r="AM112" s="4820"/>
      <c r="AN112" s="4820"/>
      <c r="AO112" s="4820"/>
      <c r="AP112" s="4821"/>
      <c r="AQ112" s="4819"/>
      <c r="AR112" s="4820"/>
      <c r="AS112" s="4820"/>
      <c r="AT112" s="4820"/>
      <c r="AU112" s="4820"/>
      <c r="AV112" s="4820"/>
      <c r="AW112" s="4820"/>
      <c r="AX112" s="4820"/>
      <c r="AY112" s="4820"/>
      <c r="AZ112" s="4821"/>
      <c r="BA112" s="4819"/>
      <c r="BB112" s="4820"/>
      <c r="BC112" s="4820"/>
      <c r="BD112" s="4820"/>
      <c r="BE112" s="4820"/>
      <c r="BF112" s="4820"/>
      <c r="BG112" s="4820"/>
      <c r="BH112" s="4820"/>
      <c r="BI112" s="4820"/>
      <c r="BJ112" s="4821"/>
      <c r="BK112" s="1004">
        <f>SUM(K108:K112)-SUM(V112:BA112)</f>
        <v>0</v>
      </c>
      <c r="BL112" s="989"/>
      <c r="BM112" s="1024"/>
      <c r="BN112" s="1008"/>
      <c r="BO112" s="1009"/>
      <c r="BP112" s="1010" t="str">
        <f>IF(I112="Si",VLOOKUP($D$8,'Tablas Técnicas'!$E$4:$F$6,2,FALSE),"")</f>
        <v/>
      </c>
      <c r="BQ112" s="980" t="str">
        <f>IF(L112="Si",VLOOKUP($D$8,'Tablas Técnicas'!$I$4:$J$6,2,FALSE),"")</f>
        <v/>
      </c>
      <c r="BR112" s="1011" t="str">
        <f>IF(O112="Si",VLOOKUP($D$8,'Tablas Técnicas'!$I$7:$J$9,2,FALSE),"")</f>
        <v/>
      </c>
      <c r="BS112" s="994"/>
      <c r="BU112" s="1074"/>
      <c r="BV112" s="1074"/>
      <c r="BW112" s="1074"/>
      <c r="BX112" s="951"/>
      <c r="BY112" s="1286"/>
      <c r="BZ112" s="1304"/>
      <c r="CA112" s="939"/>
      <c r="DR112" s="939"/>
      <c r="DT112" s="1325"/>
      <c r="DU112" s="1377"/>
      <c r="DV112" s="1376" t="str">
        <f>IF(E112="","",E112)&amp;IF(I112="No",""," (Mant.)")&amp;IF(L112="No",""," (Sme)")&amp;IF(O112="No",""," (SMa)")</f>
        <v/>
      </c>
      <c r="DW112" s="1377"/>
      <c r="DX112" s="1377"/>
      <c r="DY112" s="1324"/>
      <c r="DZ112" s="939"/>
      <c r="EA112" s="1470">
        <f t="shared" si="1"/>
        <v>1</v>
      </c>
    </row>
    <row r="113" spans="1:132" x14ac:dyDescent="0.2">
      <c r="A113" s="939"/>
      <c r="B113" s="939"/>
      <c r="C113" s="4822"/>
      <c r="D113" s="1455"/>
      <c r="E113" s="1404" t="s">
        <v>4553</v>
      </c>
      <c r="F113" s="1016"/>
      <c r="G113" s="1017"/>
      <c r="H113" s="2159">
        <f t="array" ref="H113">IF(AND(OR(ISNUMBER(SEARCH("Empatía Elemental ("&amp;BK108:BM108&amp;")",Principal!$AF$30))),SUM(H108:H112)&gt;=10),-5,0)</f>
        <v>0</v>
      </c>
      <c r="I113" s="1017"/>
      <c r="J113" s="1018"/>
      <c r="K113" s="1017"/>
      <c r="L113" s="1017"/>
      <c r="M113" s="1018"/>
      <c r="N113" s="1017"/>
      <c r="O113" s="1017"/>
      <c r="P113" s="1018"/>
      <c r="Q113" s="1017"/>
      <c r="R113" s="1018"/>
      <c r="S113" s="1017"/>
      <c r="T113" s="1017"/>
      <c r="U113" s="1037"/>
      <c r="V113" s="1037"/>
      <c r="W113" s="1037"/>
      <c r="X113" s="1037"/>
      <c r="Y113" s="1037"/>
      <c r="Z113" s="1037"/>
      <c r="AA113" s="1037"/>
      <c r="AB113" s="1037"/>
      <c r="AC113" s="1037"/>
      <c r="AD113" s="1037"/>
      <c r="AE113" s="1037"/>
      <c r="AF113" s="1037"/>
      <c r="AG113" s="1037"/>
      <c r="AH113" s="1037"/>
      <c r="AI113" s="1037"/>
      <c r="AJ113" s="1037"/>
      <c r="AK113" s="1037"/>
      <c r="AL113" s="1037"/>
      <c r="AM113" s="1037"/>
      <c r="AN113" s="1037"/>
      <c r="AO113" s="1037"/>
      <c r="AP113" s="1037"/>
      <c r="AQ113" s="1037"/>
      <c r="AR113" s="1037"/>
      <c r="AS113" s="1037"/>
      <c r="AT113" s="1037"/>
      <c r="AU113" s="1037"/>
      <c r="AV113" s="1037"/>
      <c r="AW113" s="1037"/>
      <c r="AX113" s="1037"/>
      <c r="AY113" s="1037"/>
      <c r="AZ113" s="1037"/>
      <c r="BA113" s="1037"/>
      <c r="BB113" s="1037"/>
      <c r="BC113" s="1037"/>
      <c r="BD113" s="1037"/>
      <c r="BE113" s="1037"/>
      <c r="BF113" s="1037"/>
      <c r="BG113" s="1037"/>
      <c r="BH113" s="1037"/>
      <c r="BI113" s="1037"/>
      <c r="BJ113" s="1037"/>
      <c r="BK113" s="4802"/>
      <c r="BL113" s="4802"/>
      <c r="BM113" s="4767"/>
      <c r="BN113" s="977">
        <f>SUM(K113:K116)</f>
        <v>0</v>
      </c>
      <c r="BO113" s="971">
        <f>IF(E113=0,"",(AF113+AP113+AZ113+BJ113))</f>
        <v>0</v>
      </c>
      <c r="BP113" s="978" t="str">
        <f>IF(I113="Si",VLOOKUP($D$8,'Tablas Técnicas'!$E$4:$F$6,2,FALSE),"")</f>
        <v/>
      </c>
      <c r="BQ113" s="979" t="str">
        <f>IF(L113="Si",VLOOKUP($D$8,'Tablas Técnicas'!$I$4:$J$6,2,FALSE),"")</f>
        <v/>
      </c>
      <c r="BR113" s="977" t="str">
        <f>IF(O113="Si",VLOOKUP($D$8,'Tablas Técnicas'!$I$7:$J$9,2,FALSE),"")</f>
        <v/>
      </c>
      <c r="BS113" s="994"/>
      <c r="BT113" s="4766" t="s">
        <v>4555</v>
      </c>
      <c r="BU113" s="4767"/>
      <c r="BV113" s="971"/>
      <c r="BW113" s="951"/>
      <c r="BX113" s="951"/>
      <c r="BY113" s="1286"/>
      <c r="BZ113" s="1304"/>
      <c r="CA113" s="939"/>
      <c r="DR113" s="939"/>
      <c r="DT113" s="1325"/>
      <c r="DU113" s="1377"/>
      <c r="DV113" s="1377"/>
      <c r="DW113" s="1377"/>
      <c r="DX113" s="1377"/>
      <c r="DY113" s="1324"/>
      <c r="DZ113" s="939"/>
      <c r="EA113" s="1470">
        <f t="shared" si="1"/>
        <v>1</v>
      </c>
    </row>
    <row r="114" spans="1:132" ht="12" x14ac:dyDescent="0.2">
      <c r="A114" s="939"/>
      <c r="B114" s="939"/>
      <c r="C114" s="4822"/>
      <c r="D114" s="1456" t="s">
        <v>4554</v>
      </c>
      <c r="E114" s="983"/>
      <c r="F114" s="1006"/>
      <c r="G114" s="1006"/>
      <c r="H114" s="1004" t="str">
        <f>IF(D82=0,"",IF(E114=0,"",VLOOKUP(E114,'Tablas Técnicas'!$A$14:$V$771,4,FALSE)))</f>
        <v/>
      </c>
      <c r="I114" s="1006"/>
      <c r="J114" s="1006"/>
      <c r="K114" s="1038"/>
      <c r="L114" s="1006"/>
      <c r="M114" s="1006"/>
      <c r="N114" s="1038"/>
      <c r="O114" s="1006"/>
      <c r="P114" s="1006"/>
      <c r="Q114" s="1006"/>
      <c r="R114" s="1005" t="str">
        <f>IF(E114=0,"",VLOOKUP(E114,'Tablas Técnicas'!$A$14:$V$771,8,FALSE))</f>
        <v/>
      </c>
      <c r="S114" s="1031" t="str">
        <f>IF(R114=$D$8,$D$8,IF(R114=2,2,IF(R114=3,3,R114)))</f>
        <v/>
      </c>
      <c r="T114" s="1006" t="str">
        <f>IF(E114=0,"",VLOOKUP(E114,'Tablas Técnicas'!$A$14:$V$771,9,FALSE))</f>
        <v/>
      </c>
      <c r="U114" s="1033" t="str">
        <f>IF(E114=0,"",VLOOKUP(E114,'Tablas Técnicas'!$A$14:$V$771,10,FALSE))</f>
        <v/>
      </c>
      <c r="V114" s="1034"/>
      <c r="W114" s="1034"/>
      <c r="X114" s="1033"/>
      <c r="Y114" s="1033"/>
      <c r="Z114" s="1033"/>
      <c r="AA114" s="1033"/>
      <c r="AB114" s="1033"/>
      <c r="AC114" s="1033"/>
      <c r="AD114" s="1033"/>
      <c r="AE114" s="1033"/>
      <c r="AF114" s="1033"/>
      <c r="AG114" s="4799" t="str">
        <f>IF(OR(E114='Tablas Técnicas'!A$678,E114='Tablas Técnicas'!A$679,E115='Tablas Técnicas'!A$678,E115='Tablas Técnicas'!A$679,E116='Tablas Técnicas'!A$678,E116='Tablas Técnicas'!A$679),"Selecciona la atadura elemental:","")</f>
        <v/>
      </c>
      <c r="AH114" s="4800"/>
      <c r="AI114" s="4800"/>
      <c r="AJ114" s="4800"/>
      <c r="AK114" s="4800"/>
      <c r="AL114" s="4800"/>
      <c r="AM114" s="4800"/>
      <c r="AN114" s="4800"/>
      <c r="AO114" s="4800"/>
      <c r="AP114" s="4800"/>
      <c r="AQ114" s="4800"/>
      <c r="AR114" s="4800"/>
      <c r="AS114" s="4800"/>
      <c r="AT114" s="4800"/>
      <c r="AU114" s="4800"/>
      <c r="AV114" s="4800"/>
      <c r="AW114" s="4800"/>
      <c r="AX114" s="4800"/>
      <c r="AY114" s="4800"/>
      <c r="AZ114" s="4800"/>
      <c r="BA114" s="4800"/>
      <c r="BB114" s="4800"/>
      <c r="BC114" s="4800"/>
      <c r="BD114" s="4800"/>
      <c r="BE114" s="4800"/>
      <c r="BF114" s="4800"/>
      <c r="BG114" s="4800"/>
      <c r="BH114" s="4800"/>
      <c r="BI114" s="4800"/>
      <c r="BJ114" s="4800"/>
      <c r="BK114" s="4801"/>
      <c r="BL114" s="1441"/>
      <c r="BM114" s="1441"/>
      <c r="BN114" s="1006"/>
      <c r="BO114" s="1006"/>
      <c r="BP114" s="1038"/>
      <c r="BQ114" s="1006"/>
      <c r="BR114" s="1006"/>
      <c r="BS114" s="1006"/>
      <c r="BT114" s="4768">
        <f>D82</f>
        <v>1</v>
      </c>
      <c r="BU114" s="4769"/>
      <c r="BV114" s="971">
        <f>IF(BV113=0,0,VLOOKUP(BV113,'Tablas Técnicas'!$M$4:$N$7,2,FALSE))</f>
        <v>0</v>
      </c>
      <c r="BW114" s="951"/>
      <c r="BX114" s="951"/>
      <c r="BY114" s="1286"/>
      <c r="BZ114" s="1304"/>
      <c r="CA114" s="939"/>
      <c r="DR114" s="939"/>
      <c r="DT114" s="1325"/>
      <c r="DU114" s="1377"/>
      <c r="DV114" s="1377"/>
      <c r="DW114" s="1377"/>
      <c r="DX114" s="1377"/>
      <c r="DY114" s="1324"/>
      <c r="DZ114" s="939"/>
      <c r="EA114" s="1470">
        <f t="shared" si="1"/>
        <v>1</v>
      </c>
    </row>
    <row r="115" spans="1:132" x14ac:dyDescent="0.2">
      <c r="A115" s="939"/>
      <c r="B115" s="939"/>
      <c r="C115" s="4822"/>
      <c r="D115" s="1452" t="s">
        <v>4556</v>
      </c>
      <c r="E115" s="1039"/>
      <c r="F115" s="1405"/>
      <c r="G115" s="1406"/>
      <c r="H115" s="996" t="str">
        <f>IF(VALUE(D82)&gt;1,IF(E115=0,"",VLOOKUP(E115,'Tablas Técnicas'!$A$14:$V$771,4,FALSE)),"")</f>
        <v/>
      </c>
      <c r="I115" s="1405"/>
      <c r="J115" s="1406"/>
      <c r="K115" s="1406"/>
      <c r="L115" s="1405"/>
      <c r="M115" s="1406"/>
      <c r="N115" s="1407"/>
      <c r="O115" s="1406"/>
      <c r="P115" s="1406"/>
      <c r="Q115" s="1406"/>
      <c r="R115" s="1000" t="str">
        <f>IF(E115=0,"",VLOOKUP(E115,'Tablas Técnicas'!$A$14:$V$771,8,FALSE))</f>
        <v/>
      </c>
      <c r="S115" s="998" t="str">
        <f>IF(R115=$D$8,$D$8,IF(R115=2,2,IF(R115=3,3,R115)))</f>
        <v/>
      </c>
      <c r="T115" s="1001" t="str">
        <f>IF(E115=0,"",VLOOKUP(E115,'Tablas Técnicas'!$A$14:$V$771,9,FALSE))</f>
        <v/>
      </c>
      <c r="U115" s="1001" t="str">
        <f>IF(E115=0,"",VLOOKUP(E115,'Tablas Técnicas'!$A$14:$V$771,10,FALSE))</f>
        <v/>
      </c>
      <c r="V115" s="1405"/>
      <c r="W115" s="1405"/>
      <c r="X115" s="1406"/>
      <c r="Y115" s="1406"/>
      <c r="Z115" s="1406"/>
      <c r="AA115" s="1406"/>
      <c r="AB115" s="1406"/>
      <c r="AC115" s="1406"/>
      <c r="AD115" s="1406"/>
      <c r="AE115" s="1406"/>
      <c r="AF115" s="1406"/>
      <c r="AG115" s="1408"/>
      <c r="AH115" s="1409"/>
      <c r="AI115" s="1409"/>
      <c r="AJ115" s="1409"/>
      <c r="AK115" s="1409"/>
      <c r="AL115" s="1409"/>
      <c r="AM115" s="1409"/>
      <c r="AN115" s="1409"/>
      <c r="AO115" s="1409"/>
      <c r="AP115" s="1407"/>
      <c r="AQ115" s="1409"/>
      <c r="AR115" s="1409"/>
      <c r="AS115" s="1409"/>
      <c r="AT115" s="1409"/>
      <c r="AU115" s="1409"/>
      <c r="AV115" s="1409"/>
      <c r="AW115" s="1409"/>
      <c r="AX115" s="1409"/>
      <c r="AY115" s="1409"/>
      <c r="AZ115" s="1410"/>
      <c r="BA115" s="1406"/>
      <c r="BB115" s="1406"/>
      <c r="BC115" s="1406"/>
      <c r="BD115" s="1406"/>
      <c r="BE115" s="1406"/>
      <c r="BF115" s="1406"/>
      <c r="BG115" s="1406"/>
      <c r="BH115" s="1406"/>
      <c r="BI115" s="1406"/>
      <c r="BJ115" s="1407"/>
      <c r="BK115" s="1406"/>
      <c r="BL115" s="1442"/>
      <c r="BM115" s="1443"/>
      <c r="BN115" s="1406"/>
      <c r="BO115" s="1406"/>
      <c r="BP115" s="1407"/>
      <c r="BQ115" s="1406"/>
      <c r="BR115" s="1406"/>
      <c r="BS115" s="1406"/>
      <c r="BU115" s="3026"/>
      <c r="BV115" s="971"/>
      <c r="BW115" s="951"/>
      <c r="BX115" s="951"/>
      <c r="BY115" s="1286"/>
      <c r="BZ115" s="1304"/>
      <c r="CA115" s="939"/>
      <c r="DR115" s="939"/>
      <c r="DT115" s="1325"/>
      <c r="DU115" s="1377"/>
      <c r="DV115" s="1377"/>
      <c r="DW115" s="1377"/>
      <c r="DX115" s="1377"/>
      <c r="DY115" s="1324"/>
      <c r="DZ115" s="939"/>
      <c r="EA115" s="1470">
        <f t="shared" si="1"/>
        <v>1</v>
      </c>
    </row>
    <row r="116" spans="1:132" x14ac:dyDescent="0.2">
      <c r="A116" s="939"/>
      <c r="B116" s="939"/>
      <c r="C116" s="4822"/>
      <c r="D116" s="1457" t="s">
        <v>4557</v>
      </c>
      <c r="E116" s="1040"/>
      <c r="F116" s="3030"/>
      <c r="G116" s="1015"/>
      <c r="H116" s="1014" t="str">
        <f>IF(VALUE(D82)=3,IF(E116=0,"",VLOOKUP(E116,'Tablas Técnicas'!$A$14:$V$771,4,FALSE)),"")</f>
        <v/>
      </c>
      <c r="I116" s="1015"/>
      <c r="J116" s="1015"/>
      <c r="K116" s="1015"/>
      <c r="L116" s="3030"/>
      <c r="M116" s="1015"/>
      <c r="N116" s="1015"/>
      <c r="O116" s="3030"/>
      <c r="P116" s="1015"/>
      <c r="Q116" s="1015"/>
      <c r="R116" s="1035" t="str">
        <f>IF(E116=0,"",VLOOKUP(E116,'Tablas Técnicas'!$A$14:$V$771,8,FALSE))</f>
        <v/>
      </c>
      <c r="S116" s="1014" t="str">
        <f>IF(R116=$D$8,$D$8,IF(R116=2,2,IF(R116=3,3,R116)))</f>
        <v/>
      </c>
      <c r="T116" s="1015" t="str">
        <f>IF(E116=0,"",VLOOKUP(E116,'Tablas Técnicas'!$A$14:$V$771,9,FALSE))</f>
        <v/>
      </c>
      <c r="U116" s="1015" t="str">
        <f>IF(E116=0,"",VLOOKUP(E116,'Tablas Técnicas'!$A$14:$V$771,10,FALSE))</f>
        <v/>
      </c>
      <c r="V116" s="3030"/>
      <c r="W116" s="1298"/>
      <c r="X116" s="1298"/>
      <c r="Y116" s="1298"/>
      <c r="Z116" s="1298"/>
      <c r="AA116" s="1298"/>
      <c r="AB116" s="1298"/>
      <c r="AC116" s="1298"/>
      <c r="AD116" s="1298"/>
      <c r="AE116" s="1298"/>
      <c r="AF116" s="1299"/>
      <c r="AG116" s="3030"/>
      <c r="AH116" s="1015"/>
      <c r="AI116" s="1015"/>
      <c r="AJ116" s="1015"/>
      <c r="AK116" s="1015"/>
      <c r="AL116" s="1015"/>
      <c r="AM116" s="1015"/>
      <c r="AN116" s="1015"/>
      <c r="AO116" s="1015"/>
      <c r="AP116" s="3031"/>
      <c r="AQ116" s="1015"/>
      <c r="AR116" s="1015"/>
      <c r="AS116" s="1015"/>
      <c r="AT116" s="1015"/>
      <c r="AU116" s="1015"/>
      <c r="AV116" s="1015"/>
      <c r="AW116" s="1015"/>
      <c r="AX116" s="1015"/>
      <c r="AY116" s="1015"/>
      <c r="AZ116" s="3031"/>
      <c r="BA116" s="1015"/>
      <c r="BB116" s="1015"/>
      <c r="BC116" s="1015"/>
      <c r="BD116" s="1015"/>
      <c r="BE116" s="1015"/>
      <c r="BF116" s="1015"/>
      <c r="BG116" s="1015"/>
      <c r="BH116" s="1015"/>
      <c r="BI116" s="1015"/>
      <c r="BJ116" s="3031"/>
      <c r="BK116" s="1015"/>
      <c r="BL116" s="1439"/>
      <c r="BM116" s="1444"/>
      <c r="BN116" s="1015"/>
      <c r="BO116" s="1015"/>
      <c r="BP116" s="1015"/>
      <c r="BQ116" s="3030"/>
      <c r="BR116" s="1015"/>
      <c r="BS116" s="1015"/>
      <c r="BT116" s="3026"/>
      <c r="BU116" s="3026"/>
      <c r="BV116" s="971">
        <f>IF(BV115=0,0,VLOOKUP(BV115,'Tablas Técnicas'!$M$4:$N$7,2,FALSE))</f>
        <v>0</v>
      </c>
      <c r="BW116" s="951"/>
      <c r="BX116" s="951"/>
      <c r="BY116" s="1286"/>
      <c r="BZ116" s="1304"/>
      <c r="CA116" s="943"/>
      <c r="DR116" s="943"/>
      <c r="DT116" s="1328"/>
      <c r="DU116" s="1433"/>
      <c r="DV116" s="1433"/>
      <c r="DW116" s="1433"/>
      <c r="DX116" s="1433"/>
      <c r="DY116" s="1329"/>
      <c r="DZ116" s="943"/>
      <c r="EA116" s="1470">
        <f t="shared" si="1"/>
        <v>1</v>
      </c>
    </row>
    <row r="117" spans="1:132" x14ac:dyDescent="0.2">
      <c r="A117" s="943"/>
      <c r="B117" s="943"/>
      <c r="C117" s="4822"/>
      <c r="D117" s="1458"/>
      <c r="E117" s="3026"/>
      <c r="F117" s="951"/>
      <c r="G117" s="3026"/>
      <c r="H117" s="3026"/>
      <c r="I117" s="951"/>
      <c r="J117" s="3026"/>
      <c r="K117" s="3026"/>
      <c r="L117" s="3026"/>
      <c r="M117" s="3026"/>
      <c r="N117" s="3026"/>
      <c r="O117" s="3026"/>
      <c r="P117" s="3026"/>
      <c r="Q117" s="3026"/>
      <c r="R117" s="3026"/>
      <c r="S117" s="3026"/>
      <c r="T117" s="3026"/>
      <c r="U117" s="3026"/>
      <c r="V117" s="3026"/>
      <c r="W117" s="3026"/>
      <c r="X117" s="3026"/>
      <c r="Y117" s="3026"/>
      <c r="Z117" s="3026"/>
      <c r="AA117" s="3026"/>
      <c r="AB117" s="3026"/>
      <c r="AC117" s="3026"/>
      <c r="AD117" s="3026"/>
      <c r="AE117" s="3026"/>
      <c r="AF117" s="3026"/>
      <c r="AG117" s="3026"/>
      <c r="AH117" s="3026"/>
      <c r="AI117" s="3026"/>
      <c r="AJ117" s="3026"/>
      <c r="AK117" s="3026"/>
      <c r="AL117" s="3026"/>
      <c r="AM117" s="3026"/>
      <c r="AN117" s="3026"/>
      <c r="AO117" s="3026"/>
      <c r="AP117" s="3026"/>
      <c r="AQ117" s="3026"/>
      <c r="AR117" s="3026"/>
      <c r="AS117" s="3026"/>
      <c r="AT117" s="3026"/>
      <c r="AU117" s="3026"/>
      <c r="AV117" s="3026"/>
      <c r="AW117" s="3026"/>
      <c r="AX117" s="3026"/>
      <c r="AY117" s="3026"/>
      <c r="AZ117" s="3026"/>
      <c r="BA117" s="3026"/>
      <c r="BB117" s="3026"/>
      <c r="BC117" s="3026"/>
      <c r="BD117" s="3026"/>
      <c r="BE117" s="3026"/>
      <c r="BF117" s="3026"/>
      <c r="BG117" s="3026"/>
      <c r="BH117" s="3026"/>
      <c r="BI117" s="3026"/>
      <c r="BJ117" s="3026"/>
      <c r="BK117" s="3026"/>
      <c r="BL117" s="3026"/>
      <c r="BM117" s="3026"/>
      <c r="BN117" s="944">
        <f>SUM(BN122:BN137)</f>
        <v>0</v>
      </c>
      <c r="BO117" s="944">
        <f>SUM(BO122:BO137)</f>
        <v>0</v>
      </c>
      <c r="BP117" s="944">
        <f>SUM(BP122:BP137)</f>
        <v>0</v>
      </c>
      <c r="BQ117" s="944">
        <f>SUM(BQ122:BQ137)</f>
        <v>0</v>
      </c>
      <c r="BR117" s="944">
        <f>SUM(BR122:BR137)</f>
        <v>0</v>
      </c>
      <c r="BS117" s="1041"/>
      <c r="BU117" s="3026"/>
      <c r="BW117" s="951"/>
      <c r="BX117" s="951"/>
      <c r="BY117" s="960"/>
      <c r="BZ117" s="1304"/>
      <c r="CA117" s="939"/>
      <c r="DR117" s="939"/>
      <c r="DT117" s="1325"/>
      <c r="DU117" s="1377"/>
      <c r="DV117" s="1377"/>
      <c r="DW117" s="1377"/>
      <c r="DX117" s="1377"/>
      <c r="DY117" s="1324"/>
      <c r="DZ117" s="939"/>
      <c r="EA117" s="1470">
        <f t="shared" si="1"/>
        <v>1</v>
      </c>
    </row>
    <row r="118" spans="1:132" x14ac:dyDescent="0.2">
      <c r="A118" s="939"/>
      <c r="B118" s="939"/>
      <c r="C118" s="4822"/>
      <c r="D118" s="1450" t="s">
        <v>7698</v>
      </c>
      <c r="E118" s="2941"/>
      <c r="F118" s="957"/>
      <c r="G118" s="957"/>
      <c r="H118" s="957"/>
      <c r="I118" s="957"/>
      <c r="J118" s="958"/>
      <c r="K118" s="957"/>
      <c r="L118" s="957"/>
      <c r="M118" s="958"/>
      <c r="N118" s="957"/>
      <c r="O118" s="957"/>
      <c r="P118" s="958"/>
      <c r="Q118" s="957"/>
      <c r="R118" s="958"/>
      <c r="S118" s="957"/>
      <c r="T118" s="957"/>
      <c r="U118" s="957"/>
      <c r="V118" s="957"/>
      <c r="W118" s="951"/>
      <c r="X118" s="958"/>
      <c r="Y118" s="958"/>
      <c r="Z118" s="958"/>
      <c r="AA118" s="958"/>
      <c r="AB118" s="958"/>
      <c r="AC118" s="958"/>
      <c r="AD118" s="958"/>
      <c r="AE118" s="958"/>
      <c r="AF118" s="957"/>
      <c r="AG118" s="951"/>
      <c r="AH118" s="958"/>
      <c r="AI118" s="958"/>
      <c r="AJ118" s="958"/>
      <c r="AK118" s="958"/>
      <c r="AL118" s="958"/>
      <c r="AM118" s="958"/>
      <c r="AN118" s="958"/>
      <c r="AO118" s="958"/>
      <c r="AP118" s="951"/>
      <c r="AQ118" s="951"/>
      <c r="AR118" s="958"/>
      <c r="AS118" s="958"/>
      <c r="AT118" s="958"/>
      <c r="AU118" s="958"/>
      <c r="AV118" s="958"/>
      <c r="AW118" s="958"/>
      <c r="AX118" s="958"/>
      <c r="AY118" s="958"/>
      <c r="AZ118" s="951"/>
      <c r="BA118" s="951"/>
      <c r="BB118" s="958"/>
      <c r="BC118" s="958"/>
      <c r="BD118" s="958"/>
      <c r="BE118" s="958"/>
      <c r="BF118" s="958"/>
      <c r="BG118" s="958"/>
      <c r="BH118" s="958"/>
      <c r="BI118" s="958"/>
      <c r="BJ118" s="951"/>
      <c r="BK118" s="951"/>
      <c r="BL118" s="951"/>
      <c r="BM118" s="951"/>
      <c r="BN118" s="944">
        <f>SUM(BN120:BN153)</f>
        <v>0</v>
      </c>
      <c r="BO118" s="944">
        <f>SUM(BO120:BO153)</f>
        <v>0</v>
      </c>
      <c r="BP118" s="944">
        <f>MAX(BP120:BP153)</f>
        <v>0</v>
      </c>
      <c r="BQ118" s="944">
        <f>MAX(BQ120:BQ153)</f>
        <v>0</v>
      </c>
      <c r="BR118" s="944">
        <f>MAX(BR120:BR153)</f>
        <v>0</v>
      </c>
      <c r="BS118" s="959"/>
      <c r="BU118" s="3026"/>
      <c r="BV118" s="961"/>
      <c r="BW118" s="951"/>
      <c r="BX118" s="951"/>
      <c r="BY118" s="1286"/>
      <c r="BZ118" s="1304"/>
      <c r="CA118" s="939"/>
      <c r="DR118" s="939"/>
      <c r="DT118" s="1325"/>
      <c r="DU118" s="1377"/>
      <c r="DV118" s="1377"/>
      <c r="DW118" s="1377"/>
      <c r="DX118" s="1377"/>
      <c r="DY118" s="1324"/>
      <c r="DZ118" s="939"/>
      <c r="EA118" s="1470">
        <f t="shared" si="1"/>
        <v>1</v>
      </c>
    </row>
    <row r="119" spans="1:132" ht="12" thickBot="1" x14ac:dyDescent="0.25">
      <c r="A119" s="939"/>
      <c r="B119" s="939"/>
      <c r="C119" s="4822"/>
      <c r="D119" s="1451">
        <v>1</v>
      </c>
      <c r="E119" s="962" t="s">
        <v>8064</v>
      </c>
      <c r="F119" s="963" t="s">
        <v>1789</v>
      </c>
      <c r="G119" s="964" t="s">
        <v>1790</v>
      </c>
      <c r="H119" s="964" t="s">
        <v>1811</v>
      </c>
      <c r="I119" s="965" t="s">
        <v>3334</v>
      </c>
      <c r="J119" s="966"/>
      <c r="K119" s="967"/>
      <c r="L119" s="965" t="s">
        <v>3335</v>
      </c>
      <c r="M119" s="966"/>
      <c r="N119" s="967"/>
      <c r="O119" s="965" t="s">
        <v>3336</v>
      </c>
      <c r="P119" s="966"/>
      <c r="Q119" s="967"/>
      <c r="R119" s="968" t="s">
        <v>4533</v>
      </c>
      <c r="S119" s="964" t="s">
        <v>3304</v>
      </c>
      <c r="T119" s="3036" t="s">
        <v>1708</v>
      </c>
      <c r="U119" s="3036" t="s">
        <v>1679</v>
      </c>
      <c r="V119" s="3036" t="s">
        <v>3337</v>
      </c>
      <c r="W119" s="4794" t="s">
        <v>3338</v>
      </c>
      <c r="X119" s="4794"/>
      <c r="Y119" s="4794"/>
      <c r="Z119" s="4794"/>
      <c r="AA119" s="4794"/>
      <c r="AB119" s="4794"/>
      <c r="AC119" s="4794"/>
      <c r="AD119" s="4794"/>
      <c r="AE119" s="4794"/>
      <c r="AF119" s="4794"/>
      <c r="AG119" s="4794"/>
      <c r="AH119" s="4794"/>
      <c r="AI119" s="4794"/>
      <c r="AJ119" s="4794"/>
      <c r="AK119" s="4794"/>
      <c r="AL119" s="4794"/>
      <c r="AM119" s="4794"/>
      <c r="AN119" s="4794"/>
      <c r="AO119" s="4794"/>
      <c r="AP119" s="4794"/>
      <c r="AQ119" s="4794"/>
      <c r="AR119" s="4794"/>
      <c r="AS119" s="4794"/>
      <c r="AT119" s="4794"/>
      <c r="AU119" s="4794"/>
      <c r="AV119" s="4794"/>
      <c r="AW119" s="4794"/>
      <c r="AX119" s="4794"/>
      <c r="AY119" s="4794"/>
      <c r="AZ119" s="4794"/>
      <c r="BA119" s="4794"/>
      <c r="BB119" s="4794"/>
      <c r="BC119" s="4794"/>
      <c r="BD119" s="4794"/>
      <c r="BE119" s="4794"/>
      <c r="BF119" s="4794"/>
      <c r="BG119" s="4794"/>
      <c r="BH119" s="4794"/>
      <c r="BI119" s="4794"/>
      <c r="BJ119" s="4794"/>
      <c r="BK119" s="4794" t="s">
        <v>3339</v>
      </c>
      <c r="BL119" s="4794"/>
      <c r="BM119" s="4795"/>
      <c r="BN119" s="969" t="s">
        <v>4534</v>
      </c>
      <c r="BO119" s="969" t="s">
        <v>4535</v>
      </c>
      <c r="BP119" s="969" t="s">
        <v>4536</v>
      </c>
      <c r="BQ119" s="969" t="s">
        <v>4537</v>
      </c>
      <c r="BR119" s="969" t="s">
        <v>4538</v>
      </c>
      <c r="BS119" s="970" t="s">
        <v>4539</v>
      </c>
      <c r="BT119" s="4770" t="s">
        <v>4540</v>
      </c>
      <c r="BU119" s="4771"/>
      <c r="BV119" s="971"/>
      <c r="BW119" s="951"/>
      <c r="BX119" s="951"/>
      <c r="BY119" s="1286"/>
      <c r="BZ119" s="1304"/>
      <c r="CA119" s="939"/>
      <c r="DR119" s="939"/>
      <c r="DT119" s="1325"/>
      <c r="DU119" s="1377"/>
      <c r="DV119" s="1377"/>
      <c r="DW119" s="1377"/>
      <c r="DX119" s="1377"/>
      <c r="DY119" s="1324"/>
      <c r="DZ119" s="939"/>
      <c r="EB119" s="2158">
        <f>D119</f>
        <v>1</v>
      </c>
    </row>
    <row r="120" spans="1:132" ht="11.25" customHeight="1" x14ac:dyDescent="0.2">
      <c r="A120" s="972"/>
      <c r="B120" s="1403"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822"/>
      <c r="D120" s="1452">
        <v>1</v>
      </c>
      <c r="E120" s="1246"/>
      <c r="F120" s="973"/>
      <c r="G120" s="974"/>
      <c r="H120" s="974"/>
      <c r="I120" s="974"/>
      <c r="J120" s="975"/>
      <c r="K120" s="974"/>
      <c r="L120" s="974"/>
      <c r="M120" s="975"/>
      <c r="N120" s="974"/>
      <c r="O120" s="974"/>
      <c r="P120" s="975"/>
      <c r="Q120" s="974"/>
      <c r="R120" s="975"/>
      <c r="S120" s="974"/>
      <c r="T120" s="974"/>
      <c r="U120" s="974"/>
      <c r="V120" s="974"/>
      <c r="W120" s="974"/>
      <c r="X120" s="974"/>
      <c r="Y120" s="974"/>
      <c r="Z120" s="974"/>
      <c r="AA120" s="974"/>
      <c r="AB120" s="974"/>
      <c r="AC120" s="974"/>
      <c r="AD120" s="974"/>
      <c r="AE120" s="974"/>
      <c r="AF120" s="974"/>
      <c r="AG120" s="974"/>
      <c r="AH120" s="974"/>
      <c r="AI120" s="974"/>
      <c r="AJ120" s="974"/>
      <c r="AK120" s="974"/>
      <c r="AL120" s="974"/>
      <c r="AM120" s="974"/>
      <c r="AN120" s="974"/>
      <c r="AO120" s="974"/>
      <c r="AP120" s="974"/>
      <c r="AQ120" s="974"/>
      <c r="AR120" s="974"/>
      <c r="AS120" s="974"/>
      <c r="AT120" s="974"/>
      <c r="AU120" s="974"/>
      <c r="AV120" s="974"/>
      <c r="AW120" s="974"/>
      <c r="AX120" s="974"/>
      <c r="AY120" s="974"/>
      <c r="AZ120" s="974"/>
      <c r="BA120" s="974"/>
      <c r="BB120" s="974"/>
      <c r="BC120" s="974"/>
      <c r="BD120" s="974"/>
      <c r="BE120" s="974"/>
      <c r="BF120" s="974"/>
      <c r="BG120" s="974"/>
      <c r="BH120" s="974"/>
      <c r="BI120" s="974"/>
      <c r="BJ120" s="974"/>
      <c r="BK120" s="974"/>
      <c r="BL120" s="974"/>
      <c r="BM120" s="976"/>
      <c r="BN120" s="977">
        <f>SUM(K120:K123)</f>
        <v>0</v>
      </c>
      <c r="BO120" s="971" t="str">
        <f>IF(E120=0,"",(AF120+AP120+AZ120+BJ120))</f>
        <v/>
      </c>
      <c r="BP120" s="978" t="str">
        <f>IF(I120="Si",VLOOKUP($D$8,'Tablas Técnicas'!$E$4:$F$6,2,FALSE),"")</f>
        <v/>
      </c>
      <c r="BQ120" s="979" t="str">
        <f>IF(L120="Si",VLOOKUP($D$8,'Tablas Técnicas'!$I$4:$J$6,2,FALSE),"")</f>
        <v/>
      </c>
      <c r="BR120" s="977" t="str">
        <f>IF(O120="Si",VLOOKUP($D$8,'Tablas Técnicas'!$I$7:$J$9,2,FALSE),"")</f>
        <v/>
      </c>
      <c r="BS120" s="980">
        <f>VLOOKUP(D119,'Tablas Técnicas'!$P$6:$R$8,3)</f>
        <v>50</v>
      </c>
      <c r="BT120" s="981">
        <f>VLOOKUP(D119,'Tablas Técnicas'!$P$6:$R$8,3,FALSE)</f>
        <v>50</v>
      </c>
      <c r="BU120" s="982">
        <f>VLOOKUP(D119,'Tablas Técnicas'!$P$6:$R$8,2,FALSE)</f>
        <v>20</v>
      </c>
      <c r="BV120" s="971">
        <f>IF(D119=0,"",VLOOKUP(D119,'Tablas Técnicas'!$L$4:$N$7,2,FALSE))</f>
        <v>3</v>
      </c>
      <c r="BW120" s="951"/>
      <c r="BX120" s="951"/>
      <c r="BY120" s="1286"/>
      <c r="BZ120" s="1304"/>
      <c r="CA120" s="939"/>
      <c r="DR120" s="939"/>
      <c r="DT120" s="1325"/>
      <c r="DU120" s="1424" t="s">
        <v>1801</v>
      </c>
      <c r="DV120" s="1425" t="s">
        <v>3315</v>
      </c>
      <c r="DW120" s="1425" t="s">
        <v>3301</v>
      </c>
      <c r="DX120" s="1426" t="s">
        <v>7701</v>
      </c>
      <c r="DY120" s="1324"/>
      <c r="DZ120" s="939"/>
      <c r="EA120" s="1470">
        <f>EB119</f>
        <v>1</v>
      </c>
    </row>
    <row r="121" spans="1:132" ht="11.25" customHeight="1" x14ac:dyDescent="0.2">
      <c r="A121" s="939"/>
      <c r="B121" s="939"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822"/>
      <c r="D121" s="1453" t="s">
        <v>1766</v>
      </c>
      <c r="E121" s="983"/>
      <c r="F121" s="984" t="str">
        <f>IF(E121=0,"",VLOOKUP(E121,'Tablas Técnicas'!$A$14:$V$771,2,FALSE))</f>
        <v/>
      </c>
      <c r="G121" s="985"/>
      <c r="H121" s="986" t="str">
        <f>IF($E121=0,"",VLOOKUP($E121,'Tablas Técnicas'!$A$14:$V$771,4,FALSE))</f>
        <v/>
      </c>
      <c r="I121" s="987" t="s">
        <v>1690</v>
      </c>
      <c r="J121" s="1412" t="str">
        <f>IF(E121=0,"",VLOOKUP(E121,'Tablas Técnicas'!$A$14:$V$771,5,FALSE))</f>
        <v/>
      </c>
      <c r="K121" s="989" t="str">
        <f>IF(I121="Si",IF(E121=0,"",VLOOKUP(E121,'Tablas Técnicas'!$A$14:$V$771,5,FALSE)),"")</f>
        <v/>
      </c>
      <c r="L121" s="987" t="s">
        <v>1690</v>
      </c>
      <c r="M121" s="1412" t="str">
        <f>IF(E121=0,"",VLOOKUP(E121,'Tablas Técnicas'!$A$14:$V$771,6,FALSE))</f>
        <v/>
      </c>
      <c r="N121" s="990" t="str">
        <f>IF(L121="Si",IF(E121=0,"",VLOOKUP(E121,'Tablas Técnicas'!$A$14:$V$771,6,FALSE)),"")</f>
        <v/>
      </c>
      <c r="O121" s="987" t="s">
        <v>1690</v>
      </c>
      <c r="P121" s="1412" t="str">
        <f>IF(E121=0,"",VLOOKUP(E121,'Tablas Técnicas'!$A$14:$V$771,7,FALSE))</f>
        <v/>
      </c>
      <c r="Q121" s="990" t="str">
        <f>IF(O121="Si",IF(E121=0,"",VLOOKUP(E121,'Tablas Técnicas'!$A$14:$V$771,7,FALSE)),"")</f>
        <v/>
      </c>
      <c r="R121" s="988" t="str">
        <f>IF(E121=0,"",VLOOKUP(E121,'Tablas Técnicas'!$A$14:$V$771,8,FALSE))</f>
        <v/>
      </c>
      <c r="S121" s="986" t="str">
        <f>IF(R121=$D$8,$D$8,IF(R121=2,2,IF(R121=3,3,R121)))</f>
        <v/>
      </c>
      <c r="T121" s="989" t="str">
        <f>IF(E121=0,"",VLOOKUP(E121,'Tablas Técnicas'!$A$14:$V$771,9,FALSE))</f>
        <v/>
      </c>
      <c r="U121" s="989" t="str">
        <f>IF(E121=0,"",VLOOKUP(E121,'Tablas Técnicas'!$A$14:$V$771,10,FALSE))</f>
        <v/>
      </c>
      <c r="V121" s="984" t="str">
        <f>IF(E121=0,"",VLOOKUP(E121,'Tablas Técnicas'!$A$14:$V$771,11,FALSE))</f>
        <v/>
      </c>
      <c r="W121" s="987"/>
      <c r="X121" s="988" t="e">
        <f>VLOOKUP(E121,'Tablas Técnicas'!$A$14:$V$771,12,FALSE)</f>
        <v>#N/A</v>
      </c>
      <c r="Y121" s="988" t="e">
        <f>IF(W121=X121,VLOOKUP(E121,'Tablas Técnicas'!$A$14:$V$771,13,FALSE),0)</f>
        <v>#N/A</v>
      </c>
      <c r="Z121" s="988" t="e">
        <f>VLOOKUP(E121,'Tablas Técnicas'!$A$14:$V$771,14,FALSE)</f>
        <v>#N/A</v>
      </c>
      <c r="AA121" s="988" t="e">
        <f>IF(W121=Z121,VLOOKUP(E121,'Tablas Técnicas'!$A$14:$V$616,15,FALSE),0)</f>
        <v>#N/A</v>
      </c>
      <c r="AB121" s="988" t="e">
        <f>VLOOKUP(E121,'Tablas Técnicas'!$A$14:$V$771,16,FALSE)</f>
        <v>#N/A</v>
      </c>
      <c r="AC121" s="988" t="e">
        <f>IF(W121=AB121,VLOOKUP(E121,'Tablas Técnicas'!$A$14:$V$616,17,FALSE),0)</f>
        <v>#N/A</v>
      </c>
      <c r="AD121" s="988" t="e">
        <f>VLOOKUP(E121,'Tablas Técnicas'!$A$14:$V$771,18,FALSE)</f>
        <v>#N/A</v>
      </c>
      <c r="AE121" s="988" t="e">
        <f>IF(W121=AD121,VLOOKUP(E121,'Tablas Técnicas'!$A$14:$V$771,19,FALSE),0)</f>
        <v>#N/A</v>
      </c>
      <c r="AF121" s="990" t="str">
        <f>IF(E121=0,"",(Y121+AA121+AC121+AE121))</f>
        <v/>
      </c>
      <c r="AG121" s="987"/>
      <c r="AH121" s="988" t="e">
        <f>VLOOKUP(E121,'Tablas Técnicas'!$A$14:$V$771,12,FALSE)</f>
        <v>#N/A</v>
      </c>
      <c r="AI121" s="988" t="e">
        <f>IF(AG121=AH121,VLOOKUP(E121,'Tablas Técnicas'!$A$14:$V$771,13,FALSE),0)</f>
        <v>#N/A</v>
      </c>
      <c r="AJ121" s="988" t="e">
        <f>VLOOKUP(E121,'Tablas Técnicas'!$A$14:$V$771,14,FALSE)</f>
        <v>#N/A</v>
      </c>
      <c r="AK121" s="988" t="e">
        <f>IF(AG121=AJ121,VLOOKUP(E121,'Tablas Técnicas'!$A$14:$V$771,15,FALSE),0)</f>
        <v>#N/A</v>
      </c>
      <c r="AL121" s="988" t="e">
        <f>VLOOKUP(E121,'Tablas Técnicas'!$A$14:$V$771,16,FALSE)</f>
        <v>#N/A</v>
      </c>
      <c r="AM121" s="988" t="e">
        <f>IF(AG121=AL121,VLOOKUP(E121,'Tablas Técnicas'!$A$14:$V$771,17,FALSE),0)</f>
        <v>#N/A</v>
      </c>
      <c r="AN121" s="988" t="e">
        <f>VLOOKUP(E121,'Tablas Técnicas'!$A$14:$V$771,18,FALSE)</f>
        <v>#N/A</v>
      </c>
      <c r="AO121" s="988" t="e">
        <f>IF(AG121=AN121,VLOOKUP(E121,'Tablas Técnicas'!$A$14:$V$771,19,FALSE),0)</f>
        <v>#N/A</v>
      </c>
      <c r="AP121" s="990" t="str">
        <f>IF(E121=0,"",(AI121+AK121+AM121+AO121))</f>
        <v/>
      </c>
      <c r="AQ121" s="987"/>
      <c r="AR121" s="988" t="e">
        <f>VLOOKUP(E121,'Tablas Técnicas'!$A$14:$V$771,12,FALSE)</f>
        <v>#N/A</v>
      </c>
      <c r="AS121" s="988" t="e">
        <f>IF(AQ121=AR121,VLOOKUP(E121,'Tablas Técnicas'!$A$14:$V$771,13,FALSE),0)</f>
        <v>#N/A</v>
      </c>
      <c r="AT121" s="988" t="e">
        <f>VLOOKUP(E121,'Tablas Técnicas'!$A$14:$V$771,14,FALSE)</f>
        <v>#N/A</v>
      </c>
      <c r="AU121" s="988" t="e">
        <f>IF(AQ121=AT121,VLOOKUP(E121,'Tablas Técnicas'!$A$14:$V$771,15,FALSE),0)</f>
        <v>#N/A</v>
      </c>
      <c r="AV121" s="988" t="e">
        <f>VLOOKUP(E121,'Tablas Técnicas'!$A$14:$V$771,16,FALSE)</f>
        <v>#N/A</v>
      </c>
      <c r="AW121" s="988" t="e">
        <f>IF(AQ121=AV121,VLOOKUP(E121,'Tablas Técnicas'!$A$14:$V$771,17,FALSE),0)</f>
        <v>#N/A</v>
      </c>
      <c r="AX121" s="988" t="e">
        <f>VLOOKUP(E121,'Tablas Técnicas'!$A$14:$V$771,18,FALSE)</f>
        <v>#N/A</v>
      </c>
      <c r="AY121" s="988" t="e">
        <f>IF(AQ121=AX121,VLOOKUP(E121,'Tablas Técnicas'!$A$14:$V$771,19,FALSE),0)</f>
        <v>#N/A</v>
      </c>
      <c r="AZ121" s="989" t="str">
        <f>IF(E121=0,"",(AS121+AU121+AW121+AY121))</f>
        <v/>
      </c>
      <c r="BA121" s="987"/>
      <c r="BB121" s="988" t="e">
        <f>VLOOKUP(E121,'Tablas Técnicas'!$A$14:$V$771,12,FALSE)</f>
        <v>#N/A</v>
      </c>
      <c r="BC121" s="988" t="e">
        <f>IF(BA121=BB121,VLOOKUP(E121,'Tablas Técnicas'!$A$14:$V$771,13,FALSE),0)</f>
        <v>#N/A</v>
      </c>
      <c r="BD121" s="988" t="e">
        <f>VLOOKUP(E121,'Tablas Técnicas'!$A$14:$V$771,14,FALSE)</f>
        <v>#N/A</v>
      </c>
      <c r="BE121" s="988" t="e">
        <f>IF(BA121=BD121,VLOOKUP(E121,'Tablas Técnicas'!$A$14:$V$771,15,FALSE),0)</f>
        <v>#N/A</v>
      </c>
      <c r="BF121" s="988" t="e">
        <f>VLOOKUP(E121,'Tablas Técnicas'!$A$14:$V$771,16,FALSE)</f>
        <v>#N/A</v>
      </c>
      <c r="BG121" s="988" t="e">
        <f>IF(BA121=BF121,VLOOKUP(E121,'Tablas Técnicas'!$A$14:$V$771,17,FALSE),0)</f>
        <v>#N/A</v>
      </c>
      <c r="BH121" s="988" t="e">
        <f>VLOOKUP(E121,'Tablas Técnicas'!$A$14:$V$771,18,FALSE)</f>
        <v>#N/A</v>
      </c>
      <c r="BI121" s="988" t="e">
        <f>IF(BA121=BH121,VLOOKUP(E121,'Tablas Técnicas'!$A$14:$V$771,19,FALSE),0)</f>
        <v>#N/A</v>
      </c>
      <c r="BJ121" s="990" t="str">
        <f>IF(E121=0,"",(BC121+BE121+BG121+BI121))</f>
        <v/>
      </c>
      <c r="BK121" s="989" t="str">
        <f>IF(E121=0,"",VLOOKUP(E121,'Tablas Técnicas'!$A$14:$V$771,20,FALSE))</f>
        <v/>
      </c>
      <c r="BL121" s="989" t="str">
        <f>IF(E121=0,"",VLOOKUP(E121,'Tablas Técnicas'!$A$14:$V$771,21,FALSE))</f>
        <v/>
      </c>
      <c r="BM121" s="991" t="str">
        <f>IF(E121=0,"",VLOOKUP(E121,'Tablas Técnicas'!$A$14:$V$771,22,FALSE))</f>
        <v/>
      </c>
      <c r="BN121" s="992"/>
      <c r="BO121" s="993"/>
      <c r="BP121" s="978" t="str">
        <f>IF(I121="Si",VLOOKUP($D$8,'Tablas Técnicas'!$E$4:$F$6,2,FALSE),"")</f>
        <v/>
      </c>
      <c r="BQ121" s="979" t="str">
        <f>IF(L121="Si",VLOOKUP($D$8,'Tablas Técnicas'!$I$4:$J$6,2,FALSE),"")</f>
        <v/>
      </c>
      <c r="BR121" s="977" t="str">
        <f>IF(O121="Si",VLOOKUP($D$8,'Tablas Técnicas'!$I$7:$J$9,2,FALSE),"")</f>
        <v/>
      </c>
      <c r="BS121" s="994"/>
      <c r="BT121" s="4770" t="s">
        <v>4541</v>
      </c>
      <c r="BU121" s="4771"/>
      <c r="BV121" s="971"/>
      <c r="BX121" s="951"/>
      <c r="BY121" s="1286"/>
      <c r="BZ121" s="1304"/>
      <c r="CA121" s="939"/>
      <c r="DR121" s="939"/>
      <c r="DT121" s="1325"/>
      <c r="DU121" s="1375" t="str">
        <f>IF(BW134="N/A","",BT133&amp;" "&amp;BW134&amp;IF(BY134="N/A"," "," ("&amp;BY134&amp;") "))</f>
        <v/>
      </c>
      <c r="DV121" s="1376" t="str">
        <f>IF(E121="","",E121)&amp;IF(I121="No",""," (Mant.)")&amp;IF(L121="No",""," (Sme)")&amp;IF(O121="No",""," (SMa)")</f>
        <v/>
      </c>
      <c r="DW121" s="1377" t="str">
        <f>IF(E151="","",E151)</f>
        <v/>
      </c>
      <c r="DX121" s="4778"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24"/>
      <c r="DZ121" s="939"/>
      <c r="EA121" s="1470">
        <f t="shared" si="1"/>
        <v>1</v>
      </c>
    </row>
    <row r="122" spans="1:132" ht="11.25" customHeight="1" x14ac:dyDescent="0.2">
      <c r="A122" s="939"/>
      <c r="B122" s="939"/>
      <c r="C122" s="4822"/>
      <c r="D122" s="1452" t="s">
        <v>1766</v>
      </c>
      <c r="E122" s="995"/>
      <c r="F122" s="996" t="str">
        <f>IF(E122=0,"",VLOOKUP(E122,'Tablas Técnicas'!$A$14:$V$771,2,FALSE))</f>
        <v/>
      </c>
      <c r="G122" s="997"/>
      <c r="H122" s="998" t="str">
        <f>IF($E122=0,"",VLOOKUP($E122,'Tablas Técnicas'!$A$14:$V$771,4,FALSE))</f>
        <v/>
      </c>
      <c r="I122" s="999" t="s">
        <v>1690</v>
      </c>
      <c r="J122" s="1415" t="str">
        <f>IF(E122=0,"",VLOOKUP(E122,'Tablas Técnicas'!$A$14:$V$771,5,FALSE))</f>
        <v/>
      </c>
      <c r="K122" s="1001" t="str">
        <f>IF(I122="Si",IF(E122=0,"",VLOOKUP(E122,'Tablas Técnicas'!$A$14:$V$771,5,FALSE)),"")</f>
        <v/>
      </c>
      <c r="L122" s="999" t="s">
        <v>1690</v>
      </c>
      <c r="M122" s="1415" t="str">
        <f>IF(E122=0,"",VLOOKUP(E122,'Tablas Técnicas'!$A$14:$V$771,6,FALSE))</f>
        <v/>
      </c>
      <c r="N122" s="1002" t="str">
        <f>IF(L122="Si",IF(E122=0,"",VLOOKUP(E122,'Tablas Técnicas'!$A$14:$V$771,6,FALSE)),"")</f>
        <v/>
      </c>
      <c r="O122" s="999" t="s">
        <v>1690</v>
      </c>
      <c r="P122" s="1415" t="str">
        <f>IF(E122=0,"",VLOOKUP(E122,'Tablas Técnicas'!$A$14:$V$771,7,FALSE))</f>
        <v/>
      </c>
      <c r="Q122" s="1002" t="str">
        <f>IF(O122="Si",IF(E122=0,"",VLOOKUP(E122,'Tablas Técnicas'!$A$14:$V$771,7,FALSE)),"")</f>
        <v/>
      </c>
      <c r="R122" s="1000" t="str">
        <f>IF(E122=0,"",VLOOKUP(E122,'Tablas Técnicas'!$A$14:$V$771,8,FALSE))</f>
        <v/>
      </c>
      <c r="S122" s="998" t="str">
        <f>IF(R122=$D$8,$D$8,IF(R122=2,2,IF(R122=3,3,R122)))</f>
        <v/>
      </c>
      <c r="T122" s="4796" t="s">
        <v>4542</v>
      </c>
      <c r="U122" s="4797"/>
      <c r="V122" s="4797"/>
      <c r="W122" s="4797"/>
      <c r="X122" s="4797"/>
      <c r="Y122" s="4797"/>
      <c r="Z122" s="4797"/>
      <c r="AA122" s="4797"/>
      <c r="AB122" s="4797"/>
      <c r="AC122" s="4797"/>
      <c r="AD122" s="4797"/>
      <c r="AE122" s="4797"/>
      <c r="AF122" s="4797"/>
      <c r="AG122" s="4797"/>
      <c r="AH122" s="4797"/>
      <c r="AI122" s="4797"/>
      <c r="AJ122" s="4797"/>
      <c r="AK122" s="4797"/>
      <c r="AL122" s="4797"/>
      <c r="AM122" s="4797"/>
      <c r="AN122" s="4797"/>
      <c r="AO122" s="4797"/>
      <c r="AP122" s="4797"/>
      <c r="AQ122" s="4797"/>
      <c r="AR122" s="4797"/>
      <c r="AS122" s="4797"/>
      <c r="AT122" s="4797"/>
      <c r="AU122" s="4797"/>
      <c r="AV122" s="4797"/>
      <c r="AW122" s="4797"/>
      <c r="AX122" s="4797"/>
      <c r="AY122" s="4797"/>
      <c r="AZ122" s="4797"/>
      <c r="BA122" s="4797"/>
      <c r="BB122" s="4797"/>
      <c r="BC122" s="4797"/>
      <c r="BD122" s="4797"/>
      <c r="BE122" s="4797"/>
      <c r="BF122" s="4797"/>
      <c r="BG122" s="4797"/>
      <c r="BH122" s="4797"/>
      <c r="BI122" s="4797"/>
      <c r="BJ122" s="4797"/>
      <c r="BK122" s="4798"/>
      <c r="BL122" s="1437"/>
      <c r="BM122" s="1438"/>
      <c r="BN122" s="992"/>
      <c r="BO122" s="993"/>
      <c r="BP122" s="978" t="str">
        <f>IF(I122="Si",VLOOKUP($D$8,'Tablas Técnicas'!$E$4:$F$6,2,FALSE),"")</f>
        <v/>
      </c>
      <c r="BQ122" s="979" t="str">
        <f>IF(L122="Si",VLOOKUP($D$8,'Tablas Técnicas'!$I$4:$J$6,2,FALSE),"")</f>
        <v/>
      </c>
      <c r="BR122" s="977" t="str">
        <f>IF(O122="Si",VLOOKUP($D$8,'Tablas Técnicas'!$I$7:$J$9,2,FALSE),"")</f>
        <v/>
      </c>
      <c r="BS122" s="994"/>
      <c r="BT122" s="4772">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773"/>
      <c r="BV122" s="971"/>
      <c r="BX122" s="951"/>
      <c r="BY122" s="1286"/>
      <c r="BZ122" s="1304"/>
      <c r="CA122" s="939"/>
      <c r="DR122" s="939"/>
      <c r="DT122" s="1325"/>
      <c r="DU122" s="1375" t="str">
        <f>IF(BW136="N/A","",BT135&amp;" "&amp;BW136&amp;IF(BY136="N/A"," "," ("&amp;BY136&amp;") "))</f>
        <v/>
      </c>
      <c r="DV122" s="1376" t="str">
        <f>IF(E122="",""," "&amp;E122)&amp;IF(I122="No",""," (Mant.)")&amp;IF(L122="No",""," (Sme)")&amp;IF(O122="No",""," (SMa)")</f>
        <v/>
      </c>
      <c r="DW122" s="1377" t="str">
        <f>IF(E152="","",", "&amp;E152)</f>
        <v/>
      </c>
      <c r="DX122" s="4778"/>
      <c r="DY122" s="1324"/>
      <c r="DZ122" s="939"/>
      <c r="EA122" s="1470">
        <f t="shared" si="1"/>
        <v>1</v>
      </c>
    </row>
    <row r="123" spans="1:132" x14ac:dyDescent="0.2">
      <c r="A123" s="939"/>
      <c r="B123" s="939"/>
      <c r="C123" s="4822"/>
      <c r="D123" s="1453" t="s">
        <v>1766</v>
      </c>
      <c r="E123" s="1003"/>
      <c r="F123" s="3033" t="str">
        <f>IF(E123=0,"",VLOOKUP(E123,'Tablas Técnicas'!$A$14:$V$771,2,FALSE))</f>
        <v/>
      </c>
      <c r="G123" s="985"/>
      <c r="H123" s="1004" t="str">
        <f>IF($E123=0,"",VLOOKUP($E123,'Tablas Técnicas'!$A$14:$V$771,4,FALSE))</f>
        <v/>
      </c>
      <c r="I123" s="987" t="s">
        <v>1690</v>
      </c>
      <c r="J123" s="1411" t="str">
        <f>IF(E123=0,"",VLOOKUP(E123,'Tablas Técnicas'!$A$14:$V$771,5,FALSE))</f>
        <v/>
      </c>
      <c r="K123" s="1006" t="str">
        <f>IF(I123="Si",IF(E123=0,"",VLOOKUP(E123,'Tablas Técnicas'!$A$14:$V$771,5,FALSE)),"")</f>
        <v/>
      </c>
      <c r="L123" s="987" t="s">
        <v>1690</v>
      </c>
      <c r="M123" s="1411" t="str">
        <f>IF(E123=0,"",VLOOKUP(E123,'Tablas Técnicas'!$A$14:$V$771,6,FALSE))</f>
        <v/>
      </c>
      <c r="N123" s="990" t="str">
        <f>IF(L123="Si",IF(E123=0,"",VLOOKUP(E123,'Tablas Técnicas'!$A$14:$V$771,6,FALSE)),"")</f>
        <v/>
      </c>
      <c r="O123" s="987" t="s">
        <v>1690</v>
      </c>
      <c r="P123" s="1411" t="str">
        <f>IF(E123=0,"",VLOOKUP(E123,'Tablas Técnicas'!$A$14:$V$771,7,FALSE))</f>
        <v/>
      </c>
      <c r="Q123" s="990" t="str">
        <f>IF(O123="Si",IF(E123=0,"",VLOOKUP(E123,'Tablas Técnicas'!$A$14:$V$771,7,FALSE)),"")</f>
        <v/>
      </c>
      <c r="R123" s="1005" t="str">
        <f>IF(E123=0,"",VLOOKUP(E123,'Tablas Técnicas'!$A$14:$V$771,8,FALSE))</f>
        <v/>
      </c>
      <c r="S123" s="3033" t="str">
        <f>IF(R123=$D$8,$D$8,IF(R123=2,2,IF(R123=3,3,R123)))</f>
        <v/>
      </c>
      <c r="T123" s="4809"/>
      <c r="U123" s="4810"/>
      <c r="V123" s="3029" t="str">
        <f>IF(OR(V121=0,V121=""),"N/A",V121)</f>
        <v>N/A</v>
      </c>
      <c r="W123" s="4809" t="str">
        <f xml:space="preserve"> IF(OR(AF121=0,AF121=""),"N/A",W121)</f>
        <v>N/A</v>
      </c>
      <c r="X123" s="4811"/>
      <c r="Y123" s="4811"/>
      <c r="Z123" s="4811"/>
      <c r="AA123" s="4811"/>
      <c r="AB123" s="4811"/>
      <c r="AC123" s="4811"/>
      <c r="AD123" s="4811"/>
      <c r="AE123" s="4811"/>
      <c r="AF123" s="4810"/>
      <c r="AG123" s="4809" t="str">
        <f xml:space="preserve"> IF(OR(AP121="",AP121=0),"N/A",AG121)</f>
        <v>N/A</v>
      </c>
      <c r="AH123" s="4811"/>
      <c r="AI123" s="4811"/>
      <c r="AJ123" s="4811"/>
      <c r="AK123" s="4811"/>
      <c r="AL123" s="4811"/>
      <c r="AM123" s="4811"/>
      <c r="AN123" s="4811"/>
      <c r="AO123" s="4811"/>
      <c r="AP123" s="4810"/>
      <c r="AQ123" s="4809" t="str">
        <f xml:space="preserve"> IF(OR(AZ121="",AZ121=0),"N/A",AQ121)</f>
        <v>N/A</v>
      </c>
      <c r="AR123" s="4811"/>
      <c r="AS123" s="4811"/>
      <c r="AT123" s="4811"/>
      <c r="AU123" s="4811"/>
      <c r="AV123" s="4811"/>
      <c r="AW123" s="4811"/>
      <c r="AX123" s="4811"/>
      <c r="AY123" s="4811"/>
      <c r="AZ123" s="4810"/>
      <c r="BA123" s="4809" t="str">
        <f xml:space="preserve"> IF(OR(BJ121="",BJ121=0),"N/A",BA121)</f>
        <v>N/A</v>
      </c>
      <c r="BB123" s="4811"/>
      <c r="BC123" s="4811"/>
      <c r="BD123" s="4811"/>
      <c r="BE123" s="4811"/>
      <c r="BF123" s="4811"/>
      <c r="BG123" s="4811"/>
      <c r="BH123" s="4811"/>
      <c r="BI123" s="4811"/>
      <c r="BJ123" s="4810"/>
      <c r="BK123" s="1007" t="s">
        <v>4543</v>
      </c>
      <c r="BL123" s="989"/>
      <c r="BM123" s="1024"/>
      <c r="BN123" s="1008"/>
      <c r="BO123" s="1009"/>
      <c r="BP123" s="1010" t="str">
        <f>IF(I123="Si",VLOOKUP($D$8,'Tablas Técnicas'!$E$4:$F$6,2,FALSE),"")</f>
        <v/>
      </c>
      <c r="BQ123" s="980" t="str">
        <f>IF(L123="Si",VLOOKUP($D$8,'Tablas Técnicas'!$I$4:$J$6,2,FALSE),"")</f>
        <v/>
      </c>
      <c r="BR123" s="1011" t="str">
        <f>IF(O123="Si",VLOOKUP($D$8,'Tablas Técnicas'!$I$7:$J$9,2,FALSE),"")</f>
        <v/>
      </c>
      <c r="BS123" s="1012"/>
      <c r="BU123" s="3026"/>
      <c r="BV123" s="971"/>
      <c r="BW123" s="951"/>
      <c r="BX123" s="951"/>
      <c r="BY123" s="1286"/>
      <c r="BZ123" s="1304"/>
      <c r="CA123" s="939"/>
      <c r="DR123" s="939"/>
      <c r="DT123" s="1325"/>
      <c r="DU123" s="1375" t="str">
        <f>IF(BW138="N/A","",BT137&amp;" "&amp;BW138&amp;IF(BY138="N/A"," "," ("&amp;BY138&amp;") "))</f>
        <v/>
      </c>
      <c r="DV123" s="1376" t="str">
        <f>IF(E123="","",E123)&amp;IF(I123="No",""," (Mant.)")&amp;IF(L123="No",""," (Sme)")&amp;IF(O123="No",""," (SMa)")</f>
        <v/>
      </c>
      <c r="DW123" s="1377" t="str">
        <f>IF(E153="","",", "&amp;E153)</f>
        <v/>
      </c>
      <c r="DX123" s="4778"/>
      <c r="DY123" s="1324"/>
      <c r="DZ123" s="939"/>
      <c r="EA123" s="1470">
        <f t="shared" si="1"/>
        <v>1</v>
      </c>
    </row>
    <row r="124" spans="1:132" x14ac:dyDescent="0.2">
      <c r="A124" s="939"/>
      <c r="B124" s="939"/>
      <c r="C124" s="4822"/>
      <c r="D124" s="1452" t="s">
        <v>1766</v>
      </c>
      <c r="E124" s="995"/>
      <c r="F124" s="996" t="str">
        <f>IF(E124=0,"",VLOOKUP(E124,'Tablas Técnicas'!$A$14:$V$771,2,FALSE))</f>
        <v/>
      </c>
      <c r="G124" s="997"/>
      <c r="H124" s="998" t="str">
        <f>IF($E124=0,"",VLOOKUP($E124,'Tablas Técnicas'!$A$14:$V$771,4,FALSE))</f>
        <v/>
      </c>
      <c r="I124" s="999" t="s">
        <v>1690</v>
      </c>
      <c r="J124" s="1415" t="str">
        <f>IF(E124=0,"",VLOOKUP(E124,'Tablas Técnicas'!$A$14:$V$771,5,FALSE))</f>
        <v/>
      </c>
      <c r="K124" s="1001" t="str">
        <f>IF(I124="Si",IF(E124=0,"",VLOOKUP(E124,'Tablas Técnicas'!$A$14:$V$771,5,FALSE)),"")</f>
        <v/>
      </c>
      <c r="L124" s="999" t="s">
        <v>1690</v>
      </c>
      <c r="M124" s="1415" t="str">
        <f>IF(E124=0,"",VLOOKUP(E124,'Tablas Técnicas'!$A$14:$V$771,6,FALSE))</f>
        <v/>
      </c>
      <c r="N124" s="1002" t="str">
        <f>IF(L124="Si",IF(E124=0,"",VLOOKUP(E124,'Tablas Técnicas'!$A$14:$V$771,6,FALSE)),"")</f>
        <v/>
      </c>
      <c r="O124" s="999" t="s">
        <v>1690</v>
      </c>
      <c r="P124" s="1415" t="str">
        <f>IF(E124=0,"",VLOOKUP(E124,'Tablas Técnicas'!$A$14:$V$771,7,FALSE))</f>
        <v/>
      </c>
      <c r="Q124" s="1002" t="str">
        <f>IF(O124="Si",IF(E124=0,"",VLOOKUP(E124,'Tablas Técnicas'!$A$14:$V$771,7,FALSE)),"")</f>
        <v/>
      </c>
      <c r="R124" s="1000" t="str">
        <f>IF(E124=0,"",VLOOKUP(E124,'Tablas Técnicas'!$A$14:$V$771,8,FALSE))</f>
        <v/>
      </c>
      <c r="S124" s="998" t="str">
        <f>IF(R124=$D$8,$D$8,IF(R124=2,2,IF(R124=3,3,R124)))</f>
        <v/>
      </c>
      <c r="T124" s="4812" t="s">
        <v>4544</v>
      </c>
      <c r="U124" s="4813"/>
      <c r="V124" s="3025"/>
      <c r="W124" s="4814"/>
      <c r="X124" s="4815"/>
      <c r="Y124" s="4815"/>
      <c r="Z124" s="4815"/>
      <c r="AA124" s="4815"/>
      <c r="AB124" s="4815"/>
      <c r="AC124" s="4815"/>
      <c r="AD124" s="4815"/>
      <c r="AE124" s="4815"/>
      <c r="AF124" s="4816"/>
      <c r="AG124" s="4814"/>
      <c r="AH124" s="4815"/>
      <c r="AI124" s="4815"/>
      <c r="AJ124" s="4815"/>
      <c r="AK124" s="4815"/>
      <c r="AL124" s="4815"/>
      <c r="AM124" s="4815"/>
      <c r="AN124" s="4815"/>
      <c r="AO124" s="4815"/>
      <c r="AP124" s="4816"/>
      <c r="AQ124" s="4814"/>
      <c r="AR124" s="4815"/>
      <c r="AS124" s="4815"/>
      <c r="AT124" s="4815"/>
      <c r="AU124" s="4815"/>
      <c r="AV124" s="4815"/>
      <c r="AW124" s="4815"/>
      <c r="AX124" s="4815"/>
      <c r="AY124" s="4815"/>
      <c r="AZ124" s="4816"/>
      <c r="BA124" s="4814"/>
      <c r="BB124" s="4815"/>
      <c r="BC124" s="4815"/>
      <c r="BD124" s="4815"/>
      <c r="BE124" s="4815"/>
      <c r="BF124" s="4815"/>
      <c r="BG124" s="4815"/>
      <c r="BH124" s="4815"/>
      <c r="BI124" s="4815"/>
      <c r="BJ124" s="4816"/>
      <c r="BK124" s="998">
        <f>(SUM(F121:F125)+IF(AF121="",0,AF121)+IF(AP121="",0,AP121)+IF(AZ121="",0,AZ121)+IF(BJ121="",0,BJ121)+SUM(K121:K125)+SUM(N121:N125)+SUM(Q121:Q125))- SUM(V124:BA124)</f>
        <v>0</v>
      </c>
      <c r="BL124" s="1437"/>
      <c r="BM124" s="1438"/>
      <c r="BN124" s="992"/>
      <c r="BO124" s="993"/>
      <c r="BP124" s="978" t="str">
        <f>IF(I124="Si",VLOOKUP($D$8,'Tablas Técnicas'!$E$4:$F$6,2,FALSE),"")</f>
        <v/>
      </c>
      <c r="BQ124" s="979" t="str">
        <f>IF(L124="Si",VLOOKUP($D$8,'Tablas Técnicas'!$I$4:$J$6,2,FALSE),"")</f>
        <v/>
      </c>
      <c r="BR124" s="977" t="str">
        <f>IF(O124="Si",VLOOKUP($D$8,'Tablas Técnicas'!$I$7:$J$9,2,FALSE),"")</f>
        <v/>
      </c>
      <c r="BS124" s="994"/>
      <c r="BT124" s="4770" t="s">
        <v>4545</v>
      </c>
      <c r="BU124" s="4771"/>
      <c r="BV124" s="971"/>
      <c r="BW124" s="951"/>
      <c r="BX124" s="951"/>
      <c r="BY124" s="1286"/>
      <c r="BZ124" s="1304"/>
      <c r="CA124" s="939"/>
      <c r="DR124" s="939"/>
      <c r="DT124" s="1325"/>
      <c r="DU124" s="1375" t="str">
        <f>IF(BW140="N/A","",BT139&amp;" "&amp;BW140&amp;IF(BY140="N/A"," "," ("&amp;BY140&amp;") "))</f>
        <v/>
      </c>
      <c r="DV124" s="1376" t="str">
        <f>IF(E124="","",E124)&amp;IF(I124="No",""," (Mant.)")&amp;IF(L124="No",""," (Sme)")&amp;IF(O124="No",""," (SMa)")</f>
        <v/>
      </c>
      <c r="DW124" s="1377"/>
      <c r="DX124" s="4778"/>
      <c r="DY124" s="1324"/>
      <c r="DZ124" s="939"/>
      <c r="EA124" s="1470">
        <f t="shared" si="1"/>
        <v>1</v>
      </c>
    </row>
    <row r="125" spans="1:132" s="1013" customFormat="1" x14ac:dyDescent="0.2">
      <c r="A125" s="939"/>
      <c r="B125" s="939"/>
      <c r="C125" s="4822"/>
      <c r="D125" s="1453" t="s">
        <v>1766</v>
      </c>
      <c r="E125" s="1003"/>
      <c r="F125" s="3033" t="str">
        <f>IF(E125=0,"",VLOOKUP(E125,'Tablas Técnicas'!$A$14:$V$771,2,FALSE))</f>
        <v/>
      </c>
      <c r="G125" s="985"/>
      <c r="H125" s="1004" t="str">
        <f>IF($E125=0,"",VLOOKUP($E125,'Tablas Técnicas'!$A$14:$V$771,4,FALSE))</f>
        <v/>
      </c>
      <c r="I125" s="987" t="s">
        <v>1690</v>
      </c>
      <c r="J125" s="1411" t="str">
        <f>IF(E125=0,"",VLOOKUP(E125,'Tablas Técnicas'!$A$14:$V$771,5,FALSE))</f>
        <v/>
      </c>
      <c r="K125" s="1006" t="str">
        <f>IF(I125="Si",IF(E125=0,"",VLOOKUP(E125,'Tablas Técnicas'!$A$14:$V$771,5,FALSE)),"")</f>
        <v/>
      </c>
      <c r="L125" s="987" t="s">
        <v>1690</v>
      </c>
      <c r="M125" s="1411" t="str">
        <f>IF(E125=0,"",VLOOKUP(E125,'Tablas Técnicas'!$A$14:$V$771,6,FALSE))</f>
        <v/>
      </c>
      <c r="N125" s="990" t="str">
        <f>IF(L125="Si",IF(E125=0,"",VLOOKUP(E125,'Tablas Técnicas'!$A$14:$V$771,6,FALSE)),"")</f>
        <v/>
      </c>
      <c r="O125" s="987" t="s">
        <v>1690</v>
      </c>
      <c r="P125" s="1411" t="str">
        <f>IF(E125=0,"",VLOOKUP(E125,'Tablas Técnicas'!$A$14:$V$771,7,FALSE))</f>
        <v/>
      </c>
      <c r="Q125" s="990" t="str">
        <f>IF(O125="Si",IF(E125=0,"",VLOOKUP(E125,'Tablas Técnicas'!$A$14:$V$771,7,FALSE)),"")</f>
        <v/>
      </c>
      <c r="R125" s="1005" t="str">
        <f>IF(E125=0,"",VLOOKUP(E125,'Tablas Técnicas'!$A$14:$V$771,8,FALSE))</f>
        <v/>
      </c>
      <c r="S125" s="1004" t="str">
        <f>IF(R125=$D$8,$D$8,IF(R125=2,2,IF(R125=3,3,R125)))</f>
        <v/>
      </c>
      <c r="T125" s="4803" t="s">
        <v>4546</v>
      </c>
      <c r="U125" s="4804"/>
      <c r="V125" s="3032"/>
      <c r="W125" s="4805"/>
      <c r="X125" s="4806"/>
      <c r="Y125" s="4806"/>
      <c r="Z125" s="4806"/>
      <c r="AA125" s="4806"/>
      <c r="AB125" s="4806"/>
      <c r="AC125" s="4806"/>
      <c r="AD125" s="4806"/>
      <c r="AE125" s="4806"/>
      <c r="AF125" s="4807"/>
      <c r="AG125" s="4805"/>
      <c r="AH125" s="4806"/>
      <c r="AI125" s="4806"/>
      <c r="AJ125" s="4806"/>
      <c r="AK125" s="4806"/>
      <c r="AL125" s="4806"/>
      <c r="AM125" s="4806"/>
      <c r="AN125" s="4806"/>
      <c r="AO125" s="4806"/>
      <c r="AP125" s="4807"/>
      <c r="AQ125" s="4805"/>
      <c r="AR125" s="4806"/>
      <c r="AS125" s="4806"/>
      <c r="AT125" s="4806"/>
      <c r="AU125" s="4806"/>
      <c r="AV125" s="4806"/>
      <c r="AW125" s="4806"/>
      <c r="AX125" s="4806"/>
      <c r="AY125" s="4806"/>
      <c r="AZ125" s="4807"/>
      <c r="BA125" s="4805"/>
      <c r="BB125" s="4806"/>
      <c r="BC125" s="4806"/>
      <c r="BD125" s="4806"/>
      <c r="BE125" s="4806"/>
      <c r="BF125" s="4806"/>
      <c r="BG125" s="4806"/>
      <c r="BH125" s="4806"/>
      <c r="BI125" s="4806"/>
      <c r="BJ125" s="4807"/>
      <c r="BK125" s="1014">
        <f>SUM(K121:K125)-SUM(V125:BA125)</f>
        <v>0</v>
      </c>
      <c r="BL125" s="1439"/>
      <c r="BM125" s="1440"/>
      <c r="BN125" s="1008"/>
      <c r="BO125" s="1009"/>
      <c r="BP125" s="1010" t="str">
        <f>IF(I125="Si",VLOOKUP($D$8,'Tablas Técnicas'!$E$4:$F$6,2,FALSE),"")</f>
        <v/>
      </c>
      <c r="BQ125" s="980" t="str">
        <f>IF(L125="Si",VLOOKUP($D$8,'Tablas Técnicas'!$I$4:$J$6,2,FALSE),"")</f>
        <v/>
      </c>
      <c r="BR125" s="1011" t="str">
        <f>IF(O125="Si",VLOOKUP($D$8,'Tablas Técnicas'!$I$7:$J$9,2,FALSE),"")</f>
        <v/>
      </c>
      <c r="BS125" s="1012"/>
      <c r="BT125" s="4774" t="s">
        <v>1690</v>
      </c>
      <c r="BU125" s="4775"/>
      <c r="BV125" s="971"/>
      <c r="BW125" s="951"/>
      <c r="BX125" s="951"/>
      <c r="BY125" s="1286"/>
      <c r="BZ125" s="1304"/>
      <c r="CA125" s="939"/>
      <c r="CC125" s="2940"/>
      <c r="DR125" s="939"/>
      <c r="DS125" s="1320"/>
      <c r="DT125" s="1325"/>
      <c r="DU125" s="1375" t="str">
        <f>IF(BW142="N/A","",BT141&amp;" "&amp;BW142&amp;IF(BY142="N/A"," "," ("&amp;BY142&amp;") "))</f>
        <v/>
      </c>
      <c r="DV125" s="1376" t="str">
        <f>IF(E125="","",E125)&amp;IF(I125="No",""," (Mant.)")&amp;IF(L125="No",""," (Sme)")&amp;IF(O125="No",""," (SMa)")</f>
        <v/>
      </c>
      <c r="DW125" s="1377"/>
      <c r="DX125" s="4778"/>
      <c r="DY125" s="1324"/>
      <c r="DZ125" s="939"/>
      <c r="EA125" s="1470">
        <f t="shared" si="1"/>
        <v>1</v>
      </c>
    </row>
    <row r="126" spans="1:132" x14ac:dyDescent="0.2">
      <c r="A126" s="939"/>
      <c r="B126" s="1403"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822"/>
      <c r="D126" s="1454">
        <v>2</v>
      </c>
      <c r="E126" s="1246"/>
      <c r="F126" s="1016"/>
      <c r="G126" s="1017"/>
      <c r="H126" s="2159">
        <f t="array" ref="H126">IF(AND(OR(ISNUMBER(SEARCH("Empatía Elemental ("&amp;BK121:BM121&amp;")",Principal!$AF$30))),SUM(H121:H125)&gt;=10),-5,0)</f>
        <v>0</v>
      </c>
      <c r="I126" s="1413"/>
      <c r="J126" s="1416"/>
      <c r="K126" s="1017"/>
      <c r="L126" s="1413"/>
      <c r="M126" s="1416"/>
      <c r="N126" s="1017"/>
      <c r="O126" s="1413"/>
      <c r="P126" s="1416"/>
      <c r="Q126" s="1017"/>
      <c r="R126" s="1018"/>
      <c r="S126" s="1017"/>
      <c r="T126" s="1017"/>
      <c r="U126" s="974"/>
      <c r="V126" s="974"/>
      <c r="W126" s="974"/>
      <c r="X126" s="974"/>
      <c r="Y126" s="974"/>
      <c r="Z126" s="974"/>
      <c r="AA126" s="974"/>
      <c r="AB126" s="974"/>
      <c r="AC126" s="974"/>
      <c r="AD126" s="974"/>
      <c r="AE126" s="974"/>
      <c r="AF126" s="974"/>
      <c r="AG126" s="974"/>
      <c r="AH126" s="974"/>
      <c r="AI126" s="974"/>
      <c r="AJ126" s="974"/>
      <c r="AK126" s="974"/>
      <c r="AL126" s="974"/>
      <c r="AM126" s="974"/>
      <c r="AN126" s="974"/>
      <c r="AO126" s="974"/>
      <c r="AP126" s="974"/>
      <c r="AQ126" s="974"/>
      <c r="AR126" s="974"/>
      <c r="AS126" s="974"/>
      <c r="AT126" s="974"/>
      <c r="AU126" s="974"/>
      <c r="AV126" s="974"/>
      <c r="AW126" s="974"/>
      <c r="AX126" s="974"/>
      <c r="AY126" s="974"/>
      <c r="AZ126" s="974"/>
      <c r="BA126" s="974"/>
      <c r="BB126" s="974"/>
      <c r="BC126" s="974"/>
      <c r="BD126" s="974"/>
      <c r="BE126" s="974"/>
      <c r="BF126" s="974"/>
      <c r="BG126" s="974"/>
      <c r="BH126" s="974"/>
      <c r="BI126" s="974"/>
      <c r="BJ126" s="974"/>
      <c r="BK126" s="974"/>
      <c r="BL126" s="974"/>
      <c r="BM126" s="976"/>
      <c r="BN126" s="977">
        <f>SUM(K126:K129)</f>
        <v>0</v>
      </c>
      <c r="BO126" s="971" t="str">
        <f>IF(E126=0,"",(AF126+AP126+AZ126+BJ126))</f>
        <v/>
      </c>
      <c r="BP126" s="978" t="str">
        <f>IF(I126="Si",VLOOKUP($D$8,'Tablas Técnicas'!$E$4:$F$6,2,FALSE),"")</f>
        <v/>
      </c>
      <c r="BQ126" s="979" t="str">
        <f>IF(L126="Si",VLOOKUP($D$8,'Tablas Técnicas'!$I$4:$J$6,2,FALSE),"")</f>
        <v/>
      </c>
      <c r="BR126" s="977" t="str">
        <f>IF(O126="Si",VLOOKUP($D$8,'Tablas Técnicas'!$I$7:$J$9,2,FALSE),"")</f>
        <v/>
      </c>
      <c r="BS126" s="994"/>
      <c r="BT126" s="4770" t="s">
        <v>4547</v>
      </c>
      <c r="BU126" s="4771"/>
      <c r="BV126" s="971"/>
      <c r="BW126" s="951"/>
      <c r="BX126" s="951"/>
      <c r="BY126" s="1286"/>
      <c r="BZ126" s="1304"/>
      <c r="CA126" s="939"/>
      <c r="DR126" s="939"/>
      <c r="DT126" s="1325"/>
      <c r="DU126" s="1375" t="str">
        <f>IF(BW144="N/A","",BT143&amp;" "&amp;BW144&amp;IF(BY144="N/A"," "," ("&amp;BY144&amp;") "))</f>
        <v/>
      </c>
      <c r="DV126" s="1380"/>
      <c r="DW126" s="1377"/>
      <c r="DX126" s="1427" t="s">
        <v>1828</v>
      </c>
      <c r="DY126" s="1324"/>
      <c r="DZ126" s="939"/>
      <c r="EA126" s="1470">
        <f t="shared" si="1"/>
        <v>1</v>
      </c>
    </row>
    <row r="127" spans="1:132" ht="11.25" customHeight="1" x14ac:dyDescent="0.2">
      <c r="A127" s="939"/>
      <c r="B127" s="939"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822"/>
      <c r="D127" s="1453" t="s">
        <v>1766</v>
      </c>
      <c r="E127" s="983"/>
      <c r="F127" s="1019"/>
      <c r="G127" s="989" t="str">
        <f>IF(E127=0,"",VLOOKUP(E127,'Tablas Técnicas'!$A$14:$V$771,3,FALSE))</f>
        <v/>
      </c>
      <c r="H127" s="1021" t="str">
        <f>IF($E127=0,"",VLOOKUP($E127,'Tablas Técnicas'!$A$14:$V$771,4,FALSE))</f>
        <v/>
      </c>
      <c r="I127" s="987" t="s">
        <v>1690</v>
      </c>
      <c r="J127" s="1414" t="str">
        <f>IF(E127=0,"",VLOOKUP(E127,'Tablas Técnicas'!$A$14:$V$771,5,FALSE))</f>
        <v/>
      </c>
      <c r="K127" s="1020" t="str">
        <f>IF(I127="Si",IF(E127=0,"",VLOOKUP(E127,'Tablas Técnicas'!$A$14:$V$771,5,FALSE)),"")</f>
        <v/>
      </c>
      <c r="L127" s="987" t="s">
        <v>1690</v>
      </c>
      <c r="M127" s="1414" t="str">
        <f>IF(E127=0,"",VLOOKUP(E127,'Tablas Técnicas'!$A$14:$V$771,6,FALSE))</f>
        <v/>
      </c>
      <c r="N127" s="990" t="str">
        <f>IF(L127="Si",IF(E127=0,"",VLOOKUP(E127,'Tablas Técnicas'!$A$14:$V$771,6,FALSE)),"")</f>
        <v/>
      </c>
      <c r="O127" s="987" t="s">
        <v>1690</v>
      </c>
      <c r="P127" s="1414" t="str">
        <f>IF(E127=0,"",VLOOKUP(E127,'Tablas Técnicas'!$A$14:$V$771,7,FALSE))</f>
        <v/>
      </c>
      <c r="Q127" s="990" t="str">
        <f>IF(O127="Si",IF(E127=0,"",VLOOKUP(E127,'Tablas Técnicas'!$A$14:$V$771,7,FALSE)),"")</f>
        <v/>
      </c>
      <c r="R127" s="1022" t="str">
        <f>IF(E127=0,"",VLOOKUP(E127,'Tablas Técnicas'!$A$14:$V$771,8,FALSE))</f>
        <v/>
      </c>
      <c r="S127" s="1021" t="str">
        <f>IF(R127=$D$8,$D$8,IF(R127=2,2,IF(R127=3,3,R127)))</f>
        <v/>
      </c>
      <c r="T127" s="989" t="str">
        <f>IF(E127=0,"",VLOOKUP(E127,'Tablas Técnicas'!$A$14:$V$771,9,FALSE))</f>
        <v/>
      </c>
      <c r="U127" s="989" t="str">
        <f>IF(E127=0,"",VLOOKUP(E127,'Tablas Técnicas'!$A$14:$V$771,10,FALSE))</f>
        <v/>
      </c>
      <c r="V127" s="984" t="str">
        <f>IF(E127=0,"",VLOOKUP(E127,'Tablas Técnicas'!$A$14:$V$771,11,FALSE))</f>
        <v/>
      </c>
      <c r="W127" s="987"/>
      <c r="X127" s="988" t="e">
        <f>VLOOKUP(E127,'Tablas Técnicas'!$A$14:$V$771,12,FALSE)</f>
        <v>#N/A</v>
      </c>
      <c r="Y127" s="988" t="e">
        <f>IF(W127=X127,VLOOKUP(E127,'Tablas Técnicas'!$A$14:$V$771,13,FALSE),0)</f>
        <v>#N/A</v>
      </c>
      <c r="Z127" s="988" t="e">
        <f>VLOOKUP(E127,'Tablas Técnicas'!$A$14:$V$771,14,FALSE)</f>
        <v>#N/A</v>
      </c>
      <c r="AA127" s="988" t="e">
        <f>IF(W127=Z127,VLOOKUP(E127,'Tablas Técnicas'!$A$14:$V$616,15,FALSE),0)</f>
        <v>#N/A</v>
      </c>
      <c r="AB127" s="988" t="e">
        <f>VLOOKUP(E127,'Tablas Técnicas'!$A$14:$V$771,16,FALSE)</f>
        <v>#N/A</v>
      </c>
      <c r="AC127" s="988" t="e">
        <f>IF(W127=AB127,VLOOKUP(E127,'Tablas Técnicas'!$A$14:$V$616,17,FALSE),0)</f>
        <v>#N/A</v>
      </c>
      <c r="AD127" s="988" t="e">
        <f>VLOOKUP(E127,'Tablas Técnicas'!$A$14:$V$771,18,FALSE)</f>
        <v>#N/A</v>
      </c>
      <c r="AE127" s="988" t="e">
        <f>IF(W127=AD127,VLOOKUP(E127,'Tablas Técnicas'!$A$14:$V$771,19,FALSE),0)</f>
        <v>#N/A</v>
      </c>
      <c r="AF127" s="989" t="str">
        <f>IF(E127=0,"",(Y127+AA127+AC127+AE127))</f>
        <v/>
      </c>
      <c r="AG127" s="987"/>
      <c r="AH127" s="1022" t="e">
        <f>VLOOKUP(E127,'Tablas Técnicas'!$A$14:$V$771,12,FALSE)</f>
        <v>#N/A</v>
      </c>
      <c r="AI127" s="1022" t="e">
        <f>IF(AG127=AH127,VLOOKUP(E127,'Tablas Técnicas'!$A$14:$V$771,13,FALSE),0)</f>
        <v>#N/A</v>
      </c>
      <c r="AJ127" s="1022" t="e">
        <f>VLOOKUP(E127,'Tablas Técnicas'!$A$14:$V$771,14,FALSE)</f>
        <v>#N/A</v>
      </c>
      <c r="AK127" s="1022" t="e">
        <f>IF(AG127=AJ127,VLOOKUP(E127,'Tablas Técnicas'!$A$14:$V$771,15,FALSE),0)</f>
        <v>#N/A</v>
      </c>
      <c r="AL127" s="1022" t="e">
        <f>VLOOKUP(E127,'Tablas Técnicas'!$A$14:$V$771,16,FALSE)</f>
        <v>#N/A</v>
      </c>
      <c r="AM127" s="1022" t="e">
        <f>IF(AG127=AL127,VLOOKUP(E127,'Tablas Técnicas'!$A$14:$V$771,17,FALSE),0)</f>
        <v>#N/A</v>
      </c>
      <c r="AN127" s="1022" t="e">
        <f>VLOOKUP(E127,'Tablas Técnicas'!$A$14:$V$771,18,FALSE)</f>
        <v>#N/A</v>
      </c>
      <c r="AO127" s="1022" t="e">
        <f>IF(AG127=AN127,VLOOKUP(E127,'Tablas Técnicas'!$A$14:$V$771,19,FALSE),0)</f>
        <v>#N/A</v>
      </c>
      <c r="AP127" s="1023" t="str">
        <f>IF(E127=0,"",(AI127+AK127+AM127+AO127))</f>
        <v/>
      </c>
      <c r="AQ127" s="987"/>
      <c r="AR127" s="988" t="e">
        <f>VLOOKUP(E127,'Tablas Técnicas'!$A$14:$V$771,12,FALSE)</f>
        <v>#N/A</v>
      </c>
      <c r="AS127" s="988" t="e">
        <f>IF(AQ127=AR127,VLOOKUP(E127,'Tablas Técnicas'!$A$14:$V$771,13,FALSE),0)</f>
        <v>#N/A</v>
      </c>
      <c r="AT127" s="988" t="e">
        <f>VLOOKUP(E127,'Tablas Técnicas'!$A$14:$V$771,14,FALSE)</f>
        <v>#N/A</v>
      </c>
      <c r="AU127" s="988" t="e">
        <f>IF(AQ127=AT127,VLOOKUP(E127,'Tablas Técnicas'!$A$14:$V$771,15,FALSE),0)</f>
        <v>#N/A</v>
      </c>
      <c r="AV127" s="988" t="e">
        <f>VLOOKUP(E127,'Tablas Técnicas'!$A$14:$V$771,16,FALSE)</f>
        <v>#N/A</v>
      </c>
      <c r="AW127" s="988" t="e">
        <f>IF(AQ127=AV127,VLOOKUP(E127,'Tablas Técnicas'!$A$14:$V$771,17,FALSE),0)</f>
        <v>#N/A</v>
      </c>
      <c r="AX127" s="988" t="e">
        <f>VLOOKUP(E127,'Tablas Técnicas'!$A$14:$V$771,18,FALSE)</f>
        <v>#N/A</v>
      </c>
      <c r="AY127" s="988" t="e">
        <f>IF(AQ127=AX127,VLOOKUP(E127,'Tablas Técnicas'!$A$14:$V$771,19,FALSE),0)</f>
        <v>#N/A</v>
      </c>
      <c r="AZ127" s="989" t="str">
        <f>IF(E127=0,"",(AS127+AU127+AW127+AY127))</f>
        <v/>
      </c>
      <c r="BA127" s="987"/>
      <c r="BB127" s="988" t="e">
        <f>VLOOKUP(E127,'Tablas Técnicas'!$A$14:$V$771,12,FALSE)</f>
        <v>#N/A</v>
      </c>
      <c r="BC127" s="988" t="e">
        <f>IF(BA127=BB127,VLOOKUP(E127,'Tablas Técnicas'!$A$14:$V$771,13,FALSE),0)</f>
        <v>#N/A</v>
      </c>
      <c r="BD127" s="988" t="e">
        <f>VLOOKUP(E127,'Tablas Técnicas'!$A$14:$V$771,14,FALSE)</f>
        <v>#N/A</v>
      </c>
      <c r="BE127" s="988" t="e">
        <f>IF(BA127=BD127,VLOOKUP(E127,'Tablas Técnicas'!$A$14:$V$771,15,FALSE),0)</f>
        <v>#N/A</v>
      </c>
      <c r="BF127" s="988" t="e">
        <f>VLOOKUP(E127,'Tablas Técnicas'!$A$14:$V$771,16,FALSE)</f>
        <v>#N/A</v>
      </c>
      <c r="BG127" s="988" t="e">
        <f>IF(BA127=BF127,VLOOKUP(E127,'Tablas Técnicas'!$A$14:$V$771,17,FALSE),0)</f>
        <v>#N/A</v>
      </c>
      <c r="BH127" s="988" t="e">
        <f>VLOOKUP(E127,'Tablas Técnicas'!$A$14:$V$771,18,FALSE)</f>
        <v>#N/A</v>
      </c>
      <c r="BI127" s="988" t="e">
        <f>IF(BA127=BH127,VLOOKUP(E127,'Tablas Técnicas'!$A$14:$V$771,19,FALSE),0)</f>
        <v>#N/A</v>
      </c>
      <c r="BJ127" s="990" t="str">
        <f>IF(E127=0,"",(BC127+BE127+BG127+BI127))</f>
        <v/>
      </c>
      <c r="BK127" s="989" t="str">
        <f>IF(E127=0,"",VLOOKUP(E127,'Tablas Técnicas'!$A$14:$V$771,20,FALSE))</f>
        <v/>
      </c>
      <c r="BL127" s="989" t="str">
        <f>IF(E127=0,"",VLOOKUP(E127,'Tablas Técnicas'!$A$14:$V$771,21,FALSE))</f>
        <v/>
      </c>
      <c r="BM127" s="1024" t="str">
        <f>IF(E127=0,"",VLOOKUP(E127,'Tablas Técnicas'!$A$14:$V$771,22,FALSE))</f>
        <v/>
      </c>
      <c r="BN127" s="992"/>
      <c r="BO127" s="993"/>
      <c r="BP127" s="978" t="str">
        <f>IF(I127="Si",VLOOKUP($D$8,'Tablas Técnicas'!$E$4:$F$6,2,FALSE),"")</f>
        <v/>
      </c>
      <c r="BQ127" s="979" t="str">
        <f>IF(L127="Si",VLOOKUP($D$8,'Tablas Técnicas'!$I$4:$J$6,2,FALSE),"")</f>
        <v/>
      </c>
      <c r="BR127" s="977" t="str">
        <f>IF(O127="Si",VLOOKUP($D$8,'Tablas Técnicas'!$I$7:$J$9,2,FALSE),"")</f>
        <v/>
      </c>
      <c r="BS127" s="994"/>
      <c r="BT127" s="4774" t="s">
        <v>4527</v>
      </c>
      <c r="BU127" s="4775"/>
      <c r="BV127" s="971"/>
      <c r="BW127" s="951"/>
      <c r="BX127" s="951"/>
      <c r="BY127" s="1286"/>
      <c r="BZ127" s="1304"/>
      <c r="CA127" s="939"/>
      <c r="DR127" s="939"/>
      <c r="DT127" s="1326"/>
      <c r="DU127" s="1379"/>
      <c r="DV127" s="1376" t="str">
        <f>IF(E127="","",", "&amp;E127)&amp;IF(I127="No",""," (Mant.)")&amp;IF(L127="No",""," (Sme)")&amp;IF(O127="No",""," (SMa)")</f>
        <v/>
      </c>
      <c r="DW127" s="1377"/>
      <c r="DX127" s="1378" t="str">
        <f>IF(ISNUMBER(FIND('Tablas Técnicas'!A$678,DW145)),BL151&amp;BM151,IF(ISNUMBER(FIND('Tablas Técnicas'!A$679,DW145)),BL151&amp;" "&amp;BM151,""))</f>
        <v/>
      </c>
      <c r="DY127" s="1327"/>
      <c r="DZ127" s="939"/>
      <c r="EA127" s="1470">
        <f t="shared" si="1"/>
        <v>1</v>
      </c>
    </row>
    <row r="128" spans="1:132" ht="11.25" customHeight="1" x14ac:dyDescent="0.2">
      <c r="A128" s="939"/>
      <c r="B128" s="939"/>
      <c r="C128" s="4822"/>
      <c r="D128" s="1452" t="s">
        <v>1766</v>
      </c>
      <c r="E128" s="995"/>
      <c r="F128" s="1025"/>
      <c r="G128" s="1437" t="str">
        <f>IF(E128=0,"",VLOOKUP(E128,'Tablas Técnicas'!$A$14:$V$771,3,FALSE))</f>
        <v/>
      </c>
      <c r="H128" s="998" t="str">
        <f>IF($E128=0,"",VLOOKUP($E128,'Tablas Técnicas'!$A$14:$V$771,4,FALSE))</f>
        <v/>
      </c>
      <c r="I128" s="999" t="s">
        <v>1690</v>
      </c>
      <c r="J128" s="1415" t="str">
        <f>IF(E128=0,"",VLOOKUP(E128,'Tablas Técnicas'!$A$14:$V$771,5,FALSE))</f>
        <v/>
      </c>
      <c r="K128" s="1001" t="str">
        <f>IF(I128="Si",IF(E128=0,"",VLOOKUP(E128,'Tablas Técnicas'!$A$14:$V$771,5,FALSE)),"")</f>
        <v/>
      </c>
      <c r="L128" s="999" t="s">
        <v>1690</v>
      </c>
      <c r="M128" s="1415" t="str">
        <f>IF(E128=0,"",VLOOKUP(E128,'Tablas Técnicas'!$A$14:$V$771,6,FALSE))</f>
        <v/>
      </c>
      <c r="N128" s="1002" t="str">
        <f>IF(L128="Si",IF(E128=0,"",VLOOKUP(E128,'Tablas Técnicas'!$A$14:$V$771,6,FALSE)),"")</f>
        <v/>
      </c>
      <c r="O128" s="999" t="s">
        <v>1690</v>
      </c>
      <c r="P128" s="1415" t="str">
        <f>IF(E128=0,"",VLOOKUP(E128,'Tablas Técnicas'!$A$14:$V$771,7,FALSE))</f>
        <v/>
      </c>
      <c r="Q128" s="1002" t="str">
        <f>IF(O128="Si",IF(E128=0,"",VLOOKUP(E128,'Tablas Técnicas'!$A$14:$V$771,7,FALSE)),"")</f>
        <v/>
      </c>
      <c r="R128" s="1000" t="str">
        <f>IF(E128=0,"",VLOOKUP(E128,'Tablas Técnicas'!$A$14:$V$771,8,FALSE))</f>
        <v/>
      </c>
      <c r="S128" s="998" t="str">
        <f>IF(R128=$D$8,$D$8,IF(R128=2,2,IF(R128=3,3,R128)))</f>
        <v/>
      </c>
      <c r="T128" s="4796" t="s">
        <v>4542</v>
      </c>
      <c r="U128" s="4797"/>
      <c r="V128" s="4797"/>
      <c r="W128" s="4797"/>
      <c r="X128" s="4797"/>
      <c r="Y128" s="4797"/>
      <c r="Z128" s="4797"/>
      <c r="AA128" s="4797"/>
      <c r="AB128" s="4797"/>
      <c r="AC128" s="4797"/>
      <c r="AD128" s="4797"/>
      <c r="AE128" s="4797"/>
      <c r="AF128" s="4797"/>
      <c r="AG128" s="4797"/>
      <c r="AH128" s="4797"/>
      <c r="AI128" s="4797"/>
      <c r="AJ128" s="4797"/>
      <c r="AK128" s="4797"/>
      <c r="AL128" s="4797"/>
      <c r="AM128" s="4797"/>
      <c r="AN128" s="4797"/>
      <c r="AO128" s="4797"/>
      <c r="AP128" s="4797"/>
      <c r="AQ128" s="4797"/>
      <c r="AR128" s="4797"/>
      <c r="AS128" s="4797"/>
      <c r="AT128" s="4797"/>
      <c r="AU128" s="4797"/>
      <c r="AV128" s="4797"/>
      <c r="AW128" s="4797"/>
      <c r="AX128" s="4797"/>
      <c r="AY128" s="4797"/>
      <c r="AZ128" s="4797"/>
      <c r="BA128" s="4797"/>
      <c r="BB128" s="4797"/>
      <c r="BC128" s="4797"/>
      <c r="BD128" s="4797"/>
      <c r="BE128" s="4797"/>
      <c r="BF128" s="4797"/>
      <c r="BG128" s="4797"/>
      <c r="BH128" s="4797"/>
      <c r="BI128" s="4797"/>
      <c r="BJ128" s="4797"/>
      <c r="BK128" s="4798"/>
      <c r="BL128" s="1437"/>
      <c r="BM128" s="1438"/>
      <c r="BN128" s="992"/>
      <c r="BO128" s="993"/>
      <c r="BP128" s="978" t="str">
        <f>IF(I128="Si",VLOOKUP($D$8,'Tablas Técnicas'!$E$4:$F$6,2,FALSE),"")</f>
        <v/>
      </c>
      <c r="BQ128" s="979" t="str">
        <f>IF(L128="Si",VLOOKUP($D$8,'Tablas Técnicas'!$I$4:$J$6,2,FALSE),"")</f>
        <v/>
      </c>
      <c r="BR128" s="977" t="str">
        <f>IF(O128="Si",VLOOKUP($D$8,'Tablas Técnicas'!$I$7:$J$9,2,FALSE),"")</f>
        <v/>
      </c>
      <c r="BS128" s="994"/>
      <c r="BT128" s="4770" t="s">
        <v>4548</v>
      </c>
      <c r="BU128" s="4771"/>
      <c r="BV128" s="971"/>
      <c r="BW128" s="951"/>
      <c r="BX128" s="951"/>
      <c r="BY128" s="1286"/>
      <c r="BZ128" s="1304"/>
      <c r="CA128" s="939"/>
      <c r="DR128" s="939"/>
      <c r="DT128" s="1325"/>
      <c r="DU128" s="1375"/>
      <c r="DV128" s="1376" t="str">
        <f>IF(E128="",""," "&amp;E128)&amp;IF(I128="No",""," (Mant.)")&amp;IF(L128="No",""," (Sme)")&amp;IF(O128="No",""," (SMa)")</f>
        <v/>
      </c>
      <c r="DW128" s="1377"/>
      <c r="DX128" s="1378"/>
      <c r="DY128" s="1324"/>
      <c r="DZ128" s="939"/>
      <c r="EA128" s="1470">
        <f t="shared" si="1"/>
        <v>1</v>
      </c>
    </row>
    <row r="129" spans="1:131" s="1013" customFormat="1" x14ac:dyDescent="0.2">
      <c r="A129" s="939"/>
      <c r="B129" s="939"/>
      <c r="C129" s="4822"/>
      <c r="D129" s="1453" t="s">
        <v>1766</v>
      </c>
      <c r="E129" s="1003"/>
      <c r="F129" s="1019"/>
      <c r="G129" s="989" t="str">
        <f>IF(E129=0,"",VLOOKUP(E129,'Tablas Técnicas'!$A$14:$V$771,3,FALSE))</f>
        <v/>
      </c>
      <c r="H129" s="3033" t="str">
        <f>IF($E129=0,"",VLOOKUP($E129,'Tablas Técnicas'!$A$14:$V$771,4,FALSE))</f>
        <v/>
      </c>
      <c r="I129" s="987" t="s">
        <v>1690</v>
      </c>
      <c r="J129" s="1411" t="str">
        <f>IF(E129=0,"",VLOOKUP(E129,'Tablas Técnicas'!$A$14:$V$771,5,FALSE))</f>
        <v/>
      </c>
      <c r="K129" s="1006" t="str">
        <f>IF(I129="Si",IF(E129=0,"",VLOOKUP(E129,'Tablas Técnicas'!$A$14:$V$771,5,FALSE)),"")</f>
        <v/>
      </c>
      <c r="L129" s="987" t="s">
        <v>1690</v>
      </c>
      <c r="M129" s="1411" t="str">
        <f>IF(E129=0,"",VLOOKUP(E129,'Tablas Técnicas'!$A$14:$V$771,6,FALSE))</f>
        <v/>
      </c>
      <c r="N129" s="990" t="str">
        <f>IF(L129="Si",IF(E129=0,"",VLOOKUP(E129,'Tablas Técnicas'!$A$14:$V$771,6,FALSE)),"")</f>
        <v/>
      </c>
      <c r="O129" s="987" t="s">
        <v>1690</v>
      </c>
      <c r="P129" s="1411" t="str">
        <f>IF(E129=0,"",VLOOKUP(E129,'Tablas Técnicas'!$A$14:$V$771,7,FALSE))</f>
        <v/>
      </c>
      <c r="Q129" s="990" t="str">
        <f>IF(O129="Si",IF(E129=0,"",VLOOKUP(E129,'Tablas Técnicas'!$A$14:$V$771,7,FALSE)),"")</f>
        <v/>
      </c>
      <c r="R129" s="1005" t="str">
        <f>IF(E129=0,"",VLOOKUP(E129,'Tablas Técnicas'!$A$14:$V$771,8,FALSE))</f>
        <v/>
      </c>
      <c r="S129" s="3033" t="str">
        <f>IF(R129=$D$8,$D$8,IF(R129=2,2,IF(R129=3,3,R129)))</f>
        <v/>
      </c>
      <c r="T129" s="4809"/>
      <c r="U129" s="4810"/>
      <c r="V129" s="3029" t="str">
        <f>IF(OR(V127=0,V127=""),"N/A",V127)</f>
        <v>N/A</v>
      </c>
      <c r="W129" s="4809" t="str">
        <f xml:space="preserve"> IF(OR(AF127=0,AF127=""),"N/A",W127)</f>
        <v>N/A</v>
      </c>
      <c r="X129" s="4811"/>
      <c r="Y129" s="4811"/>
      <c r="Z129" s="4811"/>
      <c r="AA129" s="4811"/>
      <c r="AB129" s="4811"/>
      <c r="AC129" s="4811"/>
      <c r="AD129" s="4811"/>
      <c r="AE129" s="4811"/>
      <c r="AF129" s="4810"/>
      <c r="AG129" s="4809" t="str">
        <f xml:space="preserve"> IF(OR(AP127="",AP127=0),"N/A",AG127)</f>
        <v>N/A</v>
      </c>
      <c r="AH129" s="4811"/>
      <c r="AI129" s="4811"/>
      <c r="AJ129" s="4811"/>
      <c r="AK129" s="4811"/>
      <c r="AL129" s="4811"/>
      <c r="AM129" s="4811"/>
      <c r="AN129" s="4811"/>
      <c r="AO129" s="4811"/>
      <c r="AP129" s="4810"/>
      <c r="AQ129" s="4809" t="str">
        <f xml:space="preserve"> IF(OR(AZ127="",AZ127=0),"N/A",AQ127)</f>
        <v>N/A</v>
      </c>
      <c r="AR129" s="4811"/>
      <c r="AS129" s="4811"/>
      <c r="AT129" s="4811"/>
      <c r="AU129" s="4811"/>
      <c r="AV129" s="4811"/>
      <c r="AW129" s="4811"/>
      <c r="AX129" s="4811"/>
      <c r="AY129" s="4811"/>
      <c r="AZ129" s="4810"/>
      <c r="BA129" s="4809" t="str">
        <f xml:space="preserve"> IF(OR(BJ127="",BJ127=0),"N/A",BA127)</f>
        <v>N/A</v>
      </c>
      <c r="BB129" s="4811"/>
      <c r="BC129" s="4811"/>
      <c r="BD129" s="4811"/>
      <c r="BE129" s="4811"/>
      <c r="BF129" s="4811"/>
      <c r="BG129" s="4811"/>
      <c r="BH129" s="4811"/>
      <c r="BI129" s="4811"/>
      <c r="BJ129" s="4810"/>
      <c r="BK129" s="1007" t="s">
        <v>4543</v>
      </c>
      <c r="BL129" s="989"/>
      <c r="BM129" s="1024"/>
      <c r="BN129" s="992"/>
      <c r="BO129" s="1009"/>
      <c r="BP129" s="978" t="str">
        <f>IF(I129="Si",VLOOKUP($D$8,'Tablas Técnicas'!$E$4:$F$6,2,FALSE),"")</f>
        <v/>
      </c>
      <c r="BQ129" s="979" t="str">
        <f>IF(L129="Si",VLOOKUP($D$8,'Tablas Técnicas'!$I$4:$J$6,2,FALSE),"")</f>
        <v/>
      </c>
      <c r="BR129" s="977" t="str">
        <f>IF(O129="Si",VLOOKUP($D$8,'Tablas Técnicas'!$I$7:$J$9,2,FALSE),"")</f>
        <v/>
      </c>
      <c r="BS129" s="994"/>
      <c r="BT129" s="4774" t="s">
        <v>4521</v>
      </c>
      <c r="BU129" s="4775"/>
      <c r="BV129" s="971"/>
      <c r="BW129" s="951"/>
      <c r="BX129" s="951"/>
      <c r="BY129" s="1286"/>
      <c r="BZ129" s="1304"/>
      <c r="CA129" s="939"/>
      <c r="CC129" s="2940"/>
      <c r="DR129" s="939"/>
      <c r="DS129" s="1320"/>
      <c r="DT129" s="1325"/>
      <c r="DU129" s="1379"/>
      <c r="DV129" s="1376" t="str">
        <f>IF(E129="","",E129)&amp;IF(I129="No",""," (Mant.)")&amp;IF(L129="No",""," (Sme)")&amp;IF(O129="No",""," (SMa)")</f>
        <v/>
      </c>
      <c r="DW129" s="1377"/>
      <c r="DX129" s="1378"/>
      <c r="DY129" s="1324"/>
      <c r="DZ129" s="939"/>
      <c r="EA129" s="1470">
        <f t="shared" si="1"/>
        <v>1</v>
      </c>
    </row>
    <row r="130" spans="1:131" x14ac:dyDescent="0.2">
      <c r="A130" s="939"/>
      <c r="B130" s="939"/>
      <c r="C130" s="4822"/>
      <c r="D130" s="1452" t="s">
        <v>1766</v>
      </c>
      <c r="E130" s="995"/>
      <c r="F130" s="1025"/>
      <c r="G130" s="1437" t="str">
        <f>IF(E130=0,"",VLOOKUP(E130,'Tablas Técnicas'!$A$14:$V$771,3,FALSE))</f>
        <v/>
      </c>
      <c r="H130" s="998" t="str">
        <f>IF($E130=0,"",VLOOKUP($E130,'Tablas Técnicas'!$A$14:$V$771,4,FALSE))</f>
        <v/>
      </c>
      <c r="I130" s="999" t="s">
        <v>1690</v>
      </c>
      <c r="J130" s="1415" t="str">
        <f>IF(E130=0,"",VLOOKUP(E130,'Tablas Técnicas'!$A$14:$V$771,5,FALSE))</f>
        <v/>
      </c>
      <c r="K130" s="1001" t="str">
        <f>IF(I130="Si",IF(E130=0,"",VLOOKUP(E130,'Tablas Técnicas'!$A$14:$V$771,5,FALSE)),"")</f>
        <v/>
      </c>
      <c r="L130" s="999" t="s">
        <v>1690</v>
      </c>
      <c r="M130" s="1415" t="str">
        <f>IF(E130=0,"",VLOOKUP(E130,'Tablas Técnicas'!$A$14:$V$771,6,FALSE))</f>
        <v/>
      </c>
      <c r="N130" s="1002" t="str">
        <f>IF(L130="Si",IF(E130=0,"",VLOOKUP(E130,'Tablas Técnicas'!$A$14:$V$771,6,FALSE)),"")</f>
        <v/>
      </c>
      <c r="O130" s="999" t="s">
        <v>1690</v>
      </c>
      <c r="P130" s="1415" t="str">
        <f>IF(E130=0,"",VLOOKUP(E130,'Tablas Técnicas'!$A$14:$V$771,7,FALSE))</f>
        <v/>
      </c>
      <c r="Q130" s="1002" t="str">
        <f>IF(O130="Si",IF(E130=0,"",VLOOKUP(E130,'Tablas Técnicas'!$A$14:$V$771,7,FALSE)),"")</f>
        <v/>
      </c>
      <c r="R130" s="1000" t="str">
        <f>IF(E130=0,"",VLOOKUP(E130,'Tablas Técnicas'!$A$14:$V$771,8,FALSE))</f>
        <v/>
      </c>
      <c r="S130" s="998" t="str">
        <f>IF(R130=$D$8,$D$8,IF(R130=2,2,IF(R130=3,3,R130)))</f>
        <v/>
      </c>
      <c r="T130" s="4812" t="s">
        <v>4544</v>
      </c>
      <c r="U130" s="4813"/>
      <c r="V130" s="3025"/>
      <c r="W130" s="4814"/>
      <c r="X130" s="4815"/>
      <c r="Y130" s="4815"/>
      <c r="Z130" s="4815"/>
      <c r="AA130" s="4815"/>
      <c r="AB130" s="4815"/>
      <c r="AC130" s="4815"/>
      <c r="AD130" s="4815"/>
      <c r="AE130" s="4815"/>
      <c r="AF130" s="4816"/>
      <c r="AG130" s="4814"/>
      <c r="AH130" s="4815"/>
      <c r="AI130" s="4815"/>
      <c r="AJ130" s="4815"/>
      <c r="AK130" s="4815"/>
      <c r="AL130" s="4815"/>
      <c r="AM130" s="4815"/>
      <c r="AN130" s="4815"/>
      <c r="AO130" s="4815"/>
      <c r="AP130" s="4816"/>
      <c r="AQ130" s="4814"/>
      <c r="AR130" s="4815"/>
      <c r="AS130" s="4815"/>
      <c r="AT130" s="4815"/>
      <c r="AU130" s="4815"/>
      <c r="AV130" s="4815"/>
      <c r="AW130" s="4815"/>
      <c r="AX130" s="4815"/>
      <c r="AY130" s="4815"/>
      <c r="AZ130" s="4816"/>
      <c r="BA130" s="4814"/>
      <c r="BB130" s="4815"/>
      <c r="BC130" s="4815"/>
      <c r="BD130" s="4815"/>
      <c r="BE130" s="4815"/>
      <c r="BF130" s="4815"/>
      <c r="BG130" s="4815"/>
      <c r="BH130" s="4815"/>
      <c r="BI130" s="4815"/>
      <c r="BJ130" s="4816"/>
      <c r="BK130" s="998">
        <f>(SUM(G127:G131)+IF(AF127="",0,AF127)+IF(AP127="",0,AP127)+IF(AZ127="",0,AZ127)+IF(BJ127="",0,BJ127)+SUM(K127:K131)+SUM(N127:N131)+SUM(Q127:Q131))- SUM(V130:BA130)</f>
        <v>0</v>
      </c>
      <c r="BL130" s="1437"/>
      <c r="BM130" s="1438"/>
      <c r="BN130" s="992"/>
      <c r="BO130" s="993"/>
      <c r="BP130" s="978" t="str">
        <f>IF(I130="Si",VLOOKUP($D$8,'Tablas Técnicas'!$E$4:$F$6,2,FALSE),"")</f>
        <v/>
      </c>
      <c r="BQ130" s="979" t="str">
        <f>IF(L130="Si",VLOOKUP($D$8,'Tablas Técnicas'!$I$4:$J$6,2,FALSE),"")</f>
        <v/>
      </c>
      <c r="BR130" s="977" t="str">
        <f>IF(O130="Si",VLOOKUP($D$8,'Tablas Técnicas'!$I$7:$J$9,2,FALSE),"")</f>
        <v/>
      </c>
      <c r="BS130" s="994"/>
      <c r="BT130" s="4766" t="s">
        <v>4549</v>
      </c>
      <c r="BU130" s="4767"/>
      <c r="BV130" s="971"/>
      <c r="BW130" s="951"/>
      <c r="BX130" s="951"/>
      <c r="BY130" s="1286"/>
      <c r="BZ130" s="1304"/>
      <c r="CA130" s="939"/>
      <c r="DR130" s="939"/>
      <c r="DT130" s="1325"/>
      <c r="DU130" s="1375"/>
      <c r="DV130" s="1376" t="str">
        <f>IF(E130="","",E130)&amp;IF(I130="No",""," (Mant.)")&amp;IF(L130="No",""," (Sme)")&amp;IF(O130="No",""," (SMa)")</f>
        <v/>
      </c>
      <c r="DW130" s="1377"/>
      <c r="DX130" s="1378"/>
      <c r="DY130" s="1324"/>
      <c r="DZ130" s="939"/>
      <c r="EA130" s="1470">
        <f t="shared" si="1"/>
        <v>1</v>
      </c>
    </row>
    <row r="131" spans="1:131" x14ac:dyDescent="0.2">
      <c r="A131" s="939"/>
      <c r="B131" s="939"/>
      <c r="C131" s="4822"/>
      <c r="D131" s="1453" t="s">
        <v>1766</v>
      </c>
      <c r="E131" s="1003"/>
      <c r="F131" s="1019"/>
      <c r="G131" s="989" t="str">
        <f>IF(E131=0,"",VLOOKUP(E131,'Tablas Técnicas'!$A$14:$V$771,3,FALSE))</f>
        <v/>
      </c>
      <c r="H131" s="1004" t="str">
        <f>IF($E131=0,"",VLOOKUP($E131,'Tablas Técnicas'!$A$14:$V$771,4,FALSE))</f>
        <v/>
      </c>
      <c r="I131" s="987" t="s">
        <v>1690</v>
      </c>
      <c r="J131" s="1411" t="str">
        <f>IF(E131=0,"",VLOOKUP(E131,'Tablas Técnicas'!$A$14:$V$771,5,FALSE))</f>
        <v/>
      </c>
      <c r="K131" s="1006" t="str">
        <f>IF(I131="Si",IF(E131=0,"",VLOOKUP(E131,'Tablas Técnicas'!$A$14:$V$771,5,FALSE)),"")</f>
        <v/>
      </c>
      <c r="L131" s="987" t="s">
        <v>1690</v>
      </c>
      <c r="M131" s="1411" t="str">
        <f>IF(E131=0,"",VLOOKUP(E131,'Tablas Técnicas'!$A$14:$V$771,6,FALSE))</f>
        <v/>
      </c>
      <c r="N131" s="990" t="str">
        <f>IF(L131="Si",IF(E131=0,"",VLOOKUP(E131,'Tablas Técnicas'!$A$14:$V$771,6,FALSE)),"")</f>
        <v/>
      </c>
      <c r="O131" s="987" t="s">
        <v>1690</v>
      </c>
      <c r="P131" s="1411" t="str">
        <f>IF(E131=0,"",VLOOKUP(E131,'Tablas Técnicas'!$A$14:$V$771,7,FALSE))</f>
        <v/>
      </c>
      <c r="Q131" s="990" t="str">
        <f>IF(O131="Si",IF(E131=0,"",VLOOKUP(E131,'Tablas Técnicas'!$A$14:$V$771,7,FALSE)),"")</f>
        <v/>
      </c>
      <c r="R131" s="1005" t="str">
        <f>IF(E131=0,"",VLOOKUP(E131,'Tablas Técnicas'!$A$14:$V$771,8,FALSE))</f>
        <v/>
      </c>
      <c r="S131" s="1004" t="str">
        <f>IF(R131=$D$8,$D$8,IF(R131=2,2,IF(R131=3,3,R131)))</f>
        <v/>
      </c>
      <c r="T131" s="4803" t="s">
        <v>4546</v>
      </c>
      <c r="U131" s="4804"/>
      <c r="V131" s="3032"/>
      <c r="W131" s="4805"/>
      <c r="X131" s="4806"/>
      <c r="Y131" s="4806"/>
      <c r="Z131" s="4806"/>
      <c r="AA131" s="4806"/>
      <c r="AB131" s="4806"/>
      <c r="AC131" s="4806"/>
      <c r="AD131" s="4806"/>
      <c r="AE131" s="4806"/>
      <c r="AF131" s="4807"/>
      <c r="AG131" s="4805"/>
      <c r="AH131" s="4806"/>
      <c r="AI131" s="4806"/>
      <c r="AJ131" s="4806"/>
      <c r="AK131" s="4806"/>
      <c r="AL131" s="4806"/>
      <c r="AM131" s="4806"/>
      <c r="AN131" s="4806"/>
      <c r="AO131" s="4806"/>
      <c r="AP131" s="4807"/>
      <c r="AQ131" s="4805"/>
      <c r="AR131" s="4806"/>
      <c r="AS131" s="4806"/>
      <c r="AT131" s="4806"/>
      <c r="AU131" s="4806"/>
      <c r="AV131" s="4806"/>
      <c r="AW131" s="4806"/>
      <c r="AX131" s="4806"/>
      <c r="AY131" s="4806"/>
      <c r="AZ131" s="4807"/>
      <c r="BA131" s="4805"/>
      <c r="BB131" s="4806"/>
      <c r="BC131" s="4806"/>
      <c r="BD131" s="4806"/>
      <c r="BE131" s="4806"/>
      <c r="BF131" s="4806"/>
      <c r="BG131" s="4806"/>
      <c r="BH131" s="4806"/>
      <c r="BI131" s="4806"/>
      <c r="BJ131" s="4807"/>
      <c r="BK131" s="1014">
        <f>SUM(K127:K131)-SUM(V131:BA131)</f>
        <v>0</v>
      </c>
      <c r="BL131" s="1439"/>
      <c r="BM131" s="1440"/>
      <c r="BN131" s="992"/>
      <c r="BO131" s="1009"/>
      <c r="BP131" s="978" t="str">
        <f>IF(I131="Si",VLOOKUP($D$8,'Tablas Técnicas'!$E$4:$F$6,2,FALSE),"")</f>
        <v/>
      </c>
      <c r="BQ131" s="979" t="str">
        <f>IF(L131="Si",VLOOKUP($D$8,'Tablas Técnicas'!$I$4:$J$6,2,FALSE),"")</f>
        <v/>
      </c>
      <c r="BR131" s="977" t="str">
        <f>IF(O131="Si",VLOOKUP($D$8,'Tablas Técnicas'!$I$7:$J$9,2,FALSE),"")</f>
        <v/>
      </c>
      <c r="BS131" s="994"/>
      <c r="BT131" s="2354">
        <f>IF(BT125="No",0,IF(D119=0,0,VLOOKUP(D119,'Tablas Técnicas'!$L$4:$N$7,2,FALSE)))+IF(BT127="Bajar coste de CM",0,IF(BT127="-5 CM",2,IF(BT127="-10 CM",4,IF(BT127="-15 CM",6,IF(BT127="-20 CM",8,0)))))+IF(BT129="Bajar coste de Ki",0,IF(BT129="-1 Ki",-1,IF(BT129="-2 Ki",-2,IF(BT129="-3 Ki",-3,IF(BT129="-4 Ki",-4,IF(BT129="-5 Ki",-5,0))))))-BU134-BU136-BU138-BU140-BU142-BU144</f>
        <v>0</v>
      </c>
      <c r="BU131" s="2355">
        <f>IF(BT125="No",0,IF(D119=0,0,VLOOKUP(D119,'Tablas Técnicas'!$L$4:$N$7,2,FALSE)))+IF(BT127="Bajar coste de CM",0,IF(BT127="-5 CM",2,IF(BT127="-10 CM",4,IF(BT127="-15 CM",6,IF(BT127="-20 CM",8,0)))))+IF(BT129="Bajar coste de Ki",0,IF(BT129="-1 Ki",-1,IF(BT129="-2 Ki",-2,IF(BT129="-3 Ki",-3,IF(BT129="-4 Ki",-4,IF(BT129="-5 Ki",-5,0))))))</f>
        <v>0</v>
      </c>
      <c r="BV131" s="971"/>
      <c r="BW131" s="951"/>
      <c r="BX131" s="951"/>
      <c r="BY131" s="1286"/>
      <c r="BZ131" s="4808"/>
      <c r="CA131" s="939"/>
      <c r="DR131" s="939"/>
      <c r="DT131" s="1325"/>
      <c r="DU131" s="1379"/>
      <c r="DV131" s="1376" t="str">
        <f>IF(E131="","",E131)&amp;IF(I131="No",""," (Mant.)")&amp;IF(L131="No",""," (Sme)")&amp;IF(O131="No",""," (SMa)")</f>
        <v/>
      </c>
      <c r="DW131" s="1377"/>
      <c r="DX131" s="1378"/>
      <c r="DY131" s="1324"/>
      <c r="DZ131" s="939"/>
      <c r="EA131" s="1470">
        <f t="shared" si="1"/>
        <v>1</v>
      </c>
    </row>
    <row r="132" spans="1:131" x14ac:dyDescent="0.2">
      <c r="A132" s="939"/>
      <c r="B132" s="1403"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822"/>
      <c r="D132" s="1454">
        <v>3</v>
      </c>
      <c r="E132" s="1246"/>
      <c r="F132" s="1016"/>
      <c r="G132" s="1017"/>
      <c r="H132" s="2159">
        <f t="array" ref="H132">IF(AND(OR(ISNUMBER(SEARCH("Empatía Elemental ("&amp;BK127:BM127&amp;")",Principal!$AF$30))),SUM(H127:H131)&gt;=10),-5,0)</f>
        <v>0</v>
      </c>
      <c r="I132" s="1413"/>
      <c r="J132" s="1416"/>
      <c r="K132" s="1017"/>
      <c r="L132" s="1413"/>
      <c r="M132" s="1416"/>
      <c r="N132" s="1017"/>
      <c r="O132" s="1413"/>
      <c r="P132" s="1416"/>
      <c r="Q132" s="1017"/>
      <c r="R132" s="1018"/>
      <c r="S132" s="1017"/>
      <c r="T132" s="1017"/>
      <c r="U132" s="1017"/>
      <c r="V132" s="1017"/>
      <c r="W132" s="1017"/>
      <c r="X132" s="1017"/>
      <c r="Y132" s="1017"/>
      <c r="Z132" s="1017"/>
      <c r="AA132" s="1017"/>
      <c r="AB132" s="1017"/>
      <c r="AC132" s="1017"/>
      <c r="AD132" s="1017"/>
      <c r="AE132" s="1017"/>
      <c r="AF132" s="1017"/>
      <c r="AG132" s="1017"/>
      <c r="AH132" s="1017"/>
      <c r="AI132" s="1017"/>
      <c r="AJ132" s="1017"/>
      <c r="AK132" s="1017"/>
      <c r="AL132" s="1017"/>
      <c r="AM132" s="1017"/>
      <c r="AN132" s="1017"/>
      <c r="AO132" s="1017"/>
      <c r="AP132" s="1017"/>
      <c r="AQ132" s="1017"/>
      <c r="AR132" s="1017"/>
      <c r="AS132" s="1017"/>
      <c r="AT132" s="1017"/>
      <c r="AU132" s="1017"/>
      <c r="AV132" s="1017"/>
      <c r="AW132" s="1017"/>
      <c r="AX132" s="1017"/>
      <c r="AY132" s="1017"/>
      <c r="AZ132" s="1017"/>
      <c r="BA132" s="1017"/>
      <c r="BB132" s="1017"/>
      <c r="BC132" s="1017"/>
      <c r="BD132" s="1017"/>
      <c r="BE132" s="1017"/>
      <c r="BF132" s="1017"/>
      <c r="BG132" s="1017"/>
      <c r="BH132" s="1017"/>
      <c r="BI132" s="1017"/>
      <c r="BJ132" s="1017"/>
      <c r="BK132" s="1017"/>
      <c r="BL132" s="1017"/>
      <c r="BM132" s="1027"/>
      <c r="BN132" s="1028">
        <f>SUM(K132:K135)</f>
        <v>0</v>
      </c>
      <c r="BO132" s="971" t="str">
        <f>IF(E132=0,"",(AF132+AP132+AZ132+BJ132))</f>
        <v/>
      </c>
      <c r="BP132" s="1029" t="str">
        <f>IF(I132="Si",VLOOKUP($D$8,'Tablas Técnicas'!$E$4:$F$6,2,FALSE),"")</f>
        <v/>
      </c>
      <c r="BQ132" s="1030" t="str">
        <f>IF(L132="Si",VLOOKUP($D$8,'Tablas Técnicas'!$I$4:$J$6,2,FALSE),"")</f>
        <v/>
      </c>
      <c r="BR132" s="1028" t="str">
        <f>IF(O132="Si",VLOOKUP($D$8,'Tablas Técnicas'!$I$7:$J$9,2,FALSE),"")</f>
        <v/>
      </c>
      <c r="BS132" s="994"/>
      <c r="BU132" s="3026"/>
      <c r="BV132" s="971"/>
      <c r="BW132" s="951"/>
      <c r="BX132" s="951"/>
      <c r="BY132" s="1286"/>
      <c r="BZ132" s="4808"/>
      <c r="CA132" s="939"/>
      <c r="DR132" s="939"/>
      <c r="DT132" s="1325"/>
      <c r="DU132" s="1379"/>
      <c r="DV132" s="1380"/>
      <c r="DW132" s="1377"/>
      <c r="DX132" s="1378"/>
      <c r="DY132" s="1324"/>
      <c r="DZ132" s="939"/>
      <c r="EA132" s="1470">
        <f t="shared" si="1"/>
        <v>1</v>
      </c>
    </row>
    <row r="133" spans="1:131" x14ac:dyDescent="0.2">
      <c r="A133" s="939"/>
      <c r="B133" s="939"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822"/>
      <c r="D133" s="1453" t="s">
        <v>1766</v>
      </c>
      <c r="E133" s="983"/>
      <c r="F133" s="1019"/>
      <c r="G133" s="989" t="str">
        <f>IF(E133=0,"",VLOOKUP(E133,'Tablas Técnicas'!$A$14:$V$771,3,FALSE))</f>
        <v/>
      </c>
      <c r="H133" s="1031" t="str">
        <f>IF($E133=0,"",VLOOKUP($E133,'Tablas Técnicas'!$A$14:$V$771,4,FALSE))</f>
        <v/>
      </c>
      <c r="I133" s="987" t="s">
        <v>1690</v>
      </c>
      <c r="J133" s="1417" t="str">
        <f>IF(E133=0,"",VLOOKUP(E133,'Tablas Técnicas'!$A$14:$V$771,5,FALSE))</f>
        <v/>
      </c>
      <c r="K133" s="1033" t="str">
        <f>IF(I133="Si",IF(E133=0,"",VLOOKUP(E133,'Tablas Técnicas'!$A$14:$V$771,5,FALSE)),"")</f>
        <v/>
      </c>
      <c r="L133" s="987" t="s">
        <v>1690</v>
      </c>
      <c r="M133" s="1417" t="str">
        <f>IF(E133=0,"",VLOOKUP(E133,'Tablas Técnicas'!$A$14:$V$771,6,FALSE))</f>
        <v/>
      </c>
      <c r="N133" s="990" t="str">
        <f>IF(L133="Si",IF(E133=0,"",VLOOKUP(E133,'Tablas Técnicas'!$A$14:$V$771,6,FALSE)),"")</f>
        <v/>
      </c>
      <c r="O133" s="987" t="s">
        <v>1690</v>
      </c>
      <c r="P133" s="1417" t="str">
        <f>IF(E133=0,"",VLOOKUP(E133,'Tablas Técnicas'!$A$14:$V$771,7,FALSE))</f>
        <v/>
      </c>
      <c r="Q133" s="990" t="str">
        <f>IF(O133="Si",IF(E133=0,"",VLOOKUP(E133,'Tablas Técnicas'!$A$14:$V$771,7,FALSE)),"")</f>
        <v/>
      </c>
      <c r="R133" s="1032" t="str">
        <f>IF(E133=0,"",VLOOKUP(E133,'Tablas Técnicas'!$A$14:$V$771,8,FALSE))</f>
        <v/>
      </c>
      <c r="S133" s="1004" t="str">
        <f>IF(R133=$D$8,$D$8,IF(R133=2,2,IF(R133=3,3,R133)))</f>
        <v/>
      </c>
      <c r="T133" s="1033" t="str">
        <f>IF(E133=0,"",VLOOKUP(E133,'Tablas Técnicas'!$A$14:$V$771,9,FALSE))</f>
        <v/>
      </c>
      <c r="U133" s="1033" t="str">
        <f>IF(E133=0,"",VLOOKUP(E133,'Tablas Técnicas'!$A$14:$V$771,10,FALSE))</f>
        <v/>
      </c>
      <c r="V133" s="1034" t="str">
        <f>IF(E133=0,"",VLOOKUP(E133,'Tablas Técnicas'!$A$14:$V$771,11,FALSE))</f>
        <v/>
      </c>
      <c r="W133" s="987"/>
      <c r="X133" s="988" t="e">
        <f>VLOOKUP(E133,'Tablas Técnicas'!$A$14:$V$771,12,FALSE)</f>
        <v>#N/A</v>
      </c>
      <c r="Y133" s="988" t="e">
        <f>IF(W133=X133,VLOOKUP(E133,'Tablas Técnicas'!$A$14:$V$771,13,FALSE),0)</f>
        <v>#N/A</v>
      </c>
      <c r="Z133" s="988" t="e">
        <f>VLOOKUP(E133,'Tablas Técnicas'!$A$14:$V$771,14,FALSE)</f>
        <v>#N/A</v>
      </c>
      <c r="AA133" s="988" t="e">
        <f>IF(W133=Z133,VLOOKUP(E133,'Tablas Técnicas'!$A$14:$V$616,15,FALSE),0)</f>
        <v>#N/A</v>
      </c>
      <c r="AB133" s="988" t="e">
        <f>VLOOKUP(E133,'Tablas Técnicas'!$A$14:$V$771,16,FALSE)</f>
        <v>#N/A</v>
      </c>
      <c r="AC133" s="988" t="e">
        <f>IF(W133=AB133,VLOOKUP(E133,'Tablas Técnicas'!$A$14:$V$616,17,FALSE),0)</f>
        <v>#N/A</v>
      </c>
      <c r="AD133" s="988" t="e">
        <f>VLOOKUP(E133,'Tablas Técnicas'!$A$14:$V$771,18,FALSE)</f>
        <v>#N/A</v>
      </c>
      <c r="AE133" s="988" t="e">
        <f>IF(W133=AD133,VLOOKUP(E133,'Tablas Técnicas'!$A$14:$V$771,19,FALSE),0)</f>
        <v>#N/A</v>
      </c>
      <c r="AF133" s="1006" t="str">
        <f>IF(E133=0,"",(Y133+AA133+AC133+AE133))</f>
        <v/>
      </c>
      <c r="AG133" s="987"/>
      <c r="AH133" s="1005" t="e">
        <f>VLOOKUP(E133,'Tablas Técnicas'!$A$14:$V$771,12,FALSE)</f>
        <v>#N/A</v>
      </c>
      <c r="AI133" s="1005" t="e">
        <f>IF(AG133=AH133,VLOOKUP(E133,'Tablas Técnicas'!$A$14:$V$771,13,FALSE),0)</f>
        <v>#N/A</v>
      </c>
      <c r="AJ133" s="1005" t="e">
        <f>VLOOKUP(E133,'Tablas Técnicas'!$A$14:$V$771,14,FALSE)</f>
        <v>#N/A</v>
      </c>
      <c r="AK133" s="1005" t="e">
        <f>IF(AG133=AJ133,VLOOKUP(E133,'Tablas Técnicas'!$A$14:$V$771,15,FALSE),0)</f>
        <v>#N/A</v>
      </c>
      <c r="AL133" s="1005" t="e">
        <f>VLOOKUP(E133,'Tablas Técnicas'!$A$14:$V$771,16,FALSE)</f>
        <v>#N/A</v>
      </c>
      <c r="AM133" s="1005" t="e">
        <f>IF(AG133=AL133,VLOOKUP(E133,'Tablas Técnicas'!$A$14:$V$771,17,FALSE),0)</f>
        <v>#N/A</v>
      </c>
      <c r="AN133" s="1005" t="e">
        <f>VLOOKUP(E133,'Tablas Técnicas'!$A$14:$V$771,18,FALSE)</f>
        <v>#N/A</v>
      </c>
      <c r="AO133" s="1005" t="e">
        <f>IF(AG133=AN133,VLOOKUP(E133,'Tablas Técnicas'!$A$14:$V$771,19,FALSE),0)</f>
        <v>#N/A</v>
      </c>
      <c r="AP133" s="3034" t="str">
        <f>IF(E133=0,"",(AI133+AK133+AM133+AO133))</f>
        <v/>
      </c>
      <c r="AQ133" s="987"/>
      <c r="AR133" s="1005" t="e">
        <f>VLOOKUP(E133,'Tablas Técnicas'!$A$14:$V$771,12,FALSE)</f>
        <v>#N/A</v>
      </c>
      <c r="AS133" s="1005" t="e">
        <f>IF(AQ133=AR133,VLOOKUP(E133,'Tablas Técnicas'!$A$14:$V$771,13,FALSE),0)</f>
        <v>#N/A</v>
      </c>
      <c r="AT133" s="1005" t="e">
        <f>VLOOKUP(E133,'Tablas Técnicas'!$A$14:$V$771,14,FALSE)</f>
        <v>#N/A</v>
      </c>
      <c r="AU133" s="1005" t="e">
        <f>IF(AQ133=AT133,VLOOKUP(E133,'Tablas Técnicas'!$A$14:$V$771,15,FALSE),0)</f>
        <v>#N/A</v>
      </c>
      <c r="AV133" s="1005" t="e">
        <f>VLOOKUP(E133,'Tablas Técnicas'!$A$14:$V$771,16,FALSE)</f>
        <v>#N/A</v>
      </c>
      <c r="AW133" s="1005" t="e">
        <f>IF(AQ133=AV133,VLOOKUP(E133,'Tablas Técnicas'!$A$14:$V$771,17,FALSE),0)</f>
        <v>#N/A</v>
      </c>
      <c r="AX133" s="1005" t="e">
        <f>VLOOKUP(E133,'Tablas Técnicas'!$A$14:$V$771,18,FALSE)</f>
        <v>#N/A</v>
      </c>
      <c r="AY133" s="1005" t="e">
        <f>IF(AQ133=AX133,VLOOKUP(E133,'Tablas Técnicas'!$A$14:$V$771,19,FALSE),0)</f>
        <v>#N/A</v>
      </c>
      <c r="AZ133" s="1006" t="str">
        <f>IF(E133=0,"",(AS133+AU133+AW133+AY133))</f>
        <v/>
      </c>
      <c r="BA133" s="987"/>
      <c r="BB133" s="1005" t="e">
        <f>VLOOKUP(E133,'Tablas Técnicas'!$A$14:$V$771,12,FALSE)</f>
        <v>#N/A</v>
      </c>
      <c r="BC133" s="1005" t="e">
        <f>IF(BA133=BB133,VLOOKUP(E133,'Tablas Técnicas'!$A$14:$V$771,13,FALSE),0)</f>
        <v>#N/A</v>
      </c>
      <c r="BD133" s="1005" t="e">
        <f>VLOOKUP(E133,'Tablas Técnicas'!$A$14:$V$771,14,FALSE)</f>
        <v>#N/A</v>
      </c>
      <c r="BE133" s="1005" t="e">
        <f>IF(BA133=BD133,VLOOKUP(E133,'Tablas Técnicas'!$A$14:$V$771,15,FALSE),0)</f>
        <v>#N/A</v>
      </c>
      <c r="BF133" s="1005" t="e">
        <f>VLOOKUP(E133,'Tablas Técnicas'!$A$14:$V$771,16,FALSE)</f>
        <v>#N/A</v>
      </c>
      <c r="BG133" s="1005" t="e">
        <f>IF(BA133=BF133,VLOOKUP(E133,'Tablas Técnicas'!$A$14:$V$771,17,FALSE),0)</f>
        <v>#N/A</v>
      </c>
      <c r="BH133" s="1005" t="e">
        <f>VLOOKUP(E133,'Tablas Técnicas'!$A$14:$V$771,18,FALSE)</f>
        <v>#N/A</v>
      </c>
      <c r="BI133" s="1005" t="e">
        <f>IF(BA133=BH133,VLOOKUP(E133,'Tablas Técnicas'!$A$14:$V$771,19,FALSE),0)</f>
        <v>#N/A</v>
      </c>
      <c r="BJ133" s="3034" t="str">
        <f>IF(E133=0,"",(BC133+BE133+BG133+BI133))</f>
        <v/>
      </c>
      <c r="BK133" s="1033" t="str">
        <f>IF(E133=0,"",VLOOKUP(E133,'Tablas Técnicas'!$A$14:$V$771,20,FALSE))</f>
        <v/>
      </c>
      <c r="BL133" s="1020" t="str">
        <f>IF(E133=0,"",VLOOKUP(E133,'Tablas Técnicas'!$A$14:$V$771,21,FALSE))</f>
        <v/>
      </c>
      <c r="BM133" s="991" t="str">
        <f>IF(E133=0,"",VLOOKUP(E133,'Tablas Técnicas'!$A$14:$V$771,22,FALSE))</f>
        <v/>
      </c>
      <c r="BN133" s="992"/>
      <c r="BO133" s="993"/>
      <c r="BP133" s="978" t="str">
        <f>IF(I133="Si",VLOOKUP($D$8,'Tablas Técnicas'!$E$4:$F$6,2,FALSE),"")</f>
        <v/>
      </c>
      <c r="BQ133" s="979" t="str">
        <f>IF(L133="Si",VLOOKUP($D$8,'Tablas Técnicas'!$I$4:$J$6,2,FALSE),"")</f>
        <v/>
      </c>
      <c r="BR133" s="977" t="str">
        <f>IF(O133="Si",VLOOKUP($D$8,'Tablas Técnicas'!$I$7:$J$9,2,FALSE),"")</f>
        <v/>
      </c>
      <c r="BS133" s="994"/>
      <c r="BT133" s="3023" t="s">
        <v>1682</v>
      </c>
      <c r="BU133" s="3024" t="s">
        <v>4550</v>
      </c>
      <c r="BV133" s="971"/>
      <c r="BW133" s="3024" t="s">
        <v>4551</v>
      </c>
      <c r="BX133" s="3023" t="s">
        <v>4552</v>
      </c>
      <c r="BY133" s="1300" t="s">
        <v>4552</v>
      </c>
      <c r="BZ133" s="4808"/>
      <c r="CA133" s="939"/>
      <c r="DR133" s="939"/>
      <c r="DT133" s="1325"/>
      <c r="DU133" s="1379"/>
      <c r="DV133" s="1376" t="str">
        <f>IF(E133="","",", "&amp;E133)&amp;IF(I133="No",""," (Mant.)")&amp;IF(L133="No",""," (Sme)")&amp;IF(O133="No",""," (SMa)")</f>
        <v/>
      </c>
      <c r="DW133" s="1377"/>
      <c r="DX133" s="1378"/>
      <c r="DY133" s="1324"/>
      <c r="DZ133" s="939"/>
      <c r="EA133" s="1470">
        <f t="shared" si="1"/>
        <v>1</v>
      </c>
    </row>
    <row r="134" spans="1:131" x14ac:dyDescent="0.2">
      <c r="A134" s="939"/>
      <c r="B134" s="939"/>
      <c r="C134" s="4822"/>
      <c r="D134" s="1452" t="s">
        <v>1766</v>
      </c>
      <c r="E134" s="995"/>
      <c r="F134" s="1025"/>
      <c r="G134" s="1437" t="str">
        <f>IF(E134=0,"",VLOOKUP(E134,'Tablas Técnicas'!$A$14:$V$771,3,FALSE))</f>
        <v/>
      </c>
      <c r="H134" s="998" t="str">
        <f>IF($E134=0,"",VLOOKUP($E134,'Tablas Técnicas'!$A$14:$V$771,4,FALSE))</f>
        <v/>
      </c>
      <c r="I134" s="999" t="s">
        <v>1690</v>
      </c>
      <c r="J134" s="1415" t="str">
        <f>IF(E134=0,"",VLOOKUP(E134,'Tablas Técnicas'!$A$14:$V$771,5,FALSE))</f>
        <v/>
      </c>
      <c r="K134" s="1001" t="str">
        <f>IF(I134="Si",IF(E134=0,"",VLOOKUP(E134,'Tablas Técnicas'!$A$14:$V$771,5,FALSE)),"")</f>
        <v/>
      </c>
      <c r="L134" s="999" t="s">
        <v>1690</v>
      </c>
      <c r="M134" s="1415" t="str">
        <f>IF(E134=0,"",VLOOKUP(E134,'Tablas Técnicas'!$A$14:$V$771,6,FALSE))</f>
        <v/>
      </c>
      <c r="N134" s="1002" t="str">
        <f>IF(L134="Si",IF(E134=0,"",VLOOKUP(E134,'Tablas Técnicas'!$A$14:$V$771,6,FALSE)),"")</f>
        <v/>
      </c>
      <c r="O134" s="999" t="s">
        <v>1690</v>
      </c>
      <c r="P134" s="1415" t="str">
        <f>IF(E134=0,"",VLOOKUP(E134,'Tablas Técnicas'!$A$14:$V$771,7,FALSE))</f>
        <v/>
      </c>
      <c r="Q134" s="1002" t="str">
        <f>IF(O134="Si",IF(E134=0,"",VLOOKUP(E134,'Tablas Técnicas'!$A$14:$V$771,7,FALSE)),"")</f>
        <v/>
      </c>
      <c r="R134" s="1000" t="str">
        <f>IF(E134=0,"",VLOOKUP(E134,'Tablas Técnicas'!$A$14:$V$771,8,FALSE))</f>
        <v/>
      </c>
      <c r="S134" s="998" t="str">
        <f>IF(R134=$D$8,$D$8,IF(R134=2,2,IF(R134=3,3,R134)))</f>
        <v/>
      </c>
      <c r="T134" s="4796" t="s">
        <v>4542</v>
      </c>
      <c r="U134" s="4797"/>
      <c r="V134" s="4797"/>
      <c r="W134" s="4797"/>
      <c r="X134" s="4797"/>
      <c r="Y134" s="4797"/>
      <c r="Z134" s="4797"/>
      <c r="AA134" s="4797"/>
      <c r="AB134" s="4797"/>
      <c r="AC134" s="4797"/>
      <c r="AD134" s="4797"/>
      <c r="AE134" s="4797"/>
      <c r="AF134" s="4797"/>
      <c r="AG134" s="4797"/>
      <c r="AH134" s="4797"/>
      <c r="AI134" s="4797"/>
      <c r="AJ134" s="4797"/>
      <c r="AK134" s="4797"/>
      <c r="AL134" s="4797"/>
      <c r="AM134" s="4797"/>
      <c r="AN134" s="4797"/>
      <c r="AO134" s="4797"/>
      <c r="AP134" s="4797"/>
      <c r="AQ134" s="4797"/>
      <c r="AR134" s="4797"/>
      <c r="AS134" s="4797"/>
      <c r="AT134" s="4797"/>
      <c r="AU134" s="4797"/>
      <c r="AV134" s="4797"/>
      <c r="AW134" s="4797"/>
      <c r="AX134" s="4797"/>
      <c r="AY134" s="4797"/>
      <c r="AZ134" s="4797"/>
      <c r="BA134" s="4797"/>
      <c r="BB134" s="4797"/>
      <c r="BC134" s="4797"/>
      <c r="BD134" s="4797"/>
      <c r="BE134" s="4797"/>
      <c r="BF134" s="4797"/>
      <c r="BG134" s="4797"/>
      <c r="BH134" s="4797"/>
      <c r="BI134" s="4797"/>
      <c r="BJ134" s="4797"/>
      <c r="BK134" s="4798"/>
      <c r="BL134" s="1437"/>
      <c r="BM134" s="1438"/>
      <c r="BN134" s="992"/>
      <c r="BO134" s="993"/>
      <c r="BP134" s="978" t="str">
        <f>IF(I134="Si",VLOOKUP($D$8,'Tablas Técnicas'!$E$4:$F$6,2,FALSE),"")</f>
        <v/>
      </c>
      <c r="BQ134" s="979" t="str">
        <f>IF(L134="Si",VLOOKUP($D$8,'Tablas Técnicas'!$I$4:$J$6,2,FALSE),"")</f>
        <v/>
      </c>
      <c r="BR134" s="977" t="str">
        <f>IF(O134="Si",VLOOKUP($D$8,'Tablas Técnicas'!$I$7:$J$9,2,FALSE),"")</f>
        <v/>
      </c>
      <c r="BS134" s="994"/>
      <c r="BT134" s="3028">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356"/>
      <c r="BV134" s="971"/>
      <c r="BW134" s="1026" t="str">
        <f>IF(SUM(BT134:BU134)=0,"N/A",SUM(BT134:BU134))</f>
        <v>N/A</v>
      </c>
      <c r="BX134" s="3028">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26" t="str">
        <f>IF(BX134=0,"N/A",BX134)</f>
        <v>N/A</v>
      </c>
      <c r="BZ134" s="3027"/>
      <c r="CA134" s="939"/>
      <c r="DR134" s="939"/>
      <c r="DT134" s="1325"/>
      <c r="DU134" s="1379"/>
      <c r="DV134" s="1376" t="str">
        <f>IF(E134="",""," "&amp;E134)&amp;IF(I134="No",""," (Mant.)")&amp;IF(L134="No",""," (Sme)")&amp;IF(O134="No",""," (SMa)")</f>
        <v/>
      </c>
      <c r="DW134" s="1377"/>
      <c r="DX134" s="1378"/>
      <c r="DY134" s="1324"/>
      <c r="DZ134" s="939"/>
      <c r="EA134" s="1470">
        <f t="shared" si="1"/>
        <v>1</v>
      </c>
    </row>
    <row r="135" spans="1:131" x14ac:dyDescent="0.2">
      <c r="A135" s="939"/>
      <c r="B135" s="939"/>
      <c r="C135" s="4822"/>
      <c r="D135" s="1453" t="s">
        <v>1766</v>
      </c>
      <c r="E135" s="1003"/>
      <c r="F135" s="1019"/>
      <c r="G135" s="989" t="str">
        <f>IF(E135=0,"",VLOOKUP(E135,'Tablas Técnicas'!$A$14:$V$771,3,FALSE))</f>
        <v/>
      </c>
      <c r="H135" s="3033" t="str">
        <f>IF($E135=0,"",VLOOKUP($E135,'Tablas Técnicas'!$A$14:$V$771,4,FALSE))</f>
        <v/>
      </c>
      <c r="I135" s="987" t="s">
        <v>1690</v>
      </c>
      <c r="J135" s="1411" t="str">
        <f>IF(E135=0,"",VLOOKUP(E135,'Tablas Técnicas'!$A$14:$V$771,5,FALSE))</f>
        <v/>
      </c>
      <c r="K135" s="1006" t="str">
        <f>IF(I135="Si",IF(E135=0,"",VLOOKUP(E135,'Tablas Técnicas'!$A$14:$V$771,5,FALSE)),"")</f>
        <v/>
      </c>
      <c r="L135" s="987" t="s">
        <v>1690</v>
      </c>
      <c r="M135" s="1411" t="str">
        <f>IF(E135=0,"",VLOOKUP(E135,'Tablas Técnicas'!$A$14:$V$771,6,FALSE))</f>
        <v/>
      </c>
      <c r="N135" s="990" t="str">
        <f>IF(L135="Si",IF(E135=0,"",VLOOKUP(E135,'Tablas Técnicas'!$A$14:$V$771,6,FALSE)),"")</f>
        <v/>
      </c>
      <c r="O135" s="987" t="s">
        <v>1690</v>
      </c>
      <c r="P135" s="1411" t="str">
        <f>IF(E135=0,"",VLOOKUP(E135,'Tablas Técnicas'!$A$14:$V$771,7,FALSE))</f>
        <v/>
      </c>
      <c r="Q135" s="990" t="str">
        <f>IF(O135="Si",IF(E135=0,"",VLOOKUP(E135,'Tablas Técnicas'!$A$14:$V$771,7,FALSE)),"")</f>
        <v/>
      </c>
      <c r="R135" s="1005" t="str">
        <f>IF(E135=0,"",VLOOKUP(E135,'Tablas Técnicas'!$A$14:$V$771,8,FALSE))</f>
        <v/>
      </c>
      <c r="S135" s="3033" t="str">
        <f>IF(R135=$D$8,$D$8,IF(R135=2,2,IF(R135=3,3,R135)))</f>
        <v/>
      </c>
      <c r="T135" s="4809"/>
      <c r="U135" s="4810"/>
      <c r="V135" s="3029" t="str">
        <f>IF(OR(V133=0,V133=""),"N/A",V133)</f>
        <v>N/A</v>
      </c>
      <c r="W135" s="4809" t="str">
        <f xml:space="preserve"> IF(OR(AF133=0,AF133=""),"N/A",W133)</f>
        <v>N/A</v>
      </c>
      <c r="X135" s="4811"/>
      <c r="Y135" s="4811"/>
      <c r="Z135" s="4811"/>
      <c r="AA135" s="4811"/>
      <c r="AB135" s="4811"/>
      <c r="AC135" s="4811"/>
      <c r="AD135" s="4811"/>
      <c r="AE135" s="4811"/>
      <c r="AF135" s="4810"/>
      <c r="AG135" s="4809" t="str">
        <f xml:space="preserve"> IF(OR(AP133="",AP133=0),"N/A",AG133)</f>
        <v>N/A</v>
      </c>
      <c r="AH135" s="4811"/>
      <c r="AI135" s="4811"/>
      <c r="AJ135" s="4811"/>
      <c r="AK135" s="4811"/>
      <c r="AL135" s="4811"/>
      <c r="AM135" s="4811"/>
      <c r="AN135" s="4811"/>
      <c r="AO135" s="4811"/>
      <c r="AP135" s="4810"/>
      <c r="AQ135" s="4809" t="str">
        <f xml:space="preserve"> IF(OR(AZ133="",AZ133=0),"N/A",AQ133)</f>
        <v>N/A</v>
      </c>
      <c r="AR135" s="4811"/>
      <c r="AS135" s="4811"/>
      <c r="AT135" s="4811"/>
      <c r="AU135" s="4811"/>
      <c r="AV135" s="4811"/>
      <c r="AW135" s="4811"/>
      <c r="AX135" s="4811"/>
      <c r="AY135" s="4811"/>
      <c r="AZ135" s="4810"/>
      <c r="BA135" s="4809" t="str">
        <f xml:space="preserve"> IF(OR(BJ133="",BJ133=0),"N/A",BA133)</f>
        <v>N/A</v>
      </c>
      <c r="BB135" s="4811"/>
      <c r="BC135" s="4811"/>
      <c r="BD135" s="4811"/>
      <c r="BE135" s="4811"/>
      <c r="BF135" s="4811"/>
      <c r="BG135" s="4811"/>
      <c r="BH135" s="4811"/>
      <c r="BI135" s="4811"/>
      <c r="BJ135" s="4810"/>
      <c r="BK135" s="1007" t="s">
        <v>4543</v>
      </c>
      <c r="BL135" s="989"/>
      <c r="BM135" s="1024"/>
      <c r="BN135" s="1008"/>
      <c r="BO135" s="1009"/>
      <c r="BP135" s="1010" t="str">
        <f>IF(I135="Si",VLOOKUP($D$8,'Tablas Técnicas'!$E$4:$F$6,2,FALSE),"")</f>
        <v/>
      </c>
      <c r="BQ135" s="980" t="str">
        <f>IF(L135="Si",VLOOKUP($D$8,'Tablas Técnicas'!$I$4:$J$6,2,FALSE),"")</f>
        <v/>
      </c>
      <c r="BR135" s="1011" t="str">
        <f>IF(O135="Si",VLOOKUP($D$8,'Tablas Técnicas'!$I$7:$J$9,2,FALSE),"")</f>
        <v/>
      </c>
      <c r="BS135" s="994"/>
      <c r="BT135" s="3023" t="s">
        <v>1809</v>
      </c>
      <c r="BU135" s="3024" t="s">
        <v>4550</v>
      </c>
      <c r="BV135" s="971"/>
      <c r="BW135" s="3024" t="s">
        <v>4551</v>
      </c>
      <c r="BX135" s="3023" t="s">
        <v>4552</v>
      </c>
      <c r="BY135" s="1301" t="s">
        <v>4552</v>
      </c>
      <c r="BZ135" s="3027"/>
      <c r="CA135" s="939"/>
      <c r="DR135" s="939"/>
      <c r="DT135" s="1325"/>
      <c r="DU135" s="1379"/>
      <c r="DV135" s="1376" t="str">
        <f>IF(E135="","",E135)&amp;IF(I135="No",""," (Mant.)")&amp;IF(L135="No",""," (Sme)")&amp;IF(O135="No",""," (SMa)")</f>
        <v/>
      </c>
      <c r="DW135" s="1376"/>
      <c r="DX135" s="1378"/>
      <c r="DY135" s="1324"/>
      <c r="DZ135" s="939"/>
      <c r="EA135" s="1470">
        <f t="shared" si="1"/>
        <v>1</v>
      </c>
    </row>
    <row r="136" spans="1:131" x14ac:dyDescent="0.2">
      <c r="A136" s="939"/>
      <c r="B136" s="939"/>
      <c r="C136" s="4822"/>
      <c r="D136" s="1452" t="s">
        <v>1766</v>
      </c>
      <c r="E136" s="995"/>
      <c r="F136" s="1025"/>
      <c r="G136" s="1437" t="str">
        <f>IF(E136=0,"",VLOOKUP(E136,'Tablas Técnicas'!$A$14:$V$771,3,FALSE))</f>
        <v/>
      </c>
      <c r="H136" s="998" t="str">
        <f>IF($E136=0,"",VLOOKUP($E136,'Tablas Técnicas'!$A$14:$V$771,4,FALSE))</f>
        <v/>
      </c>
      <c r="I136" s="999" t="s">
        <v>1690</v>
      </c>
      <c r="J136" s="1415" t="str">
        <f>IF(E136=0,"",VLOOKUP(E136,'Tablas Técnicas'!$A$14:$V$771,5,FALSE))</f>
        <v/>
      </c>
      <c r="K136" s="1001" t="str">
        <f>IF(I136="Si",IF(E136=0,"",VLOOKUP(E136,'Tablas Técnicas'!$A$14:$V$771,5,FALSE)),"")</f>
        <v/>
      </c>
      <c r="L136" s="999" t="s">
        <v>1690</v>
      </c>
      <c r="M136" s="1415" t="str">
        <f>IF(E136=0,"",VLOOKUP(E136,'Tablas Técnicas'!$A$14:$V$771,6,FALSE))</f>
        <v/>
      </c>
      <c r="N136" s="1002" t="str">
        <f>IF(L136="Si",IF(E136=0,"",VLOOKUP(E136,'Tablas Técnicas'!$A$14:$V$771,6,FALSE)),"")</f>
        <v/>
      </c>
      <c r="O136" s="999" t="s">
        <v>1690</v>
      </c>
      <c r="P136" s="1415" t="str">
        <f>IF(E136=0,"",VLOOKUP(E136,'Tablas Técnicas'!$A$14:$V$771,7,FALSE))</f>
        <v/>
      </c>
      <c r="Q136" s="1002" t="str">
        <f>IF(O136="Si",IF(E136=0,"",VLOOKUP(E136,'Tablas Técnicas'!$A$14:$V$771,7,FALSE)),"")</f>
        <v/>
      </c>
      <c r="R136" s="1000" t="str">
        <f>IF(E136=0,"",VLOOKUP(E136,'Tablas Técnicas'!$A$14:$V$771,8,FALSE))</f>
        <v/>
      </c>
      <c r="S136" s="998" t="str">
        <f>IF(R136=$D$8,$D$8,IF(R136=2,2,IF(R136=3,3,R136)))</f>
        <v/>
      </c>
      <c r="T136" s="4812" t="s">
        <v>4544</v>
      </c>
      <c r="U136" s="4813"/>
      <c r="V136" s="3025"/>
      <c r="W136" s="4814"/>
      <c r="X136" s="4815"/>
      <c r="Y136" s="4815"/>
      <c r="Z136" s="4815"/>
      <c r="AA136" s="4815"/>
      <c r="AB136" s="4815"/>
      <c r="AC136" s="4815"/>
      <c r="AD136" s="4815"/>
      <c r="AE136" s="4815"/>
      <c r="AF136" s="4816"/>
      <c r="AG136" s="4814"/>
      <c r="AH136" s="4815"/>
      <c r="AI136" s="4815"/>
      <c r="AJ136" s="4815"/>
      <c r="AK136" s="4815"/>
      <c r="AL136" s="4815"/>
      <c r="AM136" s="4815"/>
      <c r="AN136" s="4815"/>
      <c r="AO136" s="4815"/>
      <c r="AP136" s="4816"/>
      <c r="AQ136" s="4814"/>
      <c r="AR136" s="4815"/>
      <c r="AS136" s="4815"/>
      <c r="AT136" s="4815"/>
      <c r="AU136" s="4815"/>
      <c r="AV136" s="4815"/>
      <c r="AW136" s="4815"/>
      <c r="AX136" s="4815"/>
      <c r="AY136" s="4815"/>
      <c r="AZ136" s="4816"/>
      <c r="BA136" s="4814"/>
      <c r="BB136" s="4815"/>
      <c r="BC136" s="4815"/>
      <c r="BD136" s="4815"/>
      <c r="BE136" s="4815"/>
      <c r="BF136" s="4815"/>
      <c r="BG136" s="4815"/>
      <c r="BH136" s="4815"/>
      <c r="BI136" s="4815"/>
      <c r="BJ136" s="4816"/>
      <c r="BK136" s="998">
        <f>(SUM(G133:G137)+IF(AF133="",0,AF133)+IF(AP133="",0,AP133)+IF(AZ133="",0,AZ133)+IF(BJ133="",0,BJ133)+SUM(K133:K137)+SUM(N133:N137)+SUM(Q133:Q137))- SUM(V136:BA136)</f>
        <v>0</v>
      </c>
      <c r="BL136" s="1437"/>
      <c r="BM136" s="1438"/>
      <c r="BN136" s="992"/>
      <c r="BO136" s="993"/>
      <c r="BP136" s="978" t="str">
        <f>IF(I136="Si",VLOOKUP($D$8,'Tablas Técnicas'!$E$4:$F$6,2,FALSE),"")</f>
        <v/>
      </c>
      <c r="BQ136" s="979" t="str">
        <f>IF(L136="Si",VLOOKUP($D$8,'Tablas Técnicas'!$I$4:$J$6,2,FALSE),"")</f>
        <v/>
      </c>
      <c r="BR136" s="977" t="str">
        <f>IF(O136="Si",VLOOKUP($D$8,'Tablas Técnicas'!$I$7:$J$9,2,FALSE),"")</f>
        <v/>
      </c>
      <c r="BS136" s="994"/>
      <c r="BT136" s="3028">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356"/>
      <c r="BV136" s="971"/>
      <c r="BW136" s="1026" t="str">
        <f>IF(SUM(BT136:BU136)=0,"N/A",SUM(BT136:BU136))</f>
        <v>N/A</v>
      </c>
      <c r="BX136" s="3028">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26" t="str">
        <f>IF(BX136=0,"N/A",BX136)</f>
        <v>N/A</v>
      </c>
      <c r="BZ136" s="3027"/>
      <c r="CA136" s="943"/>
      <c r="DR136" s="943"/>
      <c r="DT136" s="1326"/>
      <c r="DU136" s="1375"/>
      <c r="DV136" s="1376" t="str">
        <f>IF(E136="","",E136)&amp;IF(I136="No",""," (Mant.)")&amp;IF(L136="No",""," (Sme)")&amp;IF(O136="No",""," (SMa)")</f>
        <v/>
      </c>
      <c r="DW136" s="1376"/>
      <c r="DX136" s="1381"/>
      <c r="DY136" s="1327"/>
      <c r="DZ136" s="943"/>
      <c r="EA136" s="1470">
        <f t="shared" si="1"/>
        <v>1</v>
      </c>
    </row>
    <row r="137" spans="1:131" x14ac:dyDescent="0.2">
      <c r="A137" s="939"/>
      <c r="B137" s="939"/>
      <c r="C137" s="4822"/>
      <c r="D137" s="1453" t="s">
        <v>1766</v>
      </c>
      <c r="E137" s="1003"/>
      <c r="F137" s="1019"/>
      <c r="G137" s="989" t="str">
        <f>IF(E137=0,"",VLOOKUP(E137,'Tablas Técnicas'!$A$14:$V$771,3,FALSE))</f>
        <v/>
      </c>
      <c r="H137" s="1014" t="str">
        <f>IF($E137=0,"",VLOOKUP($E137,'Tablas Técnicas'!$A$14:$V$771,4,FALSE))</f>
        <v/>
      </c>
      <c r="I137" s="987" t="s">
        <v>1690</v>
      </c>
      <c r="J137" s="1418" t="str">
        <f>IF(E137=0,"",VLOOKUP(E137,'Tablas Técnicas'!$A$14:$V$771,5,FALSE))</f>
        <v/>
      </c>
      <c r="K137" s="1015" t="str">
        <f>IF(I137="Si",IF(E137=0,"",VLOOKUP(E137,'Tablas Técnicas'!$A$14:$V$771,5,FALSE)),"")</f>
        <v/>
      </c>
      <c r="L137" s="987" t="s">
        <v>1690</v>
      </c>
      <c r="M137" s="1418" t="str">
        <f>IF(E137=0,"",VLOOKUP(E137,'Tablas Técnicas'!$A$14:$V$771,6,FALSE))</f>
        <v/>
      </c>
      <c r="N137" s="990" t="str">
        <f>IF(L137="Si",IF(E137=0,"",VLOOKUP(E137,'Tablas Técnicas'!$A$14:$V$771,6,FALSE)),"")</f>
        <v/>
      </c>
      <c r="O137" s="987" t="s">
        <v>1690</v>
      </c>
      <c r="P137" s="1418" t="str">
        <f>IF(E137=0,"",VLOOKUP(E137,'Tablas Técnicas'!$A$14:$V$771,7,FALSE))</f>
        <v/>
      </c>
      <c r="Q137" s="990" t="str">
        <f>IF(O137="Si",IF(E137=0,"",VLOOKUP(E137,'Tablas Técnicas'!$A$14:$V$771,7,FALSE)),"")</f>
        <v/>
      </c>
      <c r="R137" s="1035" t="str">
        <f>IF(E137=0,"",VLOOKUP(E137,'Tablas Técnicas'!$A$14:$V$771,8,FALSE))</f>
        <v/>
      </c>
      <c r="S137" s="1004" t="str">
        <f>IF(R137=$D$8,$D$8,IF(R137=2,2,IF(R137=3,3,R137)))</f>
        <v/>
      </c>
      <c r="T137" s="4803" t="s">
        <v>4546</v>
      </c>
      <c r="U137" s="4804"/>
      <c r="V137" s="3032"/>
      <c r="W137" s="4805"/>
      <c r="X137" s="4806"/>
      <c r="Y137" s="4806"/>
      <c r="Z137" s="4806"/>
      <c r="AA137" s="4806"/>
      <c r="AB137" s="4806"/>
      <c r="AC137" s="4806"/>
      <c r="AD137" s="4806"/>
      <c r="AE137" s="4806"/>
      <c r="AF137" s="4807"/>
      <c r="AG137" s="4805"/>
      <c r="AH137" s="4806"/>
      <c r="AI137" s="4806"/>
      <c r="AJ137" s="4806"/>
      <c r="AK137" s="4806"/>
      <c r="AL137" s="4806"/>
      <c r="AM137" s="4806"/>
      <c r="AN137" s="4806"/>
      <c r="AO137" s="4806"/>
      <c r="AP137" s="4807"/>
      <c r="AQ137" s="4805"/>
      <c r="AR137" s="4806"/>
      <c r="AS137" s="4806"/>
      <c r="AT137" s="4806"/>
      <c r="AU137" s="4806"/>
      <c r="AV137" s="4806"/>
      <c r="AW137" s="4806"/>
      <c r="AX137" s="4806"/>
      <c r="AY137" s="4806"/>
      <c r="AZ137" s="4807"/>
      <c r="BA137" s="4805"/>
      <c r="BB137" s="4806"/>
      <c r="BC137" s="4806"/>
      <c r="BD137" s="4806"/>
      <c r="BE137" s="4806"/>
      <c r="BF137" s="4806"/>
      <c r="BG137" s="4806"/>
      <c r="BH137" s="4806"/>
      <c r="BI137" s="4806"/>
      <c r="BJ137" s="4807"/>
      <c r="BK137" s="1014">
        <f>SUM(K133:K137)-SUM(V137:BA137)</f>
        <v>0</v>
      </c>
      <c r="BL137" s="1439"/>
      <c r="BM137" s="1440"/>
      <c r="BN137" s="1008"/>
      <c r="BO137" s="1009"/>
      <c r="BP137" s="1010" t="str">
        <f>IF(I137="Si",VLOOKUP($D$8,'Tablas Técnicas'!$E$4:$F$6,2,FALSE),"")</f>
        <v/>
      </c>
      <c r="BQ137" s="980" t="str">
        <f>IF(L137="Si",VLOOKUP($D$8,'Tablas Técnicas'!$I$4:$J$6,2,FALSE),"")</f>
        <v/>
      </c>
      <c r="BR137" s="1011" t="str">
        <f>IF(O137="Si",VLOOKUP($D$8,'Tablas Técnicas'!$I$7:$J$9,2,FALSE),"")</f>
        <v/>
      </c>
      <c r="BS137" s="994"/>
      <c r="BT137" s="3023" t="s">
        <v>1687</v>
      </c>
      <c r="BU137" s="3024" t="s">
        <v>4550</v>
      </c>
      <c r="BV137" s="971"/>
      <c r="BW137" s="3024" t="s">
        <v>4551</v>
      </c>
      <c r="BX137" s="3023" t="s">
        <v>4552</v>
      </c>
      <c r="BY137" s="1301" t="s">
        <v>4552</v>
      </c>
      <c r="BZ137" s="3027"/>
      <c r="CA137" s="939"/>
      <c r="DR137" s="939"/>
      <c r="DT137" s="1325"/>
      <c r="DU137" s="1379"/>
      <c r="DV137" s="1376" t="str">
        <f>IF(E137="","",E137)&amp;IF(I137="No",""," (Mant.)")&amp;IF(L137="No",""," (Sme)")&amp;IF(O137="No",""," (SMa)")</f>
        <v/>
      </c>
      <c r="DW137" s="1376"/>
      <c r="DX137" s="1378"/>
      <c r="DY137" s="1324"/>
      <c r="DZ137" s="939"/>
      <c r="EA137" s="1470">
        <f t="shared" si="1"/>
        <v>1</v>
      </c>
    </row>
    <row r="138" spans="1:131" ht="11.25" customHeight="1" x14ac:dyDescent="0.2">
      <c r="A138" s="939"/>
      <c r="B138" s="1403"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822"/>
      <c r="D138" s="1454">
        <v>4</v>
      </c>
      <c r="E138" s="1246"/>
      <c r="F138" s="1016"/>
      <c r="G138" s="1017"/>
      <c r="H138" s="2159">
        <f t="array" ref="H138">IF(AND(OR(ISNUMBER(SEARCH("Empatía Elemental ("&amp;BK133:BM133&amp;")",Principal!$AF$30))),SUM(H133:H137)&gt;=10),-5,0)</f>
        <v>0</v>
      </c>
      <c r="I138" s="1413"/>
      <c r="J138" s="1416"/>
      <c r="K138" s="1017"/>
      <c r="L138" s="1413"/>
      <c r="M138" s="1416"/>
      <c r="N138" s="1017"/>
      <c r="O138" s="1413"/>
      <c r="P138" s="1416"/>
      <c r="Q138" s="1017"/>
      <c r="R138" s="1018"/>
      <c r="S138" s="1017"/>
      <c r="T138" s="1017"/>
      <c r="U138" s="1017"/>
      <c r="V138" s="1017"/>
      <c r="W138" s="1017"/>
      <c r="X138" s="1017"/>
      <c r="Y138" s="1017"/>
      <c r="Z138" s="1017"/>
      <c r="AA138" s="1017"/>
      <c r="AB138" s="1017"/>
      <c r="AC138" s="1017"/>
      <c r="AD138" s="1017"/>
      <c r="AE138" s="1017"/>
      <c r="AF138" s="1017"/>
      <c r="AG138" s="1017"/>
      <c r="AH138" s="1017"/>
      <c r="AI138" s="1017"/>
      <c r="AJ138" s="1017"/>
      <c r="AK138" s="1017"/>
      <c r="AL138" s="1017"/>
      <c r="AM138" s="1017"/>
      <c r="AN138" s="1017"/>
      <c r="AO138" s="1017"/>
      <c r="AP138" s="1017"/>
      <c r="AQ138" s="1017"/>
      <c r="AR138" s="1017"/>
      <c r="AS138" s="1017"/>
      <c r="AT138" s="1017"/>
      <c r="AU138" s="1017"/>
      <c r="AV138" s="1017"/>
      <c r="AW138" s="1017"/>
      <c r="AX138" s="1017"/>
      <c r="AY138" s="1017"/>
      <c r="AZ138" s="1017"/>
      <c r="BA138" s="1017"/>
      <c r="BB138" s="1017"/>
      <c r="BC138" s="1017"/>
      <c r="BD138" s="1017"/>
      <c r="BE138" s="1017"/>
      <c r="BF138" s="1017"/>
      <c r="BG138" s="1017"/>
      <c r="BH138" s="1017"/>
      <c r="BI138" s="1017"/>
      <c r="BJ138" s="1017"/>
      <c r="BK138" s="1017"/>
      <c r="BL138" s="1017"/>
      <c r="BM138" s="1027"/>
      <c r="BN138" s="1028">
        <f>SUM(K138:K141)</f>
        <v>0</v>
      </c>
      <c r="BO138" s="971" t="str">
        <f>IF(E138=0,"",(AF138+AP138+AZ138+BJ138))</f>
        <v/>
      </c>
      <c r="BP138" s="1029" t="str">
        <f>IF(I138="Si",VLOOKUP($D$8,'Tablas Técnicas'!$E$4:$F$6,2,FALSE),"")</f>
        <v/>
      </c>
      <c r="BQ138" s="1030" t="str">
        <f>IF(L138="Si",VLOOKUP($D$8,'Tablas Técnicas'!$I$4:$J$6,2,FALSE),"")</f>
        <v/>
      </c>
      <c r="BR138" s="1028" t="str">
        <f>IF(O138="Si",VLOOKUP($D$8,'Tablas Técnicas'!$I$7:$J$9,2,FALSE),"")</f>
        <v/>
      </c>
      <c r="BS138" s="994"/>
      <c r="BT138" s="3028">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356"/>
      <c r="BV138" s="971"/>
      <c r="BW138" s="1026" t="str">
        <f>IF(SUM(BT138:BU138)=0,"N/A",SUM(BT138:BU138))</f>
        <v>N/A</v>
      </c>
      <c r="BX138" s="3028">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26" t="str">
        <f>IF(BX138=0,"N/A",BX138)</f>
        <v>N/A</v>
      </c>
      <c r="BZ138" s="3027"/>
      <c r="CA138" s="939"/>
      <c r="DR138" s="939"/>
      <c r="DT138" s="1325"/>
      <c r="DU138" s="1379"/>
      <c r="DV138" s="1380"/>
      <c r="DW138" s="1376"/>
      <c r="DX138" s="1378"/>
      <c r="DY138" s="1324"/>
      <c r="DZ138" s="939"/>
      <c r="EA138" s="1470">
        <f t="shared" ref="EA138:EA201" si="2">EA137</f>
        <v>1</v>
      </c>
    </row>
    <row r="139" spans="1:131" ht="11.25" customHeight="1" x14ac:dyDescent="0.2">
      <c r="A139" s="939"/>
      <c r="B139" s="939"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822"/>
      <c r="D139" s="1453" t="s">
        <v>1766</v>
      </c>
      <c r="E139" s="983"/>
      <c r="F139" s="1019"/>
      <c r="G139" s="989" t="str">
        <f>IF(E139=0,"",VLOOKUP(E139,'Tablas Técnicas'!$A$14:$V$771,3,FALSE))</f>
        <v/>
      </c>
      <c r="H139" s="1031" t="str">
        <f>IF($E139=0,"",VLOOKUP($E139,'Tablas Técnicas'!$A$14:$V$771,4,FALSE))</f>
        <v/>
      </c>
      <c r="I139" s="987" t="s">
        <v>1690</v>
      </c>
      <c r="J139" s="1417" t="str">
        <f>IF(E139=0,"",VLOOKUP(E139,'Tablas Técnicas'!$A$14:$V$771,5,FALSE))</f>
        <v/>
      </c>
      <c r="K139" s="1033" t="str">
        <f>IF(I139="Si",IF(E139=0,"",VLOOKUP(E139,'Tablas Técnicas'!$A$14:$V$771,5,FALSE)),"")</f>
        <v/>
      </c>
      <c r="L139" s="987" t="s">
        <v>1690</v>
      </c>
      <c r="M139" s="1417" t="str">
        <f>IF(E139=0,"",VLOOKUP(E139,'Tablas Técnicas'!$A$14:$V$771,6,FALSE))</f>
        <v/>
      </c>
      <c r="N139" s="990" t="str">
        <f>IF(L139="Si",IF(E139=0,"",VLOOKUP(E139,'Tablas Técnicas'!$A$14:$V$771,6,FALSE)),"")</f>
        <v/>
      </c>
      <c r="O139" s="987" t="s">
        <v>1690</v>
      </c>
      <c r="P139" s="1417" t="str">
        <f>IF(E139=0,"",VLOOKUP(E139,'Tablas Técnicas'!$A$14:$V$771,7,FALSE))</f>
        <v/>
      </c>
      <c r="Q139" s="990" t="str">
        <f>IF(O139="Si",IF(E139=0,"",VLOOKUP(E139,'Tablas Técnicas'!$A$14:$V$771,7,FALSE)),"")</f>
        <v/>
      </c>
      <c r="R139" s="1032" t="str">
        <f>IF(E139=0,"",VLOOKUP(E139,'Tablas Técnicas'!$A$14:$V$771,8,FALSE))</f>
        <v/>
      </c>
      <c r="S139" s="1004" t="str">
        <f>IF(R139=$D$8,$D$8,IF(R139=2,2,IF(R139=3,3,R139)))</f>
        <v/>
      </c>
      <c r="T139" s="1033" t="str">
        <f>IF(E139=0,"",VLOOKUP(E139,'Tablas Técnicas'!$A$14:$V$771,9,FALSE))</f>
        <v/>
      </c>
      <c r="U139" s="1033" t="str">
        <f>IF(E139=0,"",VLOOKUP(E139,'Tablas Técnicas'!$A$14:$V$771,10,FALSE))</f>
        <v/>
      </c>
      <c r="V139" s="1034" t="str">
        <f>IF(E139=0,"",VLOOKUP(E139,'Tablas Técnicas'!$A$14:$V$771,11,FALSE))</f>
        <v/>
      </c>
      <c r="W139" s="987"/>
      <c r="X139" s="988" t="e">
        <f>VLOOKUP(E139,'Tablas Técnicas'!$A$14:$V$771,12,FALSE)</f>
        <v>#N/A</v>
      </c>
      <c r="Y139" s="988" t="e">
        <f>IF(W139=X139,VLOOKUP(E139,'Tablas Técnicas'!$A$14:$V$771,13,FALSE),0)</f>
        <v>#N/A</v>
      </c>
      <c r="Z139" s="988" t="e">
        <f>VLOOKUP(E139,'Tablas Técnicas'!$A$14:$V$771,14,FALSE)</f>
        <v>#N/A</v>
      </c>
      <c r="AA139" s="988" t="e">
        <f>IF(W139=Z139,VLOOKUP(E139,'Tablas Técnicas'!$A$14:$V$616,15,FALSE),0)</f>
        <v>#N/A</v>
      </c>
      <c r="AB139" s="988" t="e">
        <f>VLOOKUP(E139,'Tablas Técnicas'!$A$14:$V$771,16,FALSE)</f>
        <v>#N/A</v>
      </c>
      <c r="AC139" s="988" t="e">
        <f>IF(W139=AB139,VLOOKUP(E139,'Tablas Técnicas'!$A$14:$V$616,17,FALSE),0)</f>
        <v>#N/A</v>
      </c>
      <c r="AD139" s="988" t="e">
        <f>VLOOKUP(E139,'Tablas Técnicas'!$A$14:$V$771,18,FALSE)</f>
        <v>#N/A</v>
      </c>
      <c r="AE139" s="988" t="e">
        <f>IF(W139=AD139,VLOOKUP(E139,'Tablas Técnicas'!$A$14:$V$771,19,FALSE),0)</f>
        <v>#N/A</v>
      </c>
      <c r="AF139" s="1006" t="str">
        <f>IF(E139=0,"",(Y139+AA139+AC139+AE139))</f>
        <v/>
      </c>
      <c r="AG139" s="987"/>
      <c r="AH139" s="1005" t="e">
        <f>VLOOKUP(E139,'Tablas Técnicas'!$A$14:$V$771,12,FALSE)</f>
        <v>#N/A</v>
      </c>
      <c r="AI139" s="1005" t="e">
        <f>IF(AG139=AH139,VLOOKUP(E139,'Tablas Técnicas'!$A$14:$V$771,13,FALSE),0)</f>
        <v>#N/A</v>
      </c>
      <c r="AJ139" s="1005" t="e">
        <f>VLOOKUP(E139,'Tablas Técnicas'!$A$14:$V$771,14,FALSE)</f>
        <v>#N/A</v>
      </c>
      <c r="AK139" s="1005" t="e">
        <f>IF(AG139=AJ139,VLOOKUP(E139,'Tablas Técnicas'!$A$14:$V$771,15,FALSE),0)</f>
        <v>#N/A</v>
      </c>
      <c r="AL139" s="1005" t="e">
        <f>VLOOKUP(E139,'Tablas Técnicas'!$A$14:$V$771,16,FALSE)</f>
        <v>#N/A</v>
      </c>
      <c r="AM139" s="1005" t="e">
        <f>IF(AG139=AL139,VLOOKUP(E139,'Tablas Técnicas'!$A$14:$V$771,17,FALSE),0)</f>
        <v>#N/A</v>
      </c>
      <c r="AN139" s="1005" t="e">
        <f>VLOOKUP(E139,'Tablas Técnicas'!$A$14:$V$771,18,FALSE)</f>
        <v>#N/A</v>
      </c>
      <c r="AO139" s="1005" t="e">
        <f>IF(AG139=AN139,VLOOKUP(E139,'Tablas Técnicas'!$A$14:$V$771,19,FALSE),0)</f>
        <v>#N/A</v>
      </c>
      <c r="AP139" s="3034" t="str">
        <f>IF(E139=0,"",(AI139+AK139+AM139+AO139))</f>
        <v/>
      </c>
      <c r="AQ139" s="987"/>
      <c r="AR139" s="1005" t="e">
        <f>VLOOKUP(E139,'Tablas Técnicas'!$A$14:$V$771,12,FALSE)</f>
        <v>#N/A</v>
      </c>
      <c r="AS139" s="1005" t="e">
        <f>IF(AQ139=AR139,VLOOKUP(E139,'Tablas Técnicas'!$A$14:$V$771,13,FALSE),0)</f>
        <v>#N/A</v>
      </c>
      <c r="AT139" s="1005" t="e">
        <f>VLOOKUP(E139,'Tablas Técnicas'!$A$14:$V$771,14,FALSE)</f>
        <v>#N/A</v>
      </c>
      <c r="AU139" s="1005" t="e">
        <f>IF(AQ139=AT139,VLOOKUP(E139,'Tablas Técnicas'!$A$14:$V$771,15,FALSE),0)</f>
        <v>#N/A</v>
      </c>
      <c r="AV139" s="1005" t="e">
        <f>VLOOKUP(E139,'Tablas Técnicas'!$A$14:$V$771,16,FALSE)</f>
        <v>#N/A</v>
      </c>
      <c r="AW139" s="1005" t="e">
        <f>IF(AQ139=AV139,VLOOKUP(E139,'Tablas Técnicas'!$A$14:$V$771,17,FALSE),0)</f>
        <v>#N/A</v>
      </c>
      <c r="AX139" s="1005" t="e">
        <f>VLOOKUP(E139,'Tablas Técnicas'!$A$14:$V$771,18,FALSE)</f>
        <v>#N/A</v>
      </c>
      <c r="AY139" s="1005" t="e">
        <f>IF(AQ139=AX139,VLOOKUP(E139,'Tablas Técnicas'!$A$14:$V$771,19,FALSE),0)</f>
        <v>#N/A</v>
      </c>
      <c r="AZ139" s="1006" t="str">
        <f>IF(E139=0,"",(AS139+AU139+AW139+AY139))</f>
        <v/>
      </c>
      <c r="BA139" s="987"/>
      <c r="BB139" s="1005" t="e">
        <f>VLOOKUP(E139,'Tablas Técnicas'!$A$14:$V$771,12,FALSE)</f>
        <v>#N/A</v>
      </c>
      <c r="BC139" s="1005" t="e">
        <f>IF(BA139=BB139,VLOOKUP(E139,'Tablas Técnicas'!$A$14:$V$771,13,FALSE),0)</f>
        <v>#N/A</v>
      </c>
      <c r="BD139" s="1005" t="e">
        <f>VLOOKUP(E139,'Tablas Técnicas'!$A$14:$V$771,14,FALSE)</f>
        <v>#N/A</v>
      </c>
      <c r="BE139" s="1005" t="e">
        <f>IF(BA139=BD139,VLOOKUP(E139,'Tablas Técnicas'!$A$14:$V$771,15,FALSE),0)</f>
        <v>#N/A</v>
      </c>
      <c r="BF139" s="1005" t="e">
        <f>VLOOKUP(E139,'Tablas Técnicas'!$A$14:$V$771,16,FALSE)</f>
        <v>#N/A</v>
      </c>
      <c r="BG139" s="1005" t="e">
        <f>IF(BA139=BF139,VLOOKUP(E139,'Tablas Técnicas'!$A$14:$V$771,17,FALSE),0)</f>
        <v>#N/A</v>
      </c>
      <c r="BH139" s="1005" t="e">
        <f>VLOOKUP(E139,'Tablas Técnicas'!$A$14:$V$771,18,FALSE)</f>
        <v>#N/A</v>
      </c>
      <c r="BI139" s="1005" t="e">
        <f>IF(BA139=BH139,VLOOKUP(E139,'Tablas Técnicas'!$A$14:$V$771,19,FALSE),0)</f>
        <v>#N/A</v>
      </c>
      <c r="BJ139" s="3034" t="str">
        <f>IF(E139=0,"",(BC139+BE139+BG139+BI139))</f>
        <v/>
      </c>
      <c r="BK139" s="1033" t="str">
        <f>IF(E139=0,"",VLOOKUP(E139,'Tablas Técnicas'!$A$14:$V$771,20,FALSE))</f>
        <v/>
      </c>
      <c r="BL139" s="1020" t="str">
        <f>IF(E139=0,"",VLOOKUP(E139,'Tablas Técnicas'!$A$14:$V$771,21,FALSE))</f>
        <v/>
      </c>
      <c r="BM139" s="991" t="str">
        <f>IF(E139=0,"",VLOOKUP(E139,'Tablas Técnicas'!$A$14:$V$771,22,FALSE))</f>
        <v/>
      </c>
      <c r="BN139" s="992"/>
      <c r="BO139" s="993"/>
      <c r="BP139" s="978" t="str">
        <f>IF(I139="Si",VLOOKUP($D$8,'Tablas Técnicas'!$E$4:$F$6,2,FALSE),"")</f>
        <v/>
      </c>
      <c r="BQ139" s="979" t="str">
        <f>IF(L139="Si",VLOOKUP($D$8,'Tablas Técnicas'!$I$4:$J$6,2,FALSE),"")</f>
        <v/>
      </c>
      <c r="BR139" s="977" t="str">
        <f>IF(O139="Si",VLOOKUP($D$8,'Tablas Técnicas'!$I$7:$J$9,2,FALSE),"")</f>
        <v/>
      </c>
      <c r="BS139" s="994"/>
      <c r="BT139" s="3023" t="s">
        <v>1692</v>
      </c>
      <c r="BU139" s="3024" t="s">
        <v>4550</v>
      </c>
      <c r="BV139" s="971"/>
      <c r="BW139" s="3024" t="s">
        <v>4551</v>
      </c>
      <c r="BX139" s="3023" t="s">
        <v>4552</v>
      </c>
      <c r="BY139" s="1301" t="s">
        <v>4552</v>
      </c>
      <c r="BZ139" s="3027"/>
      <c r="CA139" s="939"/>
      <c r="DR139" s="939"/>
      <c r="DT139" s="1325"/>
      <c r="DU139" s="1379"/>
      <c r="DV139" s="1376" t="str">
        <f>IF(E139="","",", "&amp;E139)&amp;IF(I139="No",""," (Mant.)")&amp;IF(L139="No",""," (Sme)")&amp;IF(O139="No",""," (SMa)")</f>
        <v/>
      </c>
      <c r="DW139" s="1376"/>
      <c r="DX139" s="1378"/>
      <c r="DY139" s="1324"/>
      <c r="DZ139" s="939"/>
      <c r="EA139" s="1470">
        <f t="shared" si="2"/>
        <v>1</v>
      </c>
    </row>
    <row r="140" spans="1:131" x14ac:dyDescent="0.2">
      <c r="A140" s="939"/>
      <c r="B140" s="939"/>
      <c r="C140" s="4822"/>
      <c r="D140" s="1452" t="s">
        <v>1766</v>
      </c>
      <c r="E140" s="995"/>
      <c r="F140" s="1025"/>
      <c r="G140" s="1437" t="str">
        <f>IF(E140=0,"",VLOOKUP(E140,'Tablas Técnicas'!$A$14:$V$771,3,FALSE))</f>
        <v/>
      </c>
      <c r="H140" s="998" t="str">
        <f>IF($E140=0,"",VLOOKUP($E140,'Tablas Técnicas'!$A$14:$V$771,4,FALSE))</f>
        <v/>
      </c>
      <c r="I140" s="999" t="s">
        <v>1690</v>
      </c>
      <c r="J140" s="1415" t="str">
        <f>IF(E140=0,"",VLOOKUP(E140,'Tablas Técnicas'!$A$14:$V$771,5,FALSE))</f>
        <v/>
      </c>
      <c r="K140" s="1001" t="str">
        <f>IF(I140="Si",IF(E140=0,"",VLOOKUP(E140,'Tablas Técnicas'!$A$14:$V$771,5,FALSE)),"")</f>
        <v/>
      </c>
      <c r="L140" s="999" t="s">
        <v>1690</v>
      </c>
      <c r="M140" s="1415" t="str">
        <f>IF(E140=0,"",VLOOKUP(E140,'Tablas Técnicas'!$A$14:$V$771,6,FALSE))</f>
        <v/>
      </c>
      <c r="N140" s="1002" t="str">
        <f>IF(L140="Si",IF(E140=0,"",VLOOKUP(E140,'Tablas Técnicas'!$A$14:$V$771,6,FALSE)),"")</f>
        <v/>
      </c>
      <c r="O140" s="999" t="s">
        <v>1690</v>
      </c>
      <c r="P140" s="1415" t="str">
        <f>IF(E140=0,"",VLOOKUP(E140,'Tablas Técnicas'!$A$14:$V$771,7,FALSE))</f>
        <v/>
      </c>
      <c r="Q140" s="1002" t="str">
        <f>IF(O140="Si",IF(E140=0,"",VLOOKUP(E140,'Tablas Técnicas'!$A$14:$V$771,7,FALSE)),"")</f>
        <v/>
      </c>
      <c r="R140" s="1000" t="str">
        <f>IF(E140=0,"",VLOOKUP(E140,'Tablas Técnicas'!$A$14:$V$771,8,FALSE))</f>
        <v/>
      </c>
      <c r="S140" s="998" t="str">
        <f>IF(R140=$D$8,$D$8,IF(R140=2,2,IF(R140=3,3,R140)))</f>
        <v/>
      </c>
      <c r="T140" s="4796" t="s">
        <v>4542</v>
      </c>
      <c r="U140" s="4797"/>
      <c r="V140" s="4797"/>
      <c r="W140" s="4797"/>
      <c r="X140" s="4797"/>
      <c r="Y140" s="4797"/>
      <c r="Z140" s="4797"/>
      <c r="AA140" s="4797"/>
      <c r="AB140" s="4797"/>
      <c r="AC140" s="4797"/>
      <c r="AD140" s="4797"/>
      <c r="AE140" s="4797"/>
      <c r="AF140" s="4797"/>
      <c r="AG140" s="4797"/>
      <c r="AH140" s="4797"/>
      <c r="AI140" s="4797"/>
      <c r="AJ140" s="4797"/>
      <c r="AK140" s="4797"/>
      <c r="AL140" s="4797"/>
      <c r="AM140" s="4797"/>
      <c r="AN140" s="4797"/>
      <c r="AO140" s="4797"/>
      <c r="AP140" s="4797"/>
      <c r="AQ140" s="4797"/>
      <c r="AR140" s="4797"/>
      <c r="AS140" s="4797"/>
      <c r="AT140" s="4797"/>
      <c r="AU140" s="4797"/>
      <c r="AV140" s="4797"/>
      <c r="AW140" s="4797"/>
      <c r="AX140" s="4797"/>
      <c r="AY140" s="4797"/>
      <c r="AZ140" s="4797"/>
      <c r="BA140" s="4797"/>
      <c r="BB140" s="4797"/>
      <c r="BC140" s="4797"/>
      <c r="BD140" s="4797"/>
      <c r="BE140" s="4797"/>
      <c r="BF140" s="4797"/>
      <c r="BG140" s="4797"/>
      <c r="BH140" s="4797"/>
      <c r="BI140" s="4797"/>
      <c r="BJ140" s="4797"/>
      <c r="BK140" s="4798"/>
      <c r="BL140" s="1437"/>
      <c r="BM140" s="1438"/>
      <c r="BN140" s="992"/>
      <c r="BO140" s="993"/>
      <c r="BP140" s="978" t="str">
        <f>IF(I140="Si",VLOOKUP($D$8,'Tablas Técnicas'!$E$4:$F$6,2,FALSE),"")</f>
        <v/>
      </c>
      <c r="BQ140" s="979" t="str">
        <f>IF(L140="Si",VLOOKUP($D$8,'Tablas Técnicas'!$I$4:$J$6,2,FALSE),"")</f>
        <v/>
      </c>
      <c r="BR140" s="977" t="str">
        <f>IF(O140="Si",VLOOKUP($D$8,'Tablas Técnicas'!$I$7:$J$9,2,FALSE),"")</f>
        <v/>
      </c>
      <c r="BS140" s="994"/>
      <c r="BT140" s="3028">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356"/>
      <c r="BV140" s="971"/>
      <c r="BW140" s="1026" t="str">
        <f>IF(SUM(BT140:BU140)=0,"N/A",SUM(BT140:BU140))</f>
        <v>N/A</v>
      </c>
      <c r="BX140" s="3028">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26" t="str">
        <f>IF(BX140=0,"N/A",BX140)</f>
        <v>N/A</v>
      </c>
      <c r="BZ140" s="3027"/>
      <c r="CA140" s="939"/>
      <c r="DR140" s="939"/>
      <c r="DT140" s="1325"/>
      <c r="DU140" s="1379"/>
      <c r="DV140" s="1376" t="str">
        <f>IF(E140="",""," "&amp;E140)&amp;IF(I140="No",""," (Mant.)")&amp;IF(L140="No",""," (Sme)")&amp;IF(O140="No",""," (SMa)")</f>
        <v/>
      </c>
      <c r="DW140" s="1376"/>
      <c r="DX140" s="1378"/>
      <c r="DY140" s="1324"/>
      <c r="DZ140" s="939"/>
      <c r="EA140" s="1470">
        <f t="shared" si="2"/>
        <v>1</v>
      </c>
    </row>
    <row r="141" spans="1:131" x14ac:dyDescent="0.2">
      <c r="A141" s="939"/>
      <c r="B141" s="939"/>
      <c r="C141" s="4822"/>
      <c r="D141" s="1453" t="s">
        <v>1766</v>
      </c>
      <c r="E141" s="1003"/>
      <c r="F141" s="1019"/>
      <c r="G141" s="989" t="str">
        <f>IF(E141=0,"",VLOOKUP(E141,'Tablas Técnicas'!$A$14:$V$771,3,FALSE))</f>
        <v/>
      </c>
      <c r="H141" s="3033" t="str">
        <f>IF($E141=0,"",VLOOKUP($E141,'Tablas Técnicas'!$A$14:$V$771,4,FALSE))</f>
        <v/>
      </c>
      <c r="I141" s="987" t="s">
        <v>1690</v>
      </c>
      <c r="J141" s="1411" t="str">
        <f>IF(E141=0,"",VLOOKUP(E141,'Tablas Técnicas'!$A$14:$V$771,5,FALSE))</f>
        <v/>
      </c>
      <c r="K141" s="1006" t="str">
        <f>IF(I141="Si",IF(E141=0,"",VLOOKUP(E141,'Tablas Técnicas'!$A$14:$V$771,5,FALSE)),"")</f>
        <v/>
      </c>
      <c r="L141" s="987" t="s">
        <v>1690</v>
      </c>
      <c r="M141" s="1411" t="str">
        <f>IF(E141=0,"",VLOOKUP(E141,'Tablas Técnicas'!$A$14:$V$771,6,FALSE))</f>
        <v/>
      </c>
      <c r="N141" s="990" t="str">
        <f>IF(L141="Si",IF(E141=0,"",VLOOKUP(E141,'Tablas Técnicas'!$A$14:$V$771,6,FALSE)),"")</f>
        <v/>
      </c>
      <c r="O141" s="987" t="s">
        <v>1690</v>
      </c>
      <c r="P141" s="1411" t="str">
        <f>IF(E141=0,"",VLOOKUP(E141,'Tablas Técnicas'!$A$14:$V$771,7,FALSE))</f>
        <v/>
      </c>
      <c r="Q141" s="990" t="str">
        <f>IF(O141="Si",IF(E141=0,"",VLOOKUP(E141,'Tablas Técnicas'!$A$14:$V$771,7,FALSE)),"")</f>
        <v/>
      </c>
      <c r="R141" s="1005" t="str">
        <f>IF(E141=0,"",VLOOKUP(E141,'Tablas Técnicas'!$A$14:$V$771,8,FALSE))</f>
        <v/>
      </c>
      <c r="S141" s="3033" t="str">
        <f>IF(R141=$D$8,$D$8,IF(R141=2,2,IF(R141=3,3,R141)))</f>
        <v/>
      </c>
      <c r="T141" s="4809"/>
      <c r="U141" s="4810"/>
      <c r="V141" s="3029" t="str">
        <f>IF(OR(V139=0,V139=""),"N/A",V139)</f>
        <v>N/A</v>
      </c>
      <c r="W141" s="4809" t="str">
        <f xml:space="preserve"> IF(OR(AF139=0,AF139=""),"N/A",W139)</f>
        <v>N/A</v>
      </c>
      <c r="X141" s="4811"/>
      <c r="Y141" s="4811"/>
      <c r="Z141" s="4811"/>
      <c r="AA141" s="4811"/>
      <c r="AB141" s="4811"/>
      <c r="AC141" s="4811"/>
      <c r="AD141" s="4811"/>
      <c r="AE141" s="4811"/>
      <c r="AF141" s="4810"/>
      <c r="AG141" s="4809" t="str">
        <f xml:space="preserve"> IF(OR(AP139="",AP139=0),"N/A",AG139)</f>
        <v>N/A</v>
      </c>
      <c r="AH141" s="4811"/>
      <c r="AI141" s="4811"/>
      <c r="AJ141" s="4811"/>
      <c r="AK141" s="4811"/>
      <c r="AL141" s="4811"/>
      <c r="AM141" s="4811"/>
      <c r="AN141" s="4811"/>
      <c r="AO141" s="4811"/>
      <c r="AP141" s="4810"/>
      <c r="AQ141" s="4809" t="str">
        <f xml:space="preserve"> IF(OR(AZ139="",AZ139=0),"N/A",AQ139)</f>
        <v>N/A</v>
      </c>
      <c r="AR141" s="4811"/>
      <c r="AS141" s="4811"/>
      <c r="AT141" s="4811"/>
      <c r="AU141" s="4811"/>
      <c r="AV141" s="4811"/>
      <c r="AW141" s="4811"/>
      <c r="AX141" s="4811"/>
      <c r="AY141" s="4811"/>
      <c r="AZ141" s="4810"/>
      <c r="BA141" s="4809" t="str">
        <f xml:space="preserve"> IF(OR(BJ139="",BJ139=0),"N/A",BA139)</f>
        <v>N/A</v>
      </c>
      <c r="BB141" s="4811"/>
      <c r="BC141" s="4811"/>
      <c r="BD141" s="4811"/>
      <c r="BE141" s="4811"/>
      <c r="BF141" s="4811"/>
      <c r="BG141" s="4811"/>
      <c r="BH141" s="4811"/>
      <c r="BI141" s="4811"/>
      <c r="BJ141" s="4810"/>
      <c r="BK141" s="1007" t="s">
        <v>4543</v>
      </c>
      <c r="BL141" s="989"/>
      <c r="BM141" s="1024"/>
      <c r="BN141" s="1008"/>
      <c r="BO141" s="1009"/>
      <c r="BP141" s="1010" t="str">
        <f>IF(I141="Si",VLOOKUP($D$8,'Tablas Técnicas'!$E$4:$F$6,2,FALSE),"")</f>
        <v/>
      </c>
      <c r="BQ141" s="980" t="str">
        <f>IF(L141="Si",VLOOKUP($D$8,'Tablas Técnicas'!$I$4:$J$6,2,FALSE),"")</f>
        <v/>
      </c>
      <c r="BR141" s="1011" t="str">
        <f>IF(O141="Si",VLOOKUP($D$8,'Tablas Técnicas'!$I$7:$J$9,2,FALSE),"")</f>
        <v/>
      </c>
      <c r="BS141" s="994"/>
      <c r="BT141" s="3023" t="s">
        <v>1700</v>
      </c>
      <c r="BU141" s="3024" t="s">
        <v>4550</v>
      </c>
      <c r="BV141" s="971"/>
      <c r="BW141" s="3024" t="s">
        <v>4551</v>
      </c>
      <c r="BX141" s="3023" t="s">
        <v>4552</v>
      </c>
      <c r="BY141" s="1301" t="s">
        <v>4552</v>
      </c>
      <c r="BZ141" s="3027"/>
      <c r="CA141" s="939"/>
      <c r="DR141" s="939"/>
      <c r="DT141" s="1325"/>
      <c r="DU141" s="1379"/>
      <c r="DV141" s="1376" t="str">
        <f>IF(E141="","",E141)&amp;IF(I141="No",""," (Mant.)")&amp;IF(L141="No",""," (Sme)")&amp;IF(O141="No",""," (SMa)")</f>
        <v/>
      </c>
      <c r="DW141" s="1377"/>
      <c r="DX141" s="1378"/>
      <c r="DY141" s="1324"/>
      <c r="DZ141" s="939"/>
      <c r="EA141" s="1470">
        <f t="shared" si="2"/>
        <v>1</v>
      </c>
    </row>
    <row r="142" spans="1:131" x14ac:dyDescent="0.2">
      <c r="A142" s="939"/>
      <c r="B142" s="939"/>
      <c r="C142" s="4822"/>
      <c r="D142" s="1452" t="s">
        <v>1766</v>
      </c>
      <c r="E142" s="995"/>
      <c r="F142" s="1025"/>
      <c r="G142" s="1437" t="str">
        <f>IF(E142=0,"",VLOOKUP(E142,'Tablas Técnicas'!$A$14:$V$771,3,FALSE))</f>
        <v/>
      </c>
      <c r="H142" s="998" t="str">
        <f>IF($E142=0,"",VLOOKUP($E142,'Tablas Técnicas'!$A$14:$V$771,4,FALSE))</f>
        <v/>
      </c>
      <c r="I142" s="999" t="s">
        <v>1690</v>
      </c>
      <c r="J142" s="1415" t="str">
        <f>IF(E142=0,"",VLOOKUP(E142,'Tablas Técnicas'!$A$14:$V$771,5,FALSE))</f>
        <v/>
      </c>
      <c r="K142" s="1001" t="str">
        <f>IF(I142="Si",IF(E142=0,"",VLOOKUP(E142,'Tablas Técnicas'!$A$14:$V$771,5,FALSE)),"")</f>
        <v/>
      </c>
      <c r="L142" s="999" t="s">
        <v>1690</v>
      </c>
      <c r="M142" s="1415" t="str">
        <f>IF(E142=0,"",VLOOKUP(E142,'Tablas Técnicas'!$A$14:$V$771,6,FALSE))</f>
        <v/>
      </c>
      <c r="N142" s="1002" t="str">
        <f>IF(L142="Si",IF(E142=0,"",VLOOKUP(E142,'Tablas Técnicas'!$A$14:$V$771,6,FALSE)),"")</f>
        <v/>
      </c>
      <c r="O142" s="999" t="s">
        <v>1690</v>
      </c>
      <c r="P142" s="1415" t="str">
        <f>IF(E142=0,"",VLOOKUP(E142,'Tablas Técnicas'!$A$14:$V$771,7,FALSE))</f>
        <v/>
      </c>
      <c r="Q142" s="1002" t="str">
        <f>IF(O142="Si",IF(E142=0,"",VLOOKUP(E142,'Tablas Técnicas'!$A$14:$V$771,7,FALSE)),"")</f>
        <v/>
      </c>
      <c r="R142" s="1000" t="str">
        <f>IF(E142=0,"",VLOOKUP(E142,'Tablas Técnicas'!$A$14:$V$771,8,FALSE))</f>
        <v/>
      </c>
      <c r="S142" s="998" t="str">
        <f>IF(R142=$D$8,$D$8,IF(R142=2,2,IF(R142=3,3,R142)))</f>
        <v/>
      </c>
      <c r="T142" s="4812" t="s">
        <v>4544</v>
      </c>
      <c r="U142" s="4813"/>
      <c r="V142" s="3025"/>
      <c r="W142" s="4814"/>
      <c r="X142" s="4815"/>
      <c r="Y142" s="4815"/>
      <c r="Z142" s="4815"/>
      <c r="AA142" s="4815"/>
      <c r="AB142" s="4815"/>
      <c r="AC142" s="4815"/>
      <c r="AD142" s="4815"/>
      <c r="AE142" s="4815"/>
      <c r="AF142" s="4816"/>
      <c r="AG142" s="4814"/>
      <c r="AH142" s="4815"/>
      <c r="AI142" s="4815"/>
      <c r="AJ142" s="4815"/>
      <c r="AK142" s="4815"/>
      <c r="AL142" s="4815"/>
      <c r="AM142" s="4815"/>
      <c r="AN142" s="4815"/>
      <c r="AO142" s="4815"/>
      <c r="AP142" s="4816"/>
      <c r="AQ142" s="4814"/>
      <c r="AR142" s="4815"/>
      <c r="AS142" s="4815"/>
      <c r="AT142" s="4815"/>
      <c r="AU142" s="4815"/>
      <c r="AV142" s="4815"/>
      <c r="AW142" s="4815"/>
      <c r="AX142" s="4815"/>
      <c r="AY142" s="4815"/>
      <c r="AZ142" s="4816"/>
      <c r="BA142" s="4814"/>
      <c r="BB142" s="4815"/>
      <c r="BC142" s="4815"/>
      <c r="BD142" s="4815"/>
      <c r="BE142" s="4815"/>
      <c r="BF142" s="4815"/>
      <c r="BG142" s="4815"/>
      <c r="BH142" s="4815"/>
      <c r="BI142" s="4815"/>
      <c r="BJ142" s="4816"/>
      <c r="BK142" s="998">
        <f>(SUM(G139:G143)+IF(AF139="",0,AF139)+IF(AP139="",0,AP139)+IF(AZ139="",0,AZ139)+IF(BJ139="",0,BJ139)+SUM(K139:K143)+SUM(N139:N143)+SUM(Q139:Q143))- SUM(V142:BA142)</f>
        <v>0</v>
      </c>
      <c r="BL142" s="1437"/>
      <c r="BM142" s="1438"/>
      <c r="BN142" s="992"/>
      <c r="BO142" s="993"/>
      <c r="BP142" s="978" t="str">
        <f>IF(I142="Si",VLOOKUP($D$8,'Tablas Técnicas'!$E$4:$F$6,2,FALSE),"")</f>
        <v/>
      </c>
      <c r="BQ142" s="979" t="str">
        <f>IF(L142="Si",VLOOKUP($D$8,'Tablas Técnicas'!$I$4:$J$6,2,FALSE),"")</f>
        <v/>
      </c>
      <c r="BR142" s="977" t="str">
        <f>IF(O142="Si",VLOOKUP($D$8,'Tablas Técnicas'!$I$7:$J$9,2,FALSE),"")</f>
        <v/>
      </c>
      <c r="BS142" s="994"/>
      <c r="BT142" s="3028">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356"/>
      <c r="BV142" s="971"/>
      <c r="BW142" s="1026" t="str">
        <f>IF(SUM(BT142:BU142)=0,"N/A",SUM(BT142:BU142))</f>
        <v>N/A</v>
      </c>
      <c r="BX142" s="3028">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26" t="str">
        <f>IF(BX142=0,"N/A",BX142)</f>
        <v>N/A</v>
      </c>
      <c r="BZ142" s="3027"/>
      <c r="CA142" s="939"/>
      <c r="DR142" s="939"/>
      <c r="DT142" s="1325"/>
      <c r="DU142" s="1379"/>
      <c r="DV142" s="1376" t="str">
        <f>IF(E142="","",E142)&amp;IF(I142="No",""," (Mant.)")&amp;IF(L142="No",""," (Sme)")&amp;IF(O142="No",""," (SMa)")</f>
        <v/>
      </c>
      <c r="DW142" s="1377"/>
      <c r="DX142" s="1378"/>
      <c r="DY142" s="1324"/>
      <c r="DZ142" s="939"/>
      <c r="EA142" s="1470">
        <f t="shared" si="2"/>
        <v>1</v>
      </c>
    </row>
    <row r="143" spans="1:131" s="1013" customFormat="1" x14ac:dyDescent="0.2">
      <c r="A143" s="939"/>
      <c r="B143" s="939"/>
      <c r="C143" s="4822"/>
      <c r="D143" s="1453" t="s">
        <v>1766</v>
      </c>
      <c r="E143" s="1003"/>
      <c r="F143" s="1019"/>
      <c r="G143" s="989" t="str">
        <f>IF(E143=0,"",VLOOKUP(E143,'Tablas Técnicas'!$A$14:$V$771,3,FALSE))</f>
        <v/>
      </c>
      <c r="H143" s="1014" t="str">
        <f>IF($E143=0,"",VLOOKUP($E143,'Tablas Técnicas'!$A$14:$V$771,4,FALSE))</f>
        <v/>
      </c>
      <c r="I143" s="987" t="s">
        <v>1690</v>
      </c>
      <c r="J143" s="1418" t="str">
        <f>IF(E143=0,"",VLOOKUP(E143,'Tablas Técnicas'!$A$14:$V$771,5,FALSE))</f>
        <v/>
      </c>
      <c r="K143" s="1015" t="str">
        <f>IF(I143="Si",IF(E143=0,"",VLOOKUP(E143,'Tablas Técnicas'!$A$14:$V$771,5,FALSE)),"")</f>
        <v/>
      </c>
      <c r="L143" s="987" t="s">
        <v>1690</v>
      </c>
      <c r="M143" s="1418" t="str">
        <f>IF(E143=0,"",VLOOKUP(E143,'Tablas Técnicas'!$A$14:$V$771,6,FALSE))</f>
        <v/>
      </c>
      <c r="N143" s="990" t="str">
        <f>IF(L143="Si",IF(E143=0,"",VLOOKUP(E143,'Tablas Técnicas'!$A$14:$V$771,6,FALSE)),"")</f>
        <v/>
      </c>
      <c r="O143" s="987" t="s">
        <v>1690</v>
      </c>
      <c r="P143" s="1418" t="str">
        <f>IF(E143=0,"",VLOOKUP(E143,'Tablas Técnicas'!$A$14:$V$771,7,FALSE))</f>
        <v/>
      </c>
      <c r="Q143" s="990" t="str">
        <f>IF(O143="Si",IF(E143=0,"",VLOOKUP(E143,'Tablas Técnicas'!$A$14:$V$771,7,FALSE)),"")</f>
        <v/>
      </c>
      <c r="R143" s="1035" t="str">
        <f>IF(E143=0,"",VLOOKUP(E143,'Tablas Técnicas'!$A$14:$V$771,8,FALSE))</f>
        <v/>
      </c>
      <c r="S143" s="1004" t="str">
        <f>IF(R143=$D$8,$D$8,IF(R143=2,2,IF(R143=3,3,R143)))</f>
        <v/>
      </c>
      <c r="T143" s="4803" t="s">
        <v>4546</v>
      </c>
      <c r="U143" s="4804"/>
      <c r="V143" s="3032"/>
      <c r="W143" s="4805"/>
      <c r="X143" s="4806"/>
      <c r="Y143" s="4806"/>
      <c r="Z143" s="4806"/>
      <c r="AA143" s="4806"/>
      <c r="AB143" s="4806"/>
      <c r="AC143" s="4806"/>
      <c r="AD143" s="4806"/>
      <c r="AE143" s="4806"/>
      <c r="AF143" s="4807"/>
      <c r="AG143" s="4805"/>
      <c r="AH143" s="4806"/>
      <c r="AI143" s="4806"/>
      <c r="AJ143" s="4806"/>
      <c r="AK143" s="4806"/>
      <c r="AL143" s="4806"/>
      <c r="AM143" s="4806"/>
      <c r="AN143" s="4806"/>
      <c r="AO143" s="4806"/>
      <c r="AP143" s="4807"/>
      <c r="AQ143" s="4805"/>
      <c r="AR143" s="4806"/>
      <c r="AS143" s="4806"/>
      <c r="AT143" s="4806"/>
      <c r="AU143" s="4806"/>
      <c r="AV143" s="4806"/>
      <c r="AW143" s="4806"/>
      <c r="AX143" s="4806"/>
      <c r="AY143" s="4806"/>
      <c r="AZ143" s="4807"/>
      <c r="BA143" s="4805"/>
      <c r="BB143" s="4806"/>
      <c r="BC143" s="4806"/>
      <c r="BD143" s="4806"/>
      <c r="BE143" s="4806"/>
      <c r="BF143" s="4806"/>
      <c r="BG143" s="4806"/>
      <c r="BH143" s="4806"/>
      <c r="BI143" s="4806"/>
      <c r="BJ143" s="4807"/>
      <c r="BK143" s="1014">
        <f>SUM(K139:K143)-SUM(V143:BA143)</f>
        <v>0</v>
      </c>
      <c r="BL143" s="1439"/>
      <c r="BM143" s="1440"/>
      <c r="BN143" s="1008"/>
      <c r="BO143" s="1009"/>
      <c r="BP143" s="1010" t="str">
        <f>IF(I143="Si",VLOOKUP($D$8,'Tablas Técnicas'!$E$4:$F$6,2,FALSE),"")</f>
        <v/>
      </c>
      <c r="BQ143" s="980" t="str">
        <f>IF(L143="Si",VLOOKUP($D$8,'Tablas Técnicas'!$I$4:$J$6,2,FALSE),"")</f>
        <v/>
      </c>
      <c r="BR143" s="1011" t="str">
        <f>IF(O143="Si",VLOOKUP($D$8,'Tablas Técnicas'!$I$7:$J$9,2,FALSE),"")</f>
        <v/>
      </c>
      <c r="BS143" s="994"/>
      <c r="BT143" s="3023" t="s">
        <v>1701</v>
      </c>
      <c r="BU143" s="3024" t="s">
        <v>4550</v>
      </c>
      <c r="BV143" s="971"/>
      <c r="BW143" s="3024" t="s">
        <v>4551</v>
      </c>
      <c r="BX143" s="3023" t="s">
        <v>4552</v>
      </c>
      <c r="BY143" s="1301" t="s">
        <v>4552</v>
      </c>
      <c r="BZ143" s="3027"/>
      <c r="CA143" s="939"/>
      <c r="CC143" s="2940"/>
      <c r="DR143" s="939"/>
      <c r="DS143" s="1320"/>
      <c r="DT143" s="1325"/>
      <c r="DU143" s="1379"/>
      <c r="DV143" s="1376" t="str">
        <f>IF(E143="","",E143)&amp;IF(I143="No",""," (Mant.)")&amp;IF(L143="No",""," (Sme)")&amp;IF(O143="No",""," (SMa)")</f>
        <v/>
      </c>
      <c r="DW143" s="1377"/>
      <c r="DX143" s="1378"/>
      <c r="DY143" s="1324"/>
      <c r="DZ143" s="939"/>
      <c r="EA143" s="1470">
        <f t="shared" si="2"/>
        <v>1</v>
      </c>
    </row>
    <row r="144" spans="1:131" x14ac:dyDescent="0.2">
      <c r="A144" s="939"/>
      <c r="B144" s="1403"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822"/>
      <c r="D144" s="1454">
        <v>5</v>
      </c>
      <c r="E144" s="1246"/>
      <c r="F144" s="1016"/>
      <c r="G144" s="1017"/>
      <c r="H144" s="2159">
        <f t="array" ref="H144">IF(AND(OR(ISNUMBER(SEARCH("Empatía Elemental ("&amp;BK139:BM139&amp;")",Principal!$AF$30))),SUM(H139:H143)&gt;=10),-5,0)</f>
        <v>0</v>
      </c>
      <c r="I144" s="1413"/>
      <c r="J144" s="1416"/>
      <c r="K144" s="1017"/>
      <c r="L144" s="1413"/>
      <c r="M144" s="1416"/>
      <c r="N144" s="1017"/>
      <c r="O144" s="1413"/>
      <c r="P144" s="1416"/>
      <c r="Q144" s="1017"/>
      <c r="R144" s="1018"/>
      <c r="S144" s="1017"/>
      <c r="T144" s="1017"/>
      <c r="U144" s="1017"/>
      <c r="V144" s="1017"/>
      <c r="W144" s="1017"/>
      <c r="X144" s="1017"/>
      <c r="Y144" s="1017"/>
      <c r="Z144" s="1017"/>
      <c r="AA144" s="1017"/>
      <c r="AB144" s="1017"/>
      <c r="AC144" s="1017"/>
      <c r="AD144" s="1017"/>
      <c r="AE144" s="1017"/>
      <c r="AF144" s="1017"/>
      <c r="AG144" s="1017"/>
      <c r="AH144" s="1017"/>
      <c r="AI144" s="1017"/>
      <c r="AJ144" s="1017"/>
      <c r="AK144" s="1017"/>
      <c r="AL144" s="1017"/>
      <c r="AM144" s="1017"/>
      <c r="AN144" s="1017"/>
      <c r="AO144" s="1017"/>
      <c r="AP144" s="1017"/>
      <c r="AQ144" s="1017"/>
      <c r="AR144" s="1017"/>
      <c r="AS144" s="1017"/>
      <c r="AT144" s="1017"/>
      <c r="AU144" s="1017"/>
      <c r="AV144" s="1017"/>
      <c r="AW144" s="1017"/>
      <c r="AX144" s="1017"/>
      <c r="AY144" s="1017"/>
      <c r="AZ144" s="1017"/>
      <c r="BA144" s="1017"/>
      <c r="BB144" s="1017"/>
      <c r="BC144" s="1017"/>
      <c r="BD144" s="1017"/>
      <c r="BE144" s="1017"/>
      <c r="BF144" s="1017"/>
      <c r="BG144" s="1017"/>
      <c r="BH144" s="1017"/>
      <c r="BI144" s="1017"/>
      <c r="BJ144" s="1017"/>
      <c r="BK144" s="1017"/>
      <c r="BL144" s="1017"/>
      <c r="BM144" s="1027"/>
      <c r="BN144" s="1028">
        <f>SUM(K144:K147)</f>
        <v>0</v>
      </c>
      <c r="BO144" s="971" t="str">
        <f>IF(E144=0,"",(AF144+AP144+AZ144+BJ144))</f>
        <v/>
      </c>
      <c r="BP144" s="1029" t="str">
        <f>IF(I144="Si",VLOOKUP($D$8,'Tablas Técnicas'!$E$4:$F$6,2,FALSE),"")</f>
        <v/>
      </c>
      <c r="BQ144" s="1030" t="str">
        <f>IF(L144="Si",VLOOKUP($D$8,'Tablas Técnicas'!$I$4:$J$6,2,FALSE),"")</f>
        <v/>
      </c>
      <c r="BR144" s="1028" t="str">
        <f>IF(O144="Si",VLOOKUP($D$8,'Tablas Técnicas'!$I$7:$J$9,2,FALSE),"")</f>
        <v/>
      </c>
      <c r="BS144" s="994"/>
      <c r="BT144" s="3028">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356"/>
      <c r="BV144" s="971"/>
      <c r="BW144" s="1026" t="str">
        <f>IF(SUM(BT144:BU144)=0,"N/A",SUM(BT144:BU144))</f>
        <v>N/A</v>
      </c>
      <c r="BX144" s="3028">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26" t="str">
        <f>IF(BX144=0,"N/A",BX144)</f>
        <v>N/A</v>
      </c>
      <c r="BZ144" s="3027"/>
      <c r="CA144" s="939"/>
      <c r="DR144" s="939"/>
      <c r="DT144" s="1325"/>
      <c r="DU144" s="1379"/>
      <c r="DV144" s="1380"/>
      <c r="DW144" s="1377"/>
      <c r="DX144" s="1378"/>
      <c r="DY144" s="1324"/>
      <c r="DZ144" s="939"/>
      <c r="EA144" s="1470">
        <f t="shared" si="2"/>
        <v>1</v>
      </c>
    </row>
    <row r="145" spans="1:132" ht="11.25" customHeight="1" thickBot="1" x14ac:dyDescent="0.25">
      <c r="A145" s="939"/>
      <c r="B145" s="939"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822"/>
      <c r="D145" s="1453" t="s">
        <v>1766</v>
      </c>
      <c r="E145" s="983"/>
      <c r="F145" s="1019"/>
      <c r="G145" s="989" t="str">
        <f>IF(E145=0,"",VLOOKUP(E145,'Tablas Técnicas'!$A$14:$V$771,3,FALSE))</f>
        <v/>
      </c>
      <c r="H145" s="1031" t="str">
        <f>IF($E145=0,"",VLOOKUP($E145,'Tablas Técnicas'!$A$14:$V$771,4,FALSE))</f>
        <v/>
      </c>
      <c r="I145" s="987" t="s">
        <v>1690</v>
      </c>
      <c r="J145" s="1417" t="str">
        <f>IF(E145=0,"",VLOOKUP(E145,'Tablas Técnicas'!$A$14:$V$771,5,FALSE))</f>
        <v/>
      </c>
      <c r="K145" s="1033" t="str">
        <f>IF(I145="Si",IF(E145=0,"",VLOOKUP(E145,'Tablas Técnicas'!$A$14:$V$771,5,FALSE)),"")</f>
        <v/>
      </c>
      <c r="L145" s="987" t="s">
        <v>1690</v>
      </c>
      <c r="M145" s="1417" t="str">
        <f>IF(E145=0,"",VLOOKUP(E145,'Tablas Técnicas'!$A$14:$V$771,6,FALSE))</f>
        <v/>
      </c>
      <c r="N145" s="990" t="str">
        <f>IF(L145="Si",IF(E145=0,"",VLOOKUP(E145,'Tablas Técnicas'!$A$14:$V$771,6,FALSE)),"")</f>
        <v/>
      </c>
      <c r="O145" s="987" t="s">
        <v>1690</v>
      </c>
      <c r="P145" s="1417" t="str">
        <f>IF(E145=0,"",VLOOKUP(E145,'Tablas Técnicas'!$A$14:$V$771,7,FALSE))</f>
        <v/>
      </c>
      <c r="Q145" s="990" t="str">
        <f>IF(O145="Si",IF(E145=0,"",VLOOKUP(E145,'Tablas Técnicas'!$A$14:$V$771,7,FALSE)),"")</f>
        <v/>
      </c>
      <c r="R145" s="1032" t="str">
        <f>IF(E145=0,"",VLOOKUP(E145,'Tablas Técnicas'!$A$14:$V$771,8,FALSE))</f>
        <v/>
      </c>
      <c r="S145" s="1004" t="str">
        <f>IF(R145=$D$8,$D$8,IF(R145=2,2,IF(R145=3,3,R145)))</f>
        <v/>
      </c>
      <c r="T145" s="1033" t="str">
        <f>IF(E145=0,"",VLOOKUP(E145,'Tablas Técnicas'!$A$14:$V$771,9,FALSE))</f>
        <v/>
      </c>
      <c r="U145" s="1033" t="str">
        <f>IF(E145=0,"",VLOOKUP(E145,'Tablas Técnicas'!$A$14:$V$771,10,FALSE))</f>
        <v/>
      </c>
      <c r="V145" s="1034" t="str">
        <f>IF(E145=0,"",VLOOKUP(E145,'Tablas Técnicas'!$A$14:$V$771,11,FALSE))</f>
        <v/>
      </c>
      <c r="W145" s="987"/>
      <c r="X145" s="988" t="e">
        <f>VLOOKUP(E145,'Tablas Técnicas'!$A$14:$V$771,12,FALSE)</f>
        <v>#N/A</v>
      </c>
      <c r="Y145" s="988" t="e">
        <f>IF(W145=X145,VLOOKUP(E145,'Tablas Técnicas'!$A$14:$V$771,13,FALSE),0)</f>
        <v>#N/A</v>
      </c>
      <c r="Z145" s="988" t="e">
        <f>VLOOKUP(E145,'Tablas Técnicas'!$A$14:$V$771,14,FALSE)</f>
        <v>#N/A</v>
      </c>
      <c r="AA145" s="988" t="e">
        <f>IF(W145=Z145,VLOOKUP(E145,'Tablas Técnicas'!$A$14:$V$616,15,FALSE),0)</f>
        <v>#N/A</v>
      </c>
      <c r="AB145" s="988" t="e">
        <f>VLOOKUP(E145,'Tablas Técnicas'!$A$14:$V$771,16,FALSE)</f>
        <v>#N/A</v>
      </c>
      <c r="AC145" s="988" t="e">
        <f>IF(W145=AB145,VLOOKUP(E145,'Tablas Técnicas'!$A$14:$V$616,17,FALSE),0)</f>
        <v>#N/A</v>
      </c>
      <c r="AD145" s="988" t="e">
        <f>VLOOKUP(E145,'Tablas Técnicas'!$A$14:$V$771,18,FALSE)</f>
        <v>#N/A</v>
      </c>
      <c r="AE145" s="988" t="e">
        <f>IF(W145=AD145,VLOOKUP(E145,'Tablas Técnicas'!$A$14:$V$771,19,FALSE),0)</f>
        <v>#N/A</v>
      </c>
      <c r="AF145" s="1006" t="str">
        <f>IF(E145=0,"",(Y145+AA145+AC145+AE145))</f>
        <v/>
      </c>
      <c r="AG145" s="987"/>
      <c r="AH145" s="1005" t="e">
        <f>VLOOKUP(E145,'Tablas Técnicas'!$A$14:$V$771,12,FALSE)</f>
        <v>#N/A</v>
      </c>
      <c r="AI145" s="1005" t="e">
        <f>IF(AG145=AH145,VLOOKUP(E145,'Tablas Técnicas'!$A$14:$V$771,13,FALSE),0)</f>
        <v>#N/A</v>
      </c>
      <c r="AJ145" s="1005" t="e">
        <f>VLOOKUP(E145,'Tablas Técnicas'!$A$14:$V$771,14,FALSE)</f>
        <v>#N/A</v>
      </c>
      <c r="AK145" s="1005" t="e">
        <f>IF(AG145=AJ145,VLOOKUP(E145,'Tablas Técnicas'!$A$14:$V$771,15,FALSE),0)</f>
        <v>#N/A</v>
      </c>
      <c r="AL145" s="1005" t="e">
        <f>VLOOKUP(E145,'Tablas Técnicas'!$A$14:$V$771,16,FALSE)</f>
        <v>#N/A</v>
      </c>
      <c r="AM145" s="1005" t="e">
        <f>IF(AG145=AL145,VLOOKUP(E145,'Tablas Técnicas'!$A$14:$V$771,17,FALSE),0)</f>
        <v>#N/A</v>
      </c>
      <c r="AN145" s="1005" t="e">
        <f>VLOOKUP(E145,'Tablas Técnicas'!$A$14:$V$771,18,FALSE)</f>
        <v>#N/A</v>
      </c>
      <c r="AO145" s="1005" t="e">
        <f>IF(AG145=AN145,VLOOKUP(E145,'Tablas Técnicas'!$A$14:$V$771,19,FALSE),0)</f>
        <v>#N/A</v>
      </c>
      <c r="AP145" s="3034" t="str">
        <f>IF(E145=0,"",(AI145+AK145+AM145+AO145))</f>
        <v/>
      </c>
      <c r="AQ145" s="987"/>
      <c r="AR145" s="1005" t="e">
        <f>VLOOKUP(E145,'Tablas Técnicas'!$A$14:$V$771,12,FALSE)</f>
        <v>#N/A</v>
      </c>
      <c r="AS145" s="1005" t="e">
        <f>IF(AQ145=AR145,VLOOKUP(E145,'Tablas Técnicas'!$A$14:$V$771,13,FALSE),0)</f>
        <v>#N/A</v>
      </c>
      <c r="AT145" s="1005" t="e">
        <f>VLOOKUP(E145,'Tablas Técnicas'!$A$14:$V$771,14,FALSE)</f>
        <v>#N/A</v>
      </c>
      <c r="AU145" s="1005" t="e">
        <f>IF(AQ145=AT145,VLOOKUP(E145,'Tablas Técnicas'!$A$14:$V$771,15,FALSE),0)</f>
        <v>#N/A</v>
      </c>
      <c r="AV145" s="1005" t="e">
        <f>VLOOKUP(E145,'Tablas Técnicas'!$A$14:$V$771,16,FALSE)</f>
        <v>#N/A</v>
      </c>
      <c r="AW145" s="1005" t="e">
        <f>IF(AQ145=AV145,VLOOKUP(E145,'Tablas Técnicas'!$A$14:$V$771,17,FALSE),0)</f>
        <v>#N/A</v>
      </c>
      <c r="AX145" s="1005" t="e">
        <f>VLOOKUP(E145,'Tablas Técnicas'!$A$14:$V$771,18,FALSE)</f>
        <v>#N/A</v>
      </c>
      <c r="AY145" s="1005" t="e">
        <f>IF(AQ145=AX145,VLOOKUP(E145,'Tablas Técnicas'!$A$14:$V$771,19,FALSE),0)</f>
        <v>#N/A</v>
      </c>
      <c r="AZ145" s="1006" t="str">
        <f>IF(E145=0,"",(AS145+AU145+AW145+AY145))</f>
        <v/>
      </c>
      <c r="BA145" s="987"/>
      <c r="BB145" s="1005" t="e">
        <f>VLOOKUP(E145,'Tablas Técnicas'!$A$14:$V$771,12,FALSE)</f>
        <v>#N/A</v>
      </c>
      <c r="BC145" s="1005" t="e">
        <f>IF(BA145=BB145,VLOOKUP(E145,'Tablas Técnicas'!$A$14:$V$771,13,FALSE),0)</f>
        <v>#N/A</v>
      </c>
      <c r="BD145" s="1005" t="e">
        <f>VLOOKUP(E145,'Tablas Técnicas'!$A$14:$V$771,14,FALSE)</f>
        <v>#N/A</v>
      </c>
      <c r="BE145" s="1005" t="e">
        <f>IF(BA145=BD145,VLOOKUP(E145,'Tablas Técnicas'!$A$14:$V$771,15,FALSE),0)</f>
        <v>#N/A</v>
      </c>
      <c r="BF145" s="1005" t="e">
        <f>VLOOKUP(E145,'Tablas Técnicas'!$A$14:$V$771,16,FALSE)</f>
        <v>#N/A</v>
      </c>
      <c r="BG145" s="1005" t="e">
        <f>IF(BA145=BF145,VLOOKUP(E145,'Tablas Técnicas'!$A$14:$V$771,17,FALSE),0)</f>
        <v>#N/A</v>
      </c>
      <c r="BH145" s="1005" t="e">
        <f>VLOOKUP(E145,'Tablas Técnicas'!$A$14:$V$771,18,FALSE)</f>
        <v>#N/A</v>
      </c>
      <c r="BI145" s="1005" t="e">
        <f>IF(BA145=BH145,VLOOKUP(E145,'Tablas Técnicas'!$A$14:$V$771,19,FALSE),0)</f>
        <v>#N/A</v>
      </c>
      <c r="BJ145" s="3034" t="str">
        <f>IF(E145=0,"",(BC145+BE145+BG145+BI145))</f>
        <v/>
      </c>
      <c r="BK145" s="1033" t="str">
        <f>IF(E145=0,"",VLOOKUP(E145,'Tablas Técnicas'!$A$14:$V$771,20,FALSE))</f>
        <v/>
      </c>
      <c r="BL145" s="1020" t="str">
        <f>IF(E145=0,"",VLOOKUP(E145,'Tablas Técnicas'!$A$14:$V$771,21,FALSE))</f>
        <v/>
      </c>
      <c r="BM145" s="991" t="str">
        <f>IF(E145=0,"",VLOOKUP(E145,'Tablas Técnicas'!$A$14:$V$771,22,FALSE))</f>
        <v/>
      </c>
      <c r="BN145" s="992"/>
      <c r="BO145" s="993"/>
      <c r="BP145" s="978" t="str">
        <f>IF(I145="Si",VLOOKUP($D$8,'Tablas Técnicas'!$E$4:$F$6,2,FALSE),"")</f>
        <v/>
      </c>
      <c r="BQ145" s="979" t="str">
        <f>IF(L145="Si",VLOOKUP($D$8,'Tablas Técnicas'!$I$4:$J$6,2,FALSE),"")</f>
        <v/>
      </c>
      <c r="BR145" s="977" t="str">
        <f>IF(O145="Si",VLOOKUP($D$8,'Tablas Técnicas'!$I$7:$J$9,2,FALSE),"")</f>
        <v/>
      </c>
      <c r="BS145" s="994"/>
      <c r="BU145" s="4777"/>
      <c r="BV145" s="4777"/>
      <c r="BW145" s="4777"/>
      <c r="BX145" s="951"/>
      <c r="BY145" s="1287"/>
      <c r="BZ145" s="1304"/>
      <c r="CA145" s="939"/>
      <c r="DR145" s="939"/>
      <c r="DT145" s="1326"/>
      <c r="DU145" s="1428" t="str">
        <f>DU121&amp;DU122&amp;DU123&amp;DU124&amp;DU125&amp;DU126</f>
        <v/>
      </c>
      <c r="DV145" s="1429" t="str">
        <f>DV121&amp;DV122&amp;DV123&amp;DV124&amp;DV125&amp;DV127&amp;DV128&amp;DV129&amp;DV130&amp;DV131&amp;DV133&amp;DV134&amp;DV135&amp;DV136&amp;DV137&amp;DV139&amp;DV140&amp;DV141&amp;DV142&amp;DV143</f>
        <v/>
      </c>
      <c r="DW145" s="1430" t="str">
        <f>DW121&amp;DW122&amp;DW123</f>
        <v/>
      </c>
      <c r="DX145" s="1431" t="str">
        <f>IF(DX127="",DX121,DX127)</f>
        <v/>
      </c>
      <c r="DY145" s="1327"/>
      <c r="DZ145" s="939"/>
      <c r="EA145" s="1470">
        <f t="shared" si="2"/>
        <v>1</v>
      </c>
    </row>
    <row r="146" spans="1:132" ht="11.25" customHeight="1" x14ac:dyDescent="0.2">
      <c r="A146" s="939"/>
      <c r="B146" s="939"/>
      <c r="C146" s="4822"/>
      <c r="D146" s="1452" t="s">
        <v>1766</v>
      </c>
      <c r="E146" s="995"/>
      <c r="F146" s="1025"/>
      <c r="G146" s="1437" t="str">
        <f>IF(E146=0,"",VLOOKUP(E146,'Tablas Técnicas'!$A$14:$V$771,3,FALSE))</f>
        <v/>
      </c>
      <c r="H146" s="998" t="str">
        <f>IF($E146=0,"",VLOOKUP($E146,'Tablas Técnicas'!$A$14:$V$771,4,FALSE))</f>
        <v/>
      </c>
      <c r="I146" s="999" t="s">
        <v>1690</v>
      </c>
      <c r="J146" s="1415" t="str">
        <f>IF(E146=0,"",VLOOKUP(E146,'Tablas Técnicas'!$A$14:$V$771,5,FALSE))</f>
        <v/>
      </c>
      <c r="K146" s="1001" t="str">
        <f>IF(I146="Si",IF(E146=0,"",VLOOKUP(E146,'Tablas Técnicas'!$A$14:$V$771,5,FALSE)),"")</f>
        <v/>
      </c>
      <c r="L146" s="999" t="s">
        <v>1690</v>
      </c>
      <c r="M146" s="1415" t="str">
        <f>IF(E146=0,"",VLOOKUP(E146,'Tablas Técnicas'!$A$14:$V$771,6,FALSE))</f>
        <v/>
      </c>
      <c r="N146" s="1002" t="str">
        <f>IF(L146="Si",IF(E146=0,"",VLOOKUP(E146,'Tablas Técnicas'!$A$14:$V$771,6,FALSE)),"")</f>
        <v/>
      </c>
      <c r="O146" s="999" t="s">
        <v>1690</v>
      </c>
      <c r="P146" s="1415" t="str">
        <f>IF(E146=0,"",VLOOKUP(E146,'Tablas Técnicas'!$A$14:$V$771,7,FALSE))</f>
        <v/>
      </c>
      <c r="Q146" s="1002" t="str">
        <f>IF(O146="Si",IF(E146=0,"",VLOOKUP(E146,'Tablas Técnicas'!$A$14:$V$771,7,FALSE)),"")</f>
        <v/>
      </c>
      <c r="R146" s="1000" t="str">
        <f>IF(E146=0,"",VLOOKUP(E146,'Tablas Técnicas'!$A$14:$V$771,8,FALSE))</f>
        <v/>
      </c>
      <c r="S146" s="998" t="str">
        <f>IF(R146=$D$8,$D$8,IF(R146=2,2,IF(R146=3,3,R146)))</f>
        <v/>
      </c>
      <c r="T146" s="4796" t="s">
        <v>4542</v>
      </c>
      <c r="U146" s="4797"/>
      <c r="V146" s="4797"/>
      <c r="W146" s="4797"/>
      <c r="X146" s="4797"/>
      <c r="Y146" s="4797"/>
      <c r="Z146" s="4797"/>
      <c r="AA146" s="4797"/>
      <c r="AB146" s="4797"/>
      <c r="AC146" s="4797"/>
      <c r="AD146" s="4797"/>
      <c r="AE146" s="4797"/>
      <c r="AF146" s="4797"/>
      <c r="AG146" s="4797"/>
      <c r="AH146" s="4797"/>
      <c r="AI146" s="4797"/>
      <c r="AJ146" s="4797"/>
      <c r="AK146" s="4797"/>
      <c r="AL146" s="4797"/>
      <c r="AM146" s="4797"/>
      <c r="AN146" s="4797"/>
      <c r="AO146" s="4797"/>
      <c r="AP146" s="4797"/>
      <c r="AQ146" s="4797"/>
      <c r="AR146" s="4797"/>
      <c r="AS146" s="4797"/>
      <c r="AT146" s="4797"/>
      <c r="AU146" s="4797"/>
      <c r="AV146" s="4797"/>
      <c r="AW146" s="4797"/>
      <c r="AX146" s="4797"/>
      <c r="AY146" s="4797"/>
      <c r="AZ146" s="4797"/>
      <c r="BA146" s="4797"/>
      <c r="BB146" s="4797"/>
      <c r="BC146" s="4797"/>
      <c r="BD146" s="4797"/>
      <c r="BE146" s="4797"/>
      <c r="BF146" s="4797"/>
      <c r="BG146" s="4797"/>
      <c r="BH146" s="4797"/>
      <c r="BI146" s="4797"/>
      <c r="BJ146" s="4797"/>
      <c r="BK146" s="4798"/>
      <c r="BL146" s="1437"/>
      <c r="BM146" s="1438"/>
      <c r="BN146" s="992"/>
      <c r="BO146" s="993"/>
      <c r="BP146" s="978" t="str">
        <f>IF(I146="Si",VLOOKUP($D$8,'Tablas Técnicas'!$E$4:$F$6,2,FALSE),"")</f>
        <v/>
      </c>
      <c r="BQ146" s="979" t="str">
        <f>IF(L146="Si",VLOOKUP($D$8,'Tablas Técnicas'!$I$4:$J$6,2,FALSE),"")</f>
        <v/>
      </c>
      <c r="BR146" s="977" t="str">
        <f>IF(O146="Si",VLOOKUP($D$8,'Tablas Técnicas'!$I$7:$J$9,2,FALSE),"")</f>
        <v/>
      </c>
      <c r="BS146" s="994"/>
      <c r="BT146" s="1036"/>
      <c r="BU146" s="1074"/>
      <c r="BV146" s="1074"/>
      <c r="BW146" s="1074"/>
      <c r="BX146" s="951"/>
      <c r="BY146" s="1286"/>
      <c r="BZ146" s="1304"/>
      <c r="CA146" s="939"/>
      <c r="DR146" s="939"/>
      <c r="DT146" s="1325"/>
      <c r="DU146" s="1377"/>
      <c r="DV146" s="1376" t="str">
        <f>IF(E146="","",E146)&amp;IF(I146="No",""," (Mant.)")&amp;IF(L146="No",""," (Sme)")&amp;IF(O146="No",""," (SMa)")</f>
        <v/>
      </c>
      <c r="DW146" s="1377"/>
      <c r="DX146" s="1377"/>
      <c r="DY146" s="1324"/>
      <c r="DZ146" s="939"/>
      <c r="EA146" s="1470">
        <f t="shared" si="2"/>
        <v>1</v>
      </c>
    </row>
    <row r="147" spans="1:132" x14ac:dyDescent="0.2">
      <c r="A147" s="939"/>
      <c r="B147" s="939"/>
      <c r="C147" s="4822"/>
      <c r="D147" s="1453" t="s">
        <v>1766</v>
      </c>
      <c r="E147" s="1003"/>
      <c r="F147" s="1019"/>
      <c r="G147" s="989" t="str">
        <f>IF(E147=0,"",VLOOKUP(E147,'Tablas Técnicas'!$A$14:$V$771,3,FALSE))</f>
        <v/>
      </c>
      <c r="H147" s="3033" t="str">
        <f>IF($E147=0,"",VLOOKUP($E147,'Tablas Técnicas'!$A$14:$V$771,4,FALSE))</f>
        <v/>
      </c>
      <c r="I147" s="987" t="s">
        <v>1690</v>
      </c>
      <c r="J147" s="1411" t="str">
        <f>IF(E147=0,"",VLOOKUP(E147,'Tablas Técnicas'!$A$14:$V$771,5,FALSE))</f>
        <v/>
      </c>
      <c r="K147" s="1006" t="str">
        <f>IF(I147="Si",IF(E147=0,"",VLOOKUP(E147,'Tablas Técnicas'!$A$14:$V$771,5,FALSE)),"")</f>
        <v/>
      </c>
      <c r="L147" s="987" t="s">
        <v>1690</v>
      </c>
      <c r="M147" s="1411" t="str">
        <f>IF(E147=0,"",VLOOKUP(E147,'Tablas Técnicas'!$A$14:$V$771,6,FALSE))</f>
        <v/>
      </c>
      <c r="N147" s="990" t="str">
        <f>IF(L147="Si",IF(E147=0,"",VLOOKUP(E147,'Tablas Técnicas'!$A$14:$V$771,6,FALSE)),"")</f>
        <v/>
      </c>
      <c r="O147" s="987" t="s">
        <v>1690</v>
      </c>
      <c r="P147" s="1411" t="str">
        <f>IF(E147=0,"",VLOOKUP(E147,'Tablas Técnicas'!$A$14:$V$771,7,FALSE))</f>
        <v/>
      </c>
      <c r="Q147" s="990" t="str">
        <f>IF(O147="Si",IF(E147=0,"",VLOOKUP(E147,'Tablas Técnicas'!$A$14:$V$771,7,FALSE)),"")</f>
        <v/>
      </c>
      <c r="R147" s="1005" t="str">
        <f>IF(E147=0,"",VLOOKUP(E147,'Tablas Técnicas'!$A$14:$V$771,8,FALSE))</f>
        <v/>
      </c>
      <c r="S147" s="3033" t="str">
        <f>IF(R147=$D$8,$D$8,IF(R147=2,2,IF(R147=3,3,R147)))</f>
        <v/>
      </c>
      <c r="T147" s="4809"/>
      <c r="U147" s="4810"/>
      <c r="V147" s="3029" t="str">
        <f>IF(OR(V145=0,V145=""),"N/A",V145)</f>
        <v>N/A</v>
      </c>
      <c r="W147" s="4809" t="str">
        <f xml:space="preserve"> IF(OR(AF145=0,AF145=""),"N/A",W145)</f>
        <v>N/A</v>
      </c>
      <c r="X147" s="4811"/>
      <c r="Y147" s="4811"/>
      <c r="Z147" s="4811"/>
      <c r="AA147" s="4811"/>
      <c r="AB147" s="4811"/>
      <c r="AC147" s="4811"/>
      <c r="AD147" s="4811"/>
      <c r="AE147" s="4811"/>
      <c r="AF147" s="4810"/>
      <c r="AG147" s="4809" t="str">
        <f xml:space="preserve"> IF(OR(AP145="",AP145=0),"N/A",AG145)</f>
        <v>N/A</v>
      </c>
      <c r="AH147" s="4811"/>
      <c r="AI147" s="4811"/>
      <c r="AJ147" s="4811"/>
      <c r="AK147" s="4811"/>
      <c r="AL147" s="4811"/>
      <c r="AM147" s="4811"/>
      <c r="AN147" s="4811"/>
      <c r="AO147" s="4811"/>
      <c r="AP147" s="4810"/>
      <c r="AQ147" s="4809" t="str">
        <f xml:space="preserve"> IF(OR(AZ145="",AZ145=0),"N/A",AQ145)</f>
        <v>N/A</v>
      </c>
      <c r="AR147" s="4811"/>
      <c r="AS147" s="4811"/>
      <c r="AT147" s="4811"/>
      <c r="AU147" s="4811"/>
      <c r="AV147" s="4811"/>
      <c r="AW147" s="4811"/>
      <c r="AX147" s="4811"/>
      <c r="AY147" s="4811"/>
      <c r="AZ147" s="4810"/>
      <c r="BA147" s="4809" t="str">
        <f xml:space="preserve"> IF(OR(BJ145="",BJ145=0),"N/A",BA145)</f>
        <v>N/A</v>
      </c>
      <c r="BB147" s="4811"/>
      <c r="BC147" s="4811"/>
      <c r="BD147" s="4811"/>
      <c r="BE147" s="4811"/>
      <c r="BF147" s="4811"/>
      <c r="BG147" s="4811"/>
      <c r="BH147" s="4811"/>
      <c r="BI147" s="4811"/>
      <c r="BJ147" s="4810"/>
      <c r="BK147" s="1007" t="s">
        <v>4543</v>
      </c>
      <c r="BL147" s="989"/>
      <c r="BM147" s="1024"/>
      <c r="BN147" s="1008"/>
      <c r="BO147" s="1009"/>
      <c r="BP147" s="1010" t="str">
        <f>IF(I147="Si",VLOOKUP($D$8,'Tablas Técnicas'!$E$4:$F$6,2,FALSE),"")</f>
        <v/>
      </c>
      <c r="BQ147" s="980" t="str">
        <f>IF(L147="Si",VLOOKUP($D$8,'Tablas Técnicas'!$I$4:$J$6,2,FALSE),"")</f>
        <v/>
      </c>
      <c r="BR147" s="1011" t="str">
        <f>IF(O147="Si",VLOOKUP($D$8,'Tablas Técnicas'!$I$7:$J$9,2,FALSE),"")</f>
        <v/>
      </c>
      <c r="BS147" s="994"/>
      <c r="BU147" s="4776"/>
      <c r="BV147" s="4776"/>
      <c r="BW147" s="4776"/>
      <c r="BX147" s="951"/>
      <c r="BY147" s="1286"/>
      <c r="BZ147" s="1304"/>
      <c r="CA147" s="939"/>
      <c r="DR147" s="939"/>
      <c r="DT147" s="1325"/>
      <c r="DU147" s="1377"/>
      <c r="DV147" s="1376" t="str">
        <f>IF(E147="","",E147)&amp;IF(I147="No",""," (Mant.)")&amp;IF(L147="No",""," (Sme)")&amp;IF(O147="No",""," (SMa)")</f>
        <v/>
      </c>
      <c r="DW147" s="1377"/>
      <c r="DX147" s="1377"/>
      <c r="DY147" s="1324"/>
      <c r="DZ147" s="939"/>
      <c r="EA147" s="1470">
        <f t="shared" si="2"/>
        <v>1</v>
      </c>
    </row>
    <row r="148" spans="1:132" x14ac:dyDescent="0.2">
      <c r="A148" s="939"/>
      <c r="B148" s="939"/>
      <c r="C148" s="4822"/>
      <c r="D148" s="1452" t="s">
        <v>1766</v>
      </c>
      <c r="E148" s="995"/>
      <c r="F148" s="1025"/>
      <c r="G148" s="1437" t="str">
        <f>IF(E148=0,"",VLOOKUP(E148,'Tablas Técnicas'!$A$14:$V$771,3,FALSE))</f>
        <v/>
      </c>
      <c r="H148" s="998" t="str">
        <f>IF($E148=0,"",VLOOKUP($E148,'Tablas Técnicas'!$A$14:$V$771,4,FALSE))</f>
        <v/>
      </c>
      <c r="I148" s="999" t="s">
        <v>1690</v>
      </c>
      <c r="J148" s="1415" t="str">
        <f>IF(E148=0,"",VLOOKUP(E148,'Tablas Técnicas'!$A$14:$V$771,5,FALSE))</f>
        <v/>
      </c>
      <c r="K148" s="1001" t="str">
        <f>IF(I148="Si",IF(E148=0,"",VLOOKUP(E148,'Tablas Técnicas'!$A$14:$V$771,5,FALSE)),"")</f>
        <v/>
      </c>
      <c r="L148" s="999" t="s">
        <v>1690</v>
      </c>
      <c r="M148" s="1415" t="str">
        <f>IF(E148=0,"",VLOOKUP(E148,'Tablas Técnicas'!$A$14:$V$771,6,FALSE))</f>
        <v/>
      </c>
      <c r="N148" s="1002" t="str">
        <f>IF(L148="Si",IF(E148=0,"",VLOOKUP(E148,'Tablas Técnicas'!$A$14:$V$771,6,FALSE)),"")</f>
        <v/>
      </c>
      <c r="O148" s="999" t="s">
        <v>1690</v>
      </c>
      <c r="P148" s="1415" t="str">
        <f>IF(E148=0,"",VLOOKUP(E148,'Tablas Técnicas'!$A$14:$V$771,7,FALSE))</f>
        <v/>
      </c>
      <c r="Q148" s="1002" t="str">
        <f>IF(O148="Si",IF(E148=0,"",VLOOKUP(E148,'Tablas Técnicas'!$A$14:$V$771,7,FALSE)),"")</f>
        <v/>
      </c>
      <c r="R148" s="1000" t="str">
        <f>IF(E148=0,"",VLOOKUP(E148,'Tablas Técnicas'!$A$14:$V$771,8,FALSE))</f>
        <v/>
      </c>
      <c r="S148" s="998" t="str">
        <f>IF(R148=$D$8,$D$8,IF(R148=2,2,IF(R148=3,3,R148)))</f>
        <v/>
      </c>
      <c r="T148" s="4812" t="s">
        <v>4544</v>
      </c>
      <c r="U148" s="4813"/>
      <c r="V148" s="3025"/>
      <c r="W148" s="4814"/>
      <c r="X148" s="4815"/>
      <c r="Y148" s="4815"/>
      <c r="Z148" s="4815"/>
      <c r="AA148" s="4815"/>
      <c r="AB148" s="4815"/>
      <c r="AC148" s="4815"/>
      <c r="AD148" s="4815"/>
      <c r="AE148" s="4815"/>
      <c r="AF148" s="4816"/>
      <c r="AG148" s="4814"/>
      <c r="AH148" s="4815"/>
      <c r="AI148" s="4815"/>
      <c r="AJ148" s="4815"/>
      <c r="AK148" s="4815"/>
      <c r="AL148" s="4815"/>
      <c r="AM148" s="4815"/>
      <c r="AN148" s="4815"/>
      <c r="AO148" s="4815"/>
      <c r="AP148" s="4816"/>
      <c r="AQ148" s="4814"/>
      <c r="AR148" s="4815"/>
      <c r="AS148" s="4815"/>
      <c r="AT148" s="4815"/>
      <c r="AU148" s="4815"/>
      <c r="AV148" s="4815"/>
      <c r="AW148" s="4815"/>
      <c r="AX148" s="4815"/>
      <c r="AY148" s="4815"/>
      <c r="AZ148" s="4816"/>
      <c r="BA148" s="4814"/>
      <c r="BB148" s="4815"/>
      <c r="BC148" s="4815"/>
      <c r="BD148" s="4815"/>
      <c r="BE148" s="4815"/>
      <c r="BF148" s="4815"/>
      <c r="BG148" s="4815"/>
      <c r="BH148" s="4815"/>
      <c r="BI148" s="4815"/>
      <c r="BJ148" s="4816"/>
      <c r="BK148" s="998">
        <f>(SUM(G145:G149)+IF(AF145="",0,AF145)+IF(AP145="",0,AP145)+IF(AZ145="",0,AZ145)+IF(BJ145="",0,BJ145)+SUM(K145:K149)+SUM(N145:N149)+SUM(Q145:Q149))- SUM(V148:BA148)</f>
        <v>0</v>
      </c>
      <c r="BL148" s="1437"/>
      <c r="BM148" s="1438"/>
      <c r="BN148" s="992"/>
      <c r="BO148" s="993"/>
      <c r="BP148" s="978" t="str">
        <f>IF(I148="Si",VLOOKUP($D$8,'Tablas Técnicas'!$E$4:$F$6,2,FALSE),"")</f>
        <v/>
      </c>
      <c r="BQ148" s="979" t="str">
        <f>IF(L148="Si",VLOOKUP($D$8,'Tablas Técnicas'!$I$4:$J$6,2,FALSE),"")</f>
        <v/>
      </c>
      <c r="BR148" s="977" t="str">
        <f>IF(O148="Si",VLOOKUP($D$8,'Tablas Técnicas'!$I$7:$J$9,2,FALSE),"")</f>
        <v/>
      </c>
      <c r="BS148" s="994"/>
      <c r="BU148" s="1074"/>
      <c r="BV148" s="1074"/>
      <c r="BW148" s="1074"/>
      <c r="BX148" s="951"/>
      <c r="BY148" s="1286"/>
      <c r="BZ148" s="1304"/>
      <c r="CA148" s="943"/>
      <c r="DR148" s="943"/>
      <c r="DT148" s="1325"/>
      <c r="DU148" s="1432"/>
      <c r="DV148" s="1376" t="str">
        <f>IF(E148="","",E148)&amp;IF(I148="No",""," (Mant.)")&amp;IF(L148="No",""," (Sme)")&amp;IF(O148="No",""," (SMa)")</f>
        <v/>
      </c>
      <c r="DW148" s="1432"/>
      <c r="DX148" s="1432"/>
      <c r="DY148" s="1324"/>
      <c r="DZ148" s="943"/>
      <c r="EA148" s="1470">
        <f t="shared" si="2"/>
        <v>1</v>
      </c>
    </row>
    <row r="149" spans="1:132" x14ac:dyDescent="0.2">
      <c r="A149" s="939"/>
      <c r="B149" s="939"/>
      <c r="C149" s="4822"/>
      <c r="D149" s="1453" t="s">
        <v>1766</v>
      </c>
      <c r="E149" s="1003"/>
      <c r="F149" s="1019"/>
      <c r="G149" s="989" t="str">
        <f>IF(E149=0,"",VLOOKUP(E149,'Tablas Técnicas'!$A$14:$V$771,3,FALSE))</f>
        <v/>
      </c>
      <c r="H149" s="1004" t="str">
        <f>IF($E149=0,"",VLOOKUP($E149,'Tablas Técnicas'!$A$14:$V$771,4,FALSE))</f>
        <v/>
      </c>
      <c r="I149" s="987" t="s">
        <v>1690</v>
      </c>
      <c r="J149" s="1411" t="str">
        <f>IF(E149=0,"",VLOOKUP(E149,'Tablas Técnicas'!$A$14:$V$771,5,FALSE))</f>
        <v/>
      </c>
      <c r="K149" s="1006" t="str">
        <f>IF(I149="Si",IF(E149=0,"",VLOOKUP(E149,'Tablas Técnicas'!$A$14:$V$771,5,FALSE)),"")</f>
        <v/>
      </c>
      <c r="L149" s="987" t="s">
        <v>1690</v>
      </c>
      <c r="M149" s="1411" t="str">
        <f>IF(E149=0,"",VLOOKUP(E149,'Tablas Técnicas'!$A$14:$V$771,6,FALSE))</f>
        <v/>
      </c>
      <c r="N149" s="990" t="str">
        <f>IF(L149="Si",IF(E149=0,"",VLOOKUP(E149,'Tablas Técnicas'!$A$14:$V$771,6,FALSE)),"")</f>
        <v/>
      </c>
      <c r="O149" s="987" t="s">
        <v>1690</v>
      </c>
      <c r="P149" s="1411" t="str">
        <f>IF(E149=0,"",VLOOKUP(E149,'Tablas Técnicas'!$A$14:$V$771,7,FALSE))</f>
        <v/>
      </c>
      <c r="Q149" s="990" t="str">
        <f>IF(O149="Si",IF(E149=0,"",VLOOKUP(E149,'Tablas Técnicas'!$A$14:$V$771,7,FALSE)),"")</f>
        <v/>
      </c>
      <c r="R149" s="1005" t="str">
        <f>IF(E149=0,"",VLOOKUP(E149,'Tablas Técnicas'!$A$14:$V$771,8,FALSE))</f>
        <v/>
      </c>
      <c r="S149" s="1004" t="str">
        <f>IF(R149=$D$8,$D$8,IF(R149=2,2,IF(R149=3,3,R149)))</f>
        <v/>
      </c>
      <c r="T149" s="4817" t="s">
        <v>4546</v>
      </c>
      <c r="U149" s="4818"/>
      <c r="V149" s="3035"/>
      <c r="W149" s="4819"/>
      <c r="X149" s="4820"/>
      <c r="Y149" s="4820"/>
      <c r="Z149" s="4820"/>
      <c r="AA149" s="4820"/>
      <c r="AB149" s="4820"/>
      <c r="AC149" s="4820"/>
      <c r="AD149" s="4820"/>
      <c r="AE149" s="4820"/>
      <c r="AF149" s="4821"/>
      <c r="AG149" s="4819"/>
      <c r="AH149" s="4820"/>
      <c r="AI149" s="4820"/>
      <c r="AJ149" s="4820"/>
      <c r="AK149" s="4820"/>
      <c r="AL149" s="4820"/>
      <c r="AM149" s="4820"/>
      <c r="AN149" s="4820"/>
      <c r="AO149" s="4820"/>
      <c r="AP149" s="4821"/>
      <c r="AQ149" s="4819"/>
      <c r="AR149" s="4820"/>
      <c r="AS149" s="4820"/>
      <c r="AT149" s="4820"/>
      <c r="AU149" s="4820"/>
      <c r="AV149" s="4820"/>
      <c r="AW149" s="4820"/>
      <c r="AX149" s="4820"/>
      <c r="AY149" s="4820"/>
      <c r="AZ149" s="4821"/>
      <c r="BA149" s="4819"/>
      <c r="BB149" s="4820"/>
      <c r="BC149" s="4820"/>
      <c r="BD149" s="4820"/>
      <c r="BE149" s="4820"/>
      <c r="BF149" s="4820"/>
      <c r="BG149" s="4820"/>
      <c r="BH149" s="4820"/>
      <c r="BI149" s="4820"/>
      <c r="BJ149" s="4821"/>
      <c r="BK149" s="1004">
        <f>SUM(K145:K149)-SUM(V149:BA149)</f>
        <v>0</v>
      </c>
      <c r="BL149" s="989"/>
      <c r="BM149" s="1024"/>
      <c r="BN149" s="1008"/>
      <c r="BO149" s="1009"/>
      <c r="BP149" s="1010" t="str">
        <f>IF(I149="Si",VLOOKUP($D$8,'Tablas Técnicas'!$E$4:$F$6,2,FALSE),"")</f>
        <v/>
      </c>
      <c r="BQ149" s="980" t="str">
        <f>IF(L149="Si",VLOOKUP($D$8,'Tablas Técnicas'!$I$4:$J$6,2,FALSE),"")</f>
        <v/>
      </c>
      <c r="BR149" s="1011" t="str">
        <f>IF(O149="Si",VLOOKUP($D$8,'Tablas Técnicas'!$I$7:$J$9,2,FALSE),"")</f>
        <v/>
      </c>
      <c r="BS149" s="994"/>
      <c r="BU149" s="1074"/>
      <c r="BV149" s="1074"/>
      <c r="BW149" s="1074"/>
      <c r="BX149" s="951"/>
      <c r="BY149" s="1286"/>
      <c r="BZ149" s="1304"/>
      <c r="CA149" s="939"/>
      <c r="DR149" s="939"/>
      <c r="DT149" s="1325"/>
      <c r="DU149" s="1377"/>
      <c r="DV149" s="1376" t="str">
        <f>IF(E149="","",E149)&amp;IF(I149="No",""," (Mant.)")&amp;IF(L149="No",""," (Sme)")&amp;IF(O149="No",""," (SMa)")</f>
        <v/>
      </c>
      <c r="DW149" s="1377"/>
      <c r="DX149" s="1377"/>
      <c r="DY149" s="1324"/>
      <c r="DZ149" s="939"/>
      <c r="EA149" s="1470">
        <f t="shared" si="2"/>
        <v>1</v>
      </c>
    </row>
    <row r="150" spans="1:132" x14ac:dyDescent="0.2">
      <c r="A150" s="939"/>
      <c r="B150" s="939"/>
      <c r="C150" s="4822"/>
      <c r="D150" s="1455"/>
      <c r="E150" s="1404" t="s">
        <v>4553</v>
      </c>
      <c r="F150" s="1016"/>
      <c r="G150" s="1017"/>
      <c r="H150" s="2159">
        <f t="array" ref="H150">IF(AND(OR(ISNUMBER(SEARCH("Empatía Elemental ("&amp;BK145:BM145&amp;")",Principal!$AF$30))),SUM(H145:H149)&gt;=10),-5,0)</f>
        <v>0</v>
      </c>
      <c r="I150" s="1017"/>
      <c r="J150" s="1018"/>
      <c r="K150" s="1017"/>
      <c r="L150" s="1017"/>
      <c r="M150" s="1018"/>
      <c r="N150" s="1017"/>
      <c r="O150" s="1017"/>
      <c r="P150" s="1018"/>
      <c r="Q150" s="1017"/>
      <c r="R150" s="1018"/>
      <c r="S150" s="1017"/>
      <c r="T150" s="1017"/>
      <c r="U150" s="1037"/>
      <c r="V150" s="1037"/>
      <c r="W150" s="1037"/>
      <c r="X150" s="1037"/>
      <c r="Y150" s="1037"/>
      <c r="Z150" s="1037"/>
      <c r="AA150" s="1037"/>
      <c r="AB150" s="1037"/>
      <c r="AC150" s="1037"/>
      <c r="AD150" s="1037"/>
      <c r="AE150" s="1037"/>
      <c r="AF150" s="1037"/>
      <c r="AG150" s="1037"/>
      <c r="AH150" s="1037"/>
      <c r="AI150" s="1037"/>
      <c r="AJ150" s="1037"/>
      <c r="AK150" s="1037"/>
      <c r="AL150" s="1037"/>
      <c r="AM150" s="1037"/>
      <c r="AN150" s="1037"/>
      <c r="AO150" s="1037"/>
      <c r="AP150" s="1037"/>
      <c r="AQ150" s="1037"/>
      <c r="AR150" s="1037"/>
      <c r="AS150" s="1037"/>
      <c r="AT150" s="1037"/>
      <c r="AU150" s="1037"/>
      <c r="AV150" s="1037"/>
      <c r="AW150" s="1037"/>
      <c r="AX150" s="1037"/>
      <c r="AY150" s="1037"/>
      <c r="AZ150" s="1037"/>
      <c r="BA150" s="1037"/>
      <c r="BB150" s="1037"/>
      <c r="BC150" s="1037"/>
      <c r="BD150" s="1037"/>
      <c r="BE150" s="1037"/>
      <c r="BF150" s="1037"/>
      <c r="BG150" s="1037"/>
      <c r="BH150" s="1037"/>
      <c r="BI150" s="1037"/>
      <c r="BJ150" s="1037"/>
      <c r="BK150" s="4802"/>
      <c r="BL150" s="4802"/>
      <c r="BM150" s="4767"/>
      <c r="BN150" s="977">
        <f>SUM(K150:K153)</f>
        <v>0</v>
      </c>
      <c r="BO150" s="971">
        <f>IF(E150=0,"",(AF150+AP150+AZ150+BJ150))</f>
        <v>0</v>
      </c>
      <c r="BP150" s="978" t="str">
        <f>IF(I150="Si",VLOOKUP($D$8,'Tablas Técnicas'!$E$4:$F$6,2,FALSE),"")</f>
        <v/>
      </c>
      <c r="BQ150" s="979" t="str">
        <f>IF(L150="Si",VLOOKUP($D$8,'Tablas Técnicas'!$I$4:$J$6,2,FALSE),"")</f>
        <v/>
      </c>
      <c r="BR150" s="977" t="str">
        <f>IF(O150="Si",VLOOKUP($D$8,'Tablas Técnicas'!$I$7:$J$9,2,FALSE),"")</f>
        <v/>
      </c>
      <c r="BS150" s="994"/>
      <c r="BT150" s="4766" t="s">
        <v>4555</v>
      </c>
      <c r="BU150" s="4767"/>
      <c r="BV150" s="971"/>
      <c r="BW150" s="951"/>
      <c r="BX150" s="951"/>
      <c r="BY150" s="1286"/>
      <c r="BZ150" s="1304"/>
      <c r="CA150" s="939"/>
      <c r="DR150" s="939"/>
      <c r="DT150" s="1325"/>
      <c r="DU150" s="1377"/>
      <c r="DV150" s="1377"/>
      <c r="DW150" s="1377"/>
      <c r="DX150" s="1377"/>
      <c r="DY150" s="1324"/>
      <c r="DZ150" s="939"/>
      <c r="EA150" s="1470">
        <f t="shared" si="2"/>
        <v>1</v>
      </c>
    </row>
    <row r="151" spans="1:132" s="1013" customFormat="1" ht="12" x14ac:dyDescent="0.2">
      <c r="A151" s="939"/>
      <c r="B151" s="939"/>
      <c r="C151" s="4822"/>
      <c r="D151" s="1456" t="s">
        <v>4554</v>
      </c>
      <c r="E151" s="983"/>
      <c r="F151" s="1006"/>
      <c r="G151" s="1006"/>
      <c r="H151" s="1004" t="str">
        <f>IF(D119=0,"",IF(E151=0,"",VLOOKUP(E151,'Tablas Técnicas'!$A$14:$V$771,4,FALSE)))</f>
        <v/>
      </c>
      <c r="I151" s="1006"/>
      <c r="J151" s="1006"/>
      <c r="K151" s="1038"/>
      <c r="L151" s="1006"/>
      <c r="M151" s="1006"/>
      <c r="N151" s="1038"/>
      <c r="O151" s="1006"/>
      <c r="P151" s="1006"/>
      <c r="Q151" s="1006"/>
      <c r="R151" s="1005" t="str">
        <f>IF(E151=0,"",VLOOKUP(E151,'Tablas Técnicas'!$A$14:$V$771,8,FALSE))</f>
        <v/>
      </c>
      <c r="S151" s="1031" t="str">
        <f>IF(R151=$D$8,$D$8,IF(R151=2,2,IF(R151=3,3,R151)))</f>
        <v/>
      </c>
      <c r="T151" s="1006" t="str">
        <f>IF(E151=0,"",VLOOKUP(E151,'Tablas Técnicas'!$A$14:$V$771,9,FALSE))</f>
        <v/>
      </c>
      <c r="U151" s="1033" t="str">
        <f>IF(E151=0,"",VLOOKUP(E151,'Tablas Técnicas'!$A$14:$V$771,10,FALSE))</f>
        <v/>
      </c>
      <c r="V151" s="1034"/>
      <c r="W151" s="1034"/>
      <c r="X151" s="1033"/>
      <c r="Y151" s="1033"/>
      <c r="Z151" s="1033"/>
      <c r="AA151" s="1033"/>
      <c r="AB151" s="1033"/>
      <c r="AC151" s="1033"/>
      <c r="AD151" s="1033"/>
      <c r="AE151" s="1033"/>
      <c r="AF151" s="1033"/>
      <c r="AG151" s="4799" t="str">
        <f>IF(OR(E151='Tablas Técnicas'!A$678,E151='Tablas Técnicas'!A$679,E152='Tablas Técnicas'!A$678,E152='Tablas Técnicas'!A$679,E153='Tablas Técnicas'!A$678,E153='Tablas Técnicas'!A$679),"Selecciona la atadura elemental:","")</f>
        <v/>
      </c>
      <c r="AH151" s="4800"/>
      <c r="AI151" s="4800"/>
      <c r="AJ151" s="4800"/>
      <c r="AK151" s="4800"/>
      <c r="AL151" s="4800"/>
      <c r="AM151" s="4800"/>
      <c r="AN151" s="4800"/>
      <c r="AO151" s="4800"/>
      <c r="AP151" s="4800"/>
      <c r="AQ151" s="4800"/>
      <c r="AR151" s="4800"/>
      <c r="AS151" s="4800"/>
      <c r="AT151" s="4800"/>
      <c r="AU151" s="4800"/>
      <c r="AV151" s="4800"/>
      <c r="AW151" s="4800"/>
      <c r="AX151" s="4800"/>
      <c r="AY151" s="4800"/>
      <c r="AZ151" s="4800"/>
      <c r="BA151" s="4800"/>
      <c r="BB151" s="4800"/>
      <c r="BC151" s="4800"/>
      <c r="BD151" s="4800"/>
      <c r="BE151" s="4800"/>
      <c r="BF151" s="4800"/>
      <c r="BG151" s="4800"/>
      <c r="BH151" s="4800"/>
      <c r="BI151" s="4800"/>
      <c r="BJ151" s="4800"/>
      <c r="BK151" s="4801"/>
      <c r="BL151" s="1441"/>
      <c r="BM151" s="1441"/>
      <c r="BN151" s="1006"/>
      <c r="BO151" s="1006"/>
      <c r="BP151" s="1038"/>
      <c r="BQ151" s="1006"/>
      <c r="BR151" s="1006"/>
      <c r="BS151" s="1006"/>
      <c r="BT151" s="4768">
        <f>D119</f>
        <v>1</v>
      </c>
      <c r="BU151" s="4769"/>
      <c r="BV151" s="971">
        <f>IF(BV150=0,0,VLOOKUP(BV150,'Tablas Técnicas'!$M$4:$N$7,2,FALSE))</f>
        <v>0</v>
      </c>
      <c r="BW151" s="951"/>
      <c r="BX151" s="951"/>
      <c r="BY151" s="1286"/>
      <c r="BZ151" s="1304"/>
      <c r="CA151" s="939"/>
      <c r="CC151" s="2940"/>
      <c r="DR151" s="939"/>
      <c r="DS151" s="1320"/>
      <c r="DT151" s="1325"/>
      <c r="DU151" s="1377"/>
      <c r="DV151" s="1377"/>
      <c r="DW151" s="1377"/>
      <c r="DX151" s="1377"/>
      <c r="DY151" s="1324"/>
      <c r="DZ151" s="939"/>
      <c r="EA151" s="1470">
        <f t="shared" si="2"/>
        <v>1</v>
      </c>
    </row>
    <row r="152" spans="1:132" x14ac:dyDescent="0.2">
      <c r="A152" s="939"/>
      <c r="B152" s="939"/>
      <c r="C152" s="4822"/>
      <c r="D152" s="1452" t="s">
        <v>4556</v>
      </c>
      <c r="E152" s="1039"/>
      <c r="F152" s="1405"/>
      <c r="G152" s="1406"/>
      <c r="H152" s="996" t="str">
        <f>IF(VALUE(D119)&gt;1,IF(E152=0,"",VLOOKUP(E152,'Tablas Técnicas'!$A$14:$V$771,4,FALSE)),"")</f>
        <v/>
      </c>
      <c r="I152" s="1405"/>
      <c r="J152" s="1406"/>
      <c r="K152" s="1406"/>
      <c r="L152" s="1405"/>
      <c r="M152" s="1406"/>
      <c r="N152" s="1407"/>
      <c r="O152" s="1406"/>
      <c r="P152" s="1406"/>
      <c r="Q152" s="1406"/>
      <c r="R152" s="1000" t="str">
        <f>IF(E152=0,"",VLOOKUP(E152,'Tablas Técnicas'!$A$14:$V$771,8,FALSE))</f>
        <v/>
      </c>
      <c r="S152" s="998" t="str">
        <f>IF(R152=$D$8,$D$8,IF(R152=2,2,IF(R152=3,3,R152)))</f>
        <v/>
      </c>
      <c r="T152" s="1001" t="str">
        <f>IF(E152=0,"",VLOOKUP(E152,'Tablas Técnicas'!$A$14:$V$771,9,FALSE))</f>
        <v/>
      </c>
      <c r="U152" s="1001" t="str">
        <f>IF(E152=0,"",VLOOKUP(E152,'Tablas Técnicas'!$A$14:$V$771,10,FALSE))</f>
        <v/>
      </c>
      <c r="V152" s="1405"/>
      <c r="W152" s="1405"/>
      <c r="X152" s="1406"/>
      <c r="Y152" s="1406"/>
      <c r="Z152" s="1406"/>
      <c r="AA152" s="1406"/>
      <c r="AB152" s="1406"/>
      <c r="AC152" s="1406"/>
      <c r="AD152" s="1406"/>
      <c r="AE152" s="1406"/>
      <c r="AF152" s="1406"/>
      <c r="AG152" s="1408"/>
      <c r="AH152" s="1409"/>
      <c r="AI152" s="1409"/>
      <c r="AJ152" s="1409"/>
      <c r="AK152" s="1409"/>
      <c r="AL152" s="1409"/>
      <c r="AM152" s="1409"/>
      <c r="AN152" s="1409"/>
      <c r="AO152" s="1409"/>
      <c r="AP152" s="1407"/>
      <c r="AQ152" s="1409"/>
      <c r="AR152" s="1409"/>
      <c r="AS152" s="1409"/>
      <c r="AT152" s="1409"/>
      <c r="AU152" s="1409"/>
      <c r="AV152" s="1409"/>
      <c r="AW152" s="1409"/>
      <c r="AX152" s="1409"/>
      <c r="AY152" s="1409"/>
      <c r="AZ152" s="1410"/>
      <c r="BA152" s="1406"/>
      <c r="BB152" s="1406"/>
      <c r="BC152" s="1406"/>
      <c r="BD152" s="1406"/>
      <c r="BE152" s="1406"/>
      <c r="BF152" s="1406"/>
      <c r="BG152" s="1406"/>
      <c r="BH152" s="1406"/>
      <c r="BI152" s="1406"/>
      <c r="BJ152" s="1407"/>
      <c r="BK152" s="1406"/>
      <c r="BL152" s="1442"/>
      <c r="BM152" s="1443"/>
      <c r="BN152" s="1406"/>
      <c r="BO152" s="1406"/>
      <c r="BP152" s="1407"/>
      <c r="BQ152" s="1406"/>
      <c r="BR152" s="1406"/>
      <c r="BS152" s="1406"/>
      <c r="BU152" s="3026"/>
      <c r="BV152" s="971"/>
      <c r="BW152" s="951"/>
      <c r="BX152" s="951"/>
      <c r="BY152" s="1286"/>
      <c r="BZ152" s="1304"/>
      <c r="CA152" s="939"/>
      <c r="DR152" s="939"/>
      <c r="DT152" s="1325"/>
      <c r="DU152" s="1377"/>
      <c r="DV152" s="1377"/>
      <c r="DW152" s="1377"/>
      <c r="DX152" s="1377"/>
      <c r="DY152" s="1324"/>
      <c r="DZ152" s="939"/>
      <c r="EA152" s="1470">
        <f t="shared" si="2"/>
        <v>1</v>
      </c>
    </row>
    <row r="153" spans="1:132" x14ac:dyDescent="0.2">
      <c r="A153" s="939"/>
      <c r="B153" s="939"/>
      <c r="C153" s="4822"/>
      <c r="D153" s="1457" t="s">
        <v>4557</v>
      </c>
      <c r="E153" s="1040"/>
      <c r="F153" s="3030"/>
      <c r="G153" s="1015"/>
      <c r="H153" s="1014" t="str">
        <f>IF(VALUE(D119)=3,IF(E153=0,"",VLOOKUP(E153,'Tablas Técnicas'!$A$14:$V$771,4,FALSE)),"")</f>
        <v/>
      </c>
      <c r="I153" s="1015"/>
      <c r="J153" s="1015"/>
      <c r="K153" s="1015"/>
      <c r="L153" s="3030"/>
      <c r="M153" s="1015"/>
      <c r="N153" s="1015"/>
      <c r="O153" s="3030"/>
      <c r="P153" s="1015"/>
      <c r="Q153" s="1015"/>
      <c r="R153" s="1035" t="str">
        <f>IF(E153=0,"",VLOOKUP(E153,'Tablas Técnicas'!$A$14:$V$771,8,FALSE))</f>
        <v/>
      </c>
      <c r="S153" s="1014" t="str">
        <f>IF(R153=$D$8,$D$8,IF(R153=2,2,IF(R153=3,3,R153)))</f>
        <v/>
      </c>
      <c r="T153" s="1015" t="str">
        <f>IF(E153=0,"",VLOOKUP(E153,'Tablas Técnicas'!$A$14:$V$771,9,FALSE))</f>
        <v/>
      </c>
      <c r="U153" s="1015" t="str">
        <f>IF(E153=0,"",VLOOKUP(E153,'Tablas Técnicas'!$A$14:$V$771,10,FALSE))</f>
        <v/>
      </c>
      <c r="V153" s="3030"/>
      <c r="W153" s="1298"/>
      <c r="X153" s="1298"/>
      <c r="Y153" s="1298"/>
      <c r="Z153" s="1298"/>
      <c r="AA153" s="1298"/>
      <c r="AB153" s="1298"/>
      <c r="AC153" s="1298"/>
      <c r="AD153" s="1298"/>
      <c r="AE153" s="1298"/>
      <c r="AF153" s="1299"/>
      <c r="AG153" s="3030"/>
      <c r="AH153" s="1015"/>
      <c r="AI153" s="1015"/>
      <c r="AJ153" s="1015"/>
      <c r="AK153" s="1015"/>
      <c r="AL153" s="1015"/>
      <c r="AM153" s="1015"/>
      <c r="AN153" s="1015"/>
      <c r="AO153" s="1015"/>
      <c r="AP153" s="3031"/>
      <c r="AQ153" s="1015"/>
      <c r="AR153" s="1015"/>
      <c r="AS153" s="1015"/>
      <c r="AT153" s="1015"/>
      <c r="AU153" s="1015"/>
      <c r="AV153" s="1015"/>
      <c r="AW153" s="1015"/>
      <c r="AX153" s="1015"/>
      <c r="AY153" s="1015"/>
      <c r="AZ153" s="3031"/>
      <c r="BA153" s="1015"/>
      <c r="BB153" s="1015"/>
      <c r="BC153" s="1015"/>
      <c r="BD153" s="1015"/>
      <c r="BE153" s="1015"/>
      <c r="BF153" s="1015"/>
      <c r="BG153" s="1015"/>
      <c r="BH153" s="1015"/>
      <c r="BI153" s="1015"/>
      <c r="BJ153" s="3031"/>
      <c r="BK153" s="1015"/>
      <c r="BL153" s="1439"/>
      <c r="BM153" s="1444"/>
      <c r="BN153" s="1015"/>
      <c r="BO153" s="1015"/>
      <c r="BP153" s="1015"/>
      <c r="BQ153" s="3030"/>
      <c r="BR153" s="1015"/>
      <c r="BS153" s="1015"/>
      <c r="BT153" s="3026"/>
      <c r="BU153" s="3026"/>
      <c r="BV153" s="971">
        <f>IF(BV152=0,0,VLOOKUP(BV152,'Tablas Técnicas'!$M$4:$N$7,2,FALSE))</f>
        <v>0</v>
      </c>
      <c r="BW153" s="951"/>
      <c r="BX153" s="951"/>
      <c r="BY153" s="1286"/>
      <c r="BZ153" s="1304"/>
      <c r="CA153" s="943"/>
      <c r="DR153" s="943"/>
      <c r="DT153" s="1328"/>
      <c r="DU153" s="1433"/>
      <c r="DV153" s="1433"/>
      <c r="DW153" s="1433"/>
      <c r="DX153" s="1433"/>
      <c r="DY153" s="1329"/>
      <c r="DZ153" s="943"/>
      <c r="EA153" s="1470">
        <f t="shared" si="2"/>
        <v>1</v>
      </c>
    </row>
    <row r="154" spans="1:132" x14ac:dyDescent="0.2">
      <c r="A154" s="943"/>
      <c r="B154" s="943"/>
      <c r="C154" s="4822"/>
      <c r="D154" s="1458"/>
      <c r="E154" s="3026"/>
      <c r="F154" s="951"/>
      <c r="G154" s="3026"/>
      <c r="H154" s="3026"/>
      <c r="I154" s="951"/>
      <c r="J154" s="3026"/>
      <c r="K154" s="3026"/>
      <c r="L154" s="3026"/>
      <c r="M154" s="3026"/>
      <c r="N154" s="3026"/>
      <c r="O154" s="3026"/>
      <c r="P154" s="3026"/>
      <c r="Q154" s="3026"/>
      <c r="R154" s="3026"/>
      <c r="S154" s="3026"/>
      <c r="T154" s="3026"/>
      <c r="U154" s="3026"/>
      <c r="V154" s="3026"/>
      <c r="W154" s="3026"/>
      <c r="X154" s="3026"/>
      <c r="Y154" s="3026"/>
      <c r="Z154" s="3026"/>
      <c r="AA154" s="3026"/>
      <c r="AB154" s="3026"/>
      <c r="AC154" s="3026"/>
      <c r="AD154" s="3026"/>
      <c r="AE154" s="3026"/>
      <c r="AF154" s="3026"/>
      <c r="AG154" s="3026"/>
      <c r="AH154" s="3026"/>
      <c r="AI154" s="3026"/>
      <c r="AJ154" s="3026"/>
      <c r="AK154" s="3026"/>
      <c r="AL154" s="3026"/>
      <c r="AM154" s="3026"/>
      <c r="AN154" s="3026"/>
      <c r="AO154" s="3026"/>
      <c r="AP154" s="3026"/>
      <c r="AQ154" s="3026"/>
      <c r="AR154" s="3026"/>
      <c r="AS154" s="3026"/>
      <c r="AT154" s="3026"/>
      <c r="AU154" s="3026"/>
      <c r="AV154" s="3026"/>
      <c r="AW154" s="3026"/>
      <c r="AX154" s="3026"/>
      <c r="AY154" s="3026"/>
      <c r="AZ154" s="3026"/>
      <c r="BA154" s="3026"/>
      <c r="BB154" s="3026"/>
      <c r="BC154" s="3026"/>
      <c r="BD154" s="3026"/>
      <c r="BE154" s="3026"/>
      <c r="BF154" s="3026"/>
      <c r="BG154" s="3026"/>
      <c r="BH154" s="3026"/>
      <c r="BI154" s="3026"/>
      <c r="BJ154" s="3026"/>
      <c r="BK154" s="3026"/>
      <c r="BL154" s="3026"/>
      <c r="BM154" s="3026"/>
      <c r="BN154" s="944">
        <f>SUM(BN159:BN174)</f>
        <v>0</v>
      </c>
      <c r="BO154" s="944">
        <f>SUM(BO159:BO174)</f>
        <v>0</v>
      </c>
      <c r="BP154" s="944">
        <f>SUM(BP159:BP174)</f>
        <v>0</v>
      </c>
      <c r="BQ154" s="944">
        <f>SUM(BQ159:BQ174)</f>
        <v>0</v>
      </c>
      <c r="BR154" s="944">
        <f>SUM(BR159:BR174)</f>
        <v>0</v>
      </c>
      <c r="BS154" s="1041"/>
      <c r="BU154" s="3026"/>
      <c r="BW154" s="951"/>
      <c r="BX154" s="951"/>
      <c r="BY154" s="960"/>
      <c r="BZ154" s="1304"/>
      <c r="CA154" s="939"/>
      <c r="DR154" s="939"/>
      <c r="DT154" s="1325"/>
      <c r="DU154" s="1377"/>
      <c r="DV154" s="1377"/>
      <c r="DW154" s="1377"/>
      <c r="DX154" s="1377"/>
      <c r="DY154" s="1324"/>
      <c r="DZ154" s="939"/>
      <c r="EA154" s="1470">
        <f t="shared" si="2"/>
        <v>1</v>
      </c>
    </row>
    <row r="155" spans="1:132" x14ac:dyDescent="0.2">
      <c r="A155" s="939"/>
      <c r="B155" s="939"/>
      <c r="C155" s="4822"/>
      <c r="D155" s="1450" t="s">
        <v>7698</v>
      </c>
      <c r="E155" s="2941"/>
      <c r="F155" s="957"/>
      <c r="G155" s="957"/>
      <c r="H155" s="957"/>
      <c r="I155" s="957"/>
      <c r="J155" s="958"/>
      <c r="K155" s="957"/>
      <c r="L155" s="957"/>
      <c r="M155" s="958"/>
      <c r="N155" s="957"/>
      <c r="O155" s="957"/>
      <c r="P155" s="958"/>
      <c r="Q155" s="957"/>
      <c r="R155" s="958"/>
      <c r="S155" s="957"/>
      <c r="T155" s="957"/>
      <c r="U155" s="957"/>
      <c r="V155" s="957"/>
      <c r="W155" s="951"/>
      <c r="X155" s="958"/>
      <c r="Y155" s="958"/>
      <c r="Z155" s="958"/>
      <c r="AA155" s="958"/>
      <c r="AB155" s="958"/>
      <c r="AC155" s="958"/>
      <c r="AD155" s="958"/>
      <c r="AE155" s="958"/>
      <c r="AF155" s="957"/>
      <c r="AG155" s="951"/>
      <c r="AH155" s="958"/>
      <c r="AI155" s="958"/>
      <c r="AJ155" s="958"/>
      <c r="AK155" s="958"/>
      <c r="AL155" s="958"/>
      <c r="AM155" s="958"/>
      <c r="AN155" s="958"/>
      <c r="AO155" s="958"/>
      <c r="AP155" s="951"/>
      <c r="AQ155" s="951"/>
      <c r="AR155" s="958"/>
      <c r="AS155" s="958"/>
      <c r="AT155" s="958"/>
      <c r="AU155" s="958"/>
      <c r="AV155" s="958"/>
      <c r="AW155" s="958"/>
      <c r="AX155" s="958"/>
      <c r="AY155" s="958"/>
      <c r="AZ155" s="951"/>
      <c r="BA155" s="951"/>
      <c r="BB155" s="958"/>
      <c r="BC155" s="958"/>
      <c r="BD155" s="958"/>
      <c r="BE155" s="958"/>
      <c r="BF155" s="958"/>
      <c r="BG155" s="958"/>
      <c r="BH155" s="958"/>
      <c r="BI155" s="958"/>
      <c r="BJ155" s="951"/>
      <c r="BK155" s="951"/>
      <c r="BL155" s="951"/>
      <c r="BM155" s="951"/>
      <c r="BN155" s="944">
        <f>SUM(BN157:BN190)</f>
        <v>0</v>
      </c>
      <c r="BO155" s="944">
        <f>SUM(BO157:BO190)</f>
        <v>0</v>
      </c>
      <c r="BP155" s="944">
        <f>MAX(BP157:BP190)</f>
        <v>0</v>
      </c>
      <c r="BQ155" s="944">
        <f>MAX(BQ157:BQ190)</f>
        <v>0</v>
      </c>
      <c r="BR155" s="944">
        <f>MAX(BR157:BR190)</f>
        <v>0</v>
      </c>
      <c r="BS155" s="959"/>
      <c r="BU155" s="3026"/>
      <c r="BV155" s="961"/>
      <c r="BW155" s="951"/>
      <c r="BX155" s="951"/>
      <c r="BY155" s="1286"/>
      <c r="BZ155" s="1304"/>
      <c r="CA155" s="939"/>
      <c r="DR155" s="939"/>
      <c r="DT155" s="1325"/>
      <c r="DU155" s="1377"/>
      <c r="DV155" s="1377"/>
      <c r="DW155" s="1377"/>
      <c r="DX155" s="1377"/>
      <c r="DY155" s="1324"/>
      <c r="DZ155" s="939"/>
      <c r="EA155" s="1470">
        <f t="shared" si="2"/>
        <v>1</v>
      </c>
    </row>
    <row r="156" spans="1:132" ht="11.25" customHeight="1" thickBot="1" x14ac:dyDescent="0.25">
      <c r="A156" s="939"/>
      <c r="B156" s="939"/>
      <c r="C156" s="4822"/>
      <c r="D156" s="1451">
        <v>1</v>
      </c>
      <c r="E156" s="962" t="s">
        <v>8064</v>
      </c>
      <c r="F156" s="963" t="s">
        <v>1789</v>
      </c>
      <c r="G156" s="964" t="s">
        <v>1790</v>
      </c>
      <c r="H156" s="964" t="s">
        <v>1811</v>
      </c>
      <c r="I156" s="965" t="s">
        <v>3334</v>
      </c>
      <c r="J156" s="966"/>
      <c r="K156" s="967"/>
      <c r="L156" s="965" t="s">
        <v>3335</v>
      </c>
      <c r="M156" s="966"/>
      <c r="N156" s="967"/>
      <c r="O156" s="965" t="s">
        <v>3336</v>
      </c>
      <c r="P156" s="966"/>
      <c r="Q156" s="967"/>
      <c r="R156" s="968" t="s">
        <v>4533</v>
      </c>
      <c r="S156" s="964" t="s">
        <v>3304</v>
      </c>
      <c r="T156" s="3036" t="s">
        <v>1708</v>
      </c>
      <c r="U156" s="3036" t="s">
        <v>1679</v>
      </c>
      <c r="V156" s="3036" t="s">
        <v>3337</v>
      </c>
      <c r="W156" s="4794" t="s">
        <v>3338</v>
      </c>
      <c r="X156" s="4794"/>
      <c r="Y156" s="4794"/>
      <c r="Z156" s="4794"/>
      <c r="AA156" s="4794"/>
      <c r="AB156" s="4794"/>
      <c r="AC156" s="4794"/>
      <c r="AD156" s="4794"/>
      <c r="AE156" s="4794"/>
      <c r="AF156" s="4794"/>
      <c r="AG156" s="4794"/>
      <c r="AH156" s="4794"/>
      <c r="AI156" s="4794"/>
      <c r="AJ156" s="4794"/>
      <c r="AK156" s="4794"/>
      <c r="AL156" s="4794"/>
      <c r="AM156" s="4794"/>
      <c r="AN156" s="4794"/>
      <c r="AO156" s="4794"/>
      <c r="AP156" s="4794"/>
      <c r="AQ156" s="4794"/>
      <c r="AR156" s="4794"/>
      <c r="AS156" s="4794"/>
      <c r="AT156" s="4794"/>
      <c r="AU156" s="4794"/>
      <c r="AV156" s="4794"/>
      <c r="AW156" s="4794"/>
      <c r="AX156" s="4794"/>
      <c r="AY156" s="4794"/>
      <c r="AZ156" s="4794"/>
      <c r="BA156" s="4794"/>
      <c r="BB156" s="4794"/>
      <c r="BC156" s="4794"/>
      <c r="BD156" s="4794"/>
      <c r="BE156" s="4794"/>
      <c r="BF156" s="4794"/>
      <c r="BG156" s="4794"/>
      <c r="BH156" s="4794"/>
      <c r="BI156" s="4794"/>
      <c r="BJ156" s="4794"/>
      <c r="BK156" s="4794" t="s">
        <v>3339</v>
      </c>
      <c r="BL156" s="4794"/>
      <c r="BM156" s="4795"/>
      <c r="BN156" s="969" t="s">
        <v>4534</v>
      </c>
      <c r="BO156" s="969" t="s">
        <v>4535</v>
      </c>
      <c r="BP156" s="969" t="s">
        <v>4536</v>
      </c>
      <c r="BQ156" s="969" t="s">
        <v>4537</v>
      </c>
      <c r="BR156" s="969" t="s">
        <v>4538</v>
      </c>
      <c r="BS156" s="970" t="s">
        <v>4539</v>
      </c>
      <c r="BT156" s="4770" t="s">
        <v>4540</v>
      </c>
      <c r="BU156" s="4771"/>
      <c r="BV156" s="971"/>
      <c r="BW156" s="951"/>
      <c r="BX156" s="951"/>
      <c r="BY156" s="1286"/>
      <c r="BZ156" s="1304"/>
      <c r="CA156" s="939"/>
      <c r="DR156" s="939"/>
      <c r="DT156" s="1325"/>
      <c r="DU156" s="1377"/>
      <c r="DV156" s="1377"/>
      <c r="DW156" s="1377"/>
      <c r="DX156" s="1377"/>
      <c r="DY156" s="1324"/>
      <c r="DZ156" s="939"/>
      <c r="EB156" s="2158">
        <f>D156</f>
        <v>1</v>
      </c>
    </row>
    <row r="157" spans="1:132" ht="11.25" customHeight="1" x14ac:dyDescent="0.2">
      <c r="A157" s="972"/>
      <c r="B157" s="1403"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822"/>
      <c r="D157" s="1452">
        <v>1</v>
      </c>
      <c r="E157" s="1246"/>
      <c r="F157" s="973"/>
      <c r="G157" s="974"/>
      <c r="H157" s="974"/>
      <c r="I157" s="974"/>
      <c r="J157" s="975"/>
      <c r="K157" s="974"/>
      <c r="L157" s="974"/>
      <c r="M157" s="975"/>
      <c r="N157" s="974"/>
      <c r="O157" s="974"/>
      <c r="P157" s="975"/>
      <c r="Q157" s="974"/>
      <c r="R157" s="975"/>
      <c r="S157" s="974"/>
      <c r="T157" s="974"/>
      <c r="U157" s="974"/>
      <c r="V157" s="974"/>
      <c r="W157" s="974"/>
      <c r="X157" s="974"/>
      <c r="Y157" s="974"/>
      <c r="Z157" s="974"/>
      <c r="AA157" s="974"/>
      <c r="AB157" s="974"/>
      <c r="AC157" s="974"/>
      <c r="AD157" s="974"/>
      <c r="AE157" s="974"/>
      <c r="AF157" s="974"/>
      <c r="AG157" s="974"/>
      <c r="AH157" s="974"/>
      <c r="AI157" s="974"/>
      <c r="AJ157" s="974"/>
      <c r="AK157" s="974"/>
      <c r="AL157" s="974"/>
      <c r="AM157" s="974"/>
      <c r="AN157" s="974"/>
      <c r="AO157" s="974"/>
      <c r="AP157" s="974"/>
      <c r="AQ157" s="974"/>
      <c r="AR157" s="974"/>
      <c r="AS157" s="974"/>
      <c r="AT157" s="974"/>
      <c r="AU157" s="974"/>
      <c r="AV157" s="974"/>
      <c r="AW157" s="974"/>
      <c r="AX157" s="974"/>
      <c r="AY157" s="974"/>
      <c r="AZ157" s="974"/>
      <c r="BA157" s="974"/>
      <c r="BB157" s="974"/>
      <c r="BC157" s="974"/>
      <c r="BD157" s="974"/>
      <c r="BE157" s="974"/>
      <c r="BF157" s="974"/>
      <c r="BG157" s="974"/>
      <c r="BH157" s="974"/>
      <c r="BI157" s="974"/>
      <c r="BJ157" s="974"/>
      <c r="BK157" s="974"/>
      <c r="BL157" s="974"/>
      <c r="BM157" s="976"/>
      <c r="BN157" s="977">
        <f>SUM(K157:K160)</f>
        <v>0</v>
      </c>
      <c r="BO157" s="971" t="str">
        <f>IF(E157=0,"",(AF157+AP157+AZ157+BJ157))</f>
        <v/>
      </c>
      <c r="BP157" s="978" t="str">
        <f>IF(I157="Si",VLOOKUP($D$8,'Tablas Técnicas'!$E$4:$F$6,2,FALSE),"")</f>
        <v/>
      </c>
      <c r="BQ157" s="979" t="str">
        <f>IF(L157="Si",VLOOKUP($D$8,'Tablas Técnicas'!$I$4:$J$6,2,FALSE),"")</f>
        <v/>
      </c>
      <c r="BR157" s="977" t="str">
        <f>IF(O157="Si",VLOOKUP($D$8,'Tablas Técnicas'!$I$7:$J$9,2,FALSE),"")</f>
        <v/>
      </c>
      <c r="BS157" s="980">
        <f>VLOOKUP(D156,'Tablas Técnicas'!$P$6:$R$8,3)</f>
        <v>50</v>
      </c>
      <c r="BT157" s="981">
        <f>VLOOKUP(D156,'Tablas Técnicas'!$P$6:$R$8,3,FALSE)</f>
        <v>50</v>
      </c>
      <c r="BU157" s="982">
        <f>VLOOKUP(D156,'Tablas Técnicas'!$P$6:$R$8,2,FALSE)</f>
        <v>20</v>
      </c>
      <c r="BV157" s="971">
        <f>IF(D156=0,"",VLOOKUP(D156,'Tablas Técnicas'!$L$4:$N$7,2,FALSE))</f>
        <v>3</v>
      </c>
      <c r="BW157" s="951"/>
      <c r="BX157" s="951"/>
      <c r="BY157" s="1286"/>
      <c r="BZ157" s="1304"/>
      <c r="CA157" s="939"/>
      <c r="DR157" s="939"/>
      <c r="DT157" s="1325"/>
      <c r="DU157" s="1424" t="s">
        <v>1801</v>
      </c>
      <c r="DV157" s="1425" t="s">
        <v>3315</v>
      </c>
      <c r="DW157" s="1425" t="s">
        <v>3301</v>
      </c>
      <c r="DX157" s="1426" t="s">
        <v>7701</v>
      </c>
      <c r="DY157" s="1324"/>
      <c r="DZ157" s="939"/>
      <c r="EA157" s="1470">
        <f>EB156</f>
        <v>1</v>
      </c>
    </row>
    <row r="158" spans="1:132" x14ac:dyDescent="0.2">
      <c r="A158" s="939"/>
      <c r="B158" s="939"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822"/>
      <c r="D158" s="1453" t="s">
        <v>1766</v>
      </c>
      <c r="E158" s="983"/>
      <c r="F158" s="984" t="str">
        <f>IF(E158=0,"",VLOOKUP(E158,'Tablas Técnicas'!$A$14:$V$771,2,FALSE))</f>
        <v/>
      </c>
      <c r="G158" s="985"/>
      <c r="H158" s="986" t="str">
        <f>IF($E158=0,"",VLOOKUP($E158,'Tablas Técnicas'!$A$14:$V$771,4,FALSE))</f>
        <v/>
      </c>
      <c r="I158" s="987" t="s">
        <v>1690</v>
      </c>
      <c r="J158" s="1412" t="str">
        <f>IF(E158=0,"",VLOOKUP(E158,'Tablas Técnicas'!$A$14:$V$771,5,FALSE))</f>
        <v/>
      </c>
      <c r="K158" s="989" t="str">
        <f>IF(I158="Si",IF(E158=0,"",VLOOKUP(E158,'Tablas Técnicas'!$A$14:$V$771,5,FALSE)),"")</f>
        <v/>
      </c>
      <c r="L158" s="987" t="s">
        <v>1690</v>
      </c>
      <c r="M158" s="1412" t="str">
        <f>IF(E158=0,"",VLOOKUP(E158,'Tablas Técnicas'!$A$14:$V$771,6,FALSE))</f>
        <v/>
      </c>
      <c r="N158" s="990" t="str">
        <f>IF(L158="Si",IF(E158=0,"",VLOOKUP(E158,'Tablas Técnicas'!$A$14:$V$771,6,FALSE)),"")</f>
        <v/>
      </c>
      <c r="O158" s="987" t="s">
        <v>1690</v>
      </c>
      <c r="P158" s="1412" t="str">
        <f>IF(E158=0,"",VLOOKUP(E158,'Tablas Técnicas'!$A$14:$V$771,7,FALSE))</f>
        <v/>
      </c>
      <c r="Q158" s="990" t="str">
        <f>IF(O158="Si",IF(E158=0,"",VLOOKUP(E158,'Tablas Técnicas'!$A$14:$V$771,7,FALSE)),"")</f>
        <v/>
      </c>
      <c r="R158" s="988" t="str">
        <f>IF(E158=0,"",VLOOKUP(E158,'Tablas Técnicas'!$A$14:$V$771,8,FALSE))</f>
        <v/>
      </c>
      <c r="S158" s="986" t="str">
        <f>IF(R158=$D$8,$D$8,IF(R158=2,2,IF(R158=3,3,R158)))</f>
        <v/>
      </c>
      <c r="T158" s="989" t="str">
        <f>IF(E158=0,"",VLOOKUP(E158,'Tablas Técnicas'!$A$14:$V$771,9,FALSE))</f>
        <v/>
      </c>
      <c r="U158" s="989" t="str">
        <f>IF(E158=0,"",VLOOKUP(E158,'Tablas Técnicas'!$A$14:$V$771,10,FALSE))</f>
        <v/>
      </c>
      <c r="V158" s="984" t="str">
        <f>IF(E158=0,"",VLOOKUP(E158,'Tablas Técnicas'!$A$14:$V$771,11,FALSE))</f>
        <v/>
      </c>
      <c r="W158" s="987"/>
      <c r="X158" s="988" t="e">
        <f>VLOOKUP(E158,'Tablas Técnicas'!$A$14:$V$771,12,FALSE)</f>
        <v>#N/A</v>
      </c>
      <c r="Y158" s="988" t="e">
        <f>IF(W158=X158,VLOOKUP(E158,'Tablas Técnicas'!$A$14:$V$771,13,FALSE),0)</f>
        <v>#N/A</v>
      </c>
      <c r="Z158" s="988" t="e">
        <f>VLOOKUP(E158,'Tablas Técnicas'!$A$14:$V$771,14,FALSE)</f>
        <v>#N/A</v>
      </c>
      <c r="AA158" s="988" t="e">
        <f>IF(W158=Z158,VLOOKUP(E158,'Tablas Técnicas'!$A$14:$V$616,15,FALSE),0)</f>
        <v>#N/A</v>
      </c>
      <c r="AB158" s="988" t="e">
        <f>VLOOKUP(E158,'Tablas Técnicas'!$A$14:$V$771,16,FALSE)</f>
        <v>#N/A</v>
      </c>
      <c r="AC158" s="988" t="e">
        <f>IF(W158=AB158,VLOOKUP(E158,'Tablas Técnicas'!$A$14:$V$616,17,FALSE),0)</f>
        <v>#N/A</v>
      </c>
      <c r="AD158" s="988" t="e">
        <f>VLOOKUP(E158,'Tablas Técnicas'!$A$14:$V$771,18,FALSE)</f>
        <v>#N/A</v>
      </c>
      <c r="AE158" s="988" t="e">
        <f>IF(W158=AD158,VLOOKUP(E158,'Tablas Técnicas'!$A$14:$V$771,19,FALSE),0)</f>
        <v>#N/A</v>
      </c>
      <c r="AF158" s="990" t="str">
        <f>IF(E158=0,"",(Y158+AA158+AC158+AE158))</f>
        <v/>
      </c>
      <c r="AG158" s="987"/>
      <c r="AH158" s="988" t="e">
        <f>VLOOKUP(E158,'Tablas Técnicas'!$A$14:$V$771,12,FALSE)</f>
        <v>#N/A</v>
      </c>
      <c r="AI158" s="988" t="e">
        <f>IF(AG158=AH158,VLOOKUP(E158,'Tablas Técnicas'!$A$14:$V$771,13,FALSE),0)</f>
        <v>#N/A</v>
      </c>
      <c r="AJ158" s="988" t="e">
        <f>VLOOKUP(E158,'Tablas Técnicas'!$A$14:$V$771,14,FALSE)</f>
        <v>#N/A</v>
      </c>
      <c r="AK158" s="988" t="e">
        <f>IF(AG158=AJ158,VLOOKUP(E158,'Tablas Técnicas'!$A$14:$V$771,15,FALSE),0)</f>
        <v>#N/A</v>
      </c>
      <c r="AL158" s="988" t="e">
        <f>VLOOKUP(E158,'Tablas Técnicas'!$A$14:$V$771,16,FALSE)</f>
        <v>#N/A</v>
      </c>
      <c r="AM158" s="988" t="e">
        <f>IF(AG158=AL158,VLOOKUP(E158,'Tablas Técnicas'!$A$14:$V$771,17,FALSE),0)</f>
        <v>#N/A</v>
      </c>
      <c r="AN158" s="988" t="e">
        <f>VLOOKUP(E158,'Tablas Técnicas'!$A$14:$V$771,18,FALSE)</f>
        <v>#N/A</v>
      </c>
      <c r="AO158" s="988" t="e">
        <f>IF(AG158=AN158,VLOOKUP(E158,'Tablas Técnicas'!$A$14:$V$771,19,FALSE),0)</f>
        <v>#N/A</v>
      </c>
      <c r="AP158" s="990" t="str">
        <f>IF(E158=0,"",(AI158+AK158+AM158+AO158))</f>
        <v/>
      </c>
      <c r="AQ158" s="987"/>
      <c r="AR158" s="988" t="e">
        <f>VLOOKUP(E158,'Tablas Técnicas'!$A$14:$V$771,12,FALSE)</f>
        <v>#N/A</v>
      </c>
      <c r="AS158" s="988" t="e">
        <f>IF(AQ158=AR158,VLOOKUP(E158,'Tablas Técnicas'!$A$14:$V$771,13,FALSE),0)</f>
        <v>#N/A</v>
      </c>
      <c r="AT158" s="988" t="e">
        <f>VLOOKUP(E158,'Tablas Técnicas'!$A$14:$V$771,14,FALSE)</f>
        <v>#N/A</v>
      </c>
      <c r="AU158" s="988" t="e">
        <f>IF(AQ158=AT158,VLOOKUP(E158,'Tablas Técnicas'!$A$14:$V$771,15,FALSE),0)</f>
        <v>#N/A</v>
      </c>
      <c r="AV158" s="988" t="e">
        <f>VLOOKUP(E158,'Tablas Técnicas'!$A$14:$V$771,16,FALSE)</f>
        <v>#N/A</v>
      </c>
      <c r="AW158" s="988" t="e">
        <f>IF(AQ158=AV158,VLOOKUP(E158,'Tablas Técnicas'!$A$14:$V$771,17,FALSE),0)</f>
        <v>#N/A</v>
      </c>
      <c r="AX158" s="988" t="e">
        <f>VLOOKUP(E158,'Tablas Técnicas'!$A$14:$V$771,18,FALSE)</f>
        <v>#N/A</v>
      </c>
      <c r="AY158" s="988" t="e">
        <f>IF(AQ158=AX158,VLOOKUP(E158,'Tablas Técnicas'!$A$14:$V$771,19,FALSE),0)</f>
        <v>#N/A</v>
      </c>
      <c r="AZ158" s="989" t="str">
        <f>IF(E158=0,"",(AS158+AU158+AW158+AY158))</f>
        <v/>
      </c>
      <c r="BA158" s="987"/>
      <c r="BB158" s="988" t="e">
        <f>VLOOKUP(E158,'Tablas Técnicas'!$A$14:$V$771,12,FALSE)</f>
        <v>#N/A</v>
      </c>
      <c r="BC158" s="988" t="e">
        <f>IF(BA158=BB158,VLOOKUP(E158,'Tablas Técnicas'!$A$14:$V$771,13,FALSE),0)</f>
        <v>#N/A</v>
      </c>
      <c r="BD158" s="988" t="e">
        <f>VLOOKUP(E158,'Tablas Técnicas'!$A$14:$V$771,14,FALSE)</f>
        <v>#N/A</v>
      </c>
      <c r="BE158" s="988" t="e">
        <f>IF(BA158=BD158,VLOOKUP(E158,'Tablas Técnicas'!$A$14:$V$771,15,FALSE),0)</f>
        <v>#N/A</v>
      </c>
      <c r="BF158" s="988" t="e">
        <f>VLOOKUP(E158,'Tablas Técnicas'!$A$14:$V$771,16,FALSE)</f>
        <v>#N/A</v>
      </c>
      <c r="BG158" s="988" t="e">
        <f>IF(BA158=BF158,VLOOKUP(E158,'Tablas Técnicas'!$A$14:$V$771,17,FALSE),0)</f>
        <v>#N/A</v>
      </c>
      <c r="BH158" s="988" t="e">
        <f>VLOOKUP(E158,'Tablas Técnicas'!$A$14:$V$771,18,FALSE)</f>
        <v>#N/A</v>
      </c>
      <c r="BI158" s="988" t="e">
        <f>IF(BA158=BH158,VLOOKUP(E158,'Tablas Técnicas'!$A$14:$V$771,19,FALSE),0)</f>
        <v>#N/A</v>
      </c>
      <c r="BJ158" s="990" t="str">
        <f>IF(E158=0,"",(BC158+BE158+BG158+BI158))</f>
        <v/>
      </c>
      <c r="BK158" s="989" t="str">
        <f>IF(E158=0,"",VLOOKUP(E158,'Tablas Técnicas'!$A$14:$V$771,20,FALSE))</f>
        <v/>
      </c>
      <c r="BL158" s="989" t="str">
        <f>IF(E158=0,"",VLOOKUP(E158,'Tablas Técnicas'!$A$14:$V$771,21,FALSE))</f>
        <v/>
      </c>
      <c r="BM158" s="991" t="str">
        <f>IF(E158=0,"",VLOOKUP(E158,'Tablas Técnicas'!$A$14:$V$771,22,FALSE))</f>
        <v/>
      </c>
      <c r="BN158" s="992"/>
      <c r="BO158" s="993"/>
      <c r="BP158" s="978" t="str">
        <f>IF(I158="Si",VLOOKUP($D$8,'Tablas Técnicas'!$E$4:$F$6,2,FALSE),"")</f>
        <v/>
      </c>
      <c r="BQ158" s="979" t="str">
        <f>IF(L158="Si",VLOOKUP($D$8,'Tablas Técnicas'!$I$4:$J$6,2,FALSE),"")</f>
        <v/>
      </c>
      <c r="BR158" s="977" t="str">
        <f>IF(O158="Si",VLOOKUP($D$8,'Tablas Técnicas'!$I$7:$J$9,2,FALSE),"")</f>
        <v/>
      </c>
      <c r="BS158" s="994"/>
      <c r="BT158" s="4770" t="s">
        <v>4541</v>
      </c>
      <c r="BU158" s="4771"/>
      <c r="BV158" s="971"/>
      <c r="BX158" s="951"/>
      <c r="BY158" s="1286"/>
      <c r="BZ158" s="1304"/>
      <c r="CA158" s="939"/>
      <c r="DR158" s="939"/>
      <c r="DT158" s="1325"/>
      <c r="DU158" s="1375" t="str">
        <f>IF(BW171="N/A","",BT170&amp;" "&amp;BW171&amp;IF(BY171="N/A"," "," ("&amp;BY171&amp;") "))</f>
        <v/>
      </c>
      <c r="DV158" s="1376" t="str">
        <f>IF(E158="","",E158)&amp;IF(I158="No",""," (Mant.)")&amp;IF(L158="No",""," (Sme)")&amp;IF(O158="No",""," (SMa)")</f>
        <v/>
      </c>
      <c r="DW158" s="1377" t="str">
        <f>IF(E188="","",E188)</f>
        <v/>
      </c>
      <c r="DX158" s="4778"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24"/>
      <c r="DZ158" s="939"/>
      <c r="EA158" s="1470">
        <f t="shared" si="2"/>
        <v>1</v>
      </c>
    </row>
    <row r="159" spans="1:132" ht="12.75" customHeight="1" x14ac:dyDescent="0.2">
      <c r="A159" s="939"/>
      <c r="B159" s="939"/>
      <c r="C159" s="4822"/>
      <c r="D159" s="1452" t="s">
        <v>1766</v>
      </c>
      <c r="E159" s="995"/>
      <c r="F159" s="996" t="str">
        <f>IF(E159=0,"",VLOOKUP(E159,'Tablas Técnicas'!$A$14:$V$771,2,FALSE))</f>
        <v/>
      </c>
      <c r="G159" s="997"/>
      <c r="H159" s="998" t="str">
        <f>IF($E159=0,"",VLOOKUP($E159,'Tablas Técnicas'!$A$14:$V$771,4,FALSE))</f>
        <v/>
      </c>
      <c r="I159" s="999" t="s">
        <v>1690</v>
      </c>
      <c r="J159" s="1415" t="str">
        <f>IF(E159=0,"",VLOOKUP(E159,'Tablas Técnicas'!$A$14:$V$771,5,FALSE))</f>
        <v/>
      </c>
      <c r="K159" s="1001" t="str">
        <f>IF(I159="Si",IF(E159=0,"",VLOOKUP(E159,'Tablas Técnicas'!$A$14:$V$771,5,FALSE)),"")</f>
        <v/>
      </c>
      <c r="L159" s="999" t="s">
        <v>1690</v>
      </c>
      <c r="M159" s="1415" t="str">
        <f>IF(E159=0,"",VLOOKUP(E159,'Tablas Técnicas'!$A$14:$V$771,6,FALSE))</f>
        <v/>
      </c>
      <c r="N159" s="1002" t="str">
        <f>IF(L159="Si",IF(E159=0,"",VLOOKUP(E159,'Tablas Técnicas'!$A$14:$V$771,6,FALSE)),"")</f>
        <v/>
      </c>
      <c r="O159" s="999" t="s">
        <v>1690</v>
      </c>
      <c r="P159" s="1415" t="str">
        <f>IF(E159=0,"",VLOOKUP(E159,'Tablas Técnicas'!$A$14:$V$771,7,FALSE))</f>
        <v/>
      </c>
      <c r="Q159" s="1002" t="str">
        <f>IF(O159="Si",IF(E159=0,"",VLOOKUP(E159,'Tablas Técnicas'!$A$14:$V$771,7,FALSE)),"")</f>
        <v/>
      </c>
      <c r="R159" s="1000" t="str">
        <f>IF(E159=0,"",VLOOKUP(E159,'Tablas Técnicas'!$A$14:$V$771,8,FALSE))</f>
        <v/>
      </c>
      <c r="S159" s="998" t="str">
        <f>IF(R159=$D$8,$D$8,IF(R159=2,2,IF(R159=3,3,R159)))</f>
        <v/>
      </c>
      <c r="T159" s="4796" t="s">
        <v>4542</v>
      </c>
      <c r="U159" s="4797"/>
      <c r="V159" s="4797"/>
      <c r="W159" s="4797"/>
      <c r="X159" s="4797"/>
      <c r="Y159" s="4797"/>
      <c r="Z159" s="4797"/>
      <c r="AA159" s="4797"/>
      <c r="AB159" s="4797"/>
      <c r="AC159" s="4797"/>
      <c r="AD159" s="4797"/>
      <c r="AE159" s="4797"/>
      <c r="AF159" s="4797"/>
      <c r="AG159" s="4797"/>
      <c r="AH159" s="4797"/>
      <c r="AI159" s="4797"/>
      <c r="AJ159" s="4797"/>
      <c r="AK159" s="4797"/>
      <c r="AL159" s="4797"/>
      <c r="AM159" s="4797"/>
      <c r="AN159" s="4797"/>
      <c r="AO159" s="4797"/>
      <c r="AP159" s="4797"/>
      <c r="AQ159" s="4797"/>
      <c r="AR159" s="4797"/>
      <c r="AS159" s="4797"/>
      <c r="AT159" s="4797"/>
      <c r="AU159" s="4797"/>
      <c r="AV159" s="4797"/>
      <c r="AW159" s="4797"/>
      <c r="AX159" s="4797"/>
      <c r="AY159" s="4797"/>
      <c r="AZ159" s="4797"/>
      <c r="BA159" s="4797"/>
      <c r="BB159" s="4797"/>
      <c r="BC159" s="4797"/>
      <c r="BD159" s="4797"/>
      <c r="BE159" s="4797"/>
      <c r="BF159" s="4797"/>
      <c r="BG159" s="4797"/>
      <c r="BH159" s="4797"/>
      <c r="BI159" s="4797"/>
      <c r="BJ159" s="4797"/>
      <c r="BK159" s="4798"/>
      <c r="BL159" s="1437"/>
      <c r="BM159" s="1438"/>
      <c r="BN159" s="992"/>
      <c r="BO159" s="993"/>
      <c r="BP159" s="978" t="str">
        <f>IF(I159="Si",VLOOKUP($D$8,'Tablas Técnicas'!$E$4:$F$6,2,FALSE),"")</f>
        <v/>
      </c>
      <c r="BQ159" s="979" t="str">
        <f>IF(L159="Si",VLOOKUP($D$8,'Tablas Técnicas'!$I$4:$J$6,2,FALSE),"")</f>
        <v/>
      </c>
      <c r="BR159" s="977" t="str">
        <f>IF(O159="Si",VLOOKUP($D$8,'Tablas Técnicas'!$I$7:$J$9,2,FALSE),"")</f>
        <v/>
      </c>
      <c r="BS159" s="994"/>
      <c r="BT159" s="4772">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773"/>
      <c r="BV159" s="971"/>
      <c r="BX159" s="951"/>
      <c r="BY159" s="1286"/>
      <c r="BZ159" s="1304"/>
      <c r="CA159" s="939"/>
      <c r="DR159" s="939"/>
      <c r="DT159" s="1325"/>
      <c r="DU159" s="1375" t="str">
        <f>IF(BW173="N/A","",BT172&amp;" "&amp;BW173&amp;IF(BY173="N/A"," "," ("&amp;BY173&amp;") "))</f>
        <v/>
      </c>
      <c r="DV159" s="1376" t="str">
        <f>IF(E159="",""," "&amp;E159)&amp;IF(I159="No",""," (Mant.)")&amp;IF(L159="No",""," (Sme)")&amp;IF(O159="No",""," (SMa)")</f>
        <v/>
      </c>
      <c r="DW159" s="1377" t="str">
        <f>IF(E189="","",", "&amp;E189)</f>
        <v/>
      </c>
      <c r="DX159" s="4778"/>
      <c r="DY159" s="1324"/>
      <c r="DZ159" s="939"/>
      <c r="EA159" s="1470">
        <f t="shared" si="2"/>
        <v>1</v>
      </c>
    </row>
    <row r="160" spans="1:132" x14ac:dyDescent="0.2">
      <c r="A160" s="939"/>
      <c r="B160" s="939"/>
      <c r="C160" s="4822"/>
      <c r="D160" s="1453" t="s">
        <v>1766</v>
      </c>
      <c r="E160" s="1003"/>
      <c r="F160" s="3033" t="str">
        <f>IF(E160=0,"",VLOOKUP(E160,'Tablas Técnicas'!$A$14:$V$771,2,FALSE))</f>
        <v/>
      </c>
      <c r="G160" s="985"/>
      <c r="H160" s="1004" t="str">
        <f>IF($E160=0,"",VLOOKUP($E160,'Tablas Técnicas'!$A$14:$V$771,4,FALSE))</f>
        <v/>
      </c>
      <c r="I160" s="987" t="s">
        <v>1690</v>
      </c>
      <c r="J160" s="1411" t="str">
        <f>IF(E160=0,"",VLOOKUP(E160,'Tablas Técnicas'!$A$14:$V$771,5,FALSE))</f>
        <v/>
      </c>
      <c r="K160" s="1006" t="str">
        <f>IF(I160="Si",IF(E160=0,"",VLOOKUP(E160,'Tablas Técnicas'!$A$14:$V$771,5,FALSE)),"")</f>
        <v/>
      </c>
      <c r="L160" s="987" t="s">
        <v>1690</v>
      </c>
      <c r="M160" s="1411" t="str">
        <f>IF(E160=0,"",VLOOKUP(E160,'Tablas Técnicas'!$A$14:$V$771,6,FALSE))</f>
        <v/>
      </c>
      <c r="N160" s="990" t="str">
        <f>IF(L160="Si",IF(E160=0,"",VLOOKUP(E160,'Tablas Técnicas'!$A$14:$V$771,6,FALSE)),"")</f>
        <v/>
      </c>
      <c r="O160" s="987" t="s">
        <v>1690</v>
      </c>
      <c r="P160" s="1411" t="str">
        <f>IF(E160=0,"",VLOOKUP(E160,'Tablas Técnicas'!$A$14:$V$771,7,FALSE))</f>
        <v/>
      </c>
      <c r="Q160" s="990" t="str">
        <f>IF(O160="Si",IF(E160=0,"",VLOOKUP(E160,'Tablas Técnicas'!$A$14:$V$771,7,FALSE)),"")</f>
        <v/>
      </c>
      <c r="R160" s="1005" t="str">
        <f>IF(E160=0,"",VLOOKUP(E160,'Tablas Técnicas'!$A$14:$V$771,8,FALSE))</f>
        <v/>
      </c>
      <c r="S160" s="3033" t="str">
        <f>IF(R160=$D$8,$D$8,IF(R160=2,2,IF(R160=3,3,R160)))</f>
        <v/>
      </c>
      <c r="T160" s="4809"/>
      <c r="U160" s="4810"/>
      <c r="V160" s="3029" t="str">
        <f>IF(OR(V158=0,V158=""),"N/A",V158)</f>
        <v>N/A</v>
      </c>
      <c r="W160" s="4809" t="str">
        <f xml:space="preserve"> IF(OR(AF158=0,AF158=""),"N/A",W158)</f>
        <v>N/A</v>
      </c>
      <c r="X160" s="4811"/>
      <c r="Y160" s="4811"/>
      <c r="Z160" s="4811"/>
      <c r="AA160" s="4811"/>
      <c r="AB160" s="4811"/>
      <c r="AC160" s="4811"/>
      <c r="AD160" s="4811"/>
      <c r="AE160" s="4811"/>
      <c r="AF160" s="4810"/>
      <c r="AG160" s="4809" t="str">
        <f xml:space="preserve"> IF(OR(AP158="",AP158=0),"N/A",AG158)</f>
        <v>N/A</v>
      </c>
      <c r="AH160" s="4811"/>
      <c r="AI160" s="4811"/>
      <c r="AJ160" s="4811"/>
      <c r="AK160" s="4811"/>
      <c r="AL160" s="4811"/>
      <c r="AM160" s="4811"/>
      <c r="AN160" s="4811"/>
      <c r="AO160" s="4811"/>
      <c r="AP160" s="4810"/>
      <c r="AQ160" s="4809" t="str">
        <f xml:space="preserve"> IF(OR(AZ158="",AZ158=0),"N/A",AQ158)</f>
        <v>N/A</v>
      </c>
      <c r="AR160" s="4811"/>
      <c r="AS160" s="4811"/>
      <c r="AT160" s="4811"/>
      <c r="AU160" s="4811"/>
      <c r="AV160" s="4811"/>
      <c r="AW160" s="4811"/>
      <c r="AX160" s="4811"/>
      <c r="AY160" s="4811"/>
      <c r="AZ160" s="4810"/>
      <c r="BA160" s="4809" t="str">
        <f xml:space="preserve"> IF(OR(BJ158="",BJ158=0),"N/A",BA158)</f>
        <v>N/A</v>
      </c>
      <c r="BB160" s="4811"/>
      <c r="BC160" s="4811"/>
      <c r="BD160" s="4811"/>
      <c r="BE160" s="4811"/>
      <c r="BF160" s="4811"/>
      <c r="BG160" s="4811"/>
      <c r="BH160" s="4811"/>
      <c r="BI160" s="4811"/>
      <c r="BJ160" s="4810"/>
      <c r="BK160" s="1007" t="s">
        <v>4543</v>
      </c>
      <c r="BL160" s="989"/>
      <c r="BM160" s="1024"/>
      <c r="BN160" s="1008"/>
      <c r="BO160" s="1009"/>
      <c r="BP160" s="1010" t="str">
        <f>IF(I160="Si",VLOOKUP($D$8,'Tablas Técnicas'!$E$4:$F$6,2,FALSE),"")</f>
        <v/>
      </c>
      <c r="BQ160" s="980" t="str">
        <f>IF(L160="Si",VLOOKUP($D$8,'Tablas Técnicas'!$I$4:$J$6,2,FALSE),"")</f>
        <v/>
      </c>
      <c r="BR160" s="1011" t="str">
        <f>IF(O160="Si",VLOOKUP($D$8,'Tablas Técnicas'!$I$7:$J$9,2,FALSE),"")</f>
        <v/>
      </c>
      <c r="BS160" s="1012"/>
      <c r="BU160" s="3026"/>
      <c r="BV160" s="971"/>
      <c r="BW160" s="951"/>
      <c r="BX160" s="951"/>
      <c r="BY160" s="1286"/>
      <c r="BZ160" s="1304"/>
      <c r="CA160" s="939"/>
      <c r="DR160" s="939"/>
      <c r="DT160" s="1325"/>
      <c r="DU160" s="1375" t="str">
        <f>IF(BW175="N/A","",BT174&amp;" "&amp;BW175&amp;IF(BY175="N/A"," "," ("&amp;BY175&amp;") "))</f>
        <v/>
      </c>
      <c r="DV160" s="1376" t="str">
        <f>IF(E160="","",E160)&amp;IF(I160="No",""," (Mant.)")&amp;IF(L160="No",""," (Sme)")&amp;IF(O160="No",""," (SMa)")</f>
        <v/>
      </c>
      <c r="DW160" s="1377" t="str">
        <f>IF(E190="","",", "&amp;E190)</f>
        <v/>
      </c>
      <c r="DX160" s="4778"/>
      <c r="DY160" s="1324"/>
      <c r="DZ160" s="939"/>
      <c r="EA160" s="1470">
        <f t="shared" si="2"/>
        <v>1</v>
      </c>
    </row>
    <row r="161" spans="1:131" s="1013" customFormat="1" x14ac:dyDescent="0.2">
      <c r="A161" s="939"/>
      <c r="B161" s="939"/>
      <c r="C161" s="4822"/>
      <c r="D161" s="1452" t="s">
        <v>1766</v>
      </c>
      <c r="E161" s="995"/>
      <c r="F161" s="996" t="str">
        <f>IF(E161=0,"",VLOOKUP(E161,'Tablas Técnicas'!$A$14:$V$771,2,FALSE))</f>
        <v/>
      </c>
      <c r="G161" s="997"/>
      <c r="H161" s="998" t="str">
        <f>IF($E161=0,"",VLOOKUP($E161,'Tablas Técnicas'!$A$14:$V$771,4,FALSE))</f>
        <v/>
      </c>
      <c r="I161" s="999" t="s">
        <v>1690</v>
      </c>
      <c r="J161" s="1415" t="str">
        <f>IF(E161=0,"",VLOOKUP(E161,'Tablas Técnicas'!$A$14:$V$771,5,FALSE))</f>
        <v/>
      </c>
      <c r="K161" s="1001" t="str">
        <f>IF(I161="Si",IF(E161=0,"",VLOOKUP(E161,'Tablas Técnicas'!$A$14:$V$771,5,FALSE)),"")</f>
        <v/>
      </c>
      <c r="L161" s="999" t="s">
        <v>1690</v>
      </c>
      <c r="M161" s="1415" t="str">
        <f>IF(E161=0,"",VLOOKUP(E161,'Tablas Técnicas'!$A$14:$V$771,6,FALSE))</f>
        <v/>
      </c>
      <c r="N161" s="1002" t="str">
        <f>IF(L161="Si",IF(E161=0,"",VLOOKUP(E161,'Tablas Técnicas'!$A$14:$V$771,6,FALSE)),"")</f>
        <v/>
      </c>
      <c r="O161" s="999" t="s">
        <v>1690</v>
      </c>
      <c r="P161" s="1415" t="str">
        <f>IF(E161=0,"",VLOOKUP(E161,'Tablas Técnicas'!$A$14:$V$771,7,FALSE))</f>
        <v/>
      </c>
      <c r="Q161" s="1002" t="str">
        <f>IF(O161="Si",IF(E161=0,"",VLOOKUP(E161,'Tablas Técnicas'!$A$14:$V$771,7,FALSE)),"")</f>
        <v/>
      </c>
      <c r="R161" s="1000" t="str">
        <f>IF(E161=0,"",VLOOKUP(E161,'Tablas Técnicas'!$A$14:$V$771,8,FALSE))</f>
        <v/>
      </c>
      <c r="S161" s="998" t="str">
        <f>IF(R161=$D$8,$D$8,IF(R161=2,2,IF(R161=3,3,R161)))</f>
        <v/>
      </c>
      <c r="T161" s="4812" t="s">
        <v>4544</v>
      </c>
      <c r="U161" s="4813"/>
      <c r="V161" s="3025"/>
      <c r="W161" s="4814"/>
      <c r="X161" s="4815"/>
      <c r="Y161" s="4815"/>
      <c r="Z161" s="4815"/>
      <c r="AA161" s="4815"/>
      <c r="AB161" s="4815"/>
      <c r="AC161" s="4815"/>
      <c r="AD161" s="4815"/>
      <c r="AE161" s="4815"/>
      <c r="AF161" s="4816"/>
      <c r="AG161" s="4814"/>
      <c r="AH161" s="4815"/>
      <c r="AI161" s="4815"/>
      <c r="AJ161" s="4815"/>
      <c r="AK161" s="4815"/>
      <c r="AL161" s="4815"/>
      <c r="AM161" s="4815"/>
      <c r="AN161" s="4815"/>
      <c r="AO161" s="4815"/>
      <c r="AP161" s="4816"/>
      <c r="AQ161" s="4814"/>
      <c r="AR161" s="4815"/>
      <c r="AS161" s="4815"/>
      <c r="AT161" s="4815"/>
      <c r="AU161" s="4815"/>
      <c r="AV161" s="4815"/>
      <c r="AW161" s="4815"/>
      <c r="AX161" s="4815"/>
      <c r="AY161" s="4815"/>
      <c r="AZ161" s="4816"/>
      <c r="BA161" s="4814"/>
      <c r="BB161" s="4815"/>
      <c r="BC161" s="4815"/>
      <c r="BD161" s="4815"/>
      <c r="BE161" s="4815"/>
      <c r="BF161" s="4815"/>
      <c r="BG161" s="4815"/>
      <c r="BH161" s="4815"/>
      <c r="BI161" s="4815"/>
      <c r="BJ161" s="4816"/>
      <c r="BK161" s="998">
        <f>(SUM(F158:F162)+IF(AF158="",0,AF158)+IF(AP158="",0,AP158)+IF(AZ158="",0,AZ158)+IF(BJ158="",0,BJ158)+SUM(K158:K162)+SUM(N158:N162)+SUM(Q158:Q162))- SUM(V161:BA161)</f>
        <v>0</v>
      </c>
      <c r="BL161" s="1437"/>
      <c r="BM161" s="1438"/>
      <c r="BN161" s="992"/>
      <c r="BO161" s="993"/>
      <c r="BP161" s="978" t="str">
        <f>IF(I161="Si",VLOOKUP($D$8,'Tablas Técnicas'!$E$4:$F$6,2,FALSE),"")</f>
        <v/>
      </c>
      <c r="BQ161" s="979" t="str">
        <f>IF(L161="Si",VLOOKUP($D$8,'Tablas Técnicas'!$I$4:$J$6,2,FALSE),"")</f>
        <v/>
      </c>
      <c r="BR161" s="977" t="str">
        <f>IF(O161="Si",VLOOKUP($D$8,'Tablas Técnicas'!$I$7:$J$9,2,FALSE),"")</f>
        <v/>
      </c>
      <c r="BS161" s="994"/>
      <c r="BT161" s="4770" t="s">
        <v>4545</v>
      </c>
      <c r="BU161" s="4771"/>
      <c r="BV161" s="971"/>
      <c r="BW161" s="951"/>
      <c r="BX161" s="951"/>
      <c r="BY161" s="1286"/>
      <c r="BZ161" s="1304"/>
      <c r="CA161" s="939"/>
      <c r="CC161" s="2940"/>
      <c r="DR161" s="939"/>
      <c r="DS161" s="1320"/>
      <c r="DT161" s="1325"/>
      <c r="DU161" s="1375" t="str">
        <f>IF(BW177="N/A","",BT176&amp;" "&amp;BW177&amp;IF(BY177="N/A"," "," ("&amp;BY177&amp;") "))</f>
        <v/>
      </c>
      <c r="DV161" s="1376" t="str">
        <f>IF(E161="","",E161)&amp;IF(I161="No",""," (Mant.)")&amp;IF(L161="No",""," (Sme)")&amp;IF(O161="No",""," (SMa)")</f>
        <v/>
      </c>
      <c r="DW161" s="1377"/>
      <c r="DX161" s="4778"/>
      <c r="DY161" s="1324"/>
      <c r="DZ161" s="939"/>
      <c r="EA161" s="1470">
        <f t="shared" si="2"/>
        <v>1</v>
      </c>
    </row>
    <row r="162" spans="1:131" x14ac:dyDescent="0.2">
      <c r="A162" s="939"/>
      <c r="B162" s="939"/>
      <c r="C162" s="4822"/>
      <c r="D162" s="1453" t="s">
        <v>1766</v>
      </c>
      <c r="E162" s="1003"/>
      <c r="F162" s="3033" t="str">
        <f>IF(E162=0,"",VLOOKUP(E162,'Tablas Técnicas'!$A$14:$V$771,2,FALSE))</f>
        <v/>
      </c>
      <c r="G162" s="985"/>
      <c r="H162" s="1004" t="str">
        <f>IF($E162=0,"",VLOOKUP($E162,'Tablas Técnicas'!$A$14:$V$771,4,FALSE))</f>
        <v/>
      </c>
      <c r="I162" s="987" t="s">
        <v>1690</v>
      </c>
      <c r="J162" s="1411" t="str">
        <f>IF(E162=0,"",VLOOKUP(E162,'Tablas Técnicas'!$A$14:$V$771,5,FALSE))</f>
        <v/>
      </c>
      <c r="K162" s="1006" t="str">
        <f>IF(I162="Si",IF(E162=0,"",VLOOKUP(E162,'Tablas Técnicas'!$A$14:$V$771,5,FALSE)),"")</f>
        <v/>
      </c>
      <c r="L162" s="987" t="s">
        <v>1690</v>
      </c>
      <c r="M162" s="1411" t="str">
        <f>IF(E162=0,"",VLOOKUP(E162,'Tablas Técnicas'!$A$14:$V$771,6,FALSE))</f>
        <v/>
      </c>
      <c r="N162" s="990" t="str">
        <f>IF(L162="Si",IF(E162=0,"",VLOOKUP(E162,'Tablas Técnicas'!$A$14:$V$771,6,FALSE)),"")</f>
        <v/>
      </c>
      <c r="O162" s="987" t="s">
        <v>1690</v>
      </c>
      <c r="P162" s="1411" t="str">
        <f>IF(E162=0,"",VLOOKUP(E162,'Tablas Técnicas'!$A$14:$V$771,7,FALSE))</f>
        <v/>
      </c>
      <c r="Q162" s="990" t="str">
        <f>IF(O162="Si",IF(E162=0,"",VLOOKUP(E162,'Tablas Técnicas'!$A$14:$V$771,7,FALSE)),"")</f>
        <v/>
      </c>
      <c r="R162" s="1005" t="str">
        <f>IF(E162=0,"",VLOOKUP(E162,'Tablas Técnicas'!$A$14:$V$771,8,FALSE))</f>
        <v/>
      </c>
      <c r="S162" s="1004" t="str">
        <f>IF(R162=$D$8,$D$8,IF(R162=2,2,IF(R162=3,3,R162)))</f>
        <v/>
      </c>
      <c r="T162" s="4803" t="s">
        <v>4546</v>
      </c>
      <c r="U162" s="4804"/>
      <c r="V162" s="3032"/>
      <c r="W162" s="4805"/>
      <c r="X162" s="4806"/>
      <c r="Y162" s="4806"/>
      <c r="Z162" s="4806"/>
      <c r="AA162" s="4806"/>
      <c r="AB162" s="4806"/>
      <c r="AC162" s="4806"/>
      <c r="AD162" s="4806"/>
      <c r="AE162" s="4806"/>
      <c r="AF162" s="4807"/>
      <c r="AG162" s="4805"/>
      <c r="AH162" s="4806"/>
      <c r="AI162" s="4806"/>
      <c r="AJ162" s="4806"/>
      <c r="AK162" s="4806"/>
      <c r="AL162" s="4806"/>
      <c r="AM162" s="4806"/>
      <c r="AN162" s="4806"/>
      <c r="AO162" s="4806"/>
      <c r="AP162" s="4807"/>
      <c r="AQ162" s="4805"/>
      <c r="AR162" s="4806"/>
      <c r="AS162" s="4806"/>
      <c r="AT162" s="4806"/>
      <c r="AU162" s="4806"/>
      <c r="AV162" s="4806"/>
      <c r="AW162" s="4806"/>
      <c r="AX162" s="4806"/>
      <c r="AY162" s="4806"/>
      <c r="AZ162" s="4807"/>
      <c r="BA162" s="4805"/>
      <c r="BB162" s="4806"/>
      <c r="BC162" s="4806"/>
      <c r="BD162" s="4806"/>
      <c r="BE162" s="4806"/>
      <c r="BF162" s="4806"/>
      <c r="BG162" s="4806"/>
      <c r="BH162" s="4806"/>
      <c r="BI162" s="4806"/>
      <c r="BJ162" s="4807"/>
      <c r="BK162" s="1014">
        <f>SUM(K158:K162)-SUM(V162:BA162)</f>
        <v>0</v>
      </c>
      <c r="BL162" s="1439"/>
      <c r="BM162" s="1440"/>
      <c r="BN162" s="1008"/>
      <c r="BO162" s="1009"/>
      <c r="BP162" s="1010" t="str">
        <f>IF(I162="Si",VLOOKUP($D$8,'Tablas Técnicas'!$E$4:$F$6,2,FALSE),"")</f>
        <v/>
      </c>
      <c r="BQ162" s="980" t="str">
        <f>IF(L162="Si",VLOOKUP($D$8,'Tablas Técnicas'!$I$4:$J$6,2,FALSE),"")</f>
        <v/>
      </c>
      <c r="BR162" s="1011" t="str">
        <f>IF(O162="Si",VLOOKUP($D$8,'Tablas Técnicas'!$I$7:$J$9,2,FALSE),"")</f>
        <v/>
      </c>
      <c r="BS162" s="1012"/>
      <c r="BT162" s="4774" t="s">
        <v>1690</v>
      </c>
      <c r="BU162" s="4775"/>
      <c r="BV162" s="971"/>
      <c r="BW162" s="951"/>
      <c r="BX162" s="951"/>
      <c r="BY162" s="1286"/>
      <c r="BZ162" s="1304"/>
      <c r="CA162" s="939"/>
      <c r="DR162" s="939"/>
      <c r="DT162" s="1325"/>
      <c r="DU162" s="1375" t="str">
        <f>IF(BW179="N/A","",BT178&amp;" "&amp;BW179&amp;IF(BY179="N/A"," "," ("&amp;BY179&amp;") "))</f>
        <v/>
      </c>
      <c r="DV162" s="1376" t="str">
        <f>IF(E162="","",E162)&amp;IF(I162="No",""," (Mant.)")&amp;IF(L162="No",""," (Sme)")&amp;IF(O162="No",""," (SMa)")</f>
        <v/>
      </c>
      <c r="DW162" s="1377"/>
      <c r="DX162" s="4778"/>
      <c r="DY162" s="1324"/>
      <c r="DZ162" s="939"/>
      <c r="EA162" s="1470">
        <f t="shared" si="2"/>
        <v>1</v>
      </c>
    </row>
    <row r="163" spans="1:131" ht="11.25" customHeight="1" x14ac:dyDescent="0.2">
      <c r="A163" s="939"/>
      <c r="B163" s="1403"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822"/>
      <c r="D163" s="1454">
        <v>2</v>
      </c>
      <c r="E163" s="1246"/>
      <c r="F163" s="1016"/>
      <c r="G163" s="1017"/>
      <c r="H163" s="2159">
        <f t="array" ref="H163">IF(AND(OR(ISNUMBER(SEARCH("Empatía Elemental ("&amp;BK158:BM158&amp;")",Principal!$AF$30))),SUM(H158:H162)&gt;=10),-5,0)</f>
        <v>0</v>
      </c>
      <c r="I163" s="1413"/>
      <c r="J163" s="1416"/>
      <c r="K163" s="1017"/>
      <c r="L163" s="1413"/>
      <c r="M163" s="1416"/>
      <c r="N163" s="1017"/>
      <c r="O163" s="1413"/>
      <c r="P163" s="1416"/>
      <c r="Q163" s="1017"/>
      <c r="R163" s="1018"/>
      <c r="S163" s="1017"/>
      <c r="T163" s="1017"/>
      <c r="U163" s="974"/>
      <c r="V163" s="974"/>
      <c r="W163" s="974"/>
      <c r="X163" s="974"/>
      <c r="Y163" s="974"/>
      <c r="Z163" s="974"/>
      <c r="AA163" s="974"/>
      <c r="AB163" s="974"/>
      <c r="AC163" s="974"/>
      <c r="AD163" s="974"/>
      <c r="AE163" s="974"/>
      <c r="AF163" s="974"/>
      <c r="AG163" s="974"/>
      <c r="AH163" s="974"/>
      <c r="AI163" s="974"/>
      <c r="AJ163" s="974"/>
      <c r="AK163" s="974"/>
      <c r="AL163" s="974"/>
      <c r="AM163" s="974"/>
      <c r="AN163" s="974"/>
      <c r="AO163" s="974"/>
      <c r="AP163" s="974"/>
      <c r="AQ163" s="974"/>
      <c r="AR163" s="974"/>
      <c r="AS163" s="974"/>
      <c r="AT163" s="974"/>
      <c r="AU163" s="974"/>
      <c r="AV163" s="974"/>
      <c r="AW163" s="974"/>
      <c r="AX163" s="974"/>
      <c r="AY163" s="974"/>
      <c r="AZ163" s="974"/>
      <c r="BA163" s="974"/>
      <c r="BB163" s="974"/>
      <c r="BC163" s="974"/>
      <c r="BD163" s="974"/>
      <c r="BE163" s="974"/>
      <c r="BF163" s="974"/>
      <c r="BG163" s="974"/>
      <c r="BH163" s="974"/>
      <c r="BI163" s="974"/>
      <c r="BJ163" s="974"/>
      <c r="BK163" s="974"/>
      <c r="BL163" s="974"/>
      <c r="BM163" s="976"/>
      <c r="BN163" s="977">
        <f>SUM(K163:K166)</f>
        <v>0</v>
      </c>
      <c r="BO163" s="971" t="str">
        <f>IF(E163=0,"",(AF163+AP163+AZ163+BJ163))</f>
        <v/>
      </c>
      <c r="BP163" s="978" t="str">
        <f>IF(I163="Si",VLOOKUP($D$8,'Tablas Técnicas'!$E$4:$F$6,2,FALSE),"")</f>
        <v/>
      </c>
      <c r="BQ163" s="979" t="str">
        <f>IF(L163="Si",VLOOKUP($D$8,'Tablas Técnicas'!$I$4:$J$6,2,FALSE),"")</f>
        <v/>
      </c>
      <c r="BR163" s="977" t="str">
        <f>IF(O163="Si",VLOOKUP($D$8,'Tablas Técnicas'!$I$7:$J$9,2,FALSE),"")</f>
        <v/>
      </c>
      <c r="BS163" s="994"/>
      <c r="BT163" s="4770" t="s">
        <v>4547</v>
      </c>
      <c r="BU163" s="4771"/>
      <c r="BV163" s="971"/>
      <c r="BW163" s="951"/>
      <c r="BX163" s="951"/>
      <c r="BY163" s="1286"/>
      <c r="BZ163" s="1304"/>
      <c r="CA163" s="939"/>
      <c r="DR163" s="939"/>
      <c r="DT163" s="1325"/>
      <c r="DU163" s="1375" t="str">
        <f>IF(BW181="N/A","",BT180&amp;" "&amp;BW181&amp;IF(BY181="N/A"," "," ("&amp;BY181&amp;") "))</f>
        <v/>
      </c>
      <c r="DV163" s="1380"/>
      <c r="DW163" s="1377"/>
      <c r="DX163" s="1427" t="s">
        <v>1828</v>
      </c>
      <c r="DY163" s="1324"/>
      <c r="DZ163" s="939"/>
      <c r="EA163" s="1470">
        <f t="shared" si="2"/>
        <v>1</v>
      </c>
    </row>
    <row r="164" spans="1:131" ht="11.25" customHeight="1" x14ac:dyDescent="0.2">
      <c r="A164" s="939"/>
      <c r="B164" s="939"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822"/>
      <c r="D164" s="1453" t="s">
        <v>1766</v>
      </c>
      <c r="E164" s="983"/>
      <c r="F164" s="1019"/>
      <c r="G164" s="989" t="str">
        <f>IF(E164=0,"",VLOOKUP(E164,'Tablas Técnicas'!$A$14:$V$771,3,FALSE))</f>
        <v/>
      </c>
      <c r="H164" s="1021" t="str">
        <f>IF($E164=0,"",VLOOKUP($E164,'Tablas Técnicas'!$A$14:$V$771,4,FALSE))</f>
        <v/>
      </c>
      <c r="I164" s="987" t="s">
        <v>1690</v>
      </c>
      <c r="J164" s="1414" t="str">
        <f>IF(E164=0,"",VLOOKUP(E164,'Tablas Técnicas'!$A$14:$V$771,5,FALSE))</f>
        <v/>
      </c>
      <c r="K164" s="1020" t="str">
        <f>IF(I164="Si",IF(E164=0,"",VLOOKUP(E164,'Tablas Técnicas'!$A$14:$V$771,5,FALSE)),"")</f>
        <v/>
      </c>
      <c r="L164" s="987" t="s">
        <v>1690</v>
      </c>
      <c r="M164" s="1414" t="str">
        <f>IF(E164=0,"",VLOOKUP(E164,'Tablas Técnicas'!$A$14:$V$771,6,FALSE))</f>
        <v/>
      </c>
      <c r="N164" s="990" t="str">
        <f>IF(L164="Si",IF(E164=0,"",VLOOKUP(E164,'Tablas Técnicas'!$A$14:$V$771,6,FALSE)),"")</f>
        <v/>
      </c>
      <c r="O164" s="987" t="s">
        <v>1690</v>
      </c>
      <c r="P164" s="1414" t="str">
        <f>IF(E164=0,"",VLOOKUP(E164,'Tablas Técnicas'!$A$14:$V$771,7,FALSE))</f>
        <v/>
      </c>
      <c r="Q164" s="990" t="str">
        <f>IF(O164="Si",IF(E164=0,"",VLOOKUP(E164,'Tablas Técnicas'!$A$14:$V$771,7,FALSE)),"")</f>
        <v/>
      </c>
      <c r="R164" s="1022" t="str">
        <f>IF(E164=0,"",VLOOKUP(E164,'Tablas Técnicas'!$A$14:$V$771,8,FALSE))</f>
        <v/>
      </c>
      <c r="S164" s="1021" t="str">
        <f>IF(R164=$D$8,$D$8,IF(R164=2,2,IF(R164=3,3,R164)))</f>
        <v/>
      </c>
      <c r="T164" s="989" t="str">
        <f>IF(E164=0,"",VLOOKUP(E164,'Tablas Técnicas'!$A$14:$V$771,9,FALSE))</f>
        <v/>
      </c>
      <c r="U164" s="989" t="str">
        <f>IF(E164=0,"",VLOOKUP(E164,'Tablas Técnicas'!$A$14:$V$771,10,FALSE))</f>
        <v/>
      </c>
      <c r="V164" s="984" t="str">
        <f>IF(E164=0,"",VLOOKUP(E164,'Tablas Técnicas'!$A$14:$V$771,11,FALSE))</f>
        <v/>
      </c>
      <c r="W164" s="987"/>
      <c r="X164" s="988" t="e">
        <f>VLOOKUP(E164,'Tablas Técnicas'!$A$14:$V$771,12,FALSE)</f>
        <v>#N/A</v>
      </c>
      <c r="Y164" s="988" t="e">
        <f>IF(W164=X164,VLOOKUP(E164,'Tablas Técnicas'!$A$14:$V$771,13,FALSE),0)</f>
        <v>#N/A</v>
      </c>
      <c r="Z164" s="988" t="e">
        <f>VLOOKUP(E164,'Tablas Técnicas'!$A$14:$V$771,14,FALSE)</f>
        <v>#N/A</v>
      </c>
      <c r="AA164" s="988" t="e">
        <f>IF(W164=Z164,VLOOKUP(E164,'Tablas Técnicas'!$A$14:$V$616,15,FALSE),0)</f>
        <v>#N/A</v>
      </c>
      <c r="AB164" s="988" t="e">
        <f>VLOOKUP(E164,'Tablas Técnicas'!$A$14:$V$771,16,FALSE)</f>
        <v>#N/A</v>
      </c>
      <c r="AC164" s="988" t="e">
        <f>IF(W164=AB164,VLOOKUP(E164,'Tablas Técnicas'!$A$14:$V$616,17,FALSE),0)</f>
        <v>#N/A</v>
      </c>
      <c r="AD164" s="988" t="e">
        <f>VLOOKUP(E164,'Tablas Técnicas'!$A$14:$V$771,18,FALSE)</f>
        <v>#N/A</v>
      </c>
      <c r="AE164" s="988" t="e">
        <f>IF(W164=AD164,VLOOKUP(E164,'Tablas Técnicas'!$A$14:$V$771,19,FALSE),0)</f>
        <v>#N/A</v>
      </c>
      <c r="AF164" s="989" t="str">
        <f>IF(E164=0,"",(Y164+AA164+AC164+AE164))</f>
        <v/>
      </c>
      <c r="AG164" s="987"/>
      <c r="AH164" s="1022" t="e">
        <f>VLOOKUP(E164,'Tablas Técnicas'!$A$14:$V$771,12,FALSE)</f>
        <v>#N/A</v>
      </c>
      <c r="AI164" s="1022" t="e">
        <f>IF(AG164=AH164,VLOOKUP(E164,'Tablas Técnicas'!$A$14:$V$771,13,FALSE),0)</f>
        <v>#N/A</v>
      </c>
      <c r="AJ164" s="1022" t="e">
        <f>VLOOKUP(E164,'Tablas Técnicas'!$A$14:$V$771,14,FALSE)</f>
        <v>#N/A</v>
      </c>
      <c r="AK164" s="1022" t="e">
        <f>IF(AG164=AJ164,VLOOKUP(E164,'Tablas Técnicas'!$A$14:$V$771,15,FALSE),0)</f>
        <v>#N/A</v>
      </c>
      <c r="AL164" s="1022" t="e">
        <f>VLOOKUP(E164,'Tablas Técnicas'!$A$14:$V$771,16,FALSE)</f>
        <v>#N/A</v>
      </c>
      <c r="AM164" s="1022" t="e">
        <f>IF(AG164=AL164,VLOOKUP(E164,'Tablas Técnicas'!$A$14:$V$771,17,FALSE),0)</f>
        <v>#N/A</v>
      </c>
      <c r="AN164" s="1022" t="e">
        <f>VLOOKUP(E164,'Tablas Técnicas'!$A$14:$V$771,18,FALSE)</f>
        <v>#N/A</v>
      </c>
      <c r="AO164" s="1022" t="e">
        <f>IF(AG164=AN164,VLOOKUP(E164,'Tablas Técnicas'!$A$14:$V$771,19,FALSE),0)</f>
        <v>#N/A</v>
      </c>
      <c r="AP164" s="1023" t="str">
        <f>IF(E164=0,"",(AI164+AK164+AM164+AO164))</f>
        <v/>
      </c>
      <c r="AQ164" s="987"/>
      <c r="AR164" s="988" t="e">
        <f>VLOOKUP(E164,'Tablas Técnicas'!$A$14:$V$771,12,FALSE)</f>
        <v>#N/A</v>
      </c>
      <c r="AS164" s="988" t="e">
        <f>IF(AQ164=AR164,VLOOKUP(E164,'Tablas Técnicas'!$A$14:$V$771,13,FALSE),0)</f>
        <v>#N/A</v>
      </c>
      <c r="AT164" s="988" t="e">
        <f>VLOOKUP(E164,'Tablas Técnicas'!$A$14:$V$771,14,FALSE)</f>
        <v>#N/A</v>
      </c>
      <c r="AU164" s="988" t="e">
        <f>IF(AQ164=AT164,VLOOKUP(E164,'Tablas Técnicas'!$A$14:$V$771,15,FALSE),0)</f>
        <v>#N/A</v>
      </c>
      <c r="AV164" s="988" t="e">
        <f>VLOOKUP(E164,'Tablas Técnicas'!$A$14:$V$771,16,FALSE)</f>
        <v>#N/A</v>
      </c>
      <c r="AW164" s="988" t="e">
        <f>IF(AQ164=AV164,VLOOKUP(E164,'Tablas Técnicas'!$A$14:$V$771,17,FALSE),0)</f>
        <v>#N/A</v>
      </c>
      <c r="AX164" s="988" t="e">
        <f>VLOOKUP(E164,'Tablas Técnicas'!$A$14:$V$771,18,FALSE)</f>
        <v>#N/A</v>
      </c>
      <c r="AY164" s="988" t="e">
        <f>IF(AQ164=AX164,VLOOKUP(E164,'Tablas Técnicas'!$A$14:$V$771,19,FALSE),0)</f>
        <v>#N/A</v>
      </c>
      <c r="AZ164" s="989" t="str">
        <f>IF(E164=0,"",(AS164+AU164+AW164+AY164))</f>
        <v/>
      </c>
      <c r="BA164" s="987"/>
      <c r="BB164" s="988" t="e">
        <f>VLOOKUP(E164,'Tablas Técnicas'!$A$14:$V$771,12,FALSE)</f>
        <v>#N/A</v>
      </c>
      <c r="BC164" s="988" t="e">
        <f>IF(BA164=BB164,VLOOKUP(E164,'Tablas Técnicas'!$A$14:$V$771,13,FALSE),0)</f>
        <v>#N/A</v>
      </c>
      <c r="BD164" s="988" t="e">
        <f>VLOOKUP(E164,'Tablas Técnicas'!$A$14:$V$771,14,FALSE)</f>
        <v>#N/A</v>
      </c>
      <c r="BE164" s="988" t="e">
        <f>IF(BA164=BD164,VLOOKUP(E164,'Tablas Técnicas'!$A$14:$V$771,15,FALSE),0)</f>
        <v>#N/A</v>
      </c>
      <c r="BF164" s="988" t="e">
        <f>VLOOKUP(E164,'Tablas Técnicas'!$A$14:$V$771,16,FALSE)</f>
        <v>#N/A</v>
      </c>
      <c r="BG164" s="988" t="e">
        <f>IF(BA164=BF164,VLOOKUP(E164,'Tablas Técnicas'!$A$14:$V$771,17,FALSE),0)</f>
        <v>#N/A</v>
      </c>
      <c r="BH164" s="988" t="e">
        <f>VLOOKUP(E164,'Tablas Técnicas'!$A$14:$V$771,18,FALSE)</f>
        <v>#N/A</v>
      </c>
      <c r="BI164" s="988" t="e">
        <f>IF(BA164=BH164,VLOOKUP(E164,'Tablas Técnicas'!$A$14:$V$771,19,FALSE),0)</f>
        <v>#N/A</v>
      </c>
      <c r="BJ164" s="990" t="str">
        <f>IF(E164=0,"",(BC164+BE164+BG164+BI164))</f>
        <v/>
      </c>
      <c r="BK164" s="989" t="str">
        <f>IF(E164=0,"",VLOOKUP(E164,'Tablas Técnicas'!$A$14:$V$771,20,FALSE))</f>
        <v/>
      </c>
      <c r="BL164" s="989" t="str">
        <f>IF(E164=0,"",VLOOKUP(E164,'Tablas Técnicas'!$A$14:$V$771,21,FALSE))</f>
        <v/>
      </c>
      <c r="BM164" s="1024" t="str">
        <f>IF(E164=0,"",VLOOKUP(E164,'Tablas Técnicas'!$A$14:$V$771,22,FALSE))</f>
        <v/>
      </c>
      <c r="BN164" s="992"/>
      <c r="BO164" s="993"/>
      <c r="BP164" s="978" t="str">
        <f>IF(I164="Si",VLOOKUP($D$8,'Tablas Técnicas'!$E$4:$F$6,2,FALSE),"")</f>
        <v/>
      </c>
      <c r="BQ164" s="979" t="str">
        <f>IF(L164="Si",VLOOKUP($D$8,'Tablas Técnicas'!$I$4:$J$6,2,FALSE),"")</f>
        <v/>
      </c>
      <c r="BR164" s="977" t="str">
        <f>IF(O164="Si",VLOOKUP($D$8,'Tablas Técnicas'!$I$7:$J$9,2,FALSE),"")</f>
        <v/>
      </c>
      <c r="BS164" s="994"/>
      <c r="BT164" s="4774" t="s">
        <v>4527</v>
      </c>
      <c r="BU164" s="4775"/>
      <c r="BV164" s="971"/>
      <c r="BW164" s="951"/>
      <c r="BX164" s="951"/>
      <c r="BY164" s="1286"/>
      <c r="BZ164" s="1304"/>
      <c r="CA164" s="939"/>
      <c r="DR164" s="939"/>
      <c r="DT164" s="1326"/>
      <c r="DU164" s="1379"/>
      <c r="DV164" s="1376" t="str">
        <f>IF(E164="","",", "&amp;E164)&amp;IF(I164="No",""," (Mant.)")&amp;IF(L164="No",""," (Sme)")&amp;IF(O164="No",""," (SMa)")</f>
        <v/>
      </c>
      <c r="DW164" s="1377"/>
      <c r="DX164" s="1378" t="str">
        <f>IF(ISNUMBER(FIND('Tablas Técnicas'!A$678,DW182)),BL188&amp;BM188,IF(ISNUMBER(FIND('Tablas Técnicas'!A$679,DW182)),BL188&amp;" "&amp;BM188,""))</f>
        <v/>
      </c>
      <c r="DY164" s="1327"/>
      <c r="DZ164" s="939"/>
      <c r="EA164" s="1470">
        <f t="shared" si="2"/>
        <v>1</v>
      </c>
    </row>
    <row r="165" spans="1:131" x14ac:dyDescent="0.2">
      <c r="A165" s="939"/>
      <c r="B165" s="939"/>
      <c r="C165" s="4822"/>
      <c r="D165" s="1452" t="s">
        <v>1766</v>
      </c>
      <c r="E165" s="995"/>
      <c r="F165" s="1025"/>
      <c r="G165" s="1437" t="str">
        <f>IF(E165=0,"",VLOOKUP(E165,'Tablas Técnicas'!$A$14:$V$771,3,FALSE))</f>
        <v/>
      </c>
      <c r="H165" s="998" t="str">
        <f>IF($E165=0,"",VLOOKUP($E165,'Tablas Técnicas'!$A$14:$V$771,4,FALSE))</f>
        <v/>
      </c>
      <c r="I165" s="999" t="s">
        <v>1690</v>
      </c>
      <c r="J165" s="1415" t="str">
        <f>IF(E165=0,"",VLOOKUP(E165,'Tablas Técnicas'!$A$14:$V$771,5,FALSE))</f>
        <v/>
      </c>
      <c r="K165" s="1001" t="str">
        <f>IF(I165="Si",IF(E165=0,"",VLOOKUP(E165,'Tablas Técnicas'!$A$14:$V$771,5,FALSE)),"")</f>
        <v/>
      </c>
      <c r="L165" s="999" t="s">
        <v>1690</v>
      </c>
      <c r="M165" s="1415" t="str">
        <f>IF(E165=0,"",VLOOKUP(E165,'Tablas Técnicas'!$A$14:$V$771,6,FALSE))</f>
        <v/>
      </c>
      <c r="N165" s="1002" t="str">
        <f>IF(L165="Si",IF(E165=0,"",VLOOKUP(E165,'Tablas Técnicas'!$A$14:$V$771,6,FALSE)),"")</f>
        <v/>
      </c>
      <c r="O165" s="999" t="s">
        <v>1690</v>
      </c>
      <c r="P165" s="1415" t="str">
        <f>IF(E165=0,"",VLOOKUP(E165,'Tablas Técnicas'!$A$14:$V$771,7,FALSE))</f>
        <v/>
      </c>
      <c r="Q165" s="1002" t="str">
        <f>IF(O165="Si",IF(E165=0,"",VLOOKUP(E165,'Tablas Técnicas'!$A$14:$V$771,7,FALSE)),"")</f>
        <v/>
      </c>
      <c r="R165" s="1000" t="str">
        <f>IF(E165=0,"",VLOOKUP(E165,'Tablas Técnicas'!$A$14:$V$771,8,FALSE))</f>
        <v/>
      </c>
      <c r="S165" s="998" t="str">
        <f>IF(R165=$D$8,$D$8,IF(R165=2,2,IF(R165=3,3,R165)))</f>
        <v/>
      </c>
      <c r="T165" s="4796" t="s">
        <v>4542</v>
      </c>
      <c r="U165" s="4797"/>
      <c r="V165" s="4797"/>
      <c r="W165" s="4797"/>
      <c r="X165" s="4797"/>
      <c r="Y165" s="4797"/>
      <c r="Z165" s="4797"/>
      <c r="AA165" s="4797"/>
      <c r="AB165" s="4797"/>
      <c r="AC165" s="4797"/>
      <c r="AD165" s="4797"/>
      <c r="AE165" s="4797"/>
      <c r="AF165" s="4797"/>
      <c r="AG165" s="4797"/>
      <c r="AH165" s="4797"/>
      <c r="AI165" s="4797"/>
      <c r="AJ165" s="4797"/>
      <c r="AK165" s="4797"/>
      <c r="AL165" s="4797"/>
      <c r="AM165" s="4797"/>
      <c r="AN165" s="4797"/>
      <c r="AO165" s="4797"/>
      <c r="AP165" s="4797"/>
      <c r="AQ165" s="4797"/>
      <c r="AR165" s="4797"/>
      <c r="AS165" s="4797"/>
      <c r="AT165" s="4797"/>
      <c r="AU165" s="4797"/>
      <c r="AV165" s="4797"/>
      <c r="AW165" s="4797"/>
      <c r="AX165" s="4797"/>
      <c r="AY165" s="4797"/>
      <c r="AZ165" s="4797"/>
      <c r="BA165" s="4797"/>
      <c r="BB165" s="4797"/>
      <c r="BC165" s="4797"/>
      <c r="BD165" s="4797"/>
      <c r="BE165" s="4797"/>
      <c r="BF165" s="4797"/>
      <c r="BG165" s="4797"/>
      <c r="BH165" s="4797"/>
      <c r="BI165" s="4797"/>
      <c r="BJ165" s="4797"/>
      <c r="BK165" s="4798"/>
      <c r="BL165" s="1437"/>
      <c r="BM165" s="1438"/>
      <c r="BN165" s="992"/>
      <c r="BO165" s="993"/>
      <c r="BP165" s="978" t="str">
        <f>IF(I165="Si",VLOOKUP($D$8,'Tablas Técnicas'!$E$4:$F$6,2,FALSE),"")</f>
        <v/>
      </c>
      <c r="BQ165" s="979" t="str">
        <f>IF(L165="Si",VLOOKUP($D$8,'Tablas Técnicas'!$I$4:$J$6,2,FALSE),"")</f>
        <v/>
      </c>
      <c r="BR165" s="977" t="str">
        <f>IF(O165="Si",VLOOKUP($D$8,'Tablas Técnicas'!$I$7:$J$9,2,FALSE),"")</f>
        <v/>
      </c>
      <c r="BS165" s="994"/>
      <c r="BT165" s="4770" t="s">
        <v>4548</v>
      </c>
      <c r="BU165" s="4771"/>
      <c r="BV165" s="971"/>
      <c r="BW165" s="951"/>
      <c r="BX165" s="951"/>
      <c r="BY165" s="1286"/>
      <c r="BZ165" s="1304"/>
      <c r="CA165" s="939"/>
      <c r="DR165" s="939"/>
      <c r="DT165" s="1325"/>
      <c r="DU165" s="1375"/>
      <c r="DV165" s="1376" t="str">
        <f>IF(E165="",""," "&amp;E165)&amp;IF(I165="No",""," (Mant.)")&amp;IF(L165="No",""," (Sme)")&amp;IF(O165="No",""," (SMa)")</f>
        <v/>
      </c>
      <c r="DW165" s="1377"/>
      <c r="DX165" s="1378"/>
      <c r="DY165" s="1324"/>
      <c r="DZ165" s="939"/>
      <c r="EA165" s="1470">
        <f t="shared" si="2"/>
        <v>1</v>
      </c>
    </row>
    <row r="166" spans="1:131" x14ac:dyDescent="0.2">
      <c r="A166" s="939"/>
      <c r="B166" s="939"/>
      <c r="C166" s="4822"/>
      <c r="D166" s="1453" t="s">
        <v>1766</v>
      </c>
      <c r="E166" s="1003"/>
      <c r="F166" s="1019"/>
      <c r="G166" s="989" t="str">
        <f>IF(E166=0,"",VLOOKUP(E166,'Tablas Técnicas'!$A$14:$V$771,3,FALSE))</f>
        <v/>
      </c>
      <c r="H166" s="3033" t="str">
        <f>IF($E166=0,"",VLOOKUP($E166,'Tablas Técnicas'!$A$14:$V$771,4,FALSE))</f>
        <v/>
      </c>
      <c r="I166" s="987" t="s">
        <v>1690</v>
      </c>
      <c r="J166" s="1411" t="str">
        <f>IF(E166=0,"",VLOOKUP(E166,'Tablas Técnicas'!$A$14:$V$771,5,FALSE))</f>
        <v/>
      </c>
      <c r="K166" s="1006" t="str">
        <f>IF(I166="Si",IF(E166=0,"",VLOOKUP(E166,'Tablas Técnicas'!$A$14:$V$771,5,FALSE)),"")</f>
        <v/>
      </c>
      <c r="L166" s="987" t="s">
        <v>1690</v>
      </c>
      <c r="M166" s="1411" t="str">
        <f>IF(E166=0,"",VLOOKUP(E166,'Tablas Técnicas'!$A$14:$V$771,6,FALSE))</f>
        <v/>
      </c>
      <c r="N166" s="990" t="str">
        <f>IF(L166="Si",IF(E166=0,"",VLOOKUP(E166,'Tablas Técnicas'!$A$14:$V$771,6,FALSE)),"")</f>
        <v/>
      </c>
      <c r="O166" s="987" t="s">
        <v>1690</v>
      </c>
      <c r="P166" s="1411" t="str">
        <f>IF(E166=0,"",VLOOKUP(E166,'Tablas Técnicas'!$A$14:$V$771,7,FALSE))</f>
        <v/>
      </c>
      <c r="Q166" s="990" t="str">
        <f>IF(O166="Si",IF(E166=0,"",VLOOKUP(E166,'Tablas Técnicas'!$A$14:$V$771,7,FALSE)),"")</f>
        <v/>
      </c>
      <c r="R166" s="1005" t="str">
        <f>IF(E166=0,"",VLOOKUP(E166,'Tablas Técnicas'!$A$14:$V$771,8,FALSE))</f>
        <v/>
      </c>
      <c r="S166" s="3033" t="str">
        <f>IF(R166=$D$8,$D$8,IF(R166=2,2,IF(R166=3,3,R166)))</f>
        <v/>
      </c>
      <c r="T166" s="4809"/>
      <c r="U166" s="4810"/>
      <c r="V166" s="3029" t="str">
        <f>IF(OR(V164=0,V164=""),"N/A",V164)</f>
        <v>N/A</v>
      </c>
      <c r="W166" s="4809" t="str">
        <f xml:space="preserve"> IF(OR(AF164=0,AF164=""),"N/A",W164)</f>
        <v>N/A</v>
      </c>
      <c r="X166" s="4811"/>
      <c r="Y166" s="4811"/>
      <c r="Z166" s="4811"/>
      <c r="AA166" s="4811"/>
      <c r="AB166" s="4811"/>
      <c r="AC166" s="4811"/>
      <c r="AD166" s="4811"/>
      <c r="AE166" s="4811"/>
      <c r="AF166" s="4810"/>
      <c r="AG166" s="4809" t="str">
        <f xml:space="preserve"> IF(OR(AP164="",AP164=0),"N/A",AG164)</f>
        <v>N/A</v>
      </c>
      <c r="AH166" s="4811"/>
      <c r="AI166" s="4811"/>
      <c r="AJ166" s="4811"/>
      <c r="AK166" s="4811"/>
      <c r="AL166" s="4811"/>
      <c r="AM166" s="4811"/>
      <c r="AN166" s="4811"/>
      <c r="AO166" s="4811"/>
      <c r="AP166" s="4810"/>
      <c r="AQ166" s="4809" t="str">
        <f xml:space="preserve"> IF(OR(AZ164="",AZ164=0),"N/A",AQ164)</f>
        <v>N/A</v>
      </c>
      <c r="AR166" s="4811"/>
      <c r="AS166" s="4811"/>
      <c r="AT166" s="4811"/>
      <c r="AU166" s="4811"/>
      <c r="AV166" s="4811"/>
      <c r="AW166" s="4811"/>
      <c r="AX166" s="4811"/>
      <c r="AY166" s="4811"/>
      <c r="AZ166" s="4810"/>
      <c r="BA166" s="4809" t="str">
        <f xml:space="preserve"> IF(OR(BJ164="",BJ164=0),"N/A",BA164)</f>
        <v>N/A</v>
      </c>
      <c r="BB166" s="4811"/>
      <c r="BC166" s="4811"/>
      <c r="BD166" s="4811"/>
      <c r="BE166" s="4811"/>
      <c r="BF166" s="4811"/>
      <c r="BG166" s="4811"/>
      <c r="BH166" s="4811"/>
      <c r="BI166" s="4811"/>
      <c r="BJ166" s="4810"/>
      <c r="BK166" s="1007" t="s">
        <v>4543</v>
      </c>
      <c r="BL166" s="989"/>
      <c r="BM166" s="1024"/>
      <c r="BN166" s="992"/>
      <c r="BO166" s="1009"/>
      <c r="BP166" s="978" t="str">
        <f>IF(I166="Si",VLOOKUP($D$8,'Tablas Técnicas'!$E$4:$F$6,2,FALSE),"")</f>
        <v/>
      </c>
      <c r="BQ166" s="979" t="str">
        <f>IF(L166="Si",VLOOKUP($D$8,'Tablas Técnicas'!$I$4:$J$6,2,FALSE),"")</f>
        <v/>
      </c>
      <c r="BR166" s="977" t="str">
        <f>IF(O166="Si",VLOOKUP($D$8,'Tablas Técnicas'!$I$7:$J$9,2,FALSE),"")</f>
        <v/>
      </c>
      <c r="BS166" s="994"/>
      <c r="BT166" s="4774" t="s">
        <v>4521</v>
      </c>
      <c r="BU166" s="4775"/>
      <c r="BV166" s="971"/>
      <c r="BW166" s="951"/>
      <c r="BX166" s="951"/>
      <c r="BY166" s="1286"/>
      <c r="BZ166" s="1304"/>
      <c r="CA166" s="939"/>
      <c r="DR166" s="939"/>
      <c r="DT166" s="1325"/>
      <c r="DU166" s="1379"/>
      <c r="DV166" s="1376" t="str">
        <f>IF(E166="","",E166)&amp;IF(I166="No",""," (Mant.)")&amp;IF(L166="No",""," (Sme)")&amp;IF(O166="No",""," (SMa)")</f>
        <v/>
      </c>
      <c r="DW166" s="1377"/>
      <c r="DX166" s="1378"/>
      <c r="DY166" s="1324"/>
      <c r="DZ166" s="939"/>
      <c r="EA166" s="1470">
        <f t="shared" si="2"/>
        <v>1</v>
      </c>
    </row>
    <row r="167" spans="1:131" x14ac:dyDescent="0.2">
      <c r="A167" s="939"/>
      <c r="B167" s="939"/>
      <c r="C167" s="4822"/>
      <c r="D167" s="1452" t="s">
        <v>1766</v>
      </c>
      <c r="E167" s="995"/>
      <c r="F167" s="1025"/>
      <c r="G167" s="1437" t="str">
        <f>IF(E167=0,"",VLOOKUP(E167,'Tablas Técnicas'!$A$14:$V$771,3,FALSE))</f>
        <v/>
      </c>
      <c r="H167" s="998" t="str">
        <f>IF($E167=0,"",VLOOKUP($E167,'Tablas Técnicas'!$A$14:$V$771,4,FALSE))</f>
        <v/>
      </c>
      <c r="I167" s="999" t="s">
        <v>1690</v>
      </c>
      <c r="J167" s="1415" t="str">
        <f>IF(E167=0,"",VLOOKUP(E167,'Tablas Técnicas'!$A$14:$V$771,5,FALSE))</f>
        <v/>
      </c>
      <c r="K167" s="1001" t="str">
        <f>IF(I167="Si",IF(E167=0,"",VLOOKUP(E167,'Tablas Técnicas'!$A$14:$V$771,5,FALSE)),"")</f>
        <v/>
      </c>
      <c r="L167" s="999" t="s">
        <v>1690</v>
      </c>
      <c r="M167" s="1415" t="str">
        <f>IF(E167=0,"",VLOOKUP(E167,'Tablas Técnicas'!$A$14:$V$771,6,FALSE))</f>
        <v/>
      </c>
      <c r="N167" s="1002" t="str">
        <f>IF(L167="Si",IF(E167=0,"",VLOOKUP(E167,'Tablas Técnicas'!$A$14:$V$771,6,FALSE)),"")</f>
        <v/>
      </c>
      <c r="O167" s="999" t="s">
        <v>1690</v>
      </c>
      <c r="P167" s="1415" t="str">
        <f>IF(E167=0,"",VLOOKUP(E167,'Tablas Técnicas'!$A$14:$V$771,7,FALSE))</f>
        <v/>
      </c>
      <c r="Q167" s="1002" t="str">
        <f>IF(O167="Si",IF(E167=0,"",VLOOKUP(E167,'Tablas Técnicas'!$A$14:$V$771,7,FALSE)),"")</f>
        <v/>
      </c>
      <c r="R167" s="1000" t="str">
        <f>IF(E167=0,"",VLOOKUP(E167,'Tablas Técnicas'!$A$14:$V$771,8,FALSE))</f>
        <v/>
      </c>
      <c r="S167" s="998" t="str">
        <f>IF(R167=$D$8,$D$8,IF(R167=2,2,IF(R167=3,3,R167)))</f>
        <v/>
      </c>
      <c r="T167" s="4812" t="s">
        <v>4544</v>
      </c>
      <c r="U167" s="4813"/>
      <c r="V167" s="3025"/>
      <c r="W167" s="4814"/>
      <c r="X167" s="4815"/>
      <c r="Y167" s="4815"/>
      <c r="Z167" s="4815"/>
      <c r="AA167" s="4815"/>
      <c r="AB167" s="4815"/>
      <c r="AC167" s="4815"/>
      <c r="AD167" s="4815"/>
      <c r="AE167" s="4815"/>
      <c r="AF167" s="4816"/>
      <c r="AG167" s="4814"/>
      <c r="AH167" s="4815"/>
      <c r="AI167" s="4815"/>
      <c r="AJ167" s="4815"/>
      <c r="AK167" s="4815"/>
      <c r="AL167" s="4815"/>
      <c r="AM167" s="4815"/>
      <c r="AN167" s="4815"/>
      <c r="AO167" s="4815"/>
      <c r="AP167" s="4816"/>
      <c r="AQ167" s="4814"/>
      <c r="AR167" s="4815"/>
      <c r="AS167" s="4815"/>
      <c r="AT167" s="4815"/>
      <c r="AU167" s="4815"/>
      <c r="AV167" s="4815"/>
      <c r="AW167" s="4815"/>
      <c r="AX167" s="4815"/>
      <c r="AY167" s="4815"/>
      <c r="AZ167" s="4816"/>
      <c r="BA167" s="4814"/>
      <c r="BB167" s="4815"/>
      <c r="BC167" s="4815"/>
      <c r="BD167" s="4815"/>
      <c r="BE167" s="4815"/>
      <c r="BF167" s="4815"/>
      <c r="BG167" s="4815"/>
      <c r="BH167" s="4815"/>
      <c r="BI167" s="4815"/>
      <c r="BJ167" s="4816"/>
      <c r="BK167" s="998">
        <f>(SUM(G164:G168)+IF(AF164="",0,AF164)+IF(AP164="",0,AP164)+IF(AZ164="",0,AZ164)+IF(BJ164="",0,BJ164)+SUM(K164:K168)+SUM(N164:N168)+SUM(Q164:Q168))- SUM(V167:BA167)</f>
        <v>0</v>
      </c>
      <c r="BL167" s="1437"/>
      <c r="BM167" s="1438"/>
      <c r="BN167" s="992"/>
      <c r="BO167" s="993"/>
      <c r="BP167" s="978" t="str">
        <f>IF(I167="Si",VLOOKUP($D$8,'Tablas Técnicas'!$E$4:$F$6,2,FALSE),"")</f>
        <v/>
      </c>
      <c r="BQ167" s="979" t="str">
        <f>IF(L167="Si",VLOOKUP($D$8,'Tablas Técnicas'!$I$4:$J$6,2,FALSE),"")</f>
        <v/>
      </c>
      <c r="BR167" s="977" t="str">
        <f>IF(O167="Si",VLOOKUP($D$8,'Tablas Técnicas'!$I$7:$J$9,2,FALSE),"")</f>
        <v/>
      </c>
      <c r="BS167" s="994"/>
      <c r="BT167" s="4766" t="s">
        <v>4549</v>
      </c>
      <c r="BU167" s="4767"/>
      <c r="BV167" s="971"/>
      <c r="BW167" s="951"/>
      <c r="BX167" s="951"/>
      <c r="BY167" s="1286"/>
      <c r="BZ167" s="1304"/>
      <c r="CA167" s="939"/>
      <c r="DR167" s="939"/>
      <c r="DT167" s="1325"/>
      <c r="DU167" s="1375"/>
      <c r="DV167" s="1376" t="str">
        <f>IF(E167="","",E167)&amp;IF(I167="No",""," (Mant.)")&amp;IF(L167="No",""," (Sme)")&amp;IF(O167="No",""," (SMa)")</f>
        <v/>
      </c>
      <c r="DW167" s="1377"/>
      <c r="DX167" s="1378"/>
      <c r="DY167" s="1324"/>
      <c r="DZ167" s="939"/>
      <c r="EA167" s="1470">
        <f t="shared" si="2"/>
        <v>1</v>
      </c>
    </row>
    <row r="168" spans="1:131" x14ac:dyDescent="0.2">
      <c r="A168" s="939"/>
      <c r="B168" s="939"/>
      <c r="C168" s="4822"/>
      <c r="D168" s="1453" t="s">
        <v>1766</v>
      </c>
      <c r="E168" s="1003"/>
      <c r="F168" s="1019"/>
      <c r="G168" s="989" t="str">
        <f>IF(E168=0,"",VLOOKUP(E168,'Tablas Técnicas'!$A$14:$V$771,3,FALSE))</f>
        <v/>
      </c>
      <c r="H168" s="1004" t="str">
        <f>IF($E168=0,"",VLOOKUP($E168,'Tablas Técnicas'!$A$14:$V$771,4,FALSE))</f>
        <v/>
      </c>
      <c r="I168" s="987" t="s">
        <v>1690</v>
      </c>
      <c r="J168" s="1411" t="str">
        <f>IF(E168=0,"",VLOOKUP(E168,'Tablas Técnicas'!$A$14:$V$771,5,FALSE))</f>
        <v/>
      </c>
      <c r="K168" s="1006" t="str">
        <f>IF(I168="Si",IF(E168=0,"",VLOOKUP(E168,'Tablas Técnicas'!$A$14:$V$771,5,FALSE)),"")</f>
        <v/>
      </c>
      <c r="L168" s="987" t="s">
        <v>1690</v>
      </c>
      <c r="M168" s="1411" t="str">
        <f>IF(E168=0,"",VLOOKUP(E168,'Tablas Técnicas'!$A$14:$V$771,6,FALSE))</f>
        <v/>
      </c>
      <c r="N168" s="990" t="str">
        <f>IF(L168="Si",IF(E168=0,"",VLOOKUP(E168,'Tablas Técnicas'!$A$14:$V$771,6,FALSE)),"")</f>
        <v/>
      </c>
      <c r="O168" s="987" t="s">
        <v>1690</v>
      </c>
      <c r="P168" s="1411" t="str">
        <f>IF(E168=0,"",VLOOKUP(E168,'Tablas Técnicas'!$A$14:$V$771,7,FALSE))</f>
        <v/>
      </c>
      <c r="Q168" s="990" t="str">
        <f>IF(O168="Si",IF(E168=0,"",VLOOKUP(E168,'Tablas Técnicas'!$A$14:$V$771,7,FALSE)),"")</f>
        <v/>
      </c>
      <c r="R168" s="1005" t="str">
        <f>IF(E168=0,"",VLOOKUP(E168,'Tablas Técnicas'!$A$14:$V$771,8,FALSE))</f>
        <v/>
      </c>
      <c r="S168" s="1004" t="str">
        <f>IF(R168=$D$8,$D$8,IF(R168=2,2,IF(R168=3,3,R168)))</f>
        <v/>
      </c>
      <c r="T168" s="4803" t="s">
        <v>4546</v>
      </c>
      <c r="U168" s="4804"/>
      <c r="V168" s="3032"/>
      <c r="W168" s="4805"/>
      <c r="X168" s="4806"/>
      <c r="Y168" s="4806"/>
      <c r="Z168" s="4806"/>
      <c r="AA168" s="4806"/>
      <c r="AB168" s="4806"/>
      <c r="AC168" s="4806"/>
      <c r="AD168" s="4806"/>
      <c r="AE168" s="4806"/>
      <c r="AF168" s="4807"/>
      <c r="AG168" s="4805"/>
      <c r="AH168" s="4806"/>
      <c r="AI168" s="4806"/>
      <c r="AJ168" s="4806"/>
      <c r="AK168" s="4806"/>
      <c r="AL168" s="4806"/>
      <c r="AM168" s="4806"/>
      <c r="AN168" s="4806"/>
      <c r="AO168" s="4806"/>
      <c r="AP168" s="4807"/>
      <c r="AQ168" s="4805"/>
      <c r="AR168" s="4806"/>
      <c r="AS168" s="4806"/>
      <c r="AT168" s="4806"/>
      <c r="AU168" s="4806"/>
      <c r="AV168" s="4806"/>
      <c r="AW168" s="4806"/>
      <c r="AX168" s="4806"/>
      <c r="AY168" s="4806"/>
      <c r="AZ168" s="4807"/>
      <c r="BA168" s="4805"/>
      <c r="BB168" s="4806"/>
      <c r="BC168" s="4806"/>
      <c r="BD168" s="4806"/>
      <c r="BE168" s="4806"/>
      <c r="BF168" s="4806"/>
      <c r="BG168" s="4806"/>
      <c r="BH168" s="4806"/>
      <c r="BI168" s="4806"/>
      <c r="BJ168" s="4807"/>
      <c r="BK168" s="1014">
        <f>SUM(K164:K168)-SUM(V168:BA168)</f>
        <v>0</v>
      </c>
      <c r="BL168" s="1439"/>
      <c r="BM168" s="1440"/>
      <c r="BN168" s="992"/>
      <c r="BO168" s="1009"/>
      <c r="BP168" s="978" t="str">
        <f>IF(I168="Si",VLOOKUP($D$8,'Tablas Técnicas'!$E$4:$F$6,2,FALSE),"")</f>
        <v/>
      </c>
      <c r="BQ168" s="979" t="str">
        <f>IF(L168="Si",VLOOKUP($D$8,'Tablas Técnicas'!$I$4:$J$6,2,FALSE),"")</f>
        <v/>
      </c>
      <c r="BR168" s="977" t="str">
        <f>IF(O168="Si",VLOOKUP($D$8,'Tablas Técnicas'!$I$7:$J$9,2,FALSE),"")</f>
        <v/>
      </c>
      <c r="BS168" s="994"/>
      <c r="BT168" s="2354">
        <f>IF(BT162="No",0,IF(D156=0,0,VLOOKUP(D156,'Tablas Técnicas'!$L$4:$N$7,2,FALSE)))+IF(BT164="Bajar coste de CM",0,IF(BT164="-5 CM",2,IF(BT164="-10 CM",4,IF(BT164="-15 CM",6,IF(BT164="-20 CM",8,0)))))+IF(BT166="Bajar coste de Ki",0,IF(BT166="-1 Ki",-1,IF(BT166="-2 Ki",-2,IF(BT166="-3 Ki",-3,IF(BT166="-4 Ki",-4,IF(BT166="-5 Ki",-5,0))))))-BU171-BU173-BU175-BU177-BU179-BU181</f>
        <v>0</v>
      </c>
      <c r="BU168" s="2355">
        <f>IF(BT162="No",0,IF(D156=0,0,VLOOKUP(D156,'Tablas Técnicas'!$L$4:$N$7,2,FALSE)))+IF(BT164="Bajar coste de CM",0,IF(BT164="-5 CM",2,IF(BT164="-10 CM",4,IF(BT164="-15 CM",6,IF(BT164="-20 CM",8,0)))))+IF(BT166="Bajar coste de Ki",0,IF(BT166="-1 Ki",-1,IF(BT166="-2 Ki",-2,IF(BT166="-3 Ki",-3,IF(BT166="-4 Ki",-4,IF(BT166="-5 Ki",-5,0))))))</f>
        <v>0</v>
      </c>
      <c r="BV168" s="971"/>
      <c r="BW168" s="951"/>
      <c r="BX168" s="951"/>
      <c r="BY168" s="1286"/>
      <c r="BZ168" s="4808"/>
      <c r="CA168" s="939"/>
      <c r="DR168" s="939"/>
      <c r="DT168" s="1325"/>
      <c r="DU168" s="1379"/>
      <c r="DV168" s="1376" t="str">
        <f>IF(E168="","",E168)&amp;IF(I168="No",""," (Mant.)")&amp;IF(L168="No",""," (Sme)")&amp;IF(O168="No",""," (SMa)")</f>
        <v/>
      </c>
      <c r="DW168" s="1377"/>
      <c r="DX168" s="1378"/>
      <c r="DY168" s="1324"/>
      <c r="DZ168" s="939"/>
      <c r="EA168" s="1470">
        <f t="shared" si="2"/>
        <v>1</v>
      </c>
    </row>
    <row r="169" spans="1:131" x14ac:dyDescent="0.2">
      <c r="A169" s="939"/>
      <c r="B169" s="1403"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822"/>
      <c r="D169" s="1454">
        <v>3</v>
      </c>
      <c r="E169" s="1246"/>
      <c r="F169" s="1016"/>
      <c r="G169" s="1017"/>
      <c r="H169" s="2159">
        <f t="array" ref="H169">IF(AND(OR(ISNUMBER(SEARCH("Empatía Elemental ("&amp;BK164:BM164&amp;")",Principal!$AF$30))),SUM(H164:H168)&gt;=10),-5,0)</f>
        <v>0</v>
      </c>
      <c r="I169" s="1413"/>
      <c r="J169" s="1416"/>
      <c r="K169" s="1017"/>
      <c r="L169" s="1413"/>
      <c r="M169" s="1416"/>
      <c r="N169" s="1017"/>
      <c r="O169" s="1413"/>
      <c r="P169" s="1416"/>
      <c r="Q169" s="1017"/>
      <c r="R169" s="1018"/>
      <c r="S169" s="1017"/>
      <c r="T169" s="1017"/>
      <c r="U169" s="1017"/>
      <c r="V169" s="1017"/>
      <c r="W169" s="1017"/>
      <c r="X169" s="1017"/>
      <c r="Y169" s="1017"/>
      <c r="Z169" s="1017"/>
      <c r="AA169" s="1017"/>
      <c r="AB169" s="1017"/>
      <c r="AC169" s="1017"/>
      <c r="AD169" s="1017"/>
      <c r="AE169" s="1017"/>
      <c r="AF169" s="1017"/>
      <c r="AG169" s="1017"/>
      <c r="AH169" s="1017"/>
      <c r="AI169" s="1017"/>
      <c r="AJ169" s="1017"/>
      <c r="AK169" s="1017"/>
      <c r="AL169" s="1017"/>
      <c r="AM169" s="1017"/>
      <c r="AN169" s="1017"/>
      <c r="AO169" s="1017"/>
      <c r="AP169" s="1017"/>
      <c r="AQ169" s="1017"/>
      <c r="AR169" s="1017"/>
      <c r="AS169" s="1017"/>
      <c r="AT169" s="1017"/>
      <c r="AU169" s="1017"/>
      <c r="AV169" s="1017"/>
      <c r="AW169" s="1017"/>
      <c r="AX169" s="1017"/>
      <c r="AY169" s="1017"/>
      <c r="AZ169" s="1017"/>
      <c r="BA169" s="1017"/>
      <c r="BB169" s="1017"/>
      <c r="BC169" s="1017"/>
      <c r="BD169" s="1017"/>
      <c r="BE169" s="1017"/>
      <c r="BF169" s="1017"/>
      <c r="BG169" s="1017"/>
      <c r="BH169" s="1017"/>
      <c r="BI169" s="1017"/>
      <c r="BJ169" s="1017"/>
      <c r="BK169" s="1017"/>
      <c r="BL169" s="1017"/>
      <c r="BM169" s="1027"/>
      <c r="BN169" s="1028">
        <f>SUM(K169:K172)</f>
        <v>0</v>
      </c>
      <c r="BO169" s="971" t="str">
        <f>IF(E169=0,"",(AF169+AP169+AZ169+BJ169))</f>
        <v/>
      </c>
      <c r="BP169" s="1029" t="str">
        <f>IF(I169="Si",VLOOKUP($D$8,'Tablas Técnicas'!$E$4:$F$6,2,FALSE),"")</f>
        <v/>
      </c>
      <c r="BQ169" s="1030" t="str">
        <f>IF(L169="Si",VLOOKUP($D$8,'Tablas Técnicas'!$I$4:$J$6,2,FALSE),"")</f>
        <v/>
      </c>
      <c r="BR169" s="1028" t="str">
        <f>IF(O169="Si",VLOOKUP($D$8,'Tablas Técnicas'!$I$7:$J$9,2,FALSE),"")</f>
        <v/>
      </c>
      <c r="BS169" s="994"/>
      <c r="BU169" s="3026"/>
      <c r="BV169" s="971"/>
      <c r="BW169" s="951"/>
      <c r="BX169" s="951"/>
      <c r="BY169" s="1286"/>
      <c r="BZ169" s="4808"/>
      <c r="CA169" s="939"/>
      <c r="DR169" s="939"/>
      <c r="DT169" s="1325"/>
      <c r="DU169" s="1379"/>
      <c r="DV169" s="1380"/>
      <c r="DW169" s="1377"/>
      <c r="DX169" s="1378"/>
      <c r="DY169" s="1324"/>
      <c r="DZ169" s="939"/>
      <c r="EA169" s="1470">
        <f t="shared" si="2"/>
        <v>1</v>
      </c>
    </row>
    <row r="170" spans="1:131" x14ac:dyDescent="0.2">
      <c r="A170" s="939"/>
      <c r="B170" s="939"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822"/>
      <c r="D170" s="1453" t="s">
        <v>1766</v>
      </c>
      <c r="E170" s="983"/>
      <c r="F170" s="1019"/>
      <c r="G170" s="989" t="str">
        <f>IF(E170=0,"",VLOOKUP(E170,'Tablas Técnicas'!$A$14:$V$771,3,FALSE))</f>
        <v/>
      </c>
      <c r="H170" s="1031" t="str">
        <f>IF($E170=0,"",VLOOKUP($E170,'Tablas Técnicas'!$A$14:$V$771,4,FALSE))</f>
        <v/>
      </c>
      <c r="I170" s="987" t="s">
        <v>1690</v>
      </c>
      <c r="J170" s="1417" t="str">
        <f>IF(E170=0,"",VLOOKUP(E170,'Tablas Técnicas'!$A$14:$V$771,5,FALSE))</f>
        <v/>
      </c>
      <c r="K170" s="1033" t="str">
        <f>IF(I170="Si",IF(E170=0,"",VLOOKUP(E170,'Tablas Técnicas'!$A$14:$V$771,5,FALSE)),"")</f>
        <v/>
      </c>
      <c r="L170" s="987" t="s">
        <v>1690</v>
      </c>
      <c r="M170" s="1417" t="str">
        <f>IF(E170=0,"",VLOOKUP(E170,'Tablas Técnicas'!$A$14:$V$771,6,FALSE))</f>
        <v/>
      </c>
      <c r="N170" s="990" t="str">
        <f>IF(L170="Si",IF(E170=0,"",VLOOKUP(E170,'Tablas Técnicas'!$A$14:$V$771,6,FALSE)),"")</f>
        <v/>
      </c>
      <c r="O170" s="987" t="s">
        <v>1690</v>
      </c>
      <c r="P170" s="1417" t="str">
        <f>IF(E170=0,"",VLOOKUP(E170,'Tablas Técnicas'!$A$14:$V$771,7,FALSE))</f>
        <v/>
      </c>
      <c r="Q170" s="990" t="str">
        <f>IF(O170="Si",IF(E170=0,"",VLOOKUP(E170,'Tablas Técnicas'!$A$14:$V$771,7,FALSE)),"")</f>
        <v/>
      </c>
      <c r="R170" s="1032" t="str">
        <f>IF(E170=0,"",VLOOKUP(E170,'Tablas Técnicas'!$A$14:$V$771,8,FALSE))</f>
        <v/>
      </c>
      <c r="S170" s="1004" t="str">
        <f>IF(R170=$D$8,$D$8,IF(R170=2,2,IF(R170=3,3,R170)))</f>
        <v/>
      </c>
      <c r="T170" s="1033" t="str">
        <f>IF(E170=0,"",VLOOKUP(E170,'Tablas Técnicas'!$A$14:$V$771,9,FALSE))</f>
        <v/>
      </c>
      <c r="U170" s="1033" t="str">
        <f>IF(E170=0,"",VLOOKUP(E170,'Tablas Técnicas'!$A$14:$V$771,10,FALSE))</f>
        <v/>
      </c>
      <c r="V170" s="1034" t="str">
        <f>IF(E170=0,"",VLOOKUP(E170,'Tablas Técnicas'!$A$14:$V$771,11,FALSE))</f>
        <v/>
      </c>
      <c r="W170" s="987"/>
      <c r="X170" s="988" t="e">
        <f>VLOOKUP(E170,'Tablas Técnicas'!$A$14:$V$771,12,FALSE)</f>
        <v>#N/A</v>
      </c>
      <c r="Y170" s="988" t="e">
        <f>IF(W170=X170,VLOOKUP(E170,'Tablas Técnicas'!$A$14:$V$771,13,FALSE),0)</f>
        <v>#N/A</v>
      </c>
      <c r="Z170" s="988" t="e">
        <f>VLOOKUP(E170,'Tablas Técnicas'!$A$14:$V$771,14,FALSE)</f>
        <v>#N/A</v>
      </c>
      <c r="AA170" s="988" t="e">
        <f>IF(W170=Z170,VLOOKUP(E170,'Tablas Técnicas'!$A$14:$V$616,15,FALSE),0)</f>
        <v>#N/A</v>
      </c>
      <c r="AB170" s="988" t="e">
        <f>VLOOKUP(E170,'Tablas Técnicas'!$A$14:$V$771,16,FALSE)</f>
        <v>#N/A</v>
      </c>
      <c r="AC170" s="988" t="e">
        <f>IF(W170=AB170,VLOOKUP(E170,'Tablas Técnicas'!$A$14:$V$616,17,FALSE),0)</f>
        <v>#N/A</v>
      </c>
      <c r="AD170" s="988" t="e">
        <f>VLOOKUP(E170,'Tablas Técnicas'!$A$14:$V$771,18,FALSE)</f>
        <v>#N/A</v>
      </c>
      <c r="AE170" s="988" t="e">
        <f>IF(W170=AD170,VLOOKUP(E170,'Tablas Técnicas'!$A$14:$V$771,19,FALSE),0)</f>
        <v>#N/A</v>
      </c>
      <c r="AF170" s="1006" t="str">
        <f>IF(E170=0,"",(Y170+AA170+AC170+AE170))</f>
        <v/>
      </c>
      <c r="AG170" s="987"/>
      <c r="AH170" s="1005" t="e">
        <f>VLOOKUP(E170,'Tablas Técnicas'!$A$14:$V$771,12,FALSE)</f>
        <v>#N/A</v>
      </c>
      <c r="AI170" s="1005" t="e">
        <f>IF(AG170=AH170,VLOOKUP(E170,'Tablas Técnicas'!$A$14:$V$771,13,FALSE),0)</f>
        <v>#N/A</v>
      </c>
      <c r="AJ170" s="1005" t="e">
        <f>VLOOKUP(E170,'Tablas Técnicas'!$A$14:$V$771,14,FALSE)</f>
        <v>#N/A</v>
      </c>
      <c r="AK170" s="1005" t="e">
        <f>IF(AG170=AJ170,VLOOKUP(E170,'Tablas Técnicas'!$A$14:$V$771,15,FALSE),0)</f>
        <v>#N/A</v>
      </c>
      <c r="AL170" s="1005" t="e">
        <f>VLOOKUP(E170,'Tablas Técnicas'!$A$14:$V$771,16,FALSE)</f>
        <v>#N/A</v>
      </c>
      <c r="AM170" s="1005" t="e">
        <f>IF(AG170=AL170,VLOOKUP(E170,'Tablas Técnicas'!$A$14:$V$771,17,FALSE),0)</f>
        <v>#N/A</v>
      </c>
      <c r="AN170" s="1005" t="e">
        <f>VLOOKUP(E170,'Tablas Técnicas'!$A$14:$V$771,18,FALSE)</f>
        <v>#N/A</v>
      </c>
      <c r="AO170" s="1005" t="e">
        <f>IF(AG170=AN170,VLOOKUP(E170,'Tablas Técnicas'!$A$14:$V$771,19,FALSE),0)</f>
        <v>#N/A</v>
      </c>
      <c r="AP170" s="3034" t="str">
        <f>IF(E170=0,"",(AI170+AK170+AM170+AO170))</f>
        <v/>
      </c>
      <c r="AQ170" s="987"/>
      <c r="AR170" s="1005" t="e">
        <f>VLOOKUP(E170,'Tablas Técnicas'!$A$14:$V$771,12,FALSE)</f>
        <v>#N/A</v>
      </c>
      <c r="AS170" s="1005" t="e">
        <f>IF(AQ170=AR170,VLOOKUP(E170,'Tablas Técnicas'!$A$14:$V$771,13,FALSE),0)</f>
        <v>#N/A</v>
      </c>
      <c r="AT170" s="1005" t="e">
        <f>VLOOKUP(E170,'Tablas Técnicas'!$A$14:$V$771,14,FALSE)</f>
        <v>#N/A</v>
      </c>
      <c r="AU170" s="1005" t="e">
        <f>IF(AQ170=AT170,VLOOKUP(E170,'Tablas Técnicas'!$A$14:$V$771,15,FALSE),0)</f>
        <v>#N/A</v>
      </c>
      <c r="AV170" s="1005" t="e">
        <f>VLOOKUP(E170,'Tablas Técnicas'!$A$14:$V$771,16,FALSE)</f>
        <v>#N/A</v>
      </c>
      <c r="AW170" s="1005" t="e">
        <f>IF(AQ170=AV170,VLOOKUP(E170,'Tablas Técnicas'!$A$14:$V$771,17,FALSE),0)</f>
        <v>#N/A</v>
      </c>
      <c r="AX170" s="1005" t="e">
        <f>VLOOKUP(E170,'Tablas Técnicas'!$A$14:$V$771,18,FALSE)</f>
        <v>#N/A</v>
      </c>
      <c r="AY170" s="1005" t="e">
        <f>IF(AQ170=AX170,VLOOKUP(E170,'Tablas Técnicas'!$A$14:$V$771,19,FALSE),0)</f>
        <v>#N/A</v>
      </c>
      <c r="AZ170" s="1006" t="str">
        <f>IF(E170=0,"",(AS170+AU170+AW170+AY170))</f>
        <v/>
      </c>
      <c r="BA170" s="987"/>
      <c r="BB170" s="1005" t="e">
        <f>VLOOKUP(E170,'Tablas Técnicas'!$A$14:$V$771,12,FALSE)</f>
        <v>#N/A</v>
      </c>
      <c r="BC170" s="1005" t="e">
        <f>IF(BA170=BB170,VLOOKUP(E170,'Tablas Técnicas'!$A$14:$V$771,13,FALSE),0)</f>
        <v>#N/A</v>
      </c>
      <c r="BD170" s="1005" t="e">
        <f>VLOOKUP(E170,'Tablas Técnicas'!$A$14:$V$771,14,FALSE)</f>
        <v>#N/A</v>
      </c>
      <c r="BE170" s="1005" t="e">
        <f>IF(BA170=BD170,VLOOKUP(E170,'Tablas Técnicas'!$A$14:$V$771,15,FALSE),0)</f>
        <v>#N/A</v>
      </c>
      <c r="BF170" s="1005" t="e">
        <f>VLOOKUP(E170,'Tablas Técnicas'!$A$14:$V$771,16,FALSE)</f>
        <v>#N/A</v>
      </c>
      <c r="BG170" s="1005" t="e">
        <f>IF(BA170=BF170,VLOOKUP(E170,'Tablas Técnicas'!$A$14:$V$771,17,FALSE),0)</f>
        <v>#N/A</v>
      </c>
      <c r="BH170" s="1005" t="e">
        <f>VLOOKUP(E170,'Tablas Técnicas'!$A$14:$V$771,18,FALSE)</f>
        <v>#N/A</v>
      </c>
      <c r="BI170" s="1005" t="e">
        <f>IF(BA170=BH170,VLOOKUP(E170,'Tablas Técnicas'!$A$14:$V$771,19,FALSE),0)</f>
        <v>#N/A</v>
      </c>
      <c r="BJ170" s="3034" t="str">
        <f>IF(E170=0,"",(BC170+BE170+BG170+BI170))</f>
        <v/>
      </c>
      <c r="BK170" s="1033" t="str">
        <f>IF(E170=0,"",VLOOKUP(E170,'Tablas Técnicas'!$A$14:$V$771,20,FALSE))</f>
        <v/>
      </c>
      <c r="BL170" s="1020" t="str">
        <f>IF(E170=0,"",VLOOKUP(E170,'Tablas Técnicas'!$A$14:$V$771,21,FALSE))</f>
        <v/>
      </c>
      <c r="BM170" s="991" t="str">
        <f>IF(E170=0,"",VLOOKUP(E170,'Tablas Técnicas'!$A$14:$V$771,22,FALSE))</f>
        <v/>
      </c>
      <c r="BN170" s="992"/>
      <c r="BO170" s="993"/>
      <c r="BP170" s="978" t="str">
        <f>IF(I170="Si",VLOOKUP($D$8,'Tablas Técnicas'!$E$4:$F$6,2,FALSE),"")</f>
        <v/>
      </c>
      <c r="BQ170" s="979" t="str">
        <f>IF(L170="Si",VLOOKUP($D$8,'Tablas Técnicas'!$I$4:$J$6,2,FALSE),"")</f>
        <v/>
      </c>
      <c r="BR170" s="977" t="str">
        <f>IF(O170="Si",VLOOKUP($D$8,'Tablas Técnicas'!$I$7:$J$9,2,FALSE),"")</f>
        <v/>
      </c>
      <c r="BS170" s="994"/>
      <c r="BT170" s="3023" t="s">
        <v>1682</v>
      </c>
      <c r="BU170" s="3024" t="s">
        <v>4550</v>
      </c>
      <c r="BV170" s="971"/>
      <c r="BW170" s="3024" t="s">
        <v>4551</v>
      </c>
      <c r="BX170" s="3023" t="s">
        <v>4552</v>
      </c>
      <c r="BY170" s="1300" t="s">
        <v>4552</v>
      </c>
      <c r="BZ170" s="4808"/>
      <c r="CA170" s="939"/>
      <c r="DR170" s="939"/>
      <c r="DT170" s="1325"/>
      <c r="DU170" s="1379"/>
      <c r="DV170" s="1376" t="str">
        <f>IF(E170="","",", "&amp;E170)&amp;IF(I170="No",""," (Mant.)")&amp;IF(L170="No",""," (Sme)")&amp;IF(O170="No",""," (SMa)")</f>
        <v/>
      </c>
      <c r="DW170" s="1377"/>
      <c r="DX170" s="1378"/>
      <c r="DY170" s="1324"/>
      <c r="DZ170" s="939"/>
      <c r="EA170" s="1470">
        <f t="shared" si="2"/>
        <v>1</v>
      </c>
    </row>
    <row r="171" spans="1:131" x14ac:dyDescent="0.2">
      <c r="A171" s="939"/>
      <c r="B171" s="939"/>
      <c r="C171" s="4822"/>
      <c r="D171" s="1452" t="s">
        <v>1766</v>
      </c>
      <c r="E171" s="995"/>
      <c r="F171" s="1025"/>
      <c r="G171" s="1437" t="str">
        <f>IF(E171=0,"",VLOOKUP(E171,'Tablas Técnicas'!$A$14:$V$771,3,FALSE))</f>
        <v/>
      </c>
      <c r="H171" s="998" t="str">
        <f>IF($E171=0,"",VLOOKUP($E171,'Tablas Técnicas'!$A$14:$V$771,4,FALSE))</f>
        <v/>
      </c>
      <c r="I171" s="999" t="s">
        <v>1690</v>
      </c>
      <c r="J171" s="1415" t="str">
        <f>IF(E171=0,"",VLOOKUP(E171,'Tablas Técnicas'!$A$14:$V$771,5,FALSE))</f>
        <v/>
      </c>
      <c r="K171" s="1001" t="str">
        <f>IF(I171="Si",IF(E171=0,"",VLOOKUP(E171,'Tablas Técnicas'!$A$14:$V$771,5,FALSE)),"")</f>
        <v/>
      </c>
      <c r="L171" s="999" t="s">
        <v>1690</v>
      </c>
      <c r="M171" s="1415" t="str">
        <f>IF(E171=0,"",VLOOKUP(E171,'Tablas Técnicas'!$A$14:$V$771,6,FALSE))</f>
        <v/>
      </c>
      <c r="N171" s="1002" t="str">
        <f>IF(L171="Si",IF(E171=0,"",VLOOKUP(E171,'Tablas Técnicas'!$A$14:$V$771,6,FALSE)),"")</f>
        <v/>
      </c>
      <c r="O171" s="999" t="s">
        <v>1690</v>
      </c>
      <c r="P171" s="1415" t="str">
        <f>IF(E171=0,"",VLOOKUP(E171,'Tablas Técnicas'!$A$14:$V$771,7,FALSE))</f>
        <v/>
      </c>
      <c r="Q171" s="1002" t="str">
        <f>IF(O171="Si",IF(E171=0,"",VLOOKUP(E171,'Tablas Técnicas'!$A$14:$V$771,7,FALSE)),"")</f>
        <v/>
      </c>
      <c r="R171" s="1000" t="str">
        <f>IF(E171=0,"",VLOOKUP(E171,'Tablas Técnicas'!$A$14:$V$771,8,FALSE))</f>
        <v/>
      </c>
      <c r="S171" s="998" t="str">
        <f>IF(R171=$D$8,$D$8,IF(R171=2,2,IF(R171=3,3,R171)))</f>
        <v/>
      </c>
      <c r="T171" s="4796" t="s">
        <v>4542</v>
      </c>
      <c r="U171" s="4797"/>
      <c r="V171" s="4797"/>
      <c r="W171" s="4797"/>
      <c r="X171" s="4797"/>
      <c r="Y171" s="4797"/>
      <c r="Z171" s="4797"/>
      <c r="AA171" s="4797"/>
      <c r="AB171" s="4797"/>
      <c r="AC171" s="4797"/>
      <c r="AD171" s="4797"/>
      <c r="AE171" s="4797"/>
      <c r="AF171" s="4797"/>
      <c r="AG171" s="4797"/>
      <c r="AH171" s="4797"/>
      <c r="AI171" s="4797"/>
      <c r="AJ171" s="4797"/>
      <c r="AK171" s="4797"/>
      <c r="AL171" s="4797"/>
      <c r="AM171" s="4797"/>
      <c r="AN171" s="4797"/>
      <c r="AO171" s="4797"/>
      <c r="AP171" s="4797"/>
      <c r="AQ171" s="4797"/>
      <c r="AR171" s="4797"/>
      <c r="AS171" s="4797"/>
      <c r="AT171" s="4797"/>
      <c r="AU171" s="4797"/>
      <c r="AV171" s="4797"/>
      <c r="AW171" s="4797"/>
      <c r="AX171" s="4797"/>
      <c r="AY171" s="4797"/>
      <c r="AZ171" s="4797"/>
      <c r="BA171" s="4797"/>
      <c r="BB171" s="4797"/>
      <c r="BC171" s="4797"/>
      <c r="BD171" s="4797"/>
      <c r="BE171" s="4797"/>
      <c r="BF171" s="4797"/>
      <c r="BG171" s="4797"/>
      <c r="BH171" s="4797"/>
      <c r="BI171" s="4797"/>
      <c r="BJ171" s="4797"/>
      <c r="BK171" s="4798"/>
      <c r="BL171" s="1437"/>
      <c r="BM171" s="1438"/>
      <c r="BN171" s="992"/>
      <c r="BO171" s="993"/>
      <c r="BP171" s="978" t="str">
        <f>IF(I171="Si",VLOOKUP($D$8,'Tablas Técnicas'!$E$4:$F$6,2,FALSE),"")</f>
        <v/>
      </c>
      <c r="BQ171" s="979" t="str">
        <f>IF(L171="Si",VLOOKUP($D$8,'Tablas Técnicas'!$I$4:$J$6,2,FALSE),"")</f>
        <v/>
      </c>
      <c r="BR171" s="977" t="str">
        <f>IF(O171="Si",VLOOKUP($D$8,'Tablas Técnicas'!$I$7:$J$9,2,FALSE),"")</f>
        <v/>
      </c>
      <c r="BS171" s="994"/>
      <c r="BT171" s="3028">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356"/>
      <c r="BV171" s="971"/>
      <c r="BW171" s="1026" t="str">
        <f>IF(SUM(BT171:BU171)=0,"N/A",SUM(BT171:BU171))</f>
        <v>N/A</v>
      </c>
      <c r="BX171" s="3028">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26" t="str">
        <f>IF(BX171=0,"N/A",BX171)</f>
        <v>N/A</v>
      </c>
      <c r="BZ171" s="3027"/>
      <c r="CA171" s="939"/>
      <c r="DR171" s="939"/>
      <c r="DT171" s="1325"/>
      <c r="DU171" s="1379"/>
      <c r="DV171" s="1376" t="str">
        <f>IF(E171="",""," "&amp;E171)&amp;IF(I171="No",""," (Mant.)")&amp;IF(L171="No",""," (Sme)")&amp;IF(O171="No",""," (SMa)")</f>
        <v/>
      </c>
      <c r="DW171" s="1377"/>
      <c r="DX171" s="1378"/>
      <c r="DY171" s="1324"/>
      <c r="DZ171" s="939"/>
      <c r="EA171" s="1470">
        <f t="shared" si="2"/>
        <v>1</v>
      </c>
    </row>
    <row r="172" spans="1:131" x14ac:dyDescent="0.2">
      <c r="A172" s="939"/>
      <c r="B172" s="939"/>
      <c r="C172" s="4822"/>
      <c r="D172" s="1453" t="s">
        <v>1766</v>
      </c>
      <c r="E172" s="1003"/>
      <c r="F172" s="1019"/>
      <c r="G172" s="989" t="str">
        <f>IF(E172=0,"",VLOOKUP(E172,'Tablas Técnicas'!$A$14:$V$771,3,FALSE))</f>
        <v/>
      </c>
      <c r="H172" s="3033" t="str">
        <f>IF($E172=0,"",VLOOKUP($E172,'Tablas Técnicas'!$A$14:$V$771,4,FALSE))</f>
        <v/>
      </c>
      <c r="I172" s="987" t="s">
        <v>1690</v>
      </c>
      <c r="J172" s="1411" t="str">
        <f>IF(E172=0,"",VLOOKUP(E172,'Tablas Técnicas'!$A$14:$V$771,5,FALSE))</f>
        <v/>
      </c>
      <c r="K172" s="1006" t="str">
        <f>IF(I172="Si",IF(E172=0,"",VLOOKUP(E172,'Tablas Técnicas'!$A$14:$V$771,5,FALSE)),"")</f>
        <v/>
      </c>
      <c r="L172" s="987" t="s">
        <v>1690</v>
      </c>
      <c r="M172" s="1411" t="str">
        <f>IF(E172=0,"",VLOOKUP(E172,'Tablas Técnicas'!$A$14:$V$771,6,FALSE))</f>
        <v/>
      </c>
      <c r="N172" s="990" t="str">
        <f>IF(L172="Si",IF(E172=0,"",VLOOKUP(E172,'Tablas Técnicas'!$A$14:$V$771,6,FALSE)),"")</f>
        <v/>
      </c>
      <c r="O172" s="987" t="s">
        <v>1690</v>
      </c>
      <c r="P172" s="1411" t="str">
        <f>IF(E172=0,"",VLOOKUP(E172,'Tablas Técnicas'!$A$14:$V$771,7,FALSE))</f>
        <v/>
      </c>
      <c r="Q172" s="990" t="str">
        <f>IF(O172="Si",IF(E172=0,"",VLOOKUP(E172,'Tablas Técnicas'!$A$14:$V$771,7,FALSE)),"")</f>
        <v/>
      </c>
      <c r="R172" s="1005" t="str">
        <f>IF(E172=0,"",VLOOKUP(E172,'Tablas Técnicas'!$A$14:$V$771,8,FALSE))</f>
        <v/>
      </c>
      <c r="S172" s="3033" t="str">
        <f>IF(R172=$D$8,$D$8,IF(R172=2,2,IF(R172=3,3,R172)))</f>
        <v/>
      </c>
      <c r="T172" s="4809"/>
      <c r="U172" s="4810"/>
      <c r="V172" s="3029" t="str">
        <f>IF(OR(V170=0,V170=""),"N/A",V170)</f>
        <v>N/A</v>
      </c>
      <c r="W172" s="4809" t="str">
        <f xml:space="preserve"> IF(OR(AF170=0,AF170=""),"N/A",W170)</f>
        <v>N/A</v>
      </c>
      <c r="X172" s="4811"/>
      <c r="Y172" s="4811"/>
      <c r="Z172" s="4811"/>
      <c r="AA172" s="4811"/>
      <c r="AB172" s="4811"/>
      <c r="AC172" s="4811"/>
      <c r="AD172" s="4811"/>
      <c r="AE172" s="4811"/>
      <c r="AF172" s="4810"/>
      <c r="AG172" s="4809" t="str">
        <f xml:space="preserve"> IF(OR(AP170="",AP170=0),"N/A",AG170)</f>
        <v>N/A</v>
      </c>
      <c r="AH172" s="4811"/>
      <c r="AI172" s="4811"/>
      <c r="AJ172" s="4811"/>
      <c r="AK172" s="4811"/>
      <c r="AL172" s="4811"/>
      <c r="AM172" s="4811"/>
      <c r="AN172" s="4811"/>
      <c r="AO172" s="4811"/>
      <c r="AP172" s="4810"/>
      <c r="AQ172" s="4809" t="str">
        <f xml:space="preserve"> IF(OR(AZ170="",AZ170=0),"N/A",AQ170)</f>
        <v>N/A</v>
      </c>
      <c r="AR172" s="4811"/>
      <c r="AS172" s="4811"/>
      <c r="AT172" s="4811"/>
      <c r="AU172" s="4811"/>
      <c r="AV172" s="4811"/>
      <c r="AW172" s="4811"/>
      <c r="AX172" s="4811"/>
      <c r="AY172" s="4811"/>
      <c r="AZ172" s="4810"/>
      <c r="BA172" s="4809" t="str">
        <f xml:space="preserve"> IF(OR(BJ170="",BJ170=0),"N/A",BA170)</f>
        <v>N/A</v>
      </c>
      <c r="BB172" s="4811"/>
      <c r="BC172" s="4811"/>
      <c r="BD172" s="4811"/>
      <c r="BE172" s="4811"/>
      <c r="BF172" s="4811"/>
      <c r="BG172" s="4811"/>
      <c r="BH172" s="4811"/>
      <c r="BI172" s="4811"/>
      <c r="BJ172" s="4810"/>
      <c r="BK172" s="1007" t="s">
        <v>4543</v>
      </c>
      <c r="BL172" s="989"/>
      <c r="BM172" s="1024"/>
      <c r="BN172" s="1008"/>
      <c r="BO172" s="1009"/>
      <c r="BP172" s="1010" t="str">
        <f>IF(I172="Si",VLOOKUP($D$8,'Tablas Técnicas'!$E$4:$F$6,2,FALSE),"")</f>
        <v/>
      </c>
      <c r="BQ172" s="980" t="str">
        <f>IF(L172="Si",VLOOKUP($D$8,'Tablas Técnicas'!$I$4:$J$6,2,FALSE),"")</f>
        <v/>
      </c>
      <c r="BR172" s="1011" t="str">
        <f>IF(O172="Si",VLOOKUP($D$8,'Tablas Técnicas'!$I$7:$J$9,2,FALSE),"")</f>
        <v/>
      </c>
      <c r="BS172" s="994"/>
      <c r="BT172" s="3023" t="s">
        <v>1809</v>
      </c>
      <c r="BU172" s="3024" t="s">
        <v>4550</v>
      </c>
      <c r="BV172" s="971"/>
      <c r="BW172" s="3024" t="s">
        <v>4551</v>
      </c>
      <c r="BX172" s="3023" t="s">
        <v>4552</v>
      </c>
      <c r="BY172" s="1301" t="s">
        <v>4552</v>
      </c>
      <c r="BZ172" s="3027"/>
      <c r="CA172" s="939"/>
      <c r="DR172" s="939"/>
      <c r="DT172" s="1325"/>
      <c r="DU172" s="1379"/>
      <c r="DV172" s="1376" t="str">
        <f>IF(E172="","",E172)&amp;IF(I172="No",""," (Mant.)")&amp;IF(L172="No",""," (Sme)")&amp;IF(O172="No",""," (SMa)")</f>
        <v/>
      </c>
      <c r="DW172" s="1376"/>
      <c r="DX172" s="1378"/>
      <c r="DY172" s="1324"/>
      <c r="DZ172" s="939"/>
      <c r="EA172" s="1470">
        <f t="shared" si="2"/>
        <v>1</v>
      </c>
    </row>
    <row r="173" spans="1:131" s="1013" customFormat="1" x14ac:dyDescent="0.2">
      <c r="A173" s="939"/>
      <c r="B173" s="939"/>
      <c r="C173" s="4822"/>
      <c r="D173" s="1452" t="s">
        <v>1766</v>
      </c>
      <c r="E173" s="995"/>
      <c r="F173" s="1025"/>
      <c r="G173" s="1437" t="str">
        <f>IF(E173=0,"",VLOOKUP(E173,'Tablas Técnicas'!$A$14:$V$771,3,FALSE))</f>
        <v/>
      </c>
      <c r="H173" s="998" t="str">
        <f>IF($E173=0,"",VLOOKUP($E173,'Tablas Técnicas'!$A$14:$V$771,4,FALSE))</f>
        <v/>
      </c>
      <c r="I173" s="999" t="s">
        <v>1690</v>
      </c>
      <c r="J173" s="1415" t="str">
        <f>IF(E173=0,"",VLOOKUP(E173,'Tablas Técnicas'!$A$14:$V$771,5,FALSE))</f>
        <v/>
      </c>
      <c r="K173" s="1001" t="str">
        <f>IF(I173="Si",IF(E173=0,"",VLOOKUP(E173,'Tablas Técnicas'!$A$14:$V$771,5,FALSE)),"")</f>
        <v/>
      </c>
      <c r="L173" s="999" t="s">
        <v>1690</v>
      </c>
      <c r="M173" s="1415" t="str">
        <f>IF(E173=0,"",VLOOKUP(E173,'Tablas Técnicas'!$A$14:$V$771,6,FALSE))</f>
        <v/>
      </c>
      <c r="N173" s="1002" t="str">
        <f>IF(L173="Si",IF(E173=0,"",VLOOKUP(E173,'Tablas Técnicas'!$A$14:$V$771,6,FALSE)),"")</f>
        <v/>
      </c>
      <c r="O173" s="999" t="s">
        <v>1690</v>
      </c>
      <c r="P173" s="1415" t="str">
        <f>IF(E173=0,"",VLOOKUP(E173,'Tablas Técnicas'!$A$14:$V$771,7,FALSE))</f>
        <v/>
      </c>
      <c r="Q173" s="1002" t="str">
        <f>IF(O173="Si",IF(E173=0,"",VLOOKUP(E173,'Tablas Técnicas'!$A$14:$V$771,7,FALSE)),"")</f>
        <v/>
      </c>
      <c r="R173" s="1000" t="str">
        <f>IF(E173=0,"",VLOOKUP(E173,'Tablas Técnicas'!$A$14:$V$771,8,FALSE))</f>
        <v/>
      </c>
      <c r="S173" s="998" t="str">
        <f>IF(R173=$D$8,$D$8,IF(R173=2,2,IF(R173=3,3,R173)))</f>
        <v/>
      </c>
      <c r="T173" s="4812" t="s">
        <v>4544</v>
      </c>
      <c r="U173" s="4813"/>
      <c r="V173" s="3025"/>
      <c r="W173" s="4814"/>
      <c r="X173" s="4815"/>
      <c r="Y173" s="4815"/>
      <c r="Z173" s="4815"/>
      <c r="AA173" s="4815"/>
      <c r="AB173" s="4815"/>
      <c r="AC173" s="4815"/>
      <c r="AD173" s="4815"/>
      <c r="AE173" s="4815"/>
      <c r="AF173" s="4816"/>
      <c r="AG173" s="4814"/>
      <c r="AH173" s="4815"/>
      <c r="AI173" s="4815"/>
      <c r="AJ173" s="4815"/>
      <c r="AK173" s="4815"/>
      <c r="AL173" s="4815"/>
      <c r="AM173" s="4815"/>
      <c r="AN173" s="4815"/>
      <c r="AO173" s="4815"/>
      <c r="AP173" s="4816"/>
      <c r="AQ173" s="4814"/>
      <c r="AR173" s="4815"/>
      <c r="AS173" s="4815"/>
      <c r="AT173" s="4815"/>
      <c r="AU173" s="4815"/>
      <c r="AV173" s="4815"/>
      <c r="AW173" s="4815"/>
      <c r="AX173" s="4815"/>
      <c r="AY173" s="4815"/>
      <c r="AZ173" s="4816"/>
      <c r="BA173" s="4814"/>
      <c r="BB173" s="4815"/>
      <c r="BC173" s="4815"/>
      <c r="BD173" s="4815"/>
      <c r="BE173" s="4815"/>
      <c r="BF173" s="4815"/>
      <c r="BG173" s="4815"/>
      <c r="BH173" s="4815"/>
      <c r="BI173" s="4815"/>
      <c r="BJ173" s="4816"/>
      <c r="BK173" s="998">
        <f>(SUM(G170:G174)+IF(AF170="",0,AF170)+IF(AP170="",0,AP170)+IF(AZ170="",0,AZ170)+IF(BJ170="",0,BJ170)+SUM(K170:K174)+SUM(N170:N174)+SUM(Q170:Q174))- SUM(V173:BA173)</f>
        <v>0</v>
      </c>
      <c r="BL173" s="1437"/>
      <c r="BM173" s="1438"/>
      <c r="BN173" s="992"/>
      <c r="BO173" s="993"/>
      <c r="BP173" s="978" t="str">
        <f>IF(I173="Si",VLOOKUP($D$8,'Tablas Técnicas'!$E$4:$F$6,2,FALSE),"")</f>
        <v/>
      </c>
      <c r="BQ173" s="979" t="str">
        <f>IF(L173="Si",VLOOKUP($D$8,'Tablas Técnicas'!$I$4:$J$6,2,FALSE),"")</f>
        <v/>
      </c>
      <c r="BR173" s="977" t="str">
        <f>IF(O173="Si",VLOOKUP($D$8,'Tablas Técnicas'!$I$7:$J$9,2,FALSE),"")</f>
        <v/>
      </c>
      <c r="BS173" s="994"/>
      <c r="BT173" s="3028">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356"/>
      <c r="BV173" s="971"/>
      <c r="BW173" s="1026" t="str">
        <f>IF(SUM(BT173:BU173)=0,"N/A",SUM(BT173:BU173))</f>
        <v>N/A</v>
      </c>
      <c r="BX173" s="3028">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26" t="str">
        <f>IF(BX173=0,"N/A",BX173)</f>
        <v>N/A</v>
      </c>
      <c r="BZ173" s="3027"/>
      <c r="CA173" s="943"/>
      <c r="CC173" s="2940"/>
      <c r="DR173" s="943"/>
      <c r="DS173" s="1320"/>
      <c r="DT173" s="1326"/>
      <c r="DU173" s="1375"/>
      <c r="DV173" s="1376" t="str">
        <f>IF(E173="","",E173)&amp;IF(I173="No",""," (Mant.)")&amp;IF(L173="No",""," (Sme)")&amp;IF(O173="No",""," (SMa)")</f>
        <v/>
      </c>
      <c r="DW173" s="1376"/>
      <c r="DX173" s="1381"/>
      <c r="DY173" s="1327"/>
      <c r="DZ173" s="943"/>
      <c r="EA173" s="1470">
        <f t="shared" si="2"/>
        <v>1</v>
      </c>
    </row>
    <row r="174" spans="1:131" ht="11.25" customHeight="1" x14ac:dyDescent="0.2">
      <c r="A174" s="939"/>
      <c r="B174" s="939"/>
      <c r="C174" s="4822"/>
      <c r="D174" s="1453" t="s">
        <v>1766</v>
      </c>
      <c r="E174" s="1003"/>
      <c r="F174" s="1019"/>
      <c r="G174" s="989" t="str">
        <f>IF(E174=0,"",VLOOKUP(E174,'Tablas Técnicas'!$A$14:$V$771,3,FALSE))</f>
        <v/>
      </c>
      <c r="H174" s="1014" t="str">
        <f>IF($E174=0,"",VLOOKUP($E174,'Tablas Técnicas'!$A$14:$V$771,4,FALSE))</f>
        <v/>
      </c>
      <c r="I174" s="987" t="s">
        <v>1690</v>
      </c>
      <c r="J174" s="1418" t="str">
        <f>IF(E174=0,"",VLOOKUP(E174,'Tablas Técnicas'!$A$14:$V$771,5,FALSE))</f>
        <v/>
      </c>
      <c r="K174" s="1015" t="str">
        <f>IF(I174="Si",IF(E174=0,"",VLOOKUP(E174,'Tablas Técnicas'!$A$14:$V$771,5,FALSE)),"")</f>
        <v/>
      </c>
      <c r="L174" s="987" t="s">
        <v>1690</v>
      </c>
      <c r="M174" s="1418" t="str">
        <f>IF(E174=0,"",VLOOKUP(E174,'Tablas Técnicas'!$A$14:$V$771,6,FALSE))</f>
        <v/>
      </c>
      <c r="N174" s="990" t="str">
        <f>IF(L174="Si",IF(E174=0,"",VLOOKUP(E174,'Tablas Técnicas'!$A$14:$V$771,6,FALSE)),"")</f>
        <v/>
      </c>
      <c r="O174" s="987" t="s">
        <v>1690</v>
      </c>
      <c r="P174" s="1418" t="str">
        <f>IF(E174=0,"",VLOOKUP(E174,'Tablas Técnicas'!$A$14:$V$771,7,FALSE))</f>
        <v/>
      </c>
      <c r="Q174" s="990" t="str">
        <f>IF(O174="Si",IF(E174=0,"",VLOOKUP(E174,'Tablas Técnicas'!$A$14:$V$771,7,FALSE)),"")</f>
        <v/>
      </c>
      <c r="R174" s="1035" t="str">
        <f>IF(E174=0,"",VLOOKUP(E174,'Tablas Técnicas'!$A$14:$V$771,8,FALSE))</f>
        <v/>
      </c>
      <c r="S174" s="1004" t="str">
        <f>IF(R174=$D$8,$D$8,IF(R174=2,2,IF(R174=3,3,R174)))</f>
        <v/>
      </c>
      <c r="T174" s="4803" t="s">
        <v>4546</v>
      </c>
      <c r="U174" s="4804"/>
      <c r="V174" s="3032"/>
      <c r="W174" s="4805"/>
      <c r="X174" s="4806"/>
      <c r="Y174" s="4806"/>
      <c r="Z174" s="4806"/>
      <c r="AA174" s="4806"/>
      <c r="AB174" s="4806"/>
      <c r="AC174" s="4806"/>
      <c r="AD174" s="4806"/>
      <c r="AE174" s="4806"/>
      <c r="AF174" s="4807"/>
      <c r="AG174" s="4805"/>
      <c r="AH174" s="4806"/>
      <c r="AI174" s="4806"/>
      <c r="AJ174" s="4806"/>
      <c r="AK174" s="4806"/>
      <c r="AL174" s="4806"/>
      <c r="AM174" s="4806"/>
      <c r="AN174" s="4806"/>
      <c r="AO174" s="4806"/>
      <c r="AP174" s="4807"/>
      <c r="AQ174" s="4805"/>
      <c r="AR174" s="4806"/>
      <c r="AS174" s="4806"/>
      <c r="AT174" s="4806"/>
      <c r="AU174" s="4806"/>
      <c r="AV174" s="4806"/>
      <c r="AW174" s="4806"/>
      <c r="AX174" s="4806"/>
      <c r="AY174" s="4806"/>
      <c r="AZ174" s="4807"/>
      <c r="BA174" s="4805"/>
      <c r="BB174" s="4806"/>
      <c r="BC174" s="4806"/>
      <c r="BD174" s="4806"/>
      <c r="BE174" s="4806"/>
      <c r="BF174" s="4806"/>
      <c r="BG174" s="4806"/>
      <c r="BH174" s="4806"/>
      <c r="BI174" s="4806"/>
      <c r="BJ174" s="4807"/>
      <c r="BK174" s="1014">
        <f>SUM(K170:K174)-SUM(V174:BA174)</f>
        <v>0</v>
      </c>
      <c r="BL174" s="1439"/>
      <c r="BM174" s="1440"/>
      <c r="BN174" s="1008"/>
      <c r="BO174" s="1009"/>
      <c r="BP174" s="1010" t="str">
        <f>IF(I174="Si",VLOOKUP($D$8,'Tablas Técnicas'!$E$4:$F$6,2,FALSE),"")</f>
        <v/>
      </c>
      <c r="BQ174" s="980" t="str">
        <f>IF(L174="Si",VLOOKUP($D$8,'Tablas Técnicas'!$I$4:$J$6,2,FALSE),"")</f>
        <v/>
      </c>
      <c r="BR174" s="1011" t="str">
        <f>IF(O174="Si",VLOOKUP($D$8,'Tablas Técnicas'!$I$7:$J$9,2,FALSE),"")</f>
        <v/>
      </c>
      <c r="BS174" s="994"/>
      <c r="BT174" s="3023" t="s">
        <v>1687</v>
      </c>
      <c r="BU174" s="3024" t="s">
        <v>4550</v>
      </c>
      <c r="BV174" s="971"/>
      <c r="BW174" s="3024" t="s">
        <v>4551</v>
      </c>
      <c r="BX174" s="3023" t="s">
        <v>4552</v>
      </c>
      <c r="BY174" s="1301" t="s">
        <v>4552</v>
      </c>
      <c r="BZ174" s="3027"/>
      <c r="CA174" s="939"/>
      <c r="DR174" s="939"/>
      <c r="DT174" s="1325"/>
      <c r="DU174" s="1379"/>
      <c r="DV174" s="1376" t="str">
        <f>IF(E174="","",E174)&amp;IF(I174="No",""," (Mant.)")&amp;IF(L174="No",""," (Sme)")&amp;IF(O174="No",""," (SMa)")</f>
        <v/>
      </c>
      <c r="DW174" s="1376"/>
      <c r="DX174" s="1378"/>
      <c r="DY174" s="1324"/>
      <c r="DZ174" s="939"/>
      <c r="EA174" s="1470">
        <f t="shared" si="2"/>
        <v>1</v>
      </c>
    </row>
    <row r="175" spans="1:131" ht="11.25" customHeight="1" x14ac:dyDescent="0.2">
      <c r="A175" s="939"/>
      <c r="B175" s="1403"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822"/>
      <c r="D175" s="1454">
        <v>4</v>
      </c>
      <c r="E175" s="1246"/>
      <c r="F175" s="1016"/>
      <c r="G175" s="1017"/>
      <c r="H175" s="2159">
        <f t="array" ref="H175">IF(AND(OR(ISNUMBER(SEARCH("Empatía Elemental ("&amp;BK170:BM170&amp;")",Principal!$AF$30))),SUM(H170:H174)&gt;=10),-5,0)</f>
        <v>0</v>
      </c>
      <c r="I175" s="1413"/>
      <c r="J175" s="1416"/>
      <c r="K175" s="1017"/>
      <c r="L175" s="1413"/>
      <c r="M175" s="1416"/>
      <c r="N175" s="1017"/>
      <c r="O175" s="1413"/>
      <c r="P175" s="1416"/>
      <c r="Q175" s="1017"/>
      <c r="R175" s="1018"/>
      <c r="S175" s="1017"/>
      <c r="T175" s="1017"/>
      <c r="U175" s="1017"/>
      <c r="V175" s="1017"/>
      <c r="W175" s="1017"/>
      <c r="X175" s="1017"/>
      <c r="Y175" s="1017"/>
      <c r="Z175" s="1017"/>
      <c r="AA175" s="1017"/>
      <c r="AB175" s="1017"/>
      <c r="AC175" s="1017"/>
      <c r="AD175" s="1017"/>
      <c r="AE175" s="1017"/>
      <c r="AF175" s="1017"/>
      <c r="AG175" s="1017"/>
      <c r="AH175" s="1017"/>
      <c r="AI175" s="1017"/>
      <c r="AJ175" s="1017"/>
      <c r="AK175" s="1017"/>
      <c r="AL175" s="1017"/>
      <c r="AM175" s="1017"/>
      <c r="AN175" s="1017"/>
      <c r="AO175" s="1017"/>
      <c r="AP175" s="1017"/>
      <c r="AQ175" s="1017"/>
      <c r="AR175" s="1017"/>
      <c r="AS175" s="1017"/>
      <c r="AT175" s="1017"/>
      <c r="AU175" s="1017"/>
      <c r="AV175" s="1017"/>
      <c r="AW175" s="1017"/>
      <c r="AX175" s="1017"/>
      <c r="AY175" s="1017"/>
      <c r="AZ175" s="1017"/>
      <c r="BA175" s="1017"/>
      <c r="BB175" s="1017"/>
      <c r="BC175" s="1017"/>
      <c r="BD175" s="1017"/>
      <c r="BE175" s="1017"/>
      <c r="BF175" s="1017"/>
      <c r="BG175" s="1017"/>
      <c r="BH175" s="1017"/>
      <c r="BI175" s="1017"/>
      <c r="BJ175" s="1017"/>
      <c r="BK175" s="1017"/>
      <c r="BL175" s="1017"/>
      <c r="BM175" s="1027"/>
      <c r="BN175" s="1028">
        <f>SUM(K175:K178)</f>
        <v>0</v>
      </c>
      <c r="BO175" s="971" t="str">
        <f>IF(E175=0,"",(AF175+AP175+AZ175+BJ175))</f>
        <v/>
      </c>
      <c r="BP175" s="1029" t="str">
        <f>IF(I175="Si",VLOOKUP($D$8,'Tablas Técnicas'!$E$4:$F$6,2,FALSE),"")</f>
        <v/>
      </c>
      <c r="BQ175" s="1030" t="str">
        <f>IF(L175="Si",VLOOKUP($D$8,'Tablas Técnicas'!$I$4:$J$6,2,FALSE),"")</f>
        <v/>
      </c>
      <c r="BR175" s="1028" t="str">
        <f>IF(O175="Si",VLOOKUP($D$8,'Tablas Técnicas'!$I$7:$J$9,2,FALSE),"")</f>
        <v/>
      </c>
      <c r="BS175" s="994"/>
      <c r="BT175" s="3028">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356"/>
      <c r="BV175" s="971"/>
      <c r="BW175" s="1026" t="str">
        <f>IF(SUM(BT175:BU175)=0,"N/A",SUM(BT175:BU175))</f>
        <v>N/A</v>
      </c>
      <c r="BX175" s="3028">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26" t="str">
        <f>IF(BX175=0,"N/A",BX175)</f>
        <v>N/A</v>
      </c>
      <c r="BZ175" s="3027"/>
      <c r="CA175" s="939"/>
      <c r="DR175" s="939"/>
      <c r="DT175" s="1325"/>
      <c r="DU175" s="1379"/>
      <c r="DV175" s="1380"/>
      <c r="DW175" s="1376"/>
      <c r="DX175" s="1378"/>
      <c r="DY175" s="1324"/>
      <c r="DZ175" s="939"/>
      <c r="EA175" s="1470">
        <f t="shared" si="2"/>
        <v>1</v>
      </c>
    </row>
    <row r="176" spans="1:131" x14ac:dyDescent="0.2">
      <c r="A176" s="939"/>
      <c r="B176" s="939"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822"/>
      <c r="D176" s="1453" t="s">
        <v>1766</v>
      </c>
      <c r="E176" s="983"/>
      <c r="F176" s="1019"/>
      <c r="G176" s="989" t="str">
        <f>IF(E176=0,"",VLOOKUP(E176,'Tablas Técnicas'!$A$14:$V$771,3,FALSE))</f>
        <v/>
      </c>
      <c r="H176" s="1031" t="str">
        <f>IF($E176=0,"",VLOOKUP($E176,'Tablas Técnicas'!$A$14:$V$771,4,FALSE))</f>
        <v/>
      </c>
      <c r="I176" s="987" t="s">
        <v>1690</v>
      </c>
      <c r="J176" s="1417" t="str">
        <f>IF(E176=0,"",VLOOKUP(E176,'Tablas Técnicas'!$A$14:$V$771,5,FALSE))</f>
        <v/>
      </c>
      <c r="K176" s="1033" t="str">
        <f>IF(I176="Si",IF(E176=0,"",VLOOKUP(E176,'Tablas Técnicas'!$A$14:$V$771,5,FALSE)),"")</f>
        <v/>
      </c>
      <c r="L176" s="987" t="s">
        <v>1690</v>
      </c>
      <c r="M176" s="1417" t="str">
        <f>IF(E176=0,"",VLOOKUP(E176,'Tablas Técnicas'!$A$14:$V$771,6,FALSE))</f>
        <v/>
      </c>
      <c r="N176" s="990" t="str">
        <f>IF(L176="Si",IF(E176=0,"",VLOOKUP(E176,'Tablas Técnicas'!$A$14:$V$771,6,FALSE)),"")</f>
        <v/>
      </c>
      <c r="O176" s="987" t="s">
        <v>1690</v>
      </c>
      <c r="P176" s="1417" t="str">
        <f>IF(E176=0,"",VLOOKUP(E176,'Tablas Técnicas'!$A$14:$V$771,7,FALSE))</f>
        <v/>
      </c>
      <c r="Q176" s="990" t="str">
        <f>IF(O176="Si",IF(E176=0,"",VLOOKUP(E176,'Tablas Técnicas'!$A$14:$V$771,7,FALSE)),"")</f>
        <v/>
      </c>
      <c r="R176" s="1032" t="str">
        <f>IF(E176=0,"",VLOOKUP(E176,'Tablas Técnicas'!$A$14:$V$771,8,FALSE))</f>
        <v/>
      </c>
      <c r="S176" s="1004" t="str">
        <f>IF(R176=$D$8,$D$8,IF(R176=2,2,IF(R176=3,3,R176)))</f>
        <v/>
      </c>
      <c r="T176" s="1033" t="str">
        <f>IF(E176=0,"",VLOOKUP(E176,'Tablas Técnicas'!$A$14:$V$771,9,FALSE))</f>
        <v/>
      </c>
      <c r="U176" s="1033" t="str">
        <f>IF(E176=0,"",VLOOKUP(E176,'Tablas Técnicas'!$A$14:$V$771,10,FALSE))</f>
        <v/>
      </c>
      <c r="V176" s="1034" t="str">
        <f>IF(E176=0,"",VLOOKUP(E176,'Tablas Técnicas'!$A$14:$V$771,11,FALSE))</f>
        <v/>
      </c>
      <c r="W176" s="987"/>
      <c r="X176" s="988" t="e">
        <f>VLOOKUP(E176,'Tablas Técnicas'!$A$14:$V$771,12,FALSE)</f>
        <v>#N/A</v>
      </c>
      <c r="Y176" s="988" t="e">
        <f>IF(W176=X176,VLOOKUP(E176,'Tablas Técnicas'!$A$14:$V$771,13,FALSE),0)</f>
        <v>#N/A</v>
      </c>
      <c r="Z176" s="988" t="e">
        <f>VLOOKUP(E176,'Tablas Técnicas'!$A$14:$V$771,14,FALSE)</f>
        <v>#N/A</v>
      </c>
      <c r="AA176" s="988" t="e">
        <f>IF(W176=Z176,VLOOKUP(E176,'Tablas Técnicas'!$A$14:$V$616,15,FALSE),0)</f>
        <v>#N/A</v>
      </c>
      <c r="AB176" s="988" t="e">
        <f>VLOOKUP(E176,'Tablas Técnicas'!$A$14:$V$771,16,FALSE)</f>
        <v>#N/A</v>
      </c>
      <c r="AC176" s="988" t="e">
        <f>IF(W176=AB176,VLOOKUP(E176,'Tablas Técnicas'!$A$14:$V$616,17,FALSE),0)</f>
        <v>#N/A</v>
      </c>
      <c r="AD176" s="988" t="e">
        <f>VLOOKUP(E176,'Tablas Técnicas'!$A$14:$V$771,18,FALSE)</f>
        <v>#N/A</v>
      </c>
      <c r="AE176" s="988" t="e">
        <f>IF(W176=AD176,VLOOKUP(E176,'Tablas Técnicas'!$A$14:$V$771,19,FALSE),0)</f>
        <v>#N/A</v>
      </c>
      <c r="AF176" s="1006" t="str">
        <f>IF(E176=0,"",(Y176+AA176+AC176+AE176))</f>
        <v/>
      </c>
      <c r="AG176" s="987"/>
      <c r="AH176" s="1005" t="e">
        <f>VLOOKUP(E176,'Tablas Técnicas'!$A$14:$V$771,12,FALSE)</f>
        <v>#N/A</v>
      </c>
      <c r="AI176" s="1005" t="e">
        <f>IF(AG176=AH176,VLOOKUP(E176,'Tablas Técnicas'!$A$14:$V$771,13,FALSE),0)</f>
        <v>#N/A</v>
      </c>
      <c r="AJ176" s="1005" t="e">
        <f>VLOOKUP(E176,'Tablas Técnicas'!$A$14:$V$771,14,FALSE)</f>
        <v>#N/A</v>
      </c>
      <c r="AK176" s="1005" t="e">
        <f>IF(AG176=AJ176,VLOOKUP(E176,'Tablas Técnicas'!$A$14:$V$771,15,FALSE),0)</f>
        <v>#N/A</v>
      </c>
      <c r="AL176" s="1005" t="e">
        <f>VLOOKUP(E176,'Tablas Técnicas'!$A$14:$V$771,16,FALSE)</f>
        <v>#N/A</v>
      </c>
      <c r="AM176" s="1005" t="e">
        <f>IF(AG176=AL176,VLOOKUP(E176,'Tablas Técnicas'!$A$14:$V$771,17,FALSE),0)</f>
        <v>#N/A</v>
      </c>
      <c r="AN176" s="1005" t="e">
        <f>VLOOKUP(E176,'Tablas Técnicas'!$A$14:$V$771,18,FALSE)</f>
        <v>#N/A</v>
      </c>
      <c r="AO176" s="1005" t="e">
        <f>IF(AG176=AN176,VLOOKUP(E176,'Tablas Técnicas'!$A$14:$V$771,19,FALSE),0)</f>
        <v>#N/A</v>
      </c>
      <c r="AP176" s="3034" t="str">
        <f>IF(E176=0,"",(AI176+AK176+AM176+AO176))</f>
        <v/>
      </c>
      <c r="AQ176" s="987"/>
      <c r="AR176" s="1005" t="e">
        <f>VLOOKUP(E176,'Tablas Técnicas'!$A$14:$V$771,12,FALSE)</f>
        <v>#N/A</v>
      </c>
      <c r="AS176" s="1005" t="e">
        <f>IF(AQ176=AR176,VLOOKUP(E176,'Tablas Técnicas'!$A$14:$V$771,13,FALSE),0)</f>
        <v>#N/A</v>
      </c>
      <c r="AT176" s="1005" t="e">
        <f>VLOOKUP(E176,'Tablas Técnicas'!$A$14:$V$771,14,FALSE)</f>
        <v>#N/A</v>
      </c>
      <c r="AU176" s="1005" t="e">
        <f>IF(AQ176=AT176,VLOOKUP(E176,'Tablas Técnicas'!$A$14:$V$771,15,FALSE),0)</f>
        <v>#N/A</v>
      </c>
      <c r="AV176" s="1005" t="e">
        <f>VLOOKUP(E176,'Tablas Técnicas'!$A$14:$V$771,16,FALSE)</f>
        <v>#N/A</v>
      </c>
      <c r="AW176" s="1005" t="e">
        <f>IF(AQ176=AV176,VLOOKUP(E176,'Tablas Técnicas'!$A$14:$V$771,17,FALSE),0)</f>
        <v>#N/A</v>
      </c>
      <c r="AX176" s="1005" t="e">
        <f>VLOOKUP(E176,'Tablas Técnicas'!$A$14:$V$771,18,FALSE)</f>
        <v>#N/A</v>
      </c>
      <c r="AY176" s="1005" t="e">
        <f>IF(AQ176=AX176,VLOOKUP(E176,'Tablas Técnicas'!$A$14:$V$771,19,FALSE),0)</f>
        <v>#N/A</v>
      </c>
      <c r="AZ176" s="1006" t="str">
        <f>IF(E176=0,"",(AS176+AU176+AW176+AY176))</f>
        <v/>
      </c>
      <c r="BA176" s="987"/>
      <c r="BB176" s="1005" t="e">
        <f>VLOOKUP(E176,'Tablas Técnicas'!$A$14:$V$771,12,FALSE)</f>
        <v>#N/A</v>
      </c>
      <c r="BC176" s="1005" t="e">
        <f>IF(BA176=BB176,VLOOKUP(E176,'Tablas Técnicas'!$A$14:$V$771,13,FALSE),0)</f>
        <v>#N/A</v>
      </c>
      <c r="BD176" s="1005" t="e">
        <f>VLOOKUP(E176,'Tablas Técnicas'!$A$14:$V$771,14,FALSE)</f>
        <v>#N/A</v>
      </c>
      <c r="BE176" s="1005" t="e">
        <f>IF(BA176=BD176,VLOOKUP(E176,'Tablas Técnicas'!$A$14:$V$771,15,FALSE),0)</f>
        <v>#N/A</v>
      </c>
      <c r="BF176" s="1005" t="e">
        <f>VLOOKUP(E176,'Tablas Técnicas'!$A$14:$V$771,16,FALSE)</f>
        <v>#N/A</v>
      </c>
      <c r="BG176" s="1005" t="e">
        <f>IF(BA176=BF176,VLOOKUP(E176,'Tablas Técnicas'!$A$14:$V$771,17,FALSE),0)</f>
        <v>#N/A</v>
      </c>
      <c r="BH176" s="1005" t="e">
        <f>VLOOKUP(E176,'Tablas Técnicas'!$A$14:$V$771,18,FALSE)</f>
        <v>#N/A</v>
      </c>
      <c r="BI176" s="1005" t="e">
        <f>IF(BA176=BH176,VLOOKUP(E176,'Tablas Técnicas'!$A$14:$V$771,19,FALSE),0)</f>
        <v>#N/A</v>
      </c>
      <c r="BJ176" s="3034" t="str">
        <f>IF(E176=0,"",(BC176+BE176+BG176+BI176))</f>
        <v/>
      </c>
      <c r="BK176" s="1033" t="str">
        <f>IF(E176=0,"",VLOOKUP(E176,'Tablas Técnicas'!$A$14:$V$771,20,FALSE))</f>
        <v/>
      </c>
      <c r="BL176" s="1020" t="str">
        <f>IF(E176=0,"",VLOOKUP(E176,'Tablas Técnicas'!$A$14:$V$771,21,FALSE))</f>
        <v/>
      </c>
      <c r="BM176" s="991" t="str">
        <f>IF(E176=0,"",VLOOKUP(E176,'Tablas Técnicas'!$A$14:$V$771,22,FALSE))</f>
        <v/>
      </c>
      <c r="BN176" s="992"/>
      <c r="BO176" s="993"/>
      <c r="BP176" s="978" t="str">
        <f>IF(I176="Si",VLOOKUP($D$8,'Tablas Técnicas'!$E$4:$F$6,2,FALSE),"")</f>
        <v/>
      </c>
      <c r="BQ176" s="979" t="str">
        <f>IF(L176="Si",VLOOKUP($D$8,'Tablas Técnicas'!$I$4:$J$6,2,FALSE),"")</f>
        <v/>
      </c>
      <c r="BR176" s="977" t="str">
        <f>IF(O176="Si",VLOOKUP($D$8,'Tablas Técnicas'!$I$7:$J$9,2,FALSE),"")</f>
        <v/>
      </c>
      <c r="BS176" s="994"/>
      <c r="BT176" s="3023" t="s">
        <v>1692</v>
      </c>
      <c r="BU176" s="3024" t="s">
        <v>4550</v>
      </c>
      <c r="BV176" s="971"/>
      <c r="BW176" s="3024" t="s">
        <v>4551</v>
      </c>
      <c r="BX176" s="3023" t="s">
        <v>4552</v>
      </c>
      <c r="BY176" s="1301" t="s">
        <v>4552</v>
      </c>
      <c r="BZ176" s="3027"/>
      <c r="CA176" s="939"/>
      <c r="DR176" s="939"/>
      <c r="DT176" s="1325"/>
      <c r="DU176" s="1379"/>
      <c r="DV176" s="1376" t="str">
        <f>IF(E176="","",", "&amp;E176)&amp;IF(I176="No",""," (Mant.)")&amp;IF(L176="No",""," (Sme)")&amp;IF(O176="No",""," (SMa)")</f>
        <v/>
      </c>
      <c r="DW176" s="1376"/>
      <c r="DX176" s="1378"/>
      <c r="DY176" s="1324"/>
      <c r="DZ176" s="939"/>
      <c r="EA176" s="1470">
        <f t="shared" si="2"/>
        <v>1</v>
      </c>
    </row>
    <row r="177" spans="1:131" x14ac:dyDescent="0.2">
      <c r="A177" s="939"/>
      <c r="B177" s="939"/>
      <c r="C177" s="4822"/>
      <c r="D177" s="1452" t="s">
        <v>1766</v>
      </c>
      <c r="E177" s="995"/>
      <c r="F177" s="1025"/>
      <c r="G177" s="1437" t="str">
        <f>IF(E177=0,"",VLOOKUP(E177,'Tablas Técnicas'!$A$14:$V$771,3,FALSE))</f>
        <v/>
      </c>
      <c r="H177" s="998" t="str">
        <f>IF($E177=0,"",VLOOKUP($E177,'Tablas Técnicas'!$A$14:$V$771,4,FALSE))</f>
        <v/>
      </c>
      <c r="I177" s="999" t="s">
        <v>1690</v>
      </c>
      <c r="J177" s="1415" t="str">
        <f>IF(E177=0,"",VLOOKUP(E177,'Tablas Técnicas'!$A$14:$V$771,5,FALSE))</f>
        <v/>
      </c>
      <c r="K177" s="1001" t="str">
        <f>IF(I177="Si",IF(E177=0,"",VLOOKUP(E177,'Tablas Técnicas'!$A$14:$V$771,5,FALSE)),"")</f>
        <v/>
      </c>
      <c r="L177" s="999" t="s">
        <v>1690</v>
      </c>
      <c r="M177" s="1415" t="str">
        <f>IF(E177=0,"",VLOOKUP(E177,'Tablas Técnicas'!$A$14:$V$771,6,FALSE))</f>
        <v/>
      </c>
      <c r="N177" s="1002" t="str">
        <f>IF(L177="Si",IF(E177=0,"",VLOOKUP(E177,'Tablas Técnicas'!$A$14:$V$771,6,FALSE)),"")</f>
        <v/>
      </c>
      <c r="O177" s="999" t="s">
        <v>1690</v>
      </c>
      <c r="P177" s="1415" t="str">
        <f>IF(E177=0,"",VLOOKUP(E177,'Tablas Técnicas'!$A$14:$V$771,7,FALSE))</f>
        <v/>
      </c>
      <c r="Q177" s="1002" t="str">
        <f>IF(O177="Si",IF(E177=0,"",VLOOKUP(E177,'Tablas Técnicas'!$A$14:$V$771,7,FALSE)),"")</f>
        <v/>
      </c>
      <c r="R177" s="1000" t="str">
        <f>IF(E177=0,"",VLOOKUP(E177,'Tablas Técnicas'!$A$14:$V$771,8,FALSE))</f>
        <v/>
      </c>
      <c r="S177" s="998" t="str">
        <f>IF(R177=$D$8,$D$8,IF(R177=2,2,IF(R177=3,3,R177)))</f>
        <v/>
      </c>
      <c r="T177" s="4796" t="s">
        <v>4542</v>
      </c>
      <c r="U177" s="4797"/>
      <c r="V177" s="4797"/>
      <c r="W177" s="4797"/>
      <c r="X177" s="4797"/>
      <c r="Y177" s="4797"/>
      <c r="Z177" s="4797"/>
      <c r="AA177" s="4797"/>
      <c r="AB177" s="4797"/>
      <c r="AC177" s="4797"/>
      <c r="AD177" s="4797"/>
      <c r="AE177" s="4797"/>
      <c r="AF177" s="4797"/>
      <c r="AG177" s="4797"/>
      <c r="AH177" s="4797"/>
      <c r="AI177" s="4797"/>
      <c r="AJ177" s="4797"/>
      <c r="AK177" s="4797"/>
      <c r="AL177" s="4797"/>
      <c r="AM177" s="4797"/>
      <c r="AN177" s="4797"/>
      <c r="AO177" s="4797"/>
      <c r="AP177" s="4797"/>
      <c r="AQ177" s="4797"/>
      <c r="AR177" s="4797"/>
      <c r="AS177" s="4797"/>
      <c r="AT177" s="4797"/>
      <c r="AU177" s="4797"/>
      <c r="AV177" s="4797"/>
      <c r="AW177" s="4797"/>
      <c r="AX177" s="4797"/>
      <c r="AY177" s="4797"/>
      <c r="AZ177" s="4797"/>
      <c r="BA177" s="4797"/>
      <c r="BB177" s="4797"/>
      <c r="BC177" s="4797"/>
      <c r="BD177" s="4797"/>
      <c r="BE177" s="4797"/>
      <c r="BF177" s="4797"/>
      <c r="BG177" s="4797"/>
      <c r="BH177" s="4797"/>
      <c r="BI177" s="4797"/>
      <c r="BJ177" s="4797"/>
      <c r="BK177" s="4798"/>
      <c r="BL177" s="1437"/>
      <c r="BM177" s="1438"/>
      <c r="BN177" s="992"/>
      <c r="BO177" s="993"/>
      <c r="BP177" s="978" t="str">
        <f>IF(I177="Si",VLOOKUP($D$8,'Tablas Técnicas'!$E$4:$F$6,2,FALSE),"")</f>
        <v/>
      </c>
      <c r="BQ177" s="979" t="str">
        <f>IF(L177="Si",VLOOKUP($D$8,'Tablas Técnicas'!$I$4:$J$6,2,FALSE),"")</f>
        <v/>
      </c>
      <c r="BR177" s="977" t="str">
        <f>IF(O177="Si",VLOOKUP($D$8,'Tablas Técnicas'!$I$7:$J$9,2,FALSE),"")</f>
        <v/>
      </c>
      <c r="BS177" s="994"/>
      <c r="BT177" s="3028">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356"/>
      <c r="BV177" s="971"/>
      <c r="BW177" s="1026" t="str">
        <f>IF(SUM(BT177:BU177)=0,"N/A",SUM(BT177:BU177))</f>
        <v>N/A</v>
      </c>
      <c r="BX177" s="3028">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26" t="str">
        <f>IF(BX177=0,"N/A",BX177)</f>
        <v>N/A</v>
      </c>
      <c r="BZ177" s="3027"/>
      <c r="CA177" s="939"/>
      <c r="DR177" s="939"/>
      <c r="DT177" s="1325"/>
      <c r="DU177" s="1379"/>
      <c r="DV177" s="1376" t="str">
        <f>IF(E177="",""," "&amp;E177)&amp;IF(I177="No",""," (Mant.)")&amp;IF(L177="No",""," (Sme)")&amp;IF(O177="No",""," (SMa)")</f>
        <v/>
      </c>
      <c r="DW177" s="1376"/>
      <c r="DX177" s="1378"/>
      <c r="DY177" s="1324"/>
      <c r="DZ177" s="939"/>
      <c r="EA177" s="1470">
        <f t="shared" si="2"/>
        <v>1</v>
      </c>
    </row>
    <row r="178" spans="1:131" x14ac:dyDescent="0.2">
      <c r="A178" s="939"/>
      <c r="B178" s="939"/>
      <c r="C178" s="4822"/>
      <c r="D178" s="1453" t="s">
        <v>1766</v>
      </c>
      <c r="E178" s="1003"/>
      <c r="F178" s="1019"/>
      <c r="G178" s="989" t="str">
        <f>IF(E178=0,"",VLOOKUP(E178,'Tablas Técnicas'!$A$14:$V$771,3,FALSE))</f>
        <v/>
      </c>
      <c r="H178" s="3033" t="str">
        <f>IF($E178=0,"",VLOOKUP($E178,'Tablas Técnicas'!$A$14:$V$771,4,FALSE))</f>
        <v/>
      </c>
      <c r="I178" s="987" t="s">
        <v>1690</v>
      </c>
      <c r="J178" s="1411" t="str">
        <f>IF(E178=0,"",VLOOKUP(E178,'Tablas Técnicas'!$A$14:$V$771,5,FALSE))</f>
        <v/>
      </c>
      <c r="K178" s="1006" t="str">
        <f>IF(I178="Si",IF(E178=0,"",VLOOKUP(E178,'Tablas Técnicas'!$A$14:$V$771,5,FALSE)),"")</f>
        <v/>
      </c>
      <c r="L178" s="987" t="s">
        <v>1690</v>
      </c>
      <c r="M178" s="1411" t="str">
        <f>IF(E178=0,"",VLOOKUP(E178,'Tablas Técnicas'!$A$14:$V$771,6,FALSE))</f>
        <v/>
      </c>
      <c r="N178" s="990" t="str">
        <f>IF(L178="Si",IF(E178=0,"",VLOOKUP(E178,'Tablas Técnicas'!$A$14:$V$771,6,FALSE)),"")</f>
        <v/>
      </c>
      <c r="O178" s="987" t="s">
        <v>1690</v>
      </c>
      <c r="P178" s="1411" t="str">
        <f>IF(E178=0,"",VLOOKUP(E178,'Tablas Técnicas'!$A$14:$V$771,7,FALSE))</f>
        <v/>
      </c>
      <c r="Q178" s="990" t="str">
        <f>IF(O178="Si",IF(E178=0,"",VLOOKUP(E178,'Tablas Técnicas'!$A$14:$V$771,7,FALSE)),"")</f>
        <v/>
      </c>
      <c r="R178" s="1005" t="str">
        <f>IF(E178=0,"",VLOOKUP(E178,'Tablas Técnicas'!$A$14:$V$771,8,FALSE))</f>
        <v/>
      </c>
      <c r="S178" s="3033" t="str">
        <f>IF(R178=$D$8,$D$8,IF(R178=2,2,IF(R178=3,3,R178)))</f>
        <v/>
      </c>
      <c r="T178" s="4809"/>
      <c r="U178" s="4810"/>
      <c r="V178" s="3029" t="str">
        <f>IF(OR(V176=0,V176=""),"N/A",V176)</f>
        <v>N/A</v>
      </c>
      <c r="W178" s="4809" t="str">
        <f xml:space="preserve"> IF(OR(AF176=0,AF176=""),"N/A",W176)</f>
        <v>N/A</v>
      </c>
      <c r="X178" s="4811"/>
      <c r="Y178" s="4811"/>
      <c r="Z178" s="4811"/>
      <c r="AA178" s="4811"/>
      <c r="AB178" s="4811"/>
      <c r="AC178" s="4811"/>
      <c r="AD178" s="4811"/>
      <c r="AE178" s="4811"/>
      <c r="AF178" s="4810"/>
      <c r="AG178" s="4809" t="str">
        <f xml:space="preserve"> IF(OR(AP176="",AP176=0),"N/A",AG176)</f>
        <v>N/A</v>
      </c>
      <c r="AH178" s="4811"/>
      <c r="AI178" s="4811"/>
      <c r="AJ178" s="4811"/>
      <c r="AK178" s="4811"/>
      <c r="AL178" s="4811"/>
      <c r="AM178" s="4811"/>
      <c r="AN178" s="4811"/>
      <c r="AO178" s="4811"/>
      <c r="AP178" s="4810"/>
      <c r="AQ178" s="4809" t="str">
        <f xml:space="preserve"> IF(OR(AZ176="",AZ176=0),"N/A",AQ176)</f>
        <v>N/A</v>
      </c>
      <c r="AR178" s="4811"/>
      <c r="AS178" s="4811"/>
      <c r="AT178" s="4811"/>
      <c r="AU178" s="4811"/>
      <c r="AV178" s="4811"/>
      <c r="AW178" s="4811"/>
      <c r="AX178" s="4811"/>
      <c r="AY178" s="4811"/>
      <c r="AZ178" s="4810"/>
      <c r="BA178" s="4809" t="str">
        <f xml:space="preserve"> IF(OR(BJ176="",BJ176=0),"N/A",BA176)</f>
        <v>N/A</v>
      </c>
      <c r="BB178" s="4811"/>
      <c r="BC178" s="4811"/>
      <c r="BD178" s="4811"/>
      <c r="BE178" s="4811"/>
      <c r="BF178" s="4811"/>
      <c r="BG178" s="4811"/>
      <c r="BH178" s="4811"/>
      <c r="BI178" s="4811"/>
      <c r="BJ178" s="4810"/>
      <c r="BK178" s="1007" t="s">
        <v>4543</v>
      </c>
      <c r="BL178" s="989"/>
      <c r="BM178" s="1024"/>
      <c r="BN178" s="1008"/>
      <c r="BO178" s="1009"/>
      <c r="BP178" s="1010" t="str">
        <f>IF(I178="Si",VLOOKUP($D$8,'Tablas Técnicas'!$E$4:$F$6,2,FALSE),"")</f>
        <v/>
      </c>
      <c r="BQ178" s="980" t="str">
        <f>IF(L178="Si",VLOOKUP($D$8,'Tablas Técnicas'!$I$4:$J$6,2,FALSE),"")</f>
        <v/>
      </c>
      <c r="BR178" s="1011" t="str">
        <f>IF(O178="Si",VLOOKUP($D$8,'Tablas Técnicas'!$I$7:$J$9,2,FALSE),"")</f>
        <v/>
      </c>
      <c r="BS178" s="994"/>
      <c r="BT178" s="3023" t="s">
        <v>1700</v>
      </c>
      <c r="BU178" s="3024" t="s">
        <v>4550</v>
      </c>
      <c r="BV178" s="971"/>
      <c r="BW178" s="3024" t="s">
        <v>4551</v>
      </c>
      <c r="BX178" s="3023" t="s">
        <v>4552</v>
      </c>
      <c r="BY178" s="1301" t="s">
        <v>4552</v>
      </c>
      <c r="BZ178" s="3027"/>
      <c r="CA178" s="939"/>
      <c r="DR178" s="939"/>
      <c r="DT178" s="1325"/>
      <c r="DU178" s="1379"/>
      <c r="DV178" s="1376" t="str">
        <f>IF(E178="","",E178)&amp;IF(I178="No",""," (Mant.)")&amp;IF(L178="No",""," (Sme)")&amp;IF(O178="No",""," (SMa)")</f>
        <v/>
      </c>
      <c r="DW178" s="1377"/>
      <c r="DX178" s="1378"/>
      <c r="DY178" s="1324"/>
      <c r="DZ178" s="939"/>
      <c r="EA178" s="1470">
        <f t="shared" si="2"/>
        <v>1</v>
      </c>
    </row>
    <row r="179" spans="1:131" x14ac:dyDescent="0.2">
      <c r="A179" s="939"/>
      <c r="B179" s="939"/>
      <c r="C179" s="4822"/>
      <c r="D179" s="1452" t="s">
        <v>1766</v>
      </c>
      <c r="E179" s="995"/>
      <c r="F179" s="1025"/>
      <c r="G179" s="1437" t="str">
        <f>IF(E179=0,"",VLOOKUP(E179,'Tablas Técnicas'!$A$14:$V$771,3,FALSE))</f>
        <v/>
      </c>
      <c r="H179" s="998" t="str">
        <f>IF($E179=0,"",VLOOKUP($E179,'Tablas Técnicas'!$A$14:$V$771,4,FALSE))</f>
        <v/>
      </c>
      <c r="I179" s="999" t="s">
        <v>1690</v>
      </c>
      <c r="J179" s="1415" t="str">
        <f>IF(E179=0,"",VLOOKUP(E179,'Tablas Técnicas'!$A$14:$V$771,5,FALSE))</f>
        <v/>
      </c>
      <c r="K179" s="1001" t="str">
        <f>IF(I179="Si",IF(E179=0,"",VLOOKUP(E179,'Tablas Técnicas'!$A$14:$V$771,5,FALSE)),"")</f>
        <v/>
      </c>
      <c r="L179" s="999" t="s">
        <v>1690</v>
      </c>
      <c r="M179" s="1415" t="str">
        <f>IF(E179=0,"",VLOOKUP(E179,'Tablas Técnicas'!$A$14:$V$771,6,FALSE))</f>
        <v/>
      </c>
      <c r="N179" s="1002" t="str">
        <f>IF(L179="Si",IF(E179=0,"",VLOOKUP(E179,'Tablas Técnicas'!$A$14:$V$771,6,FALSE)),"")</f>
        <v/>
      </c>
      <c r="O179" s="999" t="s">
        <v>1690</v>
      </c>
      <c r="P179" s="1415" t="str">
        <f>IF(E179=0,"",VLOOKUP(E179,'Tablas Técnicas'!$A$14:$V$771,7,FALSE))</f>
        <v/>
      </c>
      <c r="Q179" s="1002" t="str">
        <f>IF(O179="Si",IF(E179=0,"",VLOOKUP(E179,'Tablas Técnicas'!$A$14:$V$771,7,FALSE)),"")</f>
        <v/>
      </c>
      <c r="R179" s="1000" t="str">
        <f>IF(E179=0,"",VLOOKUP(E179,'Tablas Técnicas'!$A$14:$V$771,8,FALSE))</f>
        <v/>
      </c>
      <c r="S179" s="998" t="str">
        <f>IF(R179=$D$8,$D$8,IF(R179=2,2,IF(R179=3,3,R179)))</f>
        <v/>
      </c>
      <c r="T179" s="4812" t="s">
        <v>4544</v>
      </c>
      <c r="U179" s="4813"/>
      <c r="V179" s="3025"/>
      <c r="W179" s="4814"/>
      <c r="X179" s="4815"/>
      <c r="Y179" s="4815"/>
      <c r="Z179" s="4815"/>
      <c r="AA179" s="4815"/>
      <c r="AB179" s="4815"/>
      <c r="AC179" s="4815"/>
      <c r="AD179" s="4815"/>
      <c r="AE179" s="4815"/>
      <c r="AF179" s="4816"/>
      <c r="AG179" s="4814"/>
      <c r="AH179" s="4815"/>
      <c r="AI179" s="4815"/>
      <c r="AJ179" s="4815"/>
      <c r="AK179" s="4815"/>
      <c r="AL179" s="4815"/>
      <c r="AM179" s="4815"/>
      <c r="AN179" s="4815"/>
      <c r="AO179" s="4815"/>
      <c r="AP179" s="4816"/>
      <c r="AQ179" s="4814"/>
      <c r="AR179" s="4815"/>
      <c r="AS179" s="4815"/>
      <c r="AT179" s="4815"/>
      <c r="AU179" s="4815"/>
      <c r="AV179" s="4815"/>
      <c r="AW179" s="4815"/>
      <c r="AX179" s="4815"/>
      <c r="AY179" s="4815"/>
      <c r="AZ179" s="4816"/>
      <c r="BA179" s="4814"/>
      <c r="BB179" s="4815"/>
      <c r="BC179" s="4815"/>
      <c r="BD179" s="4815"/>
      <c r="BE179" s="4815"/>
      <c r="BF179" s="4815"/>
      <c r="BG179" s="4815"/>
      <c r="BH179" s="4815"/>
      <c r="BI179" s="4815"/>
      <c r="BJ179" s="4816"/>
      <c r="BK179" s="998">
        <f>(SUM(G176:G180)+IF(AF176="",0,AF176)+IF(AP176="",0,AP176)+IF(AZ176="",0,AZ176)+IF(BJ176="",0,BJ176)+SUM(K176:K180)+SUM(N176:N180)+SUM(Q176:Q180))- SUM(V179:BA179)</f>
        <v>0</v>
      </c>
      <c r="BL179" s="1437"/>
      <c r="BM179" s="1438"/>
      <c r="BN179" s="992"/>
      <c r="BO179" s="993"/>
      <c r="BP179" s="978" t="str">
        <f>IF(I179="Si",VLOOKUP($D$8,'Tablas Técnicas'!$E$4:$F$6,2,FALSE),"")</f>
        <v/>
      </c>
      <c r="BQ179" s="979" t="str">
        <f>IF(L179="Si",VLOOKUP($D$8,'Tablas Técnicas'!$I$4:$J$6,2,FALSE),"")</f>
        <v/>
      </c>
      <c r="BR179" s="977" t="str">
        <f>IF(O179="Si",VLOOKUP($D$8,'Tablas Técnicas'!$I$7:$J$9,2,FALSE),"")</f>
        <v/>
      </c>
      <c r="BS179" s="994"/>
      <c r="BT179" s="3028">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356"/>
      <c r="BV179" s="971"/>
      <c r="BW179" s="1026" t="str">
        <f>IF(SUM(BT179:BU179)=0,"N/A",SUM(BT179:BU179))</f>
        <v>N/A</v>
      </c>
      <c r="BX179" s="3028">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26" t="str">
        <f>IF(BX179=0,"N/A",BX179)</f>
        <v>N/A</v>
      </c>
      <c r="BZ179" s="3027"/>
      <c r="CA179" s="939"/>
      <c r="DR179" s="939"/>
      <c r="DT179" s="1325"/>
      <c r="DU179" s="1379"/>
      <c r="DV179" s="1376" t="str">
        <f>IF(E179="","",E179)&amp;IF(I179="No",""," (Mant.)")&amp;IF(L179="No",""," (Sme)")&amp;IF(O179="No",""," (SMa)")</f>
        <v/>
      </c>
      <c r="DW179" s="1377"/>
      <c r="DX179" s="1378"/>
      <c r="DY179" s="1324"/>
      <c r="DZ179" s="939"/>
      <c r="EA179" s="1470">
        <f t="shared" si="2"/>
        <v>1</v>
      </c>
    </row>
    <row r="180" spans="1:131" x14ac:dyDescent="0.2">
      <c r="A180" s="939"/>
      <c r="B180" s="939"/>
      <c r="C180" s="4822"/>
      <c r="D180" s="1453" t="s">
        <v>1766</v>
      </c>
      <c r="E180" s="1003"/>
      <c r="F180" s="1019"/>
      <c r="G180" s="989" t="str">
        <f>IF(E180=0,"",VLOOKUP(E180,'Tablas Técnicas'!$A$14:$V$771,3,FALSE))</f>
        <v/>
      </c>
      <c r="H180" s="1014" t="str">
        <f>IF($E180=0,"",VLOOKUP($E180,'Tablas Técnicas'!$A$14:$V$771,4,FALSE))</f>
        <v/>
      </c>
      <c r="I180" s="987" t="s">
        <v>1690</v>
      </c>
      <c r="J180" s="1418" t="str">
        <f>IF(E180=0,"",VLOOKUP(E180,'Tablas Técnicas'!$A$14:$V$771,5,FALSE))</f>
        <v/>
      </c>
      <c r="K180" s="1015" t="str">
        <f>IF(I180="Si",IF(E180=0,"",VLOOKUP(E180,'Tablas Técnicas'!$A$14:$V$771,5,FALSE)),"")</f>
        <v/>
      </c>
      <c r="L180" s="987" t="s">
        <v>1690</v>
      </c>
      <c r="M180" s="1418" t="str">
        <f>IF(E180=0,"",VLOOKUP(E180,'Tablas Técnicas'!$A$14:$V$771,6,FALSE))</f>
        <v/>
      </c>
      <c r="N180" s="990" t="str">
        <f>IF(L180="Si",IF(E180=0,"",VLOOKUP(E180,'Tablas Técnicas'!$A$14:$V$771,6,FALSE)),"")</f>
        <v/>
      </c>
      <c r="O180" s="987" t="s">
        <v>1690</v>
      </c>
      <c r="P180" s="1418" t="str">
        <f>IF(E180=0,"",VLOOKUP(E180,'Tablas Técnicas'!$A$14:$V$771,7,FALSE))</f>
        <v/>
      </c>
      <c r="Q180" s="990" t="str">
        <f>IF(O180="Si",IF(E180=0,"",VLOOKUP(E180,'Tablas Técnicas'!$A$14:$V$771,7,FALSE)),"")</f>
        <v/>
      </c>
      <c r="R180" s="1035" t="str">
        <f>IF(E180=0,"",VLOOKUP(E180,'Tablas Técnicas'!$A$14:$V$771,8,FALSE))</f>
        <v/>
      </c>
      <c r="S180" s="1004" t="str">
        <f>IF(R180=$D$8,$D$8,IF(R180=2,2,IF(R180=3,3,R180)))</f>
        <v/>
      </c>
      <c r="T180" s="4803" t="s">
        <v>4546</v>
      </c>
      <c r="U180" s="4804"/>
      <c r="V180" s="3032"/>
      <c r="W180" s="4805"/>
      <c r="X180" s="4806"/>
      <c r="Y180" s="4806"/>
      <c r="Z180" s="4806"/>
      <c r="AA180" s="4806"/>
      <c r="AB180" s="4806"/>
      <c r="AC180" s="4806"/>
      <c r="AD180" s="4806"/>
      <c r="AE180" s="4806"/>
      <c r="AF180" s="4807"/>
      <c r="AG180" s="4805"/>
      <c r="AH180" s="4806"/>
      <c r="AI180" s="4806"/>
      <c r="AJ180" s="4806"/>
      <c r="AK180" s="4806"/>
      <c r="AL180" s="4806"/>
      <c r="AM180" s="4806"/>
      <c r="AN180" s="4806"/>
      <c r="AO180" s="4806"/>
      <c r="AP180" s="4807"/>
      <c r="AQ180" s="4805"/>
      <c r="AR180" s="4806"/>
      <c r="AS180" s="4806"/>
      <c r="AT180" s="4806"/>
      <c r="AU180" s="4806"/>
      <c r="AV180" s="4806"/>
      <c r="AW180" s="4806"/>
      <c r="AX180" s="4806"/>
      <c r="AY180" s="4806"/>
      <c r="AZ180" s="4807"/>
      <c r="BA180" s="4805"/>
      <c r="BB180" s="4806"/>
      <c r="BC180" s="4806"/>
      <c r="BD180" s="4806"/>
      <c r="BE180" s="4806"/>
      <c r="BF180" s="4806"/>
      <c r="BG180" s="4806"/>
      <c r="BH180" s="4806"/>
      <c r="BI180" s="4806"/>
      <c r="BJ180" s="4807"/>
      <c r="BK180" s="1014">
        <f>SUM(K176:K180)-SUM(V180:BA180)</f>
        <v>0</v>
      </c>
      <c r="BL180" s="1439"/>
      <c r="BM180" s="1440"/>
      <c r="BN180" s="1008"/>
      <c r="BO180" s="1009"/>
      <c r="BP180" s="1010" t="str">
        <f>IF(I180="Si",VLOOKUP($D$8,'Tablas Técnicas'!$E$4:$F$6,2,FALSE),"")</f>
        <v/>
      </c>
      <c r="BQ180" s="980" t="str">
        <f>IF(L180="Si",VLOOKUP($D$8,'Tablas Técnicas'!$I$4:$J$6,2,FALSE),"")</f>
        <v/>
      </c>
      <c r="BR180" s="1011" t="str">
        <f>IF(O180="Si",VLOOKUP($D$8,'Tablas Técnicas'!$I$7:$J$9,2,FALSE),"")</f>
        <v/>
      </c>
      <c r="BS180" s="994"/>
      <c r="BT180" s="3023" t="s">
        <v>1701</v>
      </c>
      <c r="BU180" s="3024" t="s">
        <v>4550</v>
      </c>
      <c r="BV180" s="971"/>
      <c r="BW180" s="3024" t="s">
        <v>4551</v>
      </c>
      <c r="BX180" s="3023" t="s">
        <v>4552</v>
      </c>
      <c r="BY180" s="1301" t="s">
        <v>4552</v>
      </c>
      <c r="BZ180" s="3027"/>
      <c r="CA180" s="939"/>
      <c r="DR180" s="939"/>
      <c r="DT180" s="1325"/>
      <c r="DU180" s="1379"/>
      <c r="DV180" s="1376" t="str">
        <f>IF(E180="","",E180)&amp;IF(I180="No",""," (Mant.)")&amp;IF(L180="No",""," (Sme)")&amp;IF(O180="No",""," (SMa)")</f>
        <v/>
      </c>
      <c r="DW180" s="1377"/>
      <c r="DX180" s="1378"/>
      <c r="DY180" s="1324"/>
      <c r="DZ180" s="939"/>
      <c r="EA180" s="1470">
        <f t="shared" si="2"/>
        <v>1</v>
      </c>
    </row>
    <row r="181" spans="1:131" x14ac:dyDescent="0.2">
      <c r="A181" s="939"/>
      <c r="B181" s="1403"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822"/>
      <c r="D181" s="1454">
        <v>5</v>
      </c>
      <c r="E181" s="1246"/>
      <c r="F181" s="1016"/>
      <c r="G181" s="1017"/>
      <c r="H181" s="2159">
        <f t="array" ref="H181">IF(AND(OR(ISNUMBER(SEARCH("Empatía Elemental ("&amp;BK176:BM176&amp;")",Principal!$AF$30))),SUM(H176:H180)&gt;=10),-5,0)</f>
        <v>0</v>
      </c>
      <c r="I181" s="1413"/>
      <c r="J181" s="1416"/>
      <c r="K181" s="1017"/>
      <c r="L181" s="1413"/>
      <c r="M181" s="1416"/>
      <c r="N181" s="1017"/>
      <c r="O181" s="1413"/>
      <c r="P181" s="1416"/>
      <c r="Q181" s="1017"/>
      <c r="R181" s="1018"/>
      <c r="S181" s="1017"/>
      <c r="T181" s="1017"/>
      <c r="U181" s="1017"/>
      <c r="V181" s="1017"/>
      <c r="W181" s="1017"/>
      <c r="X181" s="1017"/>
      <c r="Y181" s="1017"/>
      <c r="Z181" s="1017"/>
      <c r="AA181" s="1017"/>
      <c r="AB181" s="1017"/>
      <c r="AC181" s="1017"/>
      <c r="AD181" s="1017"/>
      <c r="AE181" s="1017"/>
      <c r="AF181" s="1017"/>
      <c r="AG181" s="1017"/>
      <c r="AH181" s="1017"/>
      <c r="AI181" s="1017"/>
      <c r="AJ181" s="1017"/>
      <c r="AK181" s="1017"/>
      <c r="AL181" s="1017"/>
      <c r="AM181" s="1017"/>
      <c r="AN181" s="1017"/>
      <c r="AO181" s="1017"/>
      <c r="AP181" s="1017"/>
      <c r="AQ181" s="1017"/>
      <c r="AR181" s="1017"/>
      <c r="AS181" s="1017"/>
      <c r="AT181" s="1017"/>
      <c r="AU181" s="1017"/>
      <c r="AV181" s="1017"/>
      <c r="AW181" s="1017"/>
      <c r="AX181" s="1017"/>
      <c r="AY181" s="1017"/>
      <c r="AZ181" s="1017"/>
      <c r="BA181" s="1017"/>
      <c r="BB181" s="1017"/>
      <c r="BC181" s="1017"/>
      <c r="BD181" s="1017"/>
      <c r="BE181" s="1017"/>
      <c r="BF181" s="1017"/>
      <c r="BG181" s="1017"/>
      <c r="BH181" s="1017"/>
      <c r="BI181" s="1017"/>
      <c r="BJ181" s="1017"/>
      <c r="BK181" s="1017"/>
      <c r="BL181" s="1017"/>
      <c r="BM181" s="1027"/>
      <c r="BN181" s="1028">
        <f>SUM(K181:K184)</f>
        <v>0</v>
      </c>
      <c r="BO181" s="971" t="str">
        <f>IF(E181=0,"",(AF181+AP181+AZ181+BJ181))</f>
        <v/>
      </c>
      <c r="BP181" s="1029" t="str">
        <f>IF(I181="Si",VLOOKUP($D$8,'Tablas Técnicas'!$E$4:$F$6,2,FALSE),"")</f>
        <v/>
      </c>
      <c r="BQ181" s="1030" t="str">
        <f>IF(L181="Si",VLOOKUP($D$8,'Tablas Técnicas'!$I$4:$J$6,2,FALSE),"")</f>
        <v/>
      </c>
      <c r="BR181" s="1028" t="str">
        <f>IF(O181="Si",VLOOKUP($D$8,'Tablas Técnicas'!$I$7:$J$9,2,FALSE),"")</f>
        <v/>
      </c>
      <c r="BS181" s="994"/>
      <c r="BT181" s="3028">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356"/>
      <c r="BV181" s="971"/>
      <c r="BW181" s="1026" t="str">
        <f>IF(SUM(BT181:BU181)=0,"N/A",SUM(BT181:BU181))</f>
        <v>N/A</v>
      </c>
      <c r="BX181" s="3028">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26" t="str">
        <f>IF(BX181=0,"N/A",BX181)</f>
        <v>N/A</v>
      </c>
      <c r="BZ181" s="3027"/>
      <c r="CA181" s="939"/>
      <c r="DR181" s="939"/>
      <c r="DT181" s="1325"/>
      <c r="DU181" s="1379"/>
      <c r="DV181" s="1380"/>
      <c r="DW181" s="1377"/>
      <c r="DX181" s="1378"/>
      <c r="DY181" s="1324"/>
      <c r="DZ181" s="939"/>
      <c r="EA181" s="1470">
        <f t="shared" si="2"/>
        <v>1</v>
      </c>
    </row>
    <row r="182" spans="1:131" ht="12" thickBot="1" x14ac:dyDescent="0.25">
      <c r="A182" s="939"/>
      <c r="B182" s="939"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822"/>
      <c r="D182" s="1453" t="s">
        <v>1766</v>
      </c>
      <c r="E182" s="983"/>
      <c r="F182" s="1019"/>
      <c r="G182" s="989" t="str">
        <f>IF(E182=0,"",VLOOKUP(E182,'Tablas Técnicas'!$A$14:$V$771,3,FALSE))</f>
        <v/>
      </c>
      <c r="H182" s="1031" t="str">
        <f>IF($E182=0,"",VLOOKUP($E182,'Tablas Técnicas'!$A$14:$V$771,4,FALSE))</f>
        <v/>
      </c>
      <c r="I182" s="987" t="s">
        <v>1690</v>
      </c>
      <c r="J182" s="1417" t="str">
        <f>IF(E182=0,"",VLOOKUP(E182,'Tablas Técnicas'!$A$14:$V$771,5,FALSE))</f>
        <v/>
      </c>
      <c r="K182" s="1033" t="str">
        <f>IF(I182="Si",IF(E182=0,"",VLOOKUP(E182,'Tablas Técnicas'!$A$14:$V$771,5,FALSE)),"")</f>
        <v/>
      </c>
      <c r="L182" s="987" t="s">
        <v>1690</v>
      </c>
      <c r="M182" s="1417" t="str">
        <f>IF(E182=0,"",VLOOKUP(E182,'Tablas Técnicas'!$A$14:$V$771,6,FALSE))</f>
        <v/>
      </c>
      <c r="N182" s="990" t="str">
        <f>IF(L182="Si",IF(E182=0,"",VLOOKUP(E182,'Tablas Técnicas'!$A$14:$V$771,6,FALSE)),"")</f>
        <v/>
      </c>
      <c r="O182" s="987" t="s">
        <v>1690</v>
      </c>
      <c r="P182" s="1417" t="str">
        <f>IF(E182=0,"",VLOOKUP(E182,'Tablas Técnicas'!$A$14:$V$771,7,FALSE))</f>
        <v/>
      </c>
      <c r="Q182" s="990" t="str">
        <f>IF(O182="Si",IF(E182=0,"",VLOOKUP(E182,'Tablas Técnicas'!$A$14:$V$771,7,FALSE)),"")</f>
        <v/>
      </c>
      <c r="R182" s="1032" t="str">
        <f>IF(E182=0,"",VLOOKUP(E182,'Tablas Técnicas'!$A$14:$V$771,8,FALSE))</f>
        <v/>
      </c>
      <c r="S182" s="1004" t="str">
        <f>IF(R182=$D$8,$D$8,IF(R182=2,2,IF(R182=3,3,R182)))</f>
        <v/>
      </c>
      <c r="T182" s="1033" t="str">
        <f>IF(E182=0,"",VLOOKUP(E182,'Tablas Técnicas'!$A$14:$V$771,9,FALSE))</f>
        <v/>
      </c>
      <c r="U182" s="1033" t="str">
        <f>IF(E182=0,"",VLOOKUP(E182,'Tablas Técnicas'!$A$14:$V$771,10,FALSE))</f>
        <v/>
      </c>
      <c r="V182" s="1034" t="str">
        <f>IF(E182=0,"",VLOOKUP(E182,'Tablas Técnicas'!$A$14:$V$771,11,FALSE))</f>
        <v/>
      </c>
      <c r="W182" s="987"/>
      <c r="X182" s="988" t="e">
        <f>VLOOKUP(E182,'Tablas Técnicas'!$A$14:$V$771,12,FALSE)</f>
        <v>#N/A</v>
      </c>
      <c r="Y182" s="988" t="e">
        <f>IF(W182=X182,VLOOKUP(E182,'Tablas Técnicas'!$A$14:$V$771,13,FALSE),0)</f>
        <v>#N/A</v>
      </c>
      <c r="Z182" s="988" t="e">
        <f>VLOOKUP(E182,'Tablas Técnicas'!$A$14:$V$771,14,FALSE)</f>
        <v>#N/A</v>
      </c>
      <c r="AA182" s="988" t="e">
        <f>IF(W182=Z182,VLOOKUP(E182,'Tablas Técnicas'!$A$14:$V$616,15,FALSE),0)</f>
        <v>#N/A</v>
      </c>
      <c r="AB182" s="988" t="e">
        <f>VLOOKUP(E182,'Tablas Técnicas'!$A$14:$V$771,16,FALSE)</f>
        <v>#N/A</v>
      </c>
      <c r="AC182" s="988" t="e">
        <f>IF(W182=AB182,VLOOKUP(E182,'Tablas Técnicas'!$A$14:$V$616,17,FALSE),0)</f>
        <v>#N/A</v>
      </c>
      <c r="AD182" s="988" t="e">
        <f>VLOOKUP(E182,'Tablas Técnicas'!$A$14:$V$771,18,FALSE)</f>
        <v>#N/A</v>
      </c>
      <c r="AE182" s="988" t="e">
        <f>IF(W182=AD182,VLOOKUP(E182,'Tablas Técnicas'!$A$14:$V$771,19,FALSE),0)</f>
        <v>#N/A</v>
      </c>
      <c r="AF182" s="1006" t="str">
        <f>IF(E182=0,"",(Y182+AA182+AC182+AE182))</f>
        <v/>
      </c>
      <c r="AG182" s="987"/>
      <c r="AH182" s="1005" t="e">
        <f>VLOOKUP(E182,'Tablas Técnicas'!$A$14:$V$771,12,FALSE)</f>
        <v>#N/A</v>
      </c>
      <c r="AI182" s="1005" t="e">
        <f>IF(AG182=AH182,VLOOKUP(E182,'Tablas Técnicas'!$A$14:$V$771,13,FALSE),0)</f>
        <v>#N/A</v>
      </c>
      <c r="AJ182" s="1005" t="e">
        <f>VLOOKUP(E182,'Tablas Técnicas'!$A$14:$V$771,14,FALSE)</f>
        <v>#N/A</v>
      </c>
      <c r="AK182" s="1005" t="e">
        <f>IF(AG182=AJ182,VLOOKUP(E182,'Tablas Técnicas'!$A$14:$V$771,15,FALSE),0)</f>
        <v>#N/A</v>
      </c>
      <c r="AL182" s="1005" t="e">
        <f>VLOOKUP(E182,'Tablas Técnicas'!$A$14:$V$771,16,FALSE)</f>
        <v>#N/A</v>
      </c>
      <c r="AM182" s="1005" t="e">
        <f>IF(AG182=AL182,VLOOKUP(E182,'Tablas Técnicas'!$A$14:$V$771,17,FALSE),0)</f>
        <v>#N/A</v>
      </c>
      <c r="AN182" s="1005" t="e">
        <f>VLOOKUP(E182,'Tablas Técnicas'!$A$14:$V$771,18,FALSE)</f>
        <v>#N/A</v>
      </c>
      <c r="AO182" s="1005" t="e">
        <f>IF(AG182=AN182,VLOOKUP(E182,'Tablas Técnicas'!$A$14:$V$771,19,FALSE),0)</f>
        <v>#N/A</v>
      </c>
      <c r="AP182" s="3034" t="str">
        <f>IF(E182=0,"",(AI182+AK182+AM182+AO182))</f>
        <v/>
      </c>
      <c r="AQ182" s="987"/>
      <c r="AR182" s="1005" t="e">
        <f>VLOOKUP(E182,'Tablas Técnicas'!$A$14:$V$771,12,FALSE)</f>
        <v>#N/A</v>
      </c>
      <c r="AS182" s="1005" t="e">
        <f>IF(AQ182=AR182,VLOOKUP(E182,'Tablas Técnicas'!$A$14:$V$771,13,FALSE),0)</f>
        <v>#N/A</v>
      </c>
      <c r="AT182" s="1005" t="e">
        <f>VLOOKUP(E182,'Tablas Técnicas'!$A$14:$V$771,14,FALSE)</f>
        <v>#N/A</v>
      </c>
      <c r="AU182" s="1005" t="e">
        <f>IF(AQ182=AT182,VLOOKUP(E182,'Tablas Técnicas'!$A$14:$V$771,15,FALSE),0)</f>
        <v>#N/A</v>
      </c>
      <c r="AV182" s="1005" t="e">
        <f>VLOOKUP(E182,'Tablas Técnicas'!$A$14:$V$771,16,FALSE)</f>
        <v>#N/A</v>
      </c>
      <c r="AW182" s="1005" t="e">
        <f>IF(AQ182=AV182,VLOOKUP(E182,'Tablas Técnicas'!$A$14:$V$771,17,FALSE),0)</f>
        <v>#N/A</v>
      </c>
      <c r="AX182" s="1005" t="e">
        <f>VLOOKUP(E182,'Tablas Técnicas'!$A$14:$V$771,18,FALSE)</f>
        <v>#N/A</v>
      </c>
      <c r="AY182" s="1005" t="e">
        <f>IF(AQ182=AX182,VLOOKUP(E182,'Tablas Técnicas'!$A$14:$V$771,19,FALSE),0)</f>
        <v>#N/A</v>
      </c>
      <c r="AZ182" s="1006" t="str">
        <f>IF(E182=0,"",(AS182+AU182+AW182+AY182))</f>
        <v/>
      </c>
      <c r="BA182" s="987"/>
      <c r="BB182" s="1005" t="e">
        <f>VLOOKUP(E182,'Tablas Técnicas'!$A$14:$V$771,12,FALSE)</f>
        <v>#N/A</v>
      </c>
      <c r="BC182" s="1005" t="e">
        <f>IF(BA182=BB182,VLOOKUP(E182,'Tablas Técnicas'!$A$14:$V$771,13,FALSE),0)</f>
        <v>#N/A</v>
      </c>
      <c r="BD182" s="1005" t="e">
        <f>VLOOKUP(E182,'Tablas Técnicas'!$A$14:$V$771,14,FALSE)</f>
        <v>#N/A</v>
      </c>
      <c r="BE182" s="1005" t="e">
        <f>IF(BA182=BD182,VLOOKUP(E182,'Tablas Técnicas'!$A$14:$V$771,15,FALSE),0)</f>
        <v>#N/A</v>
      </c>
      <c r="BF182" s="1005" t="e">
        <f>VLOOKUP(E182,'Tablas Técnicas'!$A$14:$V$771,16,FALSE)</f>
        <v>#N/A</v>
      </c>
      <c r="BG182" s="1005" t="e">
        <f>IF(BA182=BF182,VLOOKUP(E182,'Tablas Técnicas'!$A$14:$V$771,17,FALSE),0)</f>
        <v>#N/A</v>
      </c>
      <c r="BH182" s="1005" t="e">
        <f>VLOOKUP(E182,'Tablas Técnicas'!$A$14:$V$771,18,FALSE)</f>
        <v>#N/A</v>
      </c>
      <c r="BI182" s="1005" t="e">
        <f>IF(BA182=BH182,VLOOKUP(E182,'Tablas Técnicas'!$A$14:$V$771,19,FALSE),0)</f>
        <v>#N/A</v>
      </c>
      <c r="BJ182" s="3034" t="str">
        <f>IF(E182=0,"",(BC182+BE182+BG182+BI182))</f>
        <v/>
      </c>
      <c r="BK182" s="1033" t="str">
        <f>IF(E182=0,"",VLOOKUP(E182,'Tablas Técnicas'!$A$14:$V$771,20,FALSE))</f>
        <v/>
      </c>
      <c r="BL182" s="1020" t="str">
        <f>IF(E182=0,"",VLOOKUP(E182,'Tablas Técnicas'!$A$14:$V$771,21,FALSE))</f>
        <v/>
      </c>
      <c r="BM182" s="991" t="str">
        <f>IF(E182=0,"",VLOOKUP(E182,'Tablas Técnicas'!$A$14:$V$771,22,FALSE))</f>
        <v/>
      </c>
      <c r="BN182" s="992"/>
      <c r="BO182" s="993"/>
      <c r="BP182" s="978" t="str">
        <f>IF(I182="Si",VLOOKUP($D$8,'Tablas Técnicas'!$E$4:$F$6,2,FALSE),"")</f>
        <v/>
      </c>
      <c r="BQ182" s="979" t="str">
        <f>IF(L182="Si",VLOOKUP($D$8,'Tablas Técnicas'!$I$4:$J$6,2,FALSE),"")</f>
        <v/>
      </c>
      <c r="BR182" s="977" t="str">
        <f>IF(O182="Si",VLOOKUP($D$8,'Tablas Técnicas'!$I$7:$J$9,2,FALSE),"")</f>
        <v/>
      </c>
      <c r="BS182" s="994"/>
      <c r="BU182" s="4777"/>
      <c r="BV182" s="4777"/>
      <c r="BW182" s="4777"/>
      <c r="BX182" s="951"/>
      <c r="BY182" s="1287"/>
      <c r="BZ182" s="1304"/>
      <c r="CA182" s="939"/>
      <c r="DR182" s="939"/>
      <c r="DT182" s="1326"/>
      <c r="DU182" s="1428" t="str">
        <f>DU158&amp;DU159&amp;DU160&amp;DU161&amp;DU162&amp;DU163</f>
        <v/>
      </c>
      <c r="DV182" s="1429" t="str">
        <f>DV158&amp;DV159&amp;DV160&amp;DV161&amp;DV162&amp;DV164&amp;DV165&amp;DV166&amp;DV167&amp;DV168&amp;DV170&amp;DV171&amp;DV172&amp;DV173&amp;DV174&amp;DV176&amp;DV177&amp;DV178&amp;DV179&amp;DV180</f>
        <v/>
      </c>
      <c r="DW182" s="1430" t="str">
        <f>DW158&amp;DW159&amp;DW160</f>
        <v/>
      </c>
      <c r="DX182" s="1431" t="str">
        <f>IF(DX164="",DX158,DX164)</f>
        <v/>
      </c>
      <c r="DY182" s="1327"/>
      <c r="DZ182" s="939"/>
      <c r="EA182" s="1470">
        <f t="shared" si="2"/>
        <v>1</v>
      </c>
    </row>
    <row r="183" spans="1:131" x14ac:dyDescent="0.2">
      <c r="A183" s="939"/>
      <c r="B183" s="939"/>
      <c r="C183" s="4822"/>
      <c r="D183" s="1452" t="s">
        <v>1766</v>
      </c>
      <c r="E183" s="995"/>
      <c r="F183" s="1025"/>
      <c r="G183" s="1437" t="str">
        <f>IF(E183=0,"",VLOOKUP(E183,'Tablas Técnicas'!$A$14:$V$771,3,FALSE))</f>
        <v/>
      </c>
      <c r="H183" s="998" t="str">
        <f>IF($E183=0,"",VLOOKUP($E183,'Tablas Técnicas'!$A$14:$V$771,4,FALSE))</f>
        <v/>
      </c>
      <c r="I183" s="999" t="s">
        <v>1690</v>
      </c>
      <c r="J183" s="1415" t="str">
        <f>IF(E183=0,"",VLOOKUP(E183,'Tablas Técnicas'!$A$14:$V$771,5,FALSE))</f>
        <v/>
      </c>
      <c r="K183" s="1001" t="str">
        <f>IF(I183="Si",IF(E183=0,"",VLOOKUP(E183,'Tablas Técnicas'!$A$14:$V$771,5,FALSE)),"")</f>
        <v/>
      </c>
      <c r="L183" s="999" t="s">
        <v>1690</v>
      </c>
      <c r="M183" s="1415" t="str">
        <f>IF(E183=0,"",VLOOKUP(E183,'Tablas Técnicas'!$A$14:$V$771,6,FALSE))</f>
        <v/>
      </c>
      <c r="N183" s="1002" t="str">
        <f>IF(L183="Si",IF(E183=0,"",VLOOKUP(E183,'Tablas Técnicas'!$A$14:$V$771,6,FALSE)),"")</f>
        <v/>
      </c>
      <c r="O183" s="999" t="s">
        <v>1690</v>
      </c>
      <c r="P183" s="1415" t="str">
        <f>IF(E183=0,"",VLOOKUP(E183,'Tablas Técnicas'!$A$14:$V$771,7,FALSE))</f>
        <v/>
      </c>
      <c r="Q183" s="1002" t="str">
        <f>IF(O183="Si",IF(E183=0,"",VLOOKUP(E183,'Tablas Técnicas'!$A$14:$V$771,7,FALSE)),"")</f>
        <v/>
      </c>
      <c r="R183" s="1000" t="str">
        <f>IF(E183=0,"",VLOOKUP(E183,'Tablas Técnicas'!$A$14:$V$771,8,FALSE))</f>
        <v/>
      </c>
      <c r="S183" s="998" t="str">
        <f>IF(R183=$D$8,$D$8,IF(R183=2,2,IF(R183=3,3,R183)))</f>
        <v/>
      </c>
      <c r="T183" s="4796" t="s">
        <v>4542</v>
      </c>
      <c r="U183" s="4797"/>
      <c r="V183" s="4797"/>
      <c r="W183" s="4797"/>
      <c r="X183" s="4797"/>
      <c r="Y183" s="4797"/>
      <c r="Z183" s="4797"/>
      <c r="AA183" s="4797"/>
      <c r="AB183" s="4797"/>
      <c r="AC183" s="4797"/>
      <c r="AD183" s="4797"/>
      <c r="AE183" s="4797"/>
      <c r="AF183" s="4797"/>
      <c r="AG183" s="4797"/>
      <c r="AH183" s="4797"/>
      <c r="AI183" s="4797"/>
      <c r="AJ183" s="4797"/>
      <c r="AK183" s="4797"/>
      <c r="AL183" s="4797"/>
      <c r="AM183" s="4797"/>
      <c r="AN183" s="4797"/>
      <c r="AO183" s="4797"/>
      <c r="AP183" s="4797"/>
      <c r="AQ183" s="4797"/>
      <c r="AR183" s="4797"/>
      <c r="AS183" s="4797"/>
      <c r="AT183" s="4797"/>
      <c r="AU183" s="4797"/>
      <c r="AV183" s="4797"/>
      <c r="AW183" s="4797"/>
      <c r="AX183" s="4797"/>
      <c r="AY183" s="4797"/>
      <c r="AZ183" s="4797"/>
      <c r="BA183" s="4797"/>
      <c r="BB183" s="4797"/>
      <c r="BC183" s="4797"/>
      <c r="BD183" s="4797"/>
      <c r="BE183" s="4797"/>
      <c r="BF183" s="4797"/>
      <c r="BG183" s="4797"/>
      <c r="BH183" s="4797"/>
      <c r="BI183" s="4797"/>
      <c r="BJ183" s="4797"/>
      <c r="BK183" s="4798"/>
      <c r="BL183" s="1437"/>
      <c r="BM183" s="1438"/>
      <c r="BN183" s="992"/>
      <c r="BO183" s="993"/>
      <c r="BP183" s="978" t="str">
        <f>IF(I183="Si",VLOOKUP($D$8,'Tablas Técnicas'!$E$4:$F$6,2,FALSE),"")</f>
        <v/>
      </c>
      <c r="BQ183" s="979" t="str">
        <f>IF(L183="Si",VLOOKUP($D$8,'Tablas Técnicas'!$I$4:$J$6,2,FALSE),"")</f>
        <v/>
      </c>
      <c r="BR183" s="977" t="str">
        <f>IF(O183="Si",VLOOKUP($D$8,'Tablas Técnicas'!$I$7:$J$9,2,FALSE),"")</f>
        <v/>
      </c>
      <c r="BS183" s="994"/>
      <c r="BT183" s="1036"/>
      <c r="BU183" s="1074"/>
      <c r="BV183" s="1074"/>
      <c r="BW183" s="1074"/>
      <c r="BX183" s="951"/>
      <c r="BY183" s="1286"/>
      <c r="BZ183" s="1304"/>
      <c r="CA183" s="939"/>
      <c r="DR183" s="939"/>
      <c r="DT183" s="1325"/>
      <c r="DU183" s="1377"/>
      <c r="DV183" s="1376" t="str">
        <f>IF(E183="","",E183)&amp;IF(I183="No",""," (Mant.)")&amp;IF(L183="No",""," (Sme)")&amp;IF(O183="No",""," (SMa)")</f>
        <v/>
      </c>
      <c r="DW183" s="1377"/>
      <c r="DX183" s="1377"/>
      <c r="DY183" s="1324"/>
      <c r="DZ183" s="939"/>
      <c r="EA183" s="1470">
        <f t="shared" si="2"/>
        <v>1</v>
      </c>
    </row>
    <row r="184" spans="1:131" x14ac:dyDescent="0.2">
      <c r="A184" s="939"/>
      <c r="B184" s="939"/>
      <c r="C184" s="4822"/>
      <c r="D184" s="1453" t="s">
        <v>1766</v>
      </c>
      <c r="E184" s="1003"/>
      <c r="F184" s="1019"/>
      <c r="G184" s="989" t="str">
        <f>IF(E184=0,"",VLOOKUP(E184,'Tablas Técnicas'!$A$14:$V$771,3,FALSE))</f>
        <v/>
      </c>
      <c r="H184" s="3033" t="str">
        <f>IF($E184=0,"",VLOOKUP($E184,'Tablas Técnicas'!$A$14:$V$771,4,FALSE))</f>
        <v/>
      </c>
      <c r="I184" s="987" t="s">
        <v>1690</v>
      </c>
      <c r="J184" s="1411" t="str">
        <f>IF(E184=0,"",VLOOKUP(E184,'Tablas Técnicas'!$A$14:$V$771,5,FALSE))</f>
        <v/>
      </c>
      <c r="K184" s="1006" t="str">
        <f>IF(I184="Si",IF(E184=0,"",VLOOKUP(E184,'Tablas Técnicas'!$A$14:$V$771,5,FALSE)),"")</f>
        <v/>
      </c>
      <c r="L184" s="987" t="s">
        <v>1690</v>
      </c>
      <c r="M184" s="1411" t="str">
        <f>IF(E184=0,"",VLOOKUP(E184,'Tablas Técnicas'!$A$14:$V$771,6,FALSE))</f>
        <v/>
      </c>
      <c r="N184" s="990" t="str">
        <f>IF(L184="Si",IF(E184=0,"",VLOOKUP(E184,'Tablas Técnicas'!$A$14:$V$771,6,FALSE)),"")</f>
        <v/>
      </c>
      <c r="O184" s="987" t="s">
        <v>1690</v>
      </c>
      <c r="P184" s="1411" t="str">
        <f>IF(E184=0,"",VLOOKUP(E184,'Tablas Técnicas'!$A$14:$V$771,7,FALSE))</f>
        <v/>
      </c>
      <c r="Q184" s="990" t="str">
        <f>IF(O184="Si",IF(E184=0,"",VLOOKUP(E184,'Tablas Técnicas'!$A$14:$V$771,7,FALSE)),"")</f>
        <v/>
      </c>
      <c r="R184" s="1005" t="str">
        <f>IF(E184=0,"",VLOOKUP(E184,'Tablas Técnicas'!$A$14:$V$771,8,FALSE))</f>
        <v/>
      </c>
      <c r="S184" s="3033" t="str">
        <f>IF(R184=$D$8,$D$8,IF(R184=2,2,IF(R184=3,3,R184)))</f>
        <v/>
      </c>
      <c r="T184" s="4809"/>
      <c r="U184" s="4810"/>
      <c r="V184" s="3029" t="str">
        <f>IF(OR(V182=0,V182=""),"N/A",V182)</f>
        <v>N/A</v>
      </c>
      <c r="W184" s="4809" t="str">
        <f xml:space="preserve"> IF(OR(AF182=0,AF182=""),"N/A",W182)</f>
        <v>N/A</v>
      </c>
      <c r="X184" s="4811"/>
      <c r="Y184" s="4811"/>
      <c r="Z184" s="4811"/>
      <c r="AA184" s="4811"/>
      <c r="AB184" s="4811"/>
      <c r="AC184" s="4811"/>
      <c r="AD184" s="4811"/>
      <c r="AE184" s="4811"/>
      <c r="AF184" s="4810"/>
      <c r="AG184" s="4809" t="str">
        <f xml:space="preserve"> IF(OR(AP182="",AP182=0),"N/A",AG182)</f>
        <v>N/A</v>
      </c>
      <c r="AH184" s="4811"/>
      <c r="AI184" s="4811"/>
      <c r="AJ184" s="4811"/>
      <c r="AK184" s="4811"/>
      <c r="AL184" s="4811"/>
      <c r="AM184" s="4811"/>
      <c r="AN184" s="4811"/>
      <c r="AO184" s="4811"/>
      <c r="AP184" s="4810"/>
      <c r="AQ184" s="4809" t="str">
        <f xml:space="preserve"> IF(OR(AZ182="",AZ182=0),"N/A",AQ182)</f>
        <v>N/A</v>
      </c>
      <c r="AR184" s="4811"/>
      <c r="AS184" s="4811"/>
      <c r="AT184" s="4811"/>
      <c r="AU184" s="4811"/>
      <c r="AV184" s="4811"/>
      <c r="AW184" s="4811"/>
      <c r="AX184" s="4811"/>
      <c r="AY184" s="4811"/>
      <c r="AZ184" s="4810"/>
      <c r="BA184" s="4809" t="str">
        <f xml:space="preserve"> IF(OR(BJ182="",BJ182=0),"N/A",BA182)</f>
        <v>N/A</v>
      </c>
      <c r="BB184" s="4811"/>
      <c r="BC184" s="4811"/>
      <c r="BD184" s="4811"/>
      <c r="BE184" s="4811"/>
      <c r="BF184" s="4811"/>
      <c r="BG184" s="4811"/>
      <c r="BH184" s="4811"/>
      <c r="BI184" s="4811"/>
      <c r="BJ184" s="4810"/>
      <c r="BK184" s="1007" t="s">
        <v>4543</v>
      </c>
      <c r="BL184" s="989"/>
      <c r="BM184" s="1024"/>
      <c r="BN184" s="1008"/>
      <c r="BO184" s="1009"/>
      <c r="BP184" s="1010" t="str">
        <f>IF(I184="Si",VLOOKUP($D$8,'Tablas Técnicas'!$E$4:$F$6,2,FALSE),"")</f>
        <v/>
      </c>
      <c r="BQ184" s="980" t="str">
        <f>IF(L184="Si",VLOOKUP($D$8,'Tablas Técnicas'!$I$4:$J$6,2,FALSE),"")</f>
        <v/>
      </c>
      <c r="BR184" s="1011" t="str">
        <f>IF(O184="Si",VLOOKUP($D$8,'Tablas Técnicas'!$I$7:$J$9,2,FALSE),"")</f>
        <v/>
      </c>
      <c r="BS184" s="994"/>
      <c r="BU184" s="4776"/>
      <c r="BV184" s="4776"/>
      <c r="BW184" s="4776"/>
      <c r="BX184" s="951"/>
      <c r="BY184" s="1286"/>
      <c r="BZ184" s="1304"/>
      <c r="CA184" s="939"/>
      <c r="DR184" s="939"/>
      <c r="DT184" s="1325"/>
      <c r="DU184" s="1377"/>
      <c r="DV184" s="1376" t="str">
        <f>IF(E184="","",E184)&amp;IF(I184="No",""," (Mant.)")&amp;IF(L184="No",""," (Sme)")&amp;IF(O184="No",""," (SMa)")</f>
        <v/>
      </c>
      <c r="DW184" s="1377"/>
      <c r="DX184" s="1377"/>
      <c r="DY184" s="1324"/>
      <c r="DZ184" s="939"/>
      <c r="EA184" s="1470">
        <f t="shared" si="2"/>
        <v>1</v>
      </c>
    </row>
    <row r="185" spans="1:131" x14ac:dyDescent="0.2">
      <c r="A185" s="939"/>
      <c r="B185" s="939"/>
      <c r="C185" s="4822"/>
      <c r="D185" s="1452" t="s">
        <v>1766</v>
      </c>
      <c r="E185" s="995"/>
      <c r="F185" s="1025"/>
      <c r="G185" s="1437" t="str">
        <f>IF(E185=0,"",VLOOKUP(E185,'Tablas Técnicas'!$A$14:$V$771,3,FALSE))</f>
        <v/>
      </c>
      <c r="H185" s="998" t="str">
        <f>IF($E185=0,"",VLOOKUP($E185,'Tablas Técnicas'!$A$14:$V$771,4,FALSE))</f>
        <v/>
      </c>
      <c r="I185" s="999" t="s">
        <v>1690</v>
      </c>
      <c r="J185" s="1415" t="str">
        <f>IF(E185=0,"",VLOOKUP(E185,'Tablas Técnicas'!$A$14:$V$771,5,FALSE))</f>
        <v/>
      </c>
      <c r="K185" s="1001" t="str">
        <f>IF(I185="Si",IF(E185=0,"",VLOOKUP(E185,'Tablas Técnicas'!$A$14:$V$771,5,FALSE)),"")</f>
        <v/>
      </c>
      <c r="L185" s="999" t="s">
        <v>1690</v>
      </c>
      <c r="M185" s="1415" t="str">
        <f>IF(E185=0,"",VLOOKUP(E185,'Tablas Técnicas'!$A$14:$V$771,6,FALSE))</f>
        <v/>
      </c>
      <c r="N185" s="1002" t="str">
        <f>IF(L185="Si",IF(E185=0,"",VLOOKUP(E185,'Tablas Técnicas'!$A$14:$V$771,6,FALSE)),"")</f>
        <v/>
      </c>
      <c r="O185" s="999" t="s">
        <v>1690</v>
      </c>
      <c r="P185" s="1415" t="str">
        <f>IF(E185=0,"",VLOOKUP(E185,'Tablas Técnicas'!$A$14:$V$771,7,FALSE))</f>
        <v/>
      </c>
      <c r="Q185" s="1002" t="str">
        <f>IF(O185="Si",IF(E185=0,"",VLOOKUP(E185,'Tablas Técnicas'!$A$14:$V$771,7,FALSE)),"")</f>
        <v/>
      </c>
      <c r="R185" s="1000" t="str">
        <f>IF(E185=0,"",VLOOKUP(E185,'Tablas Técnicas'!$A$14:$V$771,8,FALSE))</f>
        <v/>
      </c>
      <c r="S185" s="998" t="str">
        <f>IF(R185=$D$8,$D$8,IF(R185=2,2,IF(R185=3,3,R185)))</f>
        <v/>
      </c>
      <c r="T185" s="4812" t="s">
        <v>4544</v>
      </c>
      <c r="U185" s="4813"/>
      <c r="V185" s="3025"/>
      <c r="W185" s="4814"/>
      <c r="X185" s="4815"/>
      <c r="Y185" s="4815"/>
      <c r="Z185" s="4815"/>
      <c r="AA185" s="4815"/>
      <c r="AB185" s="4815"/>
      <c r="AC185" s="4815"/>
      <c r="AD185" s="4815"/>
      <c r="AE185" s="4815"/>
      <c r="AF185" s="4816"/>
      <c r="AG185" s="4814"/>
      <c r="AH185" s="4815"/>
      <c r="AI185" s="4815"/>
      <c r="AJ185" s="4815"/>
      <c r="AK185" s="4815"/>
      <c r="AL185" s="4815"/>
      <c r="AM185" s="4815"/>
      <c r="AN185" s="4815"/>
      <c r="AO185" s="4815"/>
      <c r="AP185" s="4816"/>
      <c r="AQ185" s="4814"/>
      <c r="AR185" s="4815"/>
      <c r="AS185" s="4815"/>
      <c r="AT185" s="4815"/>
      <c r="AU185" s="4815"/>
      <c r="AV185" s="4815"/>
      <c r="AW185" s="4815"/>
      <c r="AX185" s="4815"/>
      <c r="AY185" s="4815"/>
      <c r="AZ185" s="4816"/>
      <c r="BA185" s="4814"/>
      <c r="BB185" s="4815"/>
      <c r="BC185" s="4815"/>
      <c r="BD185" s="4815"/>
      <c r="BE185" s="4815"/>
      <c r="BF185" s="4815"/>
      <c r="BG185" s="4815"/>
      <c r="BH185" s="4815"/>
      <c r="BI185" s="4815"/>
      <c r="BJ185" s="4816"/>
      <c r="BK185" s="998">
        <f>(SUM(G182:G186)+IF(AF182="",0,AF182)+IF(AP182="",0,AP182)+IF(AZ182="",0,AZ182)+IF(BJ182="",0,BJ182)+SUM(K182:K186)+SUM(N182:N186)+SUM(Q182:Q186))- SUM(V185:BA185)</f>
        <v>0</v>
      </c>
      <c r="BL185" s="1437"/>
      <c r="BM185" s="1438"/>
      <c r="BN185" s="992"/>
      <c r="BO185" s="993"/>
      <c r="BP185" s="978" t="str">
        <f>IF(I185="Si",VLOOKUP($D$8,'Tablas Técnicas'!$E$4:$F$6,2,FALSE),"")</f>
        <v/>
      </c>
      <c r="BQ185" s="979" t="str">
        <f>IF(L185="Si",VLOOKUP($D$8,'Tablas Técnicas'!$I$4:$J$6,2,FALSE),"")</f>
        <v/>
      </c>
      <c r="BR185" s="977" t="str">
        <f>IF(O185="Si",VLOOKUP($D$8,'Tablas Técnicas'!$I$7:$J$9,2,FALSE),"")</f>
        <v/>
      </c>
      <c r="BS185" s="994"/>
      <c r="BU185" s="1074"/>
      <c r="BV185" s="1074"/>
      <c r="BW185" s="1074"/>
      <c r="BX185" s="951"/>
      <c r="BY185" s="1286"/>
      <c r="BZ185" s="1304"/>
      <c r="CA185" s="943"/>
      <c r="DR185" s="943"/>
      <c r="DT185" s="1325"/>
      <c r="DU185" s="1432"/>
      <c r="DV185" s="1376" t="str">
        <f>IF(E185="","",E185)&amp;IF(I185="No",""," (Mant.)")&amp;IF(L185="No",""," (Sme)")&amp;IF(O185="No",""," (SMa)")</f>
        <v/>
      </c>
      <c r="DW185" s="1432"/>
      <c r="DX185" s="1432"/>
      <c r="DY185" s="1324"/>
      <c r="DZ185" s="943"/>
      <c r="EA185" s="1470">
        <f t="shared" si="2"/>
        <v>1</v>
      </c>
    </row>
    <row r="186" spans="1:131" x14ac:dyDescent="0.2">
      <c r="A186" s="939"/>
      <c r="B186" s="939"/>
      <c r="C186" s="4822"/>
      <c r="D186" s="1453" t="s">
        <v>1766</v>
      </c>
      <c r="E186" s="1003"/>
      <c r="F186" s="1019"/>
      <c r="G186" s="989" t="str">
        <f>IF(E186=0,"",VLOOKUP(E186,'Tablas Técnicas'!$A$14:$V$771,3,FALSE))</f>
        <v/>
      </c>
      <c r="H186" s="1004" t="str">
        <f>IF($E186=0,"",VLOOKUP($E186,'Tablas Técnicas'!$A$14:$V$771,4,FALSE))</f>
        <v/>
      </c>
      <c r="I186" s="987" t="s">
        <v>1690</v>
      </c>
      <c r="J186" s="1411" t="str">
        <f>IF(E186=0,"",VLOOKUP(E186,'Tablas Técnicas'!$A$14:$V$771,5,FALSE))</f>
        <v/>
      </c>
      <c r="K186" s="1006" t="str">
        <f>IF(I186="Si",IF(E186=0,"",VLOOKUP(E186,'Tablas Técnicas'!$A$14:$V$771,5,FALSE)),"")</f>
        <v/>
      </c>
      <c r="L186" s="987" t="s">
        <v>1690</v>
      </c>
      <c r="M186" s="1411" t="str">
        <f>IF(E186=0,"",VLOOKUP(E186,'Tablas Técnicas'!$A$14:$V$771,6,FALSE))</f>
        <v/>
      </c>
      <c r="N186" s="990" t="str">
        <f>IF(L186="Si",IF(E186=0,"",VLOOKUP(E186,'Tablas Técnicas'!$A$14:$V$771,6,FALSE)),"")</f>
        <v/>
      </c>
      <c r="O186" s="987" t="s">
        <v>1690</v>
      </c>
      <c r="P186" s="1411" t="str">
        <f>IF(E186=0,"",VLOOKUP(E186,'Tablas Técnicas'!$A$14:$V$771,7,FALSE))</f>
        <v/>
      </c>
      <c r="Q186" s="990" t="str">
        <f>IF(O186="Si",IF(E186=0,"",VLOOKUP(E186,'Tablas Técnicas'!$A$14:$V$771,7,FALSE)),"")</f>
        <v/>
      </c>
      <c r="R186" s="1005" t="str">
        <f>IF(E186=0,"",VLOOKUP(E186,'Tablas Técnicas'!$A$14:$V$771,8,FALSE))</f>
        <v/>
      </c>
      <c r="S186" s="1004" t="str">
        <f>IF(R186=$D$8,$D$8,IF(R186=2,2,IF(R186=3,3,R186)))</f>
        <v/>
      </c>
      <c r="T186" s="4817" t="s">
        <v>4546</v>
      </c>
      <c r="U186" s="4818"/>
      <c r="V186" s="3035"/>
      <c r="W186" s="4819"/>
      <c r="X186" s="4820"/>
      <c r="Y186" s="4820"/>
      <c r="Z186" s="4820"/>
      <c r="AA186" s="4820"/>
      <c r="AB186" s="4820"/>
      <c r="AC186" s="4820"/>
      <c r="AD186" s="4820"/>
      <c r="AE186" s="4820"/>
      <c r="AF186" s="4821"/>
      <c r="AG186" s="4819"/>
      <c r="AH186" s="4820"/>
      <c r="AI186" s="4820"/>
      <c r="AJ186" s="4820"/>
      <c r="AK186" s="4820"/>
      <c r="AL186" s="4820"/>
      <c r="AM186" s="4820"/>
      <c r="AN186" s="4820"/>
      <c r="AO186" s="4820"/>
      <c r="AP186" s="4821"/>
      <c r="AQ186" s="4819"/>
      <c r="AR186" s="4820"/>
      <c r="AS186" s="4820"/>
      <c r="AT186" s="4820"/>
      <c r="AU186" s="4820"/>
      <c r="AV186" s="4820"/>
      <c r="AW186" s="4820"/>
      <c r="AX186" s="4820"/>
      <c r="AY186" s="4820"/>
      <c r="AZ186" s="4821"/>
      <c r="BA186" s="4819"/>
      <c r="BB186" s="4820"/>
      <c r="BC186" s="4820"/>
      <c r="BD186" s="4820"/>
      <c r="BE186" s="4820"/>
      <c r="BF186" s="4820"/>
      <c r="BG186" s="4820"/>
      <c r="BH186" s="4820"/>
      <c r="BI186" s="4820"/>
      <c r="BJ186" s="4821"/>
      <c r="BK186" s="1004">
        <f>SUM(K182:K186)-SUM(V186:BA186)</f>
        <v>0</v>
      </c>
      <c r="BL186" s="989"/>
      <c r="BM186" s="1024"/>
      <c r="BN186" s="1008"/>
      <c r="BO186" s="1009"/>
      <c r="BP186" s="1010" t="str">
        <f>IF(I186="Si",VLOOKUP($D$8,'Tablas Técnicas'!$E$4:$F$6,2,FALSE),"")</f>
        <v/>
      </c>
      <c r="BQ186" s="980" t="str">
        <f>IF(L186="Si",VLOOKUP($D$8,'Tablas Técnicas'!$I$4:$J$6,2,FALSE),"")</f>
        <v/>
      </c>
      <c r="BR186" s="1011" t="str">
        <f>IF(O186="Si",VLOOKUP($D$8,'Tablas Técnicas'!$I$7:$J$9,2,FALSE),"")</f>
        <v/>
      </c>
      <c r="BS186" s="994"/>
      <c r="BU186" s="1074"/>
      <c r="BV186" s="1074"/>
      <c r="BW186" s="1074"/>
      <c r="BX186" s="951"/>
      <c r="BY186" s="1286"/>
      <c r="BZ186" s="1304"/>
      <c r="CA186" s="939"/>
      <c r="DR186" s="939"/>
      <c r="DT186" s="1325"/>
      <c r="DU186" s="1377"/>
      <c r="DV186" s="1376" t="str">
        <f>IF(E186="","",E186)&amp;IF(I186="No",""," (Mant.)")&amp;IF(L186="No",""," (Sme)")&amp;IF(O186="No",""," (SMa)")</f>
        <v/>
      </c>
      <c r="DW186" s="1377"/>
      <c r="DX186" s="1377"/>
      <c r="DY186" s="1324"/>
      <c r="DZ186" s="939"/>
      <c r="EA186" s="1470">
        <f t="shared" si="2"/>
        <v>1</v>
      </c>
    </row>
    <row r="187" spans="1:131" x14ac:dyDescent="0.2">
      <c r="A187" s="939"/>
      <c r="B187" s="939"/>
      <c r="C187" s="4822"/>
      <c r="D187" s="1455"/>
      <c r="E187" s="1404" t="s">
        <v>4553</v>
      </c>
      <c r="F187" s="1016"/>
      <c r="G187" s="1017"/>
      <c r="H187" s="2159">
        <f t="array" ref="H187">IF(AND(OR(ISNUMBER(SEARCH("Empatía Elemental ("&amp;BK182:BM182&amp;")",Principal!$AF$30))),SUM(H182:H186)&gt;=10),-5,0)</f>
        <v>0</v>
      </c>
      <c r="I187" s="1017"/>
      <c r="J187" s="1018"/>
      <c r="K187" s="1017"/>
      <c r="L187" s="1017"/>
      <c r="M187" s="1018"/>
      <c r="N187" s="1017"/>
      <c r="O187" s="1017"/>
      <c r="P187" s="1018"/>
      <c r="Q187" s="1017"/>
      <c r="R187" s="1018"/>
      <c r="S187" s="1017"/>
      <c r="T187" s="1017"/>
      <c r="U187" s="1037"/>
      <c r="V187" s="1037"/>
      <c r="W187" s="1037"/>
      <c r="X187" s="1037"/>
      <c r="Y187" s="1037"/>
      <c r="Z187" s="1037"/>
      <c r="AA187" s="1037"/>
      <c r="AB187" s="1037"/>
      <c r="AC187" s="1037"/>
      <c r="AD187" s="1037"/>
      <c r="AE187" s="1037"/>
      <c r="AF187" s="1037"/>
      <c r="AG187" s="1037"/>
      <c r="AH187" s="1037"/>
      <c r="AI187" s="1037"/>
      <c r="AJ187" s="1037"/>
      <c r="AK187" s="1037"/>
      <c r="AL187" s="1037"/>
      <c r="AM187" s="1037"/>
      <c r="AN187" s="1037"/>
      <c r="AO187" s="1037"/>
      <c r="AP187" s="1037"/>
      <c r="AQ187" s="1037"/>
      <c r="AR187" s="1037"/>
      <c r="AS187" s="1037"/>
      <c r="AT187" s="1037"/>
      <c r="AU187" s="1037"/>
      <c r="AV187" s="1037"/>
      <c r="AW187" s="1037"/>
      <c r="AX187" s="1037"/>
      <c r="AY187" s="1037"/>
      <c r="AZ187" s="1037"/>
      <c r="BA187" s="1037"/>
      <c r="BB187" s="1037"/>
      <c r="BC187" s="1037"/>
      <c r="BD187" s="1037"/>
      <c r="BE187" s="1037"/>
      <c r="BF187" s="1037"/>
      <c r="BG187" s="1037"/>
      <c r="BH187" s="1037"/>
      <c r="BI187" s="1037"/>
      <c r="BJ187" s="1037"/>
      <c r="BK187" s="4802"/>
      <c r="BL187" s="4802"/>
      <c r="BM187" s="4767"/>
      <c r="BN187" s="977">
        <f>SUM(K187:K190)</f>
        <v>0</v>
      </c>
      <c r="BO187" s="971">
        <f>IF(E187=0,"",(AF187+AP187+AZ187+BJ187))</f>
        <v>0</v>
      </c>
      <c r="BP187" s="978" t="str">
        <f>IF(I187="Si",VLOOKUP($D$8,'Tablas Técnicas'!$E$4:$F$6,2,FALSE),"")</f>
        <v/>
      </c>
      <c r="BQ187" s="979" t="str">
        <f>IF(L187="Si",VLOOKUP($D$8,'Tablas Técnicas'!$I$4:$J$6,2,FALSE),"")</f>
        <v/>
      </c>
      <c r="BR187" s="977" t="str">
        <f>IF(O187="Si",VLOOKUP($D$8,'Tablas Técnicas'!$I$7:$J$9,2,FALSE),"")</f>
        <v/>
      </c>
      <c r="BS187" s="994"/>
      <c r="BT187" s="4766" t="s">
        <v>4555</v>
      </c>
      <c r="BU187" s="4767"/>
      <c r="BV187" s="971"/>
      <c r="BW187" s="951"/>
      <c r="BX187" s="951"/>
      <c r="BY187" s="1286"/>
      <c r="BZ187" s="1304"/>
      <c r="CA187" s="939"/>
      <c r="DR187" s="939"/>
      <c r="DT187" s="1325"/>
      <c r="DU187" s="1377"/>
      <c r="DV187" s="1377"/>
      <c r="DW187" s="1377"/>
      <c r="DX187" s="1377"/>
      <c r="DY187" s="1324"/>
      <c r="DZ187" s="939"/>
      <c r="EA187" s="1470">
        <f t="shared" si="2"/>
        <v>1</v>
      </c>
    </row>
    <row r="188" spans="1:131" ht="12" x14ac:dyDescent="0.2">
      <c r="A188" s="939"/>
      <c r="B188" s="939"/>
      <c r="C188" s="4822"/>
      <c r="D188" s="1456" t="s">
        <v>4554</v>
      </c>
      <c r="E188" s="983"/>
      <c r="F188" s="1006"/>
      <c r="G188" s="1006"/>
      <c r="H188" s="1004" t="str">
        <f>IF(D156=0,"",IF(E188=0,"",VLOOKUP(E188,'Tablas Técnicas'!$A$14:$V$771,4,FALSE)))</f>
        <v/>
      </c>
      <c r="I188" s="1006"/>
      <c r="J188" s="1006"/>
      <c r="K188" s="1038"/>
      <c r="L188" s="1006"/>
      <c r="M188" s="1006"/>
      <c r="N188" s="1038"/>
      <c r="O188" s="1006"/>
      <c r="P188" s="1006"/>
      <c r="Q188" s="1006"/>
      <c r="R188" s="1005" t="str">
        <f>IF(E188=0,"",VLOOKUP(E188,'Tablas Técnicas'!$A$14:$V$771,8,FALSE))</f>
        <v/>
      </c>
      <c r="S188" s="1031" t="str">
        <f>IF(R188=$D$8,$D$8,IF(R188=2,2,IF(R188=3,3,R188)))</f>
        <v/>
      </c>
      <c r="T188" s="1006" t="str">
        <f>IF(E188=0,"",VLOOKUP(E188,'Tablas Técnicas'!$A$14:$V$771,9,FALSE))</f>
        <v/>
      </c>
      <c r="U188" s="1033" t="str">
        <f>IF(E188=0,"",VLOOKUP(E188,'Tablas Técnicas'!$A$14:$V$771,10,FALSE))</f>
        <v/>
      </c>
      <c r="V188" s="1034"/>
      <c r="W188" s="1034"/>
      <c r="X188" s="1033"/>
      <c r="Y188" s="1033"/>
      <c r="Z188" s="1033"/>
      <c r="AA188" s="1033"/>
      <c r="AB188" s="1033"/>
      <c r="AC188" s="1033"/>
      <c r="AD188" s="1033"/>
      <c r="AE188" s="1033"/>
      <c r="AF188" s="1033"/>
      <c r="AG188" s="4799" t="str">
        <f>IF(OR(E188='Tablas Técnicas'!A$678,E188='Tablas Técnicas'!A$679,E189='Tablas Técnicas'!A$678,E189='Tablas Técnicas'!A$679,E190='Tablas Técnicas'!A$678,E190='Tablas Técnicas'!A$679),"Selecciona la atadura elemental:","")</f>
        <v/>
      </c>
      <c r="AH188" s="4800"/>
      <c r="AI188" s="4800"/>
      <c r="AJ188" s="4800"/>
      <c r="AK188" s="4800"/>
      <c r="AL188" s="4800"/>
      <c r="AM188" s="4800"/>
      <c r="AN188" s="4800"/>
      <c r="AO188" s="4800"/>
      <c r="AP188" s="4800"/>
      <c r="AQ188" s="4800"/>
      <c r="AR188" s="4800"/>
      <c r="AS188" s="4800"/>
      <c r="AT188" s="4800"/>
      <c r="AU188" s="4800"/>
      <c r="AV188" s="4800"/>
      <c r="AW188" s="4800"/>
      <c r="AX188" s="4800"/>
      <c r="AY188" s="4800"/>
      <c r="AZ188" s="4800"/>
      <c r="BA188" s="4800"/>
      <c r="BB188" s="4800"/>
      <c r="BC188" s="4800"/>
      <c r="BD188" s="4800"/>
      <c r="BE188" s="4800"/>
      <c r="BF188" s="4800"/>
      <c r="BG188" s="4800"/>
      <c r="BH188" s="4800"/>
      <c r="BI188" s="4800"/>
      <c r="BJ188" s="4800"/>
      <c r="BK188" s="4801"/>
      <c r="BL188" s="1441"/>
      <c r="BM188" s="1441"/>
      <c r="BN188" s="1006"/>
      <c r="BO188" s="1006"/>
      <c r="BP188" s="1038"/>
      <c r="BQ188" s="1006"/>
      <c r="BR188" s="1006"/>
      <c r="BS188" s="1006"/>
      <c r="BT188" s="4768">
        <f>D156</f>
        <v>1</v>
      </c>
      <c r="BU188" s="4769"/>
      <c r="BV188" s="971">
        <f>IF(BV187=0,0,VLOOKUP(BV187,'Tablas Técnicas'!$M$4:$N$7,2,FALSE))</f>
        <v>0</v>
      </c>
      <c r="BW188" s="951"/>
      <c r="BX188" s="951"/>
      <c r="BY188" s="1286"/>
      <c r="BZ188" s="1304"/>
      <c r="CA188" s="939"/>
      <c r="DR188" s="939"/>
      <c r="DT188" s="1325"/>
      <c r="DU188" s="1377"/>
      <c r="DV188" s="1377"/>
      <c r="DW188" s="1377"/>
      <c r="DX188" s="1377"/>
      <c r="DY188" s="1324"/>
      <c r="DZ188" s="939"/>
      <c r="EA188" s="1470">
        <f t="shared" si="2"/>
        <v>1</v>
      </c>
    </row>
    <row r="189" spans="1:131" x14ac:dyDescent="0.2">
      <c r="A189" s="939"/>
      <c r="B189" s="939"/>
      <c r="C189" s="4822"/>
      <c r="D189" s="1452" t="s">
        <v>4556</v>
      </c>
      <c r="E189" s="1039"/>
      <c r="F189" s="1405"/>
      <c r="G189" s="1406"/>
      <c r="H189" s="996" t="str">
        <f>IF(VALUE(D156)&gt;1,IF(E189=0,"",VLOOKUP(E189,'Tablas Técnicas'!$A$14:$V$771,4,FALSE)),"")</f>
        <v/>
      </c>
      <c r="I189" s="1405"/>
      <c r="J189" s="1406"/>
      <c r="K189" s="1406"/>
      <c r="L189" s="1405"/>
      <c r="M189" s="1406"/>
      <c r="N189" s="1407"/>
      <c r="O189" s="1406"/>
      <c r="P189" s="1406"/>
      <c r="Q189" s="1406"/>
      <c r="R189" s="1000" t="str">
        <f>IF(E189=0,"",VLOOKUP(E189,'Tablas Técnicas'!$A$14:$V$771,8,FALSE))</f>
        <v/>
      </c>
      <c r="S189" s="998" t="str">
        <f>IF(R189=$D$8,$D$8,IF(R189=2,2,IF(R189=3,3,R189)))</f>
        <v/>
      </c>
      <c r="T189" s="1001" t="str">
        <f>IF(E189=0,"",VLOOKUP(E189,'Tablas Técnicas'!$A$14:$V$771,9,FALSE))</f>
        <v/>
      </c>
      <c r="U189" s="1001" t="str">
        <f>IF(E189=0,"",VLOOKUP(E189,'Tablas Técnicas'!$A$14:$V$771,10,FALSE))</f>
        <v/>
      </c>
      <c r="V189" s="1405"/>
      <c r="W189" s="1405"/>
      <c r="X189" s="1406"/>
      <c r="Y189" s="1406"/>
      <c r="Z189" s="1406"/>
      <c r="AA189" s="1406"/>
      <c r="AB189" s="1406"/>
      <c r="AC189" s="1406"/>
      <c r="AD189" s="1406"/>
      <c r="AE189" s="1406"/>
      <c r="AF189" s="1406"/>
      <c r="AG189" s="1408"/>
      <c r="AH189" s="1409"/>
      <c r="AI189" s="1409"/>
      <c r="AJ189" s="1409"/>
      <c r="AK189" s="1409"/>
      <c r="AL189" s="1409"/>
      <c r="AM189" s="1409"/>
      <c r="AN189" s="1409"/>
      <c r="AO189" s="1409"/>
      <c r="AP189" s="1407"/>
      <c r="AQ189" s="1409"/>
      <c r="AR189" s="1409"/>
      <c r="AS189" s="1409"/>
      <c r="AT189" s="1409"/>
      <c r="AU189" s="1409"/>
      <c r="AV189" s="1409"/>
      <c r="AW189" s="1409"/>
      <c r="AX189" s="1409"/>
      <c r="AY189" s="1409"/>
      <c r="AZ189" s="1410"/>
      <c r="BA189" s="1406"/>
      <c r="BB189" s="1406"/>
      <c r="BC189" s="1406"/>
      <c r="BD189" s="1406"/>
      <c r="BE189" s="1406"/>
      <c r="BF189" s="1406"/>
      <c r="BG189" s="1406"/>
      <c r="BH189" s="1406"/>
      <c r="BI189" s="1406"/>
      <c r="BJ189" s="1407"/>
      <c r="BK189" s="1406"/>
      <c r="BL189" s="1442"/>
      <c r="BM189" s="1443"/>
      <c r="BN189" s="1406"/>
      <c r="BO189" s="1406"/>
      <c r="BP189" s="1407"/>
      <c r="BQ189" s="1406"/>
      <c r="BR189" s="1406"/>
      <c r="BS189" s="1406"/>
      <c r="BU189" s="3026"/>
      <c r="BV189" s="971"/>
      <c r="BW189" s="951"/>
      <c r="BX189" s="951"/>
      <c r="BY189" s="1286"/>
      <c r="BZ189" s="1304"/>
      <c r="CA189" s="939"/>
      <c r="DR189" s="939"/>
      <c r="DT189" s="1325"/>
      <c r="DU189" s="1377"/>
      <c r="DV189" s="1377"/>
      <c r="DW189" s="1377"/>
      <c r="DX189" s="1377"/>
      <c r="DY189" s="1324"/>
      <c r="DZ189" s="939"/>
      <c r="EA189" s="1470">
        <f t="shared" si="2"/>
        <v>1</v>
      </c>
    </row>
    <row r="190" spans="1:131" x14ac:dyDescent="0.2">
      <c r="A190" s="939"/>
      <c r="B190" s="939"/>
      <c r="C190" s="4822"/>
      <c r="D190" s="1457" t="s">
        <v>4557</v>
      </c>
      <c r="E190" s="1040"/>
      <c r="F190" s="3030"/>
      <c r="G190" s="1015"/>
      <c r="H190" s="1014" t="str">
        <f>IF(VALUE(D156)=3,IF(E190=0,"",VLOOKUP(E190,'Tablas Técnicas'!$A$14:$V$771,4,FALSE)),"")</f>
        <v/>
      </c>
      <c r="I190" s="1015"/>
      <c r="J190" s="1015"/>
      <c r="K190" s="1015"/>
      <c r="L190" s="3030"/>
      <c r="M190" s="1015"/>
      <c r="N190" s="1015"/>
      <c r="O190" s="3030"/>
      <c r="P190" s="1015"/>
      <c r="Q190" s="1015"/>
      <c r="R190" s="1035" t="str">
        <f>IF(E190=0,"",VLOOKUP(E190,'Tablas Técnicas'!$A$14:$V$771,8,FALSE))</f>
        <v/>
      </c>
      <c r="S190" s="1014" t="str">
        <f>IF(R190=$D$8,$D$8,IF(R190=2,2,IF(R190=3,3,R190)))</f>
        <v/>
      </c>
      <c r="T190" s="1015" t="str">
        <f>IF(E190=0,"",VLOOKUP(E190,'Tablas Técnicas'!$A$14:$V$771,9,FALSE))</f>
        <v/>
      </c>
      <c r="U190" s="1015" t="str">
        <f>IF(E190=0,"",VLOOKUP(E190,'Tablas Técnicas'!$A$14:$V$771,10,FALSE))</f>
        <v/>
      </c>
      <c r="V190" s="3030"/>
      <c r="W190" s="1298"/>
      <c r="X190" s="1298"/>
      <c r="Y190" s="1298"/>
      <c r="Z190" s="1298"/>
      <c r="AA190" s="1298"/>
      <c r="AB190" s="1298"/>
      <c r="AC190" s="1298"/>
      <c r="AD190" s="1298"/>
      <c r="AE190" s="1298"/>
      <c r="AF190" s="1299"/>
      <c r="AG190" s="3030"/>
      <c r="AH190" s="1015"/>
      <c r="AI190" s="1015"/>
      <c r="AJ190" s="1015"/>
      <c r="AK190" s="1015"/>
      <c r="AL190" s="1015"/>
      <c r="AM190" s="1015"/>
      <c r="AN190" s="1015"/>
      <c r="AO190" s="1015"/>
      <c r="AP190" s="3031"/>
      <c r="AQ190" s="1015"/>
      <c r="AR190" s="1015"/>
      <c r="AS190" s="1015"/>
      <c r="AT190" s="1015"/>
      <c r="AU190" s="1015"/>
      <c r="AV190" s="1015"/>
      <c r="AW190" s="1015"/>
      <c r="AX190" s="1015"/>
      <c r="AY190" s="1015"/>
      <c r="AZ190" s="3031"/>
      <c r="BA190" s="1015"/>
      <c r="BB190" s="1015"/>
      <c r="BC190" s="1015"/>
      <c r="BD190" s="1015"/>
      <c r="BE190" s="1015"/>
      <c r="BF190" s="1015"/>
      <c r="BG190" s="1015"/>
      <c r="BH190" s="1015"/>
      <c r="BI190" s="1015"/>
      <c r="BJ190" s="3031"/>
      <c r="BK190" s="1015"/>
      <c r="BL190" s="1439"/>
      <c r="BM190" s="1444"/>
      <c r="BN190" s="1015"/>
      <c r="BO190" s="1015"/>
      <c r="BP190" s="1015"/>
      <c r="BQ190" s="3030"/>
      <c r="BR190" s="1015"/>
      <c r="BS190" s="1015"/>
      <c r="BT190" s="3026"/>
      <c r="BU190" s="3026"/>
      <c r="BV190" s="971">
        <f>IF(BV189=0,0,VLOOKUP(BV189,'Tablas Técnicas'!$M$4:$N$7,2,FALSE))</f>
        <v>0</v>
      </c>
      <c r="BW190" s="951"/>
      <c r="BX190" s="951"/>
      <c r="BY190" s="1286"/>
      <c r="BZ190" s="1304"/>
      <c r="CA190" s="943"/>
      <c r="DR190" s="943"/>
      <c r="DT190" s="1328"/>
      <c r="DU190" s="1433"/>
      <c r="DV190" s="1433"/>
      <c r="DW190" s="1433"/>
      <c r="DX190" s="1433"/>
      <c r="DY190" s="1329"/>
      <c r="DZ190" s="943"/>
      <c r="EA190" s="1470">
        <f t="shared" si="2"/>
        <v>1</v>
      </c>
    </row>
    <row r="191" spans="1:131" x14ac:dyDescent="0.2">
      <c r="A191" s="943"/>
      <c r="B191" s="943"/>
      <c r="C191" s="4822"/>
      <c r="D191" s="1458"/>
      <c r="E191" s="3026"/>
      <c r="F191" s="951"/>
      <c r="G191" s="3026"/>
      <c r="H191" s="3026"/>
      <c r="I191" s="951"/>
      <c r="J191" s="3026"/>
      <c r="K191" s="3026"/>
      <c r="L191" s="3026"/>
      <c r="M191" s="3026"/>
      <c r="N191" s="3026"/>
      <c r="O191" s="3026"/>
      <c r="P191" s="3026"/>
      <c r="Q191" s="3026"/>
      <c r="R191" s="3026"/>
      <c r="S191" s="3026"/>
      <c r="T191" s="3026"/>
      <c r="U191" s="3026"/>
      <c r="V191" s="3026"/>
      <c r="W191" s="3026"/>
      <c r="X191" s="3026"/>
      <c r="Y191" s="3026"/>
      <c r="Z191" s="3026"/>
      <c r="AA191" s="3026"/>
      <c r="AB191" s="3026"/>
      <c r="AC191" s="3026"/>
      <c r="AD191" s="3026"/>
      <c r="AE191" s="3026"/>
      <c r="AF191" s="3026"/>
      <c r="AG191" s="3026"/>
      <c r="AH191" s="3026"/>
      <c r="AI191" s="3026"/>
      <c r="AJ191" s="3026"/>
      <c r="AK191" s="3026"/>
      <c r="AL191" s="3026"/>
      <c r="AM191" s="3026"/>
      <c r="AN191" s="3026"/>
      <c r="AO191" s="3026"/>
      <c r="AP191" s="3026"/>
      <c r="AQ191" s="3026"/>
      <c r="AR191" s="3026"/>
      <c r="AS191" s="3026"/>
      <c r="AT191" s="3026"/>
      <c r="AU191" s="3026"/>
      <c r="AV191" s="3026"/>
      <c r="AW191" s="3026"/>
      <c r="AX191" s="3026"/>
      <c r="AY191" s="3026"/>
      <c r="AZ191" s="3026"/>
      <c r="BA191" s="3026"/>
      <c r="BB191" s="3026"/>
      <c r="BC191" s="3026"/>
      <c r="BD191" s="3026"/>
      <c r="BE191" s="3026"/>
      <c r="BF191" s="3026"/>
      <c r="BG191" s="3026"/>
      <c r="BH191" s="3026"/>
      <c r="BI191" s="3026"/>
      <c r="BJ191" s="3026"/>
      <c r="BK191" s="3026"/>
      <c r="BL191" s="3026"/>
      <c r="BM191" s="3026"/>
      <c r="BN191" s="944">
        <f>SUM(BN196:BN211)</f>
        <v>0</v>
      </c>
      <c r="BO191" s="944">
        <f>SUM(BO196:BO211)</f>
        <v>0</v>
      </c>
      <c r="BP191" s="944">
        <f>SUM(BP196:BP211)</f>
        <v>0</v>
      </c>
      <c r="BQ191" s="944">
        <f>SUM(BQ196:BQ211)</f>
        <v>0</v>
      </c>
      <c r="BR191" s="944">
        <f>SUM(BR196:BR211)</f>
        <v>0</v>
      </c>
      <c r="BS191" s="1041"/>
      <c r="BU191" s="3026"/>
      <c r="BW191" s="951"/>
      <c r="BX191" s="951"/>
      <c r="BY191" s="960"/>
      <c r="BZ191" s="1304"/>
      <c r="CA191" s="939"/>
      <c r="DR191" s="939"/>
      <c r="DT191" s="1325"/>
      <c r="DU191" s="1377"/>
      <c r="DV191" s="1377"/>
      <c r="DW191" s="1377"/>
      <c r="DX191" s="1377"/>
      <c r="DY191" s="1324"/>
      <c r="DZ191" s="939"/>
      <c r="EA191" s="1470">
        <f t="shared" si="2"/>
        <v>1</v>
      </c>
    </row>
    <row r="192" spans="1:131" ht="11.25" customHeight="1" x14ac:dyDescent="0.2">
      <c r="A192" s="939"/>
      <c r="B192" s="939"/>
      <c r="C192" s="4822"/>
      <c r="D192" s="1450" t="s">
        <v>7698</v>
      </c>
      <c r="E192" s="2941"/>
      <c r="F192" s="957"/>
      <c r="G192" s="957"/>
      <c r="H192" s="957"/>
      <c r="I192" s="957"/>
      <c r="J192" s="958"/>
      <c r="K192" s="957"/>
      <c r="L192" s="957"/>
      <c r="M192" s="958"/>
      <c r="N192" s="957"/>
      <c r="O192" s="957"/>
      <c r="P192" s="958"/>
      <c r="Q192" s="957"/>
      <c r="R192" s="958"/>
      <c r="S192" s="957"/>
      <c r="T192" s="957"/>
      <c r="U192" s="957"/>
      <c r="V192" s="957"/>
      <c r="W192" s="951"/>
      <c r="X192" s="958"/>
      <c r="Y192" s="958"/>
      <c r="Z192" s="958"/>
      <c r="AA192" s="958"/>
      <c r="AB192" s="958"/>
      <c r="AC192" s="958"/>
      <c r="AD192" s="958"/>
      <c r="AE192" s="958"/>
      <c r="AF192" s="957"/>
      <c r="AG192" s="951"/>
      <c r="AH192" s="958"/>
      <c r="AI192" s="958"/>
      <c r="AJ192" s="958"/>
      <c r="AK192" s="958"/>
      <c r="AL192" s="958"/>
      <c r="AM192" s="958"/>
      <c r="AN192" s="958"/>
      <c r="AO192" s="958"/>
      <c r="AP192" s="951"/>
      <c r="AQ192" s="951"/>
      <c r="AR192" s="958"/>
      <c r="AS192" s="958"/>
      <c r="AT192" s="958"/>
      <c r="AU192" s="958"/>
      <c r="AV192" s="958"/>
      <c r="AW192" s="958"/>
      <c r="AX192" s="958"/>
      <c r="AY192" s="958"/>
      <c r="AZ192" s="951"/>
      <c r="BA192" s="951"/>
      <c r="BB192" s="958"/>
      <c r="BC192" s="958"/>
      <c r="BD192" s="958"/>
      <c r="BE192" s="958"/>
      <c r="BF192" s="958"/>
      <c r="BG192" s="958"/>
      <c r="BH192" s="958"/>
      <c r="BI192" s="958"/>
      <c r="BJ192" s="951"/>
      <c r="BK192" s="951"/>
      <c r="BL192" s="951"/>
      <c r="BM192" s="951"/>
      <c r="BN192" s="944">
        <f>SUM(BN194:BN227)</f>
        <v>0</v>
      </c>
      <c r="BO192" s="944">
        <f>SUM(BO194:BO227)</f>
        <v>0</v>
      </c>
      <c r="BP192" s="944">
        <f>MAX(BP194:BP227)</f>
        <v>0</v>
      </c>
      <c r="BQ192" s="944">
        <f>MAX(BQ194:BQ227)</f>
        <v>0</v>
      </c>
      <c r="BR192" s="944">
        <f>MAX(BR194:BR227)</f>
        <v>0</v>
      </c>
      <c r="BS192" s="959"/>
      <c r="BU192" s="3026"/>
      <c r="BV192" s="961"/>
      <c r="BW192" s="951"/>
      <c r="BX192" s="951"/>
      <c r="BY192" s="1286"/>
      <c r="BZ192" s="1304"/>
      <c r="CA192" s="939"/>
      <c r="DR192" s="939"/>
      <c r="DT192" s="1325"/>
      <c r="DU192" s="1377"/>
      <c r="DV192" s="1377"/>
      <c r="DW192" s="1377"/>
      <c r="DX192" s="1377"/>
      <c r="DY192" s="1324"/>
      <c r="DZ192" s="939"/>
      <c r="EA192" s="1470">
        <f t="shared" si="2"/>
        <v>1</v>
      </c>
    </row>
    <row r="193" spans="1:132" ht="11.25" customHeight="1" thickBot="1" x14ac:dyDescent="0.25">
      <c r="A193" s="939"/>
      <c r="B193" s="939"/>
      <c r="C193" s="4822"/>
      <c r="D193" s="1451">
        <v>1</v>
      </c>
      <c r="E193" s="962" t="s">
        <v>8064</v>
      </c>
      <c r="F193" s="963" t="s">
        <v>1789</v>
      </c>
      <c r="G193" s="964" t="s">
        <v>1790</v>
      </c>
      <c r="H193" s="964" t="s">
        <v>1811</v>
      </c>
      <c r="I193" s="965" t="s">
        <v>3334</v>
      </c>
      <c r="J193" s="966"/>
      <c r="K193" s="967"/>
      <c r="L193" s="965" t="s">
        <v>3335</v>
      </c>
      <c r="M193" s="966"/>
      <c r="N193" s="967"/>
      <c r="O193" s="965" t="s">
        <v>3336</v>
      </c>
      <c r="P193" s="966"/>
      <c r="Q193" s="967"/>
      <c r="R193" s="968" t="s">
        <v>4533</v>
      </c>
      <c r="S193" s="964" t="s">
        <v>3304</v>
      </c>
      <c r="T193" s="3036" t="s">
        <v>1708</v>
      </c>
      <c r="U193" s="3036" t="s">
        <v>1679</v>
      </c>
      <c r="V193" s="3036" t="s">
        <v>3337</v>
      </c>
      <c r="W193" s="4794" t="s">
        <v>3338</v>
      </c>
      <c r="X193" s="4794"/>
      <c r="Y193" s="4794"/>
      <c r="Z193" s="4794"/>
      <c r="AA193" s="4794"/>
      <c r="AB193" s="4794"/>
      <c r="AC193" s="4794"/>
      <c r="AD193" s="4794"/>
      <c r="AE193" s="4794"/>
      <c r="AF193" s="4794"/>
      <c r="AG193" s="4794"/>
      <c r="AH193" s="4794"/>
      <c r="AI193" s="4794"/>
      <c r="AJ193" s="4794"/>
      <c r="AK193" s="4794"/>
      <c r="AL193" s="4794"/>
      <c r="AM193" s="4794"/>
      <c r="AN193" s="4794"/>
      <c r="AO193" s="4794"/>
      <c r="AP193" s="4794"/>
      <c r="AQ193" s="4794"/>
      <c r="AR193" s="4794"/>
      <c r="AS193" s="4794"/>
      <c r="AT193" s="4794"/>
      <c r="AU193" s="4794"/>
      <c r="AV193" s="4794"/>
      <c r="AW193" s="4794"/>
      <c r="AX193" s="4794"/>
      <c r="AY193" s="4794"/>
      <c r="AZ193" s="4794"/>
      <c r="BA193" s="4794"/>
      <c r="BB193" s="4794"/>
      <c r="BC193" s="4794"/>
      <c r="BD193" s="4794"/>
      <c r="BE193" s="4794"/>
      <c r="BF193" s="4794"/>
      <c r="BG193" s="4794"/>
      <c r="BH193" s="4794"/>
      <c r="BI193" s="4794"/>
      <c r="BJ193" s="4794"/>
      <c r="BK193" s="4794" t="s">
        <v>3339</v>
      </c>
      <c r="BL193" s="4794"/>
      <c r="BM193" s="4795"/>
      <c r="BN193" s="969" t="s">
        <v>4534</v>
      </c>
      <c r="BO193" s="969" t="s">
        <v>4535</v>
      </c>
      <c r="BP193" s="969" t="s">
        <v>4536</v>
      </c>
      <c r="BQ193" s="969" t="s">
        <v>4537</v>
      </c>
      <c r="BR193" s="969" t="s">
        <v>4538</v>
      </c>
      <c r="BS193" s="970" t="s">
        <v>4539</v>
      </c>
      <c r="BT193" s="4770" t="s">
        <v>4540</v>
      </c>
      <c r="BU193" s="4771"/>
      <c r="BV193" s="971"/>
      <c r="BW193" s="951"/>
      <c r="BX193" s="951"/>
      <c r="BY193" s="1286"/>
      <c r="BZ193" s="1304"/>
      <c r="CA193" s="939"/>
      <c r="DR193" s="939"/>
      <c r="DT193" s="1325"/>
      <c r="DU193" s="1377"/>
      <c r="DV193" s="1377"/>
      <c r="DW193" s="1377"/>
      <c r="DX193" s="1377"/>
      <c r="DY193" s="1324"/>
      <c r="DZ193" s="939"/>
      <c r="EB193" s="2158">
        <f>D193</f>
        <v>1</v>
      </c>
    </row>
    <row r="194" spans="1:132" x14ac:dyDescent="0.2">
      <c r="A194" s="972"/>
      <c r="B194" s="1403"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822"/>
      <c r="D194" s="1452">
        <v>1</v>
      </c>
      <c r="E194" s="1246"/>
      <c r="F194" s="973"/>
      <c r="G194" s="974"/>
      <c r="H194" s="974"/>
      <c r="I194" s="974"/>
      <c r="J194" s="975"/>
      <c r="K194" s="974"/>
      <c r="L194" s="974"/>
      <c r="M194" s="975"/>
      <c r="N194" s="974"/>
      <c r="O194" s="974"/>
      <c r="P194" s="975"/>
      <c r="Q194" s="974"/>
      <c r="R194" s="975"/>
      <c r="S194" s="974"/>
      <c r="T194" s="974"/>
      <c r="U194" s="974"/>
      <c r="V194" s="974"/>
      <c r="W194" s="974"/>
      <c r="X194" s="974"/>
      <c r="Y194" s="974"/>
      <c r="Z194" s="974"/>
      <c r="AA194" s="974"/>
      <c r="AB194" s="974"/>
      <c r="AC194" s="974"/>
      <c r="AD194" s="974"/>
      <c r="AE194" s="974"/>
      <c r="AF194" s="974"/>
      <c r="AG194" s="974"/>
      <c r="AH194" s="974"/>
      <c r="AI194" s="974"/>
      <c r="AJ194" s="974"/>
      <c r="AK194" s="974"/>
      <c r="AL194" s="974"/>
      <c r="AM194" s="974"/>
      <c r="AN194" s="974"/>
      <c r="AO194" s="974"/>
      <c r="AP194" s="974"/>
      <c r="AQ194" s="974"/>
      <c r="AR194" s="974"/>
      <c r="AS194" s="974"/>
      <c r="AT194" s="974"/>
      <c r="AU194" s="974"/>
      <c r="AV194" s="974"/>
      <c r="AW194" s="974"/>
      <c r="AX194" s="974"/>
      <c r="AY194" s="974"/>
      <c r="AZ194" s="974"/>
      <c r="BA194" s="974"/>
      <c r="BB194" s="974"/>
      <c r="BC194" s="974"/>
      <c r="BD194" s="974"/>
      <c r="BE194" s="974"/>
      <c r="BF194" s="974"/>
      <c r="BG194" s="974"/>
      <c r="BH194" s="974"/>
      <c r="BI194" s="974"/>
      <c r="BJ194" s="974"/>
      <c r="BK194" s="974"/>
      <c r="BL194" s="974"/>
      <c r="BM194" s="976"/>
      <c r="BN194" s="977">
        <f>SUM(K194:K197)</f>
        <v>0</v>
      </c>
      <c r="BO194" s="971" t="str">
        <f>IF(E194=0,"",(AF194+AP194+AZ194+BJ194))</f>
        <v/>
      </c>
      <c r="BP194" s="978" t="str">
        <f>IF(I194="Si",VLOOKUP($D$8,'Tablas Técnicas'!$E$4:$F$6,2,FALSE),"")</f>
        <v/>
      </c>
      <c r="BQ194" s="979" t="str">
        <f>IF(L194="Si",VLOOKUP($D$8,'Tablas Técnicas'!$I$4:$J$6,2,FALSE),"")</f>
        <v/>
      </c>
      <c r="BR194" s="977" t="str">
        <f>IF(O194="Si",VLOOKUP($D$8,'Tablas Técnicas'!$I$7:$J$9,2,FALSE),"")</f>
        <v/>
      </c>
      <c r="BS194" s="980">
        <f>VLOOKUP(D193,'Tablas Técnicas'!$P$6:$R$8,3)</f>
        <v>50</v>
      </c>
      <c r="BT194" s="981">
        <f>VLOOKUP(D193,'Tablas Técnicas'!$P$6:$R$8,3,FALSE)</f>
        <v>50</v>
      </c>
      <c r="BU194" s="982">
        <f>VLOOKUP(D193,'Tablas Técnicas'!$P$6:$R$8,2,FALSE)</f>
        <v>20</v>
      </c>
      <c r="BV194" s="971">
        <f>IF(D193=0,"",VLOOKUP(D193,'Tablas Técnicas'!$L$4:$N$7,2,FALSE))</f>
        <v>3</v>
      </c>
      <c r="BW194" s="951"/>
      <c r="BX194" s="951"/>
      <c r="BY194" s="1286"/>
      <c r="BZ194" s="1304"/>
      <c r="CA194" s="939"/>
      <c r="DR194" s="939"/>
      <c r="DT194" s="1325"/>
      <c r="DU194" s="1424" t="s">
        <v>1801</v>
      </c>
      <c r="DV194" s="1425" t="s">
        <v>3315</v>
      </c>
      <c r="DW194" s="1425" t="s">
        <v>3301</v>
      </c>
      <c r="DX194" s="1426" t="s">
        <v>7701</v>
      </c>
      <c r="DY194" s="1324"/>
      <c r="DZ194" s="939"/>
      <c r="EA194" s="1470">
        <f>EB193</f>
        <v>1</v>
      </c>
    </row>
    <row r="195" spans="1:132" x14ac:dyDescent="0.2">
      <c r="A195" s="939"/>
      <c r="B195" s="939"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822"/>
      <c r="D195" s="1453" t="s">
        <v>1766</v>
      </c>
      <c r="E195" s="983"/>
      <c r="F195" s="984" t="str">
        <f>IF(E195=0,"",VLOOKUP(E195,'Tablas Técnicas'!$A$14:$V$771,2,FALSE))</f>
        <v/>
      </c>
      <c r="G195" s="985"/>
      <c r="H195" s="986" t="str">
        <f>IF($E195=0,"",VLOOKUP($E195,'Tablas Técnicas'!$A$14:$V$771,4,FALSE))</f>
        <v/>
      </c>
      <c r="I195" s="987" t="s">
        <v>1690</v>
      </c>
      <c r="J195" s="1412" t="str">
        <f>IF(E195=0,"",VLOOKUP(E195,'Tablas Técnicas'!$A$14:$V$771,5,FALSE))</f>
        <v/>
      </c>
      <c r="K195" s="989" t="str">
        <f>IF(I195="Si",IF(E195=0,"",VLOOKUP(E195,'Tablas Técnicas'!$A$14:$V$771,5,FALSE)),"")</f>
        <v/>
      </c>
      <c r="L195" s="987" t="s">
        <v>1690</v>
      </c>
      <c r="M195" s="1412" t="str">
        <f>IF(E195=0,"",VLOOKUP(E195,'Tablas Técnicas'!$A$14:$V$771,6,FALSE))</f>
        <v/>
      </c>
      <c r="N195" s="990" t="str">
        <f>IF(L195="Si",IF(E195=0,"",VLOOKUP(E195,'Tablas Técnicas'!$A$14:$V$771,6,FALSE)),"")</f>
        <v/>
      </c>
      <c r="O195" s="987" t="s">
        <v>1690</v>
      </c>
      <c r="P195" s="1412" t="str">
        <f>IF(E195=0,"",VLOOKUP(E195,'Tablas Técnicas'!$A$14:$V$771,7,FALSE))</f>
        <v/>
      </c>
      <c r="Q195" s="990" t="str">
        <f>IF(O195="Si",IF(E195=0,"",VLOOKUP(E195,'Tablas Técnicas'!$A$14:$V$771,7,FALSE)),"")</f>
        <v/>
      </c>
      <c r="R195" s="988" t="str">
        <f>IF(E195=0,"",VLOOKUP(E195,'Tablas Técnicas'!$A$14:$V$771,8,FALSE))</f>
        <v/>
      </c>
      <c r="S195" s="986" t="str">
        <f>IF(R195=$D$8,$D$8,IF(R195=2,2,IF(R195=3,3,R195)))</f>
        <v/>
      </c>
      <c r="T195" s="989" t="str">
        <f>IF(E195=0,"",VLOOKUP(E195,'Tablas Técnicas'!$A$14:$V$771,9,FALSE))</f>
        <v/>
      </c>
      <c r="U195" s="989" t="str">
        <f>IF(E195=0,"",VLOOKUP(E195,'Tablas Técnicas'!$A$14:$V$771,10,FALSE))</f>
        <v/>
      </c>
      <c r="V195" s="984" t="str">
        <f>IF(E195=0,"",VLOOKUP(E195,'Tablas Técnicas'!$A$14:$V$771,11,FALSE))</f>
        <v/>
      </c>
      <c r="W195" s="987"/>
      <c r="X195" s="988" t="e">
        <f>VLOOKUP(E195,'Tablas Técnicas'!$A$14:$V$771,12,FALSE)</f>
        <v>#N/A</v>
      </c>
      <c r="Y195" s="988" t="e">
        <f>IF(W195=X195,VLOOKUP(E195,'Tablas Técnicas'!$A$14:$V$771,13,FALSE),0)</f>
        <v>#N/A</v>
      </c>
      <c r="Z195" s="988" t="e">
        <f>VLOOKUP(E195,'Tablas Técnicas'!$A$14:$V$771,14,FALSE)</f>
        <v>#N/A</v>
      </c>
      <c r="AA195" s="988" t="e">
        <f>IF(W195=Z195,VLOOKUP(E195,'Tablas Técnicas'!$A$14:$V$616,15,FALSE),0)</f>
        <v>#N/A</v>
      </c>
      <c r="AB195" s="988" t="e">
        <f>VLOOKUP(E195,'Tablas Técnicas'!$A$14:$V$771,16,FALSE)</f>
        <v>#N/A</v>
      </c>
      <c r="AC195" s="988" t="e">
        <f>IF(W195=AB195,VLOOKUP(E195,'Tablas Técnicas'!$A$14:$V$616,17,FALSE),0)</f>
        <v>#N/A</v>
      </c>
      <c r="AD195" s="988" t="e">
        <f>VLOOKUP(E195,'Tablas Técnicas'!$A$14:$V$771,18,FALSE)</f>
        <v>#N/A</v>
      </c>
      <c r="AE195" s="988" t="e">
        <f>IF(W195=AD195,VLOOKUP(E195,'Tablas Técnicas'!$A$14:$V$771,19,FALSE),0)</f>
        <v>#N/A</v>
      </c>
      <c r="AF195" s="990" t="str">
        <f>IF(E195=0,"",(Y195+AA195+AC195+AE195))</f>
        <v/>
      </c>
      <c r="AG195" s="987"/>
      <c r="AH195" s="988" t="e">
        <f>VLOOKUP(E195,'Tablas Técnicas'!$A$14:$V$771,12,FALSE)</f>
        <v>#N/A</v>
      </c>
      <c r="AI195" s="988" t="e">
        <f>IF(AG195=AH195,VLOOKUP(E195,'Tablas Técnicas'!$A$14:$V$771,13,FALSE),0)</f>
        <v>#N/A</v>
      </c>
      <c r="AJ195" s="988" t="e">
        <f>VLOOKUP(E195,'Tablas Técnicas'!$A$14:$V$771,14,FALSE)</f>
        <v>#N/A</v>
      </c>
      <c r="AK195" s="988" t="e">
        <f>IF(AG195=AJ195,VLOOKUP(E195,'Tablas Técnicas'!$A$14:$V$771,15,FALSE),0)</f>
        <v>#N/A</v>
      </c>
      <c r="AL195" s="988" t="e">
        <f>VLOOKUP(E195,'Tablas Técnicas'!$A$14:$V$771,16,FALSE)</f>
        <v>#N/A</v>
      </c>
      <c r="AM195" s="988" t="e">
        <f>IF(AG195=AL195,VLOOKUP(E195,'Tablas Técnicas'!$A$14:$V$771,17,FALSE),0)</f>
        <v>#N/A</v>
      </c>
      <c r="AN195" s="988" t="e">
        <f>VLOOKUP(E195,'Tablas Técnicas'!$A$14:$V$771,18,FALSE)</f>
        <v>#N/A</v>
      </c>
      <c r="AO195" s="988" t="e">
        <f>IF(AG195=AN195,VLOOKUP(E195,'Tablas Técnicas'!$A$14:$V$771,19,FALSE),0)</f>
        <v>#N/A</v>
      </c>
      <c r="AP195" s="990" t="str">
        <f>IF(E195=0,"",(AI195+AK195+AM195+AO195))</f>
        <v/>
      </c>
      <c r="AQ195" s="987"/>
      <c r="AR195" s="988" t="e">
        <f>VLOOKUP(E195,'Tablas Técnicas'!$A$14:$V$771,12,FALSE)</f>
        <v>#N/A</v>
      </c>
      <c r="AS195" s="988" t="e">
        <f>IF(AQ195=AR195,VLOOKUP(E195,'Tablas Técnicas'!$A$14:$V$771,13,FALSE),0)</f>
        <v>#N/A</v>
      </c>
      <c r="AT195" s="988" t="e">
        <f>VLOOKUP(E195,'Tablas Técnicas'!$A$14:$V$771,14,FALSE)</f>
        <v>#N/A</v>
      </c>
      <c r="AU195" s="988" t="e">
        <f>IF(AQ195=AT195,VLOOKUP(E195,'Tablas Técnicas'!$A$14:$V$771,15,FALSE),0)</f>
        <v>#N/A</v>
      </c>
      <c r="AV195" s="988" t="e">
        <f>VLOOKUP(E195,'Tablas Técnicas'!$A$14:$V$771,16,FALSE)</f>
        <v>#N/A</v>
      </c>
      <c r="AW195" s="988" t="e">
        <f>IF(AQ195=AV195,VLOOKUP(E195,'Tablas Técnicas'!$A$14:$V$771,17,FALSE),0)</f>
        <v>#N/A</v>
      </c>
      <c r="AX195" s="988" t="e">
        <f>VLOOKUP(E195,'Tablas Técnicas'!$A$14:$V$771,18,FALSE)</f>
        <v>#N/A</v>
      </c>
      <c r="AY195" s="988" t="e">
        <f>IF(AQ195=AX195,VLOOKUP(E195,'Tablas Técnicas'!$A$14:$V$771,19,FALSE),0)</f>
        <v>#N/A</v>
      </c>
      <c r="AZ195" s="989" t="str">
        <f>IF(E195=0,"",(AS195+AU195+AW195+AY195))</f>
        <v/>
      </c>
      <c r="BA195" s="987"/>
      <c r="BB195" s="988" t="e">
        <f>VLOOKUP(E195,'Tablas Técnicas'!$A$14:$V$771,12,FALSE)</f>
        <v>#N/A</v>
      </c>
      <c r="BC195" s="988" t="e">
        <f>IF(BA195=BB195,VLOOKUP(E195,'Tablas Técnicas'!$A$14:$V$771,13,FALSE),0)</f>
        <v>#N/A</v>
      </c>
      <c r="BD195" s="988" t="e">
        <f>VLOOKUP(E195,'Tablas Técnicas'!$A$14:$V$771,14,FALSE)</f>
        <v>#N/A</v>
      </c>
      <c r="BE195" s="988" t="e">
        <f>IF(BA195=BD195,VLOOKUP(E195,'Tablas Técnicas'!$A$14:$V$771,15,FALSE),0)</f>
        <v>#N/A</v>
      </c>
      <c r="BF195" s="988" t="e">
        <f>VLOOKUP(E195,'Tablas Técnicas'!$A$14:$V$771,16,FALSE)</f>
        <v>#N/A</v>
      </c>
      <c r="BG195" s="988" t="e">
        <f>IF(BA195=BF195,VLOOKUP(E195,'Tablas Técnicas'!$A$14:$V$771,17,FALSE),0)</f>
        <v>#N/A</v>
      </c>
      <c r="BH195" s="988" t="e">
        <f>VLOOKUP(E195,'Tablas Técnicas'!$A$14:$V$771,18,FALSE)</f>
        <v>#N/A</v>
      </c>
      <c r="BI195" s="988" t="e">
        <f>IF(BA195=BH195,VLOOKUP(E195,'Tablas Técnicas'!$A$14:$V$771,19,FALSE),0)</f>
        <v>#N/A</v>
      </c>
      <c r="BJ195" s="990" t="str">
        <f>IF(E195=0,"",(BC195+BE195+BG195+BI195))</f>
        <v/>
      </c>
      <c r="BK195" s="989" t="str">
        <f>IF(E195=0,"",VLOOKUP(E195,'Tablas Técnicas'!$A$14:$V$771,20,FALSE))</f>
        <v/>
      </c>
      <c r="BL195" s="989" t="str">
        <f>IF(E195=0,"",VLOOKUP(E195,'Tablas Técnicas'!$A$14:$V$771,21,FALSE))</f>
        <v/>
      </c>
      <c r="BM195" s="991" t="str">
        <f>IF(E195=0,"",VLOOKUP(E195,'Tablas Técnicas'!$A$14:$V$771,22,FALSE))</f>
        <v/>
      </c>
      <c r="BN195" s="992"/>
      <c r="BO195" s="993"/>
      <c r="BP195" s="978" t="str">
        <f>IF(I195="Si",VLOOKUP($D$8,'Tablas Técnicas'!$E$4:$F$6,2,FALSE),"")</f>
        <v/>
      </c>
      <c r="BQ195" s="979" t="str">
        <f>IF(L195="Si",VLOOKUP($D$8,'Tablas Técnicas'!$I$4:$J$6,2,FALSE),"")</f>
        <v/>
      </c>
      <c r="BR195" s="977" t="str">
        <f>IF(O195="Si",VLOOKUP($D$8,'Tablas Técnicas'!$I$7:$J$9,2,FALSE),"")</f>
        <v/>
      </c>
      <c r="BS195" s="994"/>
      <c r="BT195" s="4770" t="s">
        <v>4541</v>
      </c>
      <c r="BU195" s="4771"/>
      <c r="BV195" s="971"/>
      <c r="BX195" s="951"/>
      <c r="BY195" s="1286"/>
      <c r="BZ195" s="1304"/>
      <c r="CA195" s="939"/>
      <c r="DR195" s="939"/>
      <c r="DT195" s="1325"/>
      <c r="DU195" s="1375" t="str">
        <f>IF(BW208="N/A","",BT207&amp;" "&amp;BW208&amp;IF(BY208="N/A"," "," ("&amp;BY208&amp;") "))</f>
        <v/>
      </c>
      <c r="DV195" s="1376" t="str">
        <f>IF(E195="","",E195)&amp;IF(I195="No",""," (Mant.)")&amp;IF(L195="No",""," (Sme)")&amp;IF(O195="No",""," (SMa)")</f>
        <v/>
      </c>
      <c r="DW195" s="1377" t="str">
        <f>IF(E225="","",E225)</f>
        <v/>
      </c>
      <c r="DX195" s="4778"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24"/>
      <c r="DZ195" s="939"/>
      <c r="EA195" s="1470">
        <f t="shared" si="2"/>
        <v>1</v>
      </c>
    </row>
    <row r="196" spans="1:132" ht="12.75" customHeight="1" x14ac:dyDescent="0.2">
      <c r="A196" s="939"/>
      <c r="B196" s="939"/>
      <c r="C196" s="4822"/>
      <c r="D196" s="1452" t="s">
        <v>1766</v>
      </c>
      <c r="E196" s="995"/>
      <c r="F196" s="996" t="str">
        <f>IF(E196=0,"",VLOOKUP(E196,'Tablas Técnicas'!$A$14:$V$771,2,FALSE))</f>
        <v/>
      </c>
      <c r="G196" s="997"/>
      <c r="H196" s="998" t="str">
        <f>IF($E196=0,"",VLOOKUP($E196,'Tablas Técnicas'!$A$14:$V$771,4,FALSE))</f>
        <v/>
      </c>
      <c r="I196" s="999" t="s">
        <v>1690</v>
      </c>
      <c r="J196" s="1415" t="str">
        <f>IF(E196=0,"",VLOOKUP(E196,'Tablas Técnicas'!$A$14:$V$771,5,FALSE))</f>
        <v/>
      </c>
      <c r="K196" s="1001" t="str">
        <f>IF(I196="Si",IF(E196=0,"",VLOOKUP(E196,'Tablas Técnicas'!$A$14:$V$771,5,FALSE)),"")</f>
        <v/>
      </c>
      <c r="L196" s="999" t="s">
        <v>1690</v>
      </c>
      <c r="M196" s="1415" t="str">
        <f>IF(E196=0,"",VLOOKUP(E196,'Tablas Técnicas'!$A$14:$V$771,6,FALSE))</f>
        <v/>
      </c>
      <c r="N196" s="1002" t="str">
        <f>IF(L196="Si",IF(E196=0,"",VLOOKUP(E196,'Tablas Técnicas'!$A$14:$V$771,6,FALSE)),"")</f>
        <v/>
      </c>
      <c r="O196" s="999" t="s">
        <v>1690</v>
      </c>
      <c r="P196" s="1415" t="str">
        <f>IF(E196=0,"",VLOOKUP(E196,'Tablas Técnicas'!$A$14:$V$771,7,FALSE))</f>
        <v/>
      </c>
      <c r="Q196" s="1002" t="str">
        <f>IF(O196="Si",IF(E196=0,"",VLOOKUP(E196,'Tablas Técnicas'!$A$14:$V$771,7,FALSE)),"")</f>
        <v/>
      </c>
      <c r="R196" s="1000" t="str">
        <f>IF(E196=0,"",VLOOKUP(E196,'Tablas Técnicas'!$A$14:$V$771,8,FALSE))</f>
        <v/>
      </c>
      <c r="S196" s="998" t="str">
        <f>IF(R196=$D$8,$D$8,IF(R196=2,2,IF(R196=3,3,R196)))</f>
        <v/>
      </c>
      <c r="T196" s="4796" t="s">
        <v>4542</v>
      </c>
      <c r="U196" s="4797"/>
      <c r="V196" s="4797"/>
      <c r="W196" s="4797"/>
      <c r="X196" s="4797"/>
      <c r="Y196" s="4797"/>
      <c r="Z196" s="4797"/>
      <c r="AA196" s="4797"/>
      <c r="AB196" s="4797"/>
      <c r="AC196" s="4797"/>
      <c r="AD196" s="4797"/>
      <c r="AE196" s="4797"/>
      <c r="AF196" s="4797"/>
      <c r="AG196" s="4797"/>
      <c r="AH196" s="4797"/>
      <c r="AI196" s="4797"/>
      <c r="AJ196" s="4797"/>
      <c r="AK196" s="4797"/>
      <c r="AL196" s="4797"/>
      <c r="AM196" s="4797"/>
      <c r="AN196" s="4797"/>
      <c r="AO196" s="4797"/>
      <c r="AP196" s="4797"/>
      <c r="AQ196" s="4797"/>
      <c r="AR196" s="4797"/>
      <c r="AS196" s="4797"/>
      <c r="AT196" s="4797"/>
      <c r="AU196" s="4797"/>
      <c r="AV196" s="4797"/>
      <c r="AW196" s="4797"/>
      <c r="AX196" s="4797"/>
      <c r="AY196" s="4797"/>
      <c r="AZ196" s="4797"/>
      <c r="BA196" s="4797"/>
      <c r="BB196" s="4797"/>
      <c r="BC196" s="4797"/>
      <c r="BD196" s="4797"/>
      <c r="BE196" s="4797"/>
      <c r="BF196" s="4797"/>
      <c r="BG196" s="4797"/>
      <c r="BH196" s="4797"/>
      <c r="BI196" s="4797"/>
      <c r="BJ196" s="4797"/>
      <c r="BK196" s="4798"/>
      <c r="BL196" s="1437"/>
      <c r="BM196" s="1438"/>
      <c r="BN196" s="992"/>
      <c r="BO196" s="993"/>
      <c r="BP196" s="978" t="str">
        <f>IF(I196="Si",VLOOKUP($D$8,'Tablas Técnicas'!$E$4:$F$6,2,FALSE),"")</f>
        <v/>
      </c>
      <c r="BQ196" s="979" t="str">
        <f>IF(L196="Si",VLOOKUP($D$8,'Tablas Técnicas'!$I$4:$J$6,2,FALSE),"")</f>
        <v/>
      </c>
      <c r="BR196" s="977" t="str">
        <f>IF(O196="Si",VLOOKUP($D$8,'Tablas Técnicas'!$I$7:$J$9,2,FALSE),"")</f>
        <v/>
      </c>
      <c r="BS196" s="994"/>
      <c r="BT196" s="4772">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773"/>
      <c r="BV196" s="971"/>
      <c r="BX196" s="951"/>
      <c r="BY196" s="1286"/>
      <c r="BZ196" s="1304"/>
      <c r="CA196" s="939"/>
      <c r="DR196" s="939"/>
      <c r="DT196" s="1325"/>
      <c r="DU196" s="1375" t="str">
        <f>IF(BW210="N/A","",BT209&amp;" "&amp;BW210&amp;IF(BY210="N/A"," "," ("&amp;BY210&amp;") "))</f>
        <v/>
      </c>
      <c r="DV196" s="1376" t="str">
        <f>IF(E196="",""," "&amp;E196)&amp;IF(I196="No",""," (Mant.)")&amp;IF(L196="No",""," (Sme)")&amp;IF(O196="No",""," (SMa)")</f>
        <v/>
      </c>
      <c r="DW196" s="1377" t="str">
        <f>IF(E226="","",", "&amp;E226)</f>
        <v/>
      </c>
      <c r="DX196" s="4778"/>
      <c r="DY196" s="1324"/>
      <c r="DZ196" s="939"/>
      <c r="EA196" s="1470">
        <f t="shared" si="2"/>
        <v>1</v>
      </c>
    </row>
    <row r="197" spans="1:132" x14ac:dyDescent="0.2">
      <c r="A197" s="939"/>
      <c r="B197" s="939"/>
      <c r="C197" s="4822"/>
      <c r="D197" s="1453" t="s">
        <v>1766</v>
      </c>
      <c r="E197" s="1003"/>
      <c r="F197" s="3033" t="str">
        <f>IF(E197=0,"",VLOOKUP(E197,'Tablas Técnicas'!$A$14:$V$771,2,FALSE))</f>
        <v/>
      </c>
      <c r="G197" s="985"/>
      <c r="H197" s="1004" t="str">
        <f>IF($E197=0,"",VLOOKUP($E197,'Tablas Técnicas'!$A$14:$V$771,4,FALSE))</f>
        <v/>
      </c>
      <c r="I197" s="987" t="s">
        <v>1690</v>
      </c>
      <c r="J197" s="1411" t="str">
        <f>IF(E197=0,"",VLOOKUP(E197,'Tablas Técnicas'!$A$14:$V$771,5,FALSE))</f>
        <v/>
      </c>
      <c r="K197" s="1006" t="str">
        <f>IF(I197="Si",IF(E197=0,"",VLOOKUP(E197,'Tablas Técnicas'!$A$14:$V$771,5,FALSE)),"")</f>
        <v/>
      </c>
      <c r="L197" s="987" t="s">
        <v>1690</v>
      </c>
      <c r="M197" s="1411" t="str">
        <f>IF(E197=0,"",VLOOKUP(E197,'Tablas Técnicas'!$A$14:$V$771,6,FALSE))</f>
        <v/>
      </c>
      <c r="N197" s="990" t="str">
        <f>IF(L197="Si",IF(E197=0,"",VLOOKUP(E197,'Tablas Técnicas'!$A$14:$V$771,6,FALSE)),"")</f>
        <v/>
      </c>
      <c r="O197" s="987" t="s">
        <v>1690</v>
      </c>
      <c r="P197" s="1411" t="str">
        <f>IF(E197=0,"",VLOOKUP(E197,'Tablas Técnicas'!$A$14:$V$771,7,FALSE))</f>
        <v/>
      </c>
      <c r="Q197" s="990" t="str">
        <f>IF(O197="Si",IF(E197=0,"",VLOOKUP(E197,'Tablas Técnicas'!$A$14:$V$771,7,FALSE)),"")</f>
        <v/>
      </c>
      <c r="R197" s="1005" t="str">
        <f>IF(E197=0,"",VLOOKUP(E197,'Tablas Técnicas'!$A$14:$V$771,8,FALSE))</f>
        <v/>
      </c>
      <c r="S197" s="3033" t="str">
        <f>IF(R197=$D$8,$D$8,IF(R197=2,2,IF(R197=3,3,R197)))</f>
        <v/>
      </c>
      <c r="T197" s="4809"/>
      <c r="U197" s="4810"/>
      <c r="V197" s="3029" t="str">
        <f>IF(OR(V195=0,V195=""),"N/A",V195)</f>
        <v>N/A</v>
      </c>
      <c r="W197" s="4809" t="str">
        <f xml:space="preserve"> IF(OR(AF195=0,AF195=""),"N/A",W195)</f>
        <v>N/A</v>
      </c>
      <c r="X197" s="4811"/>
      <c r="Y197" s="4811"/>
      <c r="Z197" s="4811"/>
      <c r="AA197" s="4811"/>
      <c r="AB197" s="4811"/>
      <c r="AC197" s="4811"/>
      <c r="AD197" s="4811"/>
      <c r="AE197" s="4811"/>
      <c r="AF197" s="4810"/>
      <c r="AG197" s="4809" t="str">
        <f xml:space="preserve"> IF(OR(AP195="",AP195=0),"N/A",AG195)</f>
        <v>N/A</v>
      </c>
      <c r="AH197" s="4811"/>
      <c r="AI197" s="4811"/>
      <c r="AJ197" s="4811"/>
      <c r="AK197" s="4811"/>
      <c r="AL197" s="4811"/>
      <c r="AM197" s="4811"/>
      <c r="AN197" s="4811"/>
      <c r="AO197" s="4811"/>
      <c r="AP197" s="4810"/>
      <c r="AQ197" s="4809" t="str">
        <f xml:space="preserve"> IF(OR(AZ195="",AZ195=0),"N/A",AQ195)</f>
        <v>N/A</v>
      </c>
      <c r="AR197" s="4811"/>
      <c r="AS197" s="4811"/>
      <c r="AT197" s="4811"/>
      <c r="AU197" s="4811"/>
      <c r="AV197" s="4811"/>
      <c r="AW197" s="4811"/>
      <c r="AX197" s="4811"/>
      <c r="AY197" s="4811"/>
      <c r="AZ197" s="4810"/>
      <c r="BA197" s="4809" t="str">
        <f xml:space="preserve"> IF(OR(BJ195="",BJ195=0),"N/A",BA195)</f>
        <v>N/A</v>
      </c>
      <c r="BB197" s="4811"/>
      <c r="BC197" s="4811"/>
      <c r="BD197" s="4811"/>
      <c r="BE197" s="4811"/>
      <c r="BF197" s="4811"/>
      <c r="BG197" s="4811"/>
      <c r="BH197" s="4811"/>
      <c r="BI197" s="4811"/>
      <c r="BJ197" s="4810"/>
      <c r="BK197" s="1007" t="s">
        <v>4543</v>
      </c>
      <c r="BL197" s="989"/>
      <c r="BM197" s="1024"/>
      <c r="BN197" s="1008"/>
      <c r="BO197" s="1009"/>
      <c r="BP197" s="1010" t="str">
        <f>IF(I197="Si",VLOOKUP($D$8,'Tablas Técnicas'!$E$4:$F$6,2,FALSE),"")</f>
        <v/>
      </c>
      <c r="BQ197" s="980" t="str">
        <f>IF(L197="Si",VLOOKUP($D$8,'Tablas Técnicas'!$I$4:$J$6,2,FALSE),"")</f>
        <v/>
      </c>
      <c r="BR197" s="1011" t="str">
        <f>IF(O197="Si",VLOOKUP($D$8,'Tablas Técnicas'!$I$7:$J$9,2,FALSE),"")</f>
        <v/>
      </c>
      <c r="BS197" s="1012"/>
      <c r="BU197" s="3026"/>
      <c r="BV197" s="971"/>
      <c r="BW197" s="951"/>
      <c r="BX197" s="951"/>
      <c r="BY197" s="1286"/>
      <c r="BZ197" s="1304"/>
      <c r="CA197" s="939"/>
      <c r="DR197" s="939"/>
      <c r="DT197" s="1325"/>
      <c r="DU197" s="1375" t="str">
        <f>IF(BW212="N/A","",BT211&amp;" "&amp;BW212&amp;IF(BY212="N/A"," "," ("&amp;BY212&amp;") "))</f>
        <v/>
      </c>
      <c r="DV197" s="1376" t="str">
        <f>IF(E197="","",E197)&amp;IF(I197="No",""," (Mant.)")&amp;IF(L197="No",""," (Sme)")&amp;IF(O197="No",""," (SMa)")</f>
        <v/>
      </c>
      <c r="DW197" s="1377" t="str">
        <f>IF(E227="","",", "&amp;E227)</f>
        <v/>
      </c>
      <c r="DX197" s="4778"/>
      <c r="DY197" s="1324"/>
      <c r="DZ197" s="939"/>
      <c r="EA197" s="1470">
        <f t="shared" si="2"/>
        <v>1</v>
      </c>
    </row>
    <row r="198" spans="1:132" x14ac:dyDescent="0.2">
      <c r="A198" s="939"/>
      <c r="B198" s="939"/>
      <c r="C198" s="4822"/>
      <c r="D198" s="1452" t="s">
        <v>1766</v>
      </c>
      <c r="E198" s="995"/>
      <c r="F198" s="996" t="str">
        <f>IF(E198=0,"",VLOOKUP(E198,'Tablas Técnicas'!$A$14:$V$771,2,FALSE))</f>
        <v/>
      </c>
      <c r="G198" s="997"/>
      <c r="H198" s="998" t="str">
        <f>IF($E198=0,"",VLOOKUP($E198,'Tablas Técnicas'!$A$14:$V$771,4,FALSE))</f>
        <v/>
      </c>
      <c r="I198" s="999" t="s">
        <v>1690</v>
      </c>
      <c r="J198" s="1415" t="str">
        <f>IF(E198=0,"",VLOOKUP(E198,'Tablas Técnicas'!$A$14:$V$771,5,FALSE))</f>
        <v/>
      </c>
      <c r="K198" s="1001" t="str">
        <f>IF(I198="Si",IF(E198=0,"",VLOOKUP(E198,'Tablas Técnicas'!$A$14:$V$771,5,FALSE)),"")</f>
        <v/>
      </c>
      <c r="L198" s="999" t="s">
        <v>1690</v>
      </c>
      <c r="M198" s="1415" t="str">
        <f>IF(E198=0,"",VLOOKUP(E198,'Tablas Técnicas'!$A$14:$V$771,6,FALSE))</f>
        <v/>
      </c>
      <c r="N198" s="1002" t="str">
        <f>IF(L198="Si",IF(E198=0,"",VLOOKUP(E198,'Tablas Técnicas'!$A$14:$V$771,6,FALSE)),"")</f>
        <v/>
      </c>
      <c r="O198" s="999" t="s">
        <v>1690</v>
      </c>
      <c r="P198" s="1415" t="str">
        <f>IF(E198=0,"",VLOOKUP(E198,'Tablas Técnicas'!$A$14:$V$771,7,FALSE))</f>
        <v/>
      </c>
      <c r="Q198" s="1002" t="str">
        <f>IF(O198="Si",IF(E198=0,"",VLOOKUP(E198,'Tablas Técnicas'!$A$14:$V$771,7,FALSE)),"")</f>
        <v/>
      </c>
      <c r="R198" s="1000" t="str">
        <f>IF(E198=0,"",VLOOKUP(E198,'Tablas Técnicas'!$A$14:$V$771,8,FALSE))</f>
        <v/>
      </c>
      <c r="S198" s="998" t="str">
        <f>IF(R198=$D$8,$D$8,IF(R198=2,2,IF(R198=3,3,R198)))</f>
        <v/>
      </c>
      <c r="T198" s="4812" t="s">
        <v>4544</v>
      </c>
      <c r="U198" s="4813"/>
      <c r="V198" s="3025"/>
      <c r="W198" s="4814"/>
      <c r="X198" s="4815"/>
      <c r="Y198" s="4815"/>
      <c r="Z198" s="4815"/>
      <c r="AA198" s="4815"/>
      <c r="AB198" s="4815"/>
      <c r="AC198" s="4815"/>
      <c r="AD198" s="4815"/>
      <c r="AE198" s="4815"/>
      <c r="AF198" s="4816"/>
      <c r="AG198" s="4814"/>
      <c r="AH198" s="4815"/>
      <c r="AI198" s="4815"/>
      <c r="AJ198" s="4815"/>
      <c r="AK198" s="4815"/>
      <c r="AL198" s="4815"/>
      <c r="AM198" s="4815"/>
      <c r="AN198" s="4815"/>
      <c r="AO198" s="4815"/>
      <c r="AP198" s="4816"/>
      <c r="AQ198" s="4814"/>
      <c r="AR198" s="4815"/>
      <c r="AS198" s="4815"/>
      <c r="AT198" s="4815"/>
      <c r="AU198" s="4815"/>
      <c r="AV198" s="4815"/>
      <c r="AW198" s="4815"/>
      <c r="AX198" s="4815"/>
      <c r="AY198" s="4815"/>
      <c r="AZ198" s="4816"/>
      <c r="BA198" s="4814"/>
      <c r="BB198" s="4815"/>
      <c r="BC198" s="4815"/>
      <c r="BD198" s="4815"/>
      <c r="BE198" s="4815"/>
      <c r="BF198" s="4815"/>
      <c r="BG198" s="4815"/>
      <c r="BH198" s="4815"/>
      <c r="BI198" s="4815"/>
      <c r="BJ198" s="4816"/>
      <c r="BK198" s="998">
        <f>(SUM(F195:F199)+IF(AF195="",0,AF195)+IF(AP195="",0,AP195)+IF(AZ195="",0,AZ195)+IF(BJ195="",0,BJ195)+SUM(K195:K199)+SUM(N195:N199)+SUM(Q195:Q199))- SUM(V198:BA198)</f>
        <v>0</v>
      </c>
      <c r="BL198" s="1437"/>
      <c r="BM198" s="1438"/>
      <c r="BN198" s="992"/>
      <c r="BO198" s="993"/>
      <c r="BP198" s="978" t="str">
        <f>IF(I198="Si",VLOOKUP($D$8,'Tablas Técnicas'!$E$4:$F$6,2,FALSE),"")</f>
        <v/>
      </c>
      <c r="BQ198" s="979" t="str">
        <f>IF(L198="Si",VLOOKUP($D$8,'Tablas Técnicas'!$I$4:$J$6,2,FALSE),"")</f>
        <v/>
      </c>
      <c r="BR198" s="977" t="str">
        <f>IF(O198="Si",VLOOKUP($D$8,'Tablas Técnicas'!$I$7:$J$9,2,FALSE),"")</f>
        <v/>
      </c>
      <c r="BS198" s="994"/>
      <c r="BT198" s="4770" t="s">
        <v>4545</v>
      </c>
      <c r="BU198" s="4771"/>
      <c r="BV198" s="971"/>
      <c r="BW198" s="951"/>
      <c r="BX198" s="951"/>
      <c r="BY198" s="1286"/>
      <c r="BZ198" s="1304"/>
      <c r="CA198" s="939"/>
      <c r="DR198" s="939"/>
      <c r="DT198" s="1325"/>
      <c r="DU198" s="1375" t="str">
        <f>IF(BW214="N/A","",BT213&amp;" "&amp;BW214&amp;IF(BY214="N/A"," "," ("&amp;BY214&amp;") "))</f>
        <v/>
      </c>
      <c r="DV198" s="1376" t="str">
        <f>IF(E198="","",E198)&amp;IF(I198="No",""," (Mant.)")&amp;IF(L198="No",""," (Sme)")&amp;IF(O198="No",""," (SMa)")</f>
        <v/>
      </c>
      <c r="DW198" s="1377"/>
      <c r="DX198" s="4778"/>
      <c r="DY198" s="1324"/>
      <c r="DZ198" s="939"/>
      <c r="EA198" s="1470">
        <f t="shared" si="2"/>
        <v>1</v>
      </c>
    </row>
    <row r="199" spans="1:132" x14ac:dyDescent="0.2">
      <c r="A199" s="939"/>
      <c r="B199" s="939"/>
      <c r="C199" s="4822"/>
      <c r="D199" s="1453" t="s">
        <v>1766</v>
      </c>
      <c r="E199" s="1003"/>
      <c r="F199" s="3033" t="str">
        <f>IF(E199=0,"",VLOOKUP(E199,'Tablas Técnicas'!$A$14:$V$771,2,FALSE))</f>
        <v/>
      </c>
      <c r="G199" s="985"/>
      <c r="H199" s="1004" t="str">
        <f>IF($E199=0,"",VLOOKUP($E199,'Tablas Técnicas'!$A$14:$V$771,4,FALSE))</f>
        <v/>
      </c>
      <c r="I199" s="987" t="s">
        <v>1690</v>
      </c>
      <c r="J199" s="1411" t="str">
        <f>IF(E199=0,"",VLOOKUP(E199,'Tablas Técnicas'!$A$14:$V$771,5,FALSE))</f>
        <v/>
      </c>
      <c r="K199" s="1006" t="str">
        <f>IF(I199="Si",IF(E199=0,"",VLOOKUP(E199,'Tablas Técnicas'!$A$14:$V$771,5,FALSE)),"")</f>
        <v/>
      </c>
      <c r="L199" s="987" t="s">
        <v>1690</v>
      </c>
      <c r="M199" s="1411" t="str">
        <f>IF(E199=0,"",VLOOKUP(E199,'Tablas Técnicas'!$A$14:$V$771,6,FALSE))</f>
        <v/>
      </c>
      <c r="N199" s="990" t="str">
        <f>IF(L199="Si",IF(E199=0,"",VLOOKUP(E199,'Tablas Técnicas'!$A$14:$V$771,6,FALSE)),"")</f>
        <v/>
      </c>
      <c r="O199" s="987" t="s">
        <v>1690</v>
      </c>
      <c r="P199" s="1411" t="str">
        <f>IF(E199=0,"",VLOOKUP(E199,'Tablas Técnicas'!$A$14:$V$771,7,FALSE))</f>
        <v/>
      </c>
      <c r="Q199" s="990" t="str">
        <f>IF(O199="Si",IF(E199=0,"",VLOOKUP(E199,'Tablas Técnicas'!$A$14:$V$771,7,FALSE)),"")</f>
        <v/>
      </c>
      <c r="R199" s="1005" t="str">
        <f>IF(E199=0,"",VLOOKUP(E199,'Tablas Técnicas'!$A$14:$V$771,8,FALSE))</f>
        <v/>
      </c>
      <c r="S199" s="1004" t="str">
        <f>IF(R199=$D$8,$D$8,IF(R199=2,2,IF(R199=3,3,R199)))</f>
        <v/>
      </c>
      <c r="T199" s="4803" t="s">
        <v>4546</v>
      </c>
      <c r="U199" s="4804"/>
      <c r="V199" s="3032"/>
      <c r="W199" s="4805"/>
      <c r="X199" s="4806"/>
      <c r="Y199" s="4806"/>
      <c r="Z199" s="4806"/>
      <c r="AA199" s="4806"/>
      <c r="AB199" s="4806"/>
      <c r="AC199" s="4806"/>
      <c r="AD199" s="4806"/>
      <c r="AE199" s="4806"/>
      <c r="AF199" s="4807"/>
      <c r="AG199" s="4805"/>
      <c r="AH199" s="4806"/>
      <c r="AI199" s="4806"/>
      <c r="AJ199" s="4806"/>
      <c r="AK199" s="4806"/>
      <c r="AL199" s="4806"/>
      <c r="AM199" s="4806"/>
      <c r="AN199" s="4806"/>
      <c r="AO199" s="4806"/>
      <c r="AP199" s="4807"/>
      <c r="AQ199" s="4805"/>
      <c r="AR199" s="4806"/>
      <c r="AS199" s="4806"/>
      <c r="AT199" s="4806"/>
      <c r="AU199" s="4806"/>
      <c r="AV199" s="4806"/>
      <c r="AW199" s="4806"/>
      <c r="AX199" s="4806"/>
      <c r="AY199" s="4806"/>
      <c r="AZ199" s="4807"/>
      <c r="BA199" s="4805"/>
      <c r="BB199" s="4806"/>
      <c r="BC199" s="4806"/>
      <c r="BD199" s="4806"/>
      <c r="BE199" s="4806"/>
      <c r="BF199" s="4806"/>
      <c r="BG199" s="4806"/>
      <c r="BH199" s="4806"/>
      <c r="BI199" s="4806"/>
      <c r="BJ199" s="4807"/>
      <c r="BK199" s="1014">
        <f>SUM(K195:K199)-SUM(V199:BA199)</f>
        <v>0</v>
      </c>
      <c r="BL199" s="1439"/>
      <c r="BM199" s="1440"/>
      <c r="BN199" s="1008"/>
      <c r="BO199" s="1009"/>
      <c r="BP199" s="1010" t="str">
        <f>IF(I199="Si",VLOOKUP($D$8,'Tablas Técnicas'!$E$4:$F$6,2,FALSE),"")</f>
        <v/>
      </c>
      <c r="BQ199" s="980" t="str">
        <f>IF(L199="Si",VLOOKUP($D$8,'Tablas Técnicas'!$I$4:$J$6,2,FALSE),"")</f>
        <v/>
      </c>
      <c r="BR199" s="1011" t="str">
        <f>IF(O199="Si",VLOOKUP($D$8,'Tablas Técnicas'!$I$7:$J$9,2,FALSE),"")</f>
        <v/>
      </c>
      <c r="BS199" s="1012"/>
      <c r="BT199" s="4774" t="s">
        <v>1690</v>
      </c>
      <c r="BU199" s="4775"/>
      <c r="BV199" s="971"/>
      <c r="BW199" s="951"/>
      <c r="BX199" s="951"/>
      <c r="BY199" s="1286"/>
      <c r="BZ199" s="1304"/>
      <c r="CA199" s="939"/>
      <c r="DR199" s="939"/>
      <c r="DT199" s="1325"/>
      <c r="DU199" s="1375" t="str">
        <f>IF(BW216="N/A","",BT215&amp;" "&amp;BW216&amp;IF(BY216="N/A"," "," ("&amp;BY216&amp;") "))</f>
        <v/>
      </c>
      <c r="DV199" s="1376" t="str">
        <f>IF(E199="","",E199)&amp;IF(I199="No",""," (Mant.)")&amp;IF(L199="No",""," (Sme)")&amp;IF(O199="No",""," (SMa)")</f>
        <v/>
      </c>
      <c r="DW199" s="1377"/>
      <c r="DX199" s="4778"/>
      <c r="DY199" s="1324"/>
      <c r="DZ199" s="939"/>
      <c r="EA199" s="1470">
        <f t="shared" si="2"/>
        <v>1</v>
      </c>
    </row>
    <row r="200" spans="1:132" x14ac:dyDescent="0.2">
      <c r="A200" s="939"/>
      <c r="B200" s="1403"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822"/>
      <c r="D200" s="1454">
        <v>2</v>
      </c>
      <c r="E200" s="1246"/>
      <c r="F200" s="1016"/>
      <c r="G200" s="1017"/>
      <c r="H200" s="2159">
        <f t="array" ref="H200">IF(AND(OR(ISNUMBER(SEARCH("Empatía Elemental ("&amp;BK195:BM195&amp;")",Principal!$AF$30))),SUM(H195:H199)&gt;=10),-5,0)</f>
        <v>0</v>
      </c>
      <c r="I200" s="1413"/>
      <c r="J200" s="1416"/>
      <c r="K200" s="1017"/>
      <c r="L200" s="1413"/>
      <c r="M200" s="1416"/>
      <c r="N200" s="1017"/>
      <c r="O200" s="1413"/>
      <c r="P200" s="1416"/>
      <c r="Q200" s="1017"/>
      <c r="R200" s="1018"/>
      <c r="S200" s="1017"/>
      <c r="T200" s="1017"/>
      <c r="U200" s="974"/>
      <c r="V200" s="974"/>
      <c r="W200" s="974"/>
      <c r="X200" s="974"/>
      <c r="Y200" s="974"/>
      <c r="Z200" s="974"/>
      <c r="AA200" s="974"/>
      <c r="AB200" s="974"/>
      <c r="AC200" s="974"/>
      <c r="AD200" s="974"/>
      <c r="AE200" s="974"/>
      <c r="AF200" s="974"/>
      <c r="AG200" s="974"/>
      <c r="AH200" s="974"/>
      <c r="AI200" s="974"/>
      <c r="AJ200" s="974"/>
      <c r="AK200" s="974"/>
      <c r="AL200" s="974"/>
      <c r="AM200" s="974"/>
      <c r="AN200" s="974"/>
      <c r="AO200" s="974"/>
      <c r="AP200" s="974"/>
      <c r="AQ200" s="974"/>
      <c r="AR200" s="974"/>
      <c r="AS200" s="974"/>
      <c r="AT200" s="974"/>
      <c r="AU200" s="974"/>
      <c r="AV200" s="974"/>
      <c r="AW200" s="974"/>
      <c r="AX200" s="974"/>
      <c r="AY200" s="974"/>
      <c r="AZ200" s="974"/>
      <c r="BA200" s="974"/>
      <c r="BB200" s="974"/>
      <c r="BC200" s="974"/>
      <c r="BD200" s="974"/>
      <c r="BE200" s="974"/>
      <c r="BF200" s="974"/>
      <c r="BG200" s="974"/>
      <c r="BH200" s="974"/>
      <c r="BI200" s="974"/>
      <c r="BJ200" s="974"/>
      <c r="BK200" s="974"/>
      <c r="BL200" s="974"/>
      <c r="BM200" s="976"/>
      <c r="BN200" s="977">
        <f>SUM(K200:K203)</f>
        <v>0</v>
      </c>
      <c r="BO200" s="971" t="str">
        <f>IF(E200=0,"",(AF200+AP200+AZ200+BJ200))</f>
        <v/>
      </c>
      <c r="BP200" s="978" t="str">
        <f>IF(I200="Si",VLOOKUP($D$8,'Tablas Técnicas'!$E$4:$F$6,2,FALSE),"")</f>
        <v/>
      </c>
      <c r="BQ200" s="979" t="str">
        <f>IF(L200="Si",VLOOKUP($D$8,'Tablas Técnicas'!$I$4:$J$6,2,FALSE),"")</f>
        <v/>
      </c>
      <c r="BR200" s="977" t="str">
        <f>IF(O200="Si",VLOOKUP($D$8,'Tablas Técnicas'!$I$7:$J$9,2,FALSE),"")</f>
        <v/>
      </c>
      <c r="BS200" s="994"/>
      <c r="BT200" s="4770" t="s">
        <v>4547</v>
      </c>
      <c r="BU200" s="4771"/>
      <c r="BV200" s="971"/>
      <c r="BW200" s="951"/>
      <c r="BX200" s="951"/>
      <c r="BY200" s="1286"/>
      <c r="BZ200" s="1304"/>
      <c r="CA200" s="939"/>
      <c r="DR200" s="939"/>
      <c r="DT200" s="1325"/>
      <c r="DU200" s="1375" t="str">
        <f>IF(BW218="N/A","",BT217&amp;" "&amp;BW218&amp;IF(BY218="N/A"," "," ("&amp;BY218&amp;") "))</f>
        <v/>
      </c>
      <c r="DV200" s="1380"/>
      <c r="DW200" s="1377"/>
      <c r="DX200" s="1427" t="s">
        <v>1828</v>
      </c>
      <c r="DY200" s="1324"/>
      <c r="DZ200" s="939"/>
      <c r="EA200" s="1470">
        <f t="shared" si="2"/>
        <v>1</v>
      </c>
    </row>
    <row r="201" spans="1:132" x14ac:dyDescent="0.2">
      <c r="A201" s="939"/>
      <c r="B201" s="939"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822"/>
      <c r="D201" s="1453" t="s">
        <v>1766</v>
      </c>
      <c r="E201" s="983"/>
      <c r="F201" s="1019"/>
      <c r="G201" s="989" t="str">
        <f>IF(E201=0,"",VLOOKUP(E201,'Tablas Técnicas'!$A$14:$V$771,3,FALSE))</f>
        <v/>
      </c>
      <c r="H201" s="1021" t="str">
        <f>IF($E201=0,"",VLOOKUP($E201,'Tablas Técnicas'!$A$14:$V$771,4,FALSE))</f>
        <v/>
      </c>
      <c r="I201" s="987" t="s">
        <v>1690</v>
      </c>
      <c r="J201" s="1414" t="str">
        <f>IF(E201=0,"",VLOOKUP(E201,'Tablas Técnicas'!$A$14:$V$771,5,FALSE))</f>
        <v/>
      </c>
      <c r="K201" s="1020" t="str">
        <f>IF(I201="Si",IF(E201=0,"",VLOOKUP(E201,'Tablas Técnicas'!$A$14:$V$771,5,FALSE)),"")</f>
        <v/>
      </c>
      <c r="L201" s="987" t="s">
        <v>1690</v>
      </c>
      <c r="M201" s="1414" t="str">
        <f>IF(E201=0,"",VLOOKUP(E201,'Tablas Técnicas'!$A$14:$V$771,6,FALSE))</f>
        <v/>
      </c>
      <c r="N201" s="990" t="str">
        <f>IF(L201="Si",IF(E201=0,"",VLOOKUP(E201,'Tablas Técnicas'!$A$14:$V$771,6,FALSE)),"")</f>
        <v/>
      </c>
      <c r="O201" s="987" t="s">
        <v>1690</v>
      </c>
      <c r="P201" s="1414" t="str">
        <f>IF(E201=0,"",VLOOKUP(E201,'Tablas Técnicas'!$A$14:$V$771,7,FALSE))</f>
        <v/>
      </c>
      <c r="Q201" s="990" t="str">
        <f>IF(O201="Si",IF(E201=0,"",VLOOKUP(E201,'Tablas Técnicas'!$A$14:$V$771,7,FALSE)),"")</f>
        <v/>
      </c>
      <c r="R201" s="1022" t="str">
        <f>IF(E201=0,"",VLOOKUP(E201,'Tablas Técnicas'!$A$14:$V$771,8,FALSE))</f>
        <v/>
      </c>
      <c r="S201" s="1021" t="str">
        <f>IF(R201=$D$8,$D$8,IF(R201=2,2,IF(R201=3,3,R201)))</f>
        <v/>
      </c>
      <c r="T201" s="989" t="str">
        <f>IF(E201=0,"",VLOOKUP(E201,'Tablas Técnicas'!$A$14:$V$771,9,FALSE))</f>
        <v/>
      </c>
      <c r="U201" s="989" t="str">
        <f>IF(E201=0,"",VLOOKUP(E201,'Tablas Técnicas'!$A$14:$V$771,10,FALSE))</f>
        <v/>
      </c>
      <c r="V201" s="984" t="str">
        <f>IF(E201=0,"",VLOOKUP(E201,'Tablas Técnicas'!$A$14:$V$771,11,FALSE))</f>
        <v/>
      </c>
      <c r="W201" s="987"/>
      <c r="X201" s="988" t="e">
        <f>VLOOKUP(E201,'Tablas Técnicas'!$A$14:$V$771,12,FALSE)</f>
        <v>#N/A</v>
      </c>
      <c r="Y201" s="988" t="e">
        <f>IF(W201=X201,VLOOKUP(E201,'Tablas Técnicas'!$A$14:$V$771,13,FALSE),0)</f>
        <v>#N/A</v>
      </c>
      <c r="Z201" s="988" t="e">
        <f>VLOOKUP(E201,'Tablas Técnicas'!$A$14:$V$771,14,FALSE)</f>
        <v>#N/A</v>
      </c>
      <c r="AA201" s="988" t="e">
        <f>IF(W201=Z201,VLOOKUP(E201,'Tablas Técnicas'!$A$14:$V$616,15,FALSE),0)</f>
        <v>#N/A</v>
      </c>
      <c r="AB201" s="988" t="e">
        <f>VLOOKUP(E201,'Tablas Técnicas'!$A$14:$V$771,16,FALSE)</f>
        <v>#N/A</v>
      </c>
      <c r="AC201" s="988" t="e">
        <f>IF(W201=AB201,VLOOKUP(E201,'Tablas Técnicas'!$A$14:$V$616,17,FALSE),0)</f>
        <v>#N/A</v>
      </c>
      <c r="AD201" s="988" t="e">
        <f>VLOOKUP(E201,'Tablas Técnicas'!$A$14:$V$771,18,FALSE)</f>
        <v>#N/A</v>
      </c>
      <c r="AE201" s="988" t="e">
        <f>IF(W201=AD201,VLOOKUP(E201,'Tablas Técnicas'!$A$14:$V$771,19,FALSE),0)</f>
        <v>#N/A</v>
      </c>
      <c r="AF201" s="989" t="str">
        <f>IF(E201=0,"",(Y201+AA201+AC201+AE201))</f>
        <v/>
      </c>
      <c r="AG201" s="987"/>
      <c r="AH201" s="1022" t="e">
        <f>VLOOKUP(E201,'Tablas Técnicas'!$A$14:$V$771,12,FALSE)</f>
        <v>#N/A</v>
      </c>
      <c r="AI201" s="1022" t="e">
        <f>IF(AG201=AH201,VLOOKUP(E201,'Tablas Técnicas'!$A$14:$V$771,13,FALSE),0)</f>
        <v>#N/A</v>
      </c>
      <c r="AJ201" s="1022" t="e">
        <f>VLOOKUP(E201,'Tablas Técnicas'!$A$14:$V$771,14,FALSE)</f>
        <v>#N/A</v>
      </c>
      <c r="AK201" s="1022" t="e">
        <f>IF(AG201=AJ201,VLOOKUP(E201,'Tablas Técnicas'!$A$14:$V$771,15,FALSE),0)</f>
        <v>#N/A</v>
      </c>
      <c r="AL201" s="1022" t="e">
        <f>VLOOKUP(E201,'Tablas Técnicas'!$A$14:$V$771,16,FALSE)</f>
        <v>#N/A</v>
      </c>
      <c r="AM201" s="1022" t="e">
        <f>IF(AG201=AL201,VLOOKUP(E201,'Tablas Técnicas'!$A$14:$V$771,17,FALSE),0)</f>
        <v>#N/A</v>
      </c>
      <c r="AN201" s="1022" t="e">
        <f>VLOOKUP(E201,'Tablas Técnicas'!$A$14:$V$771,18,FALSE)</f>
        <v>#N/A</v>
      </c>
      <c r="AO201" s="1022" t="e">
        <f>IF(AG201=AN201,VLOOKUP(E201,'Tablas Técnicas'!$A$14:$V$771,19,FALSE),0)</f>
        <v>#N/A</v>
      </c>
      <c r="AP201" s="1023" t="str">
        <f>IF(E201=0,"",(AI201+AK201+AM201+AO201))</f>
        <v/>
      </c>
      <c r="AQ201" s="987"/>
      <c r="AR201" s="988" t="e">
        <f>VLOOKUP(E201,'Tablas Técnicas'!$A$14:$V$771,12,FALSE)</f>
        <v>#N/A</v>
      </c>
      <c r="AS201" s="988" t="e">
        <f>IF(AQ201=AR201,VLOOKUP(E201,'Tablas Técnicas'!$A$14:$V$771,13,FALSE),0)</f>
        <v>#N/A</v>
      </c>
      <c r="AT201" s="988" t="e">
        <f>VLOOKUP(E201,'Tablas Técnicas'!$A$14:$V$771,14,FALSE)</f>
        <v>#N/A</v>
      </c>
      <c r="AU201" s="988" t="e">
        <f>IF(AQ201=AT201,VLOOKUP(E201,'Tablas Técnicas'!$A$14:$V$771,15,FALSE),0)</f>
        <v>#N/A</v>
      </c>
      <c r="AV201" s="988" t="e">
        <f>VLOOKUP(E201,'Tablas Técnicas'!$A$14:$V$771,16,FALSE)</f>
        <v>#N/A</v>
      </c>
      <c r="AW201" s="988" t="e">
        <f>IF(AQ201=AV201,VLOOKUP(E201,'Tablas Técnicas'!$A$14:$V$771,17,FALSE),0)</f>
        <v>#N/A</v>
      </c>
      <c r="AX201" s="988" t="e">
        <f>VLOOKUP(E201,'Tablas Técnicas'!$A$14:$V$771,18,FALSE)</f>
        <v>#N/A</v>
      </c>
      <c r="AY201" s="988" t="e">
        <f>IF(AQ201=AX201,VLOOKUP(E201,'Tablas Técnicas'!$A$14:$V$771,19,FALSE),0)</f>
        <v>#N/A</v>
      </c>
      <c r="AZ201" s="989" t="str">
        <f>IF(E201=0,"",(AS201+AU201+AW201+AY201))</f>
        <v/>
      </c>
      <c r="BA201" s="987"/>
      <c r="BB201" s="988" t="e">
        <f>VLOOKUP(E201,'Tablas Técnicas'!$A$14:$V$771,12,FALSE)</f>
        <v>#N/A</v>
      </c>
      <c r="BC201" s="988" t="e">
        <f>IF(BA201=BB201,VLOOKUP(E201,'Tablas Técnicas'!$A$14:$V$771,13,FALSE),0)</f>
        <v>#N/A</v>
      </c>
      <c r="BD201" s="988" t="e">
        <f>VLOOKUP(E201,'Tablas Técnicas'!$A$14:$V$771,14,FALSE)</f>
        <v>#N/A</v>
      </c>
      <c r="BE201" s="988" t="e">
        <f>IF(BA201=BD201,VLOOKUP(E201,'Tablas Técnicas'!$A$14:$V$771,15,FALSE),0)</f>
        <v>#N/A</v>
      </c>
      <c r="BF201" s="988" t="e">
        <f>VLOOKUP(E201,'Tablas Técnicas'!$A$14:$V$771,16,FALSE)</f>
        <v>#N/A</v>
      </c>
      <c r="BG201" s="988" t="e">
        <f>IF(BA201=BF201,VLOOKUP(E201,'Tablas Técnicas'!$A$14:$V$771,17,FALSE),0)</f>
        <v>#N/A</v>
      </c>
      <c r="BH201" s="988" t="e">
        <f>VLOOKUP(E201,'Tablas Técnicas'!$A$14:$V$771,18,FALSE)</f>
        <v>#N/A</v>
      </c>
      <c r="BI201" s="988" t="e">
        <f>IF(BA201=BH201,VLOOKUP(E201,'Tablas Técnicas'!$A$14:$V$771,19,FALSE),0)</f>
        <v>#N/A</v>
      </c>
      <c r="BJ201" s="990" t="str">
        <f>IF(E201=0,"",(BC201+BE201+BG201+BI201))</f>
        <v/>
      </c>
      <c r="BK201" s="989" t="str">
        <f>IF(E201=0,"",VLOOKUP(E201,'Tablas Técnicas'!$A$14:$V$771,20,FALSE))</f>
        <v/>
      </c>
      <c r="BL201" s="989" t="str">
        <f>IF(E201=0,"",VLOOKUP(E201,'Tablas Técnicas'!$A$14:$V$771,21,FALSE))</f>
        <v/>
      </c>
      <c r="BM201" s="1024" t="str">
        <f>IF(E201=0,"",VLOOKUP(E201,'Tablas Técnicas'!$A$14:$V$771,22,FALSE))</f>
        <v/>
      </c>
      <c r="BN201" s="992"/>
      <c r="BO201" s="993"/>
      <c r="BP201" s="978" t="str">
        <f>IF(I201="Si",VLOOKUP($D$8,'Tablas Técnicas'!$E$4:$F$6,2,FALSE),"")</f>
        <v/>
      </c>
      <c r="BQ201" s="979" t="str">
        <f>IF(L201="Si",VLOOKUP($D$8,'Tablas Técnicas'!$I$4:$J$6,2,FALSE),"")</f>
        <v/>
      </c>
      <c r="BR201" s="977" t="str">
        <f>IF(O201="Si",VLOOKUP($D$8,'Tablas Técnicas'!$I$7:$J$9,2,FALSE),"")</f>
        <v/>
      </c>
      <c r="BS201" s="994"/>
      <c r="BT201" s="4774" t="s">
        <v>4527</v>
      </c>
      <c r="BU201" s="4775"/>
      <c r="BV201" s="971"/>
      <c r="BW201" s="951"/>
      <c r="BX201" s="951"/>
      <c r="BY201" s="1286"/>
      <c r="BZ201" s="1304"/>
      <c r="CA201" s="939"/>
      <c r="DR201" s="939"/>
      <c r="DT201" s="1326"/>
      <c r="DU201" s="1379"/>
      <c r="DV201" s="1376" t="str">
        <f>IF(E201="","",", "&amp;E201)&amp;IF(I201="No",""," (Mant.)")&amp;IF(L201="No",""," (Sme)")&amp;IF(O201="No",""," (SMa)")</f>
        <v/>
      </c>
      <c r="DW201" s="1377"/>
      <c r="DX201" s="1378" t="str">
        <f>IF(ISNUMBER(FIND('Tablas Técnicas'!A$678,DW219)),BL225&amp;BM225,IF(ISNUMBER(FIND('Tablas Técnicas'!A$679,DW219)),BL225&amp;" "&amp;BM225,""))</f>
        <v/>
      </c>
      <c r="DY201" s="1327"/>
      <c r="DZ201" s="939"/>
      <c r="EA201" s="1470">
        <f t="shared" si="2"/>
        <v>1</v>
      </c>
    </row>
    <row r="202" spans="1:132" x14ac:dyDescent="0.2">
      <c r="A202" s="939"/>
      <c r="B202" s="939"/>
      <c r="C202" s="4822"/>
      <c r="D202" s="1452" t="s">
        <v>1766</v>
      </c>
      <c r="E202" s="995"/>
      <c r="F202" s="1025"/>
      <c r="G202" s="1437" t="str">
        <f>IF(E202=0,"",VLOOKUP(E202,'Tablas Técnicas'!$A$14:$V$771,3,FALSE))</f>
        <v/>
      </c>
      <c r="H202" s="998" t="str">
        <f>IF($E202=0,"",VLOOKUP($E202,'Tablas Técnicas'!$A$14:$V$771,4,FALSE))</f>
        <v/>
      </c>
      <c r="I202" s="999" t="s">
        <v>1690</v>
      </c>
      <c r="J202" s="1415" t="str">
        <f>IF(E202=0,"",VLOOKUP(E202,'Tablas Técnicas'!$A$14:$V$771,5,FALSE))</f>
        <v/>
      </c>
      <c r="K202" s="1001" t="str">
        <f>IF(I202="Si",IF(E202=0,"",VLOOKUP(E202,'Tablas Técnicas'!$A$14:$V$771,5,FALSE)),"")</f>
        <v/>
      </c>
      <c r="L202" s="999" t="s">
        <v>1690</v>
      </c>
      <c r="M202" s="1415" t="str">
        <f>IF(E202=0,"",VLOOKUP(E202,'Tablas Técnicas'!$A$14:$V$771,6,FALSE))</f>
        <v/>
      </c>
      <c r="N202" s="1002" t="str">
        <f>IF(L202="Si",IF(E202=0,"",VLOOKUP(E202,'Tablas Técnicas'!$A$14:$V$771,6,FALSE)),"")</f>
        <v/>
      </c>
      <c r="O202" s="999" t="s">
        <v>1690</v>
      </c>
      <c r="P202" s="1415" t="str">
        <f>IF(E202=0,"",VLOOKUP(E202,'Tablas Técnicas'!$A$14:$V$771,7,FALSE))</f>
        <v/>
      </c>
      <c r="Q202" s="1002" t="str">
        <f>IF(O202="Si",IF(E202=0,"",VLOOKUP(E202,'Tablas Técnicas'!$A$14:$V$771,7,FALSE)),"")</f>
        <v/>
      </c>
      <c r="R202" s="1000" t="str">
        <f>IF(E202=0,"",VLOOKUP(E202,'Tablas Técnicas'!$A$14:$V$771,8,FALSE))</f>
        <v/>
      </c>
      <c r="S202" s="998" t="str">
        <f>IF(R202=$D$8,$D$8,IF(R202=2,2,IF(R202=3,3,R202)))</f>
        <v/>
      </c>
      <c r="T202" s="4796" t="s">
        <v>4542</v>
      </c>
      <c r="U202" s="4797"/>
      <c r="V202" s="4797"/>
      <c r="W202" s="4797"/>
      <c r="X202" s="4797"/>
      <c r="Y202" s="4797"/>
      <c r="Z202" s="4797"/>
      <c r="AA202" s="4797"/>
      <c r="AB202" s="4797"/>
      <c r="AC202" s="4797"/>
      <c r="AD202" s="4797"/>
      <c r="AE202" s="4797"/>
      <c r="AF202" s="4797"/>
      <c r="AG202" s="4797"/>
      <c r="AH202" s="4797"/>
      <c r="AI202" s="4797"/>
      <c r="AJ202" s="4797"/>
      <c r="AK202" s="4797"/>
      <c r="AL202" s="4797"/>
      <c r="AM202" s="4797"/>
      <c r="AN202" s="4797"/>
      <c r="AO202" s="4797"/>
      <c r="AP202" s="4797"/>
      <c r="AQ202" s="4797"/>
      <c r="AR202" s="4797"/>
      <c r="AS202" s="4797"/>
      <c r="AT202" s="4797"/>
      <c r="AU202" s="4797"/>
      <c r="AV202" s="4797"/>
      <c r="AW202" s="4797"/>
      <c r="AX202" s="4797"/>
      <c r="AY202" s="4797"/>
      <c r="AZ202" s="4797"/>
      <c r="BA202" s="4797"/>
      <c r="BB202" s="4797"/>
      <c r="BC202" s="4797"/>
      <c r="BD202" s="4797"/>
      <c r="BE202" s="4797"/>
      <c r="BF202" s="4797"/>
      <c r="BG202" s="4797"/>
      <c r="BH202" s="4797"/>
      <c r="BI202" s="4797"/>
      <c r="BJ202" s="4797"/>
      <c r="BK202" s="4798"/>
      <c r="BL202" s="1437"/>
      <c r="BM202" s="1438"/>
      <c r="BN202" s="992"/>
      <c r="BO202" s="993"/>
      <c r="BP202" s="978" t="str">
        <f>IF(I202="Si",VLOOKUP($D$8,'Tablas Técnicas'!$E$4:$F$6,2,FALSE),"")</f>
        <v/>
      </c>
      <c r="BQ202" s="979" t="str">
        <f>IF(L202="Si",VLOOKUP($D$8,'Tablas Técnicas'!$I$4:$J$6,2,FALSE),"")</f>
        <v/>
      </c>
      <c r="BR202" s="977" t="str">
        <f>IF(O202="Si",VLOOKUP($D$8,'Tablas Técnicas'!$I$7:$J$9,2,FALSE),"")</f>
        <v/>
      </c>
      <c r="BS202" s="994"/>
      <c r="BT202" s="4770" t="s">
        <v>4548</v>
      </c>
      <c r="BU202" s="4771"/>
      <c r="BV202" s="971"/>
      <c r="BW202" s="951"/>
      <c r="BX202" s="951"/>
      <c r="BY202" s="1286"/>
      <c r="BZ202" s="1304"/>
      <c r="CA202" s="939"/>
      <c r="DR202" s="939"/>
      <c r="DT202" s="1325"/>
      <c r="DU202" s="1375"/>
      <c r="DV202" s="1376" t="str">
        <f>IF(E202="",""," "&amp;E202)&amp;IF(I202="No",""," (Mant.)")&amp;IF(L202="No",""," (Sme)")&amp;IF(O202="No",""," (SMa)")</f>
        <v/>
      </c>
      <c r="DW202" s="1377"/>
      <c r="DX202" s="1378"/>
      <c r="DY202" s="1324"/>
      <c r="DZ202" s="939"/>
      <c r="EA202" s="1470">
        <f t="shared" ref="EA202:EA265" si="3">EA201</f>
        <v>1</v>
      </c>
    </row>
    <row r="203" spans="1:132" x14ac:dyDescent="0.2">
      <c r="A203" s="939"/>
      <c r="B203" s="939"/>
      <c r="C203" s="4822"/>
      <c r="D203" s="1453" t="s">
        <v>1766</v>
      </c>
      <c r="E203" s="1003"/>
      <c r="F203" s="1019"/>
      <c r="G203" s="989" t="str">
        <f>IF(E203=0,"",VLOOKUP(E203,'Tablas Técnicas'!$A$14:$V$771,3,FALSE))</f>
        <v/>
      </c>
      <c r="H203" s="3033" t="str">
        <f>IF($E203=0,"",VLOOKUP($E203,'Tablas Técnicas'!$A$14:$V$771,4,FALSE))</f>
        <v/>
      </c>
      <c r="I203" s="987" t="s">
        <v>1690</v>
      </c>
      <c r="J203" s="1411" t="str">
        <f>IF(E203=0,"",VLOOKUP(E203,'Tablas Técnicas'!$A$14:$V$771,5,FALSE))</f>
        <v/>
      </c>
      <c r="K203" s="1006" t="str">
        <f>IF(I203="Si",IF(E203=0,"",VLOOKUP(E203,'Tablas Técnicas'!$A$14:$V$771,5,FALSE)),"")</f>
        <v/>
      </c>
      <c r="L203" s="987" t="s">
        <v>1690</v>
      </c>
      <c r="M203" s="1411" t="str">
        <f>IF(E203=0,"",VLOOKUP(E203,'Tablas Técnicas'!$A$14:$V$771,6,FALSE))</f>
        <v/>
      </c>
      <c r="N203" s="990" t="str">
        <f>IF(L203="Si",IF(E203=0,"",VLOOKUP(E203,'Tablas Técnicas'!$A$14:$V$771,6,FALSE)),"")</f>
        <v/>
      </c>
      <c r="O203" s="987" t="s">
        <v>1690</v>
      </c>
      <c r="P203" s="1411" t="str">
        <f>IF(E203=0,"",VLOOKUP(E203,'Tablas Técnicas'!$A$14:$V$771,7,FALSE))</f>
        <v/>
      </c>
      <c r="Q203" s="990" t="str">
        <f>IF(O203="Si",IF(E203=0,"",VLOOKUP(E203,'Tablas Técnicas'!$A$14:$V$771,7,FALSE)),"")</f>
        <v/>
      </c>
      <c r="R203" s="1005" t="str">
        <f>IF(E203=0,"",VLOOKUP(E203,'Tablas Técnicas'!$A$14:$V$771,8,FALSE))</f>
        <v/>
      </c>
      <c r="S203" s="3033" t="str">
        <f>IF(R203=$D$8,$D$8,IF(R203=2,2,IF(R203=3,3,R203)))</f>
        <v/>
      </c>
      <c r="T203" s="4809"/>
      <c r="U203" s="4810"/>
      <c r="V203" s="3029" t="str">
        <f>IF(OR(V201=0,V201=""),"N/A",V201)</f>
        <v>N/A</v>
      </c>
      <c r="W203" s="4809" t="str">
        <f xml:space="preserve"> IF(OR(AF201=0,AF201=""),"N/A",W201)</f>
        <v>N/A</v>
      </c>
      <c r="X203" s="4811"/>
      <c r="Y203" s="4811"/>
      <c r="Z203" s="4811"/>
      <c r="AA203" s="4811"/>
      <c r="AB203" s="4811"/>
      <c r="AC203" s="4811"/>
      <c r="AD203" s="4811"/>
      <c r="AE203" s="4811"/>
      <c r="AF203" s="4810"/>
      <c r="AG203" s="4809" t="str">
        <f xml:space="preserve"> IF(OR(AP201="",AP201=0),"N/A",AG201)</f>
        <v>N/A</v>
      </c>
      <c r="AH203" s="4811"/>
      <c r="AI203" s="4811"/>
      <c r="AJ203" s="4811"/>
      <c r="AK203" s="4811"/>
      <c r="AL203" s="4811"/>
      <c r="AM203" s="4811"/>
      <c r="AN203" s="4811"/>
      <c r="AO203" s="4811"/>
      <c r="AP203" s="4810"/>
      <c r="AQ203" s="4809" t="str">
        <f xml:space="preserve"> IF(OR(AZ201="",AZ201=0),"N/A",AQ201)</f>
        <v>N/A</v>
      </c>
      <c r="AR203" s="4811"/>
      <c r="AS203" s="4811"/>
      <c r="AT203" s="4811"/>
      <c r="AU203" s="4811"/>
      <c r="AV203" s="4811"/>
      <c r="AW203" s="4811"/>
      <c r="AX203" s="4811"/>
      <c r="AY203" s="4811"/>
      <c r="AZ203" s="4810"/>
      <c r="BA203" s="4809" t="str">
        <f xml:space="preserve"> IF(OR(BJ201="",BJ201=0),"N/A",BA201)</f>
        <v>N/A</v>
      </c>
      <c r="BB203" s="4811"/>
      <c r="BC203" s="4811"/>
      <c r="BD203" s="4811"/>
      <c r="BE203" s="4811"/>
      <c r="BF203" s="4811"/>
      <c r="BG203" s="4811"/>
      <c r="BH203" s="4811"/>
      <c r="BI203" s="4811"/>
      <c r="BJ203" s="4810"/>
      <c r="BK203" s="1007" t="s">
        <v>4543</v>
      </c>
      <c r="BL203" s="989"/>
      <c r="BM203" s="1024"/>
      <c r="BN203" s="992"/>
      <c r="BO203" s="1009"/>
      <c r="BP203" s="978" t="str">
        <f>IF(I203="Si",VLOOKUP($D$8,'Tablas Técnicas'!$E$4:$F$6,2,FALSE),"")</f>
        <v/>
      </c>
      <c r="BQ203" s="979" t="str">
        <f>IF(L203="Si",VLOOKUP($D$8,'Tablas Técnicas'!$I$4:$J$6,2,FALSE),"")</f>
        <v/>
      </c>
      <c r="BR203" s="977" t="str">
        <f>IF(O203="Si",VLOOKUP($D$8,'Tablas Técnicas'!$I$7:$J$9,2,FALSE),"")</f>
        <v/>
      </c>
      <c r="BS203" s="994"/>
      <c r="BT203" s="4774" t="s">
        <v>4521</v>
      </c>
      <c r="BU203" s="4775"/>
      <c r="BV203" s="971"/>
      <c r="BW203" s="951"/>
      <c r="BX203" s="951"/>
      <c r="BY203" s="1286"/>
      <c r="BZ203" s="1304"/>
      <c r="CA203" s="939"/>
      <c r="DR203" s="939"/>
      <c r="DT203" s="1325"/>
      <c r="DU203" s="1379"/>
      <c r="DV203" s="1376" t="str">
        <f>IF(E203="","",E203)&amp;IF(I203="No",""," (Mant.)")&amp;IF(L203="No",""," (Sme)")&amp;IF(O203="No",""," (SMa)")</f>
        <v/>
      </c>
      <c r="DW203" s="1377"/>
      <c r="DX203" s="1378"/>
      <c r="DY203" s="1324"/>
      <c r="DZ203" s="939"/>
      <c r="EA203" s="1470">
        <f t="shared" si="3"/>
        <v>1</v>
      </c>
    </row>
    <row r="204" spans="1:132" x14ac:dyDescent="0.2">
      <c r="A204" s="939"/>
      <c r="B204" s="939"/>
      <c r="C204" s="4822"/>
      <c r="D204" s="1452" t="s">
        <v>1766</v>
      </c>
      <c r="E204" s="995"/>
      <c r="F204" s="1025"/>
      <c r="G204" s="1437" t="str">
        <f>IF(E204=0,"",VLOOKUP(E204,'Tablas Técnicas'!$A$14:$V$771,3,FALSE))</f>
        <v/>
      </c>
      <c r="H204" s="998" t="str">
        <f>IF($E204=0,"",VLOOKUP($E204,'Tablas Técnicas'!$A$14:$V$771,4,FALSE))</f>
        <v/>
      </c>
      <c r="I204" s="999" t="s">
        <v>1690</v>
      </c>
      <c r="J204" s="1415" t="str">
        <f>IF(E204=0,"",VLOOKUP(E204,'Tablas Técnicas'!$A$14:$V$771,5,FALSE))</f>
        <v/>
      </c>
      <c r="K204" s="1001" t="str">
        <f>IF(I204="Si",IF(E204=0,"",VLOOKUP(E204,'Tablas Técnicas'!$A$14:$V$771,5,FALSE)),"")</f>
        <v/>
      </c>
      <c r="L204" s="999" t="s">
        <v>1690</v>
      </c>
      <c r="M204" s="1415" t="str">
        <f>IF(E204=0,"",VLOOKUP(E204,'Tablas Técnicas'!$A$14:$V$771,6,FALSE))</f>
        <v/>
      </c>
      <c r="N204" s="1002" t="str">
        <f>IF(L204="Si",IF(E204=0,"",VLOOKUP(E204,'Tablas Técnicas'!$A$14:$V$771,6,FALSE)),"")</f>
        <v/>
      </c>
      <c r="O204" s="999" t="s">
        <v>1690</v>
      </c>
      <c r="P204" s="1415" t="str">
        <f>IF(E204=0,"",VLOOKUP(E204,'Tablas Técnicas'!$A$14:$V$771,7,FALSE))</f>
        <v/>
      </c>
      <c r="Q204" s="1002" t="str">
        <f>IF(O204="Si",IF(E204=0,"",VLOOKUP(E204,'Tablas Técnicas'!$A$14:$V$771,7,FALSE)),"")</f>
        <v/>
      </c>
      <c r="R204" s="1000" t="str">
        <f>IF(E204=0,"",VLOOKUP(E204,'Tablas Técnicas'!$A$14:$V$771,8,FALSE))</f>
        <v/>
      </c>
      <c r="S204" s="998" t="str">
        <f>IF(R204=$D$8,$D$8,IF(R204=2,2,IF(R204=3,3,R204)))</f>
        <v/>
      </c>
      <c r="T204" s="4812" t="s">
        <v>4544</v>
      </c>
      <c r="U204" s="4813"/>
      <c r="V204" s="3025"/>
      <c r="W204" s="4814"/>
      <c r="X204" s="4815"/>
      <c r="Y204" s="4815"/>
      <c r="Z204" s="4815"/>
      <c r="AA204" s="4815"/>
      <c r="AB204" s="4815"/>
      <c r="AC204" s="4815"/>
      <c r="AD204" s="4815"/>
      <c r="AE204" s="4815"/>
      <c r="AF204" s="4816"/>
      <c r="AG204" s="4814"/>
      <c r="AH204" s="4815"/>
      <c r="AI204" s="4815"/>
      <c r="AJ204" s="4815"/>
      <c r="AK204" s="4815"/>
      <c r="AL204" s="4815"/>
      <c r="AM204" s="4815"/>
      <c r="AN204" s="4815"/>
      <c r="AO204" s="4815"/>
      <c r="AP204" s="4816"/>
      <c r="AQ204" s="4814"/>
      <c r="AR204" s="4815"/>
      <c r="AS204" s="4815"/>
      <c r="AT204" s="4815"/>
      <c r="AU204" s="4815"/>
      <c r="AV204" s="4815"/>
      <c r="AW204" s="4815"/>
      <c r="AX204" s="4815"/>
      <c r="AY204" s="4815"/>
      <c r="AZ204" s="4816"/>
      <c r="BA204" s="4814"/>
      <c r="BB204" s="4815"/>
      <c r="BC204" s="4815"/>
      <c r="BD204" s="4815"/>
      <c r="BE204" s="4815"/>
      <c r="BF204" s="4815"/>
      <c r="BG204" s="4815"/>
      <c r="BH204" s="4815"/>
      <c r="BI204" s="4815"/>
      <c r="BJ204" s="4816"/>
      <c r="BK204" s="998">
        <f>(SUM(G201:G205)+IF(AF201="",0,AF201)+IF(AP201="",0,AP201)+IF(AZ201="",0,AZ201)+IF(BJ201="",0,BJ201)+SUM(K201:K205)+SUM(N201:N205)+SUM(Q201:Q205))- SUM(V204:BA204)</f>
        <v>0</v>
      </c>
      <c r="BL204" s="1437"/>
      <c r="BM204" s="1438"/>
      <c r="BN204" s="992"/>
      <c r="BO204" s="993"/>
      <c r="BP204" s="978" t="str">
        <f>IF(I204="Si",VLOOKUP($D$8,'Tablas Técnicas'!$E$4:$F$6,2,FALSE),"")</f>
        <v/>
      </c>
      <c r="BQ204" s="979" t="str">
        <f>IF(L204="Si",VLOOKUP($D$8,'Tablas Técnicas'!$I$4:$J$6,2,FALSE),"")</f>
        <v/>
      </c>
      <c r="BR204" s="977" t="str">
        <f>IF(O204="Si",VLOOKUP($D$8,'Tablas Técnicas'!$I$7:$J$9,2,FALSE),"")</f>
        <v/>
      </c>
      <c r="BS204" s="994"/>
      <c r="BT204" s="4766" t="s">
        <v>4549</v>
      </c>
      <c r="BU204" s="4767"/>
      <c r="BV204" s="971"/>
      <c r="BW204" s="951"/>
      <c r="BX204" s="951"/>
      <c r="BY204" s="1286"/>
      <c r="BZ204" s="1304"/>
      <c r="CA204" s="939"/>
      <c r="DR204" s="939"/>
      <c r="DT204" s="1325"/>
      <c r="DU204" s="1375"/>
      <c r="DV204" s="1376" t="str">
        <f>IF(E204="","",E204)&amp;IF(I204="No",""," (Mant.)")&amp;IF(L204="No",""," (Sme)")&amp;IF(O204="No",""," (SMa)")</f>
        <v/>
      </c>
      <c r="DW204" s="1377"/>
      <c r="DX204" s="1378"/>
      <c r="DY204" s="1324"/>
      <c r="DZ204" s="939"/>
      <c r="EA204" s="1470">
        <f t="shared" si="3"/>
        <v>1</v>
      </c>
    </row>
    <row r="205" spans="1:132" x14ac:dyDescent="0.2">
      <c r="A205" s="939"/>
      <c r="B205" s="939"/>
      <c r="C205" s="4822"/>
      <c r="D205" s="1453" t="s">
        <v>1766</v>
      </c>
      <c r="E205" s="1003"/>
      <c r="F205" s="1019"/>
      <c r="G205" s="989" t="str">
        <f>IF(E205=0,"",VLOOKUP(E205,'Tablas Técnicas'!$A$14:$V$771,3,FALSE))</f>
        <v/>
      </c>
      <c r="H205" s="1004" t="str">
        <f>IF($E205=0,"",VLOOKUP($E205,'Tablas Técnicas'!$A$14:$V$771,4,FALSE))</f>
        <v/>
      </c>
      <c r="I205" s="987" t="s">
        <v>1690</v>
      </c>
      <c r="J205" s="1411" t="str">
        <f>IF(E205=0,"",VLOOKUP(E205,'Tablas Técnicas'!$A$14:$V$771,5,FALSE))</f>
        <v/>
      </c>
      <c r="K205" s="1006" t="str">
        <f>IF(I205="Si",IF(E205=0,"",VLOOKUP(E205,'Tablas Técnicas'!$A$14:$V$771,5,FALSE)),"")</f>
        <v/>
      </c>
      <c r="L205" s="987" t="s">
        <v>1690</v>
      </c>
      <c r="M205" s="1411" t="str">
        <f>IF(E205=0,"",VLOOKUP(E205,'Tablas Técnicas'!$A$14:$V$771,6,FALSE))</f>
        <v/>
      </c>
      <c r="N205" s="990" t="str">
        <f>IF(L205="Si",IF(E205=0,"",VLOOKUP(E205,'Tablas Técnicas'!$A$14:$V$771,6,FALSE)),"")</f>
        <v/>
      </c>
      <c r="O205" s="987" t="s">
        <v>1690</v>
      </c>
      <c r="P205" s="1411" t="str">
        <f>IF(E205=0,"",VLOOKUP(E205,'Tablas Técnicas'!$A$14:$V$771,7,FALSE))</f>
        <v/>
      </c>
      <c r="Q205" s="990" t="str">
        <f>IF(O205="Si",IF(E205=0,"",VLOOKUP(E205,'Tablas Técnicas'!$A$14:$V$771,7,FALSE)),"")</f>
        <v/>
      </c>
      <c r="R205" s="1005" t="str">
        <f>IF(E205=0,"",VLOOKUP(E205,'Tablas Técnicas'!$A$14:$V$771,8,FALSE))</f>
        <v/>
      </c>
      <c r="S205" s="1004" t="str">
        <f>IF(R205=$D$8,$D$8,IF(R205=2,2,IF(R205=3,3,R205)))</f>
        <v/>
      </c>
      <c r="T205" s="4803" t="s">
        <v>4546</v>
      </c>
      <c r="U205" s="4804"/>
      <c r="V205" s="3032"/>
      <c r="W205" s="4805"/>
      <c r="X205" s="4806"/>
      <c r="Y205" s="4806"/>
      <c r="Z205" s="4806"/>
      <c r="AA205" s="4806"/>
      <c r="AB205" s="4806"/>
      <c r="AC205" s="4806"/>
      <c r="AD205" s="4806"/>
      <c r="AE205" s="4806"/>
      <c r="AF205" s="4807"/>
      <c r="AG205" s="4805"/>
      <c r="AH205" s="4806"/>
      <c r="AI205" s="4806"/>
      <c r="AJ205" s="4806"/>
      <c r="AK205" s="4806"/>
      <c r="AL205" s="4806"/>
      <c r="AM205" s="4806"/>
      <c r="AN205" s="4806"/>
      <c r="AO205" s="4806"/>
      <c r="AP205" s="4807"/>
      <c r="AQ205" s="4805"/>
      <c r="AR205" s="4806"/>
      <c r="AS205" s="4806"/>
      <c r="AT205" s="4806"/>
      <c r="AU205" s="4806"/>
      <c r="AV205" s="4806"/>
      <c r="AW205" s="4806"/>
      <c r="AX205" s="4806"/>
      <c r="AY205" s="4806"/>
      <c r="AZ205" s="4807"/>
      <c r="BA205" s="4805"/>
      <c r="BB205" s="4806"/>
      <c r="BC205" s="4806"/>
      <c r="BD205" s="4806"/>
      <c r="BE205" s="4806"/>
      <c r="BF205" s="4806"/>
      <c r="BG205" s="4806"/>
      <c r="BH205" s="4806"/>
      <c r="BI205" s="4806"/>
      <c r="BJ205" s="4807"/>
      <c r="BK205" s="1014">
        <f>SUM(K201:K205)-SUM(V205:BA205)</f>
        <v>0</v>
      </c>
      <c r="BL205" s="1439"/>
      <c r="BM205" s="1440"/>
      <c r="BN205" s="992"/>
      <c r="BO205" s="1009"/>
      <c r="BP205" s="978" t="str">
        <f>IF(I205="Si",VLOOKUP($D$8,'Tablas Técnicas'!$E$4:$F$6,2,FALSE),"")</f>
        <v/>
      </c>
      <c r="BQ205" s="979" t="str">
        <f>IF(L205="Si",VLOOKUP($D$8,'Tablas Técnicas'!$I$4:$J$6,2,FALSE),"")</f>
        <v/>
      </c>
      <c r="BR205" s="977" t="str">
        <f>IF(O205="Si",VLOOKUP($D$8,'Tablas Técnicas'!$I$7:$J$9,2,FALSE),"")</f>
        <v/>
      </c>
      <c r="BS205" s="994"/>
      <c r="BT205" s="2354">
        <f>IF(BT199="No",0,IF(D193=0,0,VLOOKUP(D193,'Tablas Técnicas'!$L$4:$N$7,2,FALSE)))+IF(BT201="Bajar coste de CM",0,IF(BT201="-5 CM",2,IF(BT201="-10 CM",4,IF(BT201="-15 CM",6,IF(BT201="-20 CM",8,0)))))+IF(BT203="Bajar coste de Ki",0,IF(BT203="-1 Ki",-1,IF(BT203="-2 Ki",-2,IF(BT203="-3 Ki",-3,IF(BT203="-4 Ki",-4,IF(BT203="-5 Ki",-5,0))))))-BU208-BU210-BU212-BU214-BU216-BU218</f>
        <v>0</v>
      </c>
      <c r="BU205" s="2355">
        <f>IF(BT199="No",0,IF(D193=0,0,VLOOKUP(D193,'Tablas Técnicas'!$L$4:$N$7,2,FALSE)))+IF(BT201="Bajar coste de CM",0,IF(BT201="-5 CM",2,IF(BT201="-10 CM",4,IF(BT201="-15 CM",6,IF(BT201="-20 CM",8,0)))))+IF(BT203="Bajar coste de Ki",0,IF(BT203="-1 Ki",-1,IF(BT203="-2 Ki",-2,IF(BT203="-3 Ki",-3,IF(BT203="-4 Ki",-4,IF(BT203="-5 Ki",-5,0))))))</f>
        <v>0</v>
      </c>
      <c r="BV205" s="971"/>
      <c r="BW205" s="951"/>
      <c r="BX205" s="951"/>
      <c r="BY205" s="1286"/>
      <c r="BZ205" s="1304"/>
      <c r="CA205" s="939"/>
      <c r="DR205" s="939"/>
      <c r="DT205" s="1325"/>
      <c r="DU205" s="1379"/>
      <c r="DV205" s="1376" t="str">
        <f>IF(E205="","",E205)&amp;IF(I205="No",""," (Mant.)")&amp;IF(L205="No",""," (Sme)")&amp;IF(O205="No",""," (SMa)")</f>
        <v/>
      </c>
      <c r="DW205" s="1377"/>
      <c r="DX205" s="1378"/>
      <c r="DY205" s="1324"/>
      <c r="DZ205" s="939"/>
      <c r="EA205" s="1470">
        <f t="shared" si="3"/>
        <v>1</v>
      </c>
    </row>
    <row r="206" spans="1:132" x14ac:dyDescent="0.2">
      <c r="A206" s="939"/>
      <c r="B206" s="1403"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822"/>
      <c r="D206" s="1454">
        <v>3</v>
      </c>
      <c r="E206" s="1246"/>
      <c r="F206" s="1016"/>
      <c r="G206" s="1017"/>
      <c r="H206" s="2159">
        <f t="array" ref="H206">IF(AND(OR(ISNUMBER(SEARCH("Empatía Elemental ("&amp;BK201:BM201&amp;")",Principal!$AF$30))),SUM(H201:H205)&gt;=10),-5,0)</f>
        <v>0</v>
      </c>
      <c r="I206" s="1413"/>
      <c r="J206" s="1416"/>
      <c r="K206" s="1017"/>
      <c r="L206" s="1413"/>
      <c r="M206" s="1416"/>
      <c r="N206" s="1017"/>
      <c r="O206" s="1413"/>
      <c r="P206" s="1416"/>
      <c r="Q206" s="1017"/>
      <c r="R206" s="1018"/>
      <c r="S206" s="1017"/>
      <c r="T206" s="1017"/>
      <c r="U206" s="1017"/>
      <c r="V206" s="1017"/>
      <c r="W206" s="1017"/>
      <c r="X206" s="1017"/>
      <c r="Y206" s="1017"/>
      <c r="Z206" s="1017"/>
      <c r="AA206" s="1017"/>
      <c r="AB206" s="1017"/>
      <c r="AC206" s="1017"/>
      <c r="AD206" s="1017"/>
      <c r="AE206" s="1017"/>
      <c r="AF206" s="1017"/>
      <c r="AG206" s="1017"/>
      <c r="AH206" s="1017"/>
      <c r="AI206" s="1017"/>
      <c r="AJ206" s="1017"/>
      <c r="AK206" s="1017"/>
      <c r="AL206" s="1017"/>
      <c r="AM206" s="1017"/>
      <c r="AN206" s="1017"/>
      <c r="AO206" s="1017"/>
      <c r="AP206" s="1017"/>
      <c r="AQ206" s="1017"/>
      <c r="AR206" s="1017"/>
      <c r="AS206" s="1017"/>
      <c r="AT206" s="1017"/>
      <c r="AU206" s="1017"/>
      <c r="AV206" s="1017"/>
      <c r="AW206" s="1017"/>
      <c r="AX206" s="1017"/>
      <c r="AY206" s="1017"/>
      <c r="AZ206" s="1017"/>
      <c r="BA206" s="1017"/>
      <c r="BB206" s="1017"/>
      <c r="BC206" s="1017"/>
      <c r="BD206" s="1017"/>
      <c r="BE206" s="1017"/>
      <c r="BF206" s="1017"/>
      <c r="BG206" s="1017"/>
      <c r="BH206" s="1017"/>
      <c r="BI206" s="1017"/>
      <c r="BJ206" s="1017"/>
      <c r="BK206" s="1017"/>
      <c r="BL206" s="1017"/>
      <c r="BM206" s="1027"/>
      <c r="BN206" s="1028">
        <f>SUM(K206:K209)</f>
        <v>0</v>
      </c>
      <c r="BO206" s="971" t="str">
        <f>IF(E206=0,"",(AF206+AP206+AZ206+BJ206))</f>
        <v/>
      </c>
      <c r="BP206" s="1029" t="str">
        <f>IF(I206="Si",VLOOKUP($D$8,'Tablas Técnicas'!$E$4:$F$6,2,FALSE),"")</f>
        <v/>
      </c>
      <c r="BQ206" s="1030" t="str">
        <f>IF(L206="Si",VLOOKUP($D$8,'Tablas Técnicas'!$I$4:$J$6,2,FALSE),"")</f>
        <v/>
      </c>
      <c r="BR206" s="1028" t="str">
        <f>IF(O206="Si",VLOOKUP($D$8,'Tablas Técnicas'!$I$7:$J$9,2,FALSE),"")</f>
        <v/>
      </c>
      <c r="BS206" s="994"/>
      <c r="BU206" s="3026"/>
      <c r="BV206" s="971"/>
      <c r="BW206" s="951"/>
      <c r="BX206" s="951"/>
      <c r="BY206" s="1286"/>
      <c r="BZ206" s="1304"/>
      <c r="CA206" s="939"/>
      <c r="DR206" s="939"/>
      <c r="DT206" s="1325"/>
      <c r="DU206" s="1379"/>
      <c r="DV206" s="1380"/>
      <c r="DW206" s="1377"/>
      <c r="DX206" s="1378"/>
      <c r="DY206" s="1324"/>
      <c r="DZ206" s="939"/>
      <c r="EA206" s="1470">
        <f t="shared" si="3"/>
        <v>1</v>
      </c>
    </row>
    <row r="207" spans="1:132" x14ac:dyDescent="0.2">
      <c r="A207" s="939"/>
      <c r="B207" s="939"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822"/>
      <c r="D207" s="1453" t="s">
        <v>1766</v>
      </c>
      <c r="E207" s="983"/>
      <c r="F207" s="1019"/>
      <c r="G207" s="989" t="str">
        <f>IF(E207=0,"",VLOOKUP(E207,'Tablas Técnicas'!$A$14:$V$771,3,FALSE))</f>
        <v/>
      </c>
      <c r="H207" s="1031" t="str">
        <f>IF($E207=0,"",VLOOKUP($E207,'Tablas Técnicas'!$A$14:$V$771,4,FALSE))</f>
        <v/>
      </c>
      <c r="I207" s="987" t="s">
        <v>1690</v>
      </c>
      <c r="J207" s="1417" t="str">
        <f>IF(E207=0,"",VLOOKUP(E207,'Tablas Técnicas'!$A$14:$V$771,5,FALSE))</f>
        <v/>
      </c>
      <c r="K207" s="1033" t="str">
        <f>IF(I207="Si",IF(E207=0,"",VLOOKUP(E207,'Tablas Técnicas'!$A$14:$V$771,5,FALSE)),"")</f>
        <v/>
      </c>
      <c r="L207" s="987" t="s">
        <v>1690</v>
      </c>
      <c r="M207" s="1417" t="str">
        <f>IF(E207=0,"",VLOOKUP(E207,'Tablas Técnicas'!$A$14:$V$771,6,FALSE))</f>
        <v/>
      </c>
      <c r="N207" s="990" t="str">
        <f>IF(L207="Si",IF(E207=0,"",VLOOKUP(E207,'Tablas Técnicas'!$A$14:$V$771,6,FALSE)),"")</f>
        <v/>
      </c>
      <c r="O207" s="987" t="s">
        <v>1690</v>
      </c>
      <c r="P207" s="1417" t="str">
        <f>IF(E207=0,"",VLOOKUP(E207,'Tablas Técnicas'!$A$14:$V$771,7,FALSE))</f>
        <v/>
      </c>
      <c r="Q207" s="990" t="str">
        <f>IF(O207="Si",IF(E207=0,"",VLOOKUP(E207,'Tablas Técnicas'!$A$14:$V$771,7,FALSE)),"")</f>
        <v/>
      </c>
      <c r="R207" s="1032" t="str">
        <f>IF(E207=0,"",VLOOKUP(E207,'Tablas Técnicas'!$A$14:$V$771,8,FALSE))</f>
        <v/>
      </c>
      <c r="S207" s="1004" t="str">
        <f>IF(R207=$D$8,$D$8,IF(R207=2,2,IF(R207=3,3,R207)))</f>
        <v/>
      </c>
      <c r="T207" s="1033" t="str">
        <f>IF(E207=0,"",VLOOKUP(E207,'Tablas Técnicas'!$A$14:$V$771,9,FALSE))</f>
        <v/>
      </c>
      <c r="U207" s="1033" t="str">
        <f>IF(E207=0,"",VLOOKUP(E207,'Tablas Técnicas'!$A$14:$V$771,10,FALSE))</f>
        <v/>
      </c>
      <c r="V207" s="1034" t="str">
        <f>IF(E207=0,"",VLOOKUP(E207,'Tablas Técnicas'!$A$14:$V$771,11,FALSE))</f>
        <v/>
      </c>
      <c r="W207" s="987"/>
      <c r="X207" s="988" t="e">
        <f>VLOOKUP(E207,'Tablas Técnicas'!$A$14:$V$771,12,FALSE)</f>
        <v>#N/A</v>
      </c>
      <c r="Y207" s="988" t="e">
        <f>IF(W207=X207,VLOOKUP(E207,'Tablas Técnicas'!$A$14:$V$771,13,FALSE),0)</f>
        <v>#N/A</v>
      </c>
      <c r="Z207" s="988" t="e">
        <f>VLOOKUP(E207,'Tablas Técnicas'!$A$14:$V$771,14,FALSE)</f>
        <v>#N/A</v>
      </c>
      <c r="AA207" s="988" t="e">
        <f>IF(W207=Z207,VLOOKUP(E207,'Tablas Técnicas'!$A$14:$V$616,15,FALSE),0)</f>
        <v>#N/A</v>
      </c>
      <c r="AB207" s="988" t="e">
        <f>VLOOKUP(E207,'Tablas Técnicas'!$A$14:$V$771,16,FALSE)</f>
        <v>#N/A</v>
      </c>
      <c r="AC207" s="988" t="e">
        <f>IF(W207=AB207,VLOOKUP(E207,'Tablas Técnicas'!$A$14:$V$616,17,FALSE),0)</f>
        <v>#N/A</v>
      </c>
      <c r="AD207" s="988" t="e">
        <f>VLOOKUP(E207,'Tablas Técnicas'!$A$14:$V$771,18,FALSE)</f>
        <v>#N/A</v>
      </c>
      <c r="AE207" s="988" t="e">
        <f>IF(W207=AD207,VLOOKUP(E207,'Tablas Técnicas'!$A$14:$V$771,19,FALSE),0)</f>
        <v>#N/A</v>
      </c>
      <c r="AF207" s="1006" t="str">
        <f>IF(E207=0,"",(Y207+AA207+AC207+AE207))</f>
        <v/>
      </c>
      <c r="AG207" s="987"/>
      <c r="AH207" s="1005" t="e">
        <f>VLOOKUP(E207,'Tablas Técnicas'!$A$14:$V$771,12,FALSE)</f>
        <v>#N/A</v>
      </c>
      <c r="AI207" s="1005" t="e">
        <f>IF(AG207=AH207,VLOOKUP(E207,'Tablas Técnicas'!$A$14:$V$771,13,FALSE),0)</f>
        <v>#N/A</v>
      </c>
      <c r="AJ207" s="1005" t="e">
        <f>VLOOKUP(E207,'Tablas Técnicas'!$A$14:$V$771,14,FALSE)</f>
        <v>#N/A</v>
      </c>
      <c r="AK207" s="1005" t="e">
        <f>IF(AG207=AJ207,VLOOKUP(E207,'Tablas Técnicas'!$A$14:$V$771,15,FALSE),0)</f>
        <v>#N/A</v>
      </c>
      <c r="AL207" s="1005" t="e">
        <f>VLOOKUP(E207,'Tablas Técnicas'!$A$14:$V$771,16,FALSE)</f>
        <v>#N/A</v>
      </c>
      <c r="AM207" s="1005" t="e">
        <f>IF(AG207=AL207,VLOOKUP(E207,'Tablas Técnicas'!$A$14:$V$771,17,FALSE),0)</f>
        <v>#N/A</v>
      </c>
      <c r="AN207" s="1005" t="e">
        <f>VLOOKUP(E207,'Tablas Técnicas'!$A$14:$V$771,18,FALSE)</f>
        <v>#N/A</v>
      </c>
      <c r="AO207" s="1005" t="e">
        <f>IF(AG207=AN207,VLOOKUP(E207,'Tablas Técnicas'!$A$14:$V$771,19,FALSE),0)</f>
        <v>#N/A</v>
      </c>
      <c r="AP207" s="3034" t="str">
        <f>IF(E207=0,"",(AI207+AK207+AM207+AO207))</f>
        <v/>
      </c>
      <c r="AQ207" s="987"/>
      <c r="AR207" s="1005" t="e">
        <f>VLOOKUP(E207,'Tablas Técnicas'!$A$14:$V$771,12,FALSE)</f>
        <v>#N/A</v>
      </c>
      <c r="AS207" s="1005" t="e">
        <f>IF(AQ207=AR207,VLOOKUP(E207,'Tablas Técnicas'!$A$14:$V$771,13,FALSE),0)</f>
        <v>#N/A</v>
      </c>
      <c r="AT207" s="1005" t="e">
        <f>VLOOKUP(E207,'Tablas Técnicas'!$A$14:$V$771,14,FALSE)</f>
        <v>#N/A</v>
      </c>
      <c r="AU207" s="1005" t="e">
        <f>IF(AQ207=AT207,VLOOKUP(E207,'Tablas Técnicas'!$A$14:$V$771,15,FALSE),0)</f>
        <v>#N/A</v>
      </c>
      <c r="AV207" s="1005" t="e">
        <f>VLOOKUP(E207,'Tablas Técnicas'!$A$14:$V$771,16,FALSE)</f>
        <v>#N/A</v>
      </c>
      <c r="AW207" s="1005" t="e">
        <f>IF(AQ207=AV207,VLOOKUP(E207,'Tablas Técnicas'!$A$14:$V$771,17,FALSE),0)</f>
        <v>#N/A</v>
      </c>
      <c r="AX207" s="1005" t="e">
        <f>VLOOKUP(E207,'Tablas Técnicas'!$A$14:$V$771,18,FALSE)</f>
        <v>#N/A</v>
      </c>
      <c r="AY207" s="1005" t="e">
        <f>IF(AQ207=AX207,VLOOKUP(E207,'Tablas Técnicas'!$A$14:$V$771,19,FALSE),0)</f>
        <v>#N/A</v>
      </c>
      <c r="AZ207" s="1006" t="str">
        <f>IF(E207=0,"",(AS207+AU207+AW207+AY207))</f>
        <v/>
      </c>
      <c r="BA207" s="987"/>
      <c r="BB207" s="1005" t="e">
        <f>VLOOKUP(E207,'Tablas Técnicas'!$A$14:$V$771,12,FALSE)</f>
        <v>#N/A</v>
      </c>
      <c r="BC207" s="1005" t="e">
        <f>IF(BA207=BB207,VLOOKUP(E207,'Tablas Técnicas'!$A$14:$V$771,13,FALSE),0)</f>
        <v>#N/A</v>
      </c>
      <c r="BD207" s="1005" t="e">
        <f>VLOOKUP(E207,'Tablas Técnicas'!$A$14:$V$771,14,FALSE)</f>
        <v>#N/A</v>
      </c>
      <c r="BE207" s="1005" t="e">
        <f>IF(BA207=BD207,VLOOKUP(E207,'Tablas Técnicas'!$A$14:$V$771,15,FALSE),0)</f>
        <v>#N/A</v>
      </c>
      <c r="BF207" s="1005" t="e">
        <f>VLOOKUP(E207,'Tablas Técnicas'!$A$14:$V$771,16,FALSE)</f>
        <v>#N/A</v>
      </c>
      <c r="BG207" s="1005" t="e">
        <f>IF(BA207=BF207,VLOOKUP(E207,'Tablas Técnicas'!$A$14:$V$771,17,FALSE),0)</f>
        <v>#N/A</v>
      </c>
      <c r="BH207" s="1005" t="e">
        <f>VLOOKUP(E207,'Tablas Técnicas'!$A$14:$V$771,18,FALSE)</f>
        <v>#N/A</v>
      </c>
      <c r="BI207" s="1005" t="e">
        <f>IF(BA207=BH207,VLOOKUP(E207,'Tablas Técnicas'!$A$14:$V$771,19,FALSE),0)</f>
        <v>#N/A</v>
      </c>
      <c r="BJ207" s="3034" t="str">
        <f>IF(E207=0,"",(BC207+BE207+BG207+BI207))</f>
        <v/>
      </c>
      <c r="BK207" s="1033" t="str">
        <f>IF(E207=0,"",VLOOKUP(E207,'Tablas Técnicas'!$A$14:$V$771,20,FALSE))</f>
        <v/>
      </c>
      <c r="BL207" s="1020" t="str">
        <f>IF(E207=0,"",VLOOKUP(E207,'Tablas Técnicas'!$A$14:$V$771,21,FALSE))</f>
        <v/>
      </c>
      <c r="BM207" s="991" t="str">
        <f>IF(E207=0,"",VLOOKUP(E207,'Tablas Técnicas'!$A$14:$V$771,22,FALSE))</f>
        <v/>
      </c>
      <c r="BN207" s="992"/>
      <c r="BO207" s="993"/>
      <c r="BP207" s="978" t="str">
        <f>IF(I207="Si",VLOOKUP($D$8,'Tablas Técnicas'!$E$4:$F$6,2,FALSE),"")</f>
        <v/>
      </c>
      <c r="BQ207" s="979" t="str">
        <f>IF(L207="Si",VLOOKUP($D$8,'Tablas Técnicas'!$I$4:$J$6,2,FALSE),"")</f>
        <v/>
      </c>
      <c r="BR207" s="977" t="str">
        <f>IF(O207="Si",VLOOKUP($D$8,'Tablas Técnicas'!$I$7:$J$9,2,FALSE),"")</f>
        <v/>
      </c>
      <c r="BS207" s="994"/>
      <c r="BT207" s="3023" t="s">
        <v>1682</v>
      </c>
      <c r="BU207" s="3024" t="s">
        <v>4550</v>
      </c>
      <c r="BV207" s="971"/>
      <c r="BW207" s="3024" t="s">
        <v>4551</v>
      </c>
      <c r="BX207" s="3023" t="s">
        <v>4552</v>
      </c>
      <c r="BY207" s="1300" t="s">
        <v>4552</v>
      </c>
      <c r="BZ207" s="1304"/>
      <c r="CA207" s="939"/>
      <c r="DR207" s="939"/>
      <c r="DT207" s="1325"/>
      <c r="DU207" s="1379"/>
      <c r="DV207" s="1376" t="str">
        <f>IF(E207="","",", "&amp;E207)&amp;IF(I207="No",""," (Mant.)")&amp;IF(L207="No",""," (Sme)")&amp;IF(O207="No",""," (SMa)")</f>
        <v/>
      </c>
      <c r="DW207" s="1377"/>
      <c r="DX207" s="1378"/>
      <c r="DY207" s="1324"/>
      <c r="DZ207" s="939"/>
      <c r="EA207" s="1470">
        <f t="shared" si="3"/>
        <v>1</v>
      </c>
    </row>
    <row r="208" spans="1:132" x14ac:dyDescent="0.2">
      <c r="A208" s="939"/>
      <c r="B208" s="939"/>
      <c r="C208" s="4822"/>
      <c r="D208" s="1452" t="s">
        <v>1766</v>
      </c>
      <c r="E208" s="995"/>
      <c r="F208" s="1025"/>
      <c r="G208" s="1437" t="str">
        <f>IF(E208=0,"",VLOOKUP(E208,'Tablas Técnicas'!$A$14:$V$771,3,FALSE))</f>
        <v/>
      </c>
      <c r="H208" s="998" t="str">
        <f>IF($E208=0,"",VLOOKUP($E208,'Tablas Técnicas'!$A$14:$V$771,4,FALSE))</f>
        <v/>
      </c>
      <c r="I208" s="999" t="s">
        <v>1690</v>
      </c>
      <c r="J208" s="1415" t="str">
        <f>IF(E208=0,"",VLOOKUP(E208,'Tablas Técnicas'!$A$14:$V$771,5,FALSE))</f>
        <v/>
      </c>
      <c r="K208" s="1001" t="str">
        <f>IF(I208="Si",IF(E208=0,"",VLOOKUP(E208,'Tablas Técnicas'!$A$14:$V$771,5,FALSE)),"")</f>
        <v/>
      </c>
      <c r="L208" s="999" t="s">
        <v>1690</v>
      </c>
      <c r="M208" s="1415" t="str">
        <f>IF(E208=0,"",VLOOKUP(E208,'Tablas Técnicas'!$A$14:$V$771,6,FALSE))</f>
        <v/>
      </c>
      <c r="N208" s="1002" t="str">
        <f>IF(L208="Si",IF(E208=0,"",VLOOKUP(E208,'Tablas Técnicas'!$A$14:$V$771,6,FALSE)),"")</f>
        <v/>
      </c>
      <c r="O208" s="999" t="s">
        <v>1690</v>
      </c>
      <c r="P208" s="1415" t="str">
        <f>IF(E208=0,"",VLOOKUP(E208,'Tablas Técnicas'!$A$14:$V$771,7,FALSE))</f>
        <v/>
      </c>
      <c r="Q208" s="1002" t="str">
        <f>IF(O208="Si",IF(E208=0,"",VLOOKUP(E208,'Tablas Técnicas'!$A$14:$V$771,7,FALSE)),"")</f>
        <v/>
      </c>
      <c r="R208" s="1000" t="str">
        <f>IF(E208=0,"",VLOOKUP(E208,'Tablas Técnicas'!$A$14:$V$771,8,FALSE))</f>
        <v/>
      </c>
      <c r="S208" s="998" t="str">
        <f>IF(R208=$D$8,$D$8,IF(R208=2,2,IF(R208=3,3,R208)))</f>
        <v/>
      </c>
      <c r="T208" s="4796" t="s">
        <v>4542</v>
      </c>
      <c r="U208" s="4797"/>
      <c r="V208" s="4797"/>
      <c r="W208" s="4797"/>
      <c r="X208" s="4797"/>
      <c r="Y208" s="4797"/>
      <c r="Z208" s="4797"/>
      <c r="AA208" s="4797"/>
      <c r="AB208" s="4797"/>
      <c r="AC208" s="4797"/>
      <c r="AD208" s="4797"/>
      <c r="AE208" s="4797"/>
      <c r="AF208" s="4797"/>
      <c r="AG208" s="4797"/>
      <c r="AH208" s="4797"/>
      <c r="AI208" s="4797"/>
      <c r="AJ208" s="4797"/>
      <c r="AK208" s="4797"/>
      <c r="AL208" s="4797"/>
      <c r="AM208" s="4797"/>
      <c r="AN208" s="4797"/>
      <c r="AO208" s="4797"/>
      <c r="AP208" s="4797"/>
      <c r="AQ208" s="4797"/>
      <c r="AR208" s="4797"/>
      <c r="AS208" s="4797"/>
      <c r="AT208" s="4797"/>
      <c r="AU208" s="4797"/>
      <c r="AV208" s="4797"/>
      <c r="AW208" s="4797"/>
      <c r="AX208" s="4797"/>
      <c r="AY208" s="4797"/>
      <c r="AZ208" s="4797"/>
      <c r="BA208" s="4797"/>
      <c r="BB208" s="4797"/>
      <c r="BC208" s="4797"/>
      <c r="BD208" s="4797"/>
      <c r="BE208" s="4797"/>
      <c r="BF208" s="4797"/>
      <c r="BG208" s="4797"/>
      <c r="BH208" s="4797"/>
      <c r="BI208" s="4797"/>
      <c r="BJ208" s="4797"/>
      <c r="BK208" s="4798"/>
      <c r="BL208" s="1437"/>
      <c r="BM208" s="1438"/>
      <c r="BN208" s="992"/>
      <c r="BO208" s="993"/>
      <c r="BP208" s="978" t="str">
        <f>IF(I208="Si",VLOOKUP($D$8,'Tablas Técnicas'!$E$4:$F$6,2,FALSE),"")</f>
        <v/>
      </c>
      <c r="BQ208" s="979" t="str">
        <f>IF(L208="Si",VLOOKUP($D$8,'Tablas Técnicas'!$I$4:$J$6,2,FALSE),"")</f>
        <v/>
      </c>
      <c r="BR208" s="977" t="str">
        <f>IF(O208="Si",VLOOKUP($D$8,'Tablas Técnicas'!$I$7:$J$9,2,FALSE),"")</f>
        <v/>
      </c>
      <c r="BS208" s="994"/>
      <c r="BT208" s="3028">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356"/>
      <c r="BV208" s="971"/>
      <c r="BW208" s="1026" t="str">
        <f>IF(SUM(BT208:BU208)=0,"N/A",SUM(BT208:BU208))</f>
        <v>N/A</v>
      </c>
      <c r="BX208" s="3028">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26" t="str">
        <f>IF(BX208=0,"N/A",BX208)</f>
        <v>N/A</v>
      </c>
      <c r="BZ208" s="1304"/>
      <c r="CA208" s="939"/>
      <c r="DR208" s="939"/>
      <c r="DT208" s="1325"/>
      <c r="DU208" s="1379"/>
      <c r="DV208" s="1376" t="str">
        <f>IF(E208="",""," "&amp;E208)&amp;IF(I208="No",""," (Mant.)")&amp;IF(L208="No",""," (Sme)")&amp;IF(O208="No",""," (SMa)")</f>
        <v/>
      </c>
      <c r="DW208" s="1377"/>
      <c r="DX208" s="1378"/>
      <c r="DY208" s="1324"/>
      <c r="DZ208" s="939"/>
      <c r="EA208" s="1470">
        <f t="shared" si="3"/>
        <v>1</v>
      </c>
    </row>
    <row r="209" spans="1:131" x14ac:dyDescent="0.2">
      <c r="A209" s="939"/>
      <c r="B209" s="939"/>
      <c r="C209" s="4822"/>
      <c r="D209" s="1453" t="s">
        <v>1766</v>
      </c>
      <c r="E209" s="1003"/>
      <c r="F209" s="1019"/>
      <c r="G209" s="989" t="str">
        <f>IF(E209=0,"",VLOOKUP(E209,'Tablas Técnicas'!$A$14:$V$771,3,FALSE))</f>
        <v/>
      </c>
      <c r="H209" s="3033" t="str">
        <f>IF($E209=0,"",VLOOKUP($E209,'Tablas Técnicas'!$A$14:$V$771,4,FALSE))</f>
        <v/>
      </c>
      <c r="I209" s="987" t="s">
        <v>1690</v>
      </c>
      <c r="J209" s="1411" t="str">
        <f>IF(E209=0,"",VLOOKUP(E209,'Tablas Técnicas'!$A$14:$V$771,5,FALSE))</f>
        <v/>
      </c>
      <c r="K209" s="1006" t="str">
        <f>IF(I209="Si",IF(E209=0,"",VLOOKUP(E209,'Tablas Técnicas'!$A$14:$V$771,5,FALSE)),"")</f>
        <v/>
      </c>
      <c r="L209" s="987" t="s">
        <v>1690</v>
      </c>
      <c r="M209" s="1411" t="str">
        <f>IF(E209=0,"",VLOOKUP(E209,'Tablas Técnicas'!$A$14:$V$771,6,FALSE))</f>
        <v/>
      </c>
      <c r="N209" s="990" t="str">
        <f>IF(L209="Si",IF(E209=0,"",VLOOKUP(E209,'Tablas Técnicas'!$A$14:$V$771,6,FALSE)),"")</f>
        <v/>
      </c>
      <c r="O209" s="987" t="s">
        <v>1690</v>
      </c>
      <c r="P209" s="1411" t="str">
        <f>IF(E209=0,"",VLOOKUP(E209,'Tablas Técnicas'!$A$14:$V$771,7,FALSE))</f>
        <v/>
      </c>
      <c r="Q209" s="990" t="str">
        <f>IF(O209="Si",IF(E209=0,"",VLOOKUP(E209,'Tablas Técnicas'!$A$14:$V$771,7,FALSE)),"")</f>
        <v/>
      </c>
      <c r="R209" s="1005" t="str">
        <f>IF(E209=0,"",VLOOKUP(E209,'Tablas Técnicas'!$A$14:$V$771,8,FALSE))</f>
        <v/>
      </c>
      <c r="S209" s="3033" t="str">
        <f>IF(R209=$D$8,$D$8,IF(R209=2,2,IF(R209=3,3,R209)))</f>
        <v/>
      </c>
      <c r="T209" s="4809"/>
      <c r="U209" s="4810"/>
      <c r="V209" s="3029" t="str">
        <f>IF(OR(V207=0,V207=""),"N/A",V207)</f>
        <v>N/A</v>
      </c>
      <c r="W209" s="4809" t="str">
        <f xml:space="preserve"> IF(OR(AF207=0,AF207=""),"N/A",W207)</f>
        <v>N/A</v>
      </c>
      <c r="X209" s="4811"/>
      <c r="Y209" s="4811"/>
      <c r="Z209" s="4811"/>
      <c r="AA209" s="4811"/>
      <c r="AB209" s="4811"/>
      <c r="AC209" s="4811"/>
      <c r="AD209" s="4811"/>
      <c r="AE209" s="4811"/>
      <c r="AF209" s="4810"/>
      <c r="AG209" s="4809" t="str">
        <f xml:space="preserve"> IF(OR(AP207="",AP207=0),"N/A",AG207)</f>
        <v>N/A</v>
      </c>
      <c r="AH209" s="4811"/>
      <c r="AI209" s="4811"/>
      <c r="AJ209" s="4811"/>
      <c r="AK209" s="4811"/>
      <c r="AL209" s="4811"/>
      <c r="AM209" s="4811"/>
      <c r="AN209" s="4811"/>
      <c r="AO209" s="4811"/>
      <c r="AP209" s="4810"/>
      <c r="AQ209" s="4809" t="str">
        <f xml:space="preserve"> IF(OR(AZ207="",AZ207=0),"N/A",AQ207)</f>
        <v>N/A</v>
      </c>
      <c r="AR209" s="4811"/>
      <c r="AS209" s="4811"/>
      <c r="AT209" s="4811"/>
      <c r="AU209" s="4811"/>
      <c r="AV209" s="4811"/>
      <c r="AW209" s="4811"/>
      <c r="AX209" s="4811"/>
      <c r="AY209" s="4811"/>
      <c r="AZ209" s="4810"/>
      <c r="BA209" s="4809" t="str">
        <f xml:space="preserve"> IF(OR(BJ207="",BJ207=0),"N/A",BA207)</f>
        <v>N/A</v>
      </c>
      <c r="BB209" s="4811"/>
      <c r="BC209" s="4811"/>
      <c r="BD209" s="4811"/>
      <c r="BE209" s="4811"/>
      <c r="BF209" s="4811"/>
      <c r="BG209" s="4811"/>
      <c r="BH209" s="4811"/>
      <c r="BI209" s="4811"/>
      <c r="BJ209" s="4810"/>
      <c r="BK209" s="1007" t="s">
        <v>4543</v>
      </c>
      <c r="BL209" s="989"/>
      <c r="BM209" s="1024"/>
      <c r="BN209" s="1008"/>
      <c r="BO209" s="1009"/>
      <c r="BP209" s="1010" t="str">
        <f>IF(I209="Si",VLOOKUP($D$8,'Tablas Técnicas'!$E$4:$F$6,2,FALSE),"")</f>
        <v/>
      </c>
      <c r="BQ209" s="980" t="str">
        <f>IF(L209="Si",VLOOKUP($D$8,'Tablas Técnicas'!$I$4:$J$6,2,FALSE),"")</f>
        <v/>
      </c>
      <c r="BR209" s="1011" t="str">
        <f>IF(O209="Si",VLOOKUP($D$8,'Tablas Técnicas'!$I$7:$J$9,2,FALSE),"")</f>
        <v/>
      </c>
      <c r="BS209" s="994"/>
      <c r="BT209" s="3023" t="s">
        <v>1809</v>
      </c>
      <c r="BU209" s="3024" t="s">
        <v>4550</v>
      </c>
      <c r="BV209" s="971"/>
      <c r="BW209" s="3024" t="s">
        <v>4551</v>
      </c>
      <c r="BX209" s="3023" t="s">
        <v>4552</v>
      </c>
      <c r="BY209" s="1301" t="s">
        <v>4552</v>
      </c>
      <c r="BZ209" s="1304"/>
      <c r="CA209" s="939"/>
      <c r="DR209" s="939"/>
      <c r="DT209" s="1325"/>
      <c r="DU209" s="1379"/>
      <c r="DV209" s="1376" t="str">
        <f>IF(E209="","",E209)&amp;IF(I209="No",""," (Mant.)")&amp;IF(L209="No",""," (Sme)")&amp;IF(O209="No",""," (SMa)")</f>
        <v/>
      </c>
      <c r="DW209" s="1376"/>
      <c r="DX209" s="1378"/>
      <c r="DY209" s="1324"/>
      <c r="DZ209" s="939"/>
      <c r="EA209" s="1470">
        <f t="shared" si="3"/>
        <v>1</v>
      </c>
    </row>
    <row r="210" spans="1:131" x14ac:dyDescent="0.2">
      <c r="A210" s="939"/>
      <c r="B210" s="939"/>
      <c r="C210" s="4822"/>
      <c r="D210" s="1452" t="s">
        <v>1766</v>
      </c>
      <c r="E210" s="995"/>
      <c r="F210" s="1025"/>
      <c r="G210" s="1437" t="str">
        <f>IF(E210=0,"",VLOOKUP(E210,'Tablas Técnicas'!$A$14:$V$771,3,FALSE))</f>
        <v/>
      </c>
      <c r="H210" s="998" t="str">
        <f>IF($E210=0,"",VLOOKUP($E210,'Tablas Técnicas'!$A$14:$V$771,4,FALSE))</f>
        <v/>
      </c>
      <c r="I210" s="999" t="s">
        <v>1690</v>
      </c>
      <c r="J210" s="1415" t="str">
        <f>IF(E210=0,"",VLOOKUP(E210,'Tablas Técnicas'!$A$14:$V$771,5,FALSE))</f>
        <v/>
      </c>
      <c r="K210" s="1001" t="str">
        <f>IF(I210="Si",IF(E210=0,"",VLOOKUP(E210,'Tablas Técnicas'!$A$14:$V$771,5,FALSE)),"")</f>
        <v/>
      </c>
      <c r="L210" s="999" t="s">
        <v>1690</v>
      </c>
      <c r="M210" s="1415" t="str">
        <f>IF(E210=0,"",VLOOKUP(E210,'Tablas Técnicas'!$A$14:$V$771,6,FALSE))</f>
        <v/>
      </c>
      <c r="N210" s="1002" t="str">
        <f>IF(L210="Si",IF(E210=0,"",VLOOKUP(E210,'Tablas Técnicas'!$A$14:$V$771,6,FALSE)),"")</f>
        <v/>
      </c>
      <c r="O210" s="999" t="s">
        <v>1690</v>
      </c>
      <c r="P210" s="1415" t="str">
        <f>IF(E210=0,"",VLOOKUP(E210,'Tablas Técnicas'!$A$14:$V$771,7,FALSE))</f>
        <v/>
      </c>
      <c r="Q210" s="1002" t="str">
        <f>IF(O210="Si",IF(E210=0,"",VLOOKUP(E210,'Tablas Técnicas'!$A$14:$V$771,7,FALSE)),"")</f>
        <v/>
      </c>
      <c r="R210" s="1000" t="str">
        <f>IF(E210=0,"",VLOOKUP(E210,'Tablas Técnicas'!$A$14:$V$771,8,FALSE))</f>
        <v/>
      </c>
      <c r="S210" s="998" t="str">
        <f>IF(R210=$D$8,$D$8,IF(R210=2,2,IF(R210=3,3,R210)))</f>
        <v/>
      </c>
      <c r="T210" s="4812" t="s">
        <v>4544</v>
      </c>
      <c r="U210" s="4813"/>
      <c r="V210" s="3025"/>
      <c r="W210" s="4814"/>
      <c r="X210" s="4815"/>
      <c r="Y210" s="4815"/>
      <c r="Z210" s="4815"/>
      <c r="AA210" s="4815"/>
      <c r="AB210" s="4815"/>
      <c r="AC210" s="4815"/>
      <c r="AD210" s="4815"/>
      <c r="AE210" s="4815"/>
      <c r="AF210" s="4816"/>
      <c r="AG210" s="4814"/>
      <c r="AH210" s="4815"/>
      <c r="AI210" s="4815"/>
      <c r="AJ210" s="4815"/>
      <c r="AK210" s="4815"/>
      <c r="AL210" s="4815"/>
      <c r="AM210" s="4815"/>
      <c r="AN210" s="4815"/>
      <c r="AO210" s="4815"/>
      <c r="AP210" s="4816"/>
      <c r="AQ210" s="4814"/>
      <c r="AR210" s="4815"/>
      <c r="AS210" s="4815"/>
      <c r="AT210" s="4815"/>
      <c r="AU210" s="4815"/>
      <c r="AV210" s="4815"/>
      <c r="AW210" s="4815"/>
      <c r="AX210" s="4815"/>
      <c r="AY210" s="4815"/>
      <c r="AZ210" s="4816"/>
      <c r="BA210" s="4814"/>
      <c r="BB210" s="4815"/>
      <c r="BC210" s="4815"/>
      <c r="BD210" s="4815"/>
      <c r="BE210" s="4815"/>
      <c r="BF210" s="4815"/>
      <c r="BG210" s="4815"/>
      <c r="BH210" s="4815"/>
      <c r="BI210" s="4815"/>
      <c r="BJ210" s="4816"/>
      <c r="BK210" s="998">
        <f>(SUM(G207:G211)+IF(AF207="",0,AF207)+IF(AP207="",0,AP207)+IF(AZ207="",0,AZ207)+IF(BJ207="",0,BJ207)+SUM(K207:K211)+SUM(N207:N211)+SUM(Q207:Q211))- SUM(V210:BA210)</f>
        <v>0</v>
      </c>
      <c r="BL210" s="1437"/>
      <c r="BM210" s="1438"/>
      <c r="BN210" s="992"/>
      <c r="BO210" s="993"/>
      <c r="BP210" s="978" t="str">
        <f>IF(I210="Si",VLOOKUP($D$8,'Tablas Técnicas'!$E$4:$F$6,2,FALSE),"")</f>
        <v/>
      </c>
      <c r="BQ210" s="979" t="str">
        <f>IF(L210="Si",VLOOKUP($D$8,'Tablas Técnicas'!$I$4:$J$6,2,FALSE),"")</f>
        <v/>
      </c>
      <c r="BR210" s="977" t="str">
        <f>IF(O210="Si",VLOOKUP($D$8,'Tablas Técnicas'!$I$7:$J$9,2,FALSE),"")</f>
        <v/>
      </c>
      <c r="BS210" s="994"/>
      <c r="BT210" s="3028">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356"/>
      <c r="BV210" s="971"/>
      <c r="BW210" s="1026" t="str">
        <f>IF(SUM(BT210:BU210)=0,"N/A",SUM(BT210:BU210))</f>
        <v>N/A</v>
      </c>
      <c r="BX210" s="3028">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26" t="str">
        <f>IF(BX210=0,"N/A",BX210)</f>
        <v>N/A</v>
      </c>
      <c r="BZ210" s="1304"/>
      <c r="CA210" s="943"/>
      <c r="DR210" s="943"/>
      <c r="DT210" s="1326"/>
      <c r="DU210" s="1375"/>
      <c r="DV210" s="1376" t="str">
        <f>IF(E210="","",E210)&amp;IF(I210="No",""," (Mant.)")&amp;IF(L210="No",""," (Sme)")&amp;IF(O210="No",""," (SMa)")</f>
        <v/>
      </c>
      <c r="DW210" s="1376"/>
      <c r="DX210" s="1381"/>
      <c r="DY210" s="1327"/>
      <c r="DZ210" s="943"/>
      <c r="EA210" s="1470">
        <f t="shared" si="3"/>
        <v>1</v>
      </c>
    </row>
    <row r="211" spans="1:131" x14ac:dyDescent="0.2">
      <c r="A211" s="939"/>
      <c r="B211" s="939"/>
      <c r="C211" s="4822"/>
      <c r="D211" s="1453" t="s">
        <v>1766</v>
      </c>
      <c r="E211" s="1003"/>
      <c r="F211" s="1019"/>
      <c r="G211" s="989" t="str">
        <f>IF(E211=0,"",VLOOKUP(E211,'Tablas Técnicas'!$A$14:$V$771,3,FALSE))</f>
        <v/>
      </c>
      <c r="H211" s="1014" t="str">
        <f>IF($E211=0,"",VLOOKUP($E211,'Tablas Técnicas'!$A$14:$V$771,4,FALSE))</f>
        <v/>
      </c>
      <c r="I211" s="987" t="s">
        <v>1690</v>
      </c>
      <c r="J211" s="1418" t="str">
        <f>IF(E211=0,"",VLOOKUP(E211,'Tablas Técnicas'!$A$14:$V$771,5,FALSE))</f>
        <v/>
      </c>
      <c r="K211" s="1015" t="str">
        <f>IF(I211="Si",IF(E211=0,"",VLOOKUP(E211,'Tablas Técnicas'!$A$14:$V$771,5,FALSE)),"")</f>
        <v/>
      </c>
      <c r="L211" s="987" t="s">
        <v>1690</v>
      </c>
      <c r="M211" s="1418" t="str">
        <f>IF(E211=0,"",VLOOKUP(E211,'Tablas Técnicas'!$A$14:$V$771,6,FALSE))</f>
        <v/>
      </c>
      <c r="N211" s="990" t="str">
        <f>IF(L211="Si",IF(E211=0,"",VLOOKUP(E211,'Tablas Técnicas'!$A$14:$V$771,6,FALSE)),"")</f>
        <v/>
      </c>
      <c r="O211" s="987" t="s">
        <v>1690</v>
      </c>
      <c r="P211" s="1418" t="str">
        <f>IF(E211=0,"",VLOOKUP(E211,'Tablas Técnicas'!$A$14:$V$771,7,FALSE))</f>
        <v/>
      </c>
      <c r="Q211" s="990" t="str">
        <f>IF(O211="Si",IF(E211=0,"",VLOOKUP(E211,'Tablas Técnicas'!$A$14:$V$771,7,FALSE)),"")</f>
        <v/>
      </c>
      <c r="R211" s="1035" t="str">
        <f>IF(E211=0,"",VLOOKUP(E211,'Tablas Técnicas'!$A$14:$V$771,8,FALSE))</f>
        <v/>
      </c>
      <c r="S211" s="1004" t="str">
        <f>IF(R211=$D$8,$D$8,IF(R211=2,2,IF(R211=3,3,R211)))</f>
        <v/>
      </c>
      <c r="T211" s="4803" t="s">
        <v>4546</v>
      </c>
      <c r="U211" s="4804"/>
      <c r="V211" s="3032"/>
      <c r="W211" s="4805"/>
      <c r="X211" s="4806"/>
      <c r="Y211" s="4806"/>
      <c r="Z211" s="4806"/>
      <c r="AA211" s="4806"/>
      <c r="AB211" s="4806"/>
      <c r="AC211" s="4806"/>
      <c r="AD211" s="4806"/>
      <c r="AE211" s="4806"/>
      <c r="AF211" s="4807"/>
      <c r="AG211" s="4805"/>
      <c r="AH211" s="4806"/>
      <c r="AI211" s="4806"/>
      <c r="AJ211" s="4806"/>
      <c r="AK211" s="4806"/>
      <c r="AL211" s="4806"/>
      <c r="AM211" s="4806"/>
      <c r="AN211" s="4806"/>
      <c r="AO211" s="4806"/>
      <c r="AP211" s="4807"/>
      <c r="AQ211" s="4805"/>
      <c r="AR211" s="4806"/>
      <c r="AS211" s="4806"/>
      <c r="AT211" s="4806"/>
      <c r="AU211" s="4806"/>
      <c r="AV211" s="4806"/>
      <c r="AW211" s="4806"/>
      <c r="AX211" s="4806"/>
      <c r="AY211" s="4806"/>
      <c r="AZ211" s="4807"/>
      <c r="BA211" s="4805"/>
      <c r="BB211" s="4806"/>
      <c r="BC211" s="4806"/>
      <c r="BD211" s="4806"/>
      <c r="BE211" s="4806"/>
      <c r="BF211" s="4806"/>
      <c r="BG211" s="4806"/>
      <c r="BH211" s="4806"/>
      <c r="BI211" s="4806"/>
      <c r="BJ211" s="4807"/>
      <c r="BK211" s="1014">
        <f>SUM(K207:K211)-SUM(V211:BA211)</f>
        <v>0</v>
      </c>
      <c r="BL211" s="1439"/>
      <c r="BM211" s="1440"/>
      <c r="BN211" s="1008"/>
      <c r="BO211" s="1009"/>
      <c r="BP211" s="1010" t="str">
        <f>IF(I211="Si",VLOOKUP($D$8,'Tablas Técnicas'!$E$4:$F$6,2,FALSE),"")</f>
        <v/>
      </c>
      <c r="BQ211" s="980" t="str">
        <f>IF(L211="Si",VLOOKUP($D$8,'Tablas Técnicas'!$I$4:$J$6,2,FALSE),"")</f>
        <v/>
      </c>
      <c r="BR211" s="1011" t="str">
        <f>IF(O211="Si",VLOOKUP($D$8,'Tablas Técnicas'!$I$7:$J$9,2,FALSE),"")</f>
        <v/>
      </c>
      <c r="BS211" s="994"/>
      <c r="BT211" s="3023" t="s">
        <v>1687</v>
      </c>
      <c r="BU211" s="3024" t="s">
        <v>4550</v>
      </c>
      <c r="BV211" s="971"/>
      <c r="BW211" s="3024" t="s">
        <v>4551</v>
      </c>
      <c r="BX211" s="3023" t="s">
        <v>4552</v>
      </c>
      <c r="BY211" s="1301" t="s">
        <v>4552</v>
      </c>
      <c r="BZ211" s="1304"/>
      <c r="CA211" s="939"/>
      <c r="DR211" s="939"/>
      <c r="DT211" s="1325"/>
      <c r="DU211" s="1379"/>
      <c r="DV211" s="1376" t="str">
        <f>IF(E211="","",E211)&amp;IF(I211="No",""," (Mant.)")&amp;IF(L211="No",""," (Sme)")&amp;IF(O211="No",""," (SMa)")</f>
        <v/>
      </c>
      <c r="DW211" s="1376"/>
      <c r="DX211" s="1378"/>
      <c r="DY211" s="1324"/>
      <c r="DZ211" s="939"/>
      <c r="EA211" s="1470">
        <f t="shared" si="3"/>
        <v>1</v>
      </c>
    </row>
    <row r="212" spans="1:131" x14ac:dyDescent="0.2">
      <c r="A212" s="939"/>
      <c r="B212" s="1403"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822"/>
      <c r="D212" s="1454">
        <v>4</v>
      </c>
      <c r="E212" s="1246"/>
      <c r="F212" s="1016"/>
      <c r="G212" s="1017"/>
      <c r="H212" s="2159">
        <f t="array" ref="H212">IF(AND(OR(ISNUMBER(SEARCH("Empatía Elemental ("&amp;BK207:BM207&amp;")",Principal!$AF$30))),SUM(H207:H211)&gt;=10),-5,0)</f>
        <v>0</v>
      </c>
      <c r="I212" s="1413"/>
      <c r="J212" s="1416"/>
      <c r="K212" s="1017"/>
      <c r="L212" s="1413"/>
      <c r="M212" s="1416"/>
      <c r="N212" s="1017"/>
      <c r="O212" s="1413"/>
      <c r="P212" s="1416"/>
      <c r="Q212" s="1017"/>
      <c r="R212" s="1018"/>
      <c r="S212" s="1017"/>
      <c r="T212" s="1017"/>
      <c r="U212" s="1017"/>
      <c r="V212" s="1017"/>
      <c r="W212" s="1017"/>
      <c r="X212" s="1017"/>
      <c r="Y212" s="1017"/>
      <c r="Z212" s="1017"/>
      <c r="AA212" s="1017"/>
      <c r="AB212" s="1017"/>
      <c r="AC212" s="1017"/>
      <c r="AD212" s="1017"/>
      <c r="AE212" s="1017"/>
      <c r="AF212" s="1017"/>
      <c r="AG212" s="1017"/>
      <c r="AH212" s="1017"/>
      <c r="AI212" s="1017"/>
      <c r="AJ212" s="1017"/>
      <c r="AK212" s="1017"/>
      <c r="AL212" s="1017"/>
      <c r="AM212" s="1017"/>
      <c r="AN212" s="1017"/>
      <c r="AO212" s="1017"/>
      <c r="AP212" s="1017"/>
      <c r="AQ212" s="1017"/>
      <c r="AR212" s="1017"/>
      <c r="AS212" s="1017"/>
      <c r="AT212" s="1017"/>
      <c r="AU212" s="1017"/>
      <c r="AV212" s="1017"/>
      <c r="AW212" s="1017"/>
      <c r="AX212" s="1017"/>
      <c r="AY212" s="1017"/>
      <c r="AZ212" s="1017"/>
      <c r="BA212" s="1017"/>
      <c r="BB212" s="1017"/>
      <c r="BC212" s="1017"/>
      <c r="BD212" s="1017"/>
      <c r="BE212" s="1017"/>
      <c r="BF212" s="1017"/>
      <c r="BG212" s="1017"/>
      <c r="BH212" s="1017"/>
      <c r="BI212" s="1017"/>
      <c r="BJ212" s="1017"/>
      <c r="BK212" s="1017"/>
      <c r="BL212" s="1017"/>
      <c r="BM212" s="1027"/>
      <c r="BN212" s="1028">
        <f>SUM(K212:K215)</f>
        <v>0</v>
      </c>
      <c r="BO212" s="971" t="str">
        <f>IF(E212=0,"",(AF212+AP212+AZ212+BJ212))</f>
        <v/>
      </c>
      <c r="BP212" s="1029" t="str">
        <f>IF(I212="Si",VLOOKUP($D$8,'Tablas Técnicas'!$E$4:$F$6,2,FALSE),"")</f>
        <v/>
      </c>
      <c r="BQ212" s="1030" t="str">
        <f>IF(L212="Si",VLOOKUP($D$8,'Tablas Técnicas'!$I$4:$J$6,2,FALSE),"")</f>
        <v/>
      </c>
      <c r="BR212" s="1028" t="str">
        <f>IF(O212="Si",VLOOKUP($D$8,'Tablas Técnicas'!$I$7:$J$9,2,FALSE),"")</f>
        <v/>
      </c>
      <c r="BS212" s="994"/>
      <c r="BT212" s="3028">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356"/>
      <c r="BV212" s="971"/>
      <c r="BW212" s="1026" t="str">
        <f>IF(SUM(BT212:BU212)=0,"N/A",SUM(BT212:BU212))</f>
        <v>N/A</v>
      </c>
      <c r="BX212" s="3028">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26" t="str">
        <f>IF(BX212=0,"N/A",BX212)</f>
        <v>N/A</v>
      </c>
      <c r="BZ212" s="1304"/>
      <c r="CA212" s="939"/>
      <c r="DR212" s="939"/>
      <c r="DT212" s="1325"/>
      <c r="DU212" s="1379"/>
      <c r="DV212" s="1380"/>
      <c r="DW212" s="1376"/>
      <c r="DX212" s="1378"/>
      <c r="DY212" s="1324"/>
      <c r="DZ212" s="939"/>
      <c r="EA212" s="1470">
        <f t="shared" si="3"/>
        <v>1</v>
      </c>
    </row>
    <row r="213" spans="1:131" x14ac:dyDescent="0.2">
      <c r="A213" s="939"/>
      <c r="B213" s="939"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822"/>
      <c r="D213" s="1453" t="s">
        <v>1766</v>
      </c>
      <c r="E213" s="983"/>
      <c r="F213" s="1019"/>
      <c r="G213" s="989" t="str">
        <f>IF(E213=0,"",VLOOKUP(E213,'Tablas Técnicas'!$A$14:$V$771,3,FALSE))</f>
        <v/>
      </c>
      <c r="H213" s="1031" t="str">
        <f>IF($E213=0,"",VLOOKUP($E213,'Tablas Técnicas'!$A$14:$V$771,4,FALSE))</f>
        <v/>
      </c>
      <c r="I213" s="987" t="s">
        <v>1690</v>
      </c>
      <c r="J213" s="1417" t="str">
        <f>IF(E213=0,"",VLOOKUP(E213,'Tablas Técnicas'!$A$14:$V$771,5,FALSE))</f>
        <v/>
      </c>
      <c r="K213" s="1033" t="str">
        <f>IF(I213="Si",IF(E213=0,"",VLOOKUP(E213,'Tablas Técnicas'!$A$14:$V$771,5,FALSE)),"")</f>
        <v/>
      </c>
      <c r="L213" s="987" t="s">
        <v>1690</v>
      </c>
      <c r="M213" s="1417" t="str">
        <f>IF(E213=0,"",VLOOKUP(E213,'Tablas Técnicas'!$A$14:$V$771,6,FALSE))</f>
        <v/>
      </c>
      <c r="N213" s="990" t="str">
        <f>IF(L213="Si",IF(E213=0,"",VLOOKUP(E213,'Tablas Técnicas'!$A$14:$V$771,6,FALSE)),"")</f>
        <v/>
      </c>
      <c r="O213" s="987" t="s">
        <v>1690</v>
      </c>
      <c r="P213" s="1417" t="str">
        <f>IF(E213=0,"",VLOOKUP(E213,'Tablas Técnicas'!$A$14:$V$771,7,FALSE))</f>
        <v/>
      </c>
      <c r="Q213" s="990" t="str">
        <f>IF(O213="Si",IF(E213=0,"",VLOOKUP(E213,'Tablas Técnicas'!$A$14:$V$771,7,FALSE)),"")</f>
        <v/>
      </c>
      <c r="R213" s="1032" t="str">
        <f>IF(E213=0,"",VLOOKUP(E213,'Tablas Técnicas'!$A$14:$V$771,8,FALSE))</f>
        <v/>
      </c>
      <c r="S213" s="1004" t="str">
        <f>IF(R213=$D$8,$D$8,IF(R213=2,2,IF(R213=3,3,R213)))</f>
        <v/>
      </c>
      <c r="T213" s="1033" t="str">
        <f>IF(E213=0,"",VLOOKUP(E213,'Tablas Técnicas'!$A$14:$V$771,9,FALSE))</f>
        <v/>
      </c>
      <c r="U213" s="1033" t="str">
        <f>IF(E213=0,"",VLOOKUP(E213,'Tablas Técnicas'!$A$14:$V$771,10,FALSE))</f>
        <v/>
      </c>
      <c r="V213" s="1034" t="str">
        <f>IF(E213=0,"",VLOOKUP(E213,'Tablas Técnicas'!$A$14:$V$771,11,FALSE))</f>
        <v/>
      </c>
      <c r="W213" s="987"/>
      <c r="X213" s="988" t="e">
        <f>VLOOKUP(E213,'Tablas Técnicas'!$A$14:$V$771,12,FALSE)</f>
        <v>#N/A</v>
      </c>
      <c r="Y213" s="988" t="e">
        <f>IF(W213=X213,VLOOKUP(E213,'Tablas Técnicas'!$A$14:$V$771,13,FALSE),0)</f>
        <v>#N/A</v>
      </c>
      <c r="Z213" s="988" t="e">
        <f>VLOOKUP(E213,'Tablas Técnicas'!$A$14:$V$771,14,FALSE)</f>
        <v>#N/A</v>
      </c>
      <c r="AA213" s="988" t="e">
        <f>IF(W213=Z213,VLOOKUP(E213,'Tablas Técnicas'!$A$14:$V$616,15,FALSE),0)</f>
        <v>#N/A</v>
      </c>
      <c r="AB213" s="988" t="e">
        <f>VLOOKUP(E213,'Tablas Técnicas'!$A$14:$V$771,16,FALSE)</f>
        <v>#N/A</v>
      </c>
      <c r="AC213" s="988" t="e">
        <f>IF(W213=AB213,VLOOKUP(E213,'Tablas Técnicas'!$A$14:$V$616,17,FALSE),0)</f>
        <v>#N/A</v>
      </c>
      <c r="AD213" s="988" t="e">
        <f>VLOOKUP(E213,'Tablas Técnicas'!$A$14:$V$771,18,FALSE)</f>
        <v>#N/A</v>
      </c>
      <c r="AE213" s="988" t="e">
        <f>IF(W213=AD213,VLOOKUP(E213,'Tablas Técnicas'!$A$14:$V$771,19,FALSE),0)</f>
        <v>#N/A</v>
      </c>
      <c r="AF213" s="1006" t="str">
        <f>IF(E213=0,"",(Y213+AA213+AC213+AE213))</f>
        <v/>
      </c>
      <c r="AG213" s="987"/>
      <c r="AH213" s="1005" t="e">
        <f>VLOOKUP(E213,'Tablas Técnicas'!$A$14:$V$771,12,FALSE)</f>
        <v>#N/A</v>
      </c>
      <c r="AI213" s="1005" t="e">
        <f>IF(AG213=AH213,VLOOKUP(E213,'Tablas Técnicas'!$A$14:$V$771,13,FALSE),0)</f>
        <v>#N/A</v>
      </c>
      <c r="AJ213" s="1005" t="e">
        <f>VLOOKUP(E213,'Tablas Técnicas'!$A$14:$V$771,14,FALSE)</f>
        <v>#N/A</v>
      </c>
      <c r="AK213" s="1005" t="e">
        <f>IF(AG213=AJ213,VLOOKUP(E213,'Tablas Técnicas'!$A$14:$V$771,15,FALSE),0)</f>
        <v>#N/A</v>
      </c>
      <c r="AL213" s="1005" t="e">
        <f>VLOOKUP(E213,'Tablas Técnicas'!$A$14:$V$771,16,FALSE)</f>
        <v>#N/A</v>
      </c>
      <c r="AM213" s="1005" t="e">
        <f>IF(AG213=AL213,VLOOKUP(E213,'Tablas Técnicas'!$A$14:$V$771,17,FALSE),0)</f>
        <v>#N/A</v>
      </c>
      <c r="AN213" s="1005" t="e">
        <f>VLOOKUP(E213,'Tablas Técnicas'!$A$14:$V$771,18,FALSE)</f>
        <v>#N/A</v>
      </c>
      <c r="AO213" s="1005" t="e">
        <f>IF(AG213=AN213,VLOOKUP(E213,'Tablas Técnicas'!$A$14:$V$771,19,FALSE),0)</f>
        <v>#N/A</v>
      </c>
      <c r="AP213" s="3034" t="str">
        <f>IF(E213=0,"",(AI213+AK213+AM213+AO213))</f>
        <v/>
      </c>
      <c r="AQ213" s="987"/>
      <c r="AR213" s="1005" t="e">
        <f>VLOOKUP(E213,'Tablas Técnicas'!$A$14:$V$771,12,FALSE)</f>
        <v>#N/A</v>
      </c>
      <c r="AS213" s="1005" t="e">
        <f>IF(AQ213=AR213,VLOOKUP(E213,'Tablas Técnicas'!$A$14:$V$771,13,FALSE),0)</f>
        <v>#N/A</v>
      </c>
      <c r="AT213" s="1005" t="e">
        <f>VLOOKUP(E213,'Tablas Técnicas'!$A$14:$V$771,14,FALSE)</f>
        <v>#N/A</v>
      </c>
      <c r="AU213" s="1005" t="e">
        <f>IF(AQ213=AT213,VLOOKUP(E213,'Tablas Técnicas'!$A$14:$V$771,15,FALSE),0)</f>
        <v>#N/A</v>
      </c>
      <c r="AV213" s="1005" t="e">
        <f>VLOOKUP(E213,'Tablas Técnicas'!$A$14:$V$771,16,FALSE)</f>
        <v>#N/A</v>
      </c>
      <c r="AW213" s="1005" t="e">
        <f>IF(AQ213=AV213,VLOOKUP(E213,'Tablas Técnicas'!$A$14:$V$771,17,FALSE),0)</f>
        <v>#N/A</v>
      </c>
      <c r="AX213" s="1005" t="e">
        <f>VLOOKUP(E213,'Tablas Técnicas'!$A$14:$V$771,18,FALSE)</f>
        <v>#N/A</v>
      </c>
      <c r="AY213" s="1005" t="e">
        <f>IF(AQ213=AX213,VLOOKUP(E213,'Tablas Técnicas'!$A$14:$V$771,19,FALSE),0)</f>
        <v>#N/A</v>
      </c>
      <c r="AZ213" s="1006" t="str">
        <f>IF(E213=0,"",(AS213+AU213+AW213+AY213))</f>
        <v/>
      </c>
      <c r="BA213" s="987"/>
      <c r="BB213" s="1005" t="e">
        <f>VLOOKUP(E213,'Tablas Técnicas'!$A$14:$V$771,12,FALSE)</f>
        <v>#N/A</v>
      </c>
      <c r="BC213" s="1005" t="e">
        <f>IF(BA213=BB213,VLOOKUP(E213,'Tablas Técnicas'!$A$14:$V$771,13,FALSE),0)</f>
        <v>#N/A</v>
      </c>
      <c r="BD213" s="1005" t="e">
        <f>VLOOKUP(E213,'Tablas Técnicas'!$A$14:$V$771,14,FALSE)</f>
        <v>#N/A</v>
      </c>
      <c r="BE213" s="1005" t="e">
        <f>IF(BA213=BD213,VLOOKUP(E213,'Tablas Técnicas'!$A$14:$V$771,15,FALSE),0)</f>
        <v>#N/A</v>
      </c>
      <c r="BF213" s="1005" t="e">
        <f>VLOOKUP(E213,'Tablas Técnicas'!$A$14:$V$771,16,FALSE)</f>
        <v>#N/A</v>
      </c>
      <c r="BG213" s="1005" t="e">
        <f>IF(BA213=BF213,VLOOKUP(E213,'Tablas Técnicas'!$A$14:$V$771,17,FALSE),0)</f>
        <v>#N/A</v>
      </c>
      <c r="BH213" s="1005" t="e">
        <f>VLOOKUP(E213,'Tablas Técnicas'!$A$14:$V$771,18,FALSE)</f>
        <v>#N/A</v>
      </c>
      <c r="BI213" s="1005" t="e">
        <f>IF(BA213=BH213,VLOOKUP(E213,'Tablas Técnicas'!$A$14:$V$771,19,FALSE),0)</f>
        <v>#N/A</v>
      </c>
      <c r="BJ213" s="3034" t="str">
        <f>IF(E213=0,"",(BC213+BE213+BG213+BI213))</f>
        <v/>
      </c>
      <c r="BK213" s="1033" t="str">
        <f>IF(E213=0,"",VLOOKUP(E213,'Tablas Técnicas'!$A$14:$V$771,20,FALSE))</f>
        <v/>
      </c>
      <c r="BL213" s="1020" t="str">
        <f>IF(E213=0,"",VLOOKUP(E213,'Tablas Técnicas'!$A$14:$V$771,21,FALSE))</f>
        <v/>
      </c>
      <c r="BM213" s="991" t="str">
        <f>IF(E213=0,"",VLOOKUP(E213,'Tablas Técnicas'!$A$14:$V$771,22,FALSE))</f>
        <v/>
      </c>
      <c r="BN213" s="992"/>
      <c r="BO213" s="993"/>
      <c r="BP213" s="978" t="str">
        <f>IF(I213="Si",VLOOKUP($D$8,'Tablas Técnicas'!$E$4:$F$6,2,FALSE),"")</f>
        <v/>
      </c>
      <c r="BQ213" s="979" t="str">
        <f>IF(L213="Si",VLOOKUP($D$8,'Tablas Técnicas'!$I$4:$J$6,2,FALSE),"")</f>
        <v/>
      </c>
      <c r="BR213" s="977" t="str">
        <f>IF(O213="Si",VLOOKUP($D$8,'Tablas Técnicas'!$I$7:$J$9,2,FALSE),"")</f>
        <v/>
      </c>
      <c r="BS213" s="994"/>
      <c r="BT213" s="3023" t="s">
        <v>1692</v>
      </c>
      <c r="BU213" s="3024" t="s">
        <v>4550</v>
      </c>
      <c r="BV213" s="971"/>
      <c r="BW213" s="3024" t="s">
        <v>4551</v>
      </c>
      <c r="BX213" s="3023" t="s">
        <v>4552</v>
      </c>
      <c r="BY213" s="1301" t="s">
        <v>4552</v>
      </c>
      <c r="BZ213" s="1304"/>
      <c r="CA213" s="939"/>
      <c r="DR213" s="939"/>
      <c r="DT213" s="1325"/>
      <c r="DU213" s="1379"/>
      <c r="DV213" s="1376" t="str">
        <f>IF(E213="","",", "&amp;E213)&amp;IF(I213="No",""," (Mant.)")&amp;IF(L213="No",""," (Sme)")&amp;IF(O213="No",""," (SMa)")</f>
        <v/>
      </c>
      <c r="DW213" s="1376"/>
      <c r="DX213" s="1378"/>
      <c r="DY213" s="1324"/>
      <c r="DZ213" s="939"/>
      <c r="EA213" s="1470">
        <f t="shared" si="3"/>
        <v>1</v>
      </c>
    </row>
    <row r="214" spans="1:131" x14ac:dyDescent="0.2">
      <c r="A214" s="939"/>
      <c r="B214" s="939"/>
      <c r="C214" s="4822"/>
      <c r="D214" s="1452" t="s">
        <v>1766</v>
      </c>
      <c r="E214" s="995"/>
      <c r="F214" s="1025"/>
      <c r="G214" s="1437" t="str">
        <f>IF(E214=0,"",VLOOKUP(E214,'Tablas Técnicas'!$A$14:$V$771,3,FALSE))</f>
        <v/>
      </c>
      <c r="H214" s="998" t="str">
        <f>IF($E214=0,"",VLOOKUP($E214,'Tablas Técnicas'!$A$14:$V$771,4,FALSE))</f>
        <v/>
      </c>
      <c r="I214" s="999" t="s">
        <v>1690</v>
      </c>
      <c r="J214" s="1415" t="str">
        <f>IF(E214=0,"",VLOOKUP(E214,'Tablas Técnicas'!$A$14:$V$771,5,FALSE))</f>
        <v/>
      </c>
      <c r="K214" s="1001" t="str">
        <f>IF(I214="Si",IF(E214=0,"",VLOOKUP(E214,'Tablas Técnicas'!$A$14:$V$771,5,FALSE)),"")</f>
        <v/>
      </c>
      <c r="L214" s="999" t="s">
        <v>1690</v>
      </c>
      <c r="M214" s="1415" t="str">
        <f>IF(E214=0,"",VLOOKUP(E214,'Tablas Técnicas'!$A$14:$V$771,6,FALSE))</f>
        <v/>
      </c>
      <c r="N214" s="1002" t="str">
        <f>IF(L214="Si",IF(E214=0,"",VLOOKUP(E214,'Tablas Técnicas'!$A$14:$V$771,6,FALSE)),"")</f>
        <v/>
      </c>
      <c r="O214" s="999" t="s">
        <v>1690</v>
      </c>
      <c r="P214" s="1415" t="str">
        <f>IF(E214=0,"",VLOOKUP(E214,'Tablas Técnicas'!$A$14:$V$771,7,FALSE))</f>
        <v/>
      </c>
      <c r="Q214" s="1002" t="str">
        <f>IF(O214="Si",IF(E214=0,"",VLOOKUP(E214,'Tablas Técnicas'!$A$14:$V$771,7,FALSE)),"")</f>
        <v/>
      </c>
      <c r="R214" s="1000" t="str">
        <f>IF(E214=0,"",VLOOKUP(E214,'Tablas Técnicas'!$A$14:$V$771,8,FALSE))</f>
        <v/>
      </c>
      <c r="S214" s="998" t="str">
        <f>IF(R214=$D$8,$D$8,IF(R214=2,2,IF(R214=3,3,R214)))</f>
        <v/>
      </c>
      <c r="T214" s="4796" t="s">
        <v>4542</v>
      </c>
      <c r="U214" s="4797"/>
      <c r="V214" s="4797"/>
      <c r="W214" s="4797"/>
      <c r="X214" s="4797"/>
      <c r="Y214" s="4797"/>
      <c r="Z214" s="4797"/>
      <c r="AA214" s="4797"/>
      <c r="AB214" s="4797"/>
      <c r="AC214" s="4797"/>
      <c r="AD214" s="4797"/>
      <c r="AE214" s="4797"/>
      <c r="AF214" s="4797"/>
      <c r="AG214" s="4797"/>
      <c r="AH214" s="4797"/>
      <c r="AI214" s="4797"/>
      <c r="AJ214" s="4797"/>
      <c r="AK214" s="4797"/>
      <c r="AL214" s="4797"/>
      <c r="AM214" s="4797"/>
      <c r="AN214" s="4797"/>
      <c r="AO214" s="4797"/>
      <c r="AP214" s="4797"/>
      <c r="AQ214" s="4797"/>
      <c r="AR214" s="4797"/>
      <c r="AS214" s="4797"/>
      <c r="AT214" s="4797"/>
      <c r="AU214" s="4797"/>
      <c r="AV214" s="4797"/>
      <c r="AW214" s="4797"/>
      <c r="AX214" s="4797"/>
      <c r="AY214" s="4797"/>
      <c r="AZ214" s="4797"/>
      <c r="BA214" s="4797"/>
      <c r="BB214" s="4797"/>
      <c r="BC214" s="4797"/>
      <c r="BD214" s="4797"/>
      <c r="BE214" s="4797"/>
      <c r="BF214" s="4797"/>
      <c r="BG214" s="4797"/>
      <c r="BH214" s="4797"/>
      <c r="BI214" s="4797"/>
      <c r="BJ214" s="4797"/>
      <c r="BK214" s="4798"/>
      <c r="BL214" s="1437"/>
      <c r="BM214" s="1438"/>
      <c r="BN214" s="992"/>
      <c r="BO214" s="993"/>
      <c r="BP214" s="978" t="str">
        <f>IF(I214="Si",VLOOKUP($D$8,'Tablas Técnicas'!$E$4:$F$6,2,FALSE),"")</f>
        <v/>
      </c>
      <c r="BQ214" s="979" t="str">
        <f>IF(L214="Si",VLOOKUP($D$8,'Tablas Técnicas'!$I$4:$J$6,2,FALSE),"")</f>
        <v/>
      </c>
      <c r="BR214" s="977" t="str">
        <f>IF(O214="Si",VLOOKUP($D$8,'Tablas Técnicas'!$I$7:$J$9,2,FALSE),"")</f>
        <v/>
      </c>
      <c r="BS214" s="994"/>
      <c r="BT214" s="3028">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356"/>
      <c r="BV214" s="971"/>
      <c r="BW214" s="1026" t="str">
        <f>IF(SUM(BT214:BU214)=0,"N/A",SUM(BT214:BU214))</f>
        <v>N/A</v>
      </c>
      <c r="BX214" s="3028">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26" t="str">
        <f>IF(BX214=0,"N/A",BX214)</f>
        <v>N/A</v>
      </c>
      <c r="BZ214" s="1304"/>
      <c r="CA214" s="939"/>
      <c r="DR214" s="939"/>
      <c r="DT214" s="1325"/>
      <c r="DU214" s="1379"/>
      <c r="DV214" s="1376" t="str">
        <f>IF(E214="",""," "&amp;E214)&amp;IF(I214="No",""," (Mant.)")&amp;IF(L214="No",""," (Sme)")&amp;IF(O214="No",""," (SMa)")</f>
        <v/>
      </c>
      <c r="DW214" s="1376"/>
      <c r="DX214" s="1378"/>
      <c r="DY214" s="1324"/>
      <c r="DZ214" s="939"/>
      <c r="EA214" s="1470">
        <f t="shared" si="3"/>
        <v>1</v>
      </c>
    </row>
    <row r="215" spans="1:131" x14ac:dyDescent="0.2">
      <c r="A215" s="939"/>
      <c r="B215" s="939"/>
      <c r="C215" s="4822"/>
      <c r="D215" s="1453" t="s">
        <v>1766</v>
      </c>
      <c r="E215" s="1003"/>
      <c r="F215" s="1019"/>
      <c r="G215" s="989" t="str">
        <f>IF(E215=0,"",VLOOKUP(E215,'Tablas Técnicas'!$A$14:$V$771,3,FALSE))</f>
        <v/>
      </c>
      <c r="H215" s="3033" t="str">
        <f>IF($E215=0,"",VLOOKUP($E215,'Tablas Técnicas'!$A$14:$V$771,4,FALSE))</f>
        <v/>
      </c>
      <c r="I215" s="987" t="s">
        <v>1690</v>
      </c>
      <c r="J215" s="1411" t="str">
        <f>IF(E215=0,"",VLOOKUP(E215,'Tablas Técnicas'!$A$14:$V$771,5,FALSE))</f>
        <v/>
      </c>
      <c r="K215" s="1006" t="str">
        <f>IF(I215="Si",IF(E215=0,"",VLOOKUP(E215,'Tablas Técnicas'!$A$14:$V$771,5,FALSE)),"")</f>
        <v/>
      </c>
      <c r="L215" s="987" t="s">
        <v>1690</v>
      </c>
      <c r="M215" s="1411" t="str">
        <f>IF(E215=0,"",VLOOKUP(E215,'Tablas Técnicas'!$A$14:$V$771,6,FALSE))</f>
        <v/>
      </c>
      <c r="N215" s="990" t="str">
        <f>IF(L215="Si",IF(E215=0,"",VLOOKUP(E215,'Tablas Técnicas'!$A$14:$V$771,6,FALSE)),"")</f>
        <v/>
      </c>
      <c r="O215" s="987" t="s">
        <v>1690</v>
      </c>
      <c r="P215" s="1411" t="str">
        <f>IF(E215=0,"",VLOOKUP(E215,'Tablas Técnicas'!$A$14:$V$771,7,FALSE))</f>
        <v/>
      </c>
      <c r="Q215" s="990" t="str">
        <f>IF(O215="Si",IF(E215=0,"",VLOOKUP(E215,'Tablas Técnicas'!$A$14:$V$771,7,FALSE)),"")</f>
        <v/>
      </c>
      <c r="R215" s="1005" t="str">
        <f>IF(E215=0,"",VLOOKUP(E215,'Tablas Técnicas'!$A$14:$V$771,8,FALSE))</f>
        <v/>
      </c>
      <c r="S215" s="3033" t="str">
        <f>IF(R215=$D$8,$D$8,IF(R215=2,2,IF(R215=3,3,R215)))</f>
        <v/>
      </c>
      <c r="T215" s="4809"/>
      <c r="U215" s="4810"/>
      <c r="V215" s="3029" t="str">
        <f>IF(OR(V213=0,V213=""),"N/A",V213)</f>
        <v>N/A</v>
      </c>
      <c r="W215" s="4809" t="str">
        <f xml:space="preserve"> IF(OR(AF213=0,AF213=""),"N/A",W213)</f>
        <v>N/A</v>
      </c>
      <c r="X215" s="4811"/>
      <c r="Y215" s="4811"/>
      <c r="Z215" s="4811"/>
      <c r="AA215" s="4811"/>
      <c r="AB215" s="4811"/>
      <c r="AC215" s="4811"/>
      <c r="AD215" s="4811"/>
      <c r="AE215" s="4811"/>
      <c r="AF215" s="4810"/>
      <c r="AG215" s="4809" t="str">
        <f xml:space="preserve"> IF(OR(AP213="",AP213=0),"N/A",AG213)</f>
        <v>N/A</v>
      </c>
      <c r="AH215" s="4811"/>
      <c r="AI215" s="4811"/>
      <c r="AJ215" s="4811"/>
      <c r="AK215" s="4811"/>
      <c r="AL215" s="4811"/>
      <c r="AM215" s="4811"/>
      <c r="AN215" s="4811"/>
      <c r="AO215" s="4811"/>
      <c r="AP215" s="4810"/>
      <c r="AQ215" s="4809" t="str">
        <f xml:space="preserve"> IF(OR(AZ213="",AZ213=0),"N/A",AQ213)</f>
        <v>N/A</v>
      </c>
      <c r="AR215" s="4811"/>
      <c r="AS215" s="4811"/>
      <c r="AT215" s="4811"/>
      <c r="AU215" s="4811"/>
      <c r="AV215" s="4811"/>
      <c r="AW215" s="4811"/>
      <c r="AX215" s="4811"/>
      <c r="AY215" s="4811"/>
      <c r="AZ215" s="4810"/>
      <c r="BA215" s="4809" t="str">
        <f xml:space="preserve"> IF(OR(BJ213="",BJ213=0),"N/A",BA213)</f>
        <v>N/A</v>
      </c>
      <c r="BB215" s="4811"/>
      <c r="BC215" s="4811"/>
      <c r="BD215" s="4811"/>
      <c r="BE215" s="4811"/>
      <c r="BF215" s="4811"/>
      <c r="BG215" s="4811"/>
      <c r="BH215" s="4811"/>
      <c r="BI215" s="4811"/>
      <c r="BJ215" s="4810"/>
      <c r="BK215" s="1007" t="s">
        <v>4543</v>
      </c>
      <c r="BL215" s="989"/>
      <c r="BM215" s="1024"/>
      <c r="BN215" s="1008"/>
      <c r="BO215" s="1009"/>
      <c r="BP215" s="1010" t="str">
        <f>IF(I215="Si",VLOOKUP($D$8,'Tablas Técnicas'!$E$4:$F$6,2,FALSE),"")</f>
        <v/>
      </c>
      <c r="BQ215" s="980" t="str">
        <f>IF(L215="Si",VLOOKUP($D$8,'Tablas Técnicas'!$I$4:$J$6,2,FALSE),"")</f>
        <v/>
      </c>
      <c r="BR215" s="1011" t="str">
        <f>IF(O215="Si",VLOOKUP($D$8,'Tablas Técnicas'!$I$7:$J$9,2,FALSE),"")</f>
        <v/>
      </c>
      <c r="BS215" s="994"/>
      <c r="BT215" s="3023" t="s">
        <v>1700</v>
      </c>
      <c r="BU215" s="3024" t="s">
        <v>4550</v>
      </c>
      <c r="BV215" s="971"/>
      <c r="BW215" s="3024" t="s">
        <v>4551</v>
      </c>
      <c r="BX215" s="3023" t="s">
        <v>4552</v>
      </c>
      <c r="BY215" s="1301" t="s">
        <v>4552</v>
      </c>
      <c r="BZ215" s="1304"/>
      <c r="CA215" s="939"/>
      <c r="DR215" s="939"/>
      <c r="DT215" s="1325"/>
      <c r="DU215" s="1379"/>
      <c r="DV215" s="1376" t="str">
        <f>IF(E215="","",E215)&amp;IF(I215="No",""," (Mant.)")&amp;IF(L215="No",""," (Sme)")&amp;IF(O215="No",""," (SMa)")</f>
        <v/>
      </c>
      <c r="DW215" s="1377"/>
      <c r="DX215" s="1378"/>
      <c r="DY215" s="1324"/>
      <c r="DZ215" s="939"/>
      <c r="EA215" s="1470">
        <f t="shared" si="3"/>
        <v>1</v>
      </c>
    </row>
    <row r="216" spans="1:131" x14ac:dyDescent="0.2">
      <c r="A216" s="939"/>
      <c r="B216" s="939"/>
      <c r="C216" s="4822"/>
      <c r="D216" s="1452" t="s">
        <v>1766</v>
      </c>
      <c r="E216" s="995"/>
      <c r="F216" s="1025"/>
      <c r="G216" s="1437" t="str">
        <f>IF(E216=0,"",VLOOKUP(E216,'Tablas Técnicas'!$A$14:$V$771,3,FALSE))</f>
        <v/>
      </c>
      <c r="H216" s="998" t="str">
        <f>IF($E216=0,"",VLOOKUP($E216,'Tablas Técnicas'!$A$14:$V$771,4,FALSE))</f>
        <v/>
      </c>
      <c r="I216" s="999" t="s">
        <v>1690</v>
      </c>
      <c r="J216" s="1415" t="str">
        <f>IF(E216=0,"",VLOOKUP(E216,'Tablas Técnicas'!$A$14:$V$771,5,FALSE))</f>
        <v/>
      </c>
      <c r="K216" s="1001" t="str">
        <f>IF(I216="Si",IF(E216=0,"",VLOOKUP(E216,'Tablas Técnicas'!$A$14:$V$771,5,FALSE)),"")</f>
        <v/>
      </c>
      <c r="L216" s="999" t="s">
        <v>1690</v>
      </c>
      <c r="M216" s="1415" t="str">
        <f>IF(E216=0,"",VLOOKUP(E216,'Tablas Técnicas'!$A$14:$V$771,6,FALSE))</f>
        <v/>
      </c>
      <c r="N216" s="1002" t="str">
        <f>IF(L216="Si",IF(E216=0,"",VLOOKUP(E216,'Tablas Técnicas'!$A$14:$V$771,6,FALSE)),"")</f>
        <v/>
      </c>
      <c r="O216" s="999" t="s">
        <v>1690</v>
      </c>
      <c r="P216" s="1415" t="str">
        <f>IF(E216=0,"",VLOOKUP(E216,'Tablas Técnicas'!$A$14:$V$771,7,FALSE))</f>
        <v/>
      </c>
      <c r="Q216" s="1002" t="str">
        <f>IF(O216="Si",IF(E216=0,"",VLOOKUP(E216,'Tablas Técnicas'!$A$14:$V$771,7,FALSE)),"")</f>
        <v/>
      </c>
      <c r="R216" s="1000" t="str">
        <f>IF(E216=0,"",VLOOKUP(E216,'Tablas Técnicas'!$A$14:$V$771,8,FALSE))</f>
        <v/>
      </c>
      <c r="S216" s="998" t="str">
        <f>IF(R216=$D$8,$D$8,IF(R216=2,2,IF(R216=3,3,R216)))</f>
        <v/>
      </c>
      <c r="T216" s="4812" t="s">
        <v>4544</v>
      </c>
      <c r="U216" s="4813"/>
      <c r="V216" s="3025"/>
      <c r="W216" s="4814"/>
      <c r="X216" s="4815"/>
      <c r="Y216" s="4815"/>
      <c r="Z216" s="4815"/>
      <c r="AA216" s="4815"/>
      <c r="AB216" s="4815"/>
      <c r="AC216" s="4815"/>
      <c r="AD216" s="4815"/>
      <c r="AE216" s="4815"/>
      <c r="AF216" s="4816"/>
      <c r="AG216" s="4814"/>
      <c r="AH216" s="4815"/>
      <c r="AI216" s="4815"/>
      <c r="AJ216" s="4815"/>
      <c r="AK216" s="4815"/>
      <c r="AL216" s="4815"/>
      <c r="AM216" s="4815"/>
      <c r="AN216" s="4815"/>
      <c r="AO216" s="4815"/>
      <c r="AP216" s="4816"/>
      <c r="AQ216" s="4814"/>
      <c r="AR216" s="4815"/>
      <c r="AS216" s="4815"/>
      <c r="AT216" s="4815"/>
      <c r="AU216" s="4815"/>
      <c r="AV216" s="4815"/>
      <c r="AW216" s="4815"/>
      <c r="AX216" s="4815"/>
      <c r="AY216" s="4815"/>
      <c r="AZ216" s="4816"/>
      <c r="BA216" s="4814"/>
      <c r="BB216" s="4815"/>
      <c r="BC216" s="4815"/>
      <c r="BD216" s="4815"/>
      <c r="BE216" s="4815"/>
      <c r="BF216" s="4815"/>
      <c r="BG216" s="4815"/>
      <c r="BH216" s="4815"/>
      <c r="BI216" s="4815"/>
      <c r="BJ216" s="4816"/>
      <c r="BK216" s="998">
        <f>(SUM(G213:G217)+IF(AF213="",0,AF213)+IF(AP213="",0,AP213)+IF(AZ213="",0,AZ213)+IF(BJ213="",0,BJ213)+SUM(K213:K217)+SUM(N213:N217)+SUM(Q213:Q217))- SUM(V216:BA216)</f>
        <v>0</v>
      </c>
      <c r="BL216" s="1437"/>
      <c r="BM216" s="1438"/>
      <c r="BN216" s="992"/>
      <c r="BO216" s="993"/>
      <c r="BP216" s="978" t="str">
        <f>IF(I216="Si",VLOOKUP($D$8,'Tablas Técnicas'!$E$4:$F$6,2,FALSE),"")</f>
        <v/>
      </c>
      <c r="BQ216" s="979" t="str">
        <f>IF(L216="Si",VLOOKUP($D$8,'Tablas Técnicas'!$I$4:$J$6,2,FALSE),"")</f>
        <v/>
      </c>
      <c r="BR216" s="977" t="str">
        <f>IF(O216="Si",VLOOKUP($D$8,'Tablas Técnicas'!$I$7:$J$9,2,FALSE),"")</f>
        <v/>
      </c>
      <c r="BS216" s="994"/>
      <c r="BT216" s="3028">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356"/>
      <c r="BV216" s="971"/>
      <c r="BW216" s="1026" t="str">
        <f>IF(SUM(BT216:BU216)=0,"N/A",SUM(BT216:BU216))</f>
        <v>N/A</v>
      </c>
      <c r="BX216" s="3028">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26" t="str">
        <f>IF(BX216=0,"N/A",BX216)</f>
        <v>N/A</v>
      </c>
      <c r="BZ216" s="1304"/>
      <c r="CA216" s="939"/>
      <c r="DR216" s="939"/>
      <c r="DT216" s="1325"/>
      <c r="DU216" s="1379"/>
      <c r="DV216" s="1376" t="str">
        <f>IF(E216="","",E216)&amp;IF(I216="No",""," (Mant.)")&amp;IF(L216="No",""," (Sme)")&amp;IF(O216="No",""," (SMa)")</f>
        <v/>
      </c>
      <c r="DW216" s="1377"/>
      <c r="DX216" s="1378"/>
      <c r="DY216" s="1324"/>
      <c r="DZ216" s="939"/>
      <c r="EA216" s="1470">
        <f t="shared" si="3"/>
        <v>1</v>
      </c>
    </row>
    <row r="217" spans="1:131" x14ac:dyDescent="0.2">
      <c r="A217" s="939"/>
      <c r="B217" s="939"/>
      <c r="C217" s="4822"/>
      <c r="D217" s="1453" t="s">
        <v>1766</v>
      </c>
      <c r="E217" s="1003"/>
      <c r="F217" s="1019"/>
      <c r="G217" s="989" t="str">
        <f>IF(E217=0,"",VLOOKUP(E217,'Tablas Técnicas'!$A$14:$V$771,3,FALSE))</f>
        <v/>
      </c>
      <c r="H217" s="1014" t="str">
        <f>IF($E217=0,"",VLOOKUP($E217,'Tablas Técnicas'!$A$14:$V$771,4,FALSE))</f>
        <v/>
      </c>
      <c r="I217" s="987" t="s">
        <v>1690</v>
      </c>
      <c r="J217" s="1418" t="str">
        <f>IF(E217=0,"",VLOOKUP(E217,'Tablas Técnicas'!$A$14:$V$771,5,FALSE))</f>
        <v/>
      </c>
      <c r="K217" s="1015" t="str">
        <f>IF(I217="Si",IF(E217=0,"",VLOOKUP(E217,'Tablas Técnicas'!$A$14:$V$771,5,FALSE)),"")</f>
        <v/>
      </c>
      <c r="L217" s="987" t="s">
        <v>1690</v>
      </c>
      <c r="M217" s="1418" t="str">
        <f>IF(E217=0,"",VLOOKUP(E217,'Tablas Técnicas'!$A$14:$V$771,6,FALSE))</f>
        <v/>
      </c>
      <c r="N217" s="990" t="str">
        <f>IF(L217="Si",IF(E217=0,"",VLOOKUP(E217,'Tablas Técnicas'!$A$14:$V$771,6,FALSE)),"")</f>
        <v/>
      </c>
      <c r="O217" s="987" t="s">
        <v>1690</v>
      </c>
      <c r="P217" s="1418" t="str">
        <f>IF(E217=0,"",VLOOKUP(E217,'Tablas Técnicas'!$A$14:$V$771,7,FALSE))</f>
        <v/>
      </c>
      <c r="Q217" s="990" t="str">
        <f>IF(O217="Si",IF(E217=0,"",VLOOKUP(E217,'Tablas Técnicas'!$A$14:$V$771,7,FALSE)),"")</f>
        <v/>
      </c>
      <c r="R217" s="1035" t="str">
        <f>IF(E217=0,"",VLOOKUP(E217,'Tablas Técnicas'!$A$14:$V$771,8,FALSE))</f>
        <v/>
      </c>
      <c r="S217" s="1004" t="str">
        <f>IF(R217=$D$8,$D$8,IF(R217=2,2,IF(R217=3,3,R217)))</f>
        <v/>
      </c>
      <c r="T217" s="4803" t="s">
        <v>4546</v>
      </c>
      <c r="U217" s="4804"/>
      <c r="V217" s="3032"/>
      <c r="W217" s="4805"/>
      <c r="X217" s="4806"/>
      <c r="Y217" s="4806"/>
      <c r="Z217" s="4806"/>
      <c r="AA217" s="4806"/>
      <c r="AB217" s="4806"/>
      <c r="AC217" s="4806"/>
      <c r="AD217" s="4806"/>
      <c r="AE217" s="4806"/>
      <c r="AF217" s="4807"/>
      <c r="AG217" s="4805"/>
      <c r="AH217" s="4806"/>
      <c r="AI217" s="4806"/>
      <c r="AJ217" s="4806"/>
      <c r="AK217" s="4806"/>
      <c r="AL217" s="4806"/>
      <c r="AM217" s="4806"/>
      <c r="AN217" s="4806"/>
      <c r="AO217" s="4806"/>
      <c r="AP217" s="4807"/>
      <c r="AQ217" s="4805"/>
      <c r="AR217" s="4806"/>
      <c r="AS217" s="4806"/>
      <c r="AT217" s="4806"/>
      <c r="AU217" s="4806"/>
      <c r="AV217" s="4806"/>
      <c r="AW217" s="4806"/>
      <c r="AX217" s="4806"/>
      <c r="AY217" s="4806"/>
      <c r="AZ217" s="4807"/>
      <c r="BA217" s="4805"/>
      <c r="BB217" s="4806"/>
      <c r="BC217" s="4806"/>
      <c r="BD217" s="4806"/>
      <c r="BE217" s="4806"/>
      <c r="BF217" s="4806"/>
      <c r="BG217" s="4806"/>
      <c r="BH217" s="4806"/>
      <c r="BI217" s="4806"/>
      <c r="BJ217" s="4807"/>
      <c r="BK217" s="1014">
        <f>SUM(K213:K217)-SUM(V217:BA217)</f>
        <v>0</v>
      </c>
      <c r="BL217" s="1439"/>
      <c r="BM217" s="1440"/>
      <c r="BN217" s="1008"/>
      <c r="BO217" s="1009"/>
      <c r="BP217" s="1010" t="str">
        <f>IF(I217="Si",VLOOKUP($D$8,'Tablas Técnicas'!$E$4:$F$6,2,FALSE),"")</f>
        <v/>
      </c>
      <c r="BQ217" s="980" t="str">
        <f>IF(L217="Si",VLOOKUP($D$8,'Tablas Técnicas'!$I$4:$J$6,2,FALSE),"")</f>
        <v/>
      </c>
      <c r="BR217" s="1011" t="str">
        <f>IF(O217="Si",VLOOKUP($D$8,'Tablas Técnicas'!$I$7:$J$9,2,FALSE),"")</f>
        <v/>
      </c>
      <c r="BS217" s="994"/>
      <c r="BT217" s="3023" t="s">
        <v>1701</v>
      </c>
      <c r="BU217" s="3024" t="s">
        <v>4550</v>
      </c>
      <c r="BV217" s="971"/>
      <c r="BW217" s="3024" t="s">
        <v>4551</v>
      </c>
      <c r="BX217" s="3023" t="s">
        <v>4552</v>
      </c>
      <c r="BY217" s="1301" t="s">
        <v>4552</v>
      </c>
      <c r="BZ217" s="1304"/>
      <c r="CA217" s="939"/>
      <c r="DR217" s="939"/>
      <c r="DT217" s="1325"/>
      <c r="DU217" s="1379"/>
      <c r="DV217" s="1376" t="str">
        <f>IF(E217="","",E217)&amp;IF(I217="No",""," (Mant.)")&amp;IF(L217="No",""," (Sme)")&amp;IF(O217="No",""," (SMa)")</f>
        <v/>
      </c>
      <c r="DW217" s="1377"/>
      <c r="DX217" s="1378"/>
      <c r="DY217" s="1324"/>
      <c r="DZ217" s="939"/>
      <c r="EA217" s="1470">
        <f t="shared" si="3"/>
        <v>1</v>
      </c>
    </row>
    <row r="218" spans="1:131" x14ac:dyDescent="0.2">
      <c r="A218" s="939"/>
      <c r="B218" s="1403"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822"/>
      <c r="D218" s="1454">
        <v>5</v>
      </c>
      <c r="E218" s="1246"/>
      <c r="F218" s="1016"/>
      <c r="G218" s="1017"/>
      <c r="H218" s="2159">
        <f t="array" ref="H218">IF(AND(OR(ISNUMBER(SEARCH("Empatía Elemental ("&amp;BK213:BM213&amp;")",Principal!$AF$30))),SUM(H213:H217)&gt;=10),-5,0)</f>
        <v>0</v>
      </c>
      <c r="I218" s="1413"/>
      <c r="J218" s="1416"/>
      <c r="K218" s="1017"/>
      <c r="L218" s="1413"/>
      <c r="M218" s="1416"/>
      <c r="N218" s="1017"/>
      <c r="O218" s="1413"/>
      <c r="P218" s="1416"/>
      <c r="Q218" s="1017"/>
      <c r="R218" s="1018"/>
      <c r="S218" s="1017"/>
      <c r="T218" s="1017"/>
      <c r="U218" s="1017"/>
      <c r="V218" s="1017"/>
      <c r="W218" s="1017"/>
      <c r="X218" s="1017"/>
      <c r="Y218" s="1017"/>
      <c r="Z218" s="1017"/>
      <c r="AA218" s="1017"/>
      <c r="AB218" s="1017"/>
      <c r="AC218" s="1017"/>
      <c r="AD218" s="1017"/>
      <c r="AE218" s="1017"/>
      <c r="AF218" s="1017"/>
      <c r="AG218" s="1017"/>
      <c r="AH218" s="1017"/>
      <c r="AI218" s="1017"/>
      <c r="AJ218" s="1017"/>
      <c r="AK218" s="1017"/>
      <c r="AL218" s="1017"/>
      <c r="AM218" s="1017"/>
      <c r="AN218" s="1017"/>
      <c r="AO218" s="1017"/>
      <c r="AP218" s="1017"/>
      <c r="AQ218" s="1017"/>
      <c r="AR218" s="1017"/>
      <c r="AS218" s="1017"/>
      <c r="AT218" s="1017"/>
      <c r="AU218" s="1017"/>
      <c r="AV218" s="1017"/>
      <c r="AW218" s="1017"/>
      <c r="AX218" s="1017"/>
      <c r="AY218" s="1017"/>
      <c r="AZ218" s="1017"/>
      <c r="BA218" s="1017"/>
      <c r="BB218" s="1017"/>
      <c r="BC218" s="1017"/>
      <c r="BD218" s="1017"/>
      <c r="BE218" s="1017"/>
      <c r="BF218" s="1017"/>
      <c r="BG218" s="1017"/>
      <c r="BH218" s="1017"/>
      <c r="BI218" s="1017"/>
      <c r="BJ218" s="1017"/>
      <c r="BK218" s="1017"/>
      <c r="BL218" s="1017"/>
      <c r="BM218" s="1027"/>
      <c r="BN218" s="1028">
        <f>SUM(K218:K221)</f>
        <v>0</v>
      </c>
      <c r="BO218" s="971" t="str">
        <f>IF(E218=0,"",(AF218+AP218+AZ218+BJ218))</f>
        <v/>
      </c>
      <c r="BP218" s="1029" t="str">
        <f>IF(I218="Si",VLOOKUP($D$8,'Tablas Técnicas'!$E$4:$F$6,2,FALSE),"")</f>
        <v/>
      </c>
      <c r="BQ218" s="1030" t="str">
        <f>IF(L218="Si",VLOOKUP($D$8,'Tablas Técnicas'!$I$4:$J$6,2,FALSE),"")</f>
        <v/>
      </c>
      <c r="BR218" s="1028" t="str">
        <f>IF(O218="Si",VLOOKUP($D$8,'Tablas Técnicas'!$I$7:$J$9,2,FALSE),"")</f>
        <v/>
      </c>
      <c r="BS218" s="994"/>
      <c r="BT218" s="3028">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356"/>
      <c r="BV218" s="971"/>
      <c r="BW218" s="1026" t="str">
        <f>IF(SUM(BT218:BU218)=0,"N/A",SUM(BT218:BU218))</f>
        <v>N/A</v>
      </c>
      <c r="BX218" s="3028">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26" t="str">
        <f>IF(BX218=0,"N/A",BX218)</f>
        <v>N/A</v>
      </c>
      <c r="BZ218" s="1304"/>
      <c r="CA218" s="939"/>
      <c r="DR218" s="939"/>
      <c r="DT218" s="1325"/>
      <c r="DU218" s="1379"/>
      <c r="DV218" s="1380"/>
      <c r="DW218" s="1377"/>
      <c r="DX218" s="1378"/>
      <c r="DY218" s="1324"/>
      <c r="DZ218" s="939"/>
      <c r="EA218" s="1470">
        <f t="shared" si="3"/>
        <v>1</v>
      </c>
    </row>
    <row r="219" spans="1:131" ht="12" thickBot="1" x14ac:dyDescent="0.25">
      <c r="A219" s="939"/>
      <c r="B219" s="939"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822"/>
      <c r="D219" s="1453" t="s">
        <v>1766</v>
      </c>
      <c r="E219" s="983"/>
      <c r="F219" s="1019"/>
      <c r="G219" s="989" t="str">
        <f>IF(E219=0,"",VLOOKUP(E219,'Tablas Técnicas'!$A$14:$V$771,3,FALSE))</f>
        <v/>
      </c>
      <c r="H219" s="1031" t="str">
        <f>IF($E219=0,"",VLOOKUP($E219,'Tablas Técnicas'!$A$14:$V$771,4,FALSE))</f>
        <v/>
      </c>
      <c r="I219" s="987" t="s">
        <v>1690</v>
      </c>
      <c r="J219" s="1417" t="str">
        <f>IF(E219=0,"",VLOOKUP(E219,'Tablas Técnicas'!$A$14:$V$771,5,FALSE))</f>
        <v/>
      </c>
      <c r="K219" s="1033" t="str">
        <f>IF(I219="Si",IF(E219=0,"",VLOOKUP(E219,'Tablas Técnicas'!$A$14:$V$771,5,FALSE)),"")</f>
        <v/>
      </c>
      <c r="L219" s="987" t="s">
        <v>1690</v>
      </c>
      <c r="M219" s="1417" t="str">
        <f>IF(E219=0,"",VLOOKUP(E219,'Tablas Técnicas'!$A$14:$V$771,6,FALSE))</f>
        <v/>
      </c>
      <c r="N219" s="990" t="str">
        <f>IF(L219="Si",IF(E219=0,"",VLOOKUP(E219,'Tablas Técnicas'!$A$14:$V$771,6,FALSE)),"")</f>
        <v/>
      </c>
      <c r="O219" s="987" t="s">
        <v>1690</v>
      </c>
      <c r="P219" s="1417" t="str">
        <f>IF(E219=0,"",VLOOKUP(E219,'Tablas Técnicas'!$A$14:$V$771,7,FALSE))</f>
        <v/>
      </c>
      <c r="Q219" s="990" t="str">
        <f>IF(O219="Si",IF(E219=0,"",VLOOKUP(E219,'Tablas Técnicas'!$A$14:$V$771,7,FALSE)),"")</f>
        <v/>
      </c>
      <c r="R219" s="1032" t="str">
        <f>IF(E219=0,"",VLOOKUP(E219,'Tablas Técnicas'!$A$14:$V$771,8,FALSE))</f>
        <v/>
      </c>
      <c r="S219" s="1004" t="str">
        <f>IF(R219=$D$8,$D$8,IF(R219=2,2,IF(R219=3,3,R219)))</f>
        <v/>
      </c>
      <c r="T219" s="1033" t="str">
        <f>IF(E219=0,"",VLOOKUP(E219,'Tablas Técnicas'!$A$14:$V$771,9,FALSE))</f>
        <v/>
      </c>
      <c r="U219" s="1033" t="str">
        <f>IF(E219=0,"",VLOOKUP(E219,'Tablas Técnicas'!$A$14:$V$771,10,FALSE))</f>
        <v/>
      </c>
      <c r="V219" s="1034" t="str">
        <f>IF(E219=0,"",VLOOKUP(E219,'Tablas Técnicas'!$A$14:$V$771,11,FALSE))</f>
        <v/>
      </c>
      <c r="W219" s="987"/>
      <c r="X219" s="988" t="e">
        <f>VLOOKUP(E219,'Tablas Técnicas'!$A$14:$V$771,12,FALSE)</f>
        <v>#N/A</v>
      </c>
      <c r="Y219" s="988" t="e">
        <f>IF(W219=X219,VLOOKUP(E219,'Tablas Técnicas'!$A$14:$V$771,13,FALSE),0)</f>
        <v>#N/A</v>
      </c>
      <c r="Z219" s="988" t="e">
        <f>VLOOKUP(E219,'Tablas Técnicas'!$A$14:$V$771,14,FALSE)</f>
        <v>#N/A</v>
      </c>
      <c r="AA219" s="988" t="e">
        <f>IF(W219=Z219,VLOOKUP(E219,'Tablas Técnicas'!$A$14:$V$616,15,FALSE),0)</f>
        <v>#N/A</v>
      </c>
      <c r="AB219" s="988" t="e">
        <f>VLOOKUP(E219,'Tablas Técnicas'!$A$14:$V$771,16,FALSE)</f>
        <v>#N/A</v>
      </c>
      <c r="AC219" s="988" t="e">
        <f>IF(W219=AB219,VLOOKUP(E219,'Tablas Técnicas'!$A$14:$V$616,17,FALSE),0)</f>
        <v>#N/A</v>
      </c>
      <c r="AD219" s="988" t="e">
        <f>VLOOKUP(E219,'Tablas Técnicas'!$A$14:$V$771,18,FALSE)</f>
        <v>#N/A</v>
      </c>
      <c r="AE219" s="988" t="e">
        <f>IF(W219=AD219,VLOOKUP(E219,'Tablas Técnicas'!$A$14:$V$771,19,FALSE),0)</f>
        <v>#N/A</v>
      </c>
      <c r="AF219" s="1006" t="str">
        <f>IF(E219=0,"",(Y219+AA219+AC219+AE219))</f>
        <v/>
      </c>
      <c r="AG219" s="987"/>
      <c r="AH219" s="1005" t="e">
        <f>VLOOKUP(E219,'Tablas Técnicas'!$A$14:$V$771,12,FALSE)</f>
        <v>#N/A</v>
      </c>
      <c r="AI219" s="1005" t="e">
        <f>IF(AG219=AH219,VLOOKUP(E219,'Tablas Técnicas'!$A$14:$V$771,13,FALSE),0)</f>
        <v>#N/A</v>
      </c>
      <c r="AJ219" s="1005" t="e">
        <f>VLOOKUP(E219,'Tablas Técnicas'!$A$14:$V$771,14,FALSE)</f>
        <v>#N/A</v>
      </c>
      <c r="AK219" s="1005" t="e">
        <f>IF(AG219=AJ219,VLOOKUP(E219,'Tablas Técnicas'!$A$14:$V$771,15,FALSE),0)</f>
        <v>#N/A</v>
      </c>
      <c r="AL219" s="1005" t="e">
        <f>VLOOKUP(E219,'Tablas Técnicas'!$A$14:$V$771,16,FALSE)</f>
        <v>#N/A</v>
      </c>
      <c r="AM219" s="1005" t="e">
        <f>IF(AG219=AL219,VLOOKUP(E219,'Tablas Técnicas'!$A$14:$V$771,17,FALSE),0)</f>
        <v>#N/A</v>
      </c>
      <c r="AN219" s="1005" t="e">
        <f>VLOOKUP(E219,'Tablas Técnicas'!$A$14:$V$771,18,FALSE)</f>
        <v>#N/A</v>
      </c>
      <c r="AO219" s="1005" t="e">
        <f>IF(AG219=AN219,VLOOKUP(E219,'Tablas Técnicas'!$A$14:$V$771,19,FALSE),0)</f>
        <v>#N/A</v>
      </c>
      <c r="AP219" s="3034" t="str">
        <f>IF(E219=0,"",(AI219+AK219+AM219+AO219))</f>
        <v/>
      </c>
      <c r="AQ219" s="987"/>
      <c r="AR219" s="1005" t="e">
        <f>VLOOKUP(E219,'Tablas Técnicas'!$A$14:$V$771,12,FALSE)</f>
        <v>#N/A</v>
      </c>
      <c r="AS219" s="1005" t="e">
        <f>IF(AQ219=AR219,VLOOKUP(E219,'Tablas Técnicas'!$A$14:$V$771,13,FALSE),0)</f>
        <v>#N/A</v>
      </c>
      <c r="AT219" s="1005" t="e">
        <f>VLOOKUP(E219,'Tablas Técnicas'!$A$14:$V$771,14,FALSE)</f>
        <v>#N/A</v>
      </c>
      <c r="AU219" s="1005" t="e">
        <f>IF(AQ219=AT219,VLOOKUP(E219,'Tablas Técnicas'!$A$14:$V$771,15,FALSE),0)</f>
        <v>#N/A</v>
      </c>
      <c r="AV219" s="1005" t="e">
        <f>VLOOKUP(E219,'Tablas Técnicas'!$A$14:$V$771,16,FALSE)</f>
        <v>#N/A</v>
      </c>
      <c r="AW219" s="1005" t="e">
        <f>IF(AQ219=AV219,VLOOKUP(E219,'Tablas Técnicas'!$A$14:$V$771,17,FALSE),0)</f>
        <v>#N/A</v>
      </c>
      <c r="AX219" s="1005" t="e">
        <f>VLOOKUP(E219,'Tablas Técnicas'!$A$14:$V$771,18,FALSE)</f>
        <v>#N/A</v>
      </c>
      <c r="AY219" s="1005" t="e">
        <f>IF(AQ219=AX219,VLOOKUP(E219,'Tablas Técnicas'!$A$14:$V$771,19,FALSE),0)</f>
        <v>#N/A</v>
      </c>
      <c r="AZ219" s="1006" t="str">
        <f>IF(E219=0,"",(AS219+AU219+AW219+AY219))</f>
        <v/>
      </c>
      <c r="BA219" s="987"/>
      <c r="BB219" s="1005" t="e">
        <f>VLOOKUP(E219,'Tablas Técnicas'!$A$14:$V$771,12,FALSE)</f>
        <v>#N/A</v>
      </c>
      <c r="BC219" s="1005" t="e">
        <f>IF(BA219=BB219,VLOOKUP(E219,'Tablas Técnicas'!$A$14:$V$771,13,FALSE),0)</f>
        <v>#N/A</v>
      </c>
      <c r="BD219" s="1005" t="e">
        <f>VLOOKUP(E219,'Tablas Técnicas'!$A$14:$V$771,14,FALSE)</f>
        <v>#N/A</v>
      </c>
      <c r="BE219" s="1005" t="e">
        <f>IF(BA219=BD219,VLOOKUP(E219,'Tablas Técnicas'!$A$14:$V$771,15,FALSE),0)</f>
        <v>#N/A</v>
      </c>
      <c r="BF219" s="1005" t="e">
        <f>VLOOKUP(E219,'Tablas Técnicas'!$A$14:$V$771,16,FALSE)</f>
        <v>#N/A</v>
      </c>
      <c r="BG219" s="1005" t="e">
        <f>IF(BA219=BF219,VLOOKUP(E219,'Tablas Técnicas'!$A$14:$V$771,17,FALSE),0)</f>
        <v>#N/A</v>
      </c>
      <c r="BH219" s="1005" t="e">
        <f>VLOOKUP(E219,'Tablas Técnicas'!$A$14:$V$771,18,FALSE)</f>
        <v>#N/A</v>
      </c>
      <c r="BI219" s="1005" t="e">
        <f>IF(BA219=BH219,VLOOKUP(E219,'Tablas Técnicas'!$A$14:$V$771,19,FALSE),0)</f>
        <v>#N/A</v>
      </c>
      <c r="BJ219" s="3034" t="str">
        <f>IF(E219=0,"",(BC219+BE219+BG219+BI219))</f>
        <v/>
      </c>
      <c r="BK219" s="1033" t="str">
        <f>IF(E219=0,"",VLOOKUP(E219,'Tablas Técnicas'!$A$14:$V$771,20,FALSE))</f>
        <v/>
      </c>
      <c r="BL219" s="1020" t="str">
        <f>IF(E219=0,"",VLOOKUP(E219,'Tablas Técnicas'!$A$14:$V$771,21,FALSE))</f>
        <v/>
      </c>
      <c r="BM219" s="991" t="str">
        <f>IF(E219=0,"",VLOOKUP(E219,'Tablas Técnicas'!$A$14:$V$771,22,FALSE))</f>
        <v/>
      </c>
      <c r="BN219" s="992"/>
      <c r="BO219" s="993"/>
      <c r="BP219" s="978" t="str">
        <f>IF(I219="Si",VLOOKUP($D$8,'Tablas Técnicas'!$E$4:$F$6,2,FALSE),"")</f>
        <v/>
      </c>
      <c r="BQ219" s="979" t="str">
        <f>IF(L219="Si",VLOOKUP($D$8,'Tablas Técnicas'!$I$4:$J$6,2,FALSE),"")</f>
        <v/>
      </c>
      <c r="BR219" s="977" t="str">
        <f>IF(O219="Si",VLOOKUP($D$8,'Tablas Técnicas'!$I$7:$J$9,2,FALSE),"")</f>
        <v/>
      </c>
      <c r="BS219" s="994"/>
      <c r="BU219" s="4777"/>
      <c r="BV219" s="4777"/>
      <c r="BW219" s="4777"/>
      <c r="BX219" s="951"/>
      <c r="BY219" s="1287"/>
      <c r="BZ219" s="1304"/>
      <c r="CA219" s="939"/>
      <c r="DR219" s="939"/>
      <c r="DT219" s="1326"/>
      <c r="DU219" s="1428" t="str">
        <f>DU195&amp;DU196&amp;DU197&amp;DU198&amp;DU199&amp;DU200</f>
        <v/>
      </c>
      <c r="DV219" s="1429" t="str">
        <f>DV195&amp;DV196&amp;DV197&amp;DV198&amp;DV199&amp;DV201&amp;DV202&amp;DV203&amp;DV204&amp;DV205&amp;DV207&amp;DV208&amp;DV209&amp;DV210&amp;DV211&amp;DV213&amp;DV214&amp;DV215&amp;DV216&amp;DV217</f>
        <v/>
      </c>
      <c r="DW219" s="1430" t="str">
        <f>DW195&amp;DW196&amp;DW197</f>
        <v/>
      </c>
      <c r="DX219" s="1431" t="str">
        <f>IF(DX201="",DX195,DX201)</f>
        <v/>
      </c>
      <c r="DY219" s="1327"/>
      <c r="DZ219" s="939"/>
      <c r="EA219" s="1470">
        <f t="shared" si="3"/>
        <v>1</v>
      </c>
    </row>
    <row r="220" spans="1:131" x14ac:dyDescent="0.2">
      <c r="A220" s="939"/>
      <c r="B220" s="939"/>
      <c r="C220" s="4822"/>
      <c r="D220" s="1452" t="s">
        <v>1766</v>
      </c>
      <c r="E220" s="995"/>
      <c r="F220" s="1025"/>
      <c r="G220" s="1437" t="str">
        <f>IF(E220=0,"",VLOOKUP(E220,'Tablas Técnicas'!$A$14:$V$771,3,FALSE))</f>
        <v/>
      </c>
      <c r="H220" s="998" t="str">
        <f>IF($E220=0,"",VLOOKUP($E220,'Tablas Técnicas'!$A$14:$V$771,4,FALSE))</f>
        <v/>
      </c>
      <c r="I220" s="999" t="s">
        <v>1690</v>
      </c>
      <c r="J220" s="1415" t="str">
        <f>IF(E220=0,"",VLOOKUP(E220,'Tablas Técnicas'!$A$14:$V$771,5,FALSE))</f>
        <v/>
      </c>
      <c r="K220" s="1001" t="str">
        <f>IF(I220="Si",IF(E220=0,"",VLOOKUP(E220,'Tablas Técnicas'!$A$14:$V$771,5,FALSE)),"")</f>
        <v/>
      </c>
      <c r="L220" s="999" t="s">
        <v>1690</v>
      </c>
      <c r="M220" s="1415" t="str">
        <f>IF(E220=0,"",VLOOKUP(E220,'Tablas Técnicas'!$A$14:$V$771,6,FALSE))</f>
        <v/>
      </c>
      <c r="N220" s="1002" t="str">
        <f>IF(L220="Si",IF(E220=0,"",VLOOKUP(E220,'Tablas Técnicas'!$A$14:$V$771,6,FALSE)),"")</f>
        <v/>
      </c>
      <c r="O220" s="999" t="s">
        <v>1690</v>
      </c>
      <c r="P220" s="1415" t="str">
        <f>IF(E220=0,"",VLOOKUP(E220,'Tablas Técnicas'!$A$14:$V$771,7,FALSE))</f>
        <v/>
      </c>
      <c r="Q220" s="1002" t="str">
        <f>IF(O220="Si",IF(E220=0,"",VLOOKUP(E220,'Tablas Técnicas'!$A$14:$V$771,7,FALSE)),"")</f>
        <v/>
      </c>
      <c r="R220" s="1000" t="str">
        <f>IF(E220=0,"",VLOOKUP(E220,'Tablas Técnicas'!$A$14:$V$771,8,FALSE))</f>
        <v/>
      </c>
      <c r="S220" s="998" t="str">
        <f>IF(R220=$D$8,$D$8,IF(R220=2,2,IF(R220=3,3,R220)))</f>
        <v/>
      </c>
      <c r="T220" s="4796" t="s">
        <v>4542</v>
      </c>
      <c r="U220" s="4797"/>
      <c r="V220" s="4797"/>
      <c r="W220" s="4797"/>
      <c r="X220" s="4797"/>
      <c r="Y220" s="4797"/>
      <c r="Z220" s="4797"/>
      <c r="AA220" s="4797"/>
      <c r="AB220" s="4797"/>
      <c r="AC220" s="4797"/>
      <c r="AD220" s="4797"/>
      <c r="AE220" s="4797"/>
      <c r="AF220" s="4797"/>
      <c r="AG220" s="4797"/>
      <c r="AH220" s="4797"/>
      <c r="AI220" s="4797"/>
      <c r="AJ220" s="4797"/>
      <c r="AK220" s="4797"/>
      <c r="AL220" s="4797"/>
      <c r="AM220" s="4797"/>
      <c r="AN220" s="4797"/>
      <c r="AO220" s="4797"/>
      <c r="AP220" s="4797"/>
      <c r="AQ220" s="4797"/>
      <c r="AR220" s="4797"/>
      <c r="AS220" s="4797"/>
      <c r="AT220" s="4797"/>
      <c r="AU220" s="4797"/>
      <c r="AV220" s="4797"/>
      <c r="AW220" s="4797"/>
      <c r="AX220" s="4797"/>
      <c r="AY220" s="4797"/>
      <c r="AZ220" s="4797"/>
      <c r="BA220" s="4797"/>
      <c r="BB220" s="4797"/>
      <c r="BC220" s="4797"/>
      <c r="BD220" s="4797"/>
      <c r="BE220" s="4797"/>
      <c r="BF220" s="4797"/>
      <c r="BG220" s="4797"/>
      <c r="BH220" s="4797"/>
      <c r="BI220" s="4797"/>
      <c r="BJ220" s="4797"/>
      <c r="BK220" s="4798"/>
      <c r="BL220" s="1437"/>
      <c r="BM220" s="1438"/>
      <c r="BN220" s="992"/>
      <c r="BO220" s="993"/>
      <c r="BP220" s="978" t="str">
        <f>IF(I220="Si",VLOOKUP($D$8,'Tablas Técnicas'!$E$4:$F$6,2,FALSE),"")</f>
        <v/>
      </c>
      <c r="BQ220" s="979" t="str">
        <f>IF(L220="Si",VLOOKUP($D$8,'Tablas Técnicas'!$I$4:$J$6,2,FALSE),"")</f>
        <v/>
      </c>
      <c r="BR220" s="977" t="str">
        <f>IF(O220="Si",VLOOKUP($D$8,'Tablas Técnicas'!$I$7:$J$9,2,FALSE),"")</f>
        <v/>
      </c>
      <c r="BS220" s="994"/>
      <c r="BT220" s="1036"/>
      <c r="BU220" s="1074"/>
      <c r="BV220" s="1074"/>
      <c r="BW220" s="1074"/>
      <c r="BX220" s="951"/>
      <c r="BY220" s="1286"/>
      <c r="BZ220" s="1304"/>
      <c r="CA220" s="939"/>
      <c r="DR220" s="939"/>
      <c r="DT220" s="1325"/>
      <c r="DU220" s="1377"/>
      <c r="DV220" s="1376" t="str">
        <f>IF(E220="","",E220)&amp;IF(I220="No",""," (Mant.)")&amp;IF(L220="No",""," (Sme)")&amp;IF(O220="No",""," (SMa)")</f>
        <v/>
      </c>
      <c r="DW220" s="1377"/>
      <c r="DX220" s="1377"/>
      <c r="DY220" s="1324"/>
      <c r="DZ220" s="939"/>
      <c r="EA220" s="1470">
        <f t="shared" si="3"/>
        <v>1</v>
      </c>
    </row>
    <row r="221" spans="1:131" x14ac:dyDescent="0.2">
      <c r="A221" s="939"/>
      <c r="B221" s="939"/>
      <c r="C221" s="4822"/>
      <c r="D221" s="1453" t="s">
        <v>1766</v>
      </c>
      <c r="E221" s="1003"/>
      <c r="F221" s="1019"/>
      <c r="G221" s="989" t="str">
        <f>IF(E221=0,"",VLOOKUP(E221,'Tablas Técnicas'!$A$14:$V$771,3,FALSE))</f>
        <v/>
      </c>
      <c r="H221" s="3033" t="str">
        <f>IF($E221=0,"",VLOOKUP($E221,'Tablas Técnicas'!$A$14:$V$771,4,FALSE))</f>
        <v/>
      </c>
      <c r="I221" s="987" t="s">
        <v>1690</v>
      </c>
      <c r="J221" s="1411" t="str">
        <f>IF(E221=0,"",VLOOKUP(E221,'Tablas Técnicas'!$A$14:$V$771,5,FALSE))</f>
        <v/>
      </c>
      <c r="K221" s="1006" t="str">
        <f>IF(I221="Si",IF(E221=0,"",VLOOKUP(E221,'Tablas Técnicas'!$A$14:$V$771,5,FALSE)),"")</f>
        <v/>
      </c>
      <c r="L221" s="987" t="s">
        <v>1690</v>
      </c>
      <c r="M221" s="1411" t="str">
        <f>IF(E221=0,"",VLOOKUP(E221,'Tablas Técnicas'!$A$14:$V$771,6,FALSE))</f>
        <v/>
      </c>
      <c r="N221" s="990" t="str">
        <f>IF(L221="Si",IF(E221=0,"",VLOOKUP(E221,'Tablas Técnicas'!$A$14:$V$771,6,FALSE)),"")</f>
        <v/>
      </c>
      <c r="O221" s="987" t="s">
        <v>1690</v>
      </c>
      <c r="P221" s="1411" t="str">
        <f>IF(E221=0,"",VLOOKUP(E221,'Tablas Técnicas'!$A$14:$V$771,7,FALSE))</f>
        <v/>
      </c>
      <c r="Q221" s="990" t="str">
        <f>IF(O221="Si",IF(E221=0,"",VLOOKUP(E221,'Tablas Técnicas'!$A$14:$V$771,7,FALSE)),"")</f>
        <v/>
      </c>
      <c r="R221" s="1005" t="str">
        <f>IF(E221=0,"",VLOOKUP(E221,'Tablas Técnicas'!$A$14:$V$771,8,FALSE))</f>
        <v/>
      </c>
      <c r="S221" s="3033" t="str">
        <f>IF(R221=$D$8,$D$8,IF(R221=2,2,IF(R221=3,3,R221)))</f>
        <v/>
      </c>
      <c r="T221" s="4809"/>
      <c r="U221" s="4810"/>
      <c r="V221" s="3029" t="str">
        <f>IF(OR(V219=0,V219=""),"N/A",V219)</f>
        <v>N/A</v>
      </c>
      <c r="W221" s="4809" t="str">
        <f xml:space="preserve"> IF(OR(AF219=0,AF219=""),"N/A",W219)</f>
        <v>N/A</v>
      </c>
      <c r="X221" s="4811"/>
      <c r="Y221" s="4811"/>
      <c r="Z221" s="4811"/>
      <c r="AA221" s="4811"/>
      <c r="AB221" s="4811"/>
      <c r="AC221" s="4811"/>
      <c r="AD221" s="4811"/>
      <c r="AE221" s="4811"/>
      <c r="AF221" s="4810"/>
      <c r="AG221" s="4809" t="str">
        <f xml:space="preserve"> IF(OR(AP219="",AP219=0),"N/A",AG219)</f>
        <v>N/A</v>
      </c>
      <c r="AH221" s="4811"/>
      <c r="AI221" s="4811"/>
      <c r="AJ221" s="4811"/>
      <c r="AK221" s="4811"/>
      <c r="AL221" s="4811"/>
      <c r="AM221" s="4811"/>
      <c r="AN221" s="4811"/>
      <c r="AO221" s="4811"/>
      <c r="AP221" s="4810"/>
      <c r="AQ221" s="4809" t="str">
        <f xml:space="preserve"> IF(OR(AZ219="",AZ219=0),"N/A",AQ219)</f>
        <v>N/A</v>
      </c>
      <c r="AR221" s="4811"/>
      <c r="AS221" s="4811"/>
      <c r="AT221" s="4811"/>
      <c r="AU221" s="4811"/>
      <c r="AV221" s="4811"/>
      <c r="AW221" s="4811"/>
      <c r="AX221" s="4811"/>
      <c r="AY221" s="4811"/>
      <c r="AZ221" s="4810"/>
      <c r="BA221" s="4809" t="str">
        <f xml:space="preserve"> IF(OR(BJ219="",BJ219=0),"N/A",BA219)</f>
        <v>N/A</v>
      </c>
      <c r="BB221" s="4811"/>
      <c r="BC221" s="4811"/>
      <c r="BD221" s="4811"/>
      <c r="BE221" s="4811"/>
      <c r="BF221" s="4811"/>
      <c r="BG221" s="4811"/>
      <c r="BH221" s="4811"/>
      <c r="BI221" s="4811"/>
      <c r="BJ221" s="4810"/>
      <c r="BK221" s="1007" t="s">
        <v>4543</v>
      </c>
      <c r="BL221" s="989"/>
      <c r="BM221" s="1024"/>
      <c r="BN221" s="1008"/>
      <c r="BO221" s="1009"/>
      <c r="BP221" s="1010" t="str">
        <f>IF(I221="Si",VLOOKUP($D$8,'Tablas Técnicas'!$E$4:$F$6,2,FALSE),"")</f>
        <v/>
      </c>
      <c r="BQ221" s="980" t="str">
        <f>IF(L221="Si",VLOOKUP($D$8,'Tablas Técnicas'!$I$4:$J$6,2,FALSE),"")</f>
        <v/>
      </c>
      <c r="BR221" s="1011" t="str">
        <f>IF(O221="Si",VLOOKUP($D$8,'Tablas Técnicas'!$I$7:$J$9,2,FALSE),"")</f>
        <v/>
      </c>
      <c r="BS221" s="994"/>
      <c r="BU221" s="4776"/>
      <c r="BV221" s="4776"/>
      <c r="BW221" s="4776"/>
      <c r="BX221" s="951"/>
      <c r="BY221" s="1286"/>
      <c r="BZ221" s="1304"/>
      <c r="CA221" s="939"/>
      <c r="DR221" s="939"/>
      <c r="DT221" s="1325"/>
      <c r="DU221" s="1377"/>
      <c r="DV221" s="1376" t="str">
        <f>IF(E221="","",E221)&amp;IF(I221="No",""," (Mant.)")&amp;IF(L221="No",""," (Sme)")&amp;IF(O221="No",""," (SMa)")</f>
        <v/>
      </c>
      <c r="DW221" s="1377"/>
      <c r="DX221" s="1377"/>
      <c r="DY221" s="1324"/>
      <c r="DZ221" s="939"/>
      <c r="EA221" s="1470">
        <f t="shared" si="3"/>
        <v>1</v>
      </c>
    </row>
    <row r="222" spans="1:131" x14ac:dyDescent="0.2">
      <c r="A222" s="939"/>
      <c r="B222" s="939"/>
      <c r="C222" s="4822"/>
      <c r="D222" s="1452" t="s">
        <v>1766</v>
      </c>
      <c r="E222" s="995"/>
      <c r="F222" s="1025"/>
      <c r="G222" s="1437" t="str">
        <f>IF(E222=0,"",VLOOKUP(E222,'Tablas Técnicas'!$A$14:$V$771,3,FALSE))</f>
        <v/>
      </c>
      <c r="H222" s="998" t="str">
        <f>IF($E222=0,"",VLOOKUP($E222,'Tablas Técnicas'!$A$14:$V$771,4,FALSE))</f>
        <v/>
      </c>
      <c r="I222" s="999" t="s">
        <v>1690</v>
      </c>
      <c r="J222" s="1415" t="str">
        <f>IF(E222=0,"",VLOOKUP(E222,'Tablas Técnicas'!$A$14:$V$771,5,FALSE))</f>
        <v/>
      </c>
      <c r="K222" s="1001" t="str">
        <f>IF(I222="Si",IF(E222=0,"",VLOOKUP(E222,'Tablas Técnicas'!$A$14:$V$771,5,FALSE)),"")</f>
        <v/>
      </c>
      <c r="L222" s="999" t="s">
        <v>1690</v>
      </c>
      <c r="M222" s="1415" t="str">
        <f>IF(E222=0,"",VLOOKUP(E222,'Tablas Técnicas'!$A$14:$V$771,6,FALSE))</f>
        <v/>
      </c>
      <c r="N222" s="1002" t="str">
        <f>IF(L222="Si",IF(E222=0,"",VLOOKUP(E222,'Tablas Técnicas'!$A$14:$V$771,6,FALSE)),"")</f>
        <v/>
      </c>
      <c r="O222" s="999" t="s">
        <v>1690</v>
      </c>
      <c r="P222" s="1415" t="str">
        <f>IF(E222=0,"",VLOOKUP(E222,'Tablas Técnicas'!$A$14:$V$771,7,FALSE))</f>
        <v/>
      </c>
      <c r="Q222" s="1002" t="str">
        <f>IF(O222="Si",IF(E222=0,"",VLOOKUP(E222,'Tablas Técnicas'!$A$14:$V$771,7,FALSE)),"")</f>
        <v/>
      </c>
      <c r="R222" s="1000" t="str">
        <f>IF(E222=0,"",VLOOKUP(E222,'Tablas Técnicas'!$A$14:$V$771,8,FALSE))</f>
        <v/>
      </c>
      <c r="S222" s="998" t="str">
        <f>IF(R222=$D$8,$D$8,IF(R222=2,2,IF(R222=3,3,R222)))</f>
        <v/>
      </c>
      <c r="T222" s="4812" t="s">
        <v>4544</v>
      </c>
      <c r="U222" s="4813"/>
      <c r="V222" s="3025"/>
      <c r="W222" s="4814"/>
      <c r="X222" s="4815"/>
      <c r="Y222" s="4815"/>
      <c r="Z222" s="4815"/>
      <c r="AA222" s="4815"/>
      <c r="AB222" s="4815"/>
      <c r="AC222" s="4815"/>
      <c r="AD222" s="4815"/>
      <c r="AE222" s="4815"/>
      <c r="AF222" s="4816"/>
      <c r="AG222" s="4814"/>
      <c r="AH222" s="4815"/>
      <c r="AI222" s="4815"/>
      <c r="AJ222" s="4815"/>
      <c r="AK222" s="4815"/>
      <c r="AL222" s="4815"/>
      <c r="AM222" s="4815"/>
      <c r="AN222" s="4815"/>
      <c r="AO222" s="4815"/>
      <c r="AP222" s="4816"/>
      <c r="AQ222" s="4814"/>
      <c r="AR222" s="4815"/>
      <c r="AS222" s="4815"/>
      <c r="AT222" s="4815"/>
      <c r="AU222" s="4815"/>
      <c r="AV222" s="4815"/>
      <c r="AW222" s="4815"/>
      <c r="AX222" s="4815"/>
      <c r="AY222" s="4815"/>
      <c r="AZ222" s="4816"/>
      <c r="BA222" s="4814"/>
      <c r="BB222" s="4815"/>
      <c r="BC222" s="4815"/>
      <c r="BD222" s="4815"/>
      <c r="BE222" s="4815"/>
      <c r="BF222" s="4815"/>
      <c r="BG222" s="4815"/>
      <c r="BH222" s="4815"/>
      <c r="BI222" s="4815"/>
      <c r="BJ222" s="4816"/>
      <c r="BK222" s="998">
        <f>(SUM(G219:G223)+IF(AF219="",0,AF219)+IF(AP219="",0,AP219)+IF(AZ219="",0,AZ219)+IF(BJ219="",0,BJ219)+SUM(K219:K223)+SUM(N219:N223)+SUM(Q219:Q223))- SUM(V222:BA222)</f>
        <v>0</v>
      </c>
      <c r="BL222" s="1437"/>
      <c r="BM222" s="1438"/>
      <c r="BN222" s="992"/>
      <c r="BO222" s="993"/>
      <c r="BP222" s="978" t="str">
        <f>IF(I222="Si",VLOOKUP($D$8,'Tablas Técnicas'!$E$4:$F$6,2,FALSE),"")</f>
        <v/>
      </c>
      <c r="BQ222" s="979" t="str">
        <f>IF(L222="Si",VLOOKUP($D$8,'Tablas Técnicas'!$I$4:$J$6,2,FALSE),"")</f>
        <v/>
      </c>
      <c r="BR222" s="977" t="str">
        <f>IF(O222="Si",VLOOKUP($D$8,'Tablas Técnicas'!$I$7:$J$9,2,FALSE),"")</f>
        <v/>
      </c>
      <c r="BS222" s="994"/>
      <c r="BU222" s="1074"/>
      <c r="BV222" s="1074"/>
      <c r="BW222" s="1074"/>
      <c r="BX222" s="951"/>
      <c r="BY222" s="1286"/>
      <c r="BZ222" s="1304"/>
      <c r="CA222" s="943"/>
      <c r="DR222" s="943"/>
      <c r="DT222" s="1325"/>
      <c r="DU222" s="1432"/>
      <c r="DV222" s="1376" t="str">
        <f>IF(E222="","",E222)&amp;IF(I222="No",""," (Mant.)")&amp;IF(L222="No",""," (Sme)")&amp;IF(O222="No",""," (SMa)")</f>
        <v/>
      </c>
      <c r="DW222" s="1432"/>
      <c r="DX222" s="1432"/>
      <c r="DY222" s="1324"/>
      <c r="DZ222" s="943"/>
      <c r="EA222" s="1470">
        <f t="shared" si="3"/>
        <v>1</v>
      </c>
    </row>
    <row r="223" spans="1:131" x14ac:dyDescent="0.2">
      <c r="A223" s="939"/>
      <c r="B223" s="939"/>
      <c r="C223" s="4822"/>
      <c r="D223" s="1453" t="s">
        <v>1766</v>
      </c>
      <c r="E223" s="1003"/>
      <c r="F223" s="1019"/>
      <c r="G223" s="989" t="str">
        <f>IF(E223=0,"",VLOOKUP(E223,'Tablas Técnicas'!$A$14:$V$771,3,FALSE))</f>
        <v/>
      </c>
      <c r="H223" s="1004" t="str">
        <f>IF($E223=0,"",VLOOKUP($E223,'Tablas Técnicas'!$A$14:$V$771,4,FALSE))</f>
        <v/>
      </c>
      <c r="I223" s="987" t="s">
        <v>1690</v>
      </c>
      <c r="J223" s="1411" t="str">
        <f>IF(E223=0,"",VLOOKUP(E223,'Tablas Técnicas'!$A$14:$V$771,5,FALSE))</f>
        <v/>
      </c>
      <c r="K223" s="1006" t="str">
        <f>IF(I223="Si",IF(E223=0,"",VLOOKUP(E223,'Tablas Técnicas'!$A$14:$V$771,5,FALSE)),"")</f>
        <v/>
      </c>
      <c r="L223" s="987" t="s">
        <v>1690</v>
      </c>
      <c r="M223" s="1411" t="str">
        <f>IF(E223=0,"",VLOOKUP(E223,'Tablas Técnicas'!$A$14:$V$771,6,FALSE))</f>
        <v/>
      </c>
      <c r="N223" s="990" t="str">
        <f>IF(L223="Si",IF(E223=0,"",VLOOKUP(E223,'Tablas Técnicas'!$A$14:$V$771,6,FALSE)),"")</f>
        <v/>
      </c>
      <c r="O223" s="987" t="s">
        <v>1690</v>
      </c>
      <c r="P223" s="1411" t="str">
        <f>IF(E223=0,"",VLOOKUP(E223,'Tablas Técnicas'!$A$14:$V$771,7,FALSE))</f>
        <v/>
      </c>
      <c r="Q223" s="990" t="str">
        <f>IF(O223="Si",IF(E223=0,"",VLOOKUP(E223,'Tablas Técnicas'!$A$14:$V$771,7,FALSE)),"")</f>
        <v/>
      </c>
      <c r="R223" s="1005" t="str">
        <f>IF(E223=0,"",VLOOKUP(E223,'Tablas Técnicas'!$A$14:$V$771,8,FALSE))</f>
        <v/>
      </c>
      <c r="S223" s="1004" t="str">
        <f>IF(R223=$D$8,$D$8,IF(R223=2,2,IF(R223=3,3,R223)))</f>
        <v/>
      </c>
      <c r="T223" s="4817" t="s">
        <v>4546</v>
      </c>
      <c r="U223" s="4818"/>
      <c r="V223" s="3035"/>
      <c r="W223" s="4819"/>
      <c r="X223" s="4820"/>
      <c r="Y223" s="4820"/>
      <c r="Z223" s="4820"/>
      <c r="AA223" s="4820"/>
      <c r="AB223" s="4820"/>
      <c r="AC223" s="4820"/>
      <c r="AD223" s="4820"/>
      <c r="AE223" s="4820"/>
      <c r="AF223" s="4821"/>
      <c r="AG223" s="4819"/>
      <c r="AH223" s="4820"/>
      <c r="AI223" s="4820"/>
      <c r="AJ223" s="4820"/>
      <c r="AK223" s="4820"/>
      <c r="AL223" s="4820"/>
      <c r="AM223" s="4820"/>
      <c r="AN223" s="4820"/>
      <c r="AO223" s="4820"/>
      <c r="AP223" s="4821"/>
      <c r="AQ223" s="4819"/>
      <c r="AR223" s="4820"/>
      <c r="AS223" s="4820"/>
      <c r="AT223" s="4820"/>
      <c r="AU223" s="4820"/>
      <c r="AV223" s="4820"/>
      <c r="AW223" s="4820"/>
      <c r="AX223" s="4820"/>
      <c r="AY223" s="4820"/>
      <c r="AZ223" s="4821"/>
      <c r="BA223" s="4819"/>
      <c r="BB223" s="4820"/>
      <c r="BC223" s="4820"/>
      <c r="BD223" s="4820"/>
      <c r="BE223" s="4820"/>
      <c r="BF223" s="4820"/>
      <c r="BG223" s="4820"/>
      <c r="BH223" s="4820"/>
      <c r="BI223" s="4820"/>
      <c r="BJ223" s="4821"/>
      <c r="BK223" s="1004">
        <f>SUM(K219:K223)-SUM(V223:BA223)</f>
        <v>0</v>
      </c>
      <c r="BL223" s="989"/>
      <c r="BM223" s="1024"/>
      <c r="BN223" s="1008"/>
      <c r="BO223" s="1009"/>
      <c r="BP223" s="1010" t="str">
        <f>IF(I223="Si",VLOOKUP($D$8,'Tablas Técnicas'!$E$4:$F$6,2,FALSE),"")</f>
        <v/>
      </c>
      <c r="BQ223" s="980" t="str">
        <f>IF(L223="Si",VLOOKUP($D$8,'Tablas Técnicas'!$I$4:$J$6,2,FALSE),"")</f>
        <v/>
      </c>
      <c r="BR223" s="1011" t="str">
        <f>IF(O223="Si",VLOOKUP($D$8,'Tablas Técnicas'!$I$7:$J$9,2,FALSE),"")</f>
        <v/>
      </c>
      <c r="BS223" s="994"/>
      <c r="BU223" s="1074"/>
      <c r="BV223" s="1074"/>
      <c r="BW223" s="1074"/>
      <c r="BX223" s="951"/>
      <c r="BY223" s="1286"/>
      <c r="BZ223" s="1304"/>
      <c r="CA223" s="939"/>
      <c r="DR223" s="939"/>
      <c r="DT223" s="1325"/>
      <c r="DU223" s="1377"/>
      <c r="DV223" s="1376" t="str">
        <f>IF(E223="","",E223)&amp;IF(I223="No",""," (Mant.)")&amp;IF(L223="No",""," (Sme)")&amp;IF(O223="No",""," (SMa)")</f>
        <v/>
      </c>
      <c r="DW223" s="1377"/>
      <c r="DX223" s="1377"/>
      <c r="DY223" s="1324"/>
      <c r="DZ223" s="939"/>
      <c r="EA223" s="1470">
        <f t="shared" si="3"/>
        <v>1</v>
      </c>
    </row>
    <row r="224" spans="1:131" x14ac:dyDescent="0.2">
      <c r="A224" s="939"/>
      <c r="B224" s="939"/>
      <c r="C224" s="4822"/>
      <c r="D224" s="1455"/>
      <c r="E224" s="1404" t="s">
        <v>4553</v>
      </c>
      <c r="F224" s="1016"/>
      <c r="G224" s="1017"/>
      <c r="H224" s="2159">
        <f t="array" ref="H224">IF(AND(OR(ISNUMBER(SEARCH("Empatía Elemental ("&amp;BK219:BM219&amp;")",Principal!$AF$30))),SUM(H219:H223)&gt;=10),-5,0)</f>
        <v>0</v>
      </c>
      <c r="I224" s="1017"/>
      <c r="J224" s="1018"/>
      <c r="K224" s="1017"/>
      <c r="L224" s="1017"/>
      <c r="M224" s="1018"/>
      <c r="N224" s="1017"/>
      <c r="O224" s="1017"/>
      <c r="P224" s="1018"/>
      <c r="Q224" s="1017"/>
      <c r="R224" s="1018"/>
      <c r="S224" s="1017"/>
      <c r="T224" s="1017"/>
      <c r="U224" s="1037"/>
      <c r="V224" s="1037"/>
      <c r="W224" s="1037"/>
      <c r="X224" s="1037"/>
      <c r="Y224" s="1037"/>
      <c r="Z224" s="1037"/>
      <c r="AA224" s="1037"/>
      <c r="AB224" s="1037"/>
      <c r="AC224" s="1037"/>
      <c r="AD224" s="1037"/>
      <c r="AE224" s="1037"/>
      <c r="AF224" s="1037"/>
      <c r="AG224" s="1037"/>
      <c r="AH224" s="1037"/>
      <c r="AI224" s="1037"/>
      <c r="AJ224" s="1037"/>
      <c r="AK224" s="1037"/>
      <c r="AL224" s="1037"/>
      <c r="AM224" s="1037"/>
      <c r="AN224" s="1037"/>
      <c r="AO224" s="1037"/>
      <c r="AP224" s="1037"/>
      <c r="AQ224" s="1037"/>
      <c r="AR224" s="1037"/>
      <c r="AS224" s="1037"/>
      <c r="AT224" s="1037"/>
      <c r="AU224" s="1037"/>
      <c r="AV224" s="1037"/>
      <c r="AW224" s="1037"/>
      <c r="AX224" s="1037"/>
      <c r="AY224" s="1037"/>
      <c r="AZ224" s="1037"/>
      <c r="BA224" s="1037"/>
      <c r="BB224" s="1037"/>
      <c r="BC224" s="1037"/>
      <c r="BD224" s="1037"/>
      <c r="BE224" s="1037"/>
      <c r="BF224" s="1037"/>
      <c r="BG224" s="1037"/>
      <c r="BH224" s="1037"/>
      <c r="BI224" s="1037"/>
      <c r="BJ224" s="1037"/>
      <c r="BK224" s="4802"/>
      <c r="BL224" s="4802"/>
      <c r="BM224" s="4767"/>
      <c r="BN224" s="977">
        <f>SUM(K224:K227)</f>
        <v>0</v>
      </c>
      <c r="BO224" s="971">
        <f>IF(E224=0,"",(AF224+AP224+AZ224+BJ224))</f>
        <v>0</v>
      </c>
      <c r="BP224" s="978" t="str">
        <f>IF(I224="Si",VLOOKUP($D$8,'Tablas Técnicas'!$E$4:$F$6,2,FALSE),"")</f>
        <v/>
      </c>
      <c r="BQ224" s="979" t="str">
        <f>IF(L224="Si",VLOOKUP($D$8,'Tablas Técnicas'!$I$4:$J$6,2,FALSE),"")</f>
        <v/>
      </c>
      <c r="BR224" s="977" t="str">
        <f>IF(O224="Si",VLOOKUP($D$8,'Tablas Técnicas'!$I$7:$J$9,2,FALSE),"")</f>
        <v/>
      </c>
      <c r="BS224" s="994"/>
      <c r="BT224" s="4766" t="s">
        <v>4555</v>
      </c>
      <c r="BU224" s="4767"/>
      <c r="BV224" s="971"/>
      <c r="BW224" s="951"/>
      <c r="BX224" s="951"/>
      <c r="BY224" s="1286"/>
      <c r="BZ224" s="1304"/>
      <c r="CA224" s="939"/>
      <c r="DR224" s="939"/>
      <c r="DT224" s="1325"/>
      <c r="DU224" s="1377"/>
      <c r="DV224" s="1377"/>
      <c r="DW224" s="1377"/>
      <c r="DX224" s="1377"/>
      <c r="DY224" s="1324"/>
      <c r="DZ224" s="939"/>
      <c r="EA224" s="1470">
        <f t="shared" si="3"/>
        <v>1</v>
      </c>
    </row>
    <row r="225" spans="1:132" ht="12" x14ac:dyDescent="0.2">
      <c r="A225" s="939"/>
      <c r="B225" s="939"/>
      <c r="C225" s="4822"/>
      <c r="D225" s="1456" t="s">
        <v>4554</v>
      </c>
      <c r="E225" s="983"/>
      <c r="F225" s="1006"/>
      <c r="G225" s="1006"/>
      <c r="H225" s="1004" t="str">
        <f>IF(D193=0,"",IF(E225=0,"",VLOOKUP(E225,'Tablas Técnicas'!$A$14:$V$771,4,FALSE)))</f>
        <v/>
      </c>
      <c r="I225" s="1006"/>
      <c r="J225" s="1006"/>
      <c r="K225" s="1038"/>
      <c r="L225" s="1006"/>
      <c r="M225" s="1006"/>
      <c r="N225" s="1038"/>
      <c r="O225" s="1006"/>
      <c r="P225" s="1006"/>
      <c r="Q225" s="1006"/>
      <c r="R225" s="1005" t="str">
        <f>IF(E225=0,"",VLOOKUP(E225,'Tablas Técnicas'!$A$14:$V$771,8,FALSE))</f>
        <v/>
      </c>
      <c r="S225" s="1031" t="str">
        <f>IF(R225=$D$8,$D$8,IF(R225=2,2,IF(R225=3,3,R225)))</f>
        <v/>
      </c>
      <c r="T225" s="1006" t="str">
        <f>IF(E225=0,"",VLOOKUP(E225,'Tablas Técnicas'!$A$14:$V$771,9,FALSE))</f>
        <v/>
      </c>
      <c r="U225" s="1033" t="str">
        <f>IF(E225=0,"",VLOOKUP(E225,'Tablas Técnicas'!$A$14:$V$771,10,FALSE))</f>
        <v/>
      </c>
      <c r="V225" s="1034"/>
      <c r="W225" s="1034"/>
      <c r="X225" s="1033"/>
      <c r="Y225" s="1033"/>
      <c r="Z225" s="1033"/>
      <c r="AA225" s="1033"/>
      <c r="AB225" s="1033"/>
      <c r="AC225" s="1033"/>
      <c r="AD225" s="1033"/>
      <c r="AE225" s="1033"/>
      <c r="AF225" s="1033"/>
      <c r="AG225" s="4799" t="str">
        <f>IF(OR(E225='Tablas Técnicas'!A$678,E225='Tablas Técnicas'!A$679,E226='Tablas Técnicas'!A$678,E226='Tablas Técnicas'!A$679,E227='Tablas Técnicas'!A$678,E227='Tablas Técnicas'!A$679),"Selecciona la atadura elemental:","")</f>
        <v/>
      </c>
      <c r="AH225" s="4800"/>
      <c r="AI225" s="4800"/>
      <c r="AJ225" s="4800"/>
      <c r="AK225" s="4800"/>
      <c r="AL225" s="4800"/>
      <c r="AM225" s="4800"/>
      <c r="AN225" s="4800"/>
      <c r="AO225" s="4800"/>
      <c r="AP225" s="4800"/>
      <c r="AQ225" s="4800"/>
      <c r="AR225" s="4800"/>
      <c r="AS225" s="4800"/>
      <c r="AT225" s="4800"/>
      <c r="AU225" s="4800"/>
      <c r="AV225" s="4800"/>
      <c r="AW225" s="4800"/>
      <c r="AX225" s="4800"/>
      <c r="AY225" s="4800"/>
      <c r="AZ225" s="4800"/>
      <c r="BA225" s="4800"/>
      <c r="BB225" s="4800"/>
      <c r="BC225" s="4800"/>
      <c r="BD225" s="4800"/>
      <c r="BE225" s="4800"/>
      <c r="BF225" s="4800"/>
      <c r="BG225" s="4800"/>
      <c r="BH225" s="4800"/>
      <c r="BI225" s="4800"/>
      <c r="BJ225" s="4800"/>
      <c r="BK225" s="4801"/>
      <c r="BL225" s="1441"/>
      <c r="BM225" s="1441"/>
      <c r="BN225" s="1006"/>
      <c r="BO225" s="1006"/>
      <c r="BP225" s="1038"/>
      <c r="BQ225" s="1006"/>
      <c r="BR225" s="1006"/>
      <c r="BS225" s="1006"/>
      <c r="BT225" s="4768">
        <f>D193</f>
        <v>1</v>
      </c>
      <c r="BU225" s="4769"/>
      <c r="BV225" s="971">
        <f>IF(BV224=0,0,VLOOKUP(BV224,'Tablas Técnicas'!$M$4:$N$7,2,FALSE))</f>
        <v>0</v>
      </c>
      <c r="BW225" s="951"/>
      <c r="BX225" s="951"/>
      <c r="BY225" s="1286"/>
      <c r="BZ225" s="1304"/>
      <c r="CA225" s="939"/>
      <c r="DR225" s="939"/>
      <c r="DT225" s="1325"/>
      <c r="DU225" s="1377"/>
      <c r="DV225" s="1377"/>
      <c r="DW225" s="1377"/>
      <c r="DX225" s="1377"/>
      <c r="DY225" s="1324"/>
      <c r="DZ225" s="939"/>
      <c r="EA225" s="1470">
        <f t="shared" si="3"/>
        <v>1</v>
      </c>
    </row>
    <row r="226" spans="1:132" x14ac:dyDescent="0.2">
      <c r="A226" s="939"/>
      <c r="B226" s="939"/>
      <c r="C226" s="4822"/>
      <c r="D226" s="1452" t="s">
        <v>4556</v>
      </c>
      <c r="E226" s="1039"/>
      <c r="F226" s="1405"/>
      <c r="G226" s="1406"/>
      <c r="H226" s="996" t="str">
        <f>IF(VALUE(D193)&gt;1,IF(E226=0,"",VLOOKUP(E226,'Tablas Técnicas'!$A$14:$V$771,4,FALSE)),"")</f>
        <v/>
      </c>
      <c r="I226" s="1405"/>
      <c r="J226" s="1406"/>
      <c r="K226" s="1406"/>
      <c r="L226" s="1405"/>
      <c r="M226" s="1406"/>
      <c r="N226" s="1407"/>
      <c r="O226" s="1406"/>
      <c r="P226" s="1406"/>
      <c r="Q226" s="1406"/>
      <c r="R226" s="1000" t="str">
        <f>IF(E226=0,"",VLOOKUP(E226,'Tablas Técnicas'!$A$14:$V$771,8,FALSE))</f>
        <v/>
      </c>
      <c r="S226" s="998" t="str">
        <f>IF(R226=$D$8,$D$8,IF(R226=2,2,IF(R226=3,3,R226)))</f>
        <v/>
      </c>
      <c r="T226" s="1001" t="str">
        <f>IF(E226=0,"",VLOOKUP(E226,'Tablas Técnicas'!$A$14:$V$771,9,FALSE))</f>
        <v/>
      </c>
      <c r="U226" s="1001" t="str">
        <f>IF(E226=0,"",VLOOKUP(E226,'Tablas Técnicas'!$A$14:$V$771,10,FALSE))</f>
        <v/>
      </c>
      <c r="V226" s="1405"/>
      <c r="W226" s="1405"/>
      <c r="X226" s="1406"/>
      <c r="Y226" s="1406"/>
      <c r="Z226" s="1406"/>
      <c r="AA226" s="1406"/>
      <c r="AB226" s="1406"/>
      <c r="AC226" s="1406"/>
      <c r="AD226" s="1406"/>
      <c r="AE226" s="1406"/>
      <c r="AF226" s="1406"/>
      <c r="AG226" s="1408"/>
      <c r="AH226" s="1409"/>
      <c r="AI226" s="1409"/>
      <c r="AJ226" s="1409"/>
      <c r="AK226" s="1409"/>
      <c r="AL226" s="1409"/>
      <c r="AM226" s="1409"/>
      <c r="AN226" s="1409"/>
      <c r="AO226" s="1409"/>
      <c r="AP226" s="1407"/>
      <c r="AQ226" s="1409"/>
      <c r="AR226" s="1409"/>
      <c r="AS226" s="1409"/>
      <c r="AT226" s="1409"/>
      <c r="AU226" s="1409"/>
      <c r="AV226" s="1409"/>
      <c r="AW226" s="1409"/>
      <c r="AX226" s="1409"/>
      <c r="AY226" s="1409"/>
      <c r="AZ226" s="1410"/>
      <c r="BA226" s="1406"/>
      <c r="BB226" s="1406"/>
      <c r="BC226" s="1406"/>
      <c r="BD226" s="1406"/>
      <c r="BE226" s="1406"/>
      <c r="BF226" s="1406"/>
      <c r="BG226" s="1406"/>
      <c r="BH226" s="1406"/>
      <c r="BI226" s="1406"/>
      <c r="BJ226" s="1407"/>
      <c r="BK226" s="1406"/>
      <c r="BL226" s="1442"/>
      <c r="BM226" s="1443"/>
      <c r="BN226" s="1406"/>
      <c r="BO226" s="1406"/>
      <c r="BP226" s="1407"/>
      <c r="BQ226" s="1406"/>
      <c r="BR226" s="1406"/>
      <c r="BS226" s="1406"/>
      <c r="BU226" s="3026"/>
      <c r="BV226" s="971"/>
      <c r="BW226" s="951"/>
      <c r="BX226" s="951"/>
      <c r="BY226" s="1286"/>
      <c r="BZ226" s="1304"/>
      <c r="CA226" s="939"/>
      <c r="DR226" s="939"/>
      <c r="DT226" s="1325"/>
      <c r="DU226" s="1377"/>
      <c r="DV226" s="1377"/>
      <c r="DW226" s="1377"/>
      <c r="DX226" s="1377"/>
      <c r="DY226" s="1324"/>
      <c r="DZ226" s="939"/>
      <c r="EA226" s="1470">
        <f t="shared" si="3"/>
        <v>1</v>
      </c>
    </row>
    <row r="227" spans="1:132" x14ac:dyDescent="0.2">
      <c r="A227" s="939"/>
      <c r="B227" s="939"/>
      <c r="C227" s="4822"/>
      <c r="D227" s="1457" t="s">
        <v>4557</v>
      </c>
      <c r="E227" s="1040"/>
      <c r="F227" s="3030"/>
      <c r="G227" s="1015"/>
      <c r="H227" s="1014" t="str">
        <f>IF(VALUE(D193)=3,IF(E227=0,"",VLOOKUP(E227,'Tablas Técnicas'!$A$14:$V$771,4,FALSE)),"")</f>
        <v/>
      </c>
      <c r="I227" s="1015"/>
      <c r="J227" s="1015"/>
      <c r="K227" s="1015"/>
      <c r="L227" s="3030"/>
      <c r="M227" s="1015"/>
      <c r="N227" s="1015"/>
      <c r="O227" s="3030"/>
      <c r="P227" s="1015"/>
      <c r="Q227" s="1015"/>
      <c r="R227" s="1035" t="str">
        <f>IF(E227=0,"",VLOOKUP(E227,'Tablas Técnicas'!$A$14:$V$771,8,FALSE))</f>
        <v/>
      </c>
      <c r="S227" s="1014" t="str">
        <f>IF(R227=$D$8,$D$8,IF(R227=2,2,IF(R227=3,3,R227)))</f>
        <v/>
      </c>
      <c r="T227" s="1015" t="str">
        <f>IF(E227=0,"",VLOOKUP(E227,'Tablas Técnicas'!$A$14:$V$771,9,FALSE))</f>
        <v/>
      </c>
      <c r="U227" s="1015" t="str">
        <f>IF(E227=0,"",VLOOKUP(E227,'Tablas Técnicas'!$A$14:$V$771,10,FALSE))</f>
        <v/>
      </c>
      <c r="V227" s="3030"/>
      <c r="W227" s="1298"/>
      <c r="X227" s="1298"/>
      <c r="Y227" s="1298"/>
      <c r="Z227" s="1298"/>
      <c r="AA227" s="1298"/>
      <c r="AB227" s="1298"/>
      <c r="AC227" s="1298"/>
      <c r="AD227" s="1298"/>
      <c r="AE227" s="1298"/>
      <c r="AF227" s="1299"/>
      <c r="AG227" s="3030"/>
      <c r="AH227" s="1015"/>
      <c r="AI227" s="1015"/>
      <c r="AJ227" s="1015"/>
      <c r="AK227" s="1015"/>
      <c r="AL227" s="1015"/>
      <c r="AM227" s="1015"/>
      <c r="AN227" s="1015"/>
      <c r="AO227" s="1015"/>
      <c r="AP227" s="3031"/>
      <c r="AQ227" s="1015"/>
      <c r="AR227" s="1015"/>
      <c r="AS227" s="1015"/>
      <c r="AT227" s="1015"/>
      <c r="AU227" s="1015"/>
      <c r="AV227" s="1015"/>
      <c r="AW227" s="1015"/>
      <c r="AX227" s="1015"/>
      <c r="AY227" s="1015"/>
      <c r="AZ227" s="3031"/>
      <c r="BA227" s="1015"/>
      <c r="BB227" s="1015"/>
      <c r="BC227" s="1015"/>
      <c r="BD227" s="1015"/>
      <c r="BE227" s="1015"/>
      <c r="BF227" s="1015"/>
      <c r="BG227" s="1015"/>
      <c r="BH227" s="1015"/>
      <c r="BI227" s="1015"/>
      <c r="BJ227" s="3031"/>
      <c r="BK227" s="1015"/>
      <c r="BL227" s="1439"/>
      <c r="BM227" s="1444"/>
      <c r="BN227" s="1015"/>
      <c r="BO227" s="1015"/>
      <c r="BP227" s="1015"/>
      <c r="BQ227" s="3030"/>
      <c r="BR227" s="1015"/>
      <c r="BS227" s="1015"/>
      <c r="BT227" s="3026"/>
      <c r="BU227" s="3026"/>
      <c r="BV227" s="971">
        <f>IF(BV226=0,0,VLOOKUP(BV226,'Tablas Técnicas'!$M$4:$N$7,2,FALSE))</f>
        <v>0</v>
      </c>
      <c r="BW227" s="951"/>
      <c r="BX227" s="951"/>
      <c r="BY227" s="1286"/>
      <c r="BZ227" s="1304"/>
      <c r="CA227" s="943"/>
      <c r="DR227" s="943"/>
      <c r="DT227" s="1328"/>
      <c r="DU227" s="1433"/>
      <c r="DV227" s="1433"/>
      <c r="DW227" s="1433"/>
      <c r="DX227" s="1433"/>
      <c r="DY227" s="1329"/>
      <c r="DZ227" s="943"/>
      <c r="EA227" s="1470">
        <f t="shared" si="3"/>
        <v>1</v>
      </c>
    </row>
    <row r="228" spans="1:132" x14ac:dyDescent="0.2">
      <c r="A228" s="943"/>
      <c r="B228" s="943"/>
      <c r="C228" s="4822"/>
      <c r="D228" s="1458"/>
      <c r="E228" s="3026"/>
      <c r="F228" s="951"/>
      <c r="G228" s="3026"/>
      <c r="H228" s="3026"/>
      <c r="I228" s="951"/>
      <c r="J228" s="3026"/>
      <c r="K228" s="3026"/>
      <c r="L228" s="3026"/>
      <c r="M228" s="3026"/>
      <c r="N228" s="3026"/>
      <c r="O228" s="3026"/>
      <c r="P228" s="3026"/>
      <c r="Q228" s="3026"/>
      <c r="R228" s="3026"/>
      <c r="S228" s="3026"/>
      <c r="T228" s="3026"/>
      <c r="U228" s="3026"/>
      <c r="V228" s="3026"/>
      <c r="W228" s="3026"/>
      <c r="X228" s="3026"/>
      <c r="Y228" s="3026"/>
      <c r="Z228" s="3026"/>
      <c r="AA228" s="3026"/>
      <c r="AB228" s="3026"/>
      <c r="AC228" s="3026"/>
      <c r="AD228" s="3026"/>
      <c r="AE228" s="3026"/>
      <c r="AF228" s="3026"/>
      <c r="AG228" s="3026"/>
      <c r="AH228" s="3026"/>
      <c r="AI228" s="3026"/>
      <c r="AJ228" s="3026"/>
      <c r="AK228" s="3026"/>
      <c r="AL228" s="3026"/>
      <c r="AM228" s="3026"/>
      <c r="AN228" s="3026"/>
      <c r="AO228" s="3026"/>
      <c r="AP228" s="3026"/>
      <c r="AQ228" s="3026"/>
      <c r="AR228" s="3026"/>
      <c r="AS228" s="3026"/>
      <c r="AT228" s="3026"/>
      <c r="AU228" s="3026"/>
      <c r="AV228" s="3026"/>
      <c r="AW228" s="3026"/>
      <c r="AX228" s="3026"/>
      <c r="AY228" s="3026"/>
      <c r="AZ228" s="3026"/>
      <c r="BA228" s="3026"/>
      <c r="BB228" s="3026"/>
      <c r="BC228" s="3026"/>
      <c r="BD228" s="3026"/>
      <c r="BE228" s="3026"/>
      <c r="BF228" s="3026"/>
      <c r="BG228" s="3026"/>
      <c r="BH228" s="3026"/>
      <c r="BI228" s="3026"/>
      <c r="BJ228" s="3026"/>
      <c r="BK228" s="3026"/>
      <c r="BL228" s="3026"/>
      <c r="BM228" s="3026"/>
      <c r="BN228" s="944">
        <f>SUM(BN233:BN248)</f>
        <v>0</v>
      </c>
      <c r="BO228" s="944">
        <f>SUM(BO233:BO248)</f>
        <v>0</v>
      </c>
      <c r="BP228" s="944">
        <f>SUM(BP233:BP248)</f>
        <v>0</v>
      </c>
      <c r="BQ228" s="944">
        <f>SUM(BQ233:BQ248)</f>
        <v>0</v>
      </c>
      <c r="BR228" s="944">
        <f>SUM(BR233:BR248)</f>
        <v>0</v>
      </c>
      <c r="BS228" s="1041"/>
      <c r="BU228" s="3026"/>
      <c r="BW228" s="951"/>
      <c r="BX228" s="951"/>
      <c r="BY228" s="960"/>
      <c r="BZ228" s="1304"/>
      <c r="CA228" s="939"/>
      <c r="DR228" s="939"/>
      <c r="DT228" s="1325"/>
      <c r="DU228" s="1377"/>
      <c r="DV228" s="1377"/>
      <c r="DW228" s="1377"/>
      <c r="DX228" s="1377"/>
      <c r="DY228" s="1324"/>
      <c r="DZ228" s="939"/>
      <c r="EA228" s="1470">
        <f t="shared" si="3"/>
        <v>1</v>
      </c>
    </row>
    <row r="229" spans="1:132" x14ac:dyDescent="0.2">
      <c r="A229" s="939"/>
      <c r="B229" s="939"/>
      <c r="C229" s="4822"/>
      <c r="D229" s="1450" t="s">
        <v>7698</v>
      </c>
      <c r="E229" s="2941"/>
      <c r="F229" s="957"/>
      <c r="G229" s="957"/>
      <c r="H229" s="957"/>
      <c r="I229" s="957"/>
      <c r="J229" s="958"/>
      <c r="K229" s="957"/>
      <c r="L229" s="957"/>
      <c r="M229" s="958"/>
      <c r="N229" s="957"/>
      <c r="O229" s="957"/>
      <c r="P229" s="958"/>
      <c r="Q229" s="957"/>
      <c r="R229" s="958"/>
      <c r="S229" s="957"/>
      <c r="T229" s="957"/>
      <c r="U229" s="957"/>
      <c r="V229" s="957"/>
      <c r="W229" s="951"/>
      <c r="X229" s="958"/>
      <c r="Y229" s="958"/>
      <c r="Z229" s="958"/>
      <c r="AA229" s="958"/>
      <c r="AB229" s="958"/>
      <c r="AC229" s="958"/>
      <c r="AD229" s="958"/>
      <c r="AE229" s="958"/>
      <c r="AF229" s="957"/>
      <c r="AG229" s="951"/>
      <c r="AH229" s="958"/>
      <c r="AI229" s="958"/>
      <c r="AJ229" s="958"/>
      <c r="AK229" s="958"/>
      <c r="AL229" s="958"/>
      <c r="AM229" s="958"/>
      <c r="AN229" s="958"/>
      <c r="AO229" s="958"/>
      <c r="AP229" s="951"/>
      <c r="AQ229" s="951"/>
      <c r="AR229" s="958"/>
      <c r="AS229" s="958"/>
      <c r="AT229" s="958"/>
      <c r="AU229" s="958"/>
      <c r="AV229" s="958"/>
      <c r="AW229" s="958"/>
      <c r="AX229" s="958"/>
      <c r="AY229" s="958"/>
      <c r="AZ229" s="951"/>
      <c r="BA229" s="951"/>
      <c r="BB229" s="958"/>
      <c r="BC229" s="958"/>
      <c r="BD229" s="958"/>
      <c r="BE229" s="958"/>
      <c r="BF229" s="958"/>
      <c r="BG229" s="958"/>
      <c r="BH229" s="958"/>
      <c r="BI229" s="958"/>
      <c r="BJ229" s="951"/>
      <c r="BK229" s="951"/>
      <c r="BL229" s="951"/>
      <c r="BM229" s="951"/>
      <c r="BN229" s="944">
        <f>SUM(BN231:BN264)</f>
        <v>0</v>
      </c>
      <c r="BO229" s="944">
        <f>SUM(BO231:BO264)</f>
        <v>0</v>
      </c>
      <c r="BP229" s="944">
        <f>MAX(BP231:BP264)</f>
        <v>0</v>
      </c>
      <c r="BQ229" s="944">
        <f>MAX(BQ231:BQ264)</f>
        <v>0</v>
      </c>
      <c r="BR229" s="944">
        <f>MAX(BR231:BR264)</f>
        <v>0</v>
      </c>
      <c r="BS229" s="959"/>
      <c r="BU229" s="3026"/>
      <c r="BV229" s="961"/>
      <c r="BW229" s="951"/>
      <c r="BX229" s="951"/>
      <c r="BY229" s="1286"/>
      <c r="BZ229" s="1304"/>
      <c r="CA229" s="939"/>
      <c r="DR229" s="939"/>
      <c r="DT229" s="1325"/>
      <c r="DU229" s="1377"/>
      <c r="DV229" s="1377"/>
      <c r="DW229" s="1377"/>
      <c r="DX229" s="1377"/>
      <c r="DY229" s="1324"/>
      <c r="DZ229" s="939"/>
      <c r="EA229" s="1470">
        <f t="shared" si="3"/>
        <v>1</v>
      </c>
    </row>
    <row r="230" spans="1:132" ht="12" thickBot="1" x14ac:dyDescent="0.25">
      <c r="A230" s="939"/>
      <c r="B230" s="939"/>
      <c r="C230" s="4822"/>
      <c r="D230" s="1451">
        <v>1</v>
      </c>
      <c r="E230" s="962" t="s">
        <v>8064</v>
      </c>
      <c r="F230" s="963" t="s">
        <v>1789</v>
      </c>
      <c r="G230" s="964" t="s">
        <v>1790</v>
      </c>
      <c r="H230" s="964" t="s">
        <v>1811</v>
      </c>
      <c r="I230" s="965" t="s">
        <v>3334</v>
      </c>
      <c r="J230" s="966"/>
      <c r="K230" s="967"/>
      <c r="L230" s="965" t="s">
        <v>3335</v>
      </c>
      <c r="M230" s="966"/>
      <c r="N230" s="967"/>
      <c r="O230" s="965" t="s">
        <v>3336</v>
      </c>
      <c r="P230" s="966"/>
      <c r="Q230" s="967"/>
      <c r="R230" s="968" t="s">
        <v>4533</v>
      </c>
      <c r="S230" s="964" t="s">
        <v>3304</v>
      </c>
      <c r="T230" s="3036" t="s">
        <v>1708</v>
      </c>
      <c r="U230" s="3036" t="s">
        <v>1679</v>
      </c>
      <c r="V230" s="3036" t="s">
        <v>3337</v>
      </c>
      <c r="W230" s="4794" t="s">
        <v>3338</v>
      </c>
      <c r="X230" s="4794"/>
      <c r="Y230" s="4794"/>
      <c r="Z230" s="4794"/>
      <c r="AA230" s="4794"/>
      <c r="AB230" s="4794"/>
      <c r="AC230" s="4794"/>
      <c r="AD230" s="4794"/>
      <c r="AE230" s="4794"/>
      <c r="AF230" s="4794"/>
      <c r="AG230" s="4794"/>
      <c r="AH230" s="4794"/>
      <c r="AI230" s="4794"/>
      <c r="AJ230" s="4794"/>
      <c r="AK230" s="4794"/>
      <c r="AL230" s="4794"/>
      <c r="AM230" s="4794"/>
      <c r="AN230" s="4794"/>
      <c r="AO230" s="4794"/>
      <c r="AP230" s="4794"/>
      <c r="AQ230" s="4794"/>
      <c r="AR230" s="4794"/>
      <c r="AS230" s="4794"/>
      <c r="AT230" s="4794"/>
      <c r="AU230" s="4794"/>
      <c r="AV230" s="4794"/>
      <c r="AW230" s="4794"/>
      <c r="AX230" s="4794"/>
      <c r="AY230" s="4794"/>
      <c r="AZ230" s="4794"/>
      <c r="BA230" s="4794"/>
      <c r="BB230" s="4794"/>
      <c r="BC230" s="4794"/>
      <c r="BD230" s="4794"/>
      <c r="BE230" s="4794"/>
      <c r="BF230" s="4794"/>
      <c r="BG230" s="4794"/>
      <c r="BH230" s="4794"/>
      <c r="BI230" s="4794"/>
      <c r="BJ230" s="4794"/>
      <c r="BK230" s="4794" t="s">
        <v>3339</v>
      </c>
      <c r="BL230" s="4794"/>
      <c r="BM230" s="4795"/>
      <c r="BN230" s="969" t="s">
        <v>4534</v>
      </c>
      <c r="BO230" s="969" t="s">
        <v>4535</v>
      </c>
      <c r="BP230" s="969" t="s">
        <v>4536</v>
      </c>
      <c r="BQ230" s="969" t="s">
        <v>4537</v>
      </c>
      <c r="BR230" s="969" t="s">
        <v>4538</v>
      </c>
      <c r="BS230" s="970" t="s">
        <v>4539</v>
      </c>
      <c r="BT230" s="4770" t="s">
        <v>4540</v>
      </c>
      <c r="BU230" s="4771"/>
      <c r="BV230" s="971"/>
      <c r="BW230" s="951"/>
      <c r="BX230" s="951"/>
      <c r="BY230" s="1286"/>
      <c r="BZ230" s="1304"/>
      <c r="CA230" s="939"/>
      <c r="DR230" s="939"/>
      <c r="DT230" s="1325"/>
      <c r="DU230" s="1377"/>
      <c r="DV230" s="1377"/>
      <c r="DW230" s="1377"/>
      <c r="DX230" s="1377"/>
      <c r="DY230" s="1324"/>
      <c r="DZ230" s="939"/>
      <c r="EB230" s="2158">
        <f>D230</f>
        <v>1</v>
      </c>
    </row>
    <row r="231" spans="1:132" x14ac:dyDescent="0.2">
      <c r="A231" s="972"/>
      <c r="B231" s="1403"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822"/>
      <c r="D231" s="1452">
        <v>1</v>
      </c>
      <c r="E231" s="1246"/>
      <c r="F231" s="973"/>
      <c r="G231" s="974"/>
      <c r="H231" s="974"/>
      <c r="I231" s="974"/>
      <c r="J231" s="975"/>
      <c r="K231" s="974"/>
      <c r="L231" s="974"/>
      <c r="M231" s="975"/>
      <c r="N231" s="974"/>
      <c r="O231" s="974"/>
      <c r="P231" s="975"/>
      <c r="Q231" s="974"/>
      <c r="R231" s="975"/>
      <c r="S231" s="974"/>
      <c r="T231" s="974"/>
      <c r="U231" s="974"/>
      <c r="V231" s="974"/>
      <c r="W231" s="974"/>
      <c r="X231" s="974"/>
      <c r="Y231" s="974"/>
      <c r="Z231" s="974"/>
      <c r="AA231" s="974"/>
      <c r="AB231" s="974"/>
      <c r="AC231" s="974"/>
      <c r="AD231" s="974"/>
      <c r="AE231" s="974"/>
      <c r="AF231" s="974"/>
      <c r="AG231" s="974"/>
      <c r="AH231" s="974"/>
      <c r="AI231" s="974"/>
      <c r="AJ231" s="974"/>
      <c r="AK231" s="974"/>
      <c r="AL231" s="974"/>
      <c r="AM231" s="974"/>
      <c r="AN231" s="974"/>
      <c r="AO231" s="974"/>
      <c r="AP231" s="974"/>
      <c r="AQ231" s="974"/>
      <c r="AR231" s="974"/>
      <c r="AS231" s="974"/>
      <c r="AT231" s="974"/>
      <c r="AU231" s="974"/>
      <c r="AV231" s="974"/>
      <c r="AW231" s="974"/>
      <c r="AX231" s="974"/>
      <c r="AY231" s="974"/>
      <c r="AZ231" s="974"/>
      <c r="BA231" s="974"/>
      <c r="BB231" s="974"/>
      <c r="BC231" s="974"/>
      <c r="BD231" s="974"/>
      <c r="BE231" s="974"/>
      <c r="BF231" s="974"/>
      <c r="BG231" s="974"/>
      <c r="BH231" s="974"/>
      <c r="BI231" s="974"/>
      <c r="BJ231" s="974"/>
      <c r="BK231" s="974"/>
      <c r="BL231" s="974"/>
      <c r="BM231" s="976"/>
      <c r="BN231" s="977">
        <f>SUM(K231:K234)</f>
        <v>0</v>
      </c>
      <c r="BO231" s="971" t="str">
        <f>IF(E231=0,"",(AF231+AP231+AZ231+BJ231))</f>
        <v/>
      </c>
      <c r="BP231" s="978" t="str">
        <f>IF(I231="Si",VLOOKUP($D$8,'Tablas Técnicas'!$E$4:$F$6,2,FALSE),"")</f>
        <v/>
      </c>
      <c r="BQ231" s="979" t="str">
        <f>IF(L231="Si",VLOOKUP($D$8,'Tablas Técnicas'!$I$4:$J$6,2,FALSE),"")</f>
        <v/>
      </c>
      <c r="BR231" s="977" t="str">
        <f>IF(O231="Si",VLOOKUP($D$8,'Tablas Técnicas'!$I$7:$J$9,2,FALSE),"")</f>
        <v/>
      </c>
      <c r="BS231" s="980">
        <f>VLOOKUP(D230,'Tablas Técnicas'!$P$6:$R$8,3)</f>
        <v>50</v>
      </c>
      <c r="BT231" s="981">
        <f>VLOOKUP(D230,'Tablas Técnicas'!$P$6:$R$8,3,FALSE)</f>
        <v>50</v>
      </c>
      <c r="BU231" s="982">
        <f>VLOOKUP(D230,'Tablas Técnicas'!$P$6:$R$8,2,FALSE)</f>
        <v>20</v>
      </c>
      <c r="BV231" s="971">
        <f>IF(D230=0,"",VLOOKUP(D230,'Tablas Técnicas'!$L$4:$N$7,2,FALSE))</f>
        <v>3</v>
      </c>
      <c r="BW231" s="951"/>
      <c r="BX231" s="951"/>
      <c r="BY231" s="1286"/>
      <c r="BZ231" s="1304"/>
      <c r="CA231" s="939"/>
      <c r="DR231" s="939"/>
      <c r="DT231" s="1325"/>
      <c r="DU231" s="1424" t="s">
        <v>1801</v>
      </c>
      <c r="DV231" s="1425" t="s">
        <v>3315</v>
      </c>
      <c r="DW231" s="1425" t="s">
        <v>3301</v>
      </c>
      <c r="DX231" s="1426" t="s">
        <v>7701</v>
      </c>
      <c r="DY231" s="1324"/>
      <c r="DZ231" s="939"/>
      <c r="EA231" s="1470">
        <f>EB230</f>
        <v>1</v>
      </c>
    </row>
    <row r="232" spans="1:132" x14ac:dyDescent="0.2">
      <c r="A232" s="939"/>
      <c r="B232" s="939"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822"/>
      <c r="D232" s="1453" t="s">
        <v>1766</v>
      </c>
      <c r="E232" s="983"/>
      <c r="F232" s="984" t="str">
        <f>IF(E232=0,"",VLOOKUP(E232,'Tablas Técnicas'!$A$14:$V$771,2,FALSE))</f>
        <v/>
      </c>
      <c r="G232" s="985"/>
      <c r="H232" s="986" t="str">
        <f>IF($E232=0,"",VLOOKUP($E232,'Tablas Técnicas'!$A$14:$V$771,4,FALSE))</f>
        <v/>
      </c>
      <c r="I232" s="987" t="s">
        <v>1690</v>
      </c>
      <c r="J232" s="1412" t="str">
        <f>IF(E232=0,"",VLOOKUP(E232,'Tablas Técnicas'!$A$14:$V$771,5,FALSE))</f>
        <v/>
      </c>
      <c r="K232" s="989" t="str">
        <f>IF(I232="Si",IF(E232=0,"",VLOOKUP(E232,'Tablas Técnicas'!$A$14:$V$771,5,FALSE)),"")</f>
        <v/>
      </c>
      <c r="L232" s="987" t="s">
        <v>1690</v>
      </c>
      <c r="M232" s="1412" t="str">
        <f>IF(E232=0,"",VLOOKUP(E232,'Tablas Técnicas'!$A$14:$V$771,6,FALSE))</f>
        <v/>
      </c>
      <c r="N232" s="990" t="str">
        <f>IF(L232="Si",IF(E232=0,"",VLOOKUP(E232,'Tablas Técnicas'!$A$14:$V$771,6,FALSE)),"")</f>
        <v/>
      </c>
      <c r="O232" s="987" t="s">
        <v>1690</v>
      </c>
      <c r="P232" s="1412" t="str">
        <f>IF(E232=0,"",VLOOKUP(E232,'Tablas Técnicas'!$A$14:$V$771,7,FALSE))</f>
        <v/>
      </c>
      <c r="Q232" s="990" t="str">
        <f>IF(O232="Si",IF(E232=0,"",VLOOKUP(E232,'Tablas Técnicas'!$A$14:$V$771,7,FALSE)),"")</f>
        <v/>
      </c>
      <c r="R232" s="988" t="str">
        <f>IF(E232=0,"",VLOOKUP(E232,'Tablas Técnicas'!$A$14:$V$771,8,FALSE))</f>
        <v/>
      </c>
      <c r="S232" s="986" t="str">
        <f>IF(R232=$D$8,$D$8,IF(R232=2,2,IF(R232=3,3,R232)))</f>
        <v/>
      </c>
      <c r="T232" s="989" t="str">
        <f>IF(E232=0,"",VLOOKUP(E232,'Tablas Técnicas'!$A$14:$V$771,9,FALSE))</f>
        <v/>
      </c>
      <c r="U232" s="989" t="str">
        <f>IF(E232=0,"",VLOOKUP(E232,'Tablas Técnicas'!$A$14:$V$771,10,FALSE))</f>
        <v/>
      </c>
      <c r="V232" s="984" t="str">
        <f>IF(E232=0,"",VLOOKUP(E232,'Tablas Técnicas'!$A$14:$V$771,11,FALSE))</f>
        <v/>
      </c>
      <c r="W232" s="987"/>
      <c r="X232" s="988" t="e">
        <f>VLOOKUP(E232,'Tablas Técnicas'!$A$14:$V$771,12,FALSE)</f>
        <v>#N/A</v>
      </c>
      <c r="Y232" s="988" t="e">
        <f>IF(W232=X232,VLOOKUP(E232,'Tablas Técnicas'!$A$14:$V$771,13,FALSE),0)</f>
        <v>#N/A</v>
      </c>
      <c r="Z232" s="988" t="e">
        <f>VLOOKUP(E232,'Tablas Técnicas'!$A$14:$V$771,14,FALSE)</f>
        <v>#N/A</v>
      </c>
      <c r="AA232" s="988" t="e">
        <f>IF(W232=Z232,VLOOKUP(E232,'Tablas Técnicas'!$A$14:$V$616,15,FALSE),0)</f>
        <v>#N/A</v>
      </c>
      <c r="AB232" s="988" t="e">
        <f>VLOOKUP(E232,'Tablas Técnicas'!$A$14:$V$771,16,FALSE)</f>
        <v>#N/A</v>
      </c>
      <c r="AC232" s="988" t="e">
        <f>IF(W232=AB232,VLOOKUP(E232,'Tablas Técnicas'!$A$14:$V$616,17,FALSE),0)</f>
        <v>#N/A</v>
      </c>
      <c r="AD232" s="988" t="e">
        <f>VLOOKUP(E232,'Tablas Técnicas'!$A$14:$V$771,18,FALSE)</f>
        <v>#N/A</v>
      </c>
      <c r="AE232" s="988" t="e">
        <f>IF(W232=AD232,VLOOKUP(E232,'Tablas Técnicas'!$A$14:$V$771,19,FALSE),0)</f>
        <v>#N/A</v>
      </c>
      <c r="AF232" s="990" t="str">
        <f>IF(E232=0,"",(Y232+AA232+AC232+AE232))</f>
        <v/>
      </c>
      <c r="AG232" s="987"/>
      <c r="AH232" s="988" t="e">
        <f>VLOOKUP(E232,'Tablas Técnicas'!$A$14:$V$771,12,FALSE)</f>
        <v>#N/A</v>
      </c>
      <c r="AI232" s="988" t="e">
        <f>IF(AG232=AH232,VLOOKUP(E232,'Tablas Técnicas'!$A$14:$V$771,13,FALSE),0)</f>
        <v>#N/A</v>
      </c>
      <c r="AJ232" s="988" t="e">
        <f>VLOOKUP(E232,'Tablas Técnicas'!$A$14:$V$771,14,FALSE)</f>
        <v>#N/A</v>
      </c>
      <c r="AK232" s="988" t="e">
        <f>IF(AG232=AJ232,VLOOKUP(E232,'Tablas Técnicas'!$A$14:$V$771,15,FALSE),0)</f>
        <v>#N/A</v>
      </c>
      <c r="AL232" s="988" t="e">
        <f>VLOOKUP(E232,'Tablas Técnicas'!$A$14:$V$771,16,FALSE)</f>
        <v>#N/A</v>
      </c>
      <c r="AM232" s="988" t="e">
        <f>IF(AG232=AL232,VLOOKUP(E232,'Tablas Técnicas'!$A$14:$V$771,17,FALSE),0)</f>
        <v>#N/A</v>
      </c>
      <c r="AN232" s="988" t="e">
        <f>VLOOKUP(E232,'Tablas Técnicas'!$A$14:$V$771,18,FALSE)</f>
        <v>#N/A</v>
      </c>
      <c r="AO232" s="988" t="e">
        <f>IF(AG232=AN232,VLOOKUP(E232,'Tablas Técnicas'!$A$14:$V$771,19,FALSE),0)</f>
        <v>#N/A</v>
      </c>
      <c r="AP232" s="990" t="str">
        <f>IF(E232=0,"",(AI232+AK232+AM232+AO232))</f>
        <v/>
      </c>
      <c r="AQ232" s="987"/>
      <c r="AR232" s="988" t="e">
        <f>VLOOKUP(E232,'Tablas Técnicas'!$A$14:$V$771,12,FALSE)</f>
        <v>#N/A</v>
      </c>
      <c r="AS232" s="988" t="e">
        <f>IF(AQ232=AR232,VLOOKUP(E232,'Tablas Técnicas'!$A$14:$V$771,13,FALSE),0)</f>
        <v>#N/A</v>
      </c>
      <c r="AT232" s="988" t="e">
        <f>VLOOKUP(E232,'Tablas Técnicas'!$A$14:$V$771,14,FALSE)</f>
        <v>#N/A</v>
      </c>
      <c r="AU232" s="988" t="e">
        <f>IF(AQ232=AT232,VLOOKUP(E232,'Tablas Técnicas'!$A$14:$V$771,15,FALSE),0)</f>
        <v>#N/A</v>
      </c>
      <c r="AV232" s="988" t="e">
        <f>VLOOKUP(E232,'Tablas Técnicas'!$A$14:$V$771,16,FALSE)</f>
        <v>#N/A</v>
      </c>
      <c r="AW232" s="988" t="e">
        <f>IF(AQ232=AV232,VLOOKUP(E232,'Tablas Técnicas'!$A$14:$V$771,17,FALSE),0)</f>
        <v>#N/A</v>
      </c>
      <c r="AX232" s="988" t="e">
        <f>VLOOKUP(E232,'Tablas Técnicas'!$A$14:$V$771,18,FALSE)</f>
        <v>#N/A</v>
      </c>
      <c r="AY232" s="988" t="e">
        <f>IF(AQ232=AX232,VLOOKUP(E232,'Tablas Técnicas'!$A$14:$V$771,19,FALSE),0)</f>
        <v>#N/A</v>
      </c>
      <c r="AZ232" s="989" t="str">
        <f>IF(E232=0,"",(AS232+AU232+AW232+AY232))</f>
        <v/>
      </c>
      <c r="BA232" s="987"/>
      <c r="BB232" s="988" t="e">
        <f>VLOOKUP(E232,'Tablas Técnicas'!$A$14:$V$771,12,FALSE)</f>
        <v>#N/A</v>
      </c>
      <c r="BC232" s="988" t="e">
        <f>IF(BA232=BB232,VLOOKUP(E232,'Tablas Técnicas'!$A$14:$V$771,13,FALSE),0)</f>
        <v>#N/A</v>
      </c>
      <c r="BD232" s="988" t="e">
        <f>VLOOKUP(E232,'Tablas Técnicas'!$A$14:$V$771,14,FALSE)</f>
        <v>#N/A</v>
      </c>
      <c r="BE232" s="988" t="e">
        <f>IF(BA232=BD232,VLOOKUP(E232,'Tablas Técnicas'!$A$14:$V$771,15,FALSE),0)</f>
        <v>#N/A</v>
      </c>
      <c r="BF232" s="988" t="e">
        <f>VLOOKUP(E232,'Tablas Técnicas'!$A$14:$V$771,16,FALSE)</f>
        <v>#N/A</v>
      </c>
      <c r="BG232" s="988" t="e">
        <f>IF(BA232=BF232,VLOOKUP(E232,'Tablas Técnicas'!$A$14:$V$771,17,FALSE),0)</f>
        <v>#N/A</v>
      </c>
      <c r="BH232" s="988" t="e">
        <f>VLOOKUP(E232,'Tablas Técnicas'!$A$14:$V$771,18,FALSE)</f>
        <v>#N/A</v>
      </c>
      <c r="BI232" s="988" t="e">
        <f>IF(BA232=BH232,VLOOKUP(E232,'Tablas Técnicas'!$A$14:$V$771,19,FALSE),0)</f>
        <v>#N/A</v>
      </c>
      <c r="BJ232" s="990" t="str">
        <f>IF(E232=0,"",(BC232+BE232+BG232+BI232))</f>
        <v/>
      </c>
      <c r="BK232" s="989" t="str">
        <f>IF(E232=0,"",VLOOKUP(E232,'Tablas Técnicas'!$A$14:$V$771,20,FALSE))</f>
        <v/>
      </c>
      <c r="BL232" s="989" t="str">
        <f>IF(E232=0,"",VLOOKUP(E232,'Tablas Técnicas'!$A$14:$V$771,21,FALSE))</f>
        <v/>
      </c>
      <c r="BM232" s="991" t="str">
        <f>IF(E232=0,"",VLOOKUP(E232,'Tablas Técnicas'!$A$14:$V$771,22,FALSE))</f>
        <v/>
      </c>
      <c r="BN232" s="992"/>
      <c r="BO232" s="993"/>
      <c r="BP232" s="978" t="str">
        <f>IF(I232="Si",VLOOKUP($D$8,'Tablas Técnicas'!$E$4:$F$6,2,FALSE),"")</f>
        <v/>
      </c>
      <c r="BQ232" s="979" t="str">
        <f>IF(L232="Si",VLOOKUP($D$8,'Tablas Técnicas'!$I$4:$J$6,2,FALSE),"")</f>
        <v/>
      </c>
      <c r="BR232" s="977" t="str">
        <f>IF(O232="Si",VLOOKUP($D$8,'Tablas Técnicas'!$I$7:$J$9,2,FALSE),"")</f>
        <v/>
      </c>
      <c r="BS232" s="994"/>
      <c r="BT232" s="4770" t="s">
        <v>4541</v>
      </c>
      <c r="BU232" s="4771"/>
      <c r="BV232" s="971"/>
      <c r="BX232" s="951"/>
      <c r="BY232" s="1286"/>
      <c r="BZ232" s="1304"/>
      <c r="CA232" s="939"/>
      <c r="DR232" s="939"/>
      <c r="DT232" s="1325"/>
      <c r="DU232" s="1375" t="str">
        <f>IF(BW245="N/A","",BT244&amp;" "&amp;BW245&amp;IF(BY245="N/A"," "," ("&amp;BY245&amp;") "))</f>
        <v/>
      </c>
      <c r="DV232" s="1376" t="str">
        <f>IF(E232="","",E232)&amp;IF(I232="No",""," (Mant.)")&amp;IF(L232="No",""," (Sme)")&amp;IF(O232="No",""," (SMa)")</f>
        <v/>
      </c>
      <c r="DW232" s="1377" t="str">
        <f>IF(E262="","",E262)</f>
        <v/>
      </c>
      <c r="DX232" s="4778"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24"/>
      <c r="DZ232" s="939"/>
      <c r="EA232" s="1470">
        <f t="shared" si="3"/>
        <v>1</v>
      </c>
    </row>
    <row r="233" spans="1:132" ht="12.75" customHeight="1" x14ac:dyDescent="0.2">
      <c r="A233" s="939"/>
      <c r="B233" s="939"/>
      <c r="C233" s="4822"/>
      <c r="D233" s="1452" t="s">
        <v>1766</v>
      </c>
      <c r="E233" s="995"/>
      <c r="F233" s="996" t="str">
        <f>IF(E233=0,"",VLOOKUP(E233,'Tablas Técnicas'!$A$14:$V$771,2,FALSE))</f>
        <v/>
      </c>
      <c r="G233" s="997"/>
      <c r="H233" s="998" t="str">
        <f>IF($E233=0,"",VLOOKUP($E233,'Tablas Técnicas'!$A$14:$V$771,4,FALSE))</f>
        <v/>
      </c>
      <c r="I233" s="999" t="s">
        <v>1690</v>
      </c>
      <c r="J233" s="1415" t="str">
        <f>IF(E233=0,"",VLOOKUP(E233,'Tablas Técnicas'!$A$14:$V$771,5,FALSE))</f>
        <v/>
      </c>
      <c r="K233" s="1001" t="str">
        <f>IF(I233="Si",IF(E233=0,"",VLOOKUP(E233,'Tablas Técnicas'!$A$14:$V$771,5,FALSE)),"")</f>
        <v/>
      </c>
      <c r="L233" s="999" t="s">
        <v>1690</v>
      </c>
      <c r="M233" s="1415" t="str">
        <f>IF(E233=0,"",VLOOKUP(E233,'Tablas Técnicas'!$A$14:$V$771,6,FALSE))</f>
        <v/>
      </c>
      <c r="N233" s="1002" t="str">
        <f>IF(L233="Si",IF(E233=0,"",VLOOKUP(E233,'Tablas Técnicas'!$A$14:$V$771,6,FALSE)),"")</f>
        <v/>
      </c>
      <c r="O233" s="999" t="s">
        <v>1690</v>
      </c>
      <c r="P233" s="1415" t="str">
        <f>IF(E233=0,"",VLOOKUP(E233,'Tablas Técnicas'!$A$14:$V$771,7,FALSE))</f>
        <v/>
      </c>
      <c r="Q233" s="1002" t="str">
        <f>IF(O233="Si",IF(E233=0,"",VLOOKUP(E233,'Tablas Técnicas'!$A$14:$V$771,7,FALSE)),"")</f>
        <v/>
      </c>
      <c r="R233" s="1000" t="str">
        <f>IF(E233=0,"",VLOOKUP(E233,'Tablas Técnicas'!$A$14:$V$771,8,FALSE))</f>
        <v/>
      </c>
      <c r="S233" s="998" t="str">
        <f>IF(R233=$D$8,$D$8,IF(R233=2,2,IF(R233=3,3,R233)))</f>
        <v/>
      </c>
      <c r="T233" s="4796" t="s">
        <v>4542</v>
      </c>
      <c r="U233" s="4797"/>
      <c r="V233" s="4797"/>
      <c r="W233" s="4797"/>
      <c r="X233" s="4797"/>
      <c r="Y233" s="4797"/>
      <c r="Z233" s="4797"/>
      <c r="AA233" s="4797"/>
      <c r="AB233" s="4797"/>
      <c r="AC233" s="4797"/>
      <c r="AD233" s="4797"/>
      <c r="AE233" s="4797"/>
      <c r="AF233" s="4797"/>
      <c r="AG233" s="4797"/>
      <c r="AH233" s="4797"/>
      <c r="AI233" s="4797"/>
      <c r="AJ233" s="4797"/>
      <c r="AK233" s="4797"/>
      <c r="AL233" s="4797"/>
      <c r="AM233" s="4797"/>
      <c r="AN233" s="4797"/>
      <c r="AO233" s="4797"/>
      <c r="AP233" s="4797"/>
      <c r="AQ233" s="4797"/>
      <c r="AR233" s="4797"/>
      <c r="AS233" s="4797"/>
      <c r="AT233" s="4797"/>
      <c r="AU233" s="4797"/>
      <c r="AV233" s="4797"/>
      <c r="AW233" s="4797"/>
      <c r="AX233" s="4797"/>
      <c r="AY233" s="4797"/>
      <c r="AZ233" s="4797"/>
      <c r="BA233" s="4797"/>
      <c r="BB233" s="4797"/>
      <c r="BC233" s="4797"/>
      <c r="BD233" s="4797"/>
      <c r="BE233" s="4797"/>
      <c r="BF233" s="4797"/>
      <c r="BG233" s="4797"/>
      <c r="BH233" s="4797"/>
      <c r="BI233" s="4797"/>
      <c r="BJ233" s="4797"/>
      <c r="BK233" s="4798"/>
      <c r="BL233" s="1437"/>
      <c r="BM233" s="1438"/>
      <c r="BN233" s="992"/>
      <c r="BO233" s="993"/>
      <c r="BP233" s="978" t="str">
        <f>IF(I233="Si",VLOOKUP($D$8,'Tablas Técnicas'!$E$4:$F$6,2,FALSE),"")</f>
        <v/>
      </c>
      <c r="BQ233" s="979" t="str">
        <f>IF(L233="Si",VLOOKUP($D$8,'Tablas Técnicas'!$I$4:$J$6,2,FALSE),"")</f>
        <v/>
      </c>
      <c r="BR233" s="977" t="str">
        <f>IF(O233="Si",VLOOKUP($D$8,'Tablas Técnicas'!$I$7:$J$9,2,FALSE),"")</f>
        <v/>
      </c>
      <c r="BS233" s="994"/>
      <c r="BT233" s="4772">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773"/>
      <c r="BV233" s="971"/>
      <c r="BX233" s="951"/>
      <c r="BY233" s="1286"/>
      <c r="BZ233" s="1304"/>
      <c r="CA233" s="939"/>
      <c r="DR233" s="939"/>
      <c r="DT233" s="1325"/>
      <c r="DU233" s="1375" t="str">
        <f>IF(BW247="N/A","",BT246&amp;" "&amp;BW247&amp;IF(BY247="N/A"," "," ("&amp;BY247&amp;") "))</f>
        <v/>
      </c>
      <c r="DV233" s="1376" t="str">
        <f>IF(E233="",""," "&amp;E233)&amp;IF(I233="No",""," (Mant.)")&amp;IF(L233="No",""," (Sme)")&amp;IF(O233="No",""," (SMa)")</f>
        <v/>
      </c>
      <c r="DW233" s="1377" t="str">
        <f>IF(E263="","",", "&amp;E263)</f>
        <v/>
      </c>
      <c r="DX233" s="4778"/>
      <c r="DY233" s="1324"/>
      <c r="DZ233" s="939"/>
      <c r="EA233" s="1470">
        <f t="shared" si="3"/>
        <v>1</v>
      </c>
    </row>
    <row r="234" spans="1:132" x14ac:dyDescent="0.2">
      <c r="A234" s="939"/>
      <c r="B234" s="939"/>
      <c r="C234" s="4822"/>
      <c r="D234" s="1453" t="s">
        <v>1766</v>
      </c>
      <c r="E234" s="1003"/>
      <c r="F234" s="3033" t="str">
        <f>IF(E234=0,"",VLOOKUP(E234,'Tablas Técnicas'!$A$14:$V$771,2,FALSE))</f>
        <v/>
      </c>
      <c r="G234" s="985"/>
      <c r="H234" s="1004" t="str">
        <f>IF($E234=0,"",VLOOKUP($E234,'Tablas Técnicas'!$A$14:$V$771,4,FALSE))</f>
        <v/>
      </c>
      <c r="I234" s="987" t="s">
        <v>1690</v>
      </c>
      <c r="J234" s="1411" t="str">
        <f>IF(E234=0,"",VLOOKUP(E234,'Tablas Técnicas'!$A$14:$V$771,5,FALSE))</f>
        <v/>
      </c>
      <c r="K234" s="1006" t="str">
        <f>IF(I234="Si",IF(E234=0,"",VLOOKUP(E234,'Tablas Técnicas'!$A$14:$V$771,5,FALSE)),"")</f>
        <v/>
      </c>
      <c r="L234" s="987" t="s">
        <v>1690</v>
      </c>
      <c r="M234" s="1411" t="str">
        <f>IF(E234=0,"",VLOOKUP(E234,'Tablas Técnicas'!$A$14:$V$771,6,FALSE))</f>
        <v/>
      </c>
      <c r="N234" s="990" t="str">
        <f>IF(L234="Si",IF(E234=0,"",VLOOKUP(E234,'Tablas Técnicas'!$A$14:$V$771,6,FALSE)),"")</f>
        <v/>
      </c>
      <c r="O234" s="987" t="s">
        <v>1690</v>
      </c>
      <c r="P234" s="1411" t="str">
        <f>IF(E234=0,"",VLOOKUP(E234,'Tablas Técnicas'!$A$14:$V$771,7,FALSE))</f>
        <v/>
      </c>
      <c r="Q234" s="990" t="str">
        <f>IF(O234="Si",IF(E234=0,"",VLOOKUP(E234,'Tablas Técnicas'!$A$14:$V$771,7,FALSE)),"")</f>
        <v/>
      </c>
      <c r="R234" s="1005" t="str">
        <f>IF(E234=0,"",VLOOKUP(E234,'Tablas Técnicas'!$A$14:$V$771,8,FALSE))</f>
        <v/>
      </c>
      <c r="S234" s="3033" t="str">
        <f>IF(R234=$D$8,$D$8,IF(R234=2,2,IF(R234=3,3,R234)))</f>
        <v/>
      </c>
      <c r="T234" s="4809"/>
      <c r="U234" s="4810"/>
      <c r="V234" s="3029" t="str">
        <f>IF(OR(V232=0,V232=""),"N/A",V232)</f>
        <v>N/A</v>
      </c>
      <c r="W234" s="4809" t="str">
        <f xml:space="preserve"> IF(OR(AF232=0,AF232=""),"N/A",W232)</f>
        <v>N/A</v>
      </c>
      <c r="X234" s="4811"/>
      <c r="Y234" s="4811"/>
      <c r="Z234" s="4811"/>
      <c r="AA234" s="4811"/>
      <c r="AB234" s="4811"/>
      <c r="AC234" s="4811"/>
      <c r="AD234" s="4811"/>
      <c r="AE234" s="4811"/>
      <c r="AF234" s="4810"/>
      <c r="AG234" s="4809" t="str">
        <f xml:space="preserve"> IF(OR(AP232="",AP232=0),"N/A",AG232)</f>
        <v>N/A</v>
      </c>
      <c r="AH234" s="4811"/>
      <c r="AI234" s="4811"/>
      <c r="AJ234" s="4811"/>
      <c r="AK234" s="4811"/>
      <c r="AL234" s="4811"/>
      <c r="AM234" s="4811"/>
      <c r="AN234" s="4811"/>
      <c r="AO234" s="4811"/>
      <c r="AP234" s="4810"/>
      <c r="AQ234" s="4809" t="str">
        <f xml:space="preserve"> IF(OR(AZ232="",AZ232=0),"N/A",AQ232)</f>
        <v>N/A</v>
      </c>
      <c r="AR234" s="4811"/>
      <c r="AS234" s="4811"/>
      <c r="AT234" s="4811"/>
      <c r="AU234" s="4811"/>
      <c r="AV234" s="4811"/>
      <c r="AW234" s="4811"/>
      <c r="AX234" s="4811"/>
      <c r="AY234" s="4811"/>
      <c r="AZ234" s="4810"/>
      <c r="BA234" s="4809" t="str">
        <f xml:space="preserve"> IF(OR(BJ232="",BJ232=0),"N/A",BA232)</f>
        <v>N/A</v>
      </c>
      <c r="BB234" s="4811"/>
      <c r="BC234" s="4811"/>
      <c r="BD234" s="4811"/>
      <c r="BE234" s="4811"/>
      <c r="BF234" s="4811"/>
      <c r="BG234" s="4811"/>
      <c r="BH234" s="4811"/>
      <c r="BI234" s="4811"/>
      <c r="BJ234" s="4810"/>
      <c r="BK234" s="1007" t="s">
        <v>4543</v>
      </c>
      <c r="BL234" s="989"/>
      <c r="BM234" s="1024"/>
      <c r="BN234" s="1008"/>
      <c r="BO234" s="1009"/>
      <c r="BP234" s="1010" t="str">
        <f>IF(I234="Si",VLOOKUP($D$8,'Tablas Técnicas'!$E$4:$F$6,2,FALSE),"")</f>
        <v/>
      </c>
      <c r="BQ234" s="980" t="str">
        <f>IF(L234="Si",VLOOKUP($D$8,'Tablas Técnicas'!$I$4:$J$6,2,FALSE),"")</f>
        <v/>
      </c>
      <c r="BR234" s="1011" t="str">
        <f>IF(O234="Si",VLOOKUP($D$8,'Tablas Técnicas'!$I$7:$J$9,2,FALSE),"")</f>
        <v/>
      </c>
      <c r="BS234" s="1012"/>
      <c r="BU234" s="3026"/>
      <c r="BV234" s="971"/>
      <c r="BW234" s="951"/>
      <c r="BX234" s="951"/>
      <c r="BY234" s="1286"/>
      <c r="BZ234" s="1304"/>
      <c r="CA234" s="939"/>
      <c r="DR234" s="939"/>
      <c r="DT234" s="1325"/>
      <c r="DU234" s="1375" t="str">
        <f>IF(BW249="N/A","",BT248&amp;" "&amp;BW249&amp;IF(BY249="N/A"," "," ("&amp;BY249&amp;") "))</f>
        <v/>
      </c>
      <c r="DV234" s="1376" t="str">
        <f>IF(E234="","",E234)&amp;IF(I234="No",""," (Mant.)")&amp;IF(L234="No",""," (Sme)")&amp;IF(O234="No",""," (SMa)")</f>
        <v/>
      </c>
      <c r="DW234" s="1377" t="str">
        <f>IF(E264="","",", "&amp;E264)</f>
        <v/>
      </c>
      <c r="DX234" s="4778"/>
      <c r="DY234" s="1324"/>
      <c r="DZ234" s="939"/>
      <c r="EA234" s="1470">
        <f t="shared" si="3"/>
        <v>1</v>
      </c>
    </row>
    <row r="235" spans="1:132" x14ac:dyDescent="0.2">
      <c r="A235" s="939"/>
      <c r="B235" s="939"/>
      <c r="C235" s="4822"/>
      <c r="D235" s="1452" t="s">
        <v>1766</v>
      </c>
      <c r="E235" s="995"/>
      <c r="F235" s="996" t="str">
        <f>IF(E235=0,"",VLOOKUP(E235,'Tablas Técnicas'!$A$14:$V$771,2,FALSE))</f>
        <v/>
      </c>
      <c r="G235" s="997"/>
      <c r="H235" s="998" t="str">
        <f>IF($E235=0,"",VLOOKUP($E235,'Tablas Técnicas'!$A$14:$V$771,4,FALSE))</f>
        <v/>
      </c>
      <c r="I235" s="999" t="s">
        <v>1690</v>
      </c>
      <c r="J235" s="1415" t="str">
        <f>IF(E235=0,"",VLOOKUP(E235,'Tablas Técnicas'!$A$14:$V$771,5,FALSE))</f>
        <v/>
      </c>
      <c r="K235" s="1001" t="str">
        <f>IF(I235="Si",IF(E235=0,"",VLOOKUP(E235,'Tablas Técnicas'!$A$14:$V$771,5,FALSE)),"")</f>
        <v/>
      </c>
      <c r="L235" s="999" t="s">
        <v>1690</v>
      </c>
      <c r="M235" s="1415" t="str">
        <f>IF(E235=0,"",VLOOKUP(E235,'Tablas Técnicas'!$A$14:$V$771,6,FALSE))</f>
        <v/>
      </c>
      <c r="N235" s="1002" t="str">
        <f>IF(L235="Si",IF(E235=0,"",VLOOKUP(E235,'Tablas Técnicas'!$A$14:$V$771,6,FALSE)),"")</f>
        <v/>
      </c>
      <c r="O235" s="999" t="s">
        <v>1690</v>
      </c>
      <c r="P235" s="1415" t="str">
        <f>IF(E235=0,"",VLOOKUP(E235,'Tablas Técnicas'!$A$14:$V$771,7,FALSE))</f>
        <v/>
      </c>
      <c r="Q235" s="1002" t="str">
        <f>IF(O235="Si",IF(E235=0,"",VLOOKUP(E235,'Tablas Técnicas'!$A$14:$V$771,7,FALSE)),"")</f>
        <v/>
      </c>
      <c r="R235" s="1000" t="str">
        <f>IF(E235=0,"",VLOOKUP(E235,'Tablas Técnicas'!$A$14:$V$771,8,FALSE))</f>
        <v/>
      </c>
      <c r="S235" s="998" t="str">
        <f>IF(R235=$D$8,$D$8,IF(R235=2,2,IF(R235=3,3,R235)))</f>
        <v/>
      </c>
      <c r="T235" s="4812" t="s">
        <v>4544</v>
      </c>
      <c r="U235" s="4813"/>
      <c r="V235" s="3025"/>
      <c r="W235" s="4814"/>
      <c r="X235" s="4815"/>
      <c r="Y235" s="4815"/>
      <c r="Z235" s="4815"/>
      <c r="AA235" s="4815"/>
      <c r="AB235" s="4815"/>
      <c r="AC235" s="4815"/>
      <c r="AD235" s="4815"/>
      <c r="AE235" s="4815"/>
      <c r="AF235" s="4816"/>
      <c r="AG235" s="4814"/>
      <c r="AH235" s="4815"/>
      <c r="AI235" s="4815"/>
      <c r="AJ235" s="4815"/>
      <c r="AK235" s="4815"/>
      <c r="AL235" s="4815"/>
      <c r="AM235" s="4815"/>
      <c r="AN235" s="4815"/>
      <c r="AO235" s="4815"/>
      <c r="AP235" s="4816"/>
      <c r="AQ235" s="4814"/>
      <c r="AR235" s="4815"/>
      <c r="AS235" s="4815"/>
      <c r="AT235" s="4815"/>
      <c r="AU235" s="4815"/>
      <c r="AV235" s="4815"/>
      <c r="AW235" s="4815"/>
      <c r="AX235" s="4815"/>
      <c r="AY235" s="4815"/>
      <c r="AZ235" s="4816"/>
      <c r="BA235" s="4814"/>
      <c r="BB235" s="4815"/>
      <c r="BC235" s="4815"/>
      <c r="BD235" s="4815"/>
      <c r="BE235" s="4815"/>
      <c r="BF235" s="4815"/>
      <c r="BG235" s="4815"/>
      <c r="BH235" s="4815"/>
      <c r="BI235" s="4815"/>
      <c r="BJ235" s="4816"/>
      <c r="BK235" s="998">
        <f>(SUM(F232:F236)+IF(AF232="",0,AF232)+IF(AP232="",0,AP232)+IF(AZ232="",0,AZ232)+IF(BJ232="",0,BJ232)+SUM(K232:K236)+SUM(N232:N236)+SUM(Q232:Q236))- SUM(V235:BA235)</f>
        <v>0</v>
      </c>
      <c r="BL235" s="1437"/>
      <c r="BM235" s="1438"/>
      <c r="BN235" s="992"/>
      <c r="BO235" s="993"/>
      <c r="BP235" s="978" t="str">
        <f>IF(I235="Si",VLOOKUP($D$8,'Tablas Técnicas'!$E$4:$F$6,2,FALSE),"")</f>
        <v/>
      </c>
      <c r="BQ235" s="979" t="str">
        <f>IF(L235="Si",VLOOKUP($D$8,'Tablas Técnicas'!$I$4:$J$6,2,FALSE),"")</f>
        <v/>
      </c>
      <c r="BR235" s="977" t="str">
        <f>IF(O235="Si",VLOOKUP($D$8,'Tablas Técnicas'!$I$7:$J$9,2,FALSE),"")</f>
        <v/>
      </c>
      <c r="BS235" s="994"/>
      <c r="BT235" s="4770" t="s">
        <v>4545</v>
      </c>
      <c r="BU235" s="4771"/>
      <c r="BV235" s="971"/>
      <c r="BW235" s="951"/>
      <c r="BX235" s="951"/>
      <c r="BY235" s="1286"/>
      <c r="BZ235" s="1304"/>
      <c r="CA235" s="939"/>
      <c r="DR235" s="939"/>
      <c r="DT235" s="1325"/>
      <c r="DU235" s="1375" t="str">
        <f>IF(BW251="N/A","",BT250&amp;" "&amp;BW251&amp;IF(BY251="N/A"," "," ("&amp;BY251&amp;") "))</f>
        <v/>
      </c>
      <c r="DV235" s="1376" t="str">
        <f>IF(E235="","",E235)&amp;IF(I235="No",""," (Mant.)")&amp;IF(L235="No",""," (Sme)")&amp;IF(O235="No",""," (SMa)")</f>
        <v/>
      </c>
      <c r="DW235" s="1377"/>
      <c r="DX235" s="4778"/>
      <c r="DY235" s="1324"/>
      <c r="DZ235" s="939"/>
      <c r="EA235" s="1470">
        <f t="shared" si="3"/>
        <v>1</v>
      </c>
    </row>
    <row r="236" spans="1:132" x14ac:dyDescent="0.2">
      <c r="A236" s="939"/>
      <c r="B236" s="939"/>
      <c r="C236" s="4822"/>
      <c r="D236" s="1453" t="s">
        <v>1766</v>
      </c>
      <c r="E236" s="1003"/>
      <c r="F236" s="3033" t="str">
        <f>IF(E236=0,"",VLOOKUP(E236,'Tablas Técnicas'!$A$14:$V$771,2,FALSE))</f>
        <v/>
      </c>
      <c r="G236" s="985"/>
      <c r="H236" s="1004" t="str">
        <f>IF($E236=0,"",VLOOKUP($E236,'Tablas Técnicas'!$A$14:$V$771,4,FALSE))</f>
        <v/>
      </c>
      <c r="I236" s="987" t="s">
        <v>1690</v>
      </c>
      <c r="J236" s="1411" t="str">
        <f>IF(E236=0,"",VLOOKUP(E236,'Tablas Técnicas'!$A$14:$V$771,5,FALSE))</f>
        <v/>
      </c>
      <c r="K236" s="1006" t="str">
        <f>IF(I236="Si",IF(E236=0,"",VLOOKUP(E236,'Tablas Técnicas'!$A$14:$V$771,5,FALSE)),"")</f>
        <v/>
      </c>
      <c r="L236" s="987" t="s">
        <v>1690</v>
      </c>
      <c r="M236" s="1411" t="str">
        <f>IF(E236=0,"",VLOOKUP(E236,'Tablas Técnicas'!$A$14:$V$771,6,FALSE))</f>
        <v/>
      </c>
      <c r="N236" s="990" t="str">
        <f>IF(L236="Si",IF(E236=0,"",VLOOKUP(E236,'Tablas Técnicas'!$A$14:$V$771,6,FALSE)),"")</f>
        <v/>
      </c>
      <c r="O236" s="987" t="s">
        <v>1690</v>
      </c>
      <c r="P236" s="1411" t="str">
        <f>IF(E236=0,"",VLOOKUP(E236,'Tablas Técnicas'!$A$14:$V$771,7,FALSE))</f>
        <v/>
      </c>
      <c r="Q236" s="990" t="str">
        <f>IF(O236="Si",IF(E236=0,"",VLOOKUP(E236,'Tablas Técnicas'!$A$14:$V$771,7,FALSE)),"")</f>
        <v/>
      </c>
      <c r="R236" s="1005" t="str">
        <f>IF(E236=0,"",VLOOKUP(E236,'Tablas Técnicas'!$A$14:$V$771,8,FALSE))</f>
        <v/>
      </c>
      <c r="S236" s="1004" t="str">
        <f>IF(R236=$D$8,$D$8,IF(R236=2,2,IF(R236=3,3,R236)))</f>
        <v/>
      </c>
      <c r="T236" s="4803" t="s">
        <v>4546</v>
      </c>
      <c r="U236" s="4804"/>
      <c r="V236" s="3032"/>
      <c r="W236" s="4805"/>
      <c r="X236" s="4806"/>
      <c r="Y236" s="4806"/>
      <c r="Z236" s="4806"/>
      <c r="AA236" s="4806"/>
      <c r="AB236" s="4806"/>
      <c r="AC236" s="4806"/>
      <c r="AD236" s="4806"/>
      <c r="AE236" s="4806"/>
      <c r="AF236" s="4807"/>
      <c r="AG236" s="4805"/>
      <c r="AH236" s="4806"/>
      <c r="AI236" s="4806"/>
      <c r="AJ236" s="4806"/>
      <c r="AK236" s="4806"/>
      <c r="AL236" s="4806"/>
      <c r="AM236" s="4806"/>
      <c r="AN236" s="4806"/>
      <c r="AO236" s="4806"/>
      <c r="AP236" s="4807"/>
      <c r="AQ236" s="4805"/>
      <c r="AR236" s="4806"/>
      <c r="AS236" s="4806"/>
      <c r="AT236" s="4806"/>
      <c r="AU236" s="4806"/>
      <c r="AV236" s="4806"/>
      <c r="AW236" s="4806"/>
      <c r="AX236" s="4806"/>
      <c r="AY236" s="4806"/>
      <c r="AZ236" s="4807"/>
      <c r="BA236" s="4805"/>
      <c r="BB236" s="4806"/>
      <c r="BC236" s="4806"/>
      <c r="BD236" s="4806"/>
      <c r="BE236" s="4806"/>
      <c r="BF236" s="4806"/>
      <c r="BG236" s="4806"/>
      <c r="BH236" s="4806"/>
      <c r="BI236" s="4806"/>
      <c r="BJ236" s="4807"/>
      <c r="BK236" s="1014">
        <f>SUM(K232:K236)-SUM(V236:BA236)</f>
        <v>0</v>
      </c>
      <c r="BL236" s="1439"/>
      <c r="BM236" s="1440"/>
      <c r="BN236" s="1008"/>
      <c r="BO236" s="1009"/>
      <c r="BP236" s="1010" t="str">
        <f>IF(I236="Si",VLOOKUP($D$8,'Tablas Técnicas'!$E$4:$F$6,2,FALSE),"")</f>
        <v/>
      </c>
      <c r="BQ236" s="980" t="str">
        <f>IF(L236="Si",VLOOKUP($D$8,'Tablas Técnicas'!$I$4:$J$6,2,FALSE),"")</f>
        <v/>
      </c>
      <c r="BR236" s="1011" t="str">
        <f>IF(O236="Si",VLOOKUP($D$8,'Tablas Técnicas'!$I$7:$J$9,2,FALSE),"")</f>
        <v/>
      </c>
      <c r="BS236" s="1012"/>
      <c r="BT236" s="4774" t="s">
        <v>1690</v>
      </c>
      <c r="BU236" s="4775"/>
      <c r="BV236" s="971"/>
      <c r="BW236" s="951"/>
      <c r="BX236" s="951"/>
      <c r="BY236" s="1286"/>
      <c r="BZ236" s="1304"/>
      <c r="CA236" s="939"/>
      <c r="DR236" s="939"/>
      <c r="DT236" s="1325"/>
      <c r="DU236" s="1375" t="str">
        <f>IF(BW253="N/A","",BT252&amp;" "&amp;BW253&amp;IF(BY253="N/A"," "," ("&amp;BY253&amp;") "))</f>
        <v/>
      </c>
      <c r="DV236" s="1376" t="str">
        <f>IF(E236="","",E236)&amp;IF(I236="No",""," (Mant.)")&amp;IF(L236="No",""," (Sme)")&amp;IF(O236="No",""," (SMa)")</f>
        <v/>
      </c>
      <c r="DW236" s="1377"/>
      <c r="DX236" s="4778"/>
      <c r="DY236" s="1324"/>
      <c r="DZ236" s="939"/>
      <c r="EA236" s="1470">
        <f t="shared" si="3"/>
        <v>1</v>
      </c>
    </row>
    <row r="237" spans="1:132" x14ac:dyDescent="0.2">
      <c r="A237" s="939"/>
      <c r="B237" s="1403"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822"/>
      <c r="D237" s="1454">
        <v>2</v>
      </c>
      <c r="E237" s="1246"/>
      <c r="F237" s="1016"/>
      <c r="G237" s="1017"/>
      <c r="H237" s="2159">
        <f t="array" ref="H237">IF(AND(OR(ISNUMBER(SEARCH("Empatía Elemental ("&amp;BK232:BM232&amp;")",Principal!$AF$30))),SUM(H232:H236)&gt;=10),-5,0)</f>
        <v>0</v>
      </c>
      <c r="I237" s="1413"/>
      <c r="J237" s="1416"/>
      <c r="K237" s="1017"/>
      <c r="L237" s="1413"/>
      <c r="M237" s="1416"/>
      <c r="N237" s="1017"/>
      <c r="O237" s="1413"/>
      <c r="P237" s="1416"/>
      <c r="Q237" s="1017"/>
      <c r="R237" s="1018"/>
      <c r="S237" s="1017"/>
      <c r="T237" s="1017"/>
      <c r="U237" s="974"/>
      <c r="V237" s="974"/>
      <c r="W237" s="974"/>
      <c r="X237" s="974"/>
      <c r="Y237" s="974"/>
      <c r="Z237" s="974"/>
      <c r="AA237" s="974"/>
      <c r="AB237" s="974"/>
      <c r="AC237" s="974"/>
      <c r="AD237" s="974"/>
      <c r="AE237" s="974"/>
      <c r="AF237" s="974"/>
      <c r="AG237" s="974"/>
      <c r="AH237" s="974"/>
      <c r="AI237" s="974"/>
      <c r="AJ237" s="974"/>
      <c r="AK237" s="974"/>
      <c r="AL237" s="974"/>
      <c r="AM237" s="974"/>
      <c r="AN237" s="974"/>
      <c r="AO237" s="974"/>
      <c r="AP237" s="974"/>
      <c r="AQ237" s="974"/>
      <c r="AR237" s="974"/>
      <c r="AS237" s="974"/>
      <c r="AT237" s="974"/>
      <c r="AU237" s="974"/>
      <c r="AV237" s="974"/>
      <c r="AW237" s="974"/>
      <c r="AX237" s="974"/>
      <c r="AY237" s="974"/>
      <c r="AZ237" s="974"/>
      <c r="BA237" s="974"/>
      <c r="BB237" s="974"/>
      <c r="BC237" s="974"/>
      <c r="BD237" s="974"/>
      <c r="BE237" s="974"/>
      <c r="BF237" s="974"/>
      <c r="BG237" s="974"/>
      <c r="BH237" s="974"/>
      <c r="BI237" s="974"/>
      <c r="BJ237" s="974"/>
      <c r="BK237" s="974"/>
      <c r="BL237" s="974"/>
      <c r="BM237" s="976"/>
      <c r="BN237" s="977">
        <f>SUM(K237:K240)</f>
        <v>0</v>
      </c>
      <c r="BO237" s="971" t="str">
        <f>IF(E237=0,"",(AF237+AP237+AZ237+BJ237))</f>
        <v/>
      </c>
      <c r="BP237" s="978" t="str">
        <f>IF(I237="Si",VLOOKUP($D$8,'Tablas Técnicas'!$E$4:$F$6,2,FALSE),"")</f>
        <v/>
      </c>
      <c r="BQ237" s="979" t="str">
        <f>IF(L237="Si",VLOOKUP($D$8,'Tablas Técnicas'!$I$4:$J$6,2,FALSE),"")</f>
        <v/>
      </c>
      <c r="BR237" s="977" t="str">
        <f>IF(O237="Si",VLOOKUP($D$8,'Tablas Técnicas'!$I$7:$J$9,2,FALSE),"")</f>
        <v/>
      </c>
      <c r="BS237" s="994"/>
      <c r="BT237" s="4770" t="s">
        <v>4547</v>
      </c>
      <c r="BU237" s="4771"/>
      <c r="BV237" s="971"/>
      <c r="BW237" s="951"/>
      <c r="BX237" s="951"/>
      <c r="BY237" s="1286"/>
      <c r="BZ237" s="1304"/>
      <c r="CA237" s="939"/>
      <c r="DR237" s="939"/>
      <c r="DT237" s="1325"/>
      <c r="DU237" s="1375" t="str">
        <f>IF(BW255="N/A","",BT254&amp;" "&amp;BW255&amp;IF(BY255="N/A"," "," ("&amp;BY255&amp;") "))</f>
        <v/>
      </c>
      <c r="DV237" s="1380"/>
      <c r="DW237" s="1377"/>
      <c r="DX237" s="1427" t="s">
        <v>1828</v>
      </c>
      <c r="DY237" s="1324"/>
      <c r="DZ237" s="939"/>
      <c r="EA237" s="1470">
        <f t="shared" si="3"/>
        <v>1</v>
      </c>
    </row>
    <row r="238" spans="1:132" x14ac:dyDescent="0.2">
      <c r="A238" s="939"/>
      <c r="B238" s="939"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822"/>
      <c r="D238" s="1453" t="s">
        <v>1766</v>
      </c>
      <c r="E238" s="983"/>
      <c r="F238" s="1019"/>
      <c r="G238" s="989" t="str">
        <f>IF(E238=0,"",VLOOKUP(E238,'Tablas Técnicas'!$A$14:$V$771,3,FALSE))</f>
        <v/>
      </c>
      <c r="H238" s="1021" t="str">
        <f>IF($E238=0,"",VLOOKUP($E238,'Tablas Técnicas'!$A$14:$V$771,4,FALSE))</f>
        <v/>
      </c>
      <c r="I238" s="987" t="s">
        <v>1690</v>
      </c>
      <c r="J238" s="1414" t="str">
        <f>IF(E238=0,"",VLOOKUP(E238,'Tablas Técnicas'!$A$14:$V$771,5,FALSE))</f>
        <v/>
      </c>
      <c r="K238" s="1020" t="str">
        <f>IF(I238="Si",IF(E238=0,"",VLOOKUP(E238,'Tablas Técnicas'!$A$14:$V$771,5,FALSE)),"")</f>
        <v/>
      </c>
      <c r="L238" s="987" t="s">
        <v>1690</v>
      </c>
      <c r="M238" s="1414" t="str">
        <f>IF(E238=0,"",VLOOKUP(E238,'Tablas Técnicas'!$A$14:$V$771,6,FALSE))</f>
        <v/>
      </c>
      <c r="N238" s="990" t="str">
        <f>IF(L238="Si",IF(E238=0,"",VLOOKUP(E238,'Tablas Técnicas'!$A$14:$V$771,6,FALSE)),"")</f>
        <v/>
      </c>
      <c r="O238" s="987" t="s">
        <v>1690</v>
      </c>
      <c r="P238" s="1414" t="str">
        <f>IF(E238=0,"",VLOOKUP(E238,'Tablas Técnicas'!$A$14:$V$771,7,FALSE))</f>
        <v/>
      </c>
      <c r="Q238" s="990" t="str">
        <f>IF(O238="Si",IF(E238=0,"",VLOOKUP(E238,'Tablas Técnicas'!$A$14:$V$771,7,FALSE)),"")</f>
        <v/>
      </c>
      <c r="R238" s="1022" t="str">
        <f>IF(E238=0,"",VLOOKUP(E238,'Tablas Técnicas'!$A$14:$V$771,8,FALSE))</f>
        <v/>
      </c>
      <c r="S238" s="1021" t="str">
        <f>IF(R238=$D$8,$D$8,IF(R238=2,2,IF(R238=3,3,R238)))</f>
        <v/>
      </c>
      <c r="T238" s="989" t="str">
        <f>IF(E238=0,"",VLOOKUP(E238,'Tablas Técnicas'!$A$14:$V$771,9,FALSE))</f>
        <v/>
      </c>
      <c r="U238" s="989" t="str">
        <f>IF(E238=0,"",VLOOKUP(E238,'Tablas Técnicas'!$A$14:$V$771,10,FALSE))</f>
        <v/>
      </c>
      <c r="V238" s="984" t="str">
        <f>IF(E238=0,"",VLOOKUP(E238,'Tablas Técnicas'!$A$14:$V$771,11,FALSE))</f>
        <v/>
      </c>
      <c r="W238" s="987"/>
      <c r="X238" s="988" t="e">
        <f>VLOOKUP(E238,'Tablas Técnicas'!$A$14:$V$771,12,FALSE)</f>
        <v>#N/A</v>
      </c>
      <c r="Y238" s="988" t="e">
        <f>IF(W238=X238,VLOOKUP(E238,'Tablas Técnicas'!$A$14:$V$771,13,FALSE),0)</f>
        <v>#N/A</v>
      </c>
      <c r="Z238" s="988" t="e">
        <f>VLOOKUP(E238,'Tablas Técnicas'!$A$14:$V$771,14,FALSE)</f>
        <v>#N/A</v>
      </c>
      <c r="AA238" s="988" t="e">
        <f>IF(W238=Z238,VLOOKUP(E238,'Tablas Técnicas'!$A$14:$V$616,15,FALSE),0)</f>
        <v>#N/A</v>
      </c>
      <c r="AB238" s="988" t="e">
        <f>VLOOKUP(E238,'Tablas Técnicas'!$A$14:$V$771,16,FALSE)</f>
        <v>#N/A</v>
      </c>
      <c r="AC238" s="988" t="e">
        <f>IF(W238=AB238,VLOOKUP(E238,'Tablas Técnicas'!$A$14:$V$616,17,FALSE),0)</f>
        <v>#N/A</v>
      </c>
      <c r="AD238" s="988" t="e">
        <f>VLOOKUP(E238,'Tablas Técnicas'!$A$14:$V$771,18,FALSE)</f>
        <v>#N/A</v>
      </c>
      <c r="AE238" s="988" t="e">
        <f>IF(W238=AD238,VLOOKUP(E238,'Tablas Técnicas'!$A$14:$V$771,19,FALSE),0)</f>
        <v>#N/A</v>
      </c>
      <c r="AF238" s="989" t="str">
        <f>IF(E238=0,"",(Y238+AA238+AC238+AE238))</f>
        <v/>
      </c>
      <c r="AG238" s="987"/>
      <c r="AH238" s="1022" t="e">
        <f>VLOOKUP(E238,'Tablas Técnicas'!$A$14:$V$771,12,FALSE)</f>
        <v>#N/A</v>
      </c>
      <c r="AI238" s="1022" t="e">
        <f>IF(AG238=AH238,VLOOKUP(E238,'Tablas Técnicas'!$A$14:$V$771,13,FALSE),0)</f>
        <v>#N/A</v>
      </c>
      <c r="AJ238" s="1022" t="e">
        <f>VLOOKUP(E238,'Tablas Técnicas'!$A$14:$V$771,14,FALSE)</f>
        <v>#N/A</v>
      </c>
      <c r="AK238" s="1022" t="e">
        <f>IF(AG238=AJ238,VLOOKUP(E238,'Tablas Técnicas'!$A$14:$V$771,15,FALSE),0)</f>
        <v>#N/A</v>
      </c>
      <c r="AL238" s="1022" t="e">
        <f>VLOOKUP(E238,'Tablas Técnicas'!$A$14:$V$771,16,FALSE)</f>
        <v>#N/A</v>
      </c>
      <c r="AM238" s="1022" t="e">
        <f>IF(AG238=AL238,VLOOKUP(E238,'Tablas Técnicas'!$A$14:$V$771,17,FALSE),0)</f>
        <v>#N/A</v>
      </c>
      <c r="AN238" s="1022" t="e">
        <f>VLOOKUP(E238,'Tablas Técnicas'!$A$14:$V$771,18,FALSE)</f>
        <v>#N/A</v>
      </c>
      <c r="AO238" s="1022" t="e">
        <f>IF(AG238=AN238,VLOOKUP(E238,'Tablas Técnicas'!$A$14:$V$771,19,FALSE),0)</f>
        <v>#N/A</v>
      </c>
      <c r="AP238" s="1023" t="str">
        <f>IF(E238=0,"",(AI238+AK238+AM238+AO238))</f>
        <v/>
      </c>
      <c r="AQ238" s="987"/>
      <c r="AR238" s="988" t="e">
        <f>VLOOKUP(E238,'Tablas Técnicas'!$A$14:$V$771,12,FALSE)</f>
        <v>#N/A</v>
      </c>
      <c r="AS238" s="988" t="e">
        <f>IF(AQ238=AR238,VLOOKUP(E238,'Tablas Técnicas'!$A$14:$V$771,13,FALSE),0)</f>
        <v>#N/A</v>
      </c>
      <c r="AT238" s="988" t="e">
        <f>VLOOKUP(E238,'Tablas Técnicas'!$A$14:$V$771,14,FALSE)</f>
        <v>#N/A</v>
      </c>
      <c r="AU238" s="988" t="e">
        <f>IF(AQ238=AT238,VLOOKUP(E238,'Tablas Técnicas'!$A$14:$V$771,15,FALSE),0)</f>
        <v>#N/A</v>
      </c>
      <c r="AV238" s="988" t="e">
        <f>VLOOKUP(E238,'Tablas Técnicas'!$A$14:$V$771,16,FALSE)</f>
        <v>#N/A</v>
      </c>
      <c r="AW238" s="988" t="e">
        <f>IF(AQ238=AV238,VLOOKUP(E238,'Tablas Técnicas'!$A$14:$V$771,17,FALSE),0)</f>
        <v>#N/A</v>
      </c>
      <c r="AX238" s="988" t="e">
        <f>VLOOKUP(E238,'Tablas Técnicas'!$A$14:$V$771,18,FALSE)</f>
        <v>#N/A</v>
      </c>
      <c r="AY238" s="988" t="e">
        <f>IF(AQ238=AX238,VLOOKUP(E238,'Tablas Técnicas'!$A$14:$V$771,19,FALSE),0)</f>
        <v>#N/A</v>
      </c>
      <c r="AZ238" s="989" t="str">
        <f>IF(E238=0,"",(AS238+AU238+AW238+AY238))</f>
        <v/>
      </c>
      <c r="BA238" s="987"/>
      <c r="BB238" s="988" t="e">
        <f>VLOOKUP(E238,'Tablas Técnicas'!$A$14:$V$771,12,FALSE)</f>
        <v>#N/A</v>
      </c>
      <c r="BC238" s="988" t="e">
        <f>IF(BA238=BB238,VLOOKUP(E238,'Tablas Técnicas'!$A$14:$V$771,13,FALSE),0)</f>
        <v>#N/A</v>
      </c>
      <c r="BD238" s="988" t="e">
        <f>VLOOKUP(E238,'Tablas Técnicas'!$A$14:$V$771,14,FALSE)</f>
        <v>#N/A</v>
      </c>
      <c r="BE238" s="988" t="e">
        <f>IF(BA238=BD238,VLOOKUP(E238,'Tablas Técnicas'!$A$14:$V$771,15,FALSE),0)</f>
        <v>#N/A</v>
      </c>
      <c r="BF238" s="988" t="e">
        <f>VLOOKUP(E238,'Tablas Técnicas'!$A$14:$V$771,16,FALSE)</f>
        <v>#N/A</v>
      </c>
      <c r="BG238" s="988" t="e">
        <f>IF(BA238=BF238,VLOOKUP(E238,'Tablas Técnicas'!$A$14:$V$771,17,FALSE),0)</f>
        <v>#N/A</v>
      </c>
      <c r="BH238" s="988" t="e">
        <f>VLOOKUP(E238,'Tablas Técnicas'!$A$14:$V$771,18,FALSE)</f>
        <v>#N/A</v>
      </c>
      <c r="BI238" s="988" t="e">
        <f>IF(BA238=BH238,VLOOKUP(E238,'Tablas Técnicas'!$A$14:$V$771,19,FALSE),0)</f>
        <v>#N/A</v>
      </c>
      <c r="BJ238" s="990" t="str">
        <f>IF(E238=0,"",(BC238+BE238+BG238+BI238))</f>
        <v/>
      </c>
      <c r="BK238" s="989" t="str">
        <f>IF(E238=0,"",VLOOKUP(E238,'Tablas Técnicas'!$A$14:$V$771,20,FALSE))</f>
        <v/>
      </c>
      <c r="BL238" s="989" t="str">
        <f>IF(E238=0,"",VLOOKUP(E238,'Tablas Técnicas'!$A$14:$V$771,21,FALSE))</f>
        <v/>
      </c>
      <c r="BM238" s="1024" t="str">
        <f>IF(E238=0,"",VLOOKUP(E238,'Tablas Técnicas'!$A$14:$V$771,22,FALSE))</f>
        <v/>
      </c>
      <c r="BN238" s="992"/>
      <c r="BO238" s="993"/>
      <c r="BP238" s="978" t="str">
        <f>IF(I238="Si",VLOOKUP($D$8,'Tablas Técnicas'!$E$4:$F$6,2,FALSE),"")</f>
        <v/>
      </c>
      <c r="BQ238" s="979" t="str">
        <f>IF(L238="Si",VLOOKUP($D$8,'Tablas Técnicas'!$I$4:$J$6,2,FALSE),"")</f>
        <v/>
      </c>
      <c r="BR238" s="977" t="str">
        <f>IF(O238="Si",VLOOKUP($D$8,'Tablas Técnicas'!$I$7:$J$9,2,FALSE),"")</f>
        <v/>
      </c>
      <c r="BS238" s="994"/>
      <c r="BT238" s="4774" t="s">
        <v>4527</v>
      </c>
      <c r="BU238" s="4775"/>
      <c r="BV238" s="971"/>
      <c r="BW238" s="951"/>
      <c r="BX238" s="951"/>
      <c r="BY238" s="1286"/>
      <c r="BZ238" s="1304"/>
      <c r="CA238" s="939"/>
      <c r="DR238" s="939"/>
      <c r="DT238" s="1326"/>
      <c r="DU238" s="1379"/>
      <c r="DV238" s="1376" t="str">
        <f>IF(E238="","",", "&amp;E238)&amp;IF(I238="No",""," (Mant.)")&amp;IF(L238="No",""," (Sme)")&amp;IF(O238="No",""," (SMa)")</f>
        <v/>
      </c>
      <c r="DW238" s="1377"/>
      <c r="DX238" s="1378" t="str">
        <f>IF(ISNUMBER(FIND('Tablas Técnicas'!A$678,DW256)),BL262&amp;BM262,IF(ISNUMBER(FIND('Tablas Técnicas'!A$679,DW256)),BL262&amp;" "&amp;BM262,""))</f>
        <v/>
      </c>
      <c r="DY238" s="1327"/>
      <c r="DZ238" s="939"/>
      <c r="EA238" s="1470">
        <f t="shared" si="3"/>
        <v>1</v>
      </c>
    </row>
    <row r="239" spans="1:132" x14ac:dyDescent="0.2">
      <c r="A239" s="939"/>
      <c r="B239" s="939"/>
      <c r="C239" s="4822"/>
      <c r="D239" s="1452" t="s">
        <v>1766</v>
      </c>
      <c r="E239" s="995"/>
      <c r="F239" s="1025"/>
      <c r="G239" s="1437" t="str">
        <f>IF(E239=0,"",VLOOKUP(E239,'Tablas Técnicas'!$A$14:$V$771,3,FALSE))</f>
        <v/>
      </c>
      <c r="H239" s="998" t="str">
        <f>IF($E239=0,"",VLOOKUP($E239,'Tablas Técnicas'!$A$14:$V$771,4,FALSE))</f>
        <v/>
      </c>
      <c r="I239" s="999" t="s">
        <v>1690</v>
      </c>
      <c r="J239" s="1415" t="str">
        <f>IF(E239=0,"",VLOOKUP(E239,'Tablas Técnicas'!$A$14:$V$771,5,FALSE))</f>
        <v/>
      </c>
      <c r="K239" s="1001" t="str">
        <f>IF(I239="Si",IF(E239=0,"",VLOOKUP(E239,'Tablas Técnicas'!$A$14:$V$771,5,FALSE)),"")</f>
        <v/>
      </c>
      <c r="L239" s="999" t="s">
        <v>1690</v>
      </c>
      <c r="M239" s="1415" t="str">
        <f>IF(E239=0,"",VLOOKUP(E239,'Tablas Técnicas'!$A$14:$V$771,6,FALSE))</f>
        <v/>
      </c>
      <c r="N239" s="1002" t="str">
        <f>IF(L239="Si",IF(E239=0,"",VLOOKUP(E239,'Tablas Técnicas'!$A$14:$V$771,6,FALSE)),"")</f>
        <v/>
      </c>
      <c r="O239" s="999" t="s">
        <v>1690</v>
      </c>
      <c r="P239" s="1415" t="str">
        <f>IF(E239=0,"",VLOOKUP(E239,'Tablas Técnicas'!$A$14:$V$771,7,FALSE))</f>
        <v/>
      </c>
      <c r="Q239" s="1002" t="str">
        <f>IF(O239="Si",IF(E239=0,"",VLOOKUP(E239,'Tablas Técnicas'!$A$14:$V$771,7,FALSE)),"")</f>
        <v/>
      </c>
      <c r="R239" s="1000" t="str">
        <f>IF(E239=0,"",VLOOKUP(E239,'Tablas Técnicas'!$A$14:$V$771,8,FALSE))</f>
        <v/>
      </c>
      <c r="S239" s="998" t="str">
        <f>IF(R239=$D$8,$D$8,IF(R239=2,2,IF(R239=3,3,R239)))</f>
        <v/>
      </c>
      <c r="T239" s="4796" t="s">
        <v>4542</v>
      </c>
      <c r="U239" s="4797"/>
      <c r="V239" s="4797"/>
      <c r="W239" s="4797"/>
      <c r="X239" s="4797"/>
      <c r="Y239" s="4797"/>
      <c r="Z239" s="4797"/>
      <c r="AA239" s="4797"/>
      <c r="AB239" s="4797"/>
      <c r="AC239" s="4797"/>
      <c r="AD239" s="4797"/>
      <c r="AE239" s="4797"/>
      <c r="AF239" s="4797"/>
      <c r="AG239" s="4797"/>
      <c r="AH239" s="4797"/>
      <c r="AI239" s="4797"/>
      <c r="AJ239" s="4797"/>
      <c r="AK239" s="4797"/>
      <c r="AL239" s="4797"/>
      <c r="AM239" s="4797"/>
      <c r="AN239" s="4797"/>
      <c r="AO239" s="4797"/>
      <c r="AP239" s="4797"/>
      <c r="AQ239" s="4797"/>
      <c r="AR239" s="4797"/>
      <c r="AS239" s="4797"/>
      <c r="AT239" s="4797"/>
      <c r="AU239" s="4797"/>
      <c r="AV239" s="4797"/>
      <c r="AW239" s="4797"/>
      <c r="AX239" s="4797"/>
      <c r="AY239" s="4797"/>
      <c r="AZ239" s="4797"/>
      <c r="BA239" s="4797"/>
      <c r="BB239" s="4797"/>
      <c r="BC239" s="4797"/>
      <c r="BD239" s="4797"/>
      <c r="BE239" s="4797"/>
      <c r="BF239" s="4797"/>
      <c r="BG239" s="4797"/>
      <c r="BH239" s="4797"/>
      <c r="BI239" s="4797"/>
      <c r="BJ239" s="4797"/>
      <c r="BK239" s="4798"/>
      <c r="BL239" s="1437"/>
      <c r="BM239" s="1438"/>
      <c r="BN239" s="992"/>
      <c r="BO239" s="993"/>
      <c r="BP239" s="978" t="str">
        <f>IF(I239="Si",VLOOKUP($D$8,'Tablas Técnicas'!$E$4:$F$6,2,FALSE),"")</f>
        <v/>
      </c>
      <c r="BQ239" s="979" t="str">
        <f>IF(L239="Si",VLOOKUP($D$8,'Tablas Técnicas'!$I$4:$J$6,2,FALSE),"")</f>
        <v/>
      </c>
      <c r="BR239" s="977" t="str">
        <f>IF(O239="Si",VLOOKUP($D$8,'Tablas Técnicas'!$I$7:$J$9,2,FALSE),"")</f>
        <v/>
      </c>
      <c r="BS239" s="994"/>
      <c r="BT239" s="4770" t="s">
        <v>4548</v>
      </c>
      <c r="BU239" s="4771"/>
      <c r="BV239" s="971"/>
      <c r="BW239" s="951"/>
      <c r="BX239" s="951"/>
      <c r="BY239" s="1286"/>
      <c r="BZ239" s="1304"/>
      <c r="CA239" s="939"/>
      <c r="DR239" s="939"/>
      <c r="DT239" s="1325"/>
      <c r="DU239" s="1375"/>
      <c r="DV239" s="1376" t="str">
        <f>IF(E239="",""," "&amp;E239)&amp;IF(I239="No",""," (Mant.)")&amp;IF(L239="No",""," (Sme)")&amp;IF(O239="No",""," (SMa)")</f>
        <v/>
      </c>
      <c r="DW239" s="1377"/>
      <c r="DX239" s="1378"/>
      <c r="DY239" s="1324"/>
      <c r="DZ239" s="939"/>
      <c r="EA239" s="1470">
        <f t="shared" si="3"/>
        <v>1</v>
      </c>
    </row>
    <row r="240" spans="1:132" x14ac:dyDescent="0.2">
      <c r="A240" s="939"/>
      <c r="B240" s="939"/>
      <c r="C240" s="4822"/>
      <c r="D240" s="1453" t="s">
        <v>1766</v>
      </c>
      <c r="E240" s="1003"/>
      <c r="F240" s="1019"/>
      <c r="G240" s="989" t="str">
        <f>IF(E240=0,"",VLOOKUP(E240,'Tablas Técnicas'!$A$14:$V$771,3,FALSE))</f>
        <v/>
      </c>
      <c r="H240" s="3033" t="str">
        <f>IF($E240=0,"",VLOOKUP($E240,'Tablas Técnicas'!$A$14:$V$771,4,FALSE))</f>
        <v/>
      </c>
      <c r="I240" s="987" t="s">
        <v>1690</v>
      </c>
      <c r="J240" s="1411" t="str">
        <f>IF(E240=0,"",VLOOKUP(E240,'Tablas Técnicas'!$A$14:$V$771,5,FALSE))</f>
        <v/>
      </c>
      <c r="K240" s="1006" t="str">
        <f>IF(I240="Si",IF(E240=0,"",VLOOKUP(E240,'Tablas Técnicas'!$A$14:$V$771,5,FALSE)),"")</f>
        <v/>
      </c>
      <c r="L240" s="987" t="s">
        <v>1690</v>
      </c>
      <c r="M240" s="1411" t="str">
        <f>IF(E240=0,"",VLOOKUP(E240,'Tablas Técnicas'!$A$14:$V$771,6,FALSE))</f>
        <v/>
      </c>
      <c r="N240" s="990" t="str">
        <f>IF(L240="Si",IF(E240=0,"",VLOOKUP(E240,'Tablas Técnicas'!$A$14:$V$771,6,FALSE)),"")</f>
        <v/>
      </c>
      <c r="O240" s="987" t="s">
        <v>1690</v>
      </c>
      <c r="P240" s="1411" t="str">
        <f>IF(E240=0,"",VLOOKUP(E240,'Tablas Técnicas'!$A$14:$V$771,7,FALSE))</f>
        <v/>
      </c>
      <c r="Q240" s="990" t="str">
        <f>IF(O240="Si",IF(E240=0,"",VLOOKUP(E240,'Tablas Técnicas'!$A$14:$V$771,7,FALSE)),"")</f>
        <v/>
      </c>
      <c r="R240" s="1005" t="str">
        <f>IF(E240=0,"",VLOOKUP(E240,'Tablas Técnicas'!$A$14:$V$771,8,FALSE))</f>
        <v/>
      </c>
      <c r="S240" s="3033" t="str">
        <f>IF(R240=$D$8,$D$8,IF(R240=2,2,IF(R240=3,3,R240)))</f>
        <v/>
      </c>
      <c r="T240" s="4809"/>
      <c r="U240" s="4810"/>
      <c r="V240" s="3029" t="str">
        <f>IF(OR(V238=0,V238=""),"N/A",V238)</f>
        <v>N/A</v>
      </c>
      <c r="W240" s="4809" t="str">
        <f xml:space="preserve"> IF(OR(AF238=0,AF238=""),"N/A",W238)</f>
        <v>N/A</v>
      </c>
      <c r="X240" s="4811"/>
      <c r="Y240" s="4811"/>
      <c r="Z240" s="4811"/>
      <c r="AA240" s="4811"/>
      <c r="AB240" s="4811"/>
      <c r="AC240" s="4811"/>
      <c r="AD240" s="4811"/>
      <c r="AE240" s="4811"/>
      <c r="AF240" s="4810"/>
      <c r="AG240" s="4809" t="str">
        <f xml:space="preserve"> IF(OR(AP238="",AP238=0),"N/A",AG238)</f>
        <v>N/A</v>
      </c>
      <c r="AH240" s="4811"/>
      <c r="AI240" s="4811"/>
      <c r="AJ240" s="4811"/>
      <c r="AK240" s="4811"/>
      <c r="AL240" s="4811"/>
      <c r="AM240" s="4811"/>
      <c r="AN240" s="4811"/>
      <c r="AO240" s="4811"/>
      <c r="AP240" s="4810"/>
      <c r="AQ240" s="4809" t="str">
        <f xml:space="preserve"> IF(OR(AZ238="",AZ238=0),"N/A",AQ238)</f>
        <v>N/A</v>
      </c>
      <c r="AR240" s="4811"/>
      <c r="AS240" s="4811"/>
      <c r="AT240" s="4811"/>
      <c r="AU240" s="4811"/>
      <c r="AV240" s="4811"/>
      <c r="AW240" s="4811"/>
      <c r="AX240" s="4811"/>
      <c r="AY240" s="4811"/>
      <c r="AZ240" s="4810"/>
      <c r="BA240" s="4809" t="str">
        <f xml:space="preserve"> IF(OR(BJ238="",BJ238=0),"N/A",BA238)</f>
        <v>N/A</v>
      </c>
      <c r="BB240" s="4811"/>
      <c r="BC240" s="4811"/>
      <c r="BD240" s="4811"/>
      <c r="BE240" s="4811"/>
      <c r="BF240" s="4811"/>
      <c r="BG240" s="4811"/>
      <c r="BH240" s="4811"/>
      <c r="BI240" s="4811"/>
      <c r="BJ240" s="4810"/>
      <c r="BK240" s="1007" t="s">
        <v>4543</v>
      </c>
      <c r="BL240" s="989"/>
      <c r="BM240" s="1024"/>
      <c r="BN240" s="992"/>
      <c r="BO240" s="1009"/>
      <c r="BP240" s="978" t="str">
        <f>IF(I240="Si",VLOOKUP($D$8,'Tablas Técnicas'!$E$4:$F$6,2,FALSE),"")</f>
        <v/>
      </c>
      <c r="BQ240" s="979" t="str">
        <f>IF(L240="Si",VLOOKUP($D$8,'Tablas Técnicas'!$I$4:$J$6,2,FALSE),"")</f>
        <v/>
      </c>
      <c r="BR240" s="977" t="str">
        <f>IF(O240="Si",VLOOKUP($D$8,'Tablas Técnicas'!$I$7:$J$9,2,FALSE),"")</f>
        <v/>
      </c>
      <c r="BS240" s="994"/>
      <c r="BT240" s="4774" t="s">
        <v>4521</v>
      </c>
      <c r="BU240" s="4775"/>
      <c r="BV240" s="971"/>
      <c r="BW240" s="951"/>
      <c r="BX240" s="951"/>
      <c r="BY240" s="1286"/>
      <c r="BZ240" s="1304"/>
      <c r="CA240" s="939"/>
      <c r="DR240" s="939"/>
      <c r="DT240" s="1325"/>
      <c r="DU240" s="1379"/>
      <c r="DV240" s="1376" t="str">
        <f>IF(E240="","",E240)&amp;IF(I240="No",""," (Mant.)")&amp;IF(L240="No",""," (Sme)")&amp;IF(O240="No",""," (SMa)")</f>
        <v/>
      </c>
      <c r="DW240" s="1377"/>
      <c r="DX240" s="1378"/>
      <c r="DY240" s="1324"/>
      <c r="DZ240" s="939"/>
      <c r="EA240" s="1470">
        <f t="shared" si="3"/>
        <v>1</v>
      </c>
    </row>
    <row r="241" spans="1:131" x14ac:dyDescent="0.2">
      <c r="A241" s="939"/>
      <c r="B241" s="939"/>
      <c r="C241" s="4822"/>
      <c r="D241" s="1452" t="s">
        <v>1766</v>
      </c>
      <c r="E241" s="995"/>
      <c r="F241" s="1025"/>
      <c r="G241" s="1437" t="str">
        <f>IF(E241=0,"",VLOOKUP(E241,'Tablas Técnicas'!$A$14:$V$771,3,FALSE))</f>
        <v/>
      </c>
      <c r="H241" s="998" t="str">
        <f>IF($E241=0,"",VLOOKUP($E241,'Tablas Técnicas'!$A$14:$V$771,4,FALSE))</f>
        <v/>
      </c>
      <c r="I241" s="999" t="s">
        <v>1690</v>
      </c>
      <c r="J241" s="1415" t="str">
        <f>IF(E241=0,"",VLOOKUP(E241,'Tablas Técnicas'!$A$14:$V$771,5,FALSE))</f>
        <v/>
      </c>
      <c r="K241" s="1001" t="str">
        <f>IF(I241="Si",IF(E241=0,"",VLOOKUP(E241,'Tablas Técnicas'!$A$14:$V$771,5,FALSE)),"")</f>
        <v/>
      </c>
      <c r="L241" s="999" t="s">
        <v>1690</v>
      </c>
      <c r="M241" s="1415" t="str">
        <f>IF(E241=0,"",VLOOKUP(E241,'Tablas Técnicas'!$A$14:$V$771,6,FALSE))</f>
        <v/>
      </c>
      <c r="N241" s="1002" t="str">
        <f>IF(L241="Si",IF(E241=0,"",VLOOKUP(E241,'Tablas Técnicas'!$A$14:$V$771,6,FALSE)),"")</f>
        <v/>
      </c>
      <c r="O241" s="999" t="s">
        <v>1690</v>
      </c>
      <c r="P241" s="1415" t="str">
        <f>IF(E241=0,"",VLOOKUP(E241,'Tablas Técnicas'!$A$14:$V$771,7,FALSE))</f>
        <v/>
      </c>
      <c r="Q241" s="1002" t="str">
        <f>IF(O241="Si",IF(E241=0,"",VLOOKUP(E241,'Tablas Técnicas'!$A$14:$V$771,7,FALSE)),"")</f>
        <v/>
      </c>
      <c r="R241" s="1000" t="str">
        <f>IF(E241=0,"",VLOOKUP(E241,'Tablas Técnicas'!$A$14:$V$771,8,FALSE))</f>
        <v/>
      </c>
      <c r="S241" s="998" t="str">
        <f>IF(R241=$D$8,$D$8,IF(R241=2,2,IF(R241=3,3,R241)))</f>
        <v/>
      </c>
      <c r="T241" s="4812" t="s">
        <v>4544</v>
      </c>
      <c r="U241" s="4813"/>
      <c r="V241" s="3025"/>
      <c r="W241" s="4814"/>
      <c r="X241" s="4815"/>
      <c r="Y241" s="4815"/>
      <c r="Z241" s="4815"/>
      <c r="AA241" s="4815"/>
      <c r="AB241" s="4815"/>
      <c r="AC241" s="4815"/>
      <c r="AD241" s="4815"/>
      <c r="AE241" s="4815"/>
      <c r="AF241" s="4816"/>
      <c r="AG241" s="4814"/>
      <c r="AH241" s="4815"/>
      <c r="AI241" s="4815"/>
      <c r="AJ241" s="4815"/>
      <c r="AK241" s="4815"/>
      <c r="AL241" s="4815"/>
      <c r="AM241" s="4815"/>
      <c r="AN241" s="4815"/>
      <c r="AO241" s="4815"/>
      <c r="AP241" s="4816"/>
      <c r="AQ241" s="4814"/>
      <c r="AR241" s="4815"/>
      <c r="AS241" s="4815"/>
      <c r="AT241" s="4815"/>
      <c r="AU241" s="4815"/>
      <c r="AV241" s="4815"/>
      <c r="AW241" s="4815"/>
      <c r="AX241" s="4815"/>
      <c r="AY241" s="4815"/>
      <c r="AZ241" s="4816"/>
      <c r="BA241" s="4814"/>
      <c r="BB241" s="4815"/>
      <c r="BC241" s="4815"/>
      <c r="BD241" s="4815"/>
      <c r="BE241" s="4815"/>
      <c r="BF241" s="4815"/>
      <c r="BG241" s="4815"/>
      <c r="BH241" s="4815"/>
      <c r="BI241" s="4815"/>
      <c r="BJ241" s="4816"/>
      <c r="BK241" s="998">
        <f>(SUM(G238:G242)+IF(AF238="",0,AF238)+IF(AP238="",0,AP238)+IF(AZ238="",0,AZ238)+IF(BJ238="",0,BJ238)+SUM(K238:K242)+SUM(N238:N242)+SUM(Q238:Q242))- SUM(V241:BA241)</f>
        <v>0</v>
      </c>
      <c r="BL241" s="1437"/>
      <c r="BM241" s="1438"/>
      <c r="BN241" s="992"/>
      <c r="BO241" s="993"/>
      <c r="BP241" s="978" t="str">
        <f>IF(I241="Si",VLOOKUP($D$8,'Tablas Técnicas'!$E$4:$F$6,2,FALSE),"")</f>
        <v/>
      </c>
      <c r="BQ241" s="979" t="str">
        <f>IF(L241="Si",VLOOKUP($D$8,'Tablas Técnicas'!$I$4:$J$6,2,FALSE),"")</f>
        <v/>
      </c>
      <c r="BR241" s="977" t="str">
        <f>IF(O241="Si",VLOOKUP($D$8,'Tablas Técnicas'!$I$7:$J$9,2,FALSE),"")</f>
        <v/>
      </c>
      <c r="BS241" s="994"/>
      <c r="BT241" s="4766" t="s">
        <v>4549</v>
      </c>
      <c r="BU241" s="4767"/>
      <c r="BV241" s="971"/>
      <c r="BW241" s="951"/>
      <c r="BX241" s="951"/>
      <c r="BY241" s="1286"/>
      <c r="BZ241" s="1304"/>
      <c r="CA241" s="939"/>
      <c r="DR241" s="939"/>
      <c r="DT241" s="1325"/>
      <c r="DU241" s="1375"/>
      <c r="DV241" s="1376" t="str">
        <f>IF(E241="","",E241)&amp;IF(I241="No",""," (Mant.)")&amp;IF(L241="No",""," (Sme)")&amp;IF(O241="No",""," (SMa)")</f>
        <v/>
      </c>
      <c r="DW241" s="1377"/>
      <c r="DX241" s="1378"/>
      <c r="DY241" s="1324"/>
      <c r="DZ241" s="939"/>
      <c r="EA241" s="1470">
        <f t="shared" si="3"/>
        <v>1</v>
      </c>
    </row>
    <row r="242" spans="1:131" x14ac:dyDescent="0.2">
      <c r="A242" s="939"/>
      <c r="B242" s="939"/>
      <c r="C242" s="4822"/>
      <c r="D242" s="1453" t="s">
        <v>1766</v>
      </c>
      <c r="E242" s="1003"/>
      <c r="F242" s="1019"/>
      <c r="G242" s="989" t="str">
        <f>IF(E242=0,"",VLOOKUP(E242,'Tablas Técnicas'!$A$14:$V$771,3,FALSE))</f>
        <v/>
      </c>
      <c r="H242" s="1004" t="str">
        <f>IF($E242=0,"",VLOOKUP($E242,'Tablas Técnicas'!$A$14:$V$771,4,FALSE))</f>
        <v/>
      </c>
      <c r="I242" s="987" t="s">
        <v>1690</v>
      </c>
      <c r="J242" s="1411" t="str">
        <f>IF(E242=0,"",VLOOKUP(E242,'Tablas Técnicas'!$A$14:$V$771,5,FALSE))</f>
        <v/>
      </c>
      <c r="K242" s="1006" t="str">
        <f>IF(I242="Si",IF(E242=0,"",VLOOKUP(E242,'Tablas Técnicas'!$A$14:$V$771,5,FALSE)),"")</f>
        <v/>
      </c>
      <c r="L242" s="987" t="s">
        <v>1690</v>
      </c>
      <c r="M242" s="1411" t="str">
        <f>IF(E242=0,"",VLOOKUP(E242,'Tablas Técnicas'!$A$14:$V$771,6,FALSE))</f>
        <v/>
      </c>
      <c r="N242" s="990" t="str">
        <f>IF(L242="Si",IF(E242=0,"",VLOOKUP(E242,'Tablas Técnicas'!$A$14:$V$771,6,FALSE)),"")</f>
        <v/>
      </c>
      <c r="O242" s="987" t="s">
        <v>1690</v>
      </c>
      <c r="P242" s="1411" t="str">
        <f>IF(E242=0,"",VLOOKUP(E242,'Tablas Técnicas'!$A$14:$V$771,7,FALSE))</f>
        <v/>
      </c>
      <c r="Q242" s="990" t="str">
        <f>IF(O242="Si",IF(E242=0,"",VLOOKUP(E242,'Tablas Técnicas'!$A$14:$V$771,7,FALSE)),"")</f>
        <v/>
      </c>
      <c r="R242" s="1005" t="str">
        <f>IF(E242=0,"",VLOOKUP(E242,'Tablas Técnicas'!$A$14:$V$771,8,FALSE))</f>
        <v/>
      </c>
      <c r="S242" s="1004" t="str">
        <f>IF(R242=$D$8,$D$8,IF(R242=2,2,IF(R242=3,3,R242)))</f>
        <v/>
      </c>
      <c r="T242" s="4803" t="s">
        <v>4546</v>
      </c>
      <c r="U242" s="4804"/>
      <c r="V242" s="3032"/>
      <c r="W242" s="4805"/>
      <c r="X242" s="4806"/>
      <c r="Y242" s="4806"/>
      <c r="Z242" s="4806"/>
      <c r="AA242" s="4806"/>
      <c r="AB242" s="4806"/>
      <c r="AC242" s="4806"/>
      <c r="AD242" s="4806"/>
      <c r="AE242" s="4806"/>
      <c r="AF242" s="4807"/>
      <c r="AG242" s="4805"/>
      <c r="AH242" s="4806"/>
      <c r="AI242" s="4806"/>
      <c r="AJ242" s="4806"/>
      <c r="AK242" s="4806"/>
      <c r="AL242" s="4806"/>
      <c r="AM242" s="4806"/>
      <c r="AN242" s="4806"/>
      <c r="AO242" s="4806"/>
      <c r="AP242" s="4807"/>
      <c r="AQ242" s="4805"/>
      <c r="AR242" s="4806"/>
      <c r="AS242" s="4806"/>
      <c r="AT242" s="4806"/>
      <c r="AU242" s="4806"/>
      <c r="AV242" s="4806"/>
      <c r="AW242" s="4806"/>
      <c r="AX242" s="4806"/>
      <c r="AY242" s="4806"/>
      <c r="AZ242" s="4807"/>
      <c r="BA242" s="4805"/>
      <c r="BB242" s="4806"/>
      <c r="BC242" s="4806"/>
      <c r="BD242" s="4806"/>
      <c r="BE242" s="4806"/>
      <c r="BF242" s="4806"/>
      <c r="BG242" s="4806"/>
      <c r="BH242" s="4806"/>
      <c r="BI242" s="4806"/>
      <c r="BJ242" s="4807"/>
      <c r="BK242" s="1014">
        <f>SUM(K238:K242)-SUM(V242:BA242)</f>
        <v>0</v>
      </c>
      <c r="BL242" s="1439"/>
      <c r="BM242" s="1440"/>
      <c r="BN242" s="992"/>
      <c r="BO242" s="1009"/>
      <c r="BP242" s="978" t="str">
        <f>IF(I242="Si",VLOOKUP($D$8,'Tablas Técnicas'!$E$4:$F$6,2,FALSE),"")</f>
        <v/>
      </c>
      <c r="BQ242" s="979" t="str">
        <f>IF(L242="Si",VLOOKUP($D$8,'Tablas Técnicas'!$I$4:$J$6,2,FALSE),"")</f>
        <v/>
      </c>
      <c r="BR242" s="977" t="str">
        <f>IF(O242="Si",VLOOKUP($D$8,'Tablas Técnicas'!$I$7:$J$9,2,FALSE),"")</f>
        <v/>
      </c>
      <c r="BS242" s="994"/>
      <c r="BT242" s="2354">
        <f>IF(BT236="No",0,IF(D230=0,0,VLOOKUP(D230,'Tablas Técnicas'!$L$4:$N$7,2,FALSE)))+IF(BT238="Bajar coste de CM",0,IF(BT238="-5 CM",2,IF(BT238="-10 CM",4,IF(BT238="-15 CM",6,IF(BT238="-20 CM",8,0)))))+IF(BT240="Bajar coste de Ki",0,IF(BT240="-1 Ki",-1,IF(BT240="-2 Ki",-2,IF(BT240="-3 Ki",-3,IF(BT240="-4 Ki",-4,IF(BT240="-5 Ki",-5,0))))))-BU245-BU247-BU249-BU251-BU253-BU255</f>
        <v>0</v>
      </c>
      <c r="BU242" s="2355">
        <f>IF(BT236="No",0,IF(D230=0,0,VLOOKUP(D230,'Tablas Técnicas'!$L$4:$N$7,2,FALSE)))+IF(BT238="Bajar coste de CM",0,IF(BT238="-5 CM",2,IF(BT238="-10 CM",4,IF(BT238="-15 CM",6,IF(BT238="-20 CM",8,0)))))+IF(BT240="Bajar coste de Ki",0,IF(BT240="-1 Ki",-1,IF(BT240="-2 Ki",-2,IF(BT240="-3 Ki",-3,IF(BT240="-4 Ki",-4,IF(BT240="-5 Ki",-5,0))))))</f>
        <v>0</v>
      </c>
      <c r="BV242" s="971"/>
      <c r="BW242" s="951"/>
      <c r="BX242" s="951"/>
      <c r="BY242" s="1286"/>
      <c r="BZ242" s="1304"/>
      <c r="CA242" s="939"/>
      <c r="DR242" s="939"/>
      <c r="DT242" s="1325"/>
      <c r="DU242" s="1379"/>
      <c r="DV242" s="1376" t="str">
        <f>IF(E242="","",E242)&amp;IF(I242="No",""," (Mant.)")&amp;IF(L242="No",""," (Sme)")&amp;IF(O242="No",""," (SMa)")</f>
        <v/>
      </c>
      <c r="DW242" s="1377"/>
      <c r="DX242" s="1378"/>
      <c r="DY242" s="1324"/>
      <c r="DZ242" s="939"/>
      <c r="EA242" s="1470">
        <f t="shared" si="3"/>
        <v>1</v>
      </c>
    </row>
    <row r="243" spans="1:131" x14ac:dyDescent="0.2">
      <c r="A243" s="939"/>
      <c r="B243" s="1403"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822"/>
      <c r="D243" s="1454">
        <v>3</v>
      </c>
      <c r="E243" s="1246"/>
      <c r="F243" s="1016"/>
      <c r="G243" s="1017"/>
      <c r="H243" s="2159">
        <f t="array" ref="H243">IF(AND(OR(ISNUMBER(SEARCH("Empatía Elemental ("&amp;BK238:BM238&amp;")",Principal!$AF$30))),SUM(H238:H242)&gt;=10),-5,0)</f>
        <v>0</v>
      </c>
      <c r="I243" s="1413"/>
      <c r="J243" s="1416"/>
      <c r="K243" s="1017"/>
      <c r="L243" s="1413"/>
      <c r="M243" s="1416"/>
      <c r="N243" s="1017"/>
      <c r="O243" s="1413"/>
      <c r="P243" s="1416"/>
      <c r="Q243" s="1017"/>
      <c r="R243" s="1018"/>
      <c r="S243" s="1017"/>
      <c r="T243" s="1017"/>
      <c r="U243" s="1017"/>
      <c r="V243" s="1017"/>
      <c r="W243" s="1017"/>
      <c r="X243" s="1017"/>
      <c r="Y243" s="1017"/>
      <c r="Z243" s="1017"/>
      <c r="AA243" s="1017"/>
      <c r="AB243" s="1017"/>
      <c r="AC243" s="1017"/>
      <c r="AD243" s="1017"/>
      <c r="AE243" s="1017"/>
      <c r="AF243" s="1017"/>
      <c r="AG243" s="1017"/>
      <c r="AH243" s="1017"/>
      <c r="AI243" s="1017"/>
      <c r="AJ243" s="1017"/>
      <c r="AK243" s="1017"/>
      <c r="AL243" s="1017"/>
      <c r="AM243" s="1017"/>
      <c r="AN243" s="1017"/>
      <c r="AO243" s="1017"/>
      <c r="AP243" s="1017"/>
      <c r="AQ243" s="1017"/>
      <c r="AR243" s="1017"/>
      <c r="AS243" s="1017"/>
      <c r="AT243" s="1017"/>
      <c r="AU243" s="1017"/>
      <c r="AV243" s="1017"/>
      <c r="AW243" s="1017"/>
      <c r="AX243" s="1017"/>
      <c r="AY243" s="1017"/>
      <c r="AZ243" s="1017"/>
      <c r="BA243" s="1017"/>
      <c r="BB243" s="1017"/>
      <c r="BC243" s="1017"/>
      <c r="BD243" s="1017"/>
      <c r="BE243" s="1017"/>
      <c r="BF243" s="1017"/>
      <c r="BG243" s="1017"/>
      <c r="BH243" s="1017"/>
      <c r="BI243" s="1017"/>
      <c r="BJ243" s="1017"/>
      <c r="BK243" s="1017"/>
      <c r="BL243" s="1017"/>
      <c r="BM243" s="1027"/>
      <c r="BN243" s="1028">
        <f>SUM(K243:K246)</f>
        <v>0</v>
      </c>
      <c r="BO243" s="971" t="str">
        <f>IF(E243=0,"",(AF243+AP243+AZ243+BJ243))</f>
        <v/>
      </c>
      <c r="BP243" s="1029" t="str">
        <f>IF(I243="Si",VLOOKUP($D$8,'Tablas Técnicas'!$E$4:$F$6,2,FALSE),"")</f>
        <v/>
      </c>
      <c r="BQ243" s="1030" t="str">
        <f>IF(L243="Si",VLOOKUP($D$8,'Tablas Técnicas'!$I$4:$J$6,2,FALSE),"")</f>
        <v/>
      </c>
      <c r="BR243" s="1028" t="str">
        <f>IF(O243="Si",VLOOKUP($D$8,'Tablas Técnicas'!$I$7:$J$9,2,FALSE),"")</f>
        <v/>
      </c>
      <c r="BS243" s="994"/>
      <c r="BU243" s="3026"/>
      <c r="BV243" s="971"/>
      <c r="BW243" s="951"/>
      <c r="BX243" s="951"/>
      <c r="BY243" s="1286"/>
      <c r="BZ243" s="1304"/>
      <c r="CA243" s="939"/>
      <c r="DR243" s="939"/>
      <c r="DT243" s="1325"/>
      <c r="DU243" s="1379"/>
      <c r="DV243" s="1380"/>
      <c r="DW243" s="1377"/>
      <c r="DX243" s="1378"/>
      <c r="DY243" s="1324"/>
      <c r="DZ243" s="939"/>
      <c r="EA243" s="1470">
        <f t="shared" si="3"/>
        <v>1</v>
      </c>
    </row>
    <row r="244" spans="1:131" x14ac:dyDescent="0.2">
      <c r="A244" s="939"/>
      <c r="B244" s="939"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822"/>
      <c r="D244" s="1453" t="s">
        <v>1766</v>
      </c>
      <c r="E244" s="983"/>
      <c r="F244" s="1019"/>
      <c r="G244" s="989" t="str">
        <f>IF(E244=0,"",VLOOKUP(E244,'Tablas Técnicas'!$A$14:$V$771,3,FALSE))</f>
        <v/>
      </c>
      <c r="H244" s="1031" t="str">
        <f>IF($E244=0,"",VLOOKUP($E244,'Tablas Técnicas'!$A$14:$V$771,4,FALSE))</f>
        <v/>
      </c>
      <c r="I244" s="987" t="s">
        <v>1690</v>
      </c>
      <c r="J244" s="1417" t="str">
        <f>IF(E244=0,"",VLOOKUP(E244,'Tablas Técnicas'!$A$14:$V$771,5,FALSE))</f>
        <v/>
      </c>
      <c r="K244" s="1033" t="str">
        <f>IF(I244="Si",IF(E244=0,"",VLOOKUP(E244,'Tablas Técnicas'!$A$14:$V$771,5,FALSE)),"")</f>
        <v/>
      </c>
      <c r="L244" s="987" t="s">
        <v>1690</v>
      </c>
      <c r="M244" s="1417" t="str">
        <f>IF(E244=0,"",VLOOKUP(E244,'Tablas Técnicas'!$A$14:$V$771,6,FALSE))</f>
        <v/>
      </c>
      <c r="N244" s="990" t="str">
        <f>IF(L244="Si",IF(E244=0,"",VLOOKUP(E244,'Tablas Técnicas'!$A$14:$V$771,6,FALSE)),"")</f>
        <v/>
      </c>
      <c r="O244" s="987" t="s">
        <v>1690</v>
      </c>
      <c r="P244" s="1417" t="str">
        <f>IF(E244=0,"",VLOOKUP(E244,'Tablas Técnicas'!$A$14:$V$771,7,FALSE))</f>
        <v/>
      </c>
      <c r="Q244" s="990" t="str">
        <f>IF(O244="Si",IF(E244=0,"",VLOOKUP(E244,'Tablas Técnicas'!$A$14:$V$771,7,FALSE)),"")</f>
        <v/>
      </c>
      <c r="R244" s="1032" t="str">
        <f>IF(E244=0,"",VLOOKUP(E244,'Tablas Técnicas'!$A$14:$V$771,8,FALSE))</f>
        <v/>
      </c>
      <c r="S244" s="1004" t="str">
        <f>IF(R244=$D$8,$D$8,IF(R244=2,2,IF(R244=3,3,R244)))</f>
        <v/>
      </c>
      <c r="T244" s="1033" t="str">
        <f>IF(E244=0,"",VLOOKUP(E244,'Tablas Técnicas'!$A$14:$V$771,9,FALSE))</f>
        <v/>
      </c>
      <c r="U244" s="1033" t="str">
        <f>IF(E244=0,"",VLOOKUP(E244,'Tablas Técnicas'!$A$14:$V$771,10,FALSE))</f>
        <v/>
      </c>
      <c r="V244" s="1034" t="str">
        <f>IF(E244=0,"",VLOOKUP(E244,'Tablas Técnicas'!$A$14:$V$771,11,FALSE))</f>
        <v/>
      </c>
      <c r="W244" s="987"/>
      <c r="X244" s="988" t="e">
        <f>VLOOKUP(E244,'Tablas Técnicas'!$A$14:$V$771,12,FALSE)</f>
        <v>#N/A</v>
      </c>
      <c r="Y244" s="988" t="e">
        <f>IF(W244=X244,VLOOKUP(E244,'Tablas Técnicas'!$A$14:$V$771,13,FALSE),0)</f>
        <v>#N/A</v>
      </c>
      <c r="Z244" s="988" t="e">
        <f>VLOOKUP(E244,'Tablas Técnicas'!$A$14:$V$771,14,FALSE)</f>
        <v>#N/A</v>
      </c>
      <c r="AA244" s="988" t="e">
        <f>IF(W244=Z244,VLOOKUP(E244,'Tablas Técnicas'!$A$14:$V$616,15,FALSE),0)</f>
        <v>#N/A</v>
      </c>
      <c r="AB244" s="988" t="e">
        <f>VLOOKUP(E244,'Tablas Técnicas'!$A$14:$V$771,16,FALSE)</f>
        <v>#N/A</v>
      </c>
      <c r="AC244" s="988" t="e">
        <f>IF(W244=AB244,VLOOKUP(E244,'Tablas Técnicas'!$A$14:$V$616,17,FALSE),0)</f>
        <v>#N/A</v>
      </c>
      <c r="AD244" s="988" t="e">
        <f>VLOOKUP(E244,'Tablas Técnicas'!$A$14:$V$771,18,FALSE)</f>
        <v>#N/A</v>
      </c>
      <c r="AE244" s="988" t="e">
        <f>IF(W244=AD244,VLOOKUP(E244,'Tablas Técnicas'!$A$14:$V$771,19,FALSE),0)</f>
        <v>#N/A</v>
      </c>
      <c r="AF244" s="1006" t="str">
        <f>IF(E244=0,"",(Y244+AA244+AC244+AE244))</f>
        <v/>
      </c>
      <c r="AG244" s="987"/>
      <c r="AH244" s="1005" t="e">
        <f>VLOOKUP(E244,'Tablas Técnicas'!$A$14:$V$771,12,FALSE)</f>
        <v>#N/A</v>
      </c>
      <c r="AI244" s="1005" t="e">
        <f>IF(AG244=AH244,VLOOKUP(E244,'Tablas Técnicas'!$A$14:$V$771,13,FALSE),0)</f>
        <v>#N/A</v>
      </c>
      <c r="AJ244" s="1005" t="e">
        <f>VLOOKUP(E244,'Tablas Técnicas'!$A$14:$V$771,14,FALSE)</f>
        <v>#N/A</v>
      </c>
      <c r="AK244" s="1005" t="e">
        <f>IF(AG244=AJ244,VLOOKUP(E244,'Tablas Técnicas'!$A$14:$V$771,15,FALSE),0)</f>
        <v>#N/A</v>
      </c>
      <c r="AL244" s="1005" t="e">
        <f>VLOOKUP(E244,'Tablas Técnicas'!$A$14:$V$771,16,FALSE)</f>
        <v>#N/A</v>
      </c>
      <c r="AM244" s="1005" t="e">
        <f>IF(AG244=AL244,VLOOKUP(E244,'Tablas Técnicas'!$A$14:$V$771,17,FALSE),0)</f>
        <v>#N/A</v>
      </c>
      <c r="AN244" s="1005" t="e">
        <f>VLOOKUP(E244,'Tablas Técnicas'!$A$14:$V$771,18,FALSE)</f>
        <v>#N/A</v>
      </c>
      <c r="AO244" s="1005" t="e">
        <f>IF(AG244=AN244,VLOOKUP(E244,'Tablas Técnicas'!$A$14:$V$771,19,FALSE),0)</f>
        <v>#N/A</v>
      </c>
      <c r="AP244" s="3034" t="str">
        <f>IF(E244=0,"",(AI244+AK244+AM244+AO244))</f>
        <v/>
      </c>
      <c r="AQ244" s="987"/>
      <c r="AR244" s="1005" t="e">
        <f>VLOOKUP(E244,'Tablas Técnicas'!$A$14:$V$771,12,FALSE)</f>
        <v>#N/A</v>
      </c>
      <c r="AS244" s="1005" t="e">
        <f>IF(AQ244=AR244,VLOOKUP(E244,'Tablas Técnicas'!$A$14:$V$771,13,FALSE),0)</f>
        <v>#N/A</v>
      </c>
      <c r="AT244" s="1005" t="e">
        <f>VLOOKUP(E244,'Tablas Técnicas'!$A$14:$V$771,14,FALSE)</f>
        <v>#N/A</v>
      </c>
      <c r="AU244" s="1005" t="e">
        <f>IF(AQ244=AT244,VLOOKUP(E244,'Tablas Técnicas'!$A$14:$V$771,15,FALSE),0)</f>
        <v>#N/A</v>
      </c>
      <c r="AV244" s="1005" t="e">
        <f>VLOOKUP(E244,'Tablas Técnicas'!$A$14:$V$771,16,FALSE)</f>
        <v>#N/A</v>
      </c>
      <c r="AW244" s="1005" t="e">
        <f>IF(AQ244=AV244,VLOOKUP(E244,'Tablas Técnicas'!$A$14:$V$771,17,FALSE),0)</f>
        <v>#N/A</v>
      </c>
      <c r="AX244" s="1005" t="e">
        <f>VLOOKUP(E244,'Tablas Técnicas'!$A$14:$V$771,18,FALSE)</f>
        <v>#N/A</v>
      </c>
      <c r="AY244" s="1005" t="e">
        <f>IF(AQ244=AX244,VLOOKUP(E244,'Tablas Técnicas'!$A$14:$V$771,19,FALSE),0)</f>
        <v>#N/A</v>
      </c>
      <c r="AZ244" s="1006" t="str">
        <f>IF(E244=0,"",(AS244+AU244+AW244+AY244))</f>
        <v/>
      </c>
      <c r="BA244" s="987"/>
      <c r="BB244" s="1005" t="e">
        <f>VLOOKUP(E244,'Tablas Técnicas'!$A$14:$V$771,12,FALSE)</f>
        <v>#N/A</v>
      </c>
      <c r="BC244" s="1005" t="e">
        <f>IF(BA244=BB244,VLOOKUP(E244,'Tablas Técnicas'!$A$14:$V$771,13,FALSE),0)</f>
        <v>#N/A</v>
      </c>
      <c r="BD244" s="1005" t="e">
        <f>VLOOKUP(E244,'Tablas Técnicas'!$A$14:$V$771,14,FALSE)</f>
        <v>#N/A</v>
      </c>
      <c r="BE244" s="1005" t="e">
        <f>IF(BA244=BD244,VLOOKUP(E244,'Tablas Técnicas'!$A$14:$V$771,15,FALSE),0)</f>
        <v>#N/A</v>
      </c>
      <c r="BF244" s="1005" t="e">
        <f>VLOOKUP(E244,'Tablas Técnicas'!$A$14:$V$771,16,FALSE)</f>
        <v>#N/A</v>
      </c>
      <c r="BG244" s="1005" t="e">
        <f>IF(BA244=BF244,VLOOKUP(E244,'Tablas Técnicas'!$A$14:$V$771,17,FALSE),0)</f>
        <v>#N/A</v>
      </c>
      <c r="BH244" s="1005" t="e">
        <f>VLOOKUP(E244,'Tablas Técnicas'!$A$14:$V$771,18,FALSE)</f>
        <v>#N/A</v>
      </c>
      <c r="BI244" s="1005" t="e">
        <f>IF(BA244=BH244,VLOOKUP(E244,'Tablas Técnicas'!$A$14:$V$771,19,FALSE),0)</f>
        <v>#N/A</v>
      </c>
      <c r="BJ244" s="3034" t="str">
        <f>IF(E244=0,"",(BC244+BE244+BG244+BI244))</f>
        <v/>
      </c>
      <c r="BK244" s="1033" t="str">
        <f>IF(E244=0,"",VLOOKUP(E244,'Tablas Técnicas'!$A$14:$V$771,20,FALSE))</f>
        <v/>
      </c>
      <c r="BL244" s="1020" t="str">
        <f>IF(E244=0,"",VLOOKUP(E244,'Tablas Técnicas'!$A$14:$V$771,21,FALSE))</f>
        <v/>
      </c>
      <c r="BM244" s="991" t="str">
        <f>IF(E244=0,"",VLOOKUP(E244,'Tablas Técnicas'!$A$14:$V$771,22,FALSE))</f>
        <v/>
      </c>
      <c r="BN244" s="992"/>
      <c r="BO244" s="993"/>
      <c r="BP244" s="978" t="str">
        <f>IF(I244="Si",VLOOKUP($D$8,'Tablas Técnicas'!$E$4:$F$6,2,FALSE),"")</f>
        <v/>
      </c>
      <c r="BQ244" s="979" t="str">
        <f>IF(L244="Si",VLOOKUP($D$8,'Tablas Técnicas'!$I$4:$J$6,2,FALSE),"")</f>
        <v/>
      </c>
      <c r="BR244" s="977" t="str">
        <f>IF(O244="Si",VLOOKUP($D$8,'Tablas Técnicas'!$I$7:$J$9,2,FALSE),"")</f>
        <v/>
      </c>
      <c r="BS244" s="994"/>
      <c r="BT244" s="3023" t="s">
        <v>1682</v>
      </c>
      <c r="BU244" s="3024" t="s">
        <v>4550</v>
      </c>
      <c r="BV244" s="971"/>
      <c r="BW244" s="3024" t="s">
        <v>4551</v>
      </c>
      <c r="BX244" s="3023" t="s">
        <v>4552</v>
      </c>
      <c r="BY244" s="1300" t="s">
        <v>4552</v>
      </c>
      <c r="BZ244" s="1304"/>
      <c r="CA244" s="939"/>
      <c r="DR244" s="939"/>
      <c r="DT244" s="1325"/>
      <c r="DU244" s="1379"/>
      <c r="DV244" s="1376" t="str">
        <f>IF(E244="","",", "&amp;E244)&amp;IF(I244="No",""," (Mant.)")&amp;IF(L244="No",""," (Sme)")&amp;IF(O244="No",""," (SMa)")</f>
        <v/>
      </c>
      <c r="DW244" s="1377"/>
      <c r="DX244" s="1378"/>
      <c r="DY244" s="1324"/>
      <c r="DZ244" s="939"/>
      <c r="EA244" s="1470">
        <f t="shared" si="3"/>
        <v>1</v>
      </c>
    </row>
    <row r="245" spans="1:131" x14ac:dyDescent="0.2">
      <c r="A245" s="939"/>
      <c r="B245" s="939"/>
      <c r="C245" s="4822"/>
      <c r="D245" s="1452" t="s">
        <v>1766</v>
      </c>
      <c r="E245" s="995"/>
      <c r="F245" s="1025"/>
      <c r="G245" s="1437" t="str">
        <f>IF(E245=0,"",VLOOKUP(E245,'Tablas Técnicas'!$A$14:$V$771,3,FALSE))</f>
        <v/>
      </c>
      <c r="H245" s="998" t="str">
        <f>IF($E245=0,"",VLOOKUP($E245,'Tablas Técnicas'!$A$14:$V$771,4,FALSE))</f>
        <v/>
      </c>
      <c r="I245" s="999" t="s">
        <v>1690</v>
      </c>
      <c r="J245" s="1415" t="str">
        <f>IF(E245=0,"",VLOOKUP(E245,'Tablas Técnicas'!$A$14:$V$771,5,FALSE))</f>
        <v/>
      </c>
      <c r="K245" s="1001" t="str">
        <f>IF(I245="Si",IF(E245=0,"",VLOOKUP(E245,'Tablas Técnicas'!$A$14:$V$771,5,FALSE)),"")</f>
        <v/>
      </c>
      <c r="L245" s="999" t="s">
        <v>1690</v>
      </c>
      <c r="M245" s="1415" t="str">
        <f>IF(E245=0,"",VLOOKUP(E245,'Tablas Técnicas'!$A$14:$V$771,6,FALSE))</f>
        <v/>
      </c>
      <c r="N245" s="1002" t="str">
        <f>IF(L245="Si",IF(E245=0,"",VLOOKUP(E245,'Tablas Técnicas'!$A$14:$V$771,6,FALSE)),"")</f>
        <v/>
      </c>
      <c r="O245" s="999" t="s">
        <v>1690</v>
      </c>
      <c r="P245" s="1415" t="str">
        <f>IF(E245=0,"",VLOOKUP(E245,'Tablas Técnicas'!$A$14:$V$771,7,FALSE))</f>
        <v/>
      </c>
      <c r="Q245" s="1002" t="str">
        <f>IF(O245="Si",IF(E245=0,"",VLOOKUP(E245,'Tablas Técnicas'!$A$14:$V$771,7,FALSE)),"")</f>
        <v/>
      </c>
      <c r="R245" s="1000" t="str">
        <f>IF(E245=0,"",VLOOKUP(E245,'Tablas Técnicas'!$A$14:$V$771,8,FALSE))</f>
        <v/>
      </c>
      <c r="S245" s="998" t="str">
        <f>IF(R245=$D$8,$D$8,IF(R245=2,2,IF(R245=3,3,R245)))</f>
        <v/>
      </c>
      <c r="T245" s="4796" t="s">
        <v>4542</v>
      </c>
      <c r="U245" s="4797"/>
      <c r="V245" s="4797"/>
      <c r="W245" s="4797"/>
      <c r="X245" s="4797"/>
      <c r="Y245" s="4797"/>
      <c r="Z245" s="4797"/>
      <c r="AA245" s="4797"/>
      <c r="AB245" s="4797"/>
      <c r="AC245" s="4797"/>
      <c r="AD245" s="4797"/>
      <c r="AE245" s="4797"/>
      <c r="AF245" s="4797"/>
      <c r="AG245" s="4797"/>
      <c r="AH245" s="4797"/>
      <c r="AI245" s="4797"/>
      <c r="AJ245" s="4797"/>
      <c r="AK245" s="4797"/>
      <c r="AL245" s="4797"/>
      <c r="AM245" s="4797"/>
      <c r="AN245" s="4797"/>
      <c r="AO245" s="4797"/>
      <c r="AP245" s="4797"/>
      <c r="AQ245" s="4797"/>
      <c r="AR245" s="4797"/>
      <c r="AS245" s="4797"/>
      <c r="AT245" s="4797"/>
      <c r="AU245" s="4797"/>
      <c r="AV245" s="4797"/>
      <c r="AW245" s="4797"/>
      <c r="AX245" s="4797"/>
      <c r="AY245" s="4797"/>
      <c r="AZ245" s="4797"/>
      <c r="BA245" s="4797"/>
      <c r="BB245" s="4797"/>
      <c r="BC245" s="4797"/>
      <c r="BD245" s="4797"/>
      <c r="BE245" s="4797"/>
      <c r="BF245" s="4797"/>
      <c r="BG245" s="4797"/>
      <c r="BH245" s="4797"/>
      <c r="BI245" s="4797"/>
      <c r="BJ245" s="4797"/>
      <c r="BK245" s="4798"/>
      <c r="BL245" s="1437"/>
      <c r="BM245" s="1438"/>
      <c r="BN245" s="992"/>
      <c r="BO245" s="993"/>
      <c r="BP245" s="978" t="str">
        <f>IF(I245="Si",VLOOKUP($D$8,'Tablas Técnicas'!$E$4:$F$6,2,FALSE),"")</f>
        <v/>
      </c>
      <c r="BQ245" s="979" t="str">
        <f>IF(L245="Si",VLOOKUP($D$8,'Tablas Técnicas'!$I$4:$J$6,2,FALSE),"")</f>
        <v/>
      </c>
      <c r="BR245" s="977" t="str">
        <f>IF(O245="Si",VLOOKUP($D$8,'Tablas Técnicas'!$I$7:$J$9,2,FALSE),"")</f>
        <v/>
      </c>
      <c r="BS245" s="994"/>
      <c r="BT245" s="3028">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356"/>
      <c r="BV245" s="971"/>
      <c r="BW245" s="1026" t="str">
        <f>IF(SUM(BT245:BU245)=0,"N/A",SUM(BT245:BU245))</f>
        <v>N/A</v>
      </c>
      <c r="BX245" s="3028">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26" t="str">
        <f>IF(BX245=0,"N/A",BX245)</f>
        <v>N/A</v>
      </c>
      <c r="BZ245" s="1304"/>
      <c r="CA245" s="939"/>
      <c r="DR245" s="939"/>
      <c r="DT245" s="1325"/>
      <c r="DU245" s="1379"/>
      <c r="DV245" s="1376" t="str">
        <f>IF(E245="",""," "&amp;E245)&amp;IF(I245="No",""," (Mant.)")&amp;IF(L245="No",""," (Sme)")&amp;IF(O245="No",""," (SMa)")</f>
        <v/>
      </c>
      <c r="DW245" s="1377"/>
      <c r="DX245" s="1378"/>
      <c r="DY245" s="1324"/>
      <c r="DZ245" s="939"/>
      <c r="EA245" s="1470">
        <f t="shared" si="3"/>
        <v>1</v>
      </c>
    </row>
    <row r="246" spans="1:131" x14ac:dyDescent="0.2">
      <c r="A246" s="939"/>
      <c r="B246" s="939"/>
      <c r="C246" s="4822"/>
      <c r="D246" s="1453" t="s">
        <v>1766</v>
      </c>
      <c r="E246" s="1003"/>
      <c r="F246" s="1019"/>
      <c r="G246" s="989" t="str">
        <f>IF(E246=0,"",VLOOKUP(E246,'Tablas Técnicas'!$A$14:$V$771,3,FALSE))</f>
        <v/>
      </c>
      <c r="H246" s="3033" t="str">
        <f>IF($E246=0,"",VLOOKUP($E246,'Tablas Técnicas'!$A$14:$V$771,4,FALSE))</f>
        <v/>
      </c>
      <c r="I246" s="987" t="s">
        <v>1690</v>
      </c>
      <c r="J246" s="1411" t="str">
        <f>IF(E246=0,"",VLOOKUP(E246,'Tablas Técnicas'!$A$14:$V$771,5,FALSE))</f>
        <v/>
      </c>
      <c r="K246" s="1006" t="str">
        <f>IF(I246="Si",IF(E246=0,"",VLOOKUP(E246,'Tablas Técnicas'!$A$14:$V$771,5,FALSE)),"")</f>
        <v/>
      </c>
      <c r="L246" s="987" t="s">
        <v>1690</v>
      </c>
      <c r="M246" s="1411" t="str">
        <f>IF(E246=0,"",VLOOKUP(E246,'Tablas Técnicas'!$A$14:$V$771,6,FALSE))</f>
        <v/>
      </c>
      <c r="N246" s="990" t="str">
        <f>IF(L246="Si",IF(E246=0,"",VLOOKUP(E246,'Tablas Técnicas'!$A$14:$V$771,6,FALSE)),"")</f>
        <v/>
      </c>
      <c r="O246" s="987" t="s">
        <v>1690</v>
      </c>
      <c r="P246" s="1411" t="str">
        <f>IF(E246=0,"",VLOOKUP(E246,'Tablas Técnicas'!$A$14:$V$771,7,FALSE))</f>
        <v/>
      </c>
      <c r="Q246" s="990" t="str">
        <f>IF(O246="Si",IF(E246=0,"",VLOOKUP(E246,'Tablas Técnicas'!$A$14:$V$771,7,FALSE)),"")</f>
        <v/>
      </c>
      <c r="R246" s="1005" t="str">
        <f>IF(E246=0,"",VLOOKUP(E246,'Tablas Técnicas'!$A$14:$V$771,8,FALSE))</f>
        <v/>
      </c>
      <c r="S246" s="3033" t="str">
        <f>IF(R246=$D$8,$D$8,IF(R246=2,2,IF(R246=3,3,R246)))</f>
        <v/>
      </c>
      <c r="T246" s="4809"/>
      <c r="U246" s="4810"/>
      <c r="V246" s="3029" t="str">
        <f>IF(OR(V244=0,V244=""),"N/A",V244)</f>
        <v>N/A</v>
      </c>
      <c r="W246" s="4809" t="str">
        <f xml:space="preserve"> IF(OR(AF244=0,AF244=""),"N/A",W244)</f>
        <v>N/A</v>
      </c>
      <c r="X246" s="4811"/>
      <c r="Y246" s="4811"/>
      <c r="Z246" s="4811"/>
      <c r="AA246" s="4811"/>
      <c r="AB246" s="4811"/>
      <c r="AC246" s="4811"/>
      <c r="AD246" s="4811"/>
      <c r="AE246" s="4811"/>
      <c r="AF246" s="4810"/>
      <c r="AG246" s="4809" t="str">
        <f xml:space="preserve"> IF(OR(AP244="",AP244=0),"N/A",AG244)</f>
        <v>N/A</v>
      </c>
      <c r="AH246" s="4811"/>
      <c r="AI246" s="4811"/>
      <c r="AJ246" s="4811"/>
      <c r="AK246" s="4811"/>
      <c r="AL246" s="4811"/>
      <c r="AM246" s="4811"/>
      <c r="AN246" s="4811"/>
      <c r="AO246" s="4811"/>
      <c r="AP246" s="4810"/>
      <c r="AQ246" s="4809" t="str">
        <f xml:space="preserve"> IF(OR(AZ244="",AZ244=0),"N/A",AQ244)</f>
        <v>N/A</v>
      </c>
      <c r="AR246" s="4811"/>
      <c r="AS246" s="4811"/>
      <c r="AT246" s="4811"/>
      <c r="AU246" s="4811"/>
      <c r="AV246" s="4811"/>
      <c r="AW246" s="4811"/>
      <c r="AX246" s="4811"/>
      <c r="AY246" s="4811"/>
      <c r="AZ246" s="4810"/>
      <c r="BA246" s="4809" t="str">
        <f xml:space="preserve"> IF(OR(BJ244="",BJ244=0),"N/A",BA244)</f>
        <v>N/A</v>
      </c>
      <c r="BB246" s="4811"/>
      <c r="BC246" s="4811"/>
      <c r="BD246" s="4811"/>
      <c r="BE246" s="4811"/>
      <c r="BF246" s="4811"/>
      <c r="BG246" s="4811"/>
      <c r="BH246" s="4811"/>
      <c r="BI246" s="4811"/>
      <c r="BJ246" s="4810"/>
      <c r="BK246" s="1007" t="s">
        <v>4543</v>
      </c>
      <c r="BL246" s="989"/>
      <c r="BM246" s="1024"/>
      <c r="BN246" s="1008"/>
      <c r="BO246" s="1009"/>
      <c r="BP246" s="1010" t="str">
        <f>IF(I246="Si",VLOOKUP($D$8,'Tablas Técnicas'!$E$4:$F$6,2,FALSE),"")</f>
        <v/>
      </c>
      <c r="BQ246" s="980" t="str">
        <f>IF(L246="Si",VLOOKUP($D$8,'Tablas Técnicas'!$I$4:$J$6,2,FALSE),"")</f>
        <v/>
      </c>
      <c r="BR246" s="1011" t="str">
        <f>IF(O246="Si",VLOOKUP($D$8,'Tablas Técnicas'!$I$7:$J$9,2,FALSE),"")</f>
        <v/>
      </c>
      <c r="BS246" s="994"/>
      <c r="BT246" s="3023" t="s">
        <v>1809</v>
      </c>
      <c r="BU246" s="3024" t="s">
        <v>4550</v>
      </c>
      <c r="BV246" s="971"/>
      <c r="BW246" s="3024" t="s">
        <v>4551</v>
      </c>
      <c r="BX246" s="3023" t="s">
        <v>4552</v>
      </c>
      <c r="BY246" s="1301" t="s">
        <v>4552</v>
      </c>
      <c r="BZ246" s="1304"/>
      <c r="CA246" s="939"/>
      <c r="DR246" s="939"/>
      <c r="DT246" s="1325"/>
      <c r="DU246" s="1379"/>
      <c r="DV246" s="1376" t="str">
        <f>IF(E246="","",E246)&amp;IF(I246="No",""," (Mant.)")&amp;IF(L246="No",""," (Sme)")&amp;IF(O246="No",""," (SMa)")</f>
        <v/>
      </c>
      <c r="DW246" s="1376"/>
      <c r="DX246" s="1378"/>
      <c r="DY246" s="1324"/>
      <c r="DZ246" s="939"/>
      <c r="EA246" s="1470">
        <f t="shared" si="3"/>
        <v>1</v>
      </c>
    </row>
    <row r="247" spans="1:131" x14ac:dyDescent="0.2">
      <c r="A247" s="939"/>
      <c r="B247" s="939"/>
      <c r="C247" s="4822"/>
      <c r="D247" s="1452" t="s">
        <v>1766</v>
      </c>
      <c r="E247" s="995"/>
      <c r="F247" s="1025"/>
      <c r="G247" s="1437" t="str">
        <f>IF(E247=0,"",VLOOKUP(E247,'Tablas Técnicas'!$A$14:$V$771,3,FALSE))</f>
        <v/>
      </c>
      <c r="H247" s="998" t="str">
        <f>IF($E247=0,"",VLOOKUP($E247,'Tablas Técnicas'!$A$14:$V$771,4,FALSE))</f>
        <v/>
      </c>
      <c r="I247" s="999" t="s">
        <v>1690</v>
      </c>
      <c r="J247" s="1415" t="str">
        <f>IF(E247=0,"",VLOOKUP(E247,'Tablas Técnicas'!$A$14:$V$771,5,FALSE))</f>
        <v/>
      </c>
      <c r="K247" s="1001" t="str">
        <f>IF(I247="Si",IF(E247=0,"",VLOOKUP(E247,'Tablas Técnicas'!$A$14:$V$771,5,FALSE)),"")</f>
        <v/>
      </c>
      <c r="L247" s="999" t="s">
        <v>1690</v>
      </c>
      <c r="M247" s="1415" t="str">
        <f>IF(E247=0,"",VLOOKUP(E247,'Tablas Técnicas'!$A$14:$V$771,6,FALSE))</f>
        <v/>
      </c>
      <c r="N247" s="1002" t="str">
        <f>IF(L247="Si",IF(E247=0,"",VLOOKUP(E247,'Tablas Técnicas'!$A$14:$V$771,6,FALSE)),"")</f>
        <v/>
      </c>
      <c r="O247" s="999" t="s">
        <v>1690</v>
      </c>
      <c r="P247" s="1415" t="str">
        <f>IF(E247=0,"",VLOOKUP(E247,'Tablas Técnicas'!$A$14:$V$771,7,FALSE))</f>
        <v/>
      </c>
      <c r="Q247" s="1002" t="str">
        <f>IF(O247="Si",IF(E247=0,"",VLOOKUP(E247,'Tablas Técnicas'!$A$14:$V$771,7,FALSE)),"")</f>
        <v/>
      </c>
      <c r="R247" s="1000" t="str">
        <f>IF(E247=0,"",VLOOKUP(E247,'Tablas Técnicas'!$A$14:$V$771,8,FALSE))</f>
        <v/>
      </c>
      <c r="S247" s="998" t="str">
        <f>IF(R247=$D$8,$D$8,IF(R247=2,2,IF(R247=3,3,R247)))</f>
        <v/>
      </c>
      <c r="T247" s="4812" t="s">
        <v>4544</v>
      </c>
      <c r="U247" s="4813"/>
      <c r="V247" s="3025"/>
      <c r="W247" s="4814"/>
      <c r="X247" s="4815"/>
      <c r="Y247" s="4815"/>
      <c r="Z247" s="4815"/>
      <c r="AA247" s="4815"/>
      <c r="AB247" s="4815"/>
      <c r="AC247" s="4815"/>
      <c r="AD247" s="4815"/>
      <c r="AE247" s="4815"/>
      <c r="AF247" s="4816"/>
      <c r="AG247" s="4814"/>
      <c r="AH247" s="4815"/>
      <c r="AI247" s="4815"/>
      <c r="AJ247" s="4815"/>
      <c r="AK247" s="4815"/>
      <c r="AL247" s="4815"/>
      <c r="AM247" s="4815"/>
      <c r="AN247" s="4815"/>
      <c r="AO247" s="4815"/>
      <c r="AP247" s="4816"/>
      <c r="AQ247" s="4814"/>
      <c r="AR247" s="4815"/>
      <c r="AS247" s="4815"/>
      <c r="AT247" s="4815"/>
      <c r="AU247" s="4815"/>
      <c r="AV247" s="4815"/>
      <c r="AW247" s="4815"/>
      <c r="AX247" s="4815"/>
      <c r="AY247" s="4815"/>
      <c r="AZ247" s="4816"/>
      <c r="BA247" s="4814"/>
      <c r="BB247" s="4815"/>
      <c r="BC247" s="4815"/>
      <c r="BD247" s="4815"/>
      <c r="BE247" s="4815"/>
      <c r="BF247" s="4815"/>
      <c r="BG247" s="4815"/>
      <c r="BH247" s="4815"/>
      <c r="BI247" s="4815"/>
      <c r="BJ247" s="4816"/>
      <c r="BK247" s="998">
        <f>(SUM(G244:G248)+IF(AF244="",0,AF244)+IF(AP244="",0,AP244)+IF(AZ244="",0,AZ244)+IF(BJ244="",0,BJ244)+SUM(K244:K248)+SUM(N244:N248)+SUM(Q244:Q248))- SUM(V247:BA247)</f>
        <v>0</v>
      </c>
      <c r="BL247" s="1437"/>
      <c r="BM247" s="1438"/>
      <c r="BN247" s="992"/>
      <c r="BO247" s="993"/>
      <c r="BP247" s="978" t="str">
        <f>IF(I247="Si",VLOOKUP($D$8,'Tablas Técnicas'!$E$4:$F$6,2,FALSE),"")</f>
        <v/>
      </c>
      <c r="BQ247" s="979" t="str">
        <f>IF(L247="Si",VLOOKUP($D$8,'Tablas Técnicas'!$I$4:$J$6,2,FALSE),"")</f>
        <v/>
      </c>
      <c r="BR247" s="977" t="str">
        <f>IF(O247="Si",VLOOKUP($D$8,'Tablas Técnicas'!$I$7:$J$9,2,FALSE),"")</f>
        <v/>
      </c>
      <c r="BS247" s="994"/>
      <c r="BT247" s="3028">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356"/>
      <c r="BV247" s="971"/>
      <c r="BW247" s="1026" t="str">
        <f>IF(SUM(BT247:BU247)=0,"N/A",SUM(BT247:BU247))</f>
        <v>N/A</v>
      </c>
      <c r="BX247" s="3028">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26" t="str">
        <f>IF(BX247=0,"N/A",BX247)</f>
        <v>N/A</v>
      </c>
      <c r="BZ247" s="1304"/>
      <c r="CA247" s="943"/>
      <c r="DR247" s="943"/>
      <c r="DT247" s="1326"/>
      <c r="DU247" s="1375"/>
      <c r="DV247" s="1376" t="str">
        <f>IF(E247="","",E247)&amp;IF(I247="No",""," (Mant.)")&amp;IF(L247="No",""," (Sme)")&amp;IF(O247="No",""," (SMa)")</f>
        <v/>
      </c>
      <c r="DW247" s="1376"/>
      <c r="DX247" s="1381"/>
      <c r="DY247" s="1327"/>
      <c r="DZ247" s="943"/>
      <c r="EA247" s="1470">
        <f t="shared" si="3"/>
        <v>1</v>
      </c>
    </row>
    <row r="248" spans="1:131" x14ac:dyDescent="0.2">
      <c r="A248" s="939"/>
      <c r="B248" s="939"/>
      <c r="C248" s="4822"/>
      <c r="D248" s="1453" t="s">
        <v>1766</v>
      </c>
      <c r="E248" s="1003"/>
      <c r="F248" s="1019"/>
      <c r="G248" s="989" t="str">
        <f>IF(E248=0,"",VLOOKUP(E248,'Tablas Técnicas'!$A$14:$V$771,3,FALSE))</f>
        <v/>
      </c>
      <c r="H248" s="1014" t="str">
        <f>IF($E248=0,"",VLOOKUP($E248,'Tablas Técnicas'!$A$14:$V$771,4,FALSE))</f>
        <v/>
      </c>
      <c r="I248" s="987" t="s">
        <v>1690</v>
      </c>
      <c r="J248" s="1418" t="str">
        <f>IF(E248=0,"",VLOOKUP(E248,'Tablas Técnicas'!$A$14:$V$771,5,FALSE))</f>
        <v/>
      </c>
      <c r="K248" s="1015" t="str">
        <f>IF(I248="Si",IF(E248=0,"",VLOOKUP(E248,'Tablas Técnicas'!$A$14:$V$771,5,FALSE)),"")</f>
        <v/>
      </c>
      <c r="L248" s="987" t="s">
        <v>1690</v>
      </c>
      <c r="M248" s="1418" t="str">
        <f>IF(E248=0,"",VLOOKUP(E248,'Tablas Técnicas'!$A$14:$V$771,6,FALSE))</f>
        <v/>
      </c>
      <c r="N248" s="990" t="str">
        <f>IF(L248="Si",IF(E248=0,"",VLOOKUP(E248,'Tablas Técnicas'!$A$14:$V$771,6,FALSE)),"")</f>
        <v/>
      </c>
      <c r="O248" s="987" t="s">
        <v>1690</v>
      </c>
      <c r="P248" s="1418" t="str">
        <f>IF(E248=0,"",VLOOKUP(E248,'Tablas Técnicas'!$A$14:$V$771,7,FALSE))</f>
        <v/>
      </c>
      <c r="Q248" s="990" t="str">
        <f>IF(O248="Si",IF(E248=0,"",VLOOKUP(E248,'Tablas Técnicas'!$A$14:$V$771,7,FALSE)),"")</f>
        <v/>
      </c>
      <c r="R248" s="1035" t="str">
        <f>IF(E248=0,"",VLOOKUP(E248,'Tablas Técnicas'!$A$14:$V$771,8,FALSE))</f>
        <v/>
      </c>
      <c r="S248" s="1004" t="str">
        <f>IF(R248=$D$8,$D$8,IF(R248=2,2,IF(R248=3,3,R248)))</f>
        <v/>
      </c>
      <c r="T248" s="4803" t="s">
        <v>4546</v>
      </c>
      <c r="U248" s="4804"/>
      <c r="V248" s="3032"/>
      <c r="W248" s="4805"/>
      <c r="X248" s="4806"/>
      <c r="Y248" s="4806"/>
      <c r="Z248" s="4806"/>
      <c r="AA248" s="4806"/>
      <c r="AB248" s="4806"/>
      <c r="AC248" s="4806"/>
      <c r="AD248" s="4806"/>
      <c r="AE248" s="4806"/>
      <c r="AF248" s="4807"/>
      <c r="AG248" s="4805"/>
      <c r="AH248" s="4806"/>
      <c r="AI248" s="4806"/>
      <c r="AJ248" s="4806"/>
      <c r="AK248" s="4806"/>
      <c r="AL248" s="4806"/>
      <c r="AM248" s="4806"/>
      <c r="AN248" s="4806"/>
      <c r="AO248" s="4806"/>
      <c r="AP248" s="4807"/>
      <c r="AQ248" s="4805"/>
      <c r="AR248" s="4806"/>
      <c r="AS248" s="4806"/>
      <c r="AT248" s="4806"/>
      <c r="AU248" s="4806"/>
      <c r="AV248" s="4806"/>
      <c r="AW248" s="4806"/>
      <c r="AX248" s="4806"/>
      <c r="AY248" s="4806"/>
      <c r="AZ248" s="4807"/>
      <c r="BA248" s="4805"/>
      <c r="BB248" s="4806"/>
      <c r="BC248" s="4806"/>
      <c r="BD248" s="4806"/>
      <c r="BE248" s="4806"/>
      <c r="BF248" s="4806"/>
      <c r="BG248" s="4806"/>
      <c r="BH248" s="4806"/>
      <c r="BI248" s="4806"/>
      <c r="BJ248" s="4807"/>
      <c r="BK248" s="1014">
        <f>SUM(K244:K248)-SUM(V248:BA248)</f>
        <v>0</v>
      </c>
      <c r="BL248" s="1439"/>
      <c r="BM248" s="1440"/>
      <c r="BN248" s="1008"/>
      <c r="BO248" s="1009"/>
      <c r="BP248" s="1010" t="str">
        <f>IF(I248="Si",VLOOKUP($D$8,'Tablas Técnicas'!$E$4:$F$6,2,FALSE),"")</f>
        <v/>
      </c>
      <c r="BQ248" s="980" t="str">
        <f>IF(L248="Si",VLOOKUP($D$8,'Tablas Técnicas'!$I$4:$J$6,2,FALSE),"")</f>
        <v/>
      </c>
      <c r="BR248" s="1011" t="str">
        <f>IF(O248="Si",VLOOKUP($D$8,'Tablas Técnicas'!$I$7:$J$9,2,FALSE),"")</f>
        <v/>
      </c>
      <c r="BS248" s="994"/>
      <c r="BT248" s="3023" t="s">
        <v>1687</v>
      </c>
      <c r="BU248" s="3024" t="s">
        <v>4550</v>
      </c>
      <c r="BV248" s="971"/>
      <c r="BW248" s="3024" t="s">
        <v>4551</v>
      </c>
      <c r="BX248" s="3023" t="s">
        <v>4552</v>
      </c>
      <c r="BY248" s="1301" t="s">
        <v>4552</v>
      </c>
      <c r="BZ248" s="1304"/>
      <c r="CA248" s="939"/>
      <c r="DR248" s="939"/>
      <c r="DT248" s="1325"/>
      <c r="DU248" s="1379"/>
      <c r="DV248" s="1376" t="str">
        <f>IF(E248="","",E248)&amp;IF(I248="No",""," (Mant.)")&amp;IF(L248="No",""," (Sme)")&amp;IF(O248="No",""," (SMa)")</f>
        <v/>
      </c>
      <c r="DW248" s="1376"/>
      <c r="DX248" s="1378"/>
      <c r="DY248" s="1324"/>
      <c r="DZ248" s="939"/>
      <c r="EA248" s="1470">
        <f t="shared" si="3"/>
        <v>1</v>
      </c>
    </row>
    <row r="249" spans="1:131" x14ac:dyDescent="0.2">
      <c r="A249" s="939"/>
      <c r="B249" s="1403"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822"/>
      <c r="D249" s="1454">
        <v>4</v>
      </c>
      <c r="E249" s="1246"/>
      <c r="F249" s="1016"/>
      <c r="G249" s="1017"/>
      <c r="H249" s="2159">
        <f t="array" ref="H249">IF(AND(OR(ISNUMBER(SEARCH("Empatía Elemental ("&amp;BK244:BM244&amp;")",Principal!$AF$30))),SUM(H244:H248)&gt;=10),-5,0)</f>
        <v>0</v>
      </c>
      <c r="I249" s="1413"/>
      <c r="J249" s="1416"/>
      <c r="K249" s="1017"/>
      <c r="L249" s="1413"/>
      <c r="M249" s="1416"/>
      <c r="N249" s="1017"/>
      <c r="O249" s="1413"/>
      <c r="P249" s="1416"/>
      <c r="Q249" s="1017"/>
      <c r="R249" s="1018"/>
      <c r="S249" s="1017"/>
      <c r="T249" s="1017"/>
      <c r="U249" s="1017"/>
      <c r="V249" s="1017"/>
      <c r="W249" s="1017"/>
      <c r="X249" s="1017"/>
      <c r="Y249" s="1017"/>
      <c r="Z249" s="1017"/>
      <c r="AA249" s="1017"/>
      <c r="AB249" s="1017"/>
      <c r="AC249" s="1017"/>
      <c r="AD249" s="1017"/>
      <c r="AE249" s="1017"/>
      <c r="AF249" s="1017"/>
      <c r="AG249" s="1017"/>
      <c r="AH249" s="1017"/>
      <c r="AI249" s="1017"/>
      <c r="AJ249" s="1017"/>
      <c r="AK249" s="1017"/>
      <c r="AL249" s="1017"/>
      <c r="AM249" s="1017"/>
      <c r="AN249" s="1017"/>
      <c r="AO249" s="1017"/>
      <c r="AP249" s="1017"/>
      <c r="AQ249" s="1017"/>
      <c r="AR249" s="1017"/>
      <c r="AS249" s="1017"/>
      <c r="AT249" s="1017"/>
      <c r="AU249" s="1017"/>
      <c r="AV249" s="1017"/>
      <c r="AW249" s="1017"/>
      <c r="AX249" s="1017"/>
      <c r="AY249" s="1017"/>
      <c r="AZ249" s="1017"/>
      <c r="BA249" s="1017"/>
      <c r="BB249" s="1017"/>
      <c r="BC249" s="1017"/>
      <c r="BD249" s="1017"/>
      <c r="BE249" s="1017"/>
      <c r="BF249" s="1017"/>
      <c r="BG249" s="1017"/>
      <c r="BH249" s="1017"/>
      <c r="BI249" s="1017"/>
      <c r="BJ249" s="1017"/>
      <c r="BK249" s="1017"/>
      <c r="BL249" s="1017"/>
      <c r="BM249" s="1027"/>
      <c r="BN249" s="1028">
        <f>SUM(K249:K252)</f>
        <v>0</v>
      </c>
      <c r="BO249" s="971" t="str">
        <f>IF(E249=0,"",(AF249+AP249+AZ249+BJ249))</f>
        <v/>
      </c>
      <c r="BP249" s="1029" t="str">
        <f>IF(I249="Si",VLOOKUP($D$8,'Tablas Técnicas'!$E$4:$F$6,2,FALSE),"")</f>
        <v/>
      </c>
      <c r="BQ249" s="1030" t="str">
        <f>IF(L249="Si",VLOOKUP($D$8,'Tablas Técnicas'!$I$4:$J$6,2,FALSE),"")</f>
        <v/>
      </c>
      <c r="BR249" s="1028" t="str">
        <f>IF(O249="Si",VLOOKUP($D$8,'Tablas Técnicas'!$I$7:$J$9,2,FALSE),"")</f>
        <v/>
      </c>
      <c r="BS249" s="994"/>
      <c r="BT249" s="3028">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356"/>
      <c r="BV249" s="971"/>
      <c r="BW249" s="1026" t="str">
        <f>IF(SUM(BT249:BU249)=0,"N/A",SUM(BT249:BU249))</f>
        <v>N/A</v>
      </c>
      <c r="BX249" s="3028">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26" t="str">
        <f>IF(BX249=0,"N/A",BX249)</f>
        <v>N/A</v>
      </c>
      <c r="BZ249" s="1304"/>
      <c r="CA249" s="939"/>
      <c r="DR249" s="939"/>
      <c r="DT249" s="1325"/>
      <c r="DU249" s="1379"/>
      <c r="DV249" s="1380"/>
      <c r="DW249" s="1376"/>
      <c r="DX249" s="1378"/>
      <c r="DY249" s="1324"/>
      <c r="DZ249" s="939"/>
      <c r="EA249" s="1470">
        <f t="shared" si="3"/>
        <v>1</v>
      </c>
    </row>
    <row r="250" spans="1:131" x14ac:dyDescent="0.2">
      <c r="A250" s="939"/>
      <c r="B250" s="939"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822"/>
      <c r="D250" s="1453" t="s">
        <v>1766</v>
      </c>
      <c r="E250" s="983"/>
      <c r="F250" s="1019"/>
      <c r="G250" s="989" t="str">
        <f>IF(E250=0,"",VLOOKUP(E250,'Tablas Técnicas'!$A$14:$V$771,3,FALSE))</f>
        <v/>
      </c>
      <c r="H250" s="1031" t="str">
        <f>IF($E250=0,"",VLOOKUP($E250,'Tablas Técnicas'!$A$14:$V$771,4,FALSE))</f>
        <v/>
      </c>
      <c r="I250" s="987" t="s">
        <v>1690</v>
      </c>
      <c r="J250" s="1417" t="str">
        <f>IF(E250=0,"",VLOOKUP(E250,'Tablas Técnicas'!$A$14:$V$771,5,FALSE))</f>
        <v/>
      </c>
      <c r="K250" s="1033" t="str">
        <f>IF(I250="Si",IF(E250=0,"",VLOOKUP(E250,'Tablas Técnicas'!$A$14:$V$771,5,FALSE)),"")</f>
        <v/>
      </c>
      <c r="L250" s="987" t="s">
        <v>1690</v>
      </c>
      <c r="M250" s="1417" t="str">
        <f>IF(E250=0,"",VLOOKUP(E250,'Tablas Técnicas'!$A$14:$V$771,6,FALSE))</f>
        <v/>
      </c>
      <c r="N250" s="990" t="str">
        <f>IF(L250="Si",IF(E250=0,"",VLOOKUP(E250,'Tablas Técnicas'!$A$14:$V$771,6,FALSE)),"")</f>
        <v/>
      </c>
      <c r="O250" s="987" t="s">
        <v>1690</v>
      </c>
      <c r="P250" s="1417" t="str">
        <f>IF(E250=0,"",VLOOKUP(E250,'Tablas Técnicas'!$A$14:$V$771,7,FALSE))</f>
        <v/>
      </c>
      <c r="Q250" s="990" t="str">
        <f>IF(O250="Si",IF(E250=0,"",VLOOKUP(E250,'Tablas Técnicas'!$A$14:$V$771,7,FALSE)),"")</f>
        <v/>
      </c>
      <c r="R250" s="1032" t="str">
        <f>IF(E250=0,"",VLOOKUP(E250,'Tablas Técnicas'!$A$14:$V$771,8,FALSE))</f>
        <v/>
      </c>
      <c r="S250" s="1004" t="str">
        <f>IF(R250=$D$8,$D$8,IF(R250=2,2,IF(R250=3,3,R250)))</f>
        <v/>
      </c>
      <c r="T250" s="1033" t="str">
        <f>IF(E250=0,"",VLOOKUP(E250,'Tablas Técnicas'!$A$14:$V$771,9,FALSE))</f>
        <v/>
      </c>
      <c r="U250" s="1033" t="str">
        <f>IF(E250=0,"",VLOOKUP(E250,'Tablas Técnicas'!$A$14:$V$771,10,FALSE))</f>
        <v/>
      </c>
      <c r="V250" s="1034" t="str">
        <f>IF(E250=0,"",VLOOKUP(E250,'Tablas Técnicas'!$A$14:$V$771,11,FALSE))</f>
        <v/>
      </c>
      <c r="W250" s="987"/>
      <c r="X250" s="988" t="e">
        <f>VLOOKUP(E250,'Tablas Técnicas'!$A$14:$V$771,12,FALSE)</f>
        <v>#N/A</v>
      </c>
      <c r="Y250" s="988" t="e">
        <f>IF(W250=X250,VLOOKUP(E250,'Tablas Técnicas'!$A$14:$V$771,13,FALSE),0)</f>
        <v>#N/A</v>
      </c>
      <c r="Z250" s="988" t="e">
        <f>VLOOKUP(E250,'Tablas Técnicas'!$A$14:$V$771,14,FALSE)</f>
        <v>#N/A</v>
      </c>
      <c r="AA250" s="988" t="e">
        <f>IF(W250=Z250,VLOOKUP(E250,'Tablas Técnicas'!$A$14:$V$616,15,FALSE),0)</f>
        <v>#N/A</v>
      </c>
      <c r="AB250" s="988" t="e">
        <f>VLOOKUP(E250,'Tablas Técnicas'!$A$14:$V$771,16,FALSE)</f>
        <v>#N/A</v>
      </c>
      <c r="AC250" s="988" t="e">
        <f>IF(W250=AB250,VLOOKUP(E250,'Tablas Técnicas'!$A$14:$V$616,17,FALSE),0)</f>
        <v>#N/A</v>
      </c>
      <c r="AD250" s="988" t="e">
        <f>VLOOKUP(E250,'Tablas Técnicas'!$A$14:$V$771,18,FALSE)</f>
        <v>#N/A</v>
      </c>
      <c r="AE250" s="988" t="e">
        <f>IF(W250=AD250,VLOOKUP(E250,'Tablas Técnicas'!$A$14:$V$771,19,FALSE),0)</f>
        <v>#N/A</v>
      </c>
      <c r="AF250" s="1006" t="str">
        <f>IF(E250=0,"",(Y250+AA250+AC250+AE250))</f>
        <v/>
      </c>
      <c r="AG250" s="987"/>
      <c r="AH250" s="1005" t="e">
        <f>VLOOKUP(E250,'Tablas Técnicas'!$A$14:$V$771,12,FALSE)</f>
        <v>#N/A</v>
      </c>
      <c r="AI250" s="1005" t="e">
        <f>IF(AG250=AH250,VLOOKUP(E250,'Tablas Técnicas'!$A$14:$V$771,13,FALSE),0)</f>
        <v>#N/A</v>
      </c>
      <c r="AJ250" s="1005" t="e">
        <f>VLOOKUP(E250,'Tablas Técnicas'!$A$14:$V$771,14,FALSE)</f>
        <v>#N/A</v>
      </c>
      <c r="AK250" s="1005" t="e">
        <f>IF(AG250=AJ250,VLOOKUP(E250,'Tablas Técnicas'!$A$14:$V$771,15,FALSE),0)</f>
        <v>#N/A</v>
      </c>
      <c r="AL250" s="1005" t="e">
        <f>VLOOKUP(E250,'Tablas Técnicas'!$A$14:$V$771,16,FALSE)</f>
        <v>#N/A</v>
      </c>
      <c r="AM250" s="1005" t="e">
        <f>IF(AG250=AL250,VLOOKUP(E250,'Tablas Técnicas'!$A$14:$V$771,17,FALSE),0)</f>
        <v>#N/A</v>
      </c>
      <c r="AN250" s="1005" t="e">
        <f>VLOOKUP(E250,'Tablas Técnicas'!$A$14:$V$771,18,FALSE)</f>
        <v>#N/A</v>
      </c>
      <c r="AO250" s="1005" t="e">
        <f>IF(AG250=AN250,VLOOKUP(E250,'Tablas Técnicas'!$A$14:$V$771,19,FALSE),0)</f>
        <v>#N/A</v>
      </c>
      <c r="AP250" s="3034" t="str">
        <f>IF(E250=0,"",(AI250+AK250+AM250+AO250))</f>
        <v/>
      </c>
      <c r="AQ250" s="987"/>
      <c r="AR250" s="1005" t="e">
        <f>VLOOKUP(E250,'Tablas Técnicas'!$A$14:$V$771,12,FALSE)</f>
        <v>#N/A</v>
      </c>
      <c r="AS250" s="1005" t="e">
        <f>IF(AQ250=AR250,VLOOKUP(E250,'Tablas Técnicas'!$A$14:$V$771,13,FALSE),0)</f>
        <v>#N/A</v>
      </c>
      <c r="AT250" s="1005" t="e">
        <f>VLOOKUP(E250,'Tablas Técnicas'!$A$14:$V$771,14,FALSE)</f>
        <v>#N/A</v>
      </c>
      <c r="AU250" s="1005" t="e">
        <f>IF(AQ250=AT250,VLOOKUP(E250,'Tablas Técnicas'!$A$14:$V$771,15,FALSE),0)</f>
        <v>#N/A</v>
      </c>
      <c r="AV250" s="1005" t="e">
        <f>VLOOKUP(E250,'Tablas Técnicas'!$A$14:$V$771,16,FALSE)</f>
        <v>#N/A</v>
      </c>
      <c r="AW250" s="1005" t="e">
        <f>IF(AQ250=AV250,VLOOKUP(E250,'Tablas Técnicas'!$A$14:$V$771,17,FALSE),0)</f>
        <v>#N/A</v>
      </c>
      <c r="AX250" s="1005" t="e">
        <f>VLOOKUP(E250,'Tablas Técnicas'!$A$14:$V$771,18,FALSE)</f>
        <v>#N/A</v>
      </c>
      <c r="AY250" s="1005" t="e">
        <f>IF(AQ250=AX250,VLOOKUP(E250,'Tablas Técnicas'!$A$14:$V$771,19,FALSE),0)</f>
        <v>#N/A</v>
      </c>
      <c r="AZ250" s="1006" t="str">
        <f>IF(E250=0,"",(AS250+AU250+AW250+AY250))</f>
        <v/>
      </c>
      <c r="BA250" s="987"/>
      <c r="BB250" s="1005" t="e">
        <f>VLOOKUP(E250,'Tablas Técnicas'!$A$14:$V$771,12,FALSE)</f>
        <v>#N/A</v>
      </c>
      <c r="BC250" s="1005" t="e">
        <f>IF(BA250=BB250,VLOOKUP(E250,'Tablas Técnicas'!$A$14:$V$771,13,FALSE),0)</f>
        <v>#N/A</v>
      </c>
      <c r="BD250" s="1005" t="e">
        <f>VLOOKUP(E250,'Tablas Técnicas'!$A$14:$V$771,14,FALSE)</f>
        <v>#N/A</v>
      </c>
      <c r="BE250" s="1005" t="e">
        <f>IF(BA250=BD250,VLOOKUP(E250,'Tablas Técnicas'!$A$14:$V$771,15,FALSE),0)</f>
        <v>#N/A</v>
      </c>
      <c r="BF250" s="1005" t="e">
        <f>VLOOKUP(E250,'Tablas Técnicas'!$A$14:$V$771,16,FALSE)</f>
        <v>#N/A</v>
      </c>
      <c r="BG250" s="1005" t="e">
        <f>IF(BA250=BF250,VLOOKUP(E250,'Tablas Técnicas'!$A$14:$V$771,17,FALSE),0)</f>
        <v>#N/A</v>
      </c>
      <c r="BH250" s="1005" t="e">
        <f>VLOOKUP(E250,'Tablas Técnicas'!$A$14:$V$771,18,FALSE)</f>
        <v>#N/A</v>
      </c>
      <c r="BI250" s="1005" t="e">
        <f>IF(BA250=BH250,VLOOKUP(E250,'Tablas Técnicas'!$A$14:$V$771,19,FALSE),0)</f>
        <v>#N/A</v>
      </c>
      <c r="BJ250" s="3034" t="str">
        <f>IF(E250=0,"",(BC250+BE250+BG250+BI250))</f>
        <v/>
      </c>
      <c r="BK250" s="1033" t="str">
        <f>IF(E250=0,"",VLOOKUP(E250,'Tablas Técnicas'!$A$14:$V$771,20,FALSE))</f>
        <v/>
      </c>
      <c r="BL250" s="1020" t="str">
        <f>IF(E250=0,"",VLOOKUP(E250,'Tablas Técnicas'!$A$14:$V$771,21,FALSE))</f>
        <v/>
      </c>
      <c r="BM250" s="991" t="str">
        <f>IF(E250=0,"",VLOOKUP(E250,'Tablas Técnicas'!$A$14:$V$771,22,FALSE))</f>
        <v/>
      </c>
      <c r="BN250" s="992"/>
      <c r="BO250" s="993"/>
      <c r="BP250" s="978" t="str">
        <f>IF(I250="Si",VLOOKUP($D$8,'Tablas Técnicas'!$E$4:$F$6,2,FALSE),"")</f>
        <v/>
      </c>
      <c r="BQ250" s="979" t="str">
        <f>IF(L250="Si",VLOOKUP($D$8,'Tablas Técnicas'!$I$4:$J$6,2,FALSE),"")</f>
        <v/>
      </c>
      <c r="BR250" s="977" t="str">
        <f>IF(O250="Si",VLOOKUP($D$8,'Tablas Técnicas'!$I$7:$J$9,2,FALSE),"")</f>
        <v/>
      </c>
      <c r="BS250" s="994"/>
      <c r="BT250" s="3023" t="s">
        <v>1692</v>
      </c>
      <c r="BU250" s="3024" t="s">
        <v>4550</v>
      </c>
      <c r="BV250" s="971"/>
      <c r="BW250" s="3024" t="s">
        <v>4551</v>
      </c>
      <c r="BX250" s="3023" t="s">
        <v>4552</v>
      </c>
      <c r="BY250" s="1301" t="s">
        <v>4552</v>
      </c>
      <c r="BZ250" s="1304"/>
      <c r="CA250" s="939"/>
      <c r="DR250" s="939"/>
      <c r="DT250" s="1325"/>
      <c r="DU250" s="1379"/>
      <c r="DV250" s="1376" t="str">
        <f>IF(E250="","",", "&amp;E250)&amp;IF(I250="No",""," (Mant.)")&amp;IF(L250="No",""," (Sme)")&amp;IF(O250="No",""," (SMa)")</f>
        <v/>
      </c>
      <c r="DW250" s="1376"/>
      <c r="DX250" s="1378"/>
      <c r="DY250" s="1324"/>
      <c r="DZ250" s="939"/>
      <c r="EA250" s="1470">
        <f t="shared" si="3"/>
        <v>1</v>
      </c>
    </row>
    <row r="251" spans="1:131" x14ac:dyDescent="0.2">
      <c r="A251" s="939"/>
      <c r="B251" s="939"/>
      <c r="C251" s="4822"/>
      <c r="D251" s="1452" t="s">
        <v>1766</v>
      </c>
      <c r="E251" s="995"/>
      <c r="F251" s="1025"/>
      <c r="G251" s="1437" t="str">
        <f>IF(E251=0,"",VLOOKUP(E251,'Tablas Técnicas'!$A$14:$V$771,3,FALSE))</f>
        <v/>
      </c>
      <c r="H251" s="998" t="str">
        <f>IF($E251=0,"",VLOOKUP($E251,'Tablas Técnicas'!$A$14:$V$771,4,FALSE))</f>
        <v/>
      </c>
      <c r="I251" s="999" t="s">
        <v>1690</v>
      </c>
      <c r="J251" s="1415" t="str">
        <f>IF(E251=0,"",VLOOKUP(E251,'Tablas Técnicas'!$A$14:$V$771,5,FALSE))</f>
        <v/>
      </c>
      <c r="K251" s="1001" t="str">
        <f>IF(I251="Si",IF(E251=0,"",VLOOKUP(E251,'Tablas Técnicas'!$A$14:$V$771,5,FALSE)),"")</f>
        <v/>
      </c>
      <c r="L251" s="999" t="s">
        <v>1690</v>
      </c>
      <c r="M251" s="1415" t="str">
        <f>IF(E251=0,"",VLOOKUP(E251,'Tablas Técnicas'!$A$14:$V$771,6,FALSE))</f>
        <v/>
      </c>
      <c r="N251" s="1002" t="str">
        <f>IF(L251="Si",IF(E251=0,"",VLOOKUP(E251,'Tablas Técnicas'!$A$14:$V$771,6,FALSE)),"")</f>
        <v/>
      </c>
      <c r="O251" s="999" t="s">
        <v>1690</v>
      </c>
      <c r="P251" s="1415" t="str">
        <f>IF(E251=0,"",VLOOKUP(E251,'Tablas Técnicas'!$A$14:$V$771,7,FALSE))</f>
        <v/>
      </c>
      <c r="Q251" s="1002" t="str">
        <f>IF(O251="Si",IF(E251=0,"",VLOOKUP(E251,'Tablas Técnicas'!$A$14:$V$771,7,FALSE)),"")</f>
        <v/>
      </c>
      <c r="R251" s="1000" t="str">
        <f>IF(E251=0,"",VLOOKUP(E251,'Tablas Técnicas'!$A$14:$V$771,8,FALSE))</f>
        <v/>
      </c>
      <c r="S251" s="998" t="str">
        <f>IF(R251=$D$8,$D$8,IF(R251=2,2,IF(R251=3,3,R251)))</f>
        <v/>
      </c>
      <c r="T251" s="4796" t="s">
        <v>4542</v>
      </c>
      <c r="U251" s="4797"/>
      <c r="V251" s="4797"/>
      <c r="W251" s="4797"/>
      <c r="X251" s="4797"/>
      <c r="Y251" s="4797"/>
      <c r="Z251" s="4797"/>
      <c r="AA251" s="4797"/>
      <c r="AB251" s="4797"/>
      <c r="AC251" s="4797"/>
      <c r="AD251" s="4797"/>
      <c r="AE251" s="4797"/>
      <c r="AF251" s="4797"/>
      <c r="AG251" s="4797"/>
      <c r="AH251" s="4797"/>
      <c r="AI251" s="4797"/>
      <c r="AJ251" s="4797"/>
      <c r="AK251" s="4797"/>
      <c r="AL251" s="4797"/>
      <c r="AM251" s="4797"/>
      <c r="AN251" s="4797"/>
      <c r="AO251" s="4797"/>
      <c r="AP251" s="4797"/>
      <c r="AQ251" s="4797"/>
      <c r="AR251" s="4797"/>
      <c r="AS251" s="4797"/>
      <c r="AT251" s="4797"/>
      <c r="AU251" s="4797"/>
      <c r="AV251" s="4797"/>
      <c r="AW251" s="4797"/>
      <c r="AX251" s="4797"/>
      <c r="AY251" s="4797"/>
      <c r="AZ251" s="4797"/>
      <c r="BA251" s="4797"/>
      <c r="BB251" s="4797"/>
      <c r="BC251" s="4797"/>
      <c r="BD251" s="4797"/>
      <c r="BE251" s="4797"/>
      <c r="BF251" s="4797"/>
      <c r="BG251" s="4797"/>
      <c r="BH251" s="4797"/>
      <c r="BI251" s="4797"/>
      <c r="BJ251" s="4797"/>
      <c r="BK251" s="4798"/>
      <c r="BL251" s="1437"/>
      <c r="BM251" s="1438"/>
      <c r="BN251" s="992"/>
      <c r="BO251" s="993"/>
      <c r="BP251" s="978" t="str">
        <f>IF(I251="Si",VLOOKUP($D$8,'Tablas Técnicas'!$E$4:$F$6,2,FALSE),"")</f>
        <v/>
      </c>
      <c r="BQ251" s="979" t="str">
        <f>IF(L251="Si",VLOOKUP($D$8,'Tablas Técnicas'!$I$4:$J$6,2,FALSE),"")</f>
        <v/>
      </c>
      <c r="BR251" s="977" t="str">
        <f>IF(O251="Si",VLOOKUP($D$8,'Tablas Técnicas'!$I$7:$J$9,2,FALSE),"")</f>
        <v/>
      </c>
      <c r="BS251" s="994"/>
      <c r="BT251" s="3028">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356"/>
      <c r="BV251" s="971"/>
      <c r="BW251" s="1026" t="str">
        <f>IF(SUM(BT251:BU251)=0,"N/A",SUM(BT251:BU251))</f>
        <v>N/A</v>
      </c>
      <c r="BX251" s="3028">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26" t="str">
        <f>IF(BX251=0,"N/A",BX251)</f>
        <v>N/A</v>
      </c>
      <c r="BZ251" s="1304"/>
      <c r="CA251" s="939"/>
      <c r="DR251" s="939"/>
      <c r="DT251" s="1325"/>
      <c r="DU251" s="1379"/>
      <c r="DV251" s="1376" t="str">
        <f>IF(E251="",""," "&amp;E251)&amp;IF(I251="No",""," (Mant.)")&amp;IF(L251="No",""," (Sme)")&amp;IF(O251="No",""," (SMa)")</f>
        <v/>
      </c>
      <c r="DW251" s="1376"/>
      <c r="DX251" s="1378"/>
      <c r="DY251" s="1324"/>
      <c r="DZ251" s="939"/>
      <c r="EA251" s="1470">
        <f t="shared" si="3"/>
        <v>1</v>
      </c>
    </row>
    <row r="252" spans="1:131" x14ac:dyDescent="0.2">
      <c r="A252" s="939"/>
      <c r="B252" s="939"/>
      <c r="C252" s="4822"/>
      <c r="D252" s="1453" t="s">
        <v>1766</v>
      </c>
      <c r="E252" s="1003"/>
      <c r="F252" s="1019"/>
      <c r="G252" s="989" t="str">
        <f>IF(E252=0,"",VLOOKUP(E252,'Tablas Técnicas'!$A$14:$V$771,3,FALSE))</f>
        <v/>
      </c>
      <c r="H252" s="3033" t="str">
        <f>IF($E252=0,"",VLOOKUP($E252,'Tablas Técnicas'!$A$14:$V$771,4,FALSE))</f>
        <v/>
      </c>
      <c r="I252" s="987" t="s">
        <v>1690</v>
      </c>
      <c r="J252" s="1411" t="str">
        <f>IF(E252=0,"",VLOOKUP(E252,'Tablas Técnicas'!$A$14:$V$771,5,FALSE))</f>
        <v/>
      </c>
      <c r="K252" s="1006" t="str">
        <f>IF(I252="Si",IF(E252=0,"",VLOOKUP(E252,'Tablas Técnicas'!$A$14:$V$771,5,FALSE)),"")</f>
        <v/>
      </c>
      <c r="L252" s="987" t="s">
        <v>1690</v>
      </c>
      <c r="M252" s="1411" t="str">
        <f>IF(E252=0,"",VLOOKUP(E252,'Tablas Técnicas'!$A$14:$V$771,6,FALSE))</f>
        <v/>
      </c>
      <c r="N252" s="990" t="str">
        <f>IF(L252="Si",IF(E252=0,"",VLOOKUP(E252,'Tablas Técnicas'!$A$14:$V$771,6,FALSE)),"")</f>
        <v/>
      </c>
      <c r="O252" s="987" t="s">
        <v>1690</v>
      </c>
      <c r="P252" s="1411" t="str">
        <f>IF(E252=0,"",VLOOKUP(E252,'Tablas Técnicas'!$A$14:$V$771,7,FALSE))</f>
        <v/>
      </c>
      <c r="Q252" s="990" t="str">
        <f>IF(O252="Si",IF(E252=0,"",VLOOKUP(E252,'Tablas Técnicas'!$A$14:$V$771,7,FALSE)),"")</f>
        <v/>
      </c>
      <c r="R252" s="1005" t="str">
        <f>IF(E252=0,"",VLOOKUP(E252,'Tablas Técnicas'!$A$14:$V$771,8,FALSE))</f>
        <v/>
      </c>
      <c r="S252" s="3033" t="str">
        <f>IF(R252=$D$8,$D$8,IF(R252=2,2,IF(R252=3,3,R252)))</f>
        <v/>
      </c>
      <c r="T252" s="4809"/>
      <c r="U252" s="4810"/>
      <c r="V252" s="3029" t="str">
        <f>IF(OR(V250=0,V250=""),"N/A",V250)</f>
        <v>N/A</v>
      </c>
      <c r="W252" s="4809" t="str">
        <f xml:space="preserve"> IF(OR(AF250=0,AF250=""),"N/A",W250)</f>
        <v>N/A</v>
      </c>
      <c r="X252" s="4811"/>
      <c r="Y252" s="4811"/>
      <c r="Z252" s="4811"/>
      <c r="AA252" s="4811"/>
      <c r="AB252" s="4811"/>
      <c r="AC252" s="4811"/>
      <c r="AD252" s="4811"/>
      <c r="AE252" s="4811"/>
      <c r="AF252" s="4810"/>
      <c r="AG252" s="4809" t="str">
        <f xml:space="preserve"> IF(OR(AP250="",AP250=0),"N/A",AG250)</f>
        <v>N/A</v>
      </c>
      <c r="AH252" s="4811"/>
      <c r="AI252" s="4811"/>
      <c r="AJ252" s="4811"/>
      <c r="AK252" s="4811"/>
      <c r="AL252" s="4811"/>
      <c r="AM252" s="4811"/>
      <c r="AN252" s="4811"/>
      <c r="AO252" s="4811"/>
      <c r="AP252" s="4810"/>
      <c r="AQ252" s="4809" t="str">
        <f xml:space="preserve"> IF(OR(AZ250="",AZ250=0),"N/A",AQ250)</f>
        <v>N/A</v>
      </c>
      <c r="AR252" s="4811"/>
      <c r="AS252" s="4811"/>
      <c r="AT252" s="4811"/>
      <c r="AU252" s="4811"/>
      <c r="AV252" s="4811"/>
      <c r="AW252" s="4811"/>
      <c r="AX252" s="4811"/>
      <c r="AY252" s="4811"/>
      <c r="AZ252" s="4810"/>
      <c r="BA252" s="4809" t="str">
        <f xml:space="preserve"> IF(OR(BJ250="",BJ250=0),"N/A",BA250)</f>
        <v>N/A</v>
      </c>
      <c r="BB252" s="4811"/>
      <c r="BC252" s="4811"/>
      <c r="BD252" s="4811"/>
      <c r="BE252" s="4811"/>
      <c r="BF252" s="4811"/>
      <c r="BG252" s="4811"/>
      <c r="BH252" s="4811"/>
      <c r="BI252" s="4811"/>
      <c r="BJ252" s="4810"/>
      <c r="BK252" s="1007" t="s">
        <v>4543</v>
      </c>
      <c r="BL252" s="989"/>
      <c r="BM252" s="1024"/>
      <c r="BN252" s="1008"/>
      <c r="BO252" s="1009"/>
      <c r="BP252" s="1010" t="str">
        <f>IF(I252="Si",VLOOKUP($D$8,'Tablas Técnicas'!$E$4:$F$6,2,FALSE),"")</f>
        <v/>
      </c>
      <c r="BQ252" s="980" t="str">
        <f>IF(L252="Si",VLOOKUP($D$8,'Tablas Técnicas'!$I$4:$J$6,2,FALSE),"")</f>
        <v/>
      </c>
      <c r="BR252" s="1011" t="str">
        <f>IF(O252="Si",VLOOKUP($D$8,'Tablas Técnicas'!$I$7:$J$9,2,FALSE),"")</f>
        <v/>
      </c>
      <c r="BS252" s="994"/>
      <c r="BT252" s="3023" t="s">
        <v>1700</v>
      </c>
      <c r="BU252" s="3024" t="s">
        <v>4550</v>
      </c>
      <c r="BV252" s="971"/>
      <c r="BW252" s="3024" t="s">
        <v>4551</v>
      </c>
      <c r="BX252" s="3023" t="s">
        <v>4552</v>
      </c>
      <c r="BY252" s="1301" t="s">
        <v>4552</v>
      </c>
      <c r="BZ252" s="1304"/>
      <c r="CA252" s="939"/>
      <c r="DR252" s="939"/>
      <c r="DT252" s="1325"/>
      <c r="DU252" s="1379"/>
      <c r="DV252" s="1376" t="str">
        <f>IF(E252="","",E252)&amp;IF(I252="No",""," (Mant.)")&amp;IF(L252="No",""," (Sme)")&amp;IF(O252="No",""," (SMa)")</f>
        <v/>
      </c>
      <c r="DW252" s="1377"/>
      <c r="DX252" s="1378"/>
      <c r="DY252" s="1324"/>
      <c r="DZ252" s="939"/>
      <c r="EA252" s="1470">
        <f t="shared" si="3"/>
        <v>1</v>
      </c>
    </row>
    <row r="253" spans="1:131" x14ac:dyDescent="0.2">
      <c r="A253" s="939"/>
      <c r="B253" s="939"/>
      <c r="C253" s="4822"/>
      <c r="D253" s="1452" t="s">
        <v>1766</v>
      </c>
      <c r="E253" s="995"/>
      <c r="F253" s="1025"/>
      <c r="G253" s="1437" t="str">
        <f>IF(E253=0,"",VLOOKUP(E253,'Tablas Técnicas'!$A$14:$V$771,3,FALSE))</f>
        <v/>
      </c>
      <c r="H253" s="998" t="str">
        <f>IF($E253=0,"",VLOOKUP($E253,'Tablas Técnicas'!$A$14:$V$771,4,FALSE))</f>
        <v/>
      </c>
      <c r="I253" s="999" t="s">
        <v>1690</v>
      </c>
      <c r="J253" s="1415" t="str">
        <f>IF(E253=0,"",VLOOKUP(E253,'Tablas Técnicas'!$A$14:$V$771,5,FALSE))</f>
        <v/>
      </c>
      <c r="K253" s="1001" t="str">
        <f>IF(I253="Si",IF(E253=0,"",VLOOKUP(E253,'Tablas Técnicas'!$A$14:$V$771,5,FALSE)),"")</f>
        <v/>
      </c>
      <c r="L253" s="999" t="s">
        <v>1690</v>
      </c>
      <c r="M253" s="1415" t="str">
        <f>IF(E253=0,"",VLOOKUP(E253,'Tablas Técnicas'!$A$14:$V$771,6,FALSE))</f>
        <v/>
      </c>
      <c r="N253" s="1002" t="str">
        <f>IF(L253="Si",IF(E253=0,"",VLOOKUP(E253,'Tablas Técnicas'!$A$14:$V$771,6,FALSE)),"")</f>
        <v/>
      </c>
      <c r="O253" s="999" t="s">
        <v>1690</v>
      </c>
      <c r="P253" s="1415" t="str">
        <f>IF(E253=0,"",VLOOKUP(E253,'Tablas Técnicas'!$A$14:$V$771,7,FALSE))</f>
        <v/>
      </c>
      <c r="Q253" s="1002" t="str">
        <f>IF(O253="Si",IF(E253=0,"",VLOOKUP(E253,'Tablas Técnicas'!$A$14:$V$771,7,FALSE)),"")</f>
        <v/>
      </c>
      <c r="R253" s="1000" t="str">
        <f>IF(E253=0,"",VLOOKUP(E253,'Tablas Técnicas'!$A$14:$V$771,8,FALSE))</f>
        <v/>
      </c>
      <c r="S253" s="998" t="str">
        <f>IF(R253=$D$8,$D$8,IF(R253=2,2,IF(R253=3,3,R253)))</f>
        <v/>
      </c>
      <c r="T253" s="4812" t="s">
        <v>4544</v>
      </c>
      <c r="U253" s="4813"/>
      <c r="V253" s="3025"/>
      <c r="W253" s="4814"/>
      <c r="X253" s="4815"/>
      <c r="Y253" s="4815"/>
      <c r="Z253" s="4815"/>
      <c r="AA253" s="4815"/>
      <c r="AB253" s="4815"/>
      <c r="AC253" s="4815"/>
      <c r="AD253" s="4815"/>
      <c r="AE253" s="4815"/>
      <c r="AF253" s="4816"/>
      <c r="AG253" s="4814"/>
      <c r="AH253" s="4815"/>
      <c r="AI253" s="4815"/>
      <c r="AJ253" s="4815"/>
      <c r="AK253" s="4815"/>
      <c r="AL253" s="4815"/>
      <c r="AM253" s="4815"/>
      <c r="AN253" s="4815"/>
      <c r="AO253" s="4815"/>
      <c r="AP253" s="4816"/>
      <c r="AQ253" s="4814"/>
      <c r="AR253" s="4815"/>
      <c r="AS253" s="4815"/>
      <c r="AT253" s="4815"/>
      <c r="AU253" s="4815"/>
      <c r="AV253" s="4815"/>
      <c r="AW253" s="4815"/>
      <c r="AX253" s="4815"/>
      <c r="AY253" s="4815"/>
      <c r="AZ253" s="4816"/>
      <c r="BA253" s="4814"/>
      <c r="BB253" s="4815"/>
      <c r="BC253" s="4815"/>
      <c r="BD253" s="4815"/>
      <c r="BE253" s="4815"/>
      <c r="BF253" s="4815"/>
      <c r="BG253" s="4815"/>
      <c r="BH253" s="4815"/>
      <c r="BI253" s="4815"/>
      <c r="BJ253" s="4816"/>
      <c r="BK253" s="998">
        <f>(SUM(G250:G254)+IF(AF250="",0,AF250)+IF(AP250="",0,AP250)+IF(AZ250="",0,AZ250)+IF(BJ250="",0,BJ250)+SUM(K250:K254)+SUM(N250:N254)+SUM(Q250:Q254))- SUM(V253:BA253)</f>
        <v>0</v>
      </c>
      <c r="BL253" s="1437"/>
      <c r="BM253" s="1438"/>
      <c r="BN253" s="992"/>
      <c r="BO253" s="993"/>
      <c r="BP253" s="978" t="str">
        <f>IF(I253="Si",VLOOKUP($D$8,'Tablas Técnicas'!$E$4:$F$6,2,FALSE),"")</f>
        <v/>
      </c>
      <c r="BQ253" s="979" t="str">
        <f>IF(L253="Si",VLOOKUP($D$8,'Tablas Técnicas'!$I$4:$J$6,2,FALSE),"")</f>
        <v/>
      </c>
      <c r="BR253" s="977" t="str">
        <f>IF(O253="Si",VLOOKUP($D$8,'Tablas Técnicas'!$I$7:$J$9,2,FALSE),"")</f>
        <v/>
      </c>
      <c r="BS253" s="994"/>
      <c r="BT253" s="3028">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356"/>
      <c r="BV253" s="971"/>
      <c r="BW253" s="1026" t="str">
        <f>IF(SUM(BT253:BU253)=0,"N/A",SUM(BT253:BU253))</f>
        <v>N/A</v>
      </c>
      <c r="BX253" s="3028">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26" t="str">
        <f>IF(BX253=0,"N/A",BX253)</f>
        <v>N/A</v>
      </c>
      <c r="BZ253" s="1304"/>
      <c r="CA253" s="939"/>
      <c r="DR253" s="939"/>
      <c r="DT253" s="1325"/>
      <c r="DU253" s="1379"/>
      <c r="DV253" s="1376" t="str">
        <f>IF(E253="","",E253)&amp;IF(I253="No",""," (Mant.)")&amp;IF(L253="No",""," (Sme)")&amp;IF(O253="No",""," (SMa)")</f>
        <v/>
      </c>
      <c r="DW253" s="1377"/>
      <c r="DX253" s="1378"/>
      <c r="DY253" s="1324"/>
      <c r="DZ253" s="939"/>
      <c r="EA253" s="1470">
        <f t="shared" si="3"/>
        <v>1</v>
      </c>
    </row>
    <row r="254" spans="1:131" x14ac:dyDescent="0.2">
      <c r="A254" s="939"/>
      <c r="B254" s="939"/>
      <c r="C254" s="4822"/>
      <c r="D254" s="1453" t="s">
        <v>1766</v>
      </c>
      <c r="E254" s="1003"/>
      <c r="F254" s="1019"/>
      <c r="G254" s="989" t="str">
        <f>IF(E254=0,"",VLOOKUP(E254,'Tablas Técnicas'!$A$14:$V$771,3,FALSE))</f>
        <v/>
      </c>
      <c r="H254" s="1014" t="str">
        <f>IF($E254=0,"",VLOOKUP($E254,'Tablas Técnicas'!$A$14:$V$771,4,FALSE))</f>
        <v/>
      </c>
      <c r="I254" s="987" t="s">
        <v>1690</v>
      </c>
      <c r="J254" s="1418" t="str">
        <f>IF(E254=0,"",VLOOKUP(E254,'Tablas Técnicas'!$A$14:$V$771,5,FALSE))</f>
        <v/>
      </c>
      <c r="K254" s="1015" t="str">
        <f>IF(I254="Si",IF(E254=0,"",VLOOKUP(E254,'Tablas Técnicas'!$A$14:$V$771,5,FALSE)),"")</f>
        <v/>
      </c>
      <c r="L254" s="987" t="s">
        <v>1690</v>
      </c>
      <c r="M254" s="1418" t="str">
        <f>IF(E254=0,"",VLOOKUP(E254,'Tablas Técnicas'!$A$14:$V$771,6,FALSE))</f>
        <v/>
      </c>
      <c r="N254" s="990" t="str">
        <f>IF(L254="Si",IF(E254=0,"",VLOOKUP(E254,'Tablas Técnicas'!$A$14:$V$771,6,FALSE)),"")</f>
        <v/>
      </c>
      <c r="O254" s="987" t="s">
        <v>1690</v>
      </c>
      <c r="P254" s="1418" t="str">
        <f>IF(E254=0,"",VLOOKUP(E254,'Tablas Técnicas'!$A$14:$V$771,7,FALSE))</f>
        <v/>
      </c>
      <c r="Q254" s="990" t="str">
        <f>IF(O254="Si",IF(E254=0,"",VLOOKUP(E254,'Tablas Técnicas'!$A$14:$V$771,7,FALSE)),"")</f>
        <v/>
      </c>
      <c r="R254" s="1035" t="str">
        <f>IF(E254=0,"",VLOOKUP(E254,'Tablas Técnicas'!$A$14:$V$771,8,FALSE))</f>
        <v/>
      </c>
      <c r="S254" s="1004" t="str">
        <f>IF(R254=$D$8,$D$8,IF(R254=2,2,IF(R254=3,3,R254)))</f>
        <v/>
      </c>
      <c r="T254" s="4803" t="s">
        <v>4546</v>
      </c>
      <c r="U254" s="4804"/>
      <c r="V254" s="3032"/>
      <c r="W254" s="4805"/>
      <c r="X254" s="4806"/>
      <c r="Y254" s="4806"/>
      <c r="Z254" s="4806"/>
      <c r="AA254" s="4806"/>
      <c r="AB254" s="4806"/>
      <c r="AC254" s="4806"/>
      <c r="AD254" s="4806"/>
      <c r="AE254" s="4806"/>
      <c r="AF254" s="4807"/>
      <c r="AG254" s="4805"/>
      <c r="AH254" s="4806"/>
      <c r="AI254" s="4806"/>
      <c r="AJ254" s="4806"/>
      <c r="AK254" s="4806"/>
      <c r="AL254" s="4806"/>
      <c r="AM254" s="4806"/>
      <c r="AN254" s="4806"/>
      <c r="AO254" s="4806"/>
      <c r="AP254" s="4807"/>
      <c r="AQ254" s="4805"/>
      <c r="AR254" s="4806"/>
      <c r="AS254" s="4806"/>
      <c r="AT254" s="4806"/>
      <c r="AU254" s="4806"/>
      <c r="AV254" s="4806"/>
      <c r="AW254" s="4806"/>
      <c r="AX254" s="4806"/>
      <c r="AY254" s="4806"/>
      <c r="AZ254" s="4807"/>
      <c r="BA254" s="4805"/>
      <c r="BB254" s="4806"/>
      <c r="BC254" s="4806"/>
      <c r="BD254" s="4806"/>
      <c r="BE254" s="4806"/>
      <c r="BF254" s="4806"/>
      <c r="BG254" s="4806"/>
      <c r="BH254" s="4806"/>
      <c r="BI254" s="4806"/>
      <c r="BJ254" s="4807"/>
      <c r="BK254" s="1014">
        <f>SUM(K250:K254)-SUM(V254:BA254)</f>
        <v>0</v>
      </c>
      <c r="BL254" s="1439"/>
      <c r="BM254" s="1440"/>
      <c r="BN254" s="1008"/>
      <c r="BO254" s="1009"/>
      <c r="BP254" s="1010" t="str">
        <f>IF(I254="Si",VLOOKUP($D$8,'Tablas Técnicas'!$E$4:$F$6,2,FALSE),"")</f>
        <v/>
      </c>
      <c r="BQ254" s="980" t="str">
        <f>IF(L254="Si",VLOOKUP($D$8,'Tablas Técnicas'!$I$4:$J$6,2,FALSE),"")</f>
        <v/>
      </c>
      <c r="BR254" s="1011" t="str">
        <f>IF(O254="Si",VLOOKUP($D$8,'Tablas Técnicas'!$I$7:$J$9,2,FALSE),"")</f>
        <v/>
      </c>
      <c r="BS254" s="994"/>
      <c r="BT254" s="3023" t="s">
        <v>1701</v>
      </c>
      <c r="BU254" s="3024" t="s">
        <v>4550</v>
      </c>
      <c r="BV254" s="971"/>
      <c r="BW254" s="3024" t="s">
        <v>4551</v>
      </c>
      <c r="BX254" s="3023" t="s">
        <v>4552</v>
      </c>
      <c r="BY254" s="1301" t="s">
        <v>4552</v>
      </c>
      <c r="BZ254" s="1304"/>
      <c r="CA254" s="939"/>
      <c r="DR254" s="939"/>
      <c r="DT254" s="1325"/>
      <c r="DU254" s="1379"/>
      <c r="DV254" s="1376" t="str">
        <f>IF(E254="","",E254)&amp;IF(I254="No",""," (Mant.)")&amp;IF(L254="No",""," (Sme)")&amp;IF(O254="No",""," (SMa)")</f>
        <v/>
      </c>
      <c r="DW254" s="1377"/>
      <c r="DX254" s="1378"/>
      <c r="DY254" s="1324"/>
      <c r="DZ254" s="939"/>
      <c r="EA254" s="1470">
        <f t="shared" si="3"/>
        <v>1</v>
      </c>
    </row>
    <row r="255" spans="1:131" x14ac:dyDescent="0.2">
      <c r="A255" s="939"/>
      <c r="B255" s="1403"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822"/>
      <c r="D255" s="1454">
        <v>5</v>
      </c>
      <c r="E255" s="1246"/>
      <c r="F255" s="1016"/>
      <c r="G255" s="1017"/>
      <c r="H255" s="2159">
        <f t="array" ref="H255">IF(AND(OR(ISNUMBER(SEARCH("Empatía Elemental ("&amp;BK250:BM250&amp;")",Principal!$AF$30))),SUM(H250:H254)&gt;=10),-5,0)</f>
        <v>0</v>
      </c>
      <c r="I255" s="1413"/>
      <c r="J255" s="1416"/>
      <c r="K255" s="1017"/>
      <c r="L255" s="1413"/>
      <c r="M255" s="1416"/>
      <c r="N255" s="1017"/>
      <c r="O255" s="1413"/>
      <c r="P255" s="1416"/>
      <c r="Q255" s="1017"/>
      <c r="R255" s="1018"/>
      <c r="S255" s="1017"/>
      <c r="T255" s="1017"/>
      <c r="U255" s="1017"/>
      <c r="V255" s="1017"/>
      <c r="W255" s="1017"/>
      <c r="X255" s="1017"/>
      <c r="Y255" s="1017"/>
      <c r="Z255" s="1017"/>
      <c r="AA255" s="1017"/>
      <c r="AB255" s="1017"/>
      <c r="AC255" s="1017"/>
      <c r="AD255" s="1017"/>
      <c r="AE255" s="1017"/>
      <c r="AF255" s="1017"/>
      <c r="AG255" s="1017"/>
      <c r="AH255" s="1017"/>
      <c r="AI255" s="1017"/>
      <c r="AJ255" s="1017"/>
      <c r="AK255" s="1017"/>
      <c r="AL255" s="1017"/>
      <c r="AM255" s="1017"/>
      <c r="AN255" s="1017"/>
      <c r="AO255" s="1017"/>
      <c r="AP255" s="1017"/>
      <c r="AQ255" s="1017"/>
      <c r="AR255" s="1017"/>
      <c r="AS255" s="1017"/>
      <c r="AT255" s="1017"/>
      <c r="AU255" s="1017"/>
      <c r="AV255" s="1017"/>
      <c r="AW255" s="1017"/>
      <c r="AX255" s="1017"/>
      <c r="AY255" s="1017"/>
      <c r="AZ255" s="1017"/>
      <c r="BA255" s="1017"/>
      <c r="BB255" s="1017"/>
      <c r="BC255" s="1017"/>
      <c r="BD255" s="1017"/>
      <c r="BE255" s="1017"/>
      <c r="BF255" s="1017"/>
      <c r="BG255" s="1017"/>
      <c r="BH255" s="1017"/>
      <c r="BI255" s="1017"/>
      <c r="BJ255" s="1017"/>
      <c r="BK255" s="1017"/>
      <c r="BL255" s="1017"/>
      <c r="BM255" s="1027"/>
      <c r="BN255" s="1028">
        <f>SUM(K255:K258)</f>
        <v>0</v>
      </c>
      <c r="BO255" s="971" t="str">
        <f>IF(E255=0,"",(AF255+AP255+AZ255+BJ255))</f>
        <v/>
      </c>
      <c r="BP255" s="1029" t="str">
        <f>IF(I255="Si",VLOOKUP($D$8,'Tablas Técnicas'!$E$4:$F$6,2,FALSE),"")</f>
        <v/>
      </c>
      <c r="BQ255" s="1030" t="str">
        <f>IF(L255="Si",VLOOKUP($D$8,'Tablas Técnicas'!$I$4:$J$6,2,FALSE),"")</f>
        <v/>
      </c>
      <c r="BR255" s="1028" t="str">
        <f>IF(O255="Si",VLOOKUP($D$8,'Tablas Técnicas'!$I$7:$J$9,2,FALSE),"")</f>
        <v/>
      </c>
      <c r="BS255" s="994"/>
      <c r="BT255" s="3028">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356"/>
      <c r="BV255" s="971"/>
      <c r="BW255" s="1026" t="str">
        <f>IF(SUM(BT255:BU255)=0,"N/A",SUM(BT255:BU255))</f>
        <v>N/A</v>
      </c>
      <c r="BX255" s="3028">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26" t="str">
        <f>IF(BX255=0,"N/A",BX255)</f>
        <v>N/A</v>
      </c>
      <c r="BZ255" s="1304"/>
      <c r="CA255" s="939"/>
      <c r="DR255" s="939"/>
      <c r="DT255" s="1325"/>
      <c r="DU255" s="1379"/>
      <c r="DV255" s="1380"/>
      <c r="DW255" s="1377"/>
      <c r="DX255" s="1378"/>
      <c r="DY255" s="1324"/>
      <c r="DZ255" s="939"/>
      <c r="EA255" s="1470">
        <f t="shared" si="3"/>
        <v>1</v>
      </c>
    </row>
    <row r="256" spans="1:131" ht="12" thickBot="1" x14ac:dyDescent="0.25">
      <c r="A256" s="939"/>
      <c r="B256" s="939"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822"/>
      <c r="D256" s="1453" t="s">
        <v>1766</v>
      </c>
      <c r="E256" s="983"/>
      <c r="F256" s="1019"/>
      <c r="G256" s="989" t="str">
        <f>IF(E256=0,"",VLOOKUP(E256,'Tablas Técnicas'!$A$14:$V$771,3,FALSE))</f>
        <v/>
      </c>
      <c r="H256" s="1031" t="str">
        <f>IF($E256=0,"",VLOOKUP($E256,'Tablas Técnicas'!$A$14:$V$771,4,FALSE))</f>
        <v/>
      </c>
      <c r="I256" s="987" t="s">
        <v>1690</v>
      </c>
      <c r="J256" s="1417" t="str">
        <f>IF(E256=0,"",VLOOKUP(E256,'Tablas Técnicas'!$A$14:$V$771,5,FALSE))</f>
        <v/>
      </c>
      <c r="K256" s="1033" t="str">
        <f>IF(I256="Si",IF(E256=0,"",VLOOKUP(E256,'Tablas Técnicas'!$A$14:$V$771,5,FALSE)),"")</f>
        <v/>
      </c>
      <c r="L256" s="987" t="s">
        <v>1690</v>
      </c>
      <c r="M256" s="1417" t="str">
        <f>IF(E256=0,"",VLOOKUP(E256,'Tablas Técnicas'!$A$14:$V$771,6,FALSE))</f>
        <v/>
      </c>
      <c r="N256" s="990" t="str">
        <f>IF(L256="Si",IF(E256=0,"",VLOOKUP(E256,'Tablas Técnicas'!$A$14:$V$771,6,FALSE)),"")</f>
        <v/>
      </c>
      <c r="O256" s="987" t="s">
        <v>1690</v>
      </c>
      <c r="P256" s="1417" t="str">
        <f>IF(E256=0,"",VLOOKUP(E256,'Tablas Técnicas'!$A$14:$V$771,7,FALSE))</f>
        <v/>
      </c>
      <c r="Q256" s="990" t="str">
        <f>IF(O256="Si",IF(E256=0,"",VLOOKUP(E256,'Tablas Técnicas'!$A$14:$V$771,7,FALSE)),"")</f>
        <v/>
      </c>
      <c r="R256" s="1032" t="str">
        <f>IF(E256=0,"",VLOOKUP(E256,'Tablas Técnicas'!$A$14:$V$771,8,FALSE))</f>
        <v/>
      </c>
      <c r="S256" s="1004" t="str">
        <f>IF(R256=$D$8,$D$8,IF(R256=2,2,IF(R256=3,3,R256)))</f>
        <v/>
      </c>
      <c r="T256" s="1033" t="str">
        <f>IF(E256=0,"",VLOOKUP(E256,'Tablas Técnicas'!$A$14:$V$771,9,FALSE))</f>
        <v/>
      </c>
      <c r="U256" s="1033" t="str">
        <f>IF(E256=0,"",VLOOKUP(E256,'Tablas Técnicas'!$A$14:$V$771,10,FALSE))</f>
        <v/>
      </c>
      <c r="V256" s="1034" t="str">
        <f>IF(E256=0,"",VLOOKUP(E256,'Tablas Técnicas'!$A$14:$V$771,11,FALSE))</f>
        <v/>
      </c>
      <c r="W256" s="987"/>
      <c r="X256" s="988" t="e">
        <f>VLOOKUP(E256,'Tablas Técnicas'!$A$14:$V$771,12,FALSE)</f>
        <v>#N/A</v>
      </c>
      <c r="Y256" s="988" t="e">
        <f>IF(W256=X256,VLOOKUP(E256,'Tablas Técnicas'!$A$14:$V$771,13,FALSE),0)</f>
        <v>#N/A</v>
      </c>
      <c r="Z256" s="988" t="e">
        <f>VLOOKUP(E256,'Tablas Técnicas'!$A$14:$V$771,14,FALSE)</f>
        <v>#N/A</v>
      </c>
      <c r="AA256" s="988" t="e">
        <f>IF(W256=Z256,VLOOKUP(E256,'Tablas Técnicas'!$A$14:$V$616,15,FALSE),0)</f>
        <v>#N/A</v>
      </c>
      <c r="AB256" s="988" t="e">
        <f>VLOOKUP(E256,'Tablas Técnicas'!$A$14:$V$771,16,FALSE)</f>
        <v>#N/A</v>
      </c>
      <c r="AC256" s="988" t="e">
        <f>IF(W256=AB256,VLOOKUP(E256,'Tablas Técnicas'!$A$14:$V$616,17,FALSE),0)</f>
        <v>#N/A</v>
      </c>
      <c r="AD256" s="988" t="e">
        <f>VLOOKUP(E256,'Tablas Técnicas'!$A$14:$V$771,18,FALSE)</f>
        <v>#N/A</v>
      </c>
      <c r="AE256" s="988" t="e">
        <f>IF(W256=AD256,VLOOKUP(E256,'Tablas Técnicas'!$A$14:$V$771,19,FALSE),0)</f>
        <v>#N/A</v>
      </c>
      <c r="AF256" s="1006" t="str">
        <f>IF(E256=0,"",(Y256+AA256+AC256+AE256))</f>
        <v/>
      </c>
      <c r="AG256" s="987"/>
      <c r="AH256" s="1005" t="e">
        <f>VLOOKUP(E256,'Tablas Técnicas'!$A$14:$V$771,12,FALSE)</f>
        <v>#N/A</v>
      </c>
      <c r="AI256" s="1005" t="e">
        <f>IF(AG256=AH256,VLOOKUP(E256,'Tablas Técnicas'!$A$14:$V$771,13,FALSE),0)</f>
        <v>#N/A</v>
      </c>
      <c r="AJ256" s="1005" t="e">
        <f>VLOOKUP(E256,'Tablas Técnicas'!$A$14:$V$771,14,FALSE)</f>
        <v>#N/A</v>
      </c>
      <c r="AK256" s="1005" t="e">
        <f>IF(AG256=AJ256,VLOOKUP(E256,'Tablas Técnicas'!$A$14:$V$771,15,FALSE),0)</f>
        <v>#N/A</v>
      </c>
      <c r="AL256" s="1005" t="e">
        <f>VLOOKUP(E256,'Tablas Técnicas'!$A$14:$V$771,16,FALSE)</f>
        <v>#N/A</v>
      </c>
      <c r="AM256" s="1005" t="e">
        <f>IF(AG256=AL256,VLOOKUP(E256,'Tablas Técnicas'!$A$14:$V$771,17,FALSE),0)</f>
        <v>#N/A</v>
      </c>
      <c r="AN256" s="1005" t="e">
        <f>VLOOKUP(E256,'Tablas Técnicas'!$A$14:$V$771,18,FALSE)</f>
        <v>#N/A</v>
      </c>
      <c r="AO256" s="1005" t="e">
        <f>IF(AG256=AN256,VLOOKUP(E256,'Tablas Técnicas'!$A$14:$V$771,19,FALSE),0)</f>
        <v>#N/A</v>
      </c>
      <c r="AP256" s="3034" t="str">
        <f>IF(E256=0,"",(AI256+AK256+AM256+AO256))</f>
        <v/>
      </c>
      <c r="AQ256" s="987"/>
      <c r="AR256" s="1005" t="e">
        <f>VLOOKUP(E256,'Tablas Técnicas'!$A$14:$V$771,12,FALSE)</f>
        <v>#N/A</v>
      </c>
      <c r="AS256" s="1005" t="e">
        <f>IF(AQ256=AR256,VLOOKUP(E256,'Tablas Técnicas'!$A$14:$V$771,13,FALSE),0)</f>
        <v>#N/A</v>
      </c>
      <c r="AT256" s="1005" t="e">
        <f>VLOOKUP(E256,'Tablas Técnicas'!$A$14:$V$771,14,FALSE)</f>
        <v>#N/A</v>
      </c>
      <c r="AU256" s="1005" t="e">
        <f>IF(AQ256=AT256,VLOOKUP(E256,'Tablas Técnicas'!$A$14:$V$771,15,FALSE),0)</f>
        <v>#N/A</v>
      </c>
      <c r="AV256" s="1005" t="e">
        <f>VLOOKUP(E256,'Tablas Técnicas'!$A$14:$V$771,16,FALSE)</f>
        <v>#N/A</v>
      </c>
      <c r="AW256" s="1005" t="e">
        <f>IF(AQ256=AV256,VLOOKUP(E256,'Tablas Técnicas'!$A$14:$V$771,17,FALSE),0)</f>
        <v>#N/A</v>
      </c>
      <c r="AX256" s="1005" t="e">
        <f>VLOOKUP(E256,'Tablas Técnicas'!$A$14:$V$771,18,FALSE)</f>
        <v>#N/A</v>
      </c>
      <c r="AY256" s="1005" t="e">
        <f>IF(AQ256=AX256,VLOOKUP(E256,'Tablas Técnicas'!$A$14:$V$771,19,FALSE),0)</f>
        <v>#N/A</v>
      </c>
      <c r="AZ256" s="1006" t="str">
        <f>IF(E256=0,"",(AS256+AU256+AW256+AY256))</f>
        <v/>
      </c>
      <c r="BA256" s="987"/>
      <c r="BB256" s="1005" t="e">
        <f>VLOOKUP(E256,'Tablas Técnicas'!$A$14:$V$771,12,FALSE)</f>
        <v>#N/A</v>
      </c>
      <c r="BC256" s="1005" t="e">
        <f>IF(BA256=BB256,VLOOKUP(E256,'Tablas Técnicas'!$A$14:$V$771,13,FALSE),0)</f>
        <v>#N/A</v>
      </c>
      <c r="BD256" s="1005" t="e">
        <f>VLOOKUP(E256,'Tablas Técnicas'!$A$14:$V$771,14,FALSE)</f>
        <v>#N/A</v>
      </c>
      <c r="BE256" s="1005" t="e">
        <f>IF(BA256=BD256,VLOOKUP(E256,'Tablas Técnicas'!$A$14:$V$771,15,FALSE),0)</f>
        <v>#N/A</v>
      </c>
      <c r="BF256" s="1005" t="e">
        <f>VLOOKUP(E256,'Tablas Técnicas'!$A$14:$V$771,16,FALSE)</f>
        <v>#N/A</v>
      </c>
      <c r="BG256" s="1005" t="e">
        <f>IF(BA256=BF256,VLOOKUP(E256,'Tablas Técnicas'!$A$14:$V$771,17,FALSE),0)</f>
        <v>#N/A</v>
      </c>
      <c r="BH256" s="1005" t="e">
        <f>VLOOKUP(E256,'Tablas Técnicas'!$A$14:$V$771,18,FALSE)</f>
        <v>#N/A</v>
      </c>
      <c r="BI256" s="1005" t="e">
        <f>IF(BA256=BH256,VLOOKUP(E256,'Tablas Técnicas'!$A$14:$V$771,19,FALSE),0)</f>
        <v>#N/A</v>
      </c>
      <c r="BJ256" s="3034" t="str">
        <f>IF(E256=0,"",(BC256+BE256+BG256+BI256))</f>
        <v/>
      </c>
      <c r="BK256" s="1033" t="str">
        <f>IF(E256=0,"",VLOOKUP(E256,'Tablas Técnicas'!$A$14:$V$771,20,FALSE))</f>
        <v/>
      </c>
      <c r="BL256" s="1020" t="str">
        <f>IF(E256=0,"",VLOOKUP(E256,'Tablas Técnicas'!$A$14:$V$771,21,FALSE))</f>
        <v/>
      </c>
      <c r="BM256" s="991" t="str">
        <f>IF(E256=0,"",VLOOKUP(E256,'Tablas Técnicas'!$A$14:$V$771,22,FALSE))</f>
        <v/>
      </c>
      <c r="BN256" s="992"/>
      <c r="BO256" s="993"/>
      <c r="BP256" s="978" t="str">
        <f>IF(I256="Si",VLOOKUP($D$8,'Tablas Técnicas'!$E$4:$F$6,2,FALSE),"")</f>
        <v/>
      </c>
      <c r="BQ256" s="979" t="str">
        <f>IF(L256="Si",VLOOKUP($D$8,'Tablas Técnicas'!$I$4:$J$6,2,FALSE),"")</f>
        <v/>
      </c>
      <c r="BR256" s="977" t="str">
        <f>IF(O256="Si",VLOOKUP($D$8,'Tablas Técnicas'!$I$7:$J$9,2,FALSE),"")</f>
        <v/>
      </c>
      <c r="BS256" s="994"/>
      <c r="BU256" s="4777"/>
      <c r="BV256" s="4777"/>
      <c r="BW256" s="4777"/>
      <c r="BX256" s="951"/>
      <c r="BY256" s="1287"/>
      <c r="BZ256" s="1304"/>
      <c r="CA256" s="939"/>
      <c r="DR256" s="939"/>
      <c r="DT256" s="1326"/>
      <c r="DU256" s="1428" t="str">
        <f>DU232&amp;DU233&amp;DU234&amp;DU235&amp;DU236&amp;DU237</f>
        <v/>
      </c>
      <c r="DV256" s="1429" t="str">
        <f>DV232&amp;DV233&amp;DV234&amp;DV235&amp;DV236&amp;DV238&amp;DV239&amp;DV240&amp;DV241&amp;DV242&amp;DV244&amp;DV245&amp;DV246&amp;DV247&amp;DV248&amp;DV250&amp;DV251&amp;DV252&amp;DV253&amp;DV254</f>
        <v/>
      </c>
      <c r="DW256" s="1430" t="str">
        <f>DW232&amp;DW233&amp;DW234</f>
        <v/>
      </c>
      <c r="DX256" s="1431" t="str">
        <f>IF(DX238="",DX232,DX238)</f>
        <v/>
      </c>
      <c r="DY256" s="1327"/>
      <c r="DZ256" s="939"/>
      <c r="EA256" s="1470">
        <f t="shared" si="3"/>
        <v>1</v>
      </c>
    </row>
    <row r="257" spans="1:132" x14ac:dyDescent="0.2">
      <c r="A257" s="939"/>
      <c r="B257" s="939"/>
      <c r="C257" s="4822"/>
      <c r="D257" s="1452" t="s">
        <v>1766</v>
      </c>
      <c r="E257" s="995"/>
      <c r="F257" s="1025"/>
      <c r="G257" s="1437" t="str">
        <f>IF(E257=0,"",VLOOKUP(E257,'Tablas Técnicas'!$A$14:$V$771,3,FALSE))</f>
        <v/>
      </c>
      <c r="H257" s="998" t="str">
        <f>IF($E257=0,"",VLOOKUP($E257,'Tablas Técnicas'!$A$14:$V$771,4,FALSE))</f>
        <v/>
      </c>
      <c r="I257" s="999" t="s">
        <v>1690</v>
      </c>
      <c r="J257" s="1415" t="str">
        <f>IF(E257=0,"",VLOOKUP(E257,'Tablas Técnicas'!$A$14:$V$771,5,FALSE))</f>
        <v/>
      </c>
      <c r="K257" s="1001" t="str">
        <f>IF(I257="Si",IF(E257=0,"",VLOOKUP(E257,'Tablas Técnicas'!$A$14:$V$771,5,FALSE)),"")</f>
        <v/>
      </c>
      <c r="L257" s="999" t="s">
        <v>1690</v>
      </c>
      <c r="M257" s="1415" t="str">
        <f>IF(E257=0,"",VLOOKUP(E257,'Tablas Técnicas'!$A$14:$V$771,6,FALSE))</f>
        <v/>
      </c>
      <c r="N257" s="1002" t="str">
        <f>IF(L257="Si",IF(E257=0,"",VLOOKUP(E257,'Tablas Técnicas'!$A$14:$V$771,6,FALSE)),"")</f>
        <v/>
      </c>
      <c r="O257" s="999" t="s">
        <v>1690</v>
      </c>
      <c r="P257" s="1415" t="str">
        <f>IF(E257=0,"",VLOOKUP(E257,'Tablas Técnicas'!$A$14:$V$771,7,FALSE))</f>
        <v/>
      </c>
      <c r="Q257" s="1002" t="str">
        <f>IF(O257="Si",IF(E257=0,"",VLOOKUP(E257,'Tablas Técnicas'!$A$14:$V$771,7,FALSE)),"")</f>
        <v/>
      </c>
      <c r="R257" s="1000" t="str">
        <f>IF(E257=0,"",VLOOKUP(E257,'Tablas Técnicas'!$A$14:$V$771,8,FALSE))</f>
        <v/>
      </c>
      <c r="S257" s="998" t="str">
        <f>IF(R257=$D$8,$D$8,IF(R257=2,2,IF(R257=3,3,R257)))</f>
        <v/>
      </c>
      <c r="T257" s="4796" t="s">
        <v>4542</v>
      </c>
      <c r="U257" s="4797"/>
      <c r="V257" s="4797"/>
      <c r="W257" s="4797"/>
      <c r="X257" s="4797"/>
      <c r="Y257" s="4797"/>
      <c r="Z257" s="4797"/>
      <c r="AA257" s="4797"/>
      <c r="AB257" s="4797"/>
      <c r="AC257" s="4797"/>
      <c r="AD257" s="4797"/>
      <c r="AE257" s="4797"/>
      <c r="AF257" s="4797"/>
      <c r="AG257" s="4797"/>
      <c r="AH257" s="4797"/>
      <c r="AI257" s="4797"/>
      <c r="AJ257" s="4797"/>
      <c r="AK257" s="4797"/>
      <c r="AL257" s="4797"/>
      <c r="AM257" s="4797"/>
      <c r="AN257" s="4797"/>
      <c r="AO257" s="4797"/>
      <c r="AP257" s="4797"/>
      <c r="AQ257" s="4797"/>
      <c r="AR257" s="4797"/>
      <c r="AS257" s="4797"/>
      <c r="AT257" s="4797"/>
      <c r="AU257" s="4797"/>
      <c r="AV257" s="4797"/>
      <c r="AW257" s="4797"/>
      <c r="AX257" s="4797"/>
      <c r="AY257" s="4797"/>
      <c r="AZ257" s="4797"/>
      <c r="BA257" s="4797"/>
      <c r="BB257" s="4797"/>
      <c r="BC257" s="4797"/>
      <c r="BD257" s="4797"/>
      <c r="BE257" s="4797"/>
      <c r="BF257" s="4797"/>
      <c r="BG257" s="4797"/>
      <c r="BH257" s="4797"/>
      <c r="BI257" s="4797"/>
      <c r="BJ257" s="4797"/>
      <c r="BK257" s="4798"/>
      <c r="BL257" s="1437"/>
      <c r="BM257" s="1438"/>
      <c r="BN257" s="992"/>
      <c r="BO257" s="993"/>
      <c r="BP257" s="978" t="str">
        <f>IF(I257="Si",VLOOKUP($D$8,'Tablas Técnicas'!$E$4:$F$6,2,FALSE),"")</f>
        <v/>
      </c>
      <c r="BQ257" s="979" t="str">
        <f>IF(L257="Si",VLOOKUP($D$8,'Tablas Técnicas'!$I$4:$J$6,2,FALSE),"")</f>
        <v/>
      </c>
      <c r="BR257" s="977" t="str">
        <f>IF(O257="Si",VLOOKUP($D$8,'Tablas Técnicas'!$I$7:$J$9,2,FALSE),"")</f>
        <v/>
      </c>
      <c r="BS257" s="994"/>
      <c r="BT257" s="1036"/>
      <c r="BU257" s="1074"/>
      <c r="BV257" s="1074"/>
      <c r="BW257" s="1074"/>
      <c r="BX257" s="951"/>
      <c r="BY257" s="1286"/>
      <c r="BZ257" s="1304"/>
      <c r="CA257" s="939"/>
      <c r="DR257" s="939"/>
      <c r="DT257" s="1325"/>
      <c r="DU257" s="1377"/>
      <c r="DV257" s="1376" t="str">
        <f>IF(E257="","",E257)&amp;IF(I257="No",""," (Mant.)")&amp;IF(L257="No",""," (Sme)")&amp;IF(O257="No",""," (SMa)")</f>
        <v/>
      </c>
      <c r="DW257" s="1377"/>
      <c r="DX257" s="1377"/>
      <c r="DY257" s="1324"/>
      <c r="DZ257" s="939"/>
      <c r="EA257" s="1470">
        <f t="shared" si="3"/>
        <v>1</v>
      </c>
    </row>
    <row r="258" spans="1:132" x14ac:dyDescent="0.2">
      <c r="A258" s="939"/>
      <c r="B258" s="939"/>
      <c r="C258" s="4822"/>
      <c r="D258" s="1453" t="s">
        <v>1766</v>
      </c>
      <c r="E258" s="1003"/>
      <c r="F258" s="1019"/>
      <c r="G258" s="989" t="str">
        <f>IF(E258=0,"",VLOOKUP(E258,'Tablas Técnicas'!$A$14:$V$771,3,FALSE))</f>
        <v/>
      </c>
      <c r="H258" s="3033" t="str">
        <f>IF($E258=0,"",VLOOKUP($E258,'Tablas Técnicas'!$A$14:$V$771,4,FALSE))</f>
        <v/>
      </c>
      <c r="I258" s="987" t="s">
        <v>1690</v>
      </c>
      <c r="J258" s="1411" t="str">
        <f>IF(E258=0,"",VLOOKUP(E258,'Tablas Técnicas'!$A$14:$V$771,5,FALSE))</f>
        <v/>
      </c>
      <c r="K258" s="1006" t="str">
        <f>IF(I258="Si",IF(E258=0,"",VLOOKUP(E258,'Tablas Técnicas'!$A$14:$V$771,5,FALSE)),"")</f>
        <v/>
      </c>
      <c r="L258" s="987" t="s">
        <v>1690</v>
      </c>
      <c r="M258" s="1411" t="str">
        <f>IF(E258=0,"",VLOOKUP(E258,'Tablas Técnicas'!$A$14:$V$771,6,FALSE))</f>
        <v/>
      </c>
      <c r="N258" s="990" t="str">
        <f>IF(L258="Si",IF(E258=0,"",VLOOKUP(E258,'Tablas Técnicas'!$A$14:$V$771,6,FALSE)),"")</f>
        <v/>
      </c>
      <c r="O258" s="987" t="s">
        <v>1690</v>
      </c>
      <c r="P258" s="1411" t="str">
        <f>IF(E258=0,"",VLOOKUP(E258,'Tablas Técnicas'!$A$14:$V$771,7,FALSE))</f>
        <v/>
      </c>
      <c r="Q258" s="990" t="str">
        <f>IF(O258="Si",IF(E258=0,"",VLOOKUP(E258,'Tablas Técnicas'!$A$14:$V$771,7,FALSE)),"")</f>
        <v/>
      </c>
      <c r="R258" s="1005" t="str">
        <f>IF(E258=0,"",VLOOKUP(E258,'Tablas Técnicas'!$A$14:$V$771,8,FALSE))</f>
        <v/>
      </c>
      <c r="S258" s="3033" t="str">
        <f>IF(R258=$D$8,$D$8,IF(R258=2,2,IF(R258=3,3,R258)))</f>
        <v/>
      </c>
      <c r="T258" s="4809"/>
      <c r="U258" s="4810"/>
      <c r="V258" s="3029" t="str">
        <f>IF(OR(V256=0,V256=""),"N/A",V256)</f>
        <v>N/A</v>
      </c>
      <c r="W258" s="4809" t="str">
        <f xml:space="preserve"> IF(OR(AF256=0,AF256=""),"N/A",W256)</f>
        <v>N/A</v>
      </c>
      <c r="X258" s="4811"/>
      <c r="Y258" s="4811"/>
      <c r="Z258" s="4811"/>
      <c r="AA258" s="4811"/>
      <c r="AB258" s="4811"/>
      <c r="AC258" s="4811"/>
      <c r="AD258" s="4811"/>
      <c r="AE258" s="4811"/>
      <c r="AF258" s="4810"/>
      <c r="AG258" s="4809" t="str">
        <f xml:space="preserve"> IF(OR(AP256="",AP256=0),"N/A",AG256)</f>
        <v>N/A</v>
      </c>
      <c r="AH258" s="4811"/>
      <c r="AI258" s="4811"/>
      <c r="AJ258" s="4811"/>
      <c r="AK258" s="4811"/>
      <c r="AL258" s="4811"/>
      <c r="AM258" s="4811"/>
      <c r="AN258" s="4811"/>
      <c r="AO258" s="4811"/>
      <c r="AP258" s="4810"/>
      <c r="AQ258" s="4809" t="str">
        <f xml:space="preserve"> IF(OR(AZ256="",AZ256=0),"N/A",AQ256)</f>
        <v>N/A</v>
      </c>
      <c r="AR258" s="4811"/>
      <c r="AS258" s="4811"/>
      <c r="AT258" s="4811"/>
      <c r="AU258" s="4811"/>
      <c r="AV258" s="4811"/>
      <c r="AW258" s="4811"/>
      <c r="AX258" s="4811"/>
      <c r="AY258" s="4811"/>
      <c r="AZ258" s="4810"/>
      <c r="BA258" s="4809" t="str">
        <f xml:space="preserve"> IF(OR(BJ256="",BJ256=0),"N/A",BA256)</f>
        <v>N/A</v>
      </c>
      <c r="BB258" s="4811"/>
      <c r="BC258" s="4811"/>
      <c r="BD258" s="4811"/>
      <c r="BE258" s="4811"/>
      <c r="BF258" s="4811"/>
      <c r="BG258" s="4811"/>
      <c r="BH258" s="4811"/>
      <c r="BI258" s="4811"/>
      <c r="BJ258" s="4810"/>
      <c r="BK258" s="1007" t="s">
        <v>4543</v>
      </c>
      <c r="BL258" s="989"/>
      <c r="BM258" s="1024"/>
      <c r="BN258" s="1008"/>
      <c r="BO258" s="1009"/>
      <c r="BP258" s="1010" t="str">
        <f>IF(I258="Si",VLOOKUP($D$8,'Tablas Técnicas'!$E$4:$F$6,2,FALSE),"")</f>
        <v/>
      </c>
      <c r="BQ258" s="980" t="str">
        <f>IF(L258="Si",VLOOKUP($D$8,'Tablas Técnicas'!$I$4:$J$6,2,FALSE),"")</f>
        <v/>
      </c>
      <c r="BR258" s="1011" t="str">
        <f>IF(O258="Si",VLOOKUP($D$8,'Tablas Técnicas'!$I$7:$J$9,2,FALSE),"")</f>
        <v/>
      </c>
      <c r="BS258" s="994"/>
      <c r="BU258" s="4776"/>
      <c r="BV258" s="4776"/>
      <c r="BW258" s="4776"/>
      <c r="BX258" s="951"/>
      <c r="BY258" s="1286"/>
      <c r="BZ258" s="1304"/>
      <c r="CA258" s="939"/>
      <c r="DR258" s="939"/>
      <c r="DT258" s="1325"/>
      <c r="DU258" s="1377"/>
      <c r="DV258" s="1376" t="str">
        <f>IF(E258="","",E258)&amp;IF(I258="No",""," (Mant.)")&amp;IF(L258="No",""," (Sme)")&amp;IF(O258="No",""," (SMa)")</f>
        <v/>
      </c>
      <c r="DW258" s="1377"/>
      <c r="DX258" s="1377"/>
      <c r="DY258" s="1324"/>
      <c r="DZ258" s="939"/>
      <c r="EA258" s="1470">
        <f t="shared" si="3"/>
        <v>1</v>
      </c>
    </row>
    <row r="259" spans="1:132" x14ac:dyDescent="0.2">
      <c r="A259" s="939"/>
      <c r="B259" s="939"/>
      <c r="C259" s="4822"/>
      <c r="D259" s="1452" t="s">
        <v>1766</v>
      </c>
      <c r="E259" s="995"/>
      <c r="F259" s="1025"/>
      <c r="G259" s="1437" t="str">
        <f>IF(E259=0,"",VLOOKUP(E259,'Tablas Técnicas'!$A$14:$V$771,3,FALSE))</f>
        <v/>
      </c>
      <c r="H259" s="998" t="str">
        <f>IF($E259=0,"",VLOOKUP($E259,'Tablas Técnicas'!$A$14:$V$771,4,FALSE))</f>
        <v/>
      </c>
      <c r="I259" s="999" t="s">
        <v>1690</v>
      </c>
      <c r="J259" s="1415" t="str">
        <f>IF(E259=0,"",VLOOKUP(E259,'Tablas Técnicas'!$A$14:$V$771,5,FALSE))</f>
        <v/>
      </c>
      <c r="K259" s="1001" t="str">
        <f>IF(I259="Si",IF(E259=0,"",VLOOKUP(E259,'Tablas Técnicas'!$A$14:$V$771,5,FALSE)),"")</f>
        <v/>
      </c>
      <c r="L259" s="999" t="s">
        <v>1690</v>
      </c>
      <c r="M259" s="1415" t="str">
        <f>IF(E259=0,"",VLOOKUP(E259,'Tablas Técnicas'!$A$14:$V$771,6,FALSE))</f>
        <v/>
      </c>
      <c r="N259" s="1002" t="str">
        <f>IF(L259="Si",IF(E259=0,"",VLOOKUP(E259,'Tablas Técnicas'!$A$14:$V$771,6,FALSE)),"")</f>
        <v/>
      </c>
      <c r="O259" s="999" t="s">
        <v>1690</v>
      </c>
      <c r="P259" s="1415" t="str">
        <f>IF(E259=0,"",VLOOKUP(E259,'Tablas Técnicas'!$A$14:$V$771,7,FALSE))</f>
        <v/>
      </c>
      <c r="Q259" s="1002" t="str">
        <f>IF(O259="Si",IF(E259=0,"",VLOOKUP(E259,'Tablas Técnicas'!$A$14:$V$771,7,FALSE)),"")</f>
        <v/>
      </c>
      <c r="R259" s="1000" t="str">
        <f>IF(E259=0,"",VLOOKUP(E259,'Tablas Técnicas'!$A$14:$V$771,8,FALSE))</f>
        <v/>
      </c>
      <c r="S259" s="998" t="str">
        <f>IF(R259=$D$8,$D$8,IF(R259=2,2,IF(R259=3,3,R259)))</f>
        <v/>
      </c>
      <c r="T259" s="4812" t="s">
        <v>4544</v>
      </c>
      <c r="U259" s="4813"/>
      <c r="V259" s="3025"/>
      <c r="W259" s="4814"/>
      <c r="X259" s="4815"/>
      <c r="Y259" s="4815"/>
      <c r="Z259" s="4815"/>
      <c r="AA259" s="4815"/>
      <c r="AB259" s="4815"/>
      <c r="AC259" s="4815"/>
      <c r="AD259" s="4815"/>
      <c r="AE259" s="4815"/>
      <c r="AF259" s="4816"/>
      <c r="AG259" s="4814"/>
      <c r="AH259" s="4815"/>
      <c r="AI259" s="4815"/>
      <c r="AJ259" s="4815"/>
      <c r="AK259" s="4815"/>
      <c r="AL259" s="4815"/>
      <c r="AM259" s="4815"/>
      <c r="AN259" s="4815"/>
      <c r="AO259" s="4815"/>
      <c r="AP259" s="4816"/>
      <c r="AQ259" s="4814"/>
      <c r="AR259" s="4815"/>
      <c r="AS259" s="4815"/>
      <c r="AT259" s="4815"/>
      <c r="AU259" s="4815"/>
      <c r="AV259" s="4815"/>
      <c r="AW259" s="4815"/>
      <c r="AX259" s="4815"/>
      <c r="AY259" s="4815"/>
      <c r="AZ259" s="4816"/>
      <c r="BA259" s="4814"/>
      <c r="BB259" s="4815"/>
      <c r="BC259" s="4815"/>
      <c r="BD259" s="4815"/>
      <c r="BE259" s="4815"/>
      <c r="BF259" s="4815"/>
      <c r="BG259" s="4815"/>
      <c r="BH259" s="4815"/>
      <c r="BI259" s="4815"/>
      <c r="BJ259" s="4816"/>
      <c r="BK259" s="998">
        <f>(SUM(G256:G260)+IF(AF256="",0,AF256)+IF(AP256="",0,AP256)+IF(AZ256="",0,AZ256)+IF(BJ256="",0,BJ256)+SUM(K256:K260)+SUM(N256:N260)+SUM(Q256:Q260))- SUM(V259:BA259)</f>
        <v>0</v>
      </c>
      <c r="BL259" s="1437"/>
      <c r="BM259" s="1438"/>
      <c r="BN259" s="992"/>
      <c r="BO259" s="993"/>
      <c r="BP259" s="978" t="str">
        <f>IF(I259="Si",VLOOKUP($D$8,'Tablas Técnicas'!$E$4:$F$6,2,FALSE),"")</f>
        <v/>
      </c>
      <c r="BQ259" s="979" t="str">
        <f>IF(L259="Si",VLOOKUP($D$8,'Tablas Técnicas'!$I$4:$J$6,2,FALSE),"")</f>
        <v/>
      </c>
      <c r="BR259" s="977" t="str">
        <f>IF(O259="Si",VLOOKUP($D$8,'Tablas Técnicas'!$I$7:$J$9,2,FALSE),"")</f>
        <v/>
      </c>
      <c r="BS259" s="994"/>
      <c r="BU259" s="1074"/>
      <c r="BV259" s="1074"/>
      <c r="BW259" s="1074"/>
      <c r="BX259" s="951"/>
      <c r="BY259" s="1286"/>
      <c r="BZ259" s="1304"/>
      <c r="CA259" s="943"/>
      <c r="DR259" s="943"/>
      <c r="DT259" s="1325"/>
      <c r="DU259" s="1432"/>
      <c r="DV259" s="1376" t="str">
        <f>IF(E259="","",E259)&amp;IF(I259="No",""," (Mant.)")&amp;IF(L259="No",""," (Sme)")&amp;IF(O259="No",""," (SMa)")</f>
        <v/>
      </c>
      <c r="DW259" s="1432"/>
      <c r="DX259" s="1432"/>
      <c r="DY259" s="1324"/>
      <c r="DZ259" s="943"/>
      <c r="EA259" s="1470">
        <f t="shared" si="3"/>
        <v>1</v>
      </c>
    </row>
    <row r="260" spans="1:132" x14ac:dyDescent="0.2">
      <c r="A260" s="939"/>
      <c r="B260" s="939"/>
      <c r="C260" s="4822"/>
      <c r="D260" s="1453" t="s">
        <v>1766</v>
      </c>
      <c r="E260" s="1003"/>
      <c r="F260" s="1019"/>
      <c r="G260" s="989" t="str">
        <f>IF(E260=0,"",VLOOKUP(E260,'Tablas Técnicas'!$A$14:$V$771,3,FALSE))</f>
        <v/>
      </c>
      <c r="H260" s="1004" t="str">
        <f>IF($E260=0,"",VLOOKUP($E260,'Tablas Técnicas'!$A$14:$V$771,4,FALSE))</f>
        <v/>
      </c>
      <c r="I260" s="987" t="s">
        <v>1690</v>
      </c>
      <c r="J260" s="1411" t="str">
        <f>IF(E260=0,"",VLOOKUP(E260,'Tablas Técnicas'!$A$14:$V$771,5,FALSE))</f>
        <v/>
      </c>
      <c r="K260" s="1006" t="str">
        <f>IF(I260="Si",IF(E260=0,"",VLOOKUP(E260,'Tablas Técnicas'!$A$14:$V$771,5,FALSE)),"")</f>
        <v/>
      </c>
      <c r="L260" s="987" t="s">
        <v>1690</v>
      </c>
      <c r="M260" s="1411" t="str">
        <f>IF(E260=0,"",VLOOKUP(E260,'Tablas Técnicas'!$A$14:$V$771,6,FALSE))</f>
        <v/>
      </c>
      <c r="N260" s="990" t="str">
        <f>IF(L260="Si",IF(E260=0,"",VLOOKUP(E260,'Tablas Técnicas'!$A$14:$V$771,6,FALSE)),"")</f>
        <v/>
      </c>
      <c r="O260" s="987" t="s">
        <v>1690</v>
      </c>
      <c r="P260" s="1411" t="str">
        <f>IF(E260=0,"",VLOOKUP(E260,'Tablas Técnicas'!$A$14:$V$771,7,FALSE))</f>
        <v/>
      </c>
      <c r="Q260" s="990" t="str">
        <f>IF(O260="Si",IF(E260=0,"",VLOOKUP(E260,'Tablas Técnicas'!$A$14:$V$771,7,FALSE)),"")</f>
        <v/>
      </c>
      <c r="R260" s="1005" t="str">
        <f>IF(E260=0,"",VLOOKUP(E260,'Tablas Técnicas'!$A$14:$V$771,8,FALSE))</f>
        <v/>
      </c>
      <c r="S260" s="1004" t="str">
        <f>IF(R260=$D$8,$D$8,IF(R260=2,2,IF(R260=3,3,R260)))</f>
        <v/>
      </c>
      <c r="T260" s="4817" t="s">
        <v>4546</v>
      </c>
      <c r="U260" s="4818"/>
      <c r="V260" s="3035"/>
      <c r="W260" s="4819"/>
      <c r="X260" s="4820"/>
      <c r="Y260" s="4820"/>
      <c r="Z260" s="4820"/>
      <c r="AA260" s="4820"/>
      <c r="AB260" s="4820"/>
      <c r="AC260" s="4820"/>
      <c r="AD260" s="4820"/>
      <c r="AE260" s="4820"/>
      <c r="AF260" s="4821"/>
      <c r="AG260" s="4819"/>
      <c r="AH260" s="4820"/>
      <c r="AI260" s="4820"/>
      <c r="AJ260" s="4820"/>
      <c r="AK260" s="4820"/>
      <c r="AL260" s="4820"/>
      <c r="AM260" s="4820"/>
      <c r="AN260" s="4820"/>
      <c r="AO260" s="4820"/>
      <c r="AP260" s="4821"/>
      <c r="AQ260" s="4819"/>
      <c r="AR260" s="4820"/>
      <c r="AS260" s="4820"/>
      <c r="AT260" s="4820"/>
      <c r="AU260" s="4820"/>
      <c r="AV260" s="4820"/>
      <c r="AW260" s="4820"/>
      <c r="AX260" s="4820"/>
      <c r="AY260" s="4820"/>
      <c r="AZ260" s="4821"/>
      <c r="BA260" s="4819"/>
      <c r="BB260" s="4820"/>
      <c r="BC260" s="4820"/>
      <c r="BD260" s="4820"/>
      <c r="BE260" s="4820"/>
      <c r="BF260" s="4820"/>
      <c r="BG260" s="4820"/>
      <c r="BH260" s="4820"/>
      <c r="BI260" s="4820"/>
      <c r="BJ260" s="4821"/>
      <c r="BK260" s="1004">
        <f>SUM(K256:K260)-SUM(V260:BA260)</f>
        <v>0</v>
      </c>
      <c r="BL260" s="989"/>
      <c r="BM260" s="1024"/>
      <c r="BN260" s="1008"/>
      <c r="BO260" s="1009"/>
      <c r="BP260" s="1010" t="str">
        <f>IF(I260="Si",VLOOKUP($D$8,'Tablas Técnicas'!$E$4:$F$6,2,FALSE),"")</f>
        <v/>
      </c>
      <c r="BQ260" s="980" t="str">
        <f>IF(L260="Si",VLOOKUP($D$8,'Tablas Técnicas'!$I$4:$J$6,2,FALSE),"")</f>
        <v/>
      </c>
      <c r="BR260" s="1011" t="str">
        <f>IF(O260="Si",VLOOKUP($D$8,'Tablas Técnicas'!$I$7:$J$9,2,FALSE),"")</f>
        <v/>
      </c>
      <c r="BS260" s="994"/>
      <c r="BU260" s="1074"/>
      <c r="BV260" s="1074"/>
      <c r="BW260" s="1074"/>
      <c r="BX260" s="951"/>
      <c r="BY260" s="1286"/>
      <c r="BZ260" s="1304"/>
      <c r="CA260" s="939"/>
      <c r="DR260" s="939"/>
      <c r="DT260" s="1325"/>
      <c r="DU260" s="1377"/>
      <c r="DV260" s="1376" t="str">
        <f>IF(E260="","",E260)&amp;IF(I260="No",""," (Mant.)")&amp;IF(L260="No",""," (Sme)")&amp;IF(O260="No",""," (SMa)")</f>
        <v/>
      </c>
      <c r="DW260" s="1377"/>
      <c r="DX260" s="1377"/>
      <c r="DY260" s="1324"/>
      <c r="DZ260" s="939"/>
      <c r="EA260" s="1470">
        <f t="shared" si="3"/>
        <v>1</v>
      </c>
    </row>
    <row r="261" spans="1:132" x14ac:dyDescent="0.2">
      <c r="A261" s="939"/>
      <c r="B261" s="939"/>
      <c r="C261" s="4822"/>
      <c r="D261" s="1455"/>
      <c r="E261" s="1404" t="s">
        <v>4553</v>
      </c>
      <c r="F261" s="1016"/>
      <c r="G261" s="1017"/>
      <c r="H261" s="2159">
        <f t="array" ref="H261">IF(AND(OR(ISNUMBER(SEARCH("Empatía Elemental ("&amp;BK256:BM256&amp;")",Principal!$AF$30))),SUM(H256:H260)&gt;=10),-5,0)</f>
        <v>0</v>
      </c>
      <c r="I261" s="1017"/>
      <c r="J261" s="1018"/>
      <c r="K261" s="1017"/>
      <c r="L261" s="1017"/>
      <c r="M261" s="1018"/>
      <c r="N261" s="1017"/>
      <c r="O261" s="1017"/>
      <c r="P261" s="1018"/>
      <c r="Q261" s="1017"/>
      <c r="R261" s="1018"/>
      <c r="S261" s="1017"/>
      <c r="T261" s="1017"/>
      <c r="U261" s="1037"/>
      <c r="V261" s="1037"/>
      <c r="W261" s="1037"/>
      <c r="X261" s="1037"/>
      <c r="Y261" s="1037"/>
      <c r="Z261" s="1037"/>
      <c r="AA261" s="1037"/>
      <c r="AB261" s="1037"/>
      <c r="AC261" s="1037"/>
      <c r="AD261" s="1037"/>
      <c r="AE261" s="1037"/>
      <c r="AF261" s="1037"/>
      <c r="AG261" s="1037"/>
      <c r="AH261" s="1037"/>
      <c r="AI261" s="1037"/>
      <c r="AJ261" s="1037"/>
      <c r="AK261" s="1037"/>
      <c r="AL261" s="1037"/>
      <c r="AM261" s="1037"/>
      <c r="AN261" s="1037"/>
      <c r="AO261" s="1037"/>
      <c r="AP261" s="1037"/>
      <c r="AQ261" s="1037"/>
      <c r="AR261" s="1037"/>
      <c r="AS261" s="1037"/>
      <c r="AT261" s="1037"/>
      <c r="AU261" s="1037"/>
      <c r="AV261" s="1037"/>
      <c r="AW261" s="1037"/>
      <c r="AX261" s="1037"/>
      <c r="AY261" s="1037"/>
      <c r="AZ261" s="1037"/>
      <c r="BA261" s="1037"/>
      <c r="BB261" s="1037"/>
      <c r="BC261" s="1037"/>
      <c r="BD261" s="1037"/>
      <c r="BE261" s="1037"/>
      <c r="BF261" s="1037"/>
      <c r="BG261" s="1037"/>
      <c r="BH261" s="1037"/>
      <c r="BI261" s="1037"/>
      <c r="BJ261" s="1037"/>
      <c r="BK261" s="4802"/>
      <c r="BL261" s="4802"/>
      <c r="BM261" s="4767"/>
      <c r="BN261" s="977">
        <f>SUM(K261:K264)</f>
        <v>0</v>
      </c>
      <c r="BO261" s="971">
        <f>IF(E261=0,"",(AF261+AP261+AZ261+BJ261))</f>
        <v>0</v>
      </c>
      <c r="BP261" s="978" t="str">
        <f>IF(I261="Si",VLOOKUP($D$8,'Tablas Técnicas'!$E$4:$F$6,2,FALSE),"")</f>
        <v/>
      </c>
      <c r="BQ261" s="979" t="str">
        <f>IF(L261="Si",VLOOKUP($D$8,'Tablas Técnicas'!$I$4:$J$6,2,FALSE),"")</f>
        <v/>
      </c>
      <c r="BR261" s="977" t="str">
        <f>IF(O261="Si",VLOOKUP($D$8,'Tablas Técnicas'!$I$7:$J$9,2,FALSE),"")</f>
        <v/>
      </c>
      <c r="BS261" s="994"/>
      <c r="BT261" s="4766" t="s">
        <v>4555</v>
      </c>
      <c r="BU261" s="4767"/>
      <c r="BV261" s="971"/>
      <c r="BW261" s="951"/>
      <c r="BX261" s="951"/>
      <c r="BY261" s="1286"/>
      <c r="BZ261" s="1304"/>
      <c r="CA261" s="939"/>
      <c r="DR261" s="939"/>
      <c r="DT261" s="1325"/>
      <c r="DU261" s="1377"/>
      <c r="DV261" s="1377"/>
      <c r="DW261" s="1377"/>
      <c r="DX261" s="1377"/>
      <c r="DY261" s="1324"/>
      <c r="DZ261" s="939"/>
      <c r="EA261" s="1470">
        <f t="shared" si="3"/>
        <v>1</v>
      </c>
    </row>
    <row r="262" spans="1:132" ht="12" x14ac:dyDescent="0.2">
      <c r="A262" s="939"/>
      <c r="B262" s="939"/>
      <c r="C262" s="4822"/>
      <c r="D262" s="1456" t="s">
        <v>4554</v>
      </c>
      <c r="E262" s="983"/>
      <c r="F262" s="1006"/>
      <c r="G262" s="1006"/>
      <c r="H262" s="1004" t="str">
        <f>IF(D230=0,"",IF(E262=0,"",VLOOKUP(E262,'Tablas Técnicas'!$A$14:$V$771,4,FALSE)))</f>
        <v/>
      </c>
      <c r="I262" s="1006"/>
      <c r="J262" s="1006"/>
      <c r="K262" s="1038"/>
      <c r="L262" s="1006"/>
      <c r="M262" s="1006"/>
      <c r="N262" s="1038"/>
      <c r="O262" s="1006"/>
      <c r="P262" s="1006"/>
      <c r="Q262" s="1006"/>
      <c r="R262" s="1005" t="str">
        <f>IF(E262=0,"",VLOOKUP(E262,'Tablas Técnicas'!$A$14:$V$771,8,FALSE))</f>
        <v/>
      </c>
      <c r="S262" s="1031" t="str">
        <f>IF(R262=$D$8,$D$8,IF(R262=2,2,IF(R262=3,3,R262)))</f>
        <v/>
      </c>
      <c r="T262" s="1006" t="str">
        <f>IF(E262=0,"",VLOOKUP(E262,'Tablas Técnicas'!$A$14:$V$771,9,FALSE))</f>
        <v/>
      </c>
      <c r="U262" s="1033" t="str">
        <f>IF(E262=0,"",VLOOKUP(E262,'Tablas Técnicas'!$A$14:$V$771,10,FALSE))</f>
        <v/>
      </c>
      <c r="V262" s="1034"/>
      <c r="W262" s="1034"/>
      <c r="X262" s="1033"/>
      <c r="Y262" s="1033"/>
      <c r="Z262" s="1033"/>
      <c r="AA262" s="1033"/>
      <c r="AB262" s="1033"/>
      <c r="AC262" s="1033"/>
      <c r="AD262" s="1033"/>
      <c r="AE262" s="1033"/>
      <c r="AF262" s="1033"/>
      <c r="AG262" s="4799" t="str">
        <f>IF(OR(E262='Tablas Técnicas'!A$678,E262='Tablas Técnicas'!A$679,E263='Tablas Técnicas'!A$678,E263='Tablas Técnicas'!A$679,E264='Tablas Técnicas'!A$678,E264='Tablas Técnicas'!A$679),"Selecciona la atadura elemental:","")</f>
        <v/>
      </c>
      <c r="AH262" s="4800"/>
      <c r="AI262" s="4800"/>
      <c r="AJ262" s="4800"/>
      <c r="AK262" s="4800"/>
      <c r="AL262" s="4800"/>
      <c r="AM262" s="4800"/>
      <c r="AN262" s="4800"/>
      <c r="AO262" s="4800"/>
      <c r="AP262" s="4800"/>
      <c r="AQ262" s="4800"/>
      <c r="AR262" s="4800"/>
      <c r="AS262" s="4800"/>
      <c r="AT262" s="4800"/>
      <c r="AU262" s="4800"/>
      <c r="AV262" s="4800"/>
      <c r="AW262" s="4800"/>
      <c r="AX262" s="4800"/>
      <c r="AY262" s="4800"/>
      <c r="AZ262" s="4800"/>
      <c r="BA262" s="4800"/>
      <c r="BB262" s="4800"/>
      <c r="BC262" s="4800"/>
      <c r="BD262" s="4800"/>
      <c r="BE262" s="4800"/>
      <c r="BF262" s="4800"/>
      <c r="BG262" s="4800"/>
      <c r="BH262" s="4800"/>
      <c r="BI262" s="4800"/>
      <c r="BJ262" s="4800"/>
      <c r="BK262" s="4801"/>
      <c r="BL262" s="1441"/>
      <c r="BM262" s="1441"/>
      <c r="BN262" s="1006"/>
      <c r="BO262" s="1006"/>
      <c r="BP262" s="1038"/>
      <c r="BQ262" s="1006"/>
      <c r="BR262" s="1006"/>
      <c r="BS262" s="1006"/>
      <c r="BT262" s="4768">
        <f>D230</f>
        <v>1</v>
      </c>
      <c r="BU262" s="4769"/>
      <c r="BV262" s="971">
        <f>IF(BV261=0,0,VLOOKUP(BV261,'Tablas Técnicas'!$M$4:$N$7,2,FALSE))</f>
        <v>0</v>
      </c>
      <c r="BW262" s="951"/>
      <c r="BX262" s="951"/>
      <c r="BY262" s="1286"/>
      <c r="BZ262" s="1304"/>
      <c r="CA262" s="939"/>
      <c r="DR262" s="939"/>
      <c r="DT262" s="1325"/>
      <c r="DU262" s="1377"/>
      <c r="DV262" s="1377"/>
      <c r="DW262" s="1377"/>
      <c r="DX262" s="1377"/>
      <c r="DY262" s="1324"/>
      <c r="DZ262" s="939"/>
      <c r="EA262" s="1470">
        <f t="shared" si="3"/>
        <v>1</v>
      </c>
    </row>
    <row r="263" spans="1:132" x14ac:dyDescent="0.2">
      <c r="A263" s="939"/>
      <c r="B263" s="939"/>
      <c r="C263" s="4822"/>
      <c r="D263" s="1452" t="s">
        <v>4556</v>
      </c>
      <c r="E263" s="1039"/>
      <c r="F263" s="1405"/>
      <c r="G263" s="1406"/>
      <c r="H263" s="996" t="str">
        <f>IF(VALUE(D230)&gt;1,IF(E263=0,"",VLOOKUP(E263,'Tablas Técnicas'!$A$14:$V$771,4,FALSE)),"")</f>
        <v/>
      </c>
      <c r="I263" s="1405"/>
      <c r="J263" s="1406"/>
      <c r="K263" s="1406"/>
      <c r="L263" s="1405"/>
      <c r="M263" s="1406"/>
      <c r="N263" s="1407"/>
      <c r="O263" s="1406"/>
      <c r="P263" s="1406"/>
      <c r="Q263" s="1406"/>
      <c r="R263" s="1000" t="str">
        <f>IF(E263=0,"",VLOOKUP(E263,'Tablas Técnicas'!$A$14:$V$771,8,FALSE))</f>
        <v/>
      </c>
      <c r="S263" s="998" t="str">
        <f>IF(R263=$D$8,$D$8,IF(R263=2,2,IF(R263=3,3,R263)))</f>
        <v/>
      </c>
      <c r="T263" s="1001" t="str">
        <f>IF(E263=0,"",VLOOKUP(E263,'Tablas Técnicas'!$A$14:$V$771,9,FALSE))</f>
        <v/>
      </c>
      <c r="U263" s="1001" t="str">
        <f>IF(E263=0,"",VLOOKUP(E263,'Tablas Técnicas'!$A$14:$V$771,10,FALSE))</f>
        <v/>
      </c>
      <c r="V263" s="1405"/>
      <c r="W263" s="1405"/>
      <c r="X263" s="1406"/>
      <c r="Y263" s="1406"/>
      <c r="Z263" s="1406"/>
      <c r="AA263" s="1406"/>
      <c r="AB263" s="1406"/>
      <c r="AC263" s="1406"/>
      <c r="AD263" s="1406"/>
      <c r="AE263" s="1406"/>
      <c r="AF263" s="1406"/>
      <c r="AG263" s="1408"/>
      <c r="AH263" s="1409"/>
      <c r="AI263" s="1409"/>
      <c r="AJ263" s="1409"/>
      <c r="AK263" s="1409"/>
      <c r="AL263" s="1409"/>
      <c r="AM263" s="1409"/>
      <c r="AN263" s="1409"/>
      <c r="AO263" s="1409"/>
      <c r="AP263" s="1407"/>
      <c r="AQ263" s="1409"/>
      <c r="AR263" s="1409"/>
      <c r="AS263" s="1409"/>
      <c r="AT263" s="1409"/>
      <c r="AU263" s="1409"/>
      <c r="AV263" s="1409"/>
      <c r="AW263" s="1409"/>
      <c r="AX263" s="1409"/>
      <c r="AY263" s="1409"/>
      <c r="AZ263" s="1410"/>
      <c r="BA263" s="1406"/>
      <c r="BB263" s="1406"/>
      <c r="BC263" s="1406"/>
      <c r="BD263" s="1406"/>
      <c r="BE263" s="1406"/>
      <c r="BF263" s="1406"/>
      <c r="BG263" s="1406"/>
      <c r="BH263" s="1406"/>
      <c r="BI263" s="1406"/>
      <c r="BJ263" s="1407"/>
      <c r="BK263" s="1406"/>
      <c r="BL263" s="1442"/>
      <c r="BM263" s="1443"/>
      <c r="BN263" s="1406"/>
      <c r="BO263" s="1406"/>
      <c r="BP263" s="1407"/>
      <c r="BQ263" s="1406"/>
      <c r="BR263" s="1406"/>
      <c r="BS263" s="1406"/>
      <c r="BU263" s="3026"/>
      <c r="BV263" s="971"/>
      <c r="BW263" s="951"/>
      <c r="BX263" s="951"/>
      <c r="BY263" s="1286"/>
      <c r="BZ263" s="1304"/>
      <c r="CA263" s="939"/>
      <c r="DR263" s="939"/>
      <c r="DT263" s="1325"/>
      <c r="DU263" s="1377"/>
      <c r="DV263" s="1377"/>
      <c r="DW263" s="1377"/>
      <c r="DX263" s="1377"/>
      <c r="DY263" s="1324"/>
      <c r="DZ263" s="939"/>
      <c r="EA263" s="1470">
        <f t="shared" si="3"/>
        <v>1</v>
      </c>
    </row>
    <row r="264" spans="1:132" x14ac:dyDescent="0.2">
      <c r="A264" s="939"/>
      <c r="B264" s="939"/>
      <c r="C264" s="4822"/>
      <c r="D264" s="1457" t="s">
        <v>4557</v>
      </c>
      <c r="E264" s="1040"/>
      <c r="F264" s="3030"/>
      <c r="G264" s="1015"/>
      <c r="H264" s="1014" t="str">
        <f>IF(VALUE(D230)=3,IF(E264=0,"",VLOOKUP(E264,'Tablas Técnicas'!$A$14:$V$771,4,FALSE)),"")</f>
        <v/>
      </c>
      <c r="I264" s="1015"/>
      <c r="J264" s="1015"/>
      <c r="K264" s="1015"/>
      <c r="L264" s="3030"/>
      <c r="M264" s="1015"/>
      <c r="N264" s="1015"/>
      <c r="O264" s="3030"/>
      <c r="P264" s="1015"/>
      <c r="Q264" s="1015"/>
      <c r="R264" s="1035" t="str">
        <f>IF(E264=0,"",VLOOKUP(E264,'Tablas Técnicas'!$A$14:$V$771,8,FALSE))</f>
        <v/>
      </c>
      <c r="S264" s="1014" t="str">
        <f>IF(R264=$D$8,$D$8,IF(R264=2,2,IF(R264=3,3,R264)))</f>
        <v/>
      </c>
      <c r="T264" s="1015" t="str">
        <f>IF(E264=0,"",VLOOKUP(E264,'Tablas Técnicas'!$A$14:$V$771,9,FALSE))</f>
        <v/>
      </c>
      <c r="U264" s="1015" t="str">
        <f>IF(E264=0,"",VLOOKUP(E264,'Tablas Técnicas'!$A$14:$V$771,10,FALSE))</f>
        <v/>
      </c>
      <c r="V264" s="3030"/>
      <c r="W264" s="1298"/>
      <c r="X264" s="1298"/>
      <c r="Y264" s="1298"/>
      <c r="Z264" s="1298"/>
      <c r="AA264" s="1298"/>
      <c r="AB264" s="1298"/>
      <c r="AC264" s="1298"/>
      <c r="AD264" s="1298"/>
      <c r="AE264" s="1298"/>
      <c r="AF264" s="1299"/>
      <c r="AG264" s="3030"/>
      <c r="AH264" s="1015"/>
      <c r="AI264" s="1015"/>
      <c r="AJ264" s="1015"/>
      <c r="AK264" s="1015"/>
      <c r="AL264" s="1015"/>
      <c r="AM264" s="1015"/>
      <c r="AN264" s="1015"/>
      <c r="AO264" s="1015"/>
      <c r="AP264" s="3031"/>
      <c r="AQ264" s="1015"/>
      <c r="AR264" s="1015"/>
      <c r="AS264" s="1015"/>
      <c r="AT264" s="1015"/>
      <c r="AU264" s="1015"/>
      <c r="AV264" s="1015"/>
      <c r="AW264" s="1015"/>
      <c r="AX264" s="1015"/>
      <c r="AY264" s="1015"/>
      <c r="AZ264" s="3031"/>
      <c r="BA264" s="1015"/>
      <c r="BB264" s="1015"/>
      <c r="BC264" s="1015"/>
      <c r="BD264" s="1015"/>
      <c r="BE264" s="1015"/>
      <c r="BF264" s="1015"/>
      <c r="BG264" s="1015"/>
      <c r="BH264" s="1015"/>
      <c r="BI264" s="1015"/>
      <c r="BJ264" s="3031"/>
      <c r="BK264" s="1015"/>
      <c r="BL264" s="1439"/>
      <c r="BM264" s="1444"/>
      <c r="BN264" s="1015"/>
      <c r="BO264" s="1015"/>
      <c r="BP264" s="1015"/>
      <c r="BQ264" s="3030"/>
      <c r="BR264" s="1015"/>
      <c r="BS264" s="1015"/>
      <c r="BT264" s="3026"/>
      <c r="BU264" s="3026"/>
      <c r="BV264" s="971">
        <f>IF(BV263=0,0,VLOOKUP(BV263,'Tablas Técnicas'!$M$4:$N$7,2,FALSE))</f>
        <v>0</v>
      </c>
      <c r="BW264" s="951"/>
      <c r="BX264" s="951"/>
      <c r="BY264" s="1286"/>
      <c r="BZ264" s="1304"/>
      <c r="CA264" s="943"/>
      <c r="DR264" s="943"/>
      <c r="DT264" s="1328"/>
      <c r="DU264" s="1433"/>
      <c r="DV264" s="1433"/>
      <c r="DW264" s="1433"/>
      <c r="DX264" s="1433"/>
      <c r="DY264" s="1329"/>
      <c r="DZ264" s="943"/>
      <c r="EA264" s="1470">
        <f t="shared" si="3"/>
        <v>1</v>
      </c>
    </row>
    <row r="265" spans="1:132" x14ac:dyDescent="0.2">
      <c r="A265" s="943"/>
      <c r="B265" s="943"/>
      <c r="C265" s="4822"/>
      <c r="D265" s="1458"/>
      <c r="E265" s="3026"/>
      <c r="F265" s="951"/>
      <c r="G265" s="3026"/>
      <c r="H265" s="3026"/>
      <c r="I265" s="951"/>
      <c r="J265" s="3026"/>
      <c r="K265" s="3026"/>
      <c r="L265" s="3026"/>
      <c r="M265" s="3026"/>
      <c r="N265" s="3026"/>
      <c r="O265" s="3026"/>
      <c r="P265" s="3026"/>
      <c r="Q265" s="3026"/>
      <c r="R265" s="3026"/>
      <c r="S265" s="3026"/>
      <c r="T265" s="3026"/>
      <c r="U265" s="3026"/>
      <c r="V265" s="3026"/>
      <c r="W265" s="3026"/>
      <c r="X265" s="3026"/>
      <c r="Y265" s="3026"/>
      <c r="Z265" s="3026"/>
      <c r="AA265" s="3026"/>
      <c r="AB265" s="3026"/>
      <c r="AC265" s="3026"/>
      <c r="AD265" s="3026"/>
      <c r="AE265" s="3026"/>
      <c r="AF265" s="3026"/>
      <c r="AG265" s="3026"/>
      <c r="AH265" s="3026"/>
      <c r="AI265" s="3026"/>
      <c r="AJ265" s="3026"/>
      <c r="AK265" s="3026"/>
      <c r="AL265" s="3026"/>
      <c r="AM265" s="3026"/>
      <c r="AN265" s="3026"/>
      <c r="AO265" s="3026"/>
      <c r="AP265" s="3026"/>
      <c r="AQ265" s="3026"/>
      <c r="AR265" s="3026"/>
      <c r="AS265" s="3026"/>
      <c r="AT265" s="3026"/>
      <c r="AU265" s="3026"/>
      <c r="AV265" s="3026"/>
      <c r="AW265" s="3026"/>
      <c r="AX265" s="3026"/>
      <c r="AY265" s="3026"/>
      <c r="AZ265" s="3026"/>
      <c r="BA265" s="3026"/>
      <c r="BB265" s="3026"/>
      <c r="BC265" s="3026"/>
      <c r="BD265" s="3026"/>
      <c r="BE265" s="3026"/>
      <c r="BF265" s="3026"/>
      <c r="BG265" s="3026"/>
      <c r="BH265" s="3026"/>
      <c r="BI265" s="3026"/>
      <c r="BJ265" s="3026"/>
      <c r="BK265" s="3026"/>
      <c r="BL265" s="3026"/>
      <c r="BM265" s="3026"/>
      <c r="BN265" s="944">
        <f>SUM(BN270:BN285)</f>
        <v>0</v>
      </c>
      <c r="BO265" s="944">
        <f>SUM(BO270:BO285)</f>
        <v>0</v>
      </c>
      <c r="BP265" s="944">
        <f>SUM(BP270:BP285)</f>
        <v>0</v>
      </c>
      <c r="BQ265" s="944">
        <f>SUM(BQ270:BQ285)</f>
        <v>0</v>
      </c>
      <c r="BR265" s="944">
        <f>SUM(BR270:BR285)</f>
        <v>0</v>
      </c>
      <c r="BS265" s="1041"/>
      <c r="BU265" s="3026"/>
      <c r="BW265" s="951"/>
      <c r="BX265" s="951"/>
      <c r="BY265" s="960"/>
      <c r="BZ265" s="1304"/>
      <c r="CA265" s="939"/>
      <c r="DR265" s="939"/>
      <c r="DT265" s="1325"/>
      <c r="DU265" s="1377"/>
      <c r="DV265" s="1377"/>
      <c r="DW265" s="1377"/>
      <c r="DX265" s="1377"/>
      <c r="DY265" s="1324"/>
      <c r="DZ265" s="939"/>
      <c r="EA265" s="1470">
        <f t="shared" si="3"/>
        <v>1</v>
      </c>
    </row>
    <row r="266" spans="1:132" x14ac:dyDescent="0.2">
      <c r="A266" s="939"/>
      <c r="B266" s="939"/>
      <c r="C266" s="4822"/>
      <c r="D266" s="1450" t="s">
        <v>7698</v>
      </c>
      <c r="E266" s="2941"/>
      <c r="F266" s="957"/>
      <c r="G266" s="957"/>
      <c r="H266" s="957"/>
      <c r="I266" s="957"/>
      <c r="J266" s="958"/>
      <c r="K266" s="957"/>
      <c r="L266" s="957"/>
      <c r="M266" s="958"/>
      <c r="N266" s="957"/>
      <c r="O266" s="957"/>
      <c r="P266" s="958"/>
      <c r="Q266" s="957"/>
      <c r="R266" s="958"/>
      <c r="S266" s="957"/>
      <c r="T266" s="957"/>
      <c r="U266" s="957"/>
      <c r="V266" s="957"/>
      <c r="W266" s="951"/>
      <c r="X266" s="958"/>
      <c r="Y266" s="958"/>
      <c r="Z266" s="958"/>
      <c r="AA266" s="958"/>
      <c r="AB266" s="958"/>
      <c r="AC266" s="958"/>
      <c r="AD266" s="958"/>
      <c r="AE266" s="958"/>
      <c r="AF266" s="957"/>
      <c r="AG266" s="951"/>
      <c r="AH266" s="958"/>
      <c r="AI266" s="958"/>
      <c r="AJ266" s="958"/>
      <c r="AK266" s="958"/>
      <c r="AL266" s="958"/>
      <c r="AM266" s="958"/>
      <c r="AN266" s="958"/>
      <c r="AO266" s="958"/>
      <c r="AP266" s="951"/>
      <c r="AQ266" s="951"/>
      <c r="AR266" s="958"/>
      <c r="AS266" s="958"/>
      <c r="AT266" s="958"/>
      <c r="AU266" s="958"/>
      <c r="AV266" s="958"/>
      <c r="AW266" s="958"/>
      <c r="AX266" s="958"/>
      <c r="AY266" s="958"/>
      <c r="AZ266" s="951"/>
      <c r="BA266" s="951"/>
      <c r="BB266" s="958"/>
      <c r="BC266" s="958"/>
      <c r="BD266" s="958"/>
      <c r="BE266" s="958"/>
      <c r="BF266" s="958"/>
      <c r="BG266" s="958"/>
      <c r="BH266" s="958"/>
      <c r="BI266" s="958"/>
      <c r="BJ266" s="951"/>
      <c r="BK266" s="951"/>
      <c r="BL266" s="951"/>
      <c r="BM266" s="951"/>
      <c r="BN266" s="944">
        <f>SUM(BN268:BN301)</f>
        <v>0</v>
      </c>
      <c r="BO266" s="944">
        <f>SUM(BO268:BO301)</f>
        <v>0</v>
      </c>
      <c r="BP266" s="944">
        <f>MAX(BP268:BP301)</f>
        <v>0</v>
      </c>
      <c r="BQ266" s="944">
        <f>MAX(BQ268:BQ301)</f>
        <v>0</v>
      </c>
      <c r="BR266" s="944">
        <f>MAX(BR268:BR301)</f>
        <v>0</v>
      </c>
      <c r="BS266" s="959"/>
      <c r="BU266" s="3026"/>
      <c r="BV266" s="961"/>
      <c r="BW266" s="951"/>
      <c r="BX266" s="951"/>
      <c r="BY266" s="1286"/>
      <c r="BZ266" s="1304"/>
      <c r="CA266" s="939"/>
      <c r="DR266" s="939"/>
      <c r="DT266" s="1325"/>
      <c r="DU266" s="1377"/>
      <c r="DV266" s="1377"/>
      <c r="DW266" s="1377"/>
      <c r="DX266" s="1377"/>
      <c r="DY266" s="1324"/>
      <c r="DZ266" s="939"/>
      <c r="EA266" s="1470">
        <f t="shared" ref="EA266:EA329" si="4">EA265</f>
        <v>1</v>
      </c>
    </row>
    <row r="267" spans="1:132" ht="12" thickBot="1" x14ac:dyDescent="0.25">
      <c r="A267" s="939"/>
      <c r="B267" s="939"/>
      <c r="C267" s="4822"/>
      <c r="D267" s="1451">
        <v>1</v>
      </c>
      <c r="E267" s="962" t="s">
        <v>8064</v>
      </c>
      <c r="F267" s="963" t="s">
        <v>1789</v>
      </c>
      <c r="G267" s="964" t="s">
        <v>1790</v>
      </c>
      <c r="H267" s="964" t="s">
        <v>1811</v>
      </c>
      <c r="I267" s="965" t="s">
        <v>3334</v>
      </c>
      <c r="J267" s="966"/>
      <c r="K267" s="967"/>
      <c r="L267" s="965" t="s">
        <v>3335</v>
      </c>
      <c r="M267" s="966"/>
      <c r="N267" s="967"/>
      <c r="O267" s="965" t="s">
        <v>3336</v>
      </c>
      <c r="P267" s="966"/>
      <c r="Q267" s="967"/>
      <c r="R267" s="968" t="s">
        <v>4533</v>
      </c>
      <c r="S267" s="964" t="s">
        <v>3304</v>
      </c>
      <c r="T267" s="3036" t="s">
        <v>1708</v>
      </c>
      <c r="U267" s="3036" t="s">
        <v>1679</v>
      </c>
      <c r="V267" s="3036" t="s">
        <v>3337</v>
      </c>
      <c r="W267" s="4794" t="s">
        <v>3338</v>
      </c>
      <c r="X267" s="4794"/>
      <c r="Y267" s="4794"/>
      <c r="Z267" s="4794"/>
      <c r="AA267" s="4794"/>
      <c r="AB267" s="4794"/>
      <c r="AC267" s="4794"/>
      <c r="AD267" s="4794"/>
      <c r="AE267" s="4794"/>
      <c r="AF267" s="4794"/>
      <c r="AG267" s="4794"/>
      <c r="AH267" s="4794"/>
      <c r="AI267" s="4794"/>
      <c r="AJ267" s="4794"/>
      <c r="AK267" s="4794"/>
      <c r="AL267" s="4794"/>
      <c r="AM267" s="4794"/>
      <c r="AN267" s="4794"/>
      <c r="AO267" s="4794"/>
      <c r="AP267" s="4794"/>
      <c r="AQ267" s="4794"/>
      <c r="AR267" s="4794"/>
      <c r="AS267" s="4794"/>
      <c r="AT267" s="4794"/>
      <c r="AU267" s="4794"/>
      <c r="AV267" s="4794"/>
      <c r="AW267" s="4794"/>
      <c r="AX267" s="4794"/>
      <c r="AY267" s="4794"/>
      <c r="AZ267" s="4794"/>
      <c r="BA267" s="4794"/>
      <c r="BB267" s="4794"/>
      <c r="BC267" s="4794"/>
      <c r="BD267" s="4794"/>
      <c r="BE267" s="4794"/>
      <c r="BF267" s="4794"/>
      <c r="BG267" s="4794"/>
      <c r="BH267" s="4794"/>
      <c r="BI267" s="4794"/>
      <c r="BJ267" s="4794"/>
      <c r="BK267" s="4794" t="s">
        <v>3339</v>
      </c>
      <c r="BL267" s="4794"/>
      <c r="BM267" s="4795"/>
      <c r="BN267" s="969" t="s">
        <v>4534</v>
      </c>
      <c r="BO267" s="969" t="s">
        <v>4535</v>
      </c>
      <c r="BP267" s="969" t="s">
        <v>4536</v>
      </c>
      <c r="BQ267" s="969" t="s">
        <v>4537</v>
      </c>
      <c r="BR267" s="969" t="s">
        <v>4538</v>
      </c>
      <c r="BS267" s="970" t="s">
        <v>4539</v>
      </c>
      <c r="BT267" s="4770" t="s">
        <v>4540</v>
      </c>
      <c r="BU267" s="4771"/>
      <c r="BV267" s="971"/>
      <c r="BW267" s="951"/>
      <c r="BX267" s="951"/>
      <c r="BY267" s="1286"/>
      <c r="BZ267" s="1304"/>
      <c r="CA267" s="939"/>
      <c r="DR267" s="939"/>
      <c r="DT267" s="1325"/>
      <c r="DU267" s="1377"/>
      <c r="DV267" s="1377"/>
      <c r="DW267" s="1377"/>
      <c r="DX267" s="1377"/>
      <c r="DY267" s="1324"/>
      <c r="DZ267" s="939"/>
      <c r="EB267" s="2158">
        <f>D267</f>
        <v>1</v>
      </c>
    </row>
    <row r="268" spans="1:132" x14ac:dyDescent="0.2">
      <c r="A268" s="972"/>
      <c r="B268" s="1403"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822"/>
      <c r="D268" s="1452">
        <v>1</v>
      </c>
      <c r="E268" s="1246"/>
      <c r="F268" s="973"/>
      <c r="G268" s="974"/>
      <c r="H268" s="974"/>
      <c r="I268" s="974"/>
      <c r="J268" s="975"/>
      <c r="K268" s="974"/>
      <c r="L268" s="974"/>
      <c r="M268" s="975"/>
      <c r="N268" s="974"/>
      <c r="O268" s="974"/>
      <c r="P268" s="975"/>
      <c r="Q268" s="974"/>
      <c r="R268" s="975"/>
      <c r="S268" s="974"/>
      <c r="T268" s="974"/>
      <c r="U268" s="974"/>
      <c r="V268" s="974"/>
      <c r="W268" s="974"/>
      <c r="X268" s="974"/>
      <c r="Y268" s="974"/>
      <c r="Z268" s="974"/>
      <c r="AA268" s="974"/>
      <c r="AB268" s="974"/>
      <c r="AC268" s="974"/>
      <c r="AD268" s="974"/>
      <c r="AE268" s="974"/>
      <c r="AF268" s="974"/>
      <c r="AG268" s="974"/>
      <c r="AH268" s="974"/>
      <c r="AI268" s="974"/>
      <c r="AJ268" s="974"/>
      <c r="AK268" s="974"/>
      <c r="AL268" s="974"/>
      <c r="AM268" s="974"/>
      <c r="AN268" s="974"/>
      <c r="AO268" s="974"/>
      <c r="AP268" s="974"/>
      <c r="AQ268" s="974"/>
      <c r="AR268" s="974"/>
      <c r="AS268" s="974"/>
      <c r="AT268" s="974"/>
      <c r="AU268" s="974"/>
      <c r="AV268" s="974"/>
      <c r="AW268" s="974"/>
      <c r="AX268" s="974"/>
      <c r="AY268" s="974"/>
      <c r="AZ268" s="974"/>
      <c r="BA268" s="974"/>
      <c r="BB268" s="974"/>
      <c r="BC268" s="974"/>
      <c r="BD268" s="974"/>
      <c r="BE268" s="974"/>
      <c r="BF268" s="974"/>
      <c r="BG268" s="974"/>
      <c r="BH268" s="974"/>
      <c r="BI268" s="974"/>
      <c r="BJ268" s="974"/>
      <c r="BK268" s="974"/>
      <c r="BL268" s="974"/>
      <c r="BM268" s="976"/>
      <c r="BN268" s="977">
        <f>SUM(K268:K271)</f>
        <v>0</v>
      </c>
      <c r="BO268" s="971" t="str">
        <f>IF(E268=0,"",(AF268+AP268+AZ268+BJ268))</f>
        <v/>
      </c>
      <c r="BP268" s="978" t="str">
        <f>IF(I268="Si",VLOOKUP($D$8,'Tablas Técnicas'!$E$4:$F$6,2,FALSE),"")</f>
        <v/>
      </c>
      <c r="BQ268" s="979" t="str">
        <f>IF(L268="Si",VLOOKUP($D$8,'Tablas Técnicas'!$I$4:$J$6,2,FALSE),"")</f>
        <v/>
      </c>
      <c r="BR268" s="977" t="str">
        <f>IF(O268="Si",VLOOKUP($D$8,'Tablas Técnicas'!$I$7:$J$9,2,FALSE),"")</f>
        <v/>
      </c>
      <c r="BS268" s="980">
        <f>VLOOKUP(D267,'Tablas Técnicas'!$P$6:$R$8,3)</f>
        <v>50</v>
      </c>
      <c r="BT268" s="981">
        <f>VLOOKUP(D267,'Tablas Técnicas'!$P$6:$R$8,3,FALSE)</f>
        <v>50</v>
      </c>
      <c r="BU268" s="982">
        <f>VLOOKUP(D267,'Tablas Técnicas'!$P$6:$R$8,2,FALSE)</f>
        <v>20</v>
      </c>
      <c r="BV268" s="971">
        <f>IF(D267=0,"",VLOOKUP(D267,'Tablas Técnicas'!$L$4:$N$7,2,FALSE))</f>
        <v>3</v>
      </c>
      <c r="BW268" s="951"/>
      <c r="BX268" s="951"/>
      <c r="BY268" s="1286"/>
      <c r="BZ268" s="1304"/>
      <c r="CA268" s="939"/>
      <c r="DR268" s="939"/>
      <c r="DT268" s="1325"/>
      <c r="DU268" s="1424" t="s">
        <v>1801</v>
      </c>
      <c r="DV268" s="1425" t="s">
        <v>3315</v>
      </c>
      <c r="DW268" s="1425" t="s">
        <v>3301</v>
      </c>
      <c r="DX268" s="1426" t="s">
        <v>7701</v>
      </c>
      <c r="DY268" s="1324"/>
      <c r="DZ268" s="939"/>
      <c r="EA268" s="1470">
        <f>EB267</f>
        <v>1</v>
      </c>
    </row>
    <row r="269" spans="1:132" x14ac:dyDescent="0.2">
      <c r="A269" s="939"/>
      <c r="B269" s="939"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822"/>
      <c r="D269" s="1453" t="s">
        <v>1766</v>
      </c>
      <c r="E269" s="983"/>
      <c r="F269" s="984" t="str">
        <f>IF(E269=0,"",VLOOKUP(E269,'Tablas Técnicas'!$A$14:$V$771,2,FALSE))</f>
        <v/>
      </c>
      <c r="G269" s="985"/>
      <c r="H269" s="986" t="str">
        <f>IF($E269=0,"",VLOOKUP($E269,'Tablas Técnicas'!$A$14:$V$771,4,FALSE))</f>
        <v/>
      </c>
      <c r="I269" s="987" t="s">
        <v>1690</v>
      </c>
      <c r="J269" s="1412" t="str">
        <f>IF(E269=0,"",VLOOKUP(E269,'Tablas Técnicas'!$A$14:$V$771,5,FALSE))</f>
        <v/>
      </c>
      <c r="K269" s="989" t="str">
        <f>IF(I269="Si",IF(E269=0,"",VLOOKUP(E269,'Tablas Técnicas'!$A$14:$V$771,5,FALSE)),"")</f>
        <v/>
      </c>
      <c r="L269" s="987" t="s">
        <v>1690</v>
      </c>
      <c r="M269" s="1412" t="str">
        <f>IF(E269=0,"",VLOOKUP(E269,'Tablas Técnicas'!$A$14:$V$771,6,FALSE))</f>
        <v/>
      </c>
      <c r="N269" s="990" t="str">
        <f>IF(L269="Si",IF(E269=0,"",VLOOKUP(E269,'Tablas Técnicas'!$A$14:$V$771,6,FALSE)),"")</f>
        <v/>
      </c>
      <c r="O269" s="987" t="s">
        <v>1690</v>
      </c>
      <c r="P269" s="1412" t="str">
        <f>IF(E269=0,"",VLOOKUP(E269,'Tablas Técnicas'!$A$14:$V$771,7,FALSE))</f>
        <v/>
      </c>
      <c r="Q269" s="990" t="str">
        <f>IF(O269="Si",IF(E269=0,"",VLOOKUP(E269,'Tablas Técnicas'!$A$14:$V$771,7,FALSE)),"")</f>
        <v/>
      </c>
      <c r="R269" s="988" t="str">
        <f>IF(E269=0,"",VLOOKUP(E269,'Tablas Técnicas'!$A$14:$V$771,8,FALSE))</f>
        <v/>
      </c>
      <c r="S269" s="986" t="str">
        <f>IF(R269=$D$8,$D$8,IF(R269=2,2,IF(R269=3,3,R269)))</f>
        <v/>
      </c>
      <c r="T269" s="989" t="str">
        <f>IF(E269=0,"",VLOOKUP(E269,'Tablas Técnicas'!$A$14:$V$771,9,FALSE))</f>
        <v/>
      </c>
      <c r="U269" s="989" t="str">
        <f>IF(E269=0,"",VLOOKUP(E269,'Tablas Técnicas'!$A$14:$V$771,10,FALSE))</f>
        <v/>
      </c>
      <c r="V269" s="984" t="str">
        <f>IF(E269=0,"",VLOOKUP(E269,'Tablas Técnicas'!$A$14:$V$771,11,FALSE))</f>
        <v/>
      </c>
      <c r="W269" s="987"/>
      <c r="X269" s="988" t="e">
        <f>VLOOKUP(E269,'Tablas Técnicas'!$A$14:$V$771,12,FALSE)</f>
        <v>#N/A</v>
      </c>
      <c r="Y269" s="988" t="e">
        <f>IF(W269=X269,VLOOKUP(E269,'Tablas Técnicas'!$A$14:$V$771,13,FALSE),0)</f>
        <v>#N/A</v>
      </c>
      <c r="Z269" s="988" t="e">
        <f>VLOOKUP(E269,'Tablas Técnicas'!$A$14:$V$771,14,FALSE)</f>
        <v>#N/A</v>
      </c>
      <c r="AA269" s="988" t="e">
        <f>IF(W269=Z269,VLOOKUP(E269,'Tablas Técnicas'!$A$14:$V$616,15,FALSE),0)</f>
        <v>#N/A</v>
      </c>
      <c r="AB269" s="988" t="e">
        <f>VLOOKUP(E269,'Tablas Técnicas'!$A$14:$V$771,16,FALSE)</f>
        <v>#N/A</v>
      </c>
      <c r="AC269" s="988" t="e">
        <f>IF(W269=AB269,VLOOKUP(E269,'Tablas Técnicas'!$A$14:$V$616,17,FALSE),0)</f>
        <v>#N/A</v>
      </c>
      <c r="AD269" s="988" t="e">
        <f>VLOOKUP(E269,'Tablas Técnicas'!$A$14:$V$771,18,FALSE)</f>
        <v>#N/A</v>
      </c>
      <c r="AE269" s="988" t="e">
        <f>IF(W269=AD269,VLOOKUP(E269,'Tablas Técnicas'!$A$14:$V$771,19,FALSE),0)</f>
        <v>#N/A</v>
      </c>
      <c r="AF269" s="990" t="str">
        <f>IF(E269=0,"",(Y269+AA269+AC269+AE269))</f>
        <v/>
      </c>
      <c r="AG269" s="987"/>
      <c r="AH269" s="988" t="e">
        <f>VLOOKUP(E269,'Tablas Técnicas'!$A$14:$V$771,12,FALSE)</f>
        <v>#N/A</v>
      </c>
      <c r="AI269" s="988" t="e">
        <f>IF(AG269=AH269,VLOOKUP(E269,'Tablas Técnicas'!$A$14:$V$771,13,FALSE),0)</f>
        <v>#N/A</v>
      </c>
      <c r="AJ269" s="988" t="e">
        <f>VLOOKUP(E269,'Tablas Técnicas'!$A$14:$V$771,14,FALSE)</f>
        <v>#N/A</v>
      </c>
      <c r="AK269" s="988" t="e">
        <f>IF(AG269=AJ269,VLOOKUP(E269,'Tablas Técnicas'!$A$14:$V$771,15,FALSE),0)</f>
        <v>#N/A</v>
      </c>
      <c r="AL269" s="988" t="e">
        <f>VLOOKUP(E269,'Tablas Técnicas'!$A$14:$V$771,16,FALSE)</f>
        <v>#N/A</v>
      </c>
      <c r="AM269" s="988" t="e">
        <f>IF(AG269=AL269,VLOOKUP(E269,'Tablas Técnicas'!$A$14:$V$771,17,FALSE),0)</f>
        <v>#N/A</v>
      </c>
      <c r="AN269" s="988" t="e">
        <f>VLOOKUP(E269,'Tablas Técnicas'!$A$14:$V$771,18,FALSE)</f>
        <v>#N/A</v>
      </c>
      <c r="AO269" s="988" t="e">
        <f>IF(AG269=AN269,VLOOKUP(E269,'Tablas Técnicas'!$A$14:$V$771,19,FALSE),0)</f>
        <v>#N/A</v>
      </c>
      <c r="AP269" s="990" t="str">
        <f>IF(E269=0,"",(AI269+AK269+AM269+AO269))</f>
        <v/>
      </c>
      <c r="AQ269" s="987"/>
      <c r="AR269" s="988" t="e">
        <f>VLOOKUP(E269,'Tablas Técnicas'!$A$14:$V$771,12,FALSE)</f>
        <v>#N/A</v>
      </c>
      <c r="AS269" s="988" t="e">
        <f>IF(AQ269=AR269,VLOOKUP(E269,'Tablas Técnicas'!$A$14:$V$771,13,FALSE),0)</f>
        <v>#N/A</v>
      </c>
      <c r="AT269" s="988" t="e">
        <f>VLOOKUP(E269,'Tablas Técnicas'!$A$14:$V$771,14,FALSE)</f>
        <v>#N/A</v>
      </c>
      <c r="AU269" s="988" t="e">
        <f>IF(AQ269=AT269,VLOOKUP(E269,'Tablas Técnicas'!$A$14:$V$771,15,FALSE),0)</f>
        <v>#N/A</v>
      </c>
      <c r="AV269" s="988" t="e">
        <f>VLOOKUP(E269,'Tablas Técnicas'!$A$14:$V$771,16,FALSE)</f>
        <v>#N/A</v>
      </c>
      <c r="AW269" s="988" t="e">
        <f>IF(AQ269=AV269,VLOOKUP(E269,'Tablas Técnicas'!$A$14:$V$771,17,FALSE),0)</f>
        <v>#N/A</v>
      </c>
      <c r="AX269" s="988" t="e">
        <f>VLOOKUP(E269,'Tablas Técnicas'!$A$14:$V$771,18,FALSE)</f>
        <v>#N/A</v>
      </c>
      <c r="AY269" s="988" t="e">
        <f>IF(AQ269=AX269,VLOOKUP(E269,'Tablas Técnicas'!$A$14:$V$771,19,FALSE),0)</f>
        <v>#N/A</v>
      </c>
      <c r="AZ269" s="989" t="str">
        <f>IF(E269=0,"",(AS269+AU269+AW269+AY269))</f>
        <v/>
      </c>
      <c r="BA269" s="987"/>
      <c r="BB269" s="988" t="e">
        <f>VLOOKUP(E269,'Tablas Técnicas'!$A$14:$V$771,12,FALSE)</f>
        <v>#N/A</v>
      </c>
      <c r="BC269" s="988" t="e">
        <f>IF(BA269=BB269,VLOOKUP(E269,'Tablas Técnicas'!$A$14:$V$771,13,FALSE),0)</f>
        <v>#N/A</v>
      </c>
      <c r="BD269" s="988" t="e">
        <f>VLOOKUP(E269,'Tablas Técnicas'!$A$14:$V$771,14,FALSE)</f>
        <v>#N/A</v>
      </c>
      <c r="BE269" s="988" t="e">
        <f>IF(BA269=BD269,VLOOKUP(E269,'Tablas Técnicas'!$A$14:$V$771,15,FALSE),0)</f>
        <v>#N/A</v>
      </c>
      <c r="BF269" s="988" t="e">
        <f>VLOOKUP(E269,'Tablas Técnicas'!$A$14:$V$771,16,FALSE)</f>
        <v>#N/A</v>
      </c>
      <c r="BG269" s="988" t="e">
        <f>IF(BA269=BF269,VLOOKUP(E269,'Tablas Técnicas'!$A$14:$V$771,17,FALSE),0)</f>
        <v>#N/A</v>
      </c>
      <c r="BH269" s="988" t="e">
        <f>VLOOKUP(E269,'Tablas Técnicas'!$A$14:$V$771,18,FALSE)</f>
        <v>#N/A</v>
      </c>
      <c r="BI269" s="988" t="e">
        <f>IF(BA269=BH269,VLOOKUP(E269,'Tablas Técnicas'!$A$14:$V$771,19,FALSE),0)</f>
        <v>#N/A</v>
      </c>
      <c r="BJ269" s="990" t="str">
        <f>IF(E269=0,"",(BC269+BE269+BG269+BI269))</f>
        <v/>
      </c>
      <c r="BK269" s="989" t="str">
        <f>IF(E269=0,"",VLOOKUP(E269,'Tablas Técnicas'!$A$14:$V$771,20,FALSE))</f>
        <v/>
      </c>
      <c r="BL269" s="989" t="str">
        <f>IF(E269=0,"",VLOOKUP(E269,'Tablas Técnicas'!$A$14:$V$771,21,FALSE))</f>
        <v/>
      </c>
      <c r="BM269" s="991" t="str">
        <f>IF(E269=0,"",VLOOKUP(E269,'Tablas Técnicas'!$A$14:$V$771,22,FALSE))</f>
        <v/>
      </c>
      <c r="BN269" s="992"/>
      <c r="BO269" s="993"/>
      <c r="BP269" s="978" t="str">
        <f>IF(I269="Si",VLOOKUP($D$8,'Tablas Técnicas'!$E$4:$F$6,2,FALSE),"")</f>
        <v/>
      </c>
      <c r="BQ269" s="979" t="str">
        <f>IF(L269="Si",VLOOKUP($D$8,'Tablas Técnicas'!$I$4:$J$6,2,FALSE),"")</f>
        <v/>
      </c>
      <c r="BR269" s="977" t="str">
        <f>IF(O269="Si",VLOOKUP($D$8,'Tablas Técnicas'!$I$7:$J$9,2,FALSE),"")</f>
        <v/>
      </c>
      <c r="BS269" s="994"/>
      <c r="BT269" s="4770" t="s">
        <v>4541</v>
      </c>
      <c r="BU269" s="4771"/>
      <c r="BV269" s="971"/>
      <c r="BX269" s="951"/>
      <c r="BY269" s="1286"/>
      <c r="BZ269" s="1304"/>
      <c r="CA269" s="939"/>
      <c r="DR269" s="939"/>
      <c r="DT269" s="1325"/>
      <c r="DU269" s="1375" t="str">
        <f>IF(BW282="N/A","",BT281&amp;" "&amp;BW282&amp;IF(BY282="N/A"," "," ("&amp;BY282&amp;") "))</f>
        <v/>
      </c>
      <c r="DV269" s="1376" t="str">
        <f>IF(E269="","",E269)&amp;IF(I269="No",""," (Mant.)")&amp;IF(L269="No",""," (Sme)")&amp;IF(O269="No",""," (SMa)")</f>
        <v/>
      </c>
      <c r="DW269" s="1377" t="str">
        <f>IF(E299="","",E299)</f>
        <v/>
      </c>
      <c r="DX269" s="4778"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24"/>
      <c r="DZ269" s="939"/>
      <c r="EA269" s="1470">
        <f t="shared" si="4"/>
        <v>1</v>
      </c>
    </row>
    <row r="270" spans="1:132" ht="12" customHeight="1" x14ac:dyDescent="0.2">
      <c r="A270" s="939"/>
      <c r="B270" s="939"/>
      <c r="C270" s="4822"/>
      <c r="D270" s="1452" t="s">
        <v>1766</v>
      </c>
      <c r="E270" s="995"/>
      <c r="F270" s="996" t="str">
        <f>IF(E270=0,"",VLOOKUP(E270,'Tablas Técnicas'!$A$14:$V$771,2,FALSE))</f>
        <v/>
      </c>
      <c r="G270" s="997"/>
      <c r="H270" s="998" t="str">
        <f>IF($E270=0,"",VLOOKUP($E270,'Tablas Técnicas'!$A$14:$V$771,4,FALSE))</f>
        <v/>
      </c>
      <c r="I270" s="999" t="s">
        <v>1690</v>
      </c>
      <c r="J270" s="1415" t="str">
        <f>IF(E270=0,"",VLOOKUP(E270,'Tablas Técnicas'!$A$14:$V$771,5,FALSE))</f>
        <v/>
      </c>
      <c r="K270" s="1001" t="str">
        <f>IF(I270="Si",IF(E270=0,"",VLOOKUP(E270,'Tablas Técnicas'!$A$14:$V$771,5,FALSE)),"")</f>
        <v/>
      </c>
      <c r="L270" s="999" t="s">
        <v>1690</v>
      </c>
      <c r="M270" s="1415" t="str">
        <f>IF(E270=0,"",VLOOKUP(E270,'Tablas Técnicas'!$A$14:$V$771,6,FALSE))</f>
        <v/>
      </c>
      <c r="N270" s="1002" t="str">
        <f>IF(L270="Si",IF(E270=0,"",VLOOKUP(E270,'Tablas Técnicas'!$A$14:$V$771,6,FALSE)),"")</f>
        <v/>
      </c>
      <c r="O270" s="999" t="s">
        <v>1690</v>
      </c>
      <c r="P270" s="1415" t="str">
        <f>IF(E270=0,"",VLOOKUP(E270,'Tablas Técnicas'!$A$14:$V$771,7,FALSE))</f>
        <v/>
      </c>
      <c r="Q270" s="1002" t="str">
        <f>IF(O270="Si",IF(E270=0,"",VLOOKUP(E270,'Tablas Técnicas'!$A$14:$V$771,7,FALSE)),"")</f>
        <v/>
      </c>
      <c r="R270" s="1000" t="str">
        <f>IF(E270=0,"",VLOOKUP(E270,'Tablas Técnicas'!$A$14:$V$771,8,FALSE))</f>
        <v/>
      </c>
      <c r="S270" s="998" t="str">
        <f>IF(R270=$D$8,$D$8,IF(R270=2,2,IF(R270=3,3,R270)))</f>
        <v/>
      </c>
      <c r="T270" s="4796" t="s">
        <v>4542</v>
      </c>
      <c r="U270" s="4797"/>
      <c r="V270" s="4797"/>
      <c r="W270" s="4797"/>
      <c r="X270" s="4797"/>
      <c r="Y270" s="4797"/>
      <c r="Z270" s="4797"/>
      <c r="AA270" s="4797"/>
      <c r="AB270" s="4797"/>
      <c r="AC270" s="4797"/>
      <c r="AD270" s="4797"/>
      <c r="AE270" s="4797"/>
      <c r="AF270" s="4797"/>
      <c r="AG270" s="4797"/>
      <c r="AH270" s="4797"/>
      <c r="AI270" s="4797"/>
      <c r="AJ270" s="4797"/>
      <c r="AK270" s="4797"/>
      <c r="AL270" s="4797"/>
      <c r="AM270" s="4797"/>
      <c r="AN270" s="4797"/>
      <c r="AO270" s="4797"/>
      <c r="AP270" s="4797"/>
      <c r="AQ270" s="4797"/>
      <c r="AR270" s="4797"/>
      <c r="AS270" s="4797"/>
      <c r="AT270" s="4797"/>
      <c r="AU270" s="4797"/>
      <c r="AV270" s="4797"/>
      <c r="AW270" s="4797"/>
      <c r="AX270" s="4797"/>
      <c r="AY270" s="4797"/>
      <c r="AZ270" s="4797"/>
      <c r="BA270" s="4797"/>
      <c r="BB270" s="4797"/>
      <c r="BC270" s="4797"/>
      <c r="BD270" s="4797"/>
      <c r="BE270" s="4797"/>
      <c r="BF270" s="4797"/>
      <c r="BG270" s="4797"/>
      <c r="BH270" s="4797"/>
      <c r="BI270" s="4797"/>
      <c r="BJ270" s="4797"/>
      <c r="BK270" s="4798"/>
      <c r="BL270" s="1437"/>
      <c r="BM270" s="1438"/>
      <c r="BN270" s="992"/>
      <c r="BO270" s="993"/>
      <c r="BP270" s="978" t="str">
        <f>IF(I270="Si",VLOOKUP($D$8,'Tablas Técnicas'!$E$4:$F$6,2,FALSE),"")</f>
        <v/>
      </c>
      <c r="BQ270" s="979" t="str">
        <f>IF(L270="Si",VLOOKUP($D$8,'Tablas Técnicas'!$I$4:$J$6,2,FALSE),"")</f>
        <v/>
      </c>
      <c r="BR270" s="977" t="str">
        <f>IF(O270="Si",VLOOKUP($D$8,'Tablas Técnicas'!$I$7:$J$9,2,FALSE),"")</f>
        <v/>
      </c>
      <c r="BS270" s="994"/>
      <c r="BT270" s="4772">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773"/>
      <c r="BV270" s="971"/>
      <c r="BX270" s="951"/>
      <c r="BY270" s="1286"/>
      <c r="BZ270" s="1304"/>
      <c r="CA270" s="939"/>
      <c r="DR270" s="939"/>
      <c r="DT270" s="1325"/>
      <c r="DU270" s="1375" t="str">
        <f>IF(BW284="N/A","",BT283&amp;" "&amp;BW284&amp;IF(BY284="N/A"," "," ("&amp;BY284&amp;") "))</f>
        <v/>
      </c>
      <c r="DV270" s="1376" t="str">
        <f>IF(E270="",""," "&amp;E270)&amp;IF(I270="No",""," (Mant.)")&amp;IF(L270="No",""," (Sme)")&amp;IF(O270="No",""," (SMa)")</f>
        <v/>
      </c>
      <c r="DW270" s="1377" t="str">
        <f>IF(E300="","",", "&amp;E300)</f>
        <v/>
      </c>
      <c r="DX270" s="4778"/>
      <c r="DY270" s="1324"/>
      <c r="DZ270" s="939"/>
      <c r="EA270" s="1470">
        <f t="shared" si="4"/>
        <v>1</v>
      </c>
    </row>
    <row r="271" spans="1:132" x14ac:dyDescent="0.2">
      <c r="A271" s="939"/>
      <c r="B271" s="939"/>
      <c r="C271" s="4822"/>
      <c r="D271" s="1453" t="s">
        <v>1766</v>
      </c>
      <c r="E271" s="1003"/>
      <c r="F271" s="3033" t="str">
        <f>IF(E271=0,"",VLOOKUP(E271,'Tablas Técnicas'!$A$14:$V$771,2,FALSE))</f>
        <v/>
      </c>
      <c r="G271" s="985"/>
      <c r="H271" s="1004" t="str">
        <f>IF($E271=0,"",VLOOKUP($E271,'Tablas Técnicas'!$A$14:$V$771,4,FALSE))</f>
        <v/>
      </c>
      <c r="I271" s="987" t="s">
        <v>1690</v>
      </c>
      <c r="J271" s="1411" t="str">
        <f>IF(E271=0,"",VLOOKUP(E271,'Tablas Técnicas'!$A$14:$V$771,5,FALSE))</f>
        <v/>
      </c>
      <c r="K271" s="1006" t="str">
        <f>IF(I271="Si",IF(E271=0,"",VLOOKUP(E271,'Tablas Técnicas'!$A$14:$V$771,5,FALSE)),"")</f>
        <v/>
      </c>
      <c r="L271" s="987" t="s">
        <v>1690</v>
      </c>
      <c r="M271" s="1411" t="str">
        <f>IF(E271=0,"",VLOOKUP(E271,'Tablas Técnicas'!$A$14:$V$771,6,FALSE))</f>
        <v/>
      </c>
      <c r="N271" s="990" t="str">
        <f>IF(L271="Si",IF(E271=0,"",VLOOKUP(E271,'Tablas Técnicas'!$A$14:$V$771,6,FALSE)),"")</f>
        <v/>
      </c>
      <c r="O271" s="987" t="s">
        <v>1690</v>
      </c>
      <c r="P271" s="1411" t="str">
        <f>IF(E271=0,"",VLOOKUP(E271,'Tablas Técnicas'!$A$14:$V$771,7,FALSE))</f>
        <v/>
      </c>
      <c r="Q271" s="990" t="str">
        <f>IF(O271="Si",IF(E271=0,"",VLOOKUP(E271,'Tablas Técnicas'!$A$14:$V$771,7,FALSE)),"")</f>
        <v/>
      </c>
      <c r="R271" s="1005" t="str">
        <f>IF(E271=0,"",VLOOKUP(E271,'Tablas Técnicas'!$A$14:$V$771,8,FALSE))</f>
        <v/>
      </c>
      <c r="S271" s="3033" t="str">
        <f>IF(R271=$D$8,$D$8,IF(R271=2,2,IF(R271=3,3,R271)))</f>
        <v/>
      </c>
      <c r="T271" s="4809"/>
      <c r="U271" s="4810"/>
      <c r="V271" s="3029" t="str">
        <f>IF(OR(V269=0,V269=""),"N/A",V269)</f>
        <v>N/A</v>
      </c>
      <c r="W271" s="4809" t="str">
        <f xml:space="preserve"> IF(OR(AF269=0,AF269=""),"N/A",W269)</f>
        <v>N/A</v>
      </c>
      <c r="X271" s="4811"/>
      <c r="Y271" s="4811"/>
      <c r="Z271" s="4811"/>
      <c r="AA271" s="4811"/>
      <c r="AB271" s="4811"/>
      <c r="AC271" s="4811"/>
      <c r="AD271" s="4811"/>
      <c r="AE271" s="4811"/>
      <c r="AF271" s="4810"/>
      <c r="AG271" s="4809" t="str">
        <f xml:space="preserve"> IF(OR(AP269="",AP269=0),"N/A",AG269)</f>
        <v>N/A</v>
      </c>
      <c r="AH271" s="4811"/>
      <c r="AI271" s="4811"/>
      <c r="AJ271" s="4811"/>
      <c r="AK271" s="4811"/>
      <c r="AL271" s="4811"/>
      <c r="AM271" s="4811"/>
      <c r="AN271" s="4811"/>
      <c r="AO271" s="4811"/>
      <c r="AP271" s="4810"/>
      <c r="AQ271" s="4809" t="str">
        <f xml:space="preserve"> IF(OR(AZ269="",AZ269=0),"N/A",AQ269)</f>
        <v>N/A</v>
      </c>
      <c r="AR271" s="4811"/>
      <c r="AS271" s="4811"/>
      <c r="AT271" s="4811"/>
      <c r="AU271" s="4811"/>
      <c r="AV271" s="4811"/>
      <c r="AW271" s="4811"/>
      <c r="AX271" s="4811"/>
      <c r="AY271" s="4811"/>
      <c r="AZ271" s="4810"/>
      <c r="BA271" s="4809" t="str">
        <f xml:space="preserve"> IF(OR(BJ269="",BJ269=0),"N/A",BA269)</f>
        <v>N/A</v>
      </c>
      <c r="BB271" s="4811"/>
      <c r="BC271" s="4811"/>
      <c r="BD271" s="4811"/>
      <c r="BE271" s="4811"/>
      <c r="BF271" s="4811"/>
      <c r="BG271" s="4811"/>
      <c r="BH271" s="4811"/>
      <c r="BI271" s="4811"/>
      <c r="BJ271" s="4810"/>
      <c r="BK271" s="1007" t="s">
        <v>4543</v>
      </c>
      <c r="BL271" s="989"/>
      <c r="BM271" s="1024"/>
      <c r="BN271" s="1008"/>
      <c r="BO271" s="1009"/>
      <c r="BP271" s="1010" t="str">
        <f>IF(I271="Si",VLOOKUP($D$8,'Tablas Técnicas'!$E$4:$F$6,2,FALSE),"")</f>
        <v/>
      </c>
      <c r="BQ271" s="980" t="str">
        <f>IF(L271="Si",VLOOKUP($D$8,'Tablas Técnicas'!$I$4:$J$6,2,FALSE),"")</f>
        <v/>
      </c>
      <c r="BR271" s="1011" t="str">
        <f>IF(O271="Si",VLOOKUP($D$8,'Tablas Técnicas'!$I$7:$J$9,2,FALSE),"")</f>
        <v/>
      </c>
      <c r="BS271" s="1012"/>
      <c r="BU271" s="3026"/>
      <c r="BV271" s="971"/>
      <c r="BW271" s="951"/>
      <c r="BX271" s="951"/>
      <c r="BY271" s="1286"/>
      <c r="BZ271" s="1304"/>
      <c r="CA271" s="939"/>
      <c r="DR271" s="939"/>
      <c r="DT271" s="1325"/>
      <c r="DU271" s="1375" t="str">
        <f>IF(BW286="N/A","",BT285&amp;" "&amp;BW286&amp;IF(BY286="N/A"," "," ("&amp;BY286&amp;") "))</f>
        <v/>
      </c>
      <c r="DV271" s="1376" t="str">
        <f>IF(E271="","",E271)&amp;IF(I271="No",""," (Mant.)")&amp;IF(L271="No",""," (Sme)")&amp;IF(O271="No",""," (SMa)")</f>
        <v/>
      </c>
      <c r="DW271" s="1377" t="str">
        <f>IF(E301="","",", "&amp;E301)</f>
        <v/>
      </c>
      <c r="DX271" s="4778"/>
      <c r="DY271" s="1324"/>
      <c r="DZ271" s="939"/>
      <c r="EA271" s="1470">
        <f t="shared" si="4"/>
        <v>1</v>
      </c>
    </row>
    <row r="272" spans="1:132" x14ac:dyDescent="0.2">
      <c r="A272" s="939"/>
      <c r="B272" s="939"/>
      <c r="C272" s="4822"/>
      <c r="D272" s="1452" t="s">
        <v>1766</v>
      </c>
      <c r="E272" s="995"/>
      <c r="F272" s="996" t="str">
        <f>IF(E272=0,"",VLOOKUP(E272,'Tablas Técnicas'!$A$14:$V$771,2,FALSE))</f>
        <v/>
      </c>
      <c r="G272" s="997"/>
      <c r="H272" s="998" t="str">
        <f>IF($E272=0,"",VLOOKUP($E272,'Tablas Técnicas'!$A$14:$V$771,4,FALSE))</f>
        <v/>
      </c>
      <c r="I272" s="999" t="s">
        <v>1690</v>
      </c>
      <c r="J272" s="1415" t="str">
        <f>IF(E272=0,"",VLOOKUP(E272,'Tablas Técnicas'!$A$14:$V$771,5,FALSE))</f>
        <v/>
      </c>
      <c r="K272" s="1001" t="str">
        <f>IF(I272="Si",IF(E272=0,"",VLOOKUP(E272,'Tablas Técnicas'!$A$14:$V$771,5,FALSE)),"")</f>
        <v/>
      </c>
      <c r="L272" s="999" t="s">
        <v>1690</v>
      </c>
      <c r="M272" s="1415" t="str">
        <f>IF(E272=0,"",VLOOKUP(E272,'Tablas Técnicas'!$A$14:$V$771,6,FALSE))</f>
        <v/>
      </c>
      <c r="N272" s="1002" t="str">
        <f>IF(L272="Si",IF(E272=0,"",VLOOKUP(E272,'Tablas Técnicas'!$A$14:$V$771,6,FALSE)),"")</f>
        <v/>
      </c>
      <c r="O272" s="999" t="s">
        <v>1690</v>
      </c>
      <c r="P272" s="1415" t="str">
        <f>IF(E272=0,"",VLOOKUP(E272,'Tablas Técnicas'!$A$14:$V$771,7,FALSE))</f>
        <v/>
      </c>
      <c r="Q272" s="1002" t="str">
        <f>IF(O272="Si",IF(E272=0,"",VLOOKUP(E272,'Tablas Técnicas'!$A$14:$V$771,7,FALSE)),"")</f>
        <v/>
      </c>
      <c r="R272" s="1000" t="str">
        <f>IF(E272=0,"",VLOOKUP(E272,'Tablas Técnicas'!$A$14:$V$771,8,FALSE))</f>
        <v/>
      </c>
      <c r="S272" s="998" t="str">
        <f>IF(R272=$D$8,$D$8,IF(R272=2,2,IF(R272=3,3,R272)))</f>
        <v/>
      </c>
      <c r="T272" s="4812" t="s">
        <v>4544</v>
      </c>
      <c r="U272" s="4813"/>
      <c r="V272" s="3025"/>
      <c r="W272" s="4814"/>
      <c r="X272" s="4815"/>
      <c r="Y272" s="4815"/>
      <c r="Z272" s="4815"/>
      <c r="AA272" s="4815"/>
      <c r="AB272" s="4815"/>
      <c r="AC272" s="4815"/>
      <c r="AD272" s="4815"/>
      <c r="AE272" s="4815"/>
      <c r="AF272" s="4816"/>
      <c r="AG272" s="4814"/>
      <c r="AH272" s="4815"/>
      <c r="AI272" s="4815"/>
      <c r="AJ272" s="4815"/>
      <c r="AK272" s="4815"/>
      <c r="AL272" s="4815"/>
      <c r="AM272" s="4815"/>
      <c r="AN272" s="4815"/>
      <c r="AO272" s="4815"/>
      <c r="AP272" s="4816"/>
      <c r="AQ272" s="4814"/>
      <c r="AR272" s="4815"/>
      <c r="AS272" s="4815"/>
      <c r="AT272" s="4815"/>
      <c r="AU272" s="4815"/>
      <c r="AV272" s="4815"/>
      <c r="AW272" s="4815"/>
      <c r="AX272" s="4815"/>
      <c r="AY272" s="4815"/>
      <c r="AZ272" s="4816"/>
      <c r="BA272" s="4814"/>
      <c r="BB272" s="4815"/>
      <c r="BC272" s="4815"/>
      <c r="BD272" s="4815"/>
      <c r="BE272" s="4815"/>
      <c r="BF272" s="4815"/>
      <c r="BG272" s="4815"/>
      <c r="BH272" s="4815"/>
      <c r="BI272" s="4815"/>
      <c r="BJ272" s="4816"/>
      <c r="BK272" s="998">
        <f>(SUM(F269:F273)+IF(AF269="",0,AF269)+IF(AP269="",0,AP269)+IF(AZ269="",0,AZ269)+IF(BJ269="",0,BJ269)+SUM(K269:K273)+SUM(N269:N273)+SUM(Q269:Q273))- SUM(V272:BA272)</f>
        <v>0</v>
      </c>
      <c r="BL272" s="1437"/>
      <c r="BM272" s="1438"/>
      <c r="BN272" s="992"/>
      <c r="BO272" s="993"/>
      <c r="BP272" s="978" t="str">
        <f>IF(I272="Si",VLOOKUP($D$8,'Tablas Técnicas'!$E$4:$F$6,2,FALSE),"")</f>
        <v/>
      </c>
      <c r="BQ272" s="979" t="str">
        <f>IF(L272="Si",VLOOKUP($D$8,'Tablas Técnicas'!$I$4:$J$6,2,FALSE),"")</f>
        <v/>
      </c>
      <c r="BR272" s="977" t="str">
        <f>IF(O272="Si",VLOOKUP($D$8,'Tablas Técnicas'!$I$7:$J$9,2,FALSE),"")</f>
        <v/>
      </c>
      <c r="BS272" s="994"/>
      <c r="BT272" s="4770" t="s">
        <v>4545</v>
      </c>
      <c r="BU272" s="4771"/>
      <c r="BV272" s="971"/>
      <c r="BW272" s="951"/>
      <c r="BX272" s="951"/>
      <c r="BY272" s="1286"/>
      <c r="BZ272" s="1304"/>
      <c r="CA272" s="939"/>
      <c r="DR272" s="939"/>
      <c r="DT272" s="1325"/>
      <c r="DU272" s="1375" t="str">
        <f>IF(BW288="N/A","",BT287&amp;" "&amp;BW288&amp;IF(BY288="N/A"," "," ("&amp;BY288&amp;") "))</f>
        <v/>
      </c>
      <c r="DV272" s="1376" t="str">
        <f>IF(E272="","",E272)&amp;IF(I272="No",""," (Mant.)")&amp;IF(L272="No",""," (Sme)")&amp;IF(O272="No",""," (SMa)")</f>
        <v/>
      </c>
      <c r="DW272" s="1377"/>
      <c r="DX272" s="4778"/>
      <c r="DY272" s="1324"/>
      <c r="DZ272" s="939"/>
      <c r="EA272" s="1470">
        <f t="shared" si="4"/>
        <v>1</v>
      </c>
    </row>
    <row r="273" spans="1:131" x14ac:dyDescent="0.2">
      <c r="A273" s="939"/>
      <c r="B273" s="939"/>
      <c r="C273" s="4822"/>
      <c r="D273" s="1453" t="s">
        <v>1766</v>
      </c>
      <c r="E273" s="1003"/>
      <c r="F273" s="3033" t="str">
        <f>IF(E273=0,"",VLOOKUP(E273,'Tablas Técnicas'!$A$14:$V$771,2,FALSE))</f>
        <v/>
      </c>
      <c r="G273" s="985"/>
      <c r="H273" s="1004" t="str">
        <f>IF($E273=0,"",VLOOKUP($E273,'Tablas Técnicas'!$A$14:$V$771,4,FALSE))</f>
        <v/>
      </c>
      <c r="I273" s="987" t="s">
        <v>1690</v>
      </c>
      <c r="J273" s="1411" t="str">
        <f>IF(E273=0,"",VLOOKUP(E273,'Tablas Técnicas'!$A$14:$V$771,5,FALSE))</f>
        <v/>
      </c>
      <c r="K273" s="1006" t="str">
        <f>IF(I273="Si",IF(E273=0,"",VLOOKUP(E273,'Tablas Técnicas'!$A$14:$V$771,5,FALSE)),"")</f>
        <v/>
      </c>
      <c r="L273" s="987" t="s">
        <v>1690</v>
      </c>
      <c r="M273" s="1411" t="str">
        <f>IF(E273=0,"",VLOOKUP(E273,'Tablas Técnicas'!$A$14:$V$771,6,FALSE))</f>
        <v/>
      </c>
      <c r="N273" s="990" t="str">
        <f>IF(L273="Si",IF(E273=0,"",VLOOKUP(E273,'Tablas Técnicas'!$A$14:$V$771,6,FALSE)),"")</f>
        <v/>
      </c>
      <c r="O273" s="987" t="s">
        <v>1690</v>
      </c>
      <c r="P273" s="1411" t="str">
        <f>IF(E273=0,"",VLOOKUP(E273,'Tablas Técnicas'!$A$14:$V$771,7,FALSE))</f>
        <v/>
      </c>
      <c r="Q273" s="990" t="str">
        <f>IF(O273="Si",IF(E273=0,"",VLOOKUP(E273,'Tablas Técnicas'!$A$14:$V$771,7,FALSE)),"")</f>
        <v/>
      </c>
      <c r="R273" s="1005" t="str">
        <f>IF(E273=0,"",VLOOKUP(E273,'Tablas Técnicas'!$A$14:$V$771,8,FALSE))</f>
        <v/>
      </c>
      <c r="S273" s="1004" t="str">
        <f>IF(R273=$D$8,$D$8,IF(R273=2,2,IF(R273=3,3,R273)))</f>
        <v/>
      </c>
      <c r="T273" s="4803" t="s">
        <v>4546</v>
      </c>
      <c r="U273" s="4804"/>
      <c r="V273" s="3032"/>
      <c r="W273" s="4805"/>
      <c r="X273" s="4806"/>
      <c r="Y273" s="4806"/>
      <c r="Z273" s="4806"/>
      <c r="AA273" s="4806"/>
      <c r="AB273" s="4806"/>
      <c r="AC273" s="4806"/>
      <c r="AD273" s="4806"/>
      <c r="AE273" s="4806"/>
      <c r="AF273" s="4807"/>
      <c r="AG273" s="4805"/>
      <c r="AH273" s="4806"/>
      <c r="AI273" s="4806"/>
      <c r="AJ273" s="4806"/>
      <c r="AK273" s="4806"/>
      <c r="AL273" s="4806"/>
      <c r="AM273" s="4806"/>
      <c r="AN273" s="4806"/>
      <c r="AO273" s="4806"/>
      <c r="AP273" s="4807"/>
      <c r="AQ273" s="4805"/>
      <c r="AR273" s="4806"/>
      <c r="AS273" s="4806"/>
      <c r="AT273" s="4806"/>
      <c r="AU273" s="4806"/>
      <c r="AV273" s="4806"/>
      <c r="AW273" s="4806"/>
      <c r="AX273" s="4806"/>
      <c r="AY273" s="4806"/>
      <c r="AZ273" s="4807"/>
      <c r="BA273" s="4805"/>
      <c r="BB273" s="4806"/>
      <c r="BC273" s="4806"/>
      <c r="BD273" s="4806"/>
      <c r="BE273" s="4806"/>
      <c r="BF273" s="4806"/>
      <c r="BG273" s="4806"/>
      <c r="BH273" s="4806"/>
      <c r="BI273" s="4806"/>
      <c r="BJ273" s="4807"/>
      <c r="BK273" s="1014">
        <f>SUM(K269:K273)-SUM(V273:BA273)</f>
        <v>0</v>
      </c>
      <c r="BL273" s="1439"/>
      <c r="BM273" s="1440"/>
      <c r="BN273" s="1008"/>
      <c r="BO273" s="1009"/>
      <c r="BP273" s="1010" t="str">
        <f>IF(I273="Si",VLOOKUP($D$8,'Tablas Técnicas'!$E$4:$F$6,2,FALSE),"")</f>
        <v/>
      </c>
      <c r="BQ273" s="980" t="str">
        <f>IF(L273="Si",VLOOKUP($D$8,'Tablas Técnicas'!$I$4:$J$6,2,FALSE),"")</f>
        <v/>
      </c>
      <c r="BR273" s="1011" t="str">
        <f>IF(O273="Si",VLOOKUP($D$8,'Tablas Técnicas'!$I$7:$J$9,2,FALSE),"")</f>
        <v/>
      </c>
      <c r="BS273" s="1012"/>
      <c r="BT273" s="4774" t="s">
        <v>1690</v>
      </c>
      <c r="BU273" s="4775"/>
      <c r="BV273" s="971"/>
      <c r="BW273" s="951"/>
      <c r="BX273" s="951"/>
      <c r="BY273" s="1286"/>
      <c r="BZ273" s="1304"/>
      <c r="CA273" s="939"/>
      <c r="DR273" s="939"/>
      <c r="DT273" s="1325"/>
      <c r="DU273" s="1375" t="str">
        <f>IF(BW290="N/A","",BT289&amp;" "&amp;BW290&amp;IF(BY290="N/A"," "," ("&amp;BY290&amp;") "))</f>
        <v/>
      </c>
      <c r="DV273" s="1376" t="str">
        <f>IF(E273="","",E273)&amp;IF(I273="No",""," (Mant.)")&amp;IF(L273="No",""," (Sme)")&amp;IF(O273="No",""," (SMa)")</f>
        <v/>
      </c>
      <c r="DW273" s="1377"/>
      <c r="DX273" s="4778"/>
      <c r="DY273" s="1324"/>
      <c r="DZ273" s="939"/>
      <c r="EA273" s="1470">
        <f t="shared" si="4"/>
        <v>1</v>
      </c>
    </row>
    <row r="274" spans="1:131" x14ac:dyDescent="0.2">
      <c r="A274" s="939"/>
      <c r="B274" s="1403"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822"/>
      <c r="D274" s="1454">
        <v>2</v>
      </c>
      <c r="E274" s="1246"/>
      <c r="F274" s="1016"/>
      <c r="G274" s="1017"/>
      <c r="H274" s="2159">
        <f t="array" ref="H274">IF(AND(OR(ISNUMBER(SEARCH("Empatía Elemental ("&amp;BK269:BM269&amp;")",Principal!$AF$30))),SUM(H269:H273)&gt;=10),-5,0)</f>
        <v>0</v>
      </c>
      <c r="I274" s="1413"/>
      <c r="J274" s="1416"/>
      <c r="K274" s="1017"/>
      <c r="L274" s="1413"/>
      <c r="M274" s="1416"/>
      <c r="N274" s="1017"/>
      <c r="O274" s="1413"/>
      <c r="P274" s="1416"/>
      <c r="Q274" s="1017"/>
      <c r="R274" s="1018"/>
      <c r="S274" s="1017"/>
      <c r="T274" s="1017"/>
      <c r="U274" s="974"/>
      <c r="V274" s="974"/>
      <c r="W274" s="974"/>
      <c r="X274" s="974"/>
      <c r="Y274" s="974"/>
      <c r="Z274" s="974"/>
      <c r="AA274" s="974"/>
      <c r="AB274" s="974"/>
      <c r="AC274" s="974"/>
      <c r="AD274" s="974"/>
      <c r="AE274" s="974"/>
      <c r="AF274" s="974"/>
      <c r="AG274" s="974"/>
      <c r="AH274" s="974"/>
      <c r="AI274" s="974"/>
      <c r="AJ274" s="974"/>
      <c r="AK274" s="974"/>
      <c r="AL274" s="974"/>
      <c r="AM274" s="974"/>
      <c r="AN274" s="974"/>
      <c r="AO274" s="974"/>
      <c r="AP274" s="974"/>
      <c r="AQ274" s="974"/>
      <c r="AR274" s="974"/>
      <c r="AS274" s="974"/>
      <c r="AT274" s="974"/>
      <c r="AU274" s="974"/>
      <c r="AV274" s="974"/>
      <c r="AW274" s="974"/>
      <c r="AX274" s="974"/>
      <c r="AY274" s="974"/>
      <c r="AZ274" s="974"/>
      <c r="BA274" s="974"/>
      <c r="BB274" s="974"/>
      <c r="BC274" s="974"/>
      <c r="BD274" s="974"/>
      <c r="BE274" s="974"/>
      <c r="BF274" s="974"/>
      <c r="BG274" s="974"/>
      <c r="BH274" s="974"/>
      <c r="BI274" s="974"/>
      <c r="BJ274" s="974"/>
      <c r="BK274" s="974"/>
      <c r="BL274" s="974"/>
      <c r="BM274" s="976"/>
      <c r="BN274" s="977">
        <f>SUM(K274:K277)</f>
        <v>0</v>
      </c>
      <c r="BO274" s="971" t="str">
        <f>IF(E274=0,"",(AF274+AP274+AZ274+BJ274))</f>
        <v/>
      </c>
      <c r="BP274" s="978" t="str">
        <f>IF(I274="Si",VLOOKUP($D$8,'Tablas Técnicas'!$E$4:$F$6,2,FALSE),"")</f>
        <v/>
      </c>
      <c r="BQ274" s="979" t="str">
        <f>IF(L274="Si",VLOOKUP($D$8,'Tablas Técnicas'!$I$4:$J$6,2,FALSE),"")</f>
        <v/>
      </c>
      <c r="BR274" s="977" t="str">
        <f>IF(O274="Si",VLOOKUP($D$8,'Tablas Técnicas'!$I$7:$J$9,2,FALSE),"")</f>
        <v/>
      </c>
      <c r="BS274" s="994"/>
      <c r="BT274" s="4770" t="s">
        <v>4547</v>
      </c>
      <c r="BU274" s="4771"/>
      <c r="BV274" s="971"/>
      <c r="BW274" s="951"/>
      <c r="BX274" s="951"/>
      <c r="BY274" s="1286"/>
      <c r="BZ274" s="1304"/>
      <c r="CA274" s="939"/>
      <c r="DR274" s="939"/>
      <c r="DT274" s="1325"/>
      <c r="DU274" s="1375" t="str">
        <f>IF(BW292="N/A","",BT291&amp;" "&amp;BW292&amp;IF(BY292="N/A"," "," ("&amp;BY292&amp;") "))</f>
        <v/>
      </c>
      <c r="DV274" s="1380"/>
      <c r="DW274" s="1377"/>
      <c r="DX274" s="1427" t="s">
        <v>1828</v>
      </c>
      <c r="DY274" s="1324"/>
      <c r="DZ274" s="939"/>
      <c r="EA274" s="1470">
        <f t="shared" si="4"/>
        <v>1</v>
      </c>
    </row>
    <row r="275" spans="1:131" x14ac:dyDescent="0.2">
      <c r="A275" s="939"/>
      <c r="B275" s="939"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822"/>
      <c r="D275" s="1453" t="s">
        <v>1766</v>
      </c>
      <c r="E275" s="983"/>
      <c r="F275" s="1019"/>
      <c r="G275" s="989" t="str">
        <f>IF(E275=0,"",VLOOKUP(E275,'Tablas Técnicas'!$A$14:$V$771,3,FALSE))</f>
        <v/>
      </c>
      <c r="H275" s="1021" t="str">
        <f>IF($E275=0,"",VLOOKUP($E275,'Tablas Técnicas'!$A$14:$V$771,4,FALSE))</f>
        <v/>
      </c>
      <c r="I275" s="987" t="s">
        <v>1690</v>
      </c>
      <c r="J275" s="1414" t="str">
        <f>IF(E275=0,"",VLOOKUP(E275,'Tablas Técnicas'!$A$14:$V$771,5,FALSE))</f>
        <v/>
      </c>
      <c r="K275" s="1020" t="str">
        <f>IF(I275="Si",IF(E275=0,"",VLOOKUP(E275,'Tablas Técnicas'!$A$14:$V$771,5,FALSE)),"")</f>
        <v/>
      </c>
      <c r="L275" s="987" t="s">
        <v>1690</v>
      </c>
      <c r="M275" s="1414" t="str">
        <f>IF(E275=0,"",VLOOKUP(E275,'Tablas Técnicas'!$A$14:$V$771,6,FALSE))</f>
        <v/>
      </c>
      <c r="N275" s="990" t="str">
        <f>IF(L275="Si",IF(E275=0,"",VLOOKUP(E275,'Tablas Técnicas'!$A$14:$V$771,6,FALSE)),"")</f>
        <v/>
      </c>
      <c r="O275" s="987" t="s">
        <v>1690</v>
      </c>
      <c r="P275" s="1414" t="str">
        <f>IF(E275=0,"",VLOOKUP(E275,'Tablas Técnicas'!$A$14:$V$771,7,FALSE))</f>
        <v/>
      </c>
      <c r="Q275" s="990" t="str">
        <f>IF(O275="Si",IF(E275=0,"",VLOOKUP(E275,'Tablas Técnicas'!$A$14:$V$771,7,FALSE)),"")</f>
        <v/>
      </c>
      <c r="R275" s="1022" t="str">
        <f>IF(E275=0,"",VLOOKUP(E275,'Tablas Técnicas'!$A$14:$V$771,8,FALSE))</f>
        <v/>
      </c>
      <c r="S275" s="1021" t="str">
        <f>IF(R275=$D$8,$D$8,IF(R275=2,2,IF(R275=3,3,R275)))</f>
        <v/>
      </c>
      <c r="T275" s="989" t="str">
        <f>IF(E275=0,"",VLOOKUP(E275,'Tablas Técnicas'!$A$14:$V$771,9,FALSE))</f>
        <v/>
      </c>
      <c r="U275" s="989" t="str">
        <f>IF(E275=0,"",VLOOKUP(E275,'Tablas Técnicas'!$A$14:$V$771,10,FALSE))</f>
        <v/>
      </c>
      <c r="V275" s="984" t="str">
        <f>IF(E275=0,"",VLOOKUP(E275,'Tablas Técnicas'!$A$14:$V$771,11,FALSE))</f>
        <v/>
      </c>
      <c r="W275" s="987"/>
      <c r="X275" s="988" t="e">
        <f>VLOOKUP(E275,'Tablas Técnicas'!$A$14:$V$771,12,FALSE)</f>
        <v>#N/A</v>
      </c>
      <c r="Y275" s="988" t="e">
        <f>IF(W275=X275,VLOOKUP(E275,'Tablas Técnicas'!$A$14:$V$771,13,FALSE),0)</f>
        <v>#N/A</v>
      </c>
      <c r="Z275" s="988" t="e">
        <f>VLOOKUP(E275,'Tablas Técnicas'!$A$14:$V$771,14,FALSE)</f>
        <v>#N/A</v>
      </c>
      <c r="AA275" s="988" t="e">
        <f>IF(W275=Z275,VLOOKUP(E275,'Tablas Técnicas'!$A$14:$V$616,15,FALSE),0)</f>
        <v>#N/A</v>
      </c>
      <c r="AB275" s="988" t="e">
        <f>VLOOKUP(E275,'Tablas Técnicas'!$A$14:$V$771,16,FALSE)</f>
        <v>#N/A</v>
      </c>
      <c r="AC275" s="988" t="e">
        <f>IF(W275=AB275,VLOOKUP(E275,'Tablas Técnicas'!$A$14:$V$616,17,FALSE),0)</f>
        <v>#N/A</v>
      </c>
      <c r="AD275" s="988" t="e">
        <f>VLOOKUP(E275,'Tablas Técnicas'!$A$14:$V$771,18,FALSE)</f>
        <v>#N/A</v>
      </c>
      <c r="AE275" s="988" t="e">
        <f>IF(W275=AD275,VLOOKUP(E275,'Tablas Técnicas'!$A$14:$V$771,19,FALSE),0)</f>
        <v>#N/A</v>
      </c>
      <c r="AF275" s="989" t="str">
        <f>IF(E275=0,"",(Y275+AA275+AC275+AE275))</f>
        <v/>
      </c>
      <c r="AG275" s="987"/>
      <c r="AH275" s="1022" t="e">
        <f>VLOOKUP(E275,'Tablas Técnicas'!$A$14:$V$771,12,FALSE)</f>
        <v>#N/A</v>
      </c>
      <c r="AI275" s="1022" t="e">
        <f>IF(AG275=AH275,VLOOKUP(E275,'Tablas Técnicas'!$A$14:$V$771,13,FALSE),0)</f>
        <v>#N/A</v>
      </c>
      <c r="AJ275" s="1022" t="e">
        <f>VLOOKUP(E275,'Tablas Técnicas'!$A$14:$V$771,14,FALSE)</f>
        <v>#N/A</v>
      </c>
      <c r="AK275" s="1022" t="e">
        <f>IF(AG275=AJ275,VLOOKUP(E275,'Tablas Técnicas'!$A$14:$V$771,15,FALSE),0)</f>
        <v>#N/A</v>
      </c>
      <c r="AL275" s="1022" t="e">
        <f>VLOOKUP(E275,'Tablas Técnicas'!$A$14:$V$771,16,FALSE)</f>
        <v>#N/A</v>
      </c>
      <c r="AM275" s="1022" t="e">
        <f>IF(AG275=AL275,VLOOKUP(E275,'Tablas Técnicas'!$A$14:$V$771,17,FALSE),0)</f>
        <v>#N/A</v>
      </c>
      <c r="AN275" s="1022" t="e">
        <f>VLOOKUP(E275,'Tablas Técnicas'!$A$14:$V$771,18,FALSE)</f>
        <v>#N/A</v>
      </c>
      <c r="AO275" s="1022" t="e">
        <f>IF(AG275=AN275,VLOOKUP(E275,'Tablas Técnicas'!$A$14:$V$771,19,FALSE),0)</f>
        <v>#N/A</v>
      </c>
      <c r="AP275" s="1023" t="str">
        <f>IF(E275=0,"",(AI275+AK275+AM275+AO275))</f>
        <v/>
      </c>
      <c r="AQ275" s="987"/>
      <c r="AR275" s="988" t="e">
        <f>VLOOKUP(E275,'Tablas Técnicas'!$A$14:$V$771,12,FALSE)</f>
        <v>#N/A</v>
      </c>
      <c r="AS275" s="988" t="e">
        <f>IF(AQ275=AR275,VLOOKUP(E275,'Tablas Técnicas'!$A$14:$V$771,13,FALSE),0)</f>
        <v>#N/A</v>
      </c>
      <c r="AT275" s="988" t="e">
        <f>VLOOKUP(E275,'Tablas Técnicas'!$A$14:$V$771,14,FALSE)</f>
        <v>#N/A</v>
      </c>
      <c r="AU275" s="988" t="e">
        <f>IF(AQ275=AT275,VLOOKUP(E275,'Tablas Técnicas'!$A$14:$V$771,15,FALSE),0)</f>
        <v>#N/A</v>
      </c>
      <c r="AV275" s="988" t="e">
        <f>VLOOKUP(E275,'Tablas Técnicas'!$A$14:$V$771,16,FALSE)</f>
        <v>#N/A</v>
      </c>
      <c r="AW275" s="988" t="e">
        <f>IF(AQ275=AV275,VLOOKUP(E275,'Tablas Técnicas'!$A$14:$V$771,17,FALSE),0)</f>
        <v>#N/A</v>
      </c>
      <c r="AX275" s="988" t="e">
        <f>VLOOKUP(E275,'Tablas Técnicas'!$A$14:$V$771,18,FALSE)</f>
        <v>#N/A</v>
      </c>
      <c r="AY275" s="988" t="e">
        <f>IF(AQ275=AX275,VLOOKUP(E275,'Tablas Técnicas'!$A$14:$V$771,19,FALSE),0)</f>
        <v>#N/A</v>
      </c>
      <c r="AZ275" s="989" t="str">
        <f>IF(E275=0,"",(AS275+AU275+AW275+AY275))</f>
        <v/>
      </c>
      <c r="BA275" s="987"/>
      <c r="BB275" s="988" t="e">
        <f>VLOOKUP(E275,'Tablas Técnicas'!$A$14:$V$771,12,FALSE)</f>
        <v>#N/A</v>
      </c>
      <c r="BC275" s="988" t="e">
        <f>IF(BA275=BB275,VLOOKUP(E275,'Tablas Técnicas'!$A$14:$V$771,13,FALSE),0)</f>
        <v>#N/A</v>
      </c>
      <c r="BD275" s="988" t="e">
        <f>VLOOKUP(E275,'Tablas Técnicas'!$A$14:$V$771,14,FALSE)</f>
        <v>#N/A</v>
      </c>
      <c r="BE275" s="988" t="e">
        <f>IF(BA275=BD275,VLOOKUP(E275,'Tablas Técnicas'!$A$14:$V$771,15,FALSE),0)</f>
        <v>#N/A</v>
      </c>
      <c r="BF275" s="988" t="e">
        <f>VLOOKUP(E275,'Tablas Técnicas'!$A$14:$V$771,16,FALSE)</f>
        <v>#N/A</v>
      </c>
      <c r="BG275" s="988" t="e">
        <f>IF(BA275=BF275,VLOOKUP(E275,'Tablas Técnicas'!$A$14:$V$771,17,FALSE),0)</f>
        <v>#N/A</v>
      </c>
      <c r="BH275" s="988" t="e">
        <f>VLOOKUP(E275,'Tablas Técnicas'!$A$14:$V$771,18,FALSE)</f>
        <v>#N/A</v>
      </c>
      <c r="BI275" s="988" t="e">
        <f>IF(BA275=BH275,VLOOKUP(E275,'Tablas Técnicas'!$A$14:$V$771,19,FALSE),0)</f>
        <v>#N/A</v>
      </c>
      <c r="BJ275" s="990" t="str">
        <f>IF(E275=0,"",(BC275+BE275+BG275+BI275))</f>
        <v/>
      </c>
      <c r="BK275" s="989" t="str">
        <f>IF(E275=0,"",VLOOKUP(E275,'Tablas Técnicas'!$A$14:$V$771,20,FALSE))</f>
        <v/>
      </c>
      <c r="BL275" s="989" t="str">
        <f>IF(E275=0,"",VLOOKUP(E275,'Tablas Técnicas'!$A$14:$V$771,21,FALSE))</f>
        <v/>
      </c>
      <c r="BM275" s="1024" t="str">
        <f>IF(E275=0,"",VLOOKUP(E275,'Tablas Técnicas'!$A$14:$V$771,22,FALSE))</f>
        <v/>
      </c>
      <c r="BN275" s="992"/>
      <c r="BO275" s="993"/>
      <c r="BP275" s="978" t="str">
        <f>IF(I275="Si",VLOOKUP($D$8,'Tablas Técnicas'!$E$4:$F$6,2,FALSE),"")</f>
        <v/>
      </c>
      <c r="BQ275" s="979" t="str">
        <f>IF(L275="Si",VLOOKUP($D$8,'Tablas Técnicas'!$I$4:$J$6,2,FALSE),"")</f>
        <v/>
      </c>
      <c r="BR275" s="977" t="str">
        <f>IF(O275="Si",VLOOKUP($D$8,'Tablas Técnicas'!$I$7:$J$9,2,FALSE),"")</f>
        <v/>
      </c>
      <c r="BS275" s="994"/>
      <c r="BT275" s="4774" t="s">
        <v>4527</v>
      </c>
      <c r="BU275" s="4775"/>
      <c r="BV275" s="971"/>
      <c r="BW275" s="951"/>
      <c r="BX275" s="951"/>
      <c r="BY275" s="1286"/>
      <c r="BZ275" s="1304"/>
      <c r="CA275" s="939"/>
      <c r="DR275" s="939"/>
      <c r="DT275" s="1326"/>
      <c r="DU275" s="1379"/>
      <c r="DV275" s="1376" t="str">
        <f>IF(E275="","",", "&amp;E275)&amp;IF(I275="No",""," (Mant.)")&amp;IF(L275="No",""," (Sme)")&amp;IF(O275="No",""," (SMa)")</f>
        <v/>
      </c>
      <c r="DW275" s="1377"/>
      <c r="DX275" s="1378" t="str">
        <f>IF(ISNUMBER(FIND('Tablas Técnicas'!A$678,DW293)),BL299&amp;BM299,IF(ISNUMBER(FIND('Tablas Técnicas'!A$679,DW293)),BL299&amp;" "&amp;BM299,""))</f>
        <v/>
      </c>
      <c r="DY275" s="1327"/>
      <c r="DZ275" s="939"/>
      <c r="EA275" s="1470">
        <f t="shared" si="4"/>
        <v>1</v>
      </c>
    </row>
    <row r="276" spans="1:131" x14ac:dyDescent="0.2">
      <c r="A276" s="939"/>
      <c r="B276" s="939"/>
      <c r="C276" s="4822"/>
      <c r="D276" s="1452" t="s">
        <v>1766</v>
      </c>
      <c r="E276" s="995"/>
      <c r="F276" s="1025"/>
      <c r="G276" s="1437" t="str">
        <f>IF(E276=0,"",VLOOKUP(E276,'Tablas Técnicas'!$A$14:$V$771,3,FALSE))</f>
        <v/>
      </c>
      <c r="H276" s="998" t="str">
        <f>IF($E276=0,"",VLOOKUP($E276,'Tablas Técnicas'!$A$14:$V$771,4,FALSE))</f>
        <v/>
      </c>
      <c r="I276" s="999" t="s">
        <v>1690</v>
      </c>
      <c r="J276" s="1415" t="str">
        <f>IF(E276=0,"",VLOOKUP(E276,'Tablas Técnicas'!$A$14:$V$771,5,FALSE))</f>
        <v/>
      </c>
      <c r="K276" s="1001" t="str">
        <f>IF(I276="Si",IF(E276=0,"",VLOOKUP(E276,'Tablas Técnicas'!$A$14:$V$771,5,FALSE)),"")</f>
        <v/>
      </c>
      <c r="L276" s="999" t="s">
        <v>1690</v>
      </c>
      <c r="M276" s="1415" t="str">
        <f>IF(E276=0,"",VLOOKUP(E276,'Tablas Técnicas'!$A$14:$V$771,6,FALSE))</f>
        <v/>
      </c>
      <c r="N276" s="1002" t="str">
        <f>IF(L276="Si",IF(E276=0,"",VLOOKUP(E276,'Tablas Técnicas'!$A$14:$V$771,6,FALSE)),"")</f>
        <v/>
      </c>
      <c r="O276" s="999" t="s">
        <v>1690</v>
      </c>
      <c r="P276" s="1415" t="str">
        <f>IF(E276=0,"",VLOOKUP(E276,'Tablas Técnicas'!$A$14:$V$771,7,FALSE))</f>
        <v/>
      </c>
      <c r="Q276" s="1002" t="str">
        <f>IF(O276="Si",IF(E276=0,"",VLOOKUP(E276,'Tablas Técnicas'!$A$14:$V$771,7,FALSE)),"")</f>
        <v/>
      </c>
      <c r="R276" s="1000" t="str">
        <f>IF(E276=0,"",VLOOKUP(E276,'Tablas Técnicas'!$A$14:$V$771,8,FALSE))</f>
        <v/>
      </c>
      <c r="S276" s="998" t="str">
        <f>IF(R276=$D$8,$D$8,IF(R276=2,2,IF(R276=3,3,R276)))</f>
        <v/>
      </c>
      <c r="T276" s="4796" t="s">
        <v>4542</v>
      </c>
      <c r="U276" s="4797"/>
      <c r="V276" s="4797"/>
      <c r="W276" s="4797"/>
      <c r="X276" s="4797"/>
      <c r="Y276" s="4797"/>
      <c r="Z276" s="4797"/>
      <c r="AA276" s="4797"/>
      <c r="AB276" s="4797"/>
      <c r="AC276" s="4797"/>
      <c r="AD276" s="4797"/>
      <c r="AE276" s="4797"/>
      <c r="AF276" s="4797"/>
      <c r="AG276" s="4797"/>
      <c r="AH276" s="4797"/>
      <c r="AI276" s="4797"/>
      <c r="AJ276" s="4797"/>
      <c r="AK276" s="4797"/>
      <c r="AL276" s="4797"/>
      <c r="AM276" s="4797"/>
      <c r="AN276" s="4797"/>
      <c r="AO276" s="4797"/>
      <c r="AP276" s="4797"/>
      <c r="AQ276" s="4797"/>
      <c r="AR276" s="4797"/>
      <c r="AS276" s="4797"/>
      <c r="AT276" s="4797"/>
      <c r="AU276" s="4797"/>
      <c r="AV276" s="4797"/>
      <c r="AW276" s="4797"/>
      <c r="AX276" s="4797"/>
      <c r="AY276" s="4797"/>
      <c r="AZ276" s="4797"/>
      <c r="BA276" s="4797"/>
      <c r="BB276" s="4797"/>
      <c r="BC276" s="4797"/>
      <c r="BD276" s="4797"/>
      <c r="BE276" s="4797"/>
      <c r="BF276" s="4797"/>
      <c r="BG276" s="4797"/>
      <c r="BH276" s="4797"/>
      <c r="BI276" s="4797"/>
      <c r="BJ276" s="4797"/>
      <c r="BK276" s="4798"/>
      <c r="BL276" s="1437"/>
      <c r="BM276" s="1438"/>
      <c r="BN276" s="992"/>
      <c r="BO276" s="993"/>
      <c r="BP276" s="978" t="str">
        <f>IF(I276="Si",VLOOKUP($D$8,'Tablas Técnicas'!$E$4:$F$6,2,FALSE),"")</f>
        <v/>
      </c>
      <c r="BQ276" s="979" t="str">
        <f>IF(L276="Si",VLOOKUP($D$8,'Tablas Técnicas'!$I$4:$J$6,2,FALSE),"")</f>
        <v/>
      </c>
      <c r="BR276" s="977" t="str">
        <f>IF(O276="Si",VLOOKUP($D$8,'Tablas Técnicas'!$I$7:$J$9,2,FALSE),"")</f>
        <v/>
      </c>
      <c r="BS276" s="994"/>
      <c r="BT276" s="4770" t="s">
        <v>4548</v>
      </c>
      <c r="BU276" s="4771"/>
      <c r="BV276" s="971"/>
      <c r="BW276" s="951"/>
      <c r="BX276" s="951"/>
      <c r="BY276" s="1286"/>
      <c r="BZ276" s="1304"/>
      <c r="CA276" s="939"/>
      <c r="DR276" s="939"/>
      <c r="DT276" s="1325"/>
      <c r="DU276" s="1375"/>
      <c r="DV276" s="1376" t="str">
        <f>IF(E276="",""," "&amp;E276)&amp;IF(I276="No",""," (Mant.)")&amp;IF(L276="No",""," (Sme)")&amp;IF(O276="No",""," (SMa)")</f>
        <v/>
      </c>
      <c r="DW276" s="1377"/>
      <c r="DX276" s="1378"/>
      <c r="DY276" s="1324"/>
      <c r="DZ276" s="939"/>
      <c r="EA276" s="1470">
        <f t="shared" si="4"/>
        <v>1</v>
      </c>
    </row>
    <row r="277" spans="1:131" x14ac:dyDescent="0.2">
      <c r="A277" s="939"/>
      <c r="B277" s="939"/>
      <c r="C277" s="4822"/>
      <c r="D277" s="1453" t="s">
        <v>1766</v>
      </c>
      <c r="E277" s="1003"/>
      <c r="F277" s="1019"/>
      <c r="G277" s="989" t="str">
        <f>IF(E277=0,"",VLOOKUP(E277,'Tablas Técnicas'!$A$14:$V$771,3,FALSE))</f>
        <v/>
      </c>
      <c r="H277" s="3033" t="str">
        <f>IF($E277=0,"",VLOOKUP($E277,'Tablas Técnicas'!$A$14:$V$771,4,FALSE))</f>
        <v/>
      </c>
      <c r="I277" s="987" t="s">
        <v>1690</v>
      </c>
      <c r="J277" s="1411" t="str">
        <f>IF(E277=0,"",VLOOKUP(E277,'Tablas Técnicas'!$A$14:$V$771,5,FALSE))</f>
        <v/>
      </c>
      <c r="K277" s="1006" t="str">
        <f>IF(I277="Si",IF(E277=0,"",VLOOKUP(E277,'Tablas Técnicas'!$A$14:$V$771,5,FALSE)),"")</f>
        <v/>
      </c>
      <c r="L277" s="987" t="s">
        <v>1690</v>
      </c>
      <c r="M277" s="1411" t="str">
        <f>IF(E277=0,"",VLOOKUP(E277,'Tablas Técnicas'!$A$14:$V$771,6,FALSE))</f>
        <v/>
      </c>
      <c r="N277" s="990" t="str">
        <f>IF(L277="Si",IF(E277=0,"",VLOOKUP(E277,'Tablas Técnicas'!$A$14:$V$771,6,FALSE)),"")</f>
        <v/>
      </c>
      <c r="O277" s="987" t="s">
        <v>1690</v>
      </c>
      <c r="P277" s="1411" t="str">
        <f>IF(E277=0,"",VLOOKUP(E277,'Tablas Técnicas'!$A$14:$V$771,7,FALSE))</f>
        <v/>
      </c>
      <c r="Q277" s="990" t="str">
        <f>IF(O277="Si",IF(E277=0,"",VLOOKUP(E277,'Tablas Técnicas'!$A$14:$V$771,7,FALSE)),"")</f>
        <v/>
      </c>
      <c r="R277" s="1005" t="str">
        <f>IF(E277=0,"",VLOOKUP(E277,'Tablas Técnicas'!$A$14:$V$771,8,FALSE))</f>
        <v/>
      </c>
      <c r="S277" s="3033" t="str">
        <f>IF(R277=$D$8,$D$8,IF(R277=2,2,IF(R277=3,3,R277)))</f>
        <v/>
      </c>
      <c r="T277" s="4809"/>
      <c r="U277" s="4810"/>
      <c r="V277" s="3029" t="str">
        <f>IF(OR(V275=0,V275=""),"N/A",V275)</f>
        <v>N/A</v>
      </c>
      <c r="W277" s="4809" t="str">
        <f xml:space="preserve"> IF(OR(AF275=0,AF275=""),"N/A",W275)</f>
        <v>N/A</v>
      </c>
      <c r="X277" s="4811"/>
      <c r="Y277" s="4811"/>
      <c r="Z277" s="4811"/>
      <c r="AA277" s="4811"/>
      <c r="AB277" s="4811"/>
      <c r="AC277" s="4811"/>
      <c r="AD277" s="4811"/>
      <c r="AE277" s="4811"/>
      <c r="AF277" s="4810"/>
      <c r="AG277" s="4809" t="str">
        <f xml:space="preserve"> IF(OR(AP275="",AP275=0),"N/A",AG275)</f>
        <v>N/A</v>
      </c>
      <c r="AH277" s="4811"/>
      <c r="AI277" s="4811"/>
      <c r="AJ277" s="4811"/>
      <c r="AK277" s="4811"/>
      <c r="AL277" s="4811"/>
      <c r="AM277" s="4811"/>
      <c r="AN277" s="4811"/>
      <c r="AO277" s="4811"/>
      <c r="AP277" s="4810"/>
      <c r="AQ277" s="4809" t="str">
        <f xml:space="preserve"> IF(OR(AZ275="",AZ275=0),"N/A",AQ275)</f>
        <v>N/A</v>
      </c>
      <c r="AR277" s="4811"/>
      <c r="AS277" s="4811"/>
      <c r="AT277" s="4811"/>
      <c r="AU277" s="4811"/>
      <c r="AV277" s="4811"/>
      <c r="AW277" s="4811"/>
      <c r="AX277" s="4811"/>
      <c r="AY277" s="4811"/>
      <c r="AZ277" s="4810"/>
      <c r="BA277" s="4809" t="str">
        <f xml:space="preserve"> IF(OR(BJ275="",BJ275=0),"N/A",BA275)</f>
        <v>N/A</v>
      </c>
      <c r="BB277" s="4811"/>
      <c r="BC277" s="4811"/>
      <c r="BD277" s="4811"/>
      <c r="BE277" s="4811"/>
      <c r="BF277" s="4811"/>
      <c r="BG277" s="4811"/>
      <c r="BH277" s="4811"/>
      <c r="BI277" s="4811"/>
      <c r="BJ277" s="4810"/>
      <c r="BK277" s="1007" t="s">
        <v>4543</v>
      </c>
      <c r="BL277" s="989"/>
      <c r="BM277" s="1024"/>
      <c r="BN277" s="992"/>
      <c r="BO277" s="1009"/>
      <c r="BP277" s="978" t="str">
        <f>IF(I277="Si",VLOOKUP($D$8,'Tablas Técnicas'!$E$4:$F$6,2,FALSE),"")</f>
        <v/>
      </c>
      <c r="BQ277" s="979" t="str">
        <f>IF(L277="Si",VLOOKUP($D$8,'Tablas Técnicas'!$I$4:$J$6,2,FALSE),"")</f>
        <v/>
      </c>
      <c r="BR277" s="977" t="str">
        <f>IF(O277="Si",VLOOKUP($D$8,'Tablas Técnicas'!$I$7:$J$9,2,FALSE),"")</f>
        <v/>
      </c>
      <c r="BS277" s="994"/>
      <c r="BT277" s="4774" t="s">
        <v>4521</v>
      </c>
      <c r="BU277" s="4775"/>
      <c r="BV277" s="971"/>
      <c r="BW277" s="951"/>
      <c r="BX277" s="951"/>
      <c r="BY277" s="1286"/>
      <c r="BZ277" s="1304"/>
      <c r="CA277" s="939"/>
      <c r="DR277" s="939"/>
      <c r="DT277" s="1325"/>
      <c r="DU277" s="1379"/>
      <c r="DV277" s="1376" t="str">
        <f>IF(E277="","",E277)&amp;IF(I277="No",""," (Mant.)")&amp;IF(L277="No",""," (Sme)")&amp;IF(O277="No",""," (SMa)")</f>
        <v/>
      </c>
      <c r="DW277" s="1377"/>
      <c r="DX277" s="1378"/>
      <c r="DY277" s="1324"/>
      <c r="DZ277" s="939"/>
      <c r="EA277" s="1470">
        <f t="shared" si="4"/>
        <v>1</v>
      </c>
    </row>
    <row r="278" spans="1:131" x14ac:dyDescent="0.2">
      <c r="A278" s="939"/>
      <c r="B278" s="939"/>
      <c r="C278" s="4822"/>
      <c r="D278" s="1452" t="s">
        <v>1766</v>
      </c>
      <c r="E278" s="995"/>
      <c r="F278" s="1025"/>
      <c r="G278" s="1437" t="str">
        <f>IF(E278=0,"",VLOOKUP(E278,'Tablas Técnicas'!$A$14:$V$771,3,FALSE))</f>
        <v/>
      </c>
      <c r="H278" s="998" t="str">
        <f>IF($E278=0,"",VLOOKUP($E278,'Tablas Técnicas'!$A$14:$V$771,4,FALSE))</f>
        <v/>
      </c>
      <c r="I278" s="999" t="s">
        <v>1690</v>
      </c>
      <c r="J278" s="1415" t="str">
        <f>IF(E278=0,"",VLOOKUP(E278,'Tablas Técnicas'!$A$14:$V$771,5,FALSE))</f>
        <v/>
      </c>
      <c r="K278" s="1001" t="str">
        <f>IF(I278="Si",IF(E278=0,"",VLOOKUP(E278,'Tablas Técnicas'!$A$14:$V$771,5,FALSE)),"")</f>
        <v/>
      </c>
      <c r="L278" s="999" t="s">
        <v>1690</v>
      </c>
      <c r="M278" s="1415" t="str">
        <f>IF(E278=0,"",VLOOKUP(E278,'Tablas Técnicas'!$A$14:$V$771,6,FALSE))</f>
        <v/>
      </c>
      <c r="N278" s="1002" t="str">
        <f>IF(L278="Si",IF(E278=0,"",VLOOKUP(E278,'Tablas Técnicas'!$A$14:$V$771,6,FALSE)),"")</f>
        <v/>
      </c>
      <c r="O278" s="999" t="s">
        <v>1690</v>
      </c>
      <c r="P278" s="1415" t="str">
        <f>IF(E278=0,"",VLOOKUP(E278,'Tablas Técnicas'!$A$14:$V$771,7,FALSE))</f>
        <v/>
      </c>
      <c r="Q278" s="1002" t="str">
        <f>IF(O278="Si",IF(E278=0,"",VLOOKUP(E278,'Tablas Técnicas'!$A$14:$V$771,7,FALSE)),"")</f>
        <v/>
      </c>
      <c r="R278" s="1000" t="str">
        <f>IF(E278=0,"",VLOOKUP(E278,'Tablas Técnicas'!$A$14:$V$771,8,FALSE))</f>
        <v/>
      </c>
      <c r="S278" s="998" t="str">
        <f>IF(R278=$D$8,$D$8,IF(R278=2,2,IF(R278=3,3,R278)))</f>
        <v/>
      </c>
      <c r="T278" s="4812" t="s">
        <v>4544</v>
      </c>
      <c r="U278" s="4813"/>
      <c r="V278" s="3025"/>
      <c r="W278" s="4814"/>
      <c r="X278" s="4815"/>
      <c r="Y278" s="4815"/>
      <c r="Z278" s="4815"/>
      <c r="AA278" s="4815"/>
      <c r="AB278" s="4815"/>
      <c r="AC278" s="4815"/>
      <c r="AD278" s="4815"/>
      <c r="AE278" s="4815"/>
      <c r="AF278" s="4816"/>
      <c r="AG278" s="4814"/>
      <c r="AH278" s="4815"/>
      <c r="AI278" s="4815"/>
      <c r="AJ278" s="4815"/>
      <c r="AK278" s="4815"/>
      <c r="AL278" s="4815"/>
      <c r="AM278" s="4815"/>
      <c r="AN278" s="4815"/>
      <c r="AO278" s="4815"/>
      <c r="AP278" s="4816"/>
      <c r="AQ278" s="4814"/>
      <c r="AR278" s="4815"/>
      <c r="AS278" s="4815"/>
      <c r="AT278" s="4815"/>
      <c r="AU278" s="4815"/>
      <c r="AV278" s="4815"/>
      <c r="AW278" s="4815"/>
      <c r="AX278" s="4815"/>
      <c r="AY278" s="4815"/>
      <c r="AZ278" s="4816"/>
      <c r="BA278" s="4814"/>
      <c r="BB278" s="4815"/>
      <c r="BC278" s="4815"/>
      <c r="BD278" s="4815"/>
      <c r="BE278" s="4815"/>
      <c r="BF278" s="4815"/>
      <c r="BG278" s="4815"/>
      <c r="BH278" s="4815"/>
      <c r="BI278" s="4815"/>
      <c r="BJ278" s="4816"/>
      <c r="BK278" s="998">
        <f>(SUM(G275:G279)+IF(AF275="",0,AF275)+IF(AP275="",0,AP275)+IF(AZ275="",0,AZ275)+IF(BJ275="",0,BJ275)+SUM(K275:K279)+SUM(N275:N279)+SUM(Q275:Q279))- SUM(V278:BA278)</f>
        <v>0</v>
      </c>
      <c r="BL278" s="1437"/>
      <c r="BM278" s="1438"/>
      <c r="BN278" s="992"/>
      <c r="BO278" s="993"/>
      <c r="BP278" s="978" t="str">
        <f>IF(I278="Si",VLOOKUP($D$8,'Tablas Técnicas'!$E$4:$F$6,2,FALSE),"")</f>
        <v/>
      </c>
      <c r="BQ278" s="979" t="str">
        <f>IF(L278="Si",VLOOKUP($D$8,'Tablas Técnicas'!$I$4:$J$6,2,FALSE),"")</f>
        <v/>
      </c>
      <c r="BR278" s="977" t="str">
        <f>IF(O278="Si",VLOOKUP($D$8,'Tablas Técnicas'!$I$7:$J$9,2,FALSE),"")</f>
        <v/>
      </c>
      <c r="BS278" s="994"/>
      <c r="BT278" s="4766" t="s">
        <v>4549</v>
      </c>
      <c r="BU278" s="4767"/>
      <c r="BV278" s="971"/>
      <c r="BW278" s="951"/>
      <c r="BX278" s="951"/>
      <c r="BY278" s="1286"/>
      <c r="BZ278" s="1304"/>
      <c r="CA278" s="939"/>
      <c r="DR278" s="939"/>
      <c r="DT278" s="1325"/>
      <c r="DU278" s="1375"/>
      <c r="DV278" s="1376" t="str">
        <f>IF(E278="","",E278)&amp;IF(I278="No",""," (Mant.)")&amp;IF(L278="No",""," (Sme)")&amp;IF(O278="No",""," (SMa)")</f>
        <v/>
      </c>
      <c r="DW278" s="1377"/>
      <c r="DX278" s="1378"/>
      <c r="DY278" s="1324"/>
      <c r="DZ278" s="939"/>
      <c r="EA278" s="1470">
        <f t="shared" si="4"/>
        <v>1</v>
      </c>
    </row>
    <row r="279" spans="1:131" x14ac:dyDescent="0.2">
      <c r="A279" s="939"/>
      <c r="B279" s="939"/>
      <c r="C279" s="4822"/>
      <c r="D279" s="1453" t="s">
        <v>1766</v>
      </c>
      <c r="E279" s="1003"/>
      <c r="F279" s="1019"/>
      <c r="G279" s="989" t="str">
        <f>IF(E279=0,"",VLOOKUP(E279,'Tablas Técnicas'!$A$14:$V$771,3,FALSE))</f>
        <v/>
      </c>
      <c r="H279" s="1004" t="str">
        <f>IF($E279=0,"",VLOOKUP($E279,'Tablas Técnicas'!$A$14:$V$771,4,FALSE))</f>
        <v/>
      </c>
      <c r="I279" s="987" t="s">
        <v>1690</v>
      </c>
      <c r="J279" s="1411" t="str">
        <f>IF(E279=0,"",VLOOKUP(E279,'Tablas Técnicas'!$A$14:$V$771,5,FALSE))</f>
        <v/>
      </c>
      <c r="K279" s="1006" t="str">
        <f>IF(I279="Si",IF(E279=0,"",VLOOKUP(E279,'Tablas Técnicas'!$A$14:$V$771,5,FALSE)),"")</f>
        <v/>
      </c>
      <c r="L279" s="987" t="s">
        <v>1690</v>
      </c>
      <c r="M279" s="1411" t="str">
        <f>IF(E279=0,"",VLOOKUP(E279,'Tablas Técnicas'!$A$14:$V$771,6,FALSE))</f>
        <v/>
      </c>
      <c r="N279" s="990" t="str">
        <f>IF(L279="Si",IF(E279=0,"",VLOOKUP(E279,'Tablas Técnicas'!$A$14:$V$771,6,FALSE)),"")</f>
        <v/>
      </c>
      <c r="O279" s="987" t="s">
        <v>1690</v>
      </c>
      <c r="P279" s="1411" t="str">
        <f>IF(E279=0,"",VLOOKUP(E279,'Tablas Técnicas'!$A$14:$V$771,7,FALSE))</f>
        <v/>
      </c>
      <c r="Q279" s="990" t="str">
        <f>IF(O279="Si",IF(E279=0,"",VLOOKUP(E279,'Tablas Técnicas'!$A$14:$V$771,7,FALSE)),"")</f>
        <v/>
      </c>
      <c r="R279" s="1005" t="str">
        <f>IF(E279=0,"",VLOOKUP(E279,'Tablas Técnicas'!$A$14:$V$771,8,FALSE))</f>
        <v/>
      </c>
      <c r="S279" s="1004" t="str">
        <f>IF(R279=$D$8,$D$8,IF(R279=2,2,IF(R279=3,3,R279)))</f>
        <v/>
      </c>
      <c r="T279" s="4803" t="s">
        <v>4546</v>
      </c>
      <c r="U279" s="4804"/>
      <c r="V279" s="3032"/>
      <c r="W279" s="4805"/>
      <c r="X279" s="4806"/>
      <c r="Y279" s="4806"/>
      <c r="Z279" s="4806"/>
      <c r="AA279" s="4806"/>
      <c r="AB279" s="4806"/>
      <c r="AC279" s="4806"/>
      <c r="AD279" s="4806"/>
      <c r="AE279" s="4806"/>
      <c r="AF279" s="4807"/>
      <c r="AG279" s="4805"/>
      <c r="AH279" s="4806"/>
      <c r="AI279" s="4806"/>
      <c r="AJ279" s="4806"/>
      <c r="AK279" s="4806"/>
      <c r="AL279" s="4806"/>
      <c r="AM279" s="4806"/>
      <c r="AN279" s="4806"/>
      <c r="AO279" s="4806"/>
      <c r="AP279" s="4807"/>
      <c r="AQ279" s="4805"/>
      <c r="AR279" s="4806"/>
      <c r="AS279" s="4806"/>
      <c r="AT279" s="4806"/>
      <c r="AU279" s="4806"/>
      <c r="AV279" s="4806"/>
      <c r="AW279" s="4806"/>
      <c r="AX279" s="4806"/>
      <c r="AY279" s="4806"/>
      <c r="AZ279" s="4807"/>
      <c r="BA279" s="4805"/>
      <c r="BB279" s="4806"/>
      <c r="BC279" s="4806"/>
      <c r="BD279" s="4806"/>
      <c r="BE279" s="4806"/>
      <c r="BF279" s="4806"/>
      <c r="BG279" s="4806"/>
      <c r="BH279" s="4806"/>
      <c r="BI279" s="4806"/>
      <c r="BJ279" s="4807"/>
      <c r="BK279" s="1014">
        <f>SUM(K275:K279)-SUM(V279:BA279)</f>
        <v>0</v>
      </c>
      <c r="BL279" s="1439"/>
      <c r="BM279" s="1440"/>
      <c r="BN279" s="992"/>
      <c r="BO279" s="1009"/>
      <c r="BP279" s="978" t="str">
        <f>IF(I279="Si",VLOOKUP($D$8,'Tablas Técnicas'!$E$4:$F$6,2,FALSE),"")</f>
        <v/>
      </c>
      <c r="BQ279" s="979" t="str">
        <f>IF(L279="Si",VLOOKUP($D$8,'Tablas Técnicas'!$I$4:$J$6,2,FALSE),"")</f>
        <v/>
      </c>
      <c r="BR279" s="977" t="str">
        <f>IF(O279="Si",VLOOKUP($D$8,'Tablas Técnicas'!$I$7:$J$9,2,FALSE),"")</f>
        <v/>
      </c>
      <c r="BS279" s="994"/>
      <c r="BT279" s="2354">
        <f>IF(BT273="No",0,IF(D267=0,0,VLOOKUP(D267,'Tablas Técnicas'!$L$4:$N$7,2,FALSE)))+IF(BT275="Bajar coste de CM",0,IF(BT275="-5 CM",2,IF(BT275="-10 CM",4,IF(BT275="-15 CM",6,IF(BT275="-20 CM",8,0)))))+IF(BT277="Bajar coste de Ki",0,IF(BT277="-1 Ki",-1,IF(BT277="-2 Ki",-2,IF(BT277="-3 Ki",-3,IF(BT277="-4 Ki",-4,IF(BT277="-5 Ki",-5,0))))))-BU282-BU284-BU286-BU288-BU290-BU292</f>
        <v>0</v>
      </c>
      <c r="BU279" s="2355">
        <f>IF(BT273="No",0,IF(D267=0,0,VLOOKUP(D267,'Tablas Técnicas'!$L$4:$N$7,2,FALSE)))+IF(BT275="Bajar coste de CM",0,IF(BT275="-5 CM",2,IF(BT275="-10 CM",4,IF(BT275="-15 CM",6,IF(BT275="-20 CM",8,0)))))+IF(BT277="Bajar coste de Ki",0,IF(BT277="-1 Ki",-1,IF(BT277="-2 Ki",-2,IF(BT277="-3 Ki",-3,IF(BT277="-4 Ki",-4,IF(BT277="-5 Ki",-5,0))))))</f>
        <v>0</v>
      </c>
      <c r="BV279" s="971"/>
      <c r="BW279" s="951"/>
      <c r="BX279" s="951"/>
      <c r="BY279" s="1286"/>
      <c r="BZ279" s="1304"/>
      <c r="CA279" s="939"/>
      <c r="DR279" s="939"/>
      <c r="DT279" s="1325"/>
      <c r="DU279" s="1379"/>
      <c r="DV279" s="1376" t="str">
        <f>IF(E279="","",E279)&amp;IF(I279="No",""," (Mant.)")&amp;IF(L279="No",""," (Sme)")&amp;IF(O279="No",""," (SMa)")</f>
        <v/>
      </c>
      <c r="DW279" s="1377"/>
      <c r="DX279" s="1378"/>
      <c r="DY279" s="1324"/>
      <c r="DZ279" s="939"/>
      <c r="EA279" s="1470">
        <f t="shared" si="4"/>
        <v>1</v>
      </c>
    </row>
    <row r="280" spans="1:131" x14ac:dyDescent="0.2">
      <c r="A280" s="939"/>
      <c r="B280" s="1403"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822"/>
      <c r="D280" s="1454">
        <v>3</v>
      </c>
      <c r="E280" s="1246"/>
      <c r="F280" s="1016"/>
      <c r="G280" s="1017"/>
      <c r="H280" s="2159">
        <f t="array" ref="H280">IF(AND(OR(ISNUMBER(SEARCH("Empatía Elemental ("&amp;BK275:BM275&amp;")",Principal!$AF$30))),SUM(H275:H279)&gt;=10),-5,0)</f>
        <v>0</v>
      </c>
      <c r="I280" s="1413"/>
      <c r="J280" s="1416"/>
      <c r="K280" s="1017"/>
      <c r="L280" s="1413"/>
      <c r="M280" s="1416"/>
      <c r="N280" s="1017"/>
      <c r="O280" s="1413"/>
      <c r="P280" s="1416"/>
      <c r="Q280" s="1017"/>
      <c r="R280" s="1018"/>
      <c r="S280" s="1017"/>
      <c r="T280" s="1017"/>
      <c r="U280" s="1017"/>
      <c r="V280" s="1017"/>
      <c r="W280" s="1017"/>
      <c r="X280" s="1017"/>
      <c r="Y280" s="1017"/>
      <c r="Z280" s="1017"/>
      <c r="AA280" s="1017"/>
      <c r="AB280" s="1017"/>
      <c r="AC280" s="1017"/>
      <c r="AD280" s="1017"/>
      <c r="AE280" s="1017"/>
      <c r="AF280" s="1017"/>
      <c r="AG280" s="1017"/>
      <c r="AH280" s="1017"/>
      <c r="AI280" s="1017"/>
      <c r="AJ280" s="1017"/>
      <c r="AK280" s="1017"/>
      <c r="AL280" s="1017"/>
      <c r="AM280" s="1017"/>
      <c r="AN280" s="1017"/>
      <c r="AO280" s="1017"/>
      <c r="AP280" s="1017"/>
      <c r="AQ280" s="1017"/>
      <c r="AR280" s="1017"/>
      <c r="AS280" s="1017"/>
      <c r="AT280" s="1017"/>
      <c r="AU280" s="1017"/>
      <c r="AV280" s="1017"/>
      <c r="AW280" s="1017"/>
      <c r="AX280" s="1017"/>
      <c r="AY280" s="1017"/>
      <c r="AZ280" s="1017"/>
      <c r="BA280" s="1017"/>
      <c r="BB280" s="1017"/>
      <c r="BC280" s="1017"/>
      <c r="BD280" s="1017"/>
      <c r="BE280" s="1017"/>
      <c r="BF280" s="1017"/>
      <c r="BG280" s="1017"/>
      <c r="BH280" s="1017"/>
      <c r="BI280" s="1017"/>
      <c r="BJ280" s="1017"/>
      <c r="BK280" s="1017"/>
      <c r="BL280" s="1017"/>
      <c r="BM280" s="1027"/>
      <c r="BN280" s="1028">
        <f>SUM(K280:K283)</f>
        <v>0</v>
      </c>
      <c r="BO280" s="971" t="str">
        <f>IF(E280=0,"",(AF280+AP280+AZ280+BJ280))</f>
        <v/>
      </c>
      <c r="BP280" s="1029" t="str">
        <f>IF(I280="Si",VLOOKUP($D$8,'Tablas Técnicas'!$E$4:$F$6,2,FALSE),"")</f>
        <v/>
      </c>
      <c r="BQ280" s="1030" t="str">
        <f>IF(L280="Si",VLOOKUP($D$8,'Tablas Técnicas'!$I$4:$J$6,2,FALSE),"")</f>
        <v/>
      </c>
      <c r="BR280" s="1028" t="str">
        <f>IF(O280="Si",VLOOKUP($D$8,'Tablas Técnicas'!$I$7:$J$9,2,FALSE),"")</f>
        <v/>
      </c>
      <c r="BS280" s="994"/>
      <c r="BU280" s="3026"/>
      <c r="BV280" s="971"/>
      <c r="BW280" s="951"/>
      <c r="BX280" s="951"/>
      <c r="BY280" s="1286"/>
      <c r="BZ280" s="1304"/>
      <c r="CA280" s="939"/>
      <c r="DR280" s="939"/>
      <c r="DT280" s="1325"/>
      <c r="DU280" s="1379"/>
      <c r="DV280" s="1380"/>
      <c r="DW280" s="1377"/>
      <c r="DX280" s="1378"/>
      <c r="DY280" s="1324"/>
      <c r="DZ280" s="939"/>
      <c r="EA280" s="1470">
        <f t="shared" si="4"/>
        <v>1</v>
      </c>
    </row>
    <row r="281" spans="1:131" x14ac:dyDescent="0.2">
      <c r="A281" s="939"/>
      <c r="B281" s="939"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822"/>
      <c r="D281" s="1453" t="s">
        <v>1766</v>
      </c>
      <c r="E281" s="983"/>
      <c r="F281" s="1019"/>
      <c r="G281" s="989" t="str">
        <f>IF(E281=0,"",VLOOKUP(E281,'Tablas Técnicas'!$A$14:$V$771,3,FALSE))</f>
        <v/>
      </c>
      <c r="H281" s="1031" t="str">
        <f>IF($E281=0,"",VLOOKUP($E281,'Tablas Técnicas'!$A$14:$V$771,4,FALSE))</f>
        <v/>
      </c>
      <c r="I281" s="987" t="s">
        <v>1690</v>
      </c>
      <c r="J281" s="1417" t="str">
        <f>IF(E281=0,"",VLOOKUP(E281,'Tablas Técnicas'!$A$14:$V$771,5,FALSE))</f>
        <v/>
      </c>
      <c r="K281" s="1033" t="str">
        <f>IF(I281="Si",IF(E281=0,"",VLOOKUP(E281,'Tablas Técnicas'!$A$14:$V$771,5,FALSE)),"")</f>
        <v/>
      </c>
      <c r="L281" s="987" t="s">
        <v>1690</v>
      </c>
      <c r="M281" s="1417" t="str">
        <f>IF(E281=0,"",VLOOKUP(E281,'Tablas Técnicas'!$A$14:$V$771,6,FALSE))</f>
        <v/>
      </c>
      <c r="N281" s="990" t="str">
        <f>IF(L281="Si",IF(E281=0,"",VLOOKUP(E281,'Tablas Técnicas'!$A$14:$V$771,6,FALSE)),"")</f>
        <v/>
      </c>
      <c r="O281" s="987" t="s">
        <v>1690</v>
      </c>
      <c r="P281" s="1417" t="str">
        <f>IF(E281=0,"",VLOOKUP(E281,'Tablas Técnicas'!$A$14:$V$771,7,FALSE))</f>
        <v/>
      </c>
      <c r="Q281" s="990" t="str">
        <f>IF(O281="Si",IF(E281=0,"",VLOOKUP(E281,'Tablas Técnicas'!$A$14:$V$771,7,FALSE)),"")</f>
        <v/>
      </c>
      <c r="R281" s="1032" t="str">
        <f>IF(E281=0,"",VLOOKUP(E281,'Tablas Técnicas'!$A$14:$V$771,8,FALSE))</f>
        <v/>
      </c>
      <c r="S281" s="1004" t="str">
        <f>IF(R281=$D$8,$D$8,IF(R281=2,2,IF(R281=3,3,R281)))</f>
        <v/>
      </c>
      <c r="T281" s="1033" t="str">
        <f>IF(E281=0,"",VLOOKUP(E281,'Tablas Técnicas'!$A$14:$V$771,9,FALSE))</f>
        <v/>
      </c>
      <c r="U281" s="1033" t="str">
        <f>IF(E281=0,"",VLOOKUP(E281,'Tablas Técnicas'!$A$14:$V$771,10,FALSE))</f>
        <v/>
      </c>
      <c r="V281" s="1034" t="str">
        <f>IF(E281=0,"",VLOOKUP(E281,'Tablas Técnicas'!$A$14:$V$771,11,FALSE))</f>
        <v/>
      </c>
      <c r="W281" s="987"/>
      <c r="X281" s="988" t="e">
        <f>VLOOKUP(E281,'Tablas Técnicas'!$A$14:$V$771,12,FALSE)</f>
        <v>#N/A</v>
      </c>
      <c r="Y281" s="988" t="e">
        <f>IF(W281=X281,VLOOKUP(E281,'Tablas Técnicas'!$A$14:$V$771,13,FALSE),0)</f>
        <v>#N/A</v>
      </c>
      <c r="Z281" s="988" t="e">
        <f>VLOOKUP(E281,'Tablas Técnicas'!$A$14:$V$771,14,FALSE)</f>
        <v>#N/A</v>
      </c>
      <c r="AA281" s="988" t="e">
        <f>IF(W281=Z281,VLOOKUP(E281,'Tablas Técnicas'!$A$14:$V$616,15,FALSE),0)</f>
        <v>#N/A</v>
      </c>
      <c r="AB281" s="988" t="e">
        <f>VLOOKUP(E281,'Tablas Técnicas'!$A$14:$V$771,16,FALSE)</f>
        <v>#N/A</v>
      </c>
      <c r="AC281" s="988" t="e">
        <f>IF(W281=AB281,VLOOKUP(E281,'Tablas Técnicas'!$A$14:$V$616,17,FALSE),0)</f>
        <v>#N/A</v>
      </c>
      <c r="AD281" s="988" t="e">
        <f>VLOOKUP(E281,'Tablas Técnicas'!$A$14:$V$771,18,FALSE)</f>
        <v>#N/A</v>
      </c>
      <c r="AE281" s="988" t="e">
        <f>IF(W281=AD281,VLOOKUP(E281,'Tablas Técnicas'!$A$14:$V$771,19,FALSE),0)</f>
        <v>#N/A</v>
      </c>
      <c r="AF281" s="1006" t="str">
        <f>IF(E281=0,"",(Y281+AA281+AC281+AE281))</f>
        <v/>
      </c>
      <c r="AG281" s="987"/>
      <c r="AH281" s="1005" t="e">
        <f>VLOOKUP(E281,'Tablas Técnicas'!$A$14:$V$771,12,FALSE)</f>
        <v>#N/A</v>
      </c>
      <c r="AI281" s="1005" t="e">
        <f>IF(AG281=AH281,VLOOKUP(E281,'Tablas Técnicas'!$A$14:$V$771,13,FALSE),0)</f>
        <v>#N/A</v>
      </c>
      <c r="AJ281" s="1005" t="e">
        <f>VLOOKUP(E281,'Tablas Técnicas'!$A$14:$V$771,14,FALSE)</f>
        <v>#N/A</v>
      </c>
      <c r="AK281" s="1005" t="e">
        <f>IF(AG281=AJ281,VLOOKUP(E281,'Tablas Técnicas'!$A$14:$V$771,15,FALSE),0)</f>
        <v>#N/A</v>
      </c>
      <c r="AL281" s="1005" t="e">
        <f>VLOOKUP(E281,'Tablas Técnicas'!$A$14:$V$771,16,FALSE)</f>
        <v>#N/A</v>
      </c>
      <c r="AM281" s="1005" t="e">
        <f>IF(AG281=AL281,VLOOKUP(E281,'Tablas Técnicas'!$A$14:$V$771,17,FALSE),0)</f>
        <v>#N/A</v>
      </c>
      <c r="AN281" s="1005" t="e">
        <f>VLOOKUP(E281,'Tablas Técnicas'!$A$14:$V$771,18,FALSE)</f>
        <v>#N/A</v>
      </c>
      <c r="AO281" s="1005" t="e">
        <f>IF(AG281=AN281,VLOOKUP(E281,'Tablas Técnicas'!$A$14:$V$771,19,FALSE),0)</f>
        <v>#N/A</v>
      </c>
      <c r="AP281" s="3034" t="str">
        <f>IF(E281=0,"",(AI281+AK281+AM281+AO281))</f>
        <v/>
      </c>
      <c r="AQ281" s="987"/>
      <c r="AR281" s="1005" t="e">
        <f>VLOOKUP(E281,'Tablas Técnicas'!$A$14:$V$771,12,FALSE)</f>
        <v>#N/A</v>
      </c>
      <c r="AS281" s="1005" t="e">
        <f>IF(AQ281=AR281,VLOOKUP(E281,'Tablas Técnicas'!$A$14:$V$771,13,FALSE),0)</f>
        <v>#N/A</v>
      </c>
      <c r="AT281" s="1005" t="e">
        <f>VLOOKUP(E281,'Tablas Técnicas'!$A$14:$V$771,14,FALSE)</f>
        <v>#N/A</v>
      </c>
      <c r="AU281" s="1005" t="e">
        <f>IF(AQ281=AT281,VLOOKUP(E281,'Tablas Técnicas'!$A$14:$V$771,15,FALSE),0)</f>
        <v>#N/A</v>
      </c>
      <c r="AV281" s="1005" t="e">
        <f>VLOOKUP(E281,'Tablas Técnicas'!$A$14:$V$771,16,FALSE)</f>
        <v>#N/A</v>
      </c>
      <c r="AW281" s="1005" t="e">
        <f>IF(AQ281=AV281,VLOOKUP(E281,'Tablas Técnicas'!$A$14:$V$771,17,FALSE),0)</f>
        <v>#N/A</v>
      </c>
      <c r="AX281" s="1005" t="e">
        <f>VLOOKUP(E281,'Tablas Técnicas'!$A$14:$V$771,18,FALSE)</f>
        <v>#N/A</v>
      </c>
      <c r="AY281" s="1005" t="e">
        <f>IF(AQ281=AX281,VLOOKUP(E281,'Tablas Técnicas'!$A$14:$V$771,19,FALSE),0)</f>
        <v>#N/A</v>
      </c>
      <c r="AZ281" s="1006" t="str">
        <f>IF(E281=0,"",(AS281+AU281+AW281+AY281))</f>
        <v/>
      </c>
      <c r="BA281" s="987"/>
      <c r="BB281" s="1005" t="e">
        <f>VLOOKUP(E281,'Tablas Técnicas'!$A$14:$V$771,12,FALSE)</f>
        <v>#N/A</v>
      </c>
      <c r="BC281" s="1005" t="e">
        <f>IF(BA281=BB281,VLOOKUP(E281,'Tablas Técnicas'!$A$14:$V$771,13,FALSE),0)</f>
        <v>#N/A</v>
      </c>
      <c r="BD281" s="1005" t="e">
        <f>VLOOKUP(E281,'Tablas Técnicas'!$A$14:$V$771,14,FALSE)</f>
        <v>#N/A</v>
      </c>
      <c r="BE281" s="1005" t="e">
        <f>IF(BA281=BD281,VLOOKUP(E281,'Tablas Técnicas'!$A$14:$V$771,15,FALSE),0)</f>
        <v>#N/A</v>
      </c>
      <c r="BF281" s="1005" t="e">
        <f>VLOOKUP(E281,'Tablas Técnicas'!$A$14:$V$771,16,FALSE)</f>
        <v>#N/A</v>
      </c>
      <c r="BG281" s="1005" t="e">
        <f>IF(BA281=BF281,VLOOKUP(E281,'Tablas Técnicas'!$A$14:$V$771,17,FALSE),0)</f>
        <v>#N/A</v>
      </c>
      <c r="BH281" s="1005" t="e">
        <f>VLOOKUP(E281,'Tablas Técnicas'!$A$14:$V$771,18,FALSE)</f>
        <v>#N/A</v>
      </c>
      <c r="BI281" s="1005" t="e">
        <f>IF(BA281=BH281,VLOOKUP(E281,'Tablas Técnicas'!$A$14:$V$771,19,FALSE),0)</f>
        <v>#N/A</v>
      </c>
      <c r="BJ281" s="3034" t="str">
        <f>IF(E281=0,"",(BC281+BE281+BG281+BI281))</f>
        <v/>
      </c>
      <c r="BK281" s="1033" t="str">
        <f>IF(E281=0,"",VLOOKUP(E281,'Tablas Técnicas'!$A$14:$V$771,20,FALSE))</f>
        <v/>
      </c>
      <c r="BL281" s="1020" t="str">
        <f>IF(E281=0,"",VLOOKUP(E281,'Tablas Técnicas'!$A$14:$V$771,21,FALSE))</f>
        <v/>
      </c>
      <c r="BM281" s="991" t="str">
        <f>IF(E281=0,"",VLOOKUP(E281,'Tablas Técnicas'!$A$14:$V$771,22,FALSE))</f>
        <v/>
      </c>
      <c r="BN281" s="992"/>
      <c r="BO281" s="993"/>
      <c r="BP281" s="978" t="str">
        <f>IF(I281="Si",VLOOKUP($D$8,'Tablas Técnicas'!$E$4:$F$6,2,FALSE),"")</f>
        <v/>
      </c>
      <c r="BQ281" s="979" t="str">
        <f>IF(L281="Si",VLOOKUP($D$8,'Tablas Técnicas'!$I$4:$J$6,2,FALSE),"")</f>
        <v/>
      </c>
      <c r="BR281" s="977" t="str">
        <f>IF(O281="Si",VLOOKUP($D$8,'Tablas Técnicas'!$I$7:$J$9,2,FALSE),"")</f>
        <v/>
      </c>
      <c r="BS281" s="994"/>
      <c r="BT281" s="3023" t="s">
        <v>1682</v>
      </c>
      <c r="BU281" s="3024" t="s">
        <v>4550</v>
      </c>
      <c r="BV281" s="971"/>
      <c r="BW281" s="3024" t="s">
        <v>4551</v>
      </c>
      <c r="BX281" s="3023" t="s">
        <v>4552</v>
      </c>
      <c r="BY281" s="1300" t="s">
        <v>4552</v>
      </c>
      <c r="BZ281" s="1304"/>
      <c r="CA281" s="939"/>
      <c r="DR281" s="939"/>
      <c r="DT281" s="1325"/>
      <c r="DU281" s="1379"/>
      <c r="DV281" s="1376" t="str">
        <f>IF(E281="","",", "&amp;E281)&amp;IF(I281="No",""," (Mant.)")&amp;IF(L281="No",""," (Sme)")&amp;IF(O281="No",""," (SMa)")</f>
        <v/>
      </c>
      <c r="DW281" s="1377"/>
      <c r="DX281" s="1378"/>
      <c r="DY281" s="1324"/>
      <c r="DZ281" s="939"/>
      <c r="EA281" s="1470">
        <f t="shared" si="4"/>
        <v>1</v>
      </c>
    </row>
    <row r="282" spans="1:131" x14ac:dyDescent="0.2">
      <c r="A282" s="939"/>
      <c r="B282" s="939"/>
      <c r="C282" s="4822"/>
      <c r="D282" s="1452" t="s">
        <v>1766</v>
      </c>
      <c r="E282" s="995"/>
      <c r="F282" s="1025"/>
      <c r="G282" s="1437" t="str">
        <f>IF(E282=0,"",VLOOKUP(E282,'Tablas Técnicas'!$A$14:$V$771,3,FALSE))</f>
        <v/>
      </c>
      <c r="H282" s="998" t="str">
        <f>IF($E282=0,"",VLOOKUP($E282,'Tablas Técnicas'!$A$14:$V$771,4,FALSE))</f>
        <v/>
      </c>
      <c r="I282" s="999" t="s">
        <v>1690</v>
      </c>
      <c r="J282" s="1415" t="str">
        <f>IF(E282=0,"",VLOOKUP(E282,'Tablas Técnicas'!$A$14:$V$771,5,FALSE))</f>
        <v/>
      </c>
      <c r="K282" s="1001" t="str">
        <f>IF(I282="Si",IF(E282=0,"",VLOOKUP(E282,'Tablas Técnicas'!$A$14:$V$771,5,FALSE)),"")</f>
        <v/>
      </c>
      <c r="L282" s="999" t="s">
        <v>1690</v>
      </c>
      <c r="M282" s="1415" t="str">
        <f>IF(E282=0,"",VLOOKUP(E282,'Tablas Técnicas'!$A$14:$V$771,6,FALSE))</f>
        <v/>
      </c>
      <c r="N282" s="1002" t="str">
        <f>IF(L282="Si",IF(E282=0,"",VLOOKUP(E282,'Tablas Técnicas'!$A$14:$V$771,6,FALSE)),"")</f>
        <v/>
      </c>
      <c r="O282" s="999" t="s">
        <v>1690</v>
      </c>
      <c r="P282" s="1415" t="str">
        <f>IF(E282=0,"",VLOOKUP(E282,'Tablas Técnicas'!$A$14:$V$771,7,FALSE))</f>
        <v/>
      </c>
      <c r="Q282" s="1002" t="str">
        <f>IF(O282="Si",IF(E282=0,"",VLOOKUP(E282,'Tablas Técnicas'!$A$14:$V$771,7,FALSE)),"")</f>
        <v/>
      </c>
      <c r="R282" s="1000" t="str">
        <f>IF(E282=0,"",VLOOKUP(E282,'Tablas Técnicas'!$A$14:$V$771,8,FALSE))</f>
        <v/>
      </c>
      <c r="S282" s="998" t="str">
        <f>IF(R282=$D$8,$D$8,IF(R282=2,2,IF(R282=3,3,R282)))</f>
        <v/>
      </c>
      <c r="T282" s="4796" t="s">
        <v>4542</v>
      </c>
      <c r="U282" s="4797"/>
      <c r="V282" s="4797"/>
      <c r="W282" s="4797"/>
      <c r="X282" s="4797"/>
      <c r="Y282" s="4797"/>
      <c r="Z282" s="4797"/>
      <c r="AA282" s="4797"/>
      <c r="AB282" s="4797"/>
      <c r="AC282" s="4797"/>
      <c r="AD282" s="4797"/>
      <c r="AE282" s="4797"/>
      <c r="AF282" s="4797"/>
      <c r="AG282" s="4797"/>
      <c r="AH282" s="4797"/>
      <c r="AI282" s="4797"/>
      <c r="AJ282" s="4797"/>
      <c r="AK282" s="4797"/>
      <c r="AL282" s="4797"/>
      <c r="AM282" s="4797"/>
      <c r="AN282" s="4797"/>
      <c r="AO282" s="4797"/>
      <c r="AP282" s="4797"/>
      <c r="AQ282" s="4797"/>
      <c r="AR282" s="4797"/>
      <c r="AS282" s="4797"/>
      <c r="AT282" s="4797"/>
      <c r="AU282" s="4797"/>
      <c r="AV282" s="4797"/>
      <c r="AW282" s="4797"/>
      <c r="AX282" s="4797"/>
      <c r="AY282" s="4797"/>
      <c r="AZ282" s="4797"/>
      <c r="BA282" s="4797"/>
      <c r="BB282" s="4797"/>
      <c r="BC282" s="4797"/>
      <c r="BD282" s="4797"/>
      <c r="BE282" s="4797"/>
      <c r="BF282" s="4797"/>
      <c r="BG282" s="4797"/>
      <c r="BH282" s="4797"/>
      <c r="BI282" s="4797"/>
      <c r="BJ282" s="4797"/>
      <c r="BK282" s="4798"/>
      <c r="BL282" s="1437"/>
      <c r="BM282" s="1438"/>
      <c r="BN282" s="992"/>
      <c r="BO282" s="993"/>
      <c r="BP282" s="978" t="str">
        <f>IF(I282="Si",VLOOKUP($D$8,'Tablas Técnicas'!$E$4:$F$6,2,FALSE),"")</f>
        <v/>
      </c>
      <c r="BQ282" s="979" t="str">
        <f>IF(L282="Si",VLOOKUP($D$8,'Tablas Técnicas'!$I$4:$J$6,2,FALSE),"")</f>
        <v/>
      </c>
      <c r="BR282" s="977" t="str">
        <f>IF(O282="Si",VLOOKUP($D$8,'Tablas Técnicas'!$I$7:$J$9,2,FALSE),"")</f>
        <v/>
      </c>
      <c r="BS282" s="994"/>
      <c r="BT282" s="3028">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356"/>
      <c r="BV282" s="971"/>
      <c r="BW282" s="1026" t="str">
        <f>IF(SUM(BT282:BU282)=0,"N/A",SUM(BT282:BU282))</f>
        <v>N/A</v>
      </c>
      <c r="BX282" s="3028">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26" t="str">
        <f>IF(BX282=0,"N/A",BX282)</f>
        <v>N/A</v>
      </c>
      <c r="BZ282" s="1304"/>
      <c r="CA282" s="939"/>
      <c r="DR282" s="939"/>
      <c r="DT282" s="1325"/>
      <c r="DU282" s="1379"/>
      <c r="DV282" s="1376" t="str">
        <f>IF(E282="",""," "&amp;E282)&amp;IF(I282="No",""," (Mant.)")&amp;IF(L282="No",""," (Sme)")&amp;IF(O282="No",""," (SMa)")</f>
        <v/>
      </c>
      <c r="DW282" s="1377"/>
      <c r="DX282" s="1378"/>
      <c r="DY282" s="1324"/>
      <c r="DZ282" s="939"/>
      <c r="EA282" s="1470">
        <f t="shared" si="4"/>
        <v>1</v>
      </c>
    </row>
    <row r="283" spans="1:131" x14ac:dyDescent="0.2">
      <c r="A283" s="939"/>
      <c r="B283" s="939"/>
      <c r="C283" s="4822"/>
      <c r="D283" s="1453" t="s">
        <v>1766</v>
      </c>
      <c r="E283" s="1003"/>
      <c r="F283" s="1019"/>
      <c r="G283" s="989" t="str">
        <f>IF(E283=0,"",VLOOKUP(E283,'Tablas Técnicas'!$A$14:$V$771,3,FALSE))</f>
        <v/>
      </c>
      <c r="H283" s="3033" t="str">
        <f>IF($E283=0,"",VLOOKUP($E283,'Tablas Técnicas'!$A$14:$V$771,4,FALSE))</f>
        <v/>
      </c>
      <c r="I283" s="987" t="s">
        <v>1690</v>
      </c>
      <c r="J283" s="1411" t="str">
        <f>IF(E283=0,"",VLOOKUP(E283,'Tablas Técnicas'!$A$14:$V$771,5,FALSE))</f>
        <v/>
      </c>
      <c r="K283" s="1006" t="str">
        <f>IF(I283="Si",IF(E283=0,"",VLOOKUP(E283,'Tablas Técnicas'!$A$14:$V$771,5,FALSE)),"")</f>
        <v/>
      </c>
      <c r="L283" s="987" t="s">
        <v>1690</v>
      </c>
      <c r="M283" s="1411" t="str">
        <f>IF(E283=0,"",VLOOKUP(E283,'Tablas Técnicas'!$A$14:$V$771,6,FALSE))</f>
        <v/>
      </c>
      <c r="N283" s="990" t="str">
        <f>IF(L283="Si",IF(E283=0,"",VLOOKUP(E283,'Tablas Técnicas'!$A$14:$V$771,6,FALSE)),"")</f>
        <v/>
      </c>
      <c r="O283" s="987" t="s">
        <v>1690</v>
      </c>
      <c r="P283" s="1411" t="str">
        <f>IF(E283=0,"",VLOOKUP(E283,'Tablas Técnicas'!$A$14:$V$771,7,FALSE))</f>
        <v/>
      </c>
      <c r="Q283" s="990" t="str">
        <f>IF(O283="Si",IF(E283=0,"",VLOOKUP(E283,'Tablas Técnicas'!$A$14:$V$771,7,FALSE)),"")</f>
        <v/>
      </c>
      <c r="R283" s="1005" t="str">
        <f>IF(E283=0,"",VLOOKUP(E283,'Tablas Técnicas'!$A$14:$V$771,8,FALSE))</f>
        <v/>
      </c>
      <c r="S283" s="3033" t="str">
        <f>IF(R283=$D$8,$D$8,IF(R283=2,2,IF(R283=3,3,R283)))</f>
        <v/>
      </c>
      <c r="T283" s="4809"/>
      <c r="U283" s="4810"/>
      <c r="V283" s="3029" t="str">
        <f>IF(OR(V281=0,V281=""),"N/A",V281)</f>
        <v>N/A</v>
      </c>
      <c r="W283" s="4809" t="str">
        <f xml:space="preserve"> IF(OR(AF281=0,AF281=""),"N/A",W281)</f>
        <v>N/A</v>
      </c>
      <c r="X283" s="4811"/>
      <c r="Y283" s="4811"/>
      <c r="Z283" s="4811"/>
      <c r="AA283" s="4811"/>
      <c r="AB283" s="4811"/>
      <c r="AC283" s="4811"/>
      <c r="AD283" s="4811"/>
      <c r="AE283" s="4811"/>
      <c r="AF283" s="4810"/>
      <c r="AG283" s="4809" t="str">
        <f xml:space="preserve"> IF(OR(AP281="",AP281=0),"N/A",AG281)</f>
        <v>N/A</v>
      </c>
      <c r="AH283" s="4811"/>
      <c r="AI283" s="4811"/>
      <c r="AJ283" s="4811"/>
      <c r="AK283" s="4811"/>
      <c r="AL283" s="4811"/>
      <c r="AM283" s="4811"/>
      <c r="AN283" s="4811"/>
      <c r="AO283" s="4811"/>
      <c r="AP283" s="4810"/>
      <c r="AQ283" s="4809" t="str">
        <f xml:space="preserve"> IF(OR(AZ281="",AZ281=0),"N/A",AQ281)</f>
        <v>N/A</v>
      </c>
      <c r="AR283" s="4811"/>
      <c r="AS283" s="4811"/>
      <c r="AT283" s="4811"/>
      <c r="AU283" s="4811"/>
      <c r="AV283" s="4811"/>
      <c r="AW283" s="4811"/>
      <c r="AX283" s="4811"/>
      <c r="AY283" s="4811"/>
      <c r="AZ283" s="4810"/>
      <c r="BA283" s="4809" t="str">
        <f xml:space="preserve"> IF(OR(BJ281="",BJ281=0),"N/A",BA281)</f>
        <v>N/A</v>
      </c>
      <c r="BB283" s="4811"/>
      <c r="BC283" s="4811"/>
      <c r="BD283" s="4811"/>
      <c r="BE283" s="4811"/>
      <c r="BF283" s="4811"/>
      <c r="BG283" s="4811"/>
      <c r="BH283" s="4811"/>
      <c r="BI283" s="4811"/>
      <c r="BJ283" s="4810"/>
      <c r="BK283" s="1007" t="s">
        <v>4543</v>
      </c>
      <c r="BL283" s="989"/>
      <c r="BM283" s="1024"/>
      <c r="BN283" s="1008"/>
      <c r="BO283" s="1009"/>
      <c r="BP283" s="1010" t="str">
        <f>IF(I283="Si",VLOOKUP($D$8,'Tablas Técnicas'!$E$4:$F$6,2,FALSE),"")</f>
        <v/>
      </c>
      <c r="BQ283" s="980" t="str">
        <f>IF(L283="Si",VLOOKUP($D$8,'Tablas Técnicas'!$I$4:$J$6,2,FALSE),"")</f>
        <v/>
      </c>
      <c r="BR283" s="1011" t="str">
        <f>IF(O283="Si",VLOOKUP($D$8,'Tablas Técnicas'!$I$7:$J$9,2,FALSE),"")</f>
        <v/>
      </c>
      <c r="BS283" s="994"/>
      <c r="BT283" s="3023" t="s">
        <v>1809</v>
      </c>
      <c r="BU283" s="3024" t="s">
        <v>4550</v>
      </c>
      <c r="BV283" s="971"/>
      <c r="BW283" s="3024" t="s">
        <v>4551</v>
      </c>
      <c r="BX283" s="3023" t="s">
        <v>4552</v>
      </c>
      <c r="BY283" s="1301" t="s">
        <v>4552</v>
      </c>
      <c r="BZ283" s="1304"/>
      <c r="CA283" s="939"/>
      <c r="DR283" s="939"/>
      <c r="DT283" s="1325"/>
      <c r="DU283" s="1379"/>
      <c r="DV283" s="1376" t="str">
        <f>IF(E283="","",E283)&amp;IF(I283="No",""," (Mant.)")&amp;IF(L283="No",""," (Sme)")&amp;IF(O283="No",""," (SMa)")</f>
        <v/>
      </c>
      <c r="DW283" s="1376"/>
      <c r="DX283" s="1378"/>
      <c r="DY283" s="1324"/>
      <c r="DZ283" s="939"/>
      <c r="EA283" s="1470">
        <f t="shared" si="4"/>
        <v>1</v>
      </c>
    </row>
    <row r="284" spans="1:131" x14ac:dyDescent="0.2">
      <c r="A284" s="939"/>
      <c r="B284" s="939"/>
      <c r="C284" s="4822"/>
      <c r="D284" s="1452" t="s">
        <v>1766</v>
      </c>
      <c r="E284" s="995"/>
      <c r="F284" s="1025"/>
      <c r="G284" s="1437" t="str">
        <f>IF(E284=0,"",VLOOKUP(E284,'Tablas Técnicas'!$A$14:$V$771,3,FALSE))</f>
        <v/>
      </c>
      <c r="H284" s="998" t="str">
        <f>IF($E284=0,"",VLOOKUP($E284,'Tablas Técnicas'!$A$14:$V$771,4,FALSE))</f>
        <v/>
      </c>
      <c r="I284" s="999" t="s">
        <v>1690</v>
      </c>
      <c r="J284" s="1415" t="str">
        <f>IF(E284=0,"",VLOOKUP(E284,'Tablas Técnicas'!$A$14:$V$771,5,FALSE))</f>
        <v/>
      </c>
      <c r="K284" s="1001" t="str">
        <f>IF(I284="Si",IF(E284=0,"",VLOOKUP(E284,'Tablas Técnicas'!$A$14:$V$771,5,FALSE)),"")</f>
        <v/>
      </c>
      <c r="L284" s="999" t="s">
        <v>1690</v>
      </c>
      <c r="M284" s="1415" t="str">
        <f>IF(E284=0,"",VLOOKUP(E284,'Tablas Técnicas'!$A$14:$V$771,6,FALSE))</f>
        <v/>
      </c>
      <c r="N284" s="1002" t="str">
        <f>IF(L284="Si",IF(E284=0,"",VLOOKUP(E284,'Tablas Técnicas'!$A$14:$V$771,6,FALSE)),"")</f>
        <v/>
      </c>
      <c r="O284" s="999" t="s">
        <v>1690</v>
      </c>
      <c r="P284" s="1415" t="str">
        <f>IF(E284=0,"",VLOOKUP(E284,'Tablas Técnicas'!$A$14:$V$771,7,FALSE))</f>
        <v/>
      </c>
      <c r="Q284" s="1002" t="str">
        <f>IF(O284="Si",IF(E284=0,"",VLOOKUP(E284,'Tablas Técnicas'!$A$14:$V$771,7,FALSE)),"")</f>
        <v/>
      </c>
      <c r="R284" s="1000" t="str">
        <f>IF(E284=0,"",VLOOKUP(E284,'Tablas Técnicas'!$A$14:$V$771,8,FALSE))</f>
        <v/>
      </c>
      <c r="S284" s="998" t="str">
        <f>IF(R284=$D$8,$D$8,IF(R284=2,2,IF(R284=3,3,R284)))</f>
        <v/>
      </c>
      <c r="T284" s="4812" t="s">
        <v>4544</v>
      </c>
      <c r="U284" s="4813"/>
      <c r="V284" s="3025"/>
      <c r="W284" s="4814"/>
      <c r="X284" s="4815"/>
      <c r="Y284" s="4815"/>
      <c r="Z284" s="4815"/>
      <c r="AA284" s="4815"/>
      <c r="AB284" s="4815"/>
      <c r="AC284" s="4815"/>
      <c r="AD284" s="4815"/>
      <c r="AE284" s="4815"/>
      <c r="AF284" s="4816"/>
      <c r="AG284" s="4814"/>
      <c r="AH284" s="4815"/>
      <c r="AI284" s="4815"/>
      <c r="AJ284" s="4815"/>
      <c r="AK284" s="4815"/>
      <c r="AL284" s="4815"/>
      <c r="AM284" s="4815"/>
      <c r="AN284" s="4815"/>
      <c r="AO284" s="4815"/>
      <c r="AP284" s="4816"/>
      <c r="AQ284" s="4814"/>
      <c r="AR284" s="4815"/>
      <c r="AS284" s="4815"/>
      <c r="AT284" s="4815"/>
      <c r="AU284" s="4815"/>
      <c r="AV284" s="4815"/>
      <c r="AW284" s="4815"/>
      <c r="AX284" s="4815"/>
      <c r="AY284" s="4815"/>
      <c r="AZ284" s="4816"/>
      <c r="BA284" s="4814"/>
      <c r="BB284" s="4815"/>
      <c r="BC284" s="4815"/>
      <c r="BD284" s="4815"/>
      <c r="BE284" s="4815"/>
      <c r="BF284" s="4815"/>
      <c r="BG284" s="4815"/>
      <c r="BH284" s="4815"/>
      <c r="BI284" s="4815"/>
      <c r="BJ284" s="4816"/>
      <c r="BK284" s="998">
        <f>(SUM(G281:G285)+IF(AF281="",0,AF281)+IF(AP281="",0,AP281)+IF(AZ281="",0,AZ281)+IF(BJ281="",0,BJ281)+SUM(K281:K285)+SUM(N281:N285)+SUM(Q281:Q285))- SUM(V284:BA284)</f>
        <v>0</v>
      </c>
      <c r="BL284" s="1437"/>
      <c r="BM284" s="1438"/>
      <c r="BN284" s="992"/>
      <c r="BO284" s="993"/>
      <c r="BP284" s="978" t="str">
        <f>IF(I284="Si",VLOOKUP($D$8,'Tablas Técnicas'!$E$4:$F$6,2,FALSE),"")</f>
        <v/>
      </c>
      <c r="BQ284" s="979" t="str">
        <f>IF(L284="Si",VLOOKUP($D$8,'Tablas Técnicas'!$I$4:$J$6,2,FALSE),"")</f>
        <v/>
      </c>
      <c r="BR284" s="977" t="str">
        <f>IF(O284="Si",VLOOKUP($D$8,'Tablas Técnicas'!$I$7:$J$9,2,FALSE),"")</f>
        <v/>
      </c>
      <c r="BS284" s="994"/>
      <c r="BT284" s="3028">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356"/>
      <c r="BV284" s="971"/>
      <c r="BW284" s="1026" t="str">
        <f>IF(SUM(BT284:BU284)=0,"N/A",SUM(BT284:BU284))</f>
        <v>N/A</v>
      </c>
      <c r="BX284" s="3028">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26" t="str">
        <f>IF(BX284=0,"N/A",BX284)</f>
        <v>N/A</v>
      </c>
      <c r="BZ284" s="1304"/>
      <c r="CA284" s="943"/>
      <c r="DR284" s="943"/>
      <c r="DT284" s="1326"/>
      <c r="DU284" s="1375"/>
      <c r="DV284" s="1376" t="str">
        <f>IF(E284="","",E284)&amp;IF(I284="No",""," (Mant.)")&amp;IF(L284="No",""," (Sme)")&amp;IF(O284="No",""," (SMa)")</f>
        <v/>
      </c>
      <c r="DW284" s="1376"/>
      <c r="DX284" s="1381"/>
      <c r="DY284" s="1327"/>
      <c r="DZ284" s="943"/>
      <c r="EA284" s="1470">
        <f t="shared" si="4"/>
        <v>1</v>
      </c>
    </row>
    <row r="285" spans="1:131" x14ac:dyDescent="0.2">
      <c r="A285" s="939"/>
      <c r="B285" s="939"/>
      <c r="C285" s="4822"/>
      <c r="D285" s="1453" t="s">
        <v>1766</v>
      </c>
      <c r="E285" s="1003"/>
      <c r="F285" s="1019"/>
      <c r="G285" s="989" t="str">
        <f>IF(E285=0,"",VLOOKUP(E285,'Tablas Técnicas'!$A$14:$V$771,3,FALSE))</f>
        <v/>
      </c>
      <c r="H285" s="1014" t="str">
        <f>IF($E285=0,"",VLOOKUP($E285,'Tablas Técnicas'!$A$14:$V$771,4,FALSE))</f>
        <v/>
      </c>
      <c r="I285" s="987" t="s">
        <v>1690</v>
      </c>
      <c r="J285" s="1418" t="str">
        <f>IF(E285=0,"",VLOOKUP(E285,'Tablas Técnicas'!$A$14:$V$771,5,FALSE))</f>
        <v/>
      </c>
      <c r="K285" s="1015" t="str">
        <f>IF(I285="Si",IF(E285=0,"",VLOOKUP(E285,'Tablas Técnicas'!$A$14:$V$771,5,FALSE)),"")</f>
        <v/>
      </c>
      <c r="L285" s="987" t="s">
        <v>1690</v>
      </c>
      <c r="M285" s="1418" t="str">
        <f>IF(E285=0,"",VLOOKUP(E285,'Tablas Técnicas'!$A$14:$V$771,6,FALSE))</f>
        <v/>
      </c>
      <c r="N285" s="990" t="str">
        <f>IF(L285="Si",IF(E285=0,"",VLOOKUP(E285,'Tablas Técnicas'!$A$14:$V$771,6,FALSE)),"")</f>
        <v/>
      </c>
      <c r="O285" s="987" t="s">
        <v>1690</v>
      </c>
      <c r="P285" s="1418" t="str">
        <f>IF(E285=0,"",VLOOKUP(E285,'Tablas Técnicas'!$A$14:$V$771,7,FALSE))</f>
        <v/>
      </c>
      <c r="Q285" s="990" t="str">
        <f>IF(O285="Si",IF(E285=0,"",VLOOKUP(E285,'Tablas Técnicas'!$A$14:$V$771,7,FALSE)),"")</f>
        <v/>
      </c>
      <c r="R285" s="1035" t="str">
        <f>IF(E285=0,"",VLOOKUP(E285,'Tablas Técnicas'!$A$14:$V$771,8,FALSE))</f>
        <v/>
      </c>
      <c r="S285" s="1004" t="str">
        <f>IF(R285=$D$8,$D$8,IF(R285=2,2,IF(R285=3,3,R285)))</f>
        <v/>
      </c>
      <c r="T285" s="4803" t="s">
        <v>4546</v>
      </c>
      <c r="U285" s="4804"/>
      <c r="V285" s="3032"/>
      <c r="W285" s="4805"/>
      <c r="X285" s="4806"/>
      <c r="Y285" s="4806"/>
      <c r="Z285" s="4806"/>
      <c r="AA285" s="4806"/>
      <c r="AB285" s="4806"/>
      <c r="AC285" s="4806"/>
      <c r="AD285" s="4806"/>
      <c r="AE285" s="4806"/>
      <c r="AF285" s="4807"/>
      <c r="AG285" s="4805"/>
      <c r="AH285" s="4806"/>
      <c r="AI285" s="4806"/>
      <c r="AJ285" s="4806"/>
      <c r="AK285" s="4806"/>
      <c r="AL285" s="4806"/>
      <c r="AM285" s="4806"/>
      <c r="AN285" s="4806"/>
      <c r="AO285" s="4806"/>
      <c r="AP285" s="4807"/>
      <c r="AQ285" s="4805"/>
      <c r="AR285" s="4806"/>
      <c r="AS285" s="4806"/>
      <c r="AT285" s="4806"/>
      <c r="AU285" s="4806"/>
      <c r="AV285" s="4806"/>
      <c r="AW285" s="4806"/>
      <c r="AX285" s="4806"/>
      <c r="AY285" s="4806"/>
      <c r="AZ285" s="4807"/>
      <c r="BA285" s="4805"/>
      <c r="BB285" s="4806"/>
      <c r="BC285" s="4806"/>
      <c r="BD285" s="4806"/>
      <c r="BE285" s="4806"/>
      <c r="BF285" s="4806"/>
      <c r="BG285" s="4806"/>
      <c r="BH285" s="4806"/>
      <c r="BI285" s="4806"/>
      <c r="BJ285" s="4807"/>
      <c r="BK285" s="1014">
        <f>SUM(K281:K285)-SUM(V285:BA285)</f>
        <v>0</v>
      </c>
      <c r="BL285" s="1439"/>
      <c r="BM285" s="1440"/>
      <c r="BN285" s="1008"/>
      <c r="BO285" s="1009"/>
      <c r="BP285" s="1010" t="str">
        <f>IF(I285="Si",VLOOKUP($D$8,'Tablas Técnicas'!$E$4:$F$6,2,FALSE),"")</f>
        <v/>
      </c>
      <c r="BQ285" s="980" t="str">
        <f>IF(L285="Si",VLOOKUP($D$8,'Tablas Técnicas'!$I$4:$J$6,2,FALSE),"")</f>
        <v/>
      </c>
      <c r="BR285" s="1011" t="str">
        <f>IF(O285="Si",VLOOKUP($D$8,'Tablas Técnicas'!$I$7:$J$9,2,FALSE),"")</f>
        <v/>
      </c>
      <c r="BS285" s="994"/>
      <c r="BT285" s="3023" t="s">
        <v>1687</v>
      </c>
      <c r="BU285" s="3024" t="s">
        <v>4550</v>
      </c>
      <c r="BV285" s="971"/>
      <c r="BW285" s="3024" t="s">
        <v>4551</v>
      </c>
      <c r="BX285" s="3023" t="s">
        <v>4552</v>
      </c>
      <c r="BY285" s="1301" t="s">
        <v>4552</v>
      </c>
      <c r="BZ285" s="1304"/>
      <c r="CA285" s="939"/>
      <c r="DR285" s="939"/>
      <c r="DT285" s="1325"/>
      <c r="DU285" s="1379"/>
      <c r="DV285" s="1376" t="str">
        <f>IF(E285="","",E285)&amp;IF(I285="No",""," (Mant.)")&amp;IF(L285="No",""," (Sme)")&amp;IF(O285="No",""," (SMa)")</f>
        <v/>
      </c>
      <c r="DW285" s="1376"/>
      <c r="DX285" s="1378"/>
      <c r="DY285" s="1324"/>
      <c r="DZ285" s="939"/>
      <c r="EA285" s="1470">
        <f t="shared" si="4"/>
        <v>1</v>
      </c>
    </row>
    <row r="286" spans="1:131" x14ac:dyDescent="0.2">
      <c r="A286" s="939"/>
      <c r="B286" s="1403"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822"/>
      <c r="D286" s="1454">
        <v>4</v>
      </c>
      <c r="E286" s="1246"/>
      <c r="F286" s="1016"/>
      <c r="G286" s="1017"/>
      <c r="H286" s="2159">
        <f t="array" ref="H286">IF(AND(OR(ISNUMBER(SEARCH("Empatía Elemental ("&amp;BK281:BM281&amp;")",Principal!$AF$30))),SUM(H281:H285)&gt;=10),-5,0)</f>
        <v>0</v>
      </c>
      <c r="I286" s="1413"/>
      <c r="J286" s="1416"/>
      <c r="K286" s="1017"/>
      <c r="L286" s="1413"/>
      <c r="M286" s="1416"/>
      <c r="N286" s="1017"/>
      <c r="O286" s="1413"/>
      <c r="P286" s="1416"/>
      <c r="Q286" s="1017"/>
      <c r="R286" s="1018"/>
      <c r="S286" s="1017"/>
      <c r="T286" s="1017"/>
      <c r="U286" s="1017"/>
      <c r="V286" s="1017"/>
      <c r="W286" s="1017"/>
      <c r="X286" s="1017"/>
      <c r="Y286" s="1017"/>
      <c r="Z286" s="1017"/>
      <c r="AA286" s="1017"/>
      <c r="AB286" s="1017"/>
      <c r="AC286" s="1017"/>
      <c r="AD286" s="1017"/>
      <c r="AE286" s="1017"/>
      <c r="AF286" s="1017"/>
      <c r="AG286" s="1017"/>
      <c r="AH286" s="1017"/>
      <c r="AI286" s="1017"/>
      <c r="AJ286" s="1017"/>
      <c r="AK286" s="1017"/>
      <c r="AL286" s="1017"/>
      <c r="AM286" s="1017"/>
      <c r="AN286" s="1017"/>
      <c r="AO286" s="1017"/>
      <c r="AP286" s="1017"/>
      <c r="AQ286" s="1017"/>
      <c r="AR286" s="1017"/>
      <c r="AS286" s="1017"/>
      <c r="AT286" s="1017"/>
      <c r="AU286" s="1017"/>
      <c r="AV286" s="1017"/>
      <c r="AW286" s="1017"/>
      <c r="AX286" s="1017"/>
      <c r="AY286" s="1017"/>
      <c r="AZ286" s="1017"/>
      <c r="BA286" s="1017"/>
      <c r="BB286" s="1017"/>
      <c r="BC286" s="1017"/>
      <c r="BD286" s="1017"/>
      <c r="BE286" s="1017"/>
      <c r="BF286" s="1017"/>
      <c r="BG286" s="1017"/>
      <c r="BH286" s="1017"/>
      <c r="BI286" s="1017"/>
      <c r="BJ286" s="1017"/>
      <c r="BK286" s="1017"/>
      <c r="BL286" s="1017"/>
      <c r="BM286" s="1027"/>
      <c r="BN286" s="1028">
        <f>SUM(K286:K289)</f>
        <v>0</v>
      </c>
      <c r="BO286" s="971" t="str">
        <f>IF(E286=0,"",(AF286+AP286+AZ286+BJ286))</f>
        <v/>
      </c>
      <c r="BP286" s="1029" t="str">
        <f>IF(I286="Si",VLOOKUP($D$8,'Tablas Técnicas'!$E$4:$F$6,2,FALSE),"")</f>
        <v/>
      </c>
      <c r="BQ286" s="1030" t="str">
        <f>IF(L286="Si",VLOOKUP($D$8,'Tablas Técnicas'!$I$4:$J$6,2,FALSE),"")</f>
        <v/>
      </c>
      <c r="BR286" s="1028" t="str">
        <f>IF(O286="Si",VLOOKUP($D$8,'Tablas Técnicas'!$I$7:$J$9,2,FALSE),"")</f>
        <v/>
      </c>
      <c r="BS286" s="994"/>
      <c r="BT286" s="3028">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356"/>
      <c r="BV286" s="971"/>
      <c r="BW286" s="1026" t="str">
        <f>IF(SUM(BT286:BU286)=0,"N/A",SUM(BT286:BU286))</f>
        <v>N/A</v>
      </c>
      <c r="BX286" s="3028">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26" t="str">
        <f>IF(BX286=0,"N/A",BX286)</f>
        <v>N/A</v>
      </c>
      <c r="BZ286" s="1304"/>
      <c r="CA286" s="939"/>
      <c r="DR286" s="939"/>
      <c r="DT286" s="1325"/>
      <c r="DU286" s="1379"/>
      <c r="DV286" s="1380"/>
      <c r="DW286" s="1376"/>
      <c r="DX286" s="1378"/>
      <c r="DY286" s="1324"/>
      <c r="DZ286" s="939"/>
      <c r="EA286" s="1470">
        <f t="shared" si="4"/>
        <v>1</v>
      </c>
    </row>
    <row r="287" spans="1:131" x14ac:dyDescent="0.2">
      <c r="A287" s="939"/>
      <c r="B287" s="939"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822"/>
      <c r="D287" s="1453" t="s">
        <v>1766</v>
      </c>
      <c r="E287" s="983"/>
      <c r="F287" s="1019"/>
      <c r="G287" s="989" t="str">
        <f>IF(E287=0,"",VLOOKUP(E287,'Tablas Técnicas'!$A$14:$V$771,3,FALSE))</f>
        <v/>
      </c>
      <c r="H287" s="1031" t="str">
        <f>IF($E287=0,"",VLOOKUP($E287,'Tablas Técnicas'!$A$14:$V$771,4,FALSE))</f>
        <v/>
      </c>
      <c r="I287" s="987" t="s">
        <v>1690</v>
      </c>
      <c r="J287" s="1417" t="str">
        <f>IF(E287=0,"",VLOOKUP(E287,'Tablas Técnicas'!$A$14:$V$771,5,FALSE))</f>
        <v/>
      </c>
      <c r="K287" s="1033" t="str">
        <f>IF(I287="Si",IF(E287=0,"",VLOOKUP(E287,'Tablas Técnicas'!$A$14:$V$771,5,FALSE)),"")</f>
        <v/>
      </c>
      <c r="L287" s="987" t="s">
        <v>1690</v>
      </c>
      <c r="M287" s="1417" t="str">
        <f>IF(E287=0,"",VLOOKUP(E287,'Tablas Técnicas'!$A$14:$V$771,6,FALSE))</f>
        <v/>
      </c>
      <c r="N287" s="990" t="str">
        <f>IF(L287="Si",IF(E287=0,"",VLOOKUP(E287,'Tablas Técnicas'!$A$14:$V$771,6,FALSE)),"")</f>
        <v/>
      </c>
      <c r="O287" s="987" t="s">
        <v>1690</v>
      </c>
      <c r="P287" s="1417" t="str">
        <f>IF(E287=0,"",VLOOKUP(E287,'Tablas Técnicas'!$A$14:$V$771,7,FALSE))</f>
        <v/>
      </c>
      <c r="Q287" s="990" t="str">
        <f>IF(O287="Si",IF(E287=0,"",VLOOKUP(E287,'Tablas Técnicas'!$A$14:$V$771,7,FALSE)),"")</f>
        <v/>
      </c>
      <c r="R287" s="1032" t="str">
        <f>IF(E287=0,"",VLOOKUP(E287,'Tablas Técnicas'!$A$14:$V$771,8,FALSE))</f>
        <v/>
      </c>
      <c r="S287" s="1004" t="str">
        <f>IF(R287=$D$8,$D$8,IF(R287=2,2,IF(R287=3,3,R287)))</f>
        <v/>
      </c>
      <c r="T287" s="1033" t="str">
        <f>IF(E287=0,"",VLOOKUP(E287,'Tablas Técnicas'!$A$14:$V$771,9,FALSE))</f>
        <v/>
      </c>
      <c r="U287" s="1033" t="str">
        <f>IF(E287=0,"",VLOOKUP(E287,'Tablas Técnicas'!$A$14:$V$771,10,FALSE))</f>
        <v/>
      </c>
      <c r="V287" s="1034" t="str">
        <f>IF(E287=0,"",VLOOKUP(E287,'Tablas Técnicas'!$A$14:$V$771,11,FALSE))</f>
        <v/>
      </c>
      <c r="W287" s="987"/>
      <c r="X287" s="988" t="e">
        <f>VLOOKUP(E287,'Tablas Técnicas'!$A$14:$V$771,12,FALSE)</f>
        <v>#N/A</v>
      </c>
      <c r="Y287" s="988" t="e">
        <f>IF(W287=X287,VLOOKUP(E287,'Tablas Técnicas'!$A$14:$V$771,13,FALSE),0)</f>
        <v>#N/A</v>
      </c>
      <c r="Z287" s="988" t="e">
        <f>VLOOKUP(E287,'Tablas Técnicas'!$A$14:$V$771,14,FALSE)</f>
        <v>#N/A</v>
      </c>
      <c r="AA287" s="988" t="e">
        <f>IF(W287=Z287,VLOOKUP(E287,'Tablas Técnicas'!$A$14:$V$616,15,FALSE),0)</f>
        <v>#N/A</v>
      </c>
      <c r="AB287" s="988" t="e">
        <f>VLOOKUP(E287,'Tablas Técnicas'!$A$14:$V$771,16,FALSE)</f>
        <v>#N/A</v>
      </c>
      <c r="AC287" s="988" t="e">
        <f>IF(W287=AB287,VLOOKUP(E287,'Tablas Técnicas'!$A$14:$V$616,17,FALSE),0)</f>
        <v>#N/A</v>
      </c>
      <c r="AD287" s="988" t="e">
        <f>VLOOKUP(E287,'Tablas Técnicas'!$A$14:$V$771,18,FALSE)</f>
        <v>#N/A</v>
      </c>
      <c r="AE287" s="988" t="e">
        <f>IF(W287=AD287,VLOOKUP(E287,'Tablas Técnicas'!$A$14:$V$771,19,FALSE),0)</f>
        <v>#N/A</v>
      </c>
      <c r="AF287" s="1006" t="str">
        <f>IF(E287=0,"",(Y287+AA287+AC287+AE287))</f>
        <v/>
      </c>
      <c r="AG287" s="987"/>
      <c r="AH287" s="1005" t="e">
        <f>VLOOKUP(E287,'Tablas Técnicas'!$A$14:$V$771,12,FALSE)</f>
        <v>#N/A</v>
      </c>
      <c r="AI287" s="1005" t="e">
        <f>IF(AG287=AH287,VLOOKUP(E287,'Tablas Técnicas'!$A$14:$V$771,13,FALSE),0)</f>
        <v>#N/A</v>
      </c>
      <c r="AJ287" s="1005" t="e">
        <f>VLOOKUP(E287,'Tablas Técnicas'!$A$14:$V$771,14,FALSE)</f>
        <v>#N/A</v>
      </c>
      <c r="AK287" s="1005" t="e">
        <f>IF(AG287=AJ287,VLOOKUP(E287,'Tablas Técnicas'!$A$14:$V$771,15,FALSE),0)</f>
        <v>#N/A</v>
      </c>
      <c r="AL287" s="1005" t="e">
        <f>VLOOKUP(E287,'Tablas Técnicas'!$A$14:$V$771,16,FALSE)</f>
        <v>#N/A</v>
      </c>
      <c r="AM287" s="1005" t="e">
        <f>IF(AG287=AL287,VLOOKUP(E287,'Tablas Técnicas'!$A$14:$V$771,17,FALSE),0)</f>
        <v>#N/A</v>
      </c>
      <c r="AN287" s="1005" t="e">
        <f>VLOOKUP(E287,'Tablas Técnicas'!$A$14:$V$771,18,FALSE)</f>
        <v>#N/A</v>
      </c>
      <c r="AO287" s="1005" t="e">
        <f>IF(AG287=AN287,VLOOKUP(E287,'Tablas Técnicas'!$A$14:$V$771,19,FALSE),0)</f>
        <v>#N/A</v>
      </c>
      <c r="AP287" s="3034" t="str">
        <f>IF(E287=0,"",(AI287+AK287+AM287+AO287))</f>
        <v/>
      </c>
      <c r="AQ287" s="987"/>
      <c r="AR287" s="1005" t="e">
        <f>VLOOKUP(E287,'Tablas Técnicas'!$A$14:$V$771,12,FALSE)</f>
        <v>#N/A</v>
      </c>
      <c r="AS287" s="1005" t="e">
        <f>IF(AQ287=AR287,VLOOKUP(E287,'Tablas Técnicas'!$A$14:$V$771,13,FALSE),0)</f>
        <v>#N/A</v>
      </c>
      <c r="AT287" s="1005" t="e">
        <f>VLOOKUP(E287,'Tablas Técnicas'!$A$14:$V$771,14,FALSE)</f>
        <v>#N/A</v>
      </c>
      <c r="AU287" s="1005" t="e">
        <f>IF(AQ287=AT287,VLOOKUP(E287,'Tablas Técnicas'!$A$14:$V$771,15,FALSE),0)</f>
        <v>#N/A</v>
      </c>
      <c r="AV287" s="1005" t="e">
        <f>VLOOKUP(E287,'Tablas Técnicas'!$A$14:$V$771,16,FALSE)</f>
        <v>#N/A</v>
      </c>
      <c r="AW287" s="1005" t="e">
        <f>IF(AQ287=AV287,VLOOKUP(E287,'Tablas Técnicas'!$A$14:$V$771,17,FALSE),0)</f>
        <v>#N/A</v>
      </c>
      <c r="AX287" s="1005" t="e">
        <f>VLOOKUP(E287,'Tablas Técnicas'!$A$14:$V$771,18,FALSE)</f>
        <v>#N/A</v>
      </c>
      <c r="AY287" s="1005" t="e">
        <f>IF(AQ287=AX287,VLOOKUP(E287,'Tablas Técnicas'!$A$14:$V$771,19,FALSE),0)</f>
        <v>#N/A</v>
      </c>
      <c r="AZ287" s="1006" t="str">
        <f>IF(E287=0,"",(AS287+AU287+AW287+AY287))</f>
        <v/>
      </c>
      <c r="BA287" s="987"/>
      <c r="BB287" s="1005" t="e">
        <f>VLOOKUP(E287,'Tablas Técnicas'!$A$14:$V$771,12,FALSE)</f>
        <v>#N/A</v>
      </c>
      <c r="BC287" s="1005" t="e">
        <f>IF(BA287=BB287,VLOOKUP(E287,'Tablas Técnicas'!$A$14:$V$771,13,FALSE),0)</f>
        <v>#N/A</v>
      </c>
      <c r="BD287" s="1005" t="e">
        <f>VLOOKUP(E287,'Tablas Técnicas'!$A$14:$V$771,14,FALSE)</f>
        <v>#N/A</v>
      </c>
      <c r="BE287" s="1005" t="e">
        <f>IF(BA287=BD287,VLOOKUP(E287,'Tablas Técnicas'!$A$14:$V$771,15,FALSE),0)</f>
        <v>#N/A</v>
      </c>
      <c r="BF287" s="1005" t="e">
        <f>VLOOKUP(E287,'Tablas Técnicas'!$A$14:$V$771,16,FALSE)</f>
        <v>#N/A</v>
      </c>
      <c r="BG287" s="1005" t="e">
        <f>IF(BA287=BF287,VLOOKUP(E287,'Tablas Técnicas'!$A$14:$V$771,17,FALSE),0)</f>
        <v>#N/A</v>
      </c>
      <c r="BH287" s="1005" t="e">
        <f>VLOOKUP(E287,'Tablas Técnicas'!$A$14:$V$771,18,FALSE)</f>
        <v>#N/A</v>
      </c>
      <c r="BI287" s="1005" t="e">
        <f>IF(BA287=BH287,VLOOKUP(E287,'Tablas Técnicas'!$A$14:$V$771,19,FALSE),0)</f>
        <v>#N/A</v>
      </c>
      <c r="BJ287" s="3034" t="str">
        <f>IF(E287=0,"",(BC287+BE287+BG287+BI287))</f>
        <v/>
      </c>
      <c r="BK287" s="1033" t="str">
        <f>IF(E287=0,"",VLOOKUP(E287,'Tablas Técnicas'!$A$14:$V$771,20,FALSE))</f>
        <v/>
      </c>
      <c r="BL287" s="1020" t="str">
        <f>IF(E287=0,"",VLOOKUP(E287,'Tablas Técnicas'!$A$14:$V$771,21,FALSE))</f>
        <v/>
      </c>
      <c r="BM287" s="991" t="str">
        <f>IF(E287=0,"",VLOOKUP(E287,'Tablas Técnicas'!$A$14:$V$771,22,FALSE))</f>
        <v/>
      </c>
      <c r="BN287" s="992"/>
      <c r="BO287" s="993"/>
      <c r="BP287" s="978" t="str">
        <f>IF(I287="Si",VLOOKUP($D$8,'Tablas Técnicas'!$E$4:$F$6,2,FALSE),"")</f>
        <v/>
      </c>
      <c r="BQ287" s="979" t="str">
        <f>IF(L287="Si",VLOOKUP($D$8,'Tablas Técnicas'!$I$4:$J$6,2,FALSE),"")</f>
        <v/>
      </c>
      <c r="BR287" s="977" t="str">
        <f>IF(O287="Si",VLOOKUP($D$8,'Tablas Técnicas'!$I$7:$J$9,2,FALSE),"")</f>
        <v/>
      </c>
      <c r="BS287" s="994"/>
      <c r="BT287" s="3023" t="s">
        <v>1692</v>
      </c>
      <c r="BU287" s="3024" t="s">
        <v>4550</v>
      </c>
      <c r="BV287" s="971"/>
      <c r="BW287" s="3024" t="s">
        <v>4551</v>
      </c>
      <c r="BX287" s="3023" t="s">
        <v>4552</v>
      </c>
      <c r="BY287" s="1301" t="s">
        <v>4552</v>
      </c>
      <c r="BZ287" s="1304"/>
      <c r="CA287" s="939"/>
      <c r="DR287" s="939"/>
      <c r="DT287" s="1325"/>
      <c r="DU287" s="1379"/>
      <c r="DV287" s="1376" t="str">
        <f>IF(E287="","",", "&amp;E287)&amp;IF(I287="No",""," (Mant.)")&amp;IF(L287="No",""," (Sme)")&amp;IF(O287="No",""," (SMa)")</f>
        <v/>
      </c>
      <c r="DW287" s="1376"/>
      <c r="DX287" s="1378"/>
      <c r="DY287" s="1324"/>
      <c r="DZ287" s="939"/>
      <c r="EA287" s="1470">
        <f t="shared" si="4"/>
        <v>1</v>
      </c>
    </row>
    <row r="288" spans="1:131" x14ac:dyDescent="0.2">
      <c r="A288" s="939"/>
      <c r="B288" s="939"/>
      <c r="C288" s="4822"/>
      <c r="D288" s="1452" t="s">
        <v>1766</v>
      </c>
      <c r="E288" s="995"/>
      <c r="F288" s="1025"/>
      <c r="G288" s="1437" t="str">
        <f>IF(E288=0,"",VLOOKUP(E288,'Tablas Técnicas'!$A$14:$V$771,3,FALSE))</f>
        <v/>
      </c>
      <c r="H288" s="998" t="str">
        <f>IF($E288=0,"",VLOOKUP($E288,'Tablas Técnicas'!$A$14:$V$771,4,FALSE))</f>
        <v/>
      </c>
      <c r="I288" s="999" t="s">
        <v>1690</v>
      </c>
      <c r="J288" s="1415" t="str">
        <f>IF(E288=0,"",VLOOKUP(E288,'Tablas Técnicas'!$A$14:$V$771,5,FALSE))</f>
        <v/>
      </c>
      <c r="K288" s="1001" t="str">
        <f>IF(I288="Si",IF(E288=0,"",VLOOKUP(E288,'Tablas Técnicas'!$A$14:$V$771,5,FALSE)),"")</f>
        <v/>
      </c>
      <c r="L288" s="999" t="s">
        <v>1690</v>
      </c>
      <c r="M288" s="1415" t="str">
        <f>IF(E288=0,"",VLOOKUP(E288,'Tablas Técnicas'!$A$14:$V$771,6,FALSE))</f>
        <v/>
      </c>
      <c r="N288" s="1002" t="str">
        <f>IF(L288="Si",IF(E288=0,"",VLOOKUP(E288,'Tablas Técnicas'!$A$14:$V$771,6,FALSE)),"")</f>
        <v/>
      </c>
      <c r="O288" s="999" t="s">
        <v>1690</v>
      </c>
      <c r="P288" s="1415" t="str">
        <f>IF(E288=0,"",VLOOKUP(E288,'Tablas Técnicas'!$A$14:$V$771,7,FALSE))</f>
        <v/>
      </c>
      <c r="Q288" s="1002" t="str">
        <f>IF(O288="Si",IF(E288=0,"",VLOOKUP(E288,'Tablas Técnicas'!$A$14:$V$771,7,FALSE)),"")</f>
        <v/>
      </c>
      <c r="R288" s="1000" t="str">
        <f>IF(E288=0,"",VLOOKUP(E288,'Tablas Técnicas'!$A$14:$V$771,8,FALSE))</f>
        <v/>
      </c>
      <c r="S288" s="998" t="str">
        <f>IF(R288=$D$8,$D$8,IF(R288=2,2,IF(R288=3,3,R288)))</f>
        <v/>
      </c>
      <c r="T288" s="4796" t="s">
        <v>4542</v>
      </c>
      <c r="U288" s="4797"/>
      <c r="V288" s="4797"/>
      <c r="W288" s="4797"/>
      <c r="X288" s="4797"/>
      <c r="Y288" s="4797"/>
      <c r="Z288" s="4797"/>
      <c r="AA288" s="4797"/>
      <c r="AB288" s="4797"/>
      <c r="AC288" s="4797"/>
      <c r="AD288" s="4797"/>
      <c r="AE288" s="4797"/>
      <c r="AF288" s="4797"/>
      <c r="AG288" s="4797"/>
      <c r="AH288" s="4797"/>
      <c r="AI288" s="4797"/>
      <c r="AJ288" s="4797"/>
      <c r="AK288" s="4797"/>
      <c r="AL288" s="4797"/>
      <c r="AM288" s="4797"/>
      <c r="AN288" s="4797"/>
      <c r="AO288" s="4797"/>
      <c r="AP288" s="4797"/>
      <c r="AQ288" s="4797"/>
      <c r="AR288" s="4797"/>
      <c r="AS288" s="4797"/>
      <c r="AT288" s="4797"/>
      <c r="AU288" s="4797"/>
      <c r="AV288" s="4797"/>
      <c r="AW288" s="4797"/>
      <c r="AX288" s="4797"/>
      <c r="AY288" s="4797"/>
      <c r="AZ288" s="4797"/>
      <c r="BA288" s="4797"/>
      <c r="BB288" s="4797"/>
      <c r="BC288" s="4797"/>
      <c r="BD288" s="4797"/>
      <c r="BE288" s="4797"/>
      <c r="BF288" s="4797"/>
      <c r="BG288" s="4797"/>
      <c r="BH288" s="4797"/>
      <c r="BI288" s="4797"/>
      <c r="BJ288" s="4797"/>
      <c r="BK288" s="4798"/>
      <c r="BL288" s="1437"/>
      <c r="BM288" s="1438"/>
      <c r="BN288" s="992"/>
      <c r="BO288" s="993"/>
      <c r="BP288" s="978" t="str">
        <f>IF(I288="Si",VLOOKUP($D$8,'Tablas Técnicas'!$E$4:$F$6,2,FALSE),"")</f>
        <v/>
      </c>
      <c r="BQ288" s="979" t="str">
        <f>IF(L288="Si",VLOOKUP($D$8,'Tablas Técnicas'!$I$4:$J$6,2,FALSE),"")</f>
        <v/>
      </c>
      <c r="BR288" s="977" t="str">
        <f>IF(O288="Si",VLOOKUP($D$8,'Tablas Técnicas'!$I$7:$J$9,2,FALSE),"")</f>
        <v/>
      </c>
      <c r="BS288" s="994"/>
      <c r="BT288" s="3028">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356"/>
      <c r="BV288" s="971"/>
      <c r="BW288" s="1026" t="str">
        <f>IF(SUM(BT288:BU288)=0,"N/A",SUM(BT288:BU288))</f>
        <v>N/A</v>
      </c>
      <c r="BX288" s="3028">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26" t="str">
        <f>IF(BX288=0,"N/A",BX288)</f>
        <v>N/A</v>
      </c>
      <c r="BZ288" s="1304"/>
      <c r="CA288" s="939"/>
      <c r="DR288" s="939"/>
      <c r="DT288" s="1325"/>
      <c r="DU288" s="1379"/>
      <c r="DV288" s="1376" t="str">
        <f>IF(E288="",""," "&amp;E288)&amp;IF(I288="No",""," (Mant.)")&amp;IF(L288="No",""," (Sme)")&amp;IF(O288="No",""," (SMa)")</f>
        <v/>
      </c>
      <c r="DW288" s="1376"/>
      <c r="DX288" s="1378"/>
      <c r="DY288" s="1324"/>
      <c r="DZ288" s="939"/>
      <c r="EA288" s="1470">
        <f t="shared" si="4"/>
        <v>1</v>
      </c>
    </row>
    <row r="289" spans="1:132" x14ac:dyDescent="0.2">
      <c r="A289" s="939"/>
      <c r="B289" s="939"/>
      <c r="C289" s="4822"/>
      <c r="D289" s="1453" t="s">
        <v>1766</v>
      </c>
      <c r="E289" s="1003"/>
      <c r="F289" s="1019"/>
      <c r="G289" s="989" t="str">
        <f>IF(E289=0,"",VLOOKUP(E289,'Tablas Técnicas'!$A$14:$V$771,3,FALSE))</f>
        <v/>
      </c>
      <c r="H289" s="3033" t="str">
        <f>IF($E289=0,"",VLOOKUP($E289,'Tablas Técnicas'!$A$14:$V$771,4,FALSE))</f>
        <v/>
      </c>
      <c r="I289" s="987" t="s">
        <v>1690</v>
      </c>
      <c r="J289" s="1411" t="str">
        <f>IF(E289=0,"",VLOOKUP(E289,'Tablas Técnicas'!$A$14:$V$771,5,FALSE))</f>
        <v/>
      </c>
      <c r="K289" s="1006" t="str">
        <f>IF(I289="Si",IF(E289=0,"",VLOOKUP(E289,'Tablas Técnicas'!$A$14:$V$771,5,FALSE)),"")</f>
        <v/>
      </c>
      <c r="L289" s="987" t="s">
        <v>1690</v>
      </c>
      <c r="M289" s="1411" t="str">
        <f>IF(E289=0,"",VLOOKUP(E289,'Tablas Técnicas'!$A$14:$V$771,6,FALSE))</f>
        <v/>
      </c>
      <c r="N289" s="990" t="str">
        <f>IF(L289="Si",IF(E289=0,"",VLOOKUP(E289,'Tablas Técnicas'!$A$14:$V$771,6,FALSE)),"")</f>
        <v/>
      </c>
      <c r="O289" s="987" t="s">
        <v>1690</v>
      </c>
      <c r="P289" s="1411" t="str">
        <f>IF(E289=0,"",VLOOKUP(E289,'Tablas Técnicas'!$A$14:$V$771,7,FALSE))</f>
        <v/>
      </c>
      <c r="Q289" s="990" t="str">
        <f>IF(O289="Si",IF(E289=0,"",VLOOKUP(E289,'Tablas Técnicas'!$A$14:$V$771,7,FALSE)),"")</f>
        <v/>
      </c>
      <c r="R289" s="1005" t="str">
        <f>IF(E289=0,"",VLOOKUP(E289,'Tablas Técnicas'!$A$14:$V$771,8,FALSE))</f>
        <v/>
      </c>
      <c r="S289" s="3033" t="str">
        <f>IF(R289=$D$8,$D$8,IF(R289=2,2,IF(R289=3,3,R289)))</f>
        <v/>
      </c>
      <c r="T289" s="4809"/>
      <c r="U289" s="4810"/>
      <c r="V289" s="3029" t="str">
        <f>IF(OR(V287=0,V287=""),"N/A",V287)</f>
        <v>N/A</v>
      </c>
      <c r="W289" s="4809" t="str">
        <f xml:space="preserve"> IF(OR(AF287=0,AF287=""),"N/A",W287)</f>
        <v>N/A</v>
      </c>
      <c r="X289" s="4811"/>
      <c r="Y289" s="4811"/>
      <c r="Z289" s="4811"/>
      <c r="AA289" s="4811"/>
      <c r="AB289" s="4811"/>
      <c r="AC289" s="4811"/>
      <c r="AD289" s="4811"/>
      <c r="AE289" s="4811"/>
      <c r="AF289" s="4810"/>
      <c r="AG289" s="4809" t="str">
        <f xml:space="preserve"> IF(OR(AP287="",AP287=0),"N/A",AG287)</f>
        <v>N/A</v>
      </c>
      <c r="AH289" s="4811"/>
      <c r="AI289" s="4811"/>
      <c r="AJ289" s="4811"/>
      <c r="AK289" s="4811"/>
      <c r="AL289" s="4811"/>
      <c r="AM289" s="4811"/>
      <c r="AN289" s="4811"/>
      <c r="AO289" s="4811"/>
      <c r="AP289" s="4810"/>
      <c r="AQ289" s="4809" t="str">
        <f xml:space="preserve"> IF(OR(AZ287="",AZ287=0),"N/A",AQ287)</f>
        <v>N/A</v>
      </c>
      <c r="AR289" s="4811"/>
      <c r="AS289" s="4811"/>
      <c r="AT289" s="4811"/>
      <c r="AU289" s="4811"/>
      <c r="AV289" s="4811"/>
      <c r="AW289" s="4811"/>
      <c r="AX289" s="4811"/>
      <c r="AY289" s="4811"/>
      <c r="AZ289" s="4810"/>
      <c r="BA289" s="4809" t="str">
        <f xml:space="preserve"> IF(OR(BJ287="",BJ287=0),"N/A",BA287)</f>
        <v>N/A</v>
      </c>
      <c r="BB289" s="4811"/>
      <c r="BC289" s="4811"/>
      <c r="BD289" s="4811"/>
      <c r="BE289" s="4811"/>
      <c r="BF289" s="4811"/>
      <c r="BG289" s="4811"/>
      <c r="BH289" s="4811"/>
      <c r="BI289" s="4811"/>
      <c r="BJ289" s="4810"/>
      <c r="BK289" s="1007" t="s">
        <v>4543</v>
      </c>
      <c r="BL289" s="989"/>
      <c r="BM289" s="1024"/>
      <c r="BN289" s="1008"/>
      <c r="BO289" s="1009"/>
      <c r="BP289" s="1010" t="str">
        <f>IF(I289="Si",VLOOKUP($D$8,'Tablas Técnicas'!$E$4:$F$6,2,FALSE),"")</f>
        <v/>
      </c>
      <c r="BQ289" s="980" t="str">
        <f>IF(L289="Si",VLOOKUP($D$8,'Tablas Técnicas'!$I$4:$J$6,2,FALSE),"")</f>
        <v/>
      </c>
      <c r="BR289" s="1011" t="str">
        <f>IF(O289="Si",VLOOKUP($D$8,'Tablas Técnicas'!$I$7:$J$9,2,FALSE),"")</f>
        <v/>
      </c>
      <c r="BS289" s="994"/>
      <c r="BT289" s="3023" t="s">
        <v>1700</v>
      </c>
      <c r="BU289" s="3024" t="s">
        <v>4550</v>
      </c>
      <c r="BV289" s="971"/>
      <c r="BW289" s="3024" t="s">
        <v>4551</v>
      </c>
      <c r="BX289" s="3023" t="s">
        <v>4552</v>
      </c>
      <c r="BY289" s="1301" t="s">
        <v>4552</v>
      </c>
      <c r="BZ289" s="1304"/>
      <c r="CA289" s="939"/>
      <c r="DR289" s="939"/>
      <c r="DT289" s="1325"/>
      <c r="DU289" s="1379"/>
      <c r="DV289" s="1376" t="str">
        <f>IF(E289="","",E289)&amp;IF(I289="No",""," (Mant.)")&amp;IF(L289="No",""," (Sme)")&amp;IF(O289="No",""," (SMa)")</f>
        <v/>
      </c>
      <c r="DW289" s="1377"/>
      <c r="DX289" s="1378"/>
      <c r="DY289" s="1324"/>
      <c r="DZ289" s="939"/>
      <c r="EA289" s="1470">
        <f t="shared" si="4"/>
        <v>1</v>
      </c>
    </row>
    <row r="290" spans="1:132" x14ac:dyDescent="0.2">
      <c r="A290" s="939"/>
      <c r="B290" s="939"/>
      <c r="C290" s="4822"/>
      <c r="D290" s="1452" t="s">
        <v>1766</v>
      </c>
      <c r="E290" s="995"/>
      <c r="F290" s="1025"/>
      <c r="G290" s="1437" t="str">
        <f>IF(E290=0,"",VLOOKUP(E290,'Tablas Técnicas'!$A$14:$V$771,3,FALSE))</f>
        <v/>
      </c>
      <c r="H290" s="998" t="str">
        <f>IF($E290=0,"",VLOOKUP($E290,'Tablas Técnicas'!$A$14:$V$771,4,FALSE))</f>
        <v/>
      </c>
      <c r="I290" s="999" t="s">
        <v>1690</v>
      </c>
      <c r="J290" s="1415" t="str">
        <f>IF(E290=0,"",VLOOKUP(E290,'Tablas Técnicas'!$A$14:$V$771,5,FALSE))</f>
        <v/>
      </c>
      <c r="K290" s="1001" t="str">
        <f>IF(I290="Si",IF(E290=0,"",VLOOKUP(E290,'Tablas Técnicas'!$A$14:$V$771,5,FALSE)),"")</f>
        <v/>
      </c>
      <c r="L290" s="999" t="s">
        <v>1690</v>
      </c>
      <c r="M290" s="1415" t="str">
        <f>IF(E290=0,"",VLOOKUP(E290,'Tablas Técnicas'!$A$14:$V$771,6,FALSE))</f>
        <v/>
      </c>
      <c r="N290" s="1002" t="str">
        <f>IF(L290="Si",IF(E290=0,"",VLOOKUP(E290,'Tablas Técnicas'!$A$14:$V$771,6,FALSE)),"")</f>
        <v/>
      </c>
      <c r="O290" s="999" t="s">
        <v>1690</v>
      </c>
      <c r="P290" s="1415" t="str">
        <f>IF(E290=0,"",VLOOKUP(E290,'Tablas Técnicas'!$A$14:$V$771,7,FALSE))</f>
        <v/>
      </c>
      <c r="Q290" s="1002" t="str">
        <f>IF(O290="Si",IF(E290=0,"",VLOOKUP(E290,'Tablas Técnicas'!$A$14:$V$771,7,FALSE)),"")</f>
        <v/>
      </c>
      <c r="R290" s="1000" t="str">
        <f>IF(E290=0,"",VLOOKUP(E290,'Tablas Técnicas'!$A$14:$V$771,8,FALSE))</f>
        <v/>
      </c>
      <c r="S290" s="998" t="str">
        <f>IF(R290=$D$8,$D$8,IF(R290=2,2,IF(R290=3,3,R290)))</f>
        <v/>
      </c>
      <c r="T290" s="4812" t="s">
        <v>4544</v>
      </c>
      <c r="U290" s="4813"/>
      <c r="V290" s="3025"/>
      <c r="W290" s="4814"/>
      <c r="X290" s="4815"/>
      <c r="Y290" s="4815"/>
      <c r="Z290" s="4815"/>
      <c r="AA290" s="4815"/>
      <c r="AB290" s="4815"/>
      <c r="AC290" s="4815"/>
      <c r="AD290" s="4815"/>
      <c r="AE290" s="4815"/>
      <c r="AF290" s="4816"/>
      <c r="AG290" s="4814"/>
      <c r="AH290" s="4815"/>
      <c r="AI290" s="4815"/>
      <c r="AJ290" s="4815"/>
      <c r="AK290" s="4815"/>
      <c r="AL290" s="4815"/>
      <c r="AM290" s="4815"/>
      <c r="AN290" s="4815"/>
      <c r="AO290" s="4815"/>
      <c r="AP290" s="4816"/>
      <c r="AQ290" s="4814"/>
      <c r="AR290" s="4815"/>
      <c r="AS290" s="4815"/>
      <c r="AT290" s="4815"/>
      <c r="AU290" s="4815"/>
      <c r="AV290" s="4815"/>
      <c r="AW290" s="4815"/>
      <c r="AX290" s="4815"/>
      <c r="AY290" s="4815"/>
      <c r="AZ290" s="4816"/>
      <c r="BA290" s="4814"/>
      <c r="BB290" s="4815"/>
      <c r="BC290" s="4815"/>
      <c r="BD290" s="4815"/>
      <c r="BE290" s="4815"/>
      <c r="BF290" s="4815"/>
      <c r="BG290" s="4815"/>
      <c r="BH290" s="4815"/>
      <c r="BI290" s="4815"/>
      <c r="BJ290" s="4816"/>
      <c r="BK290" s="998">
        <f>(SUM(G287:G291)+IF(AF287="",0,AF287)+IF(AP287="",0,AP287)+IF(AZ287="",0,AZ287)+IF(BJ287="",0,BJ287)+SUM(K287:K291)+SUM(N287:N291)+SUM(Q287:Q291))- SUM(V290:BA290)</f>
        <v>0</v>
      </c>
      <c r="BL290" s="1437"/>
      <c r="BM290" s="1438"/>
      <c r="BN290" s="992"/>
      <c r="BO290" s="993"/>
      <c r="BP290" s="978" t="str">
        <f>IF(I290="Si",VLOOKUP($D$8,'Tablas Técnicas'!$E$4:$F$6,2,FALSE),"")</f>
        <v/>
      </c>
      <c r="BQ290" s="979" t="str">
        <f>IF(L290="Si",VLOOKUP($D$8,'Tablas Técnicas'!$I$4:$J$6,2,FALSE),"")</f>
        <v/>
      </c>
      <c r="BR290" s="977" t="str">
        <f>IF(O290="Si",VLOOKUP($D$8,'Tablas Técnicas'!$I$7:$J$9,2,FALSE),"")</f>
        <v/>
      </c>
      <c r="BS290" s="994"/>
      <c r="BT290" s="3028">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356"/>
      <c r="BV290" s="971"/>
      <c r="BW290" s="1026" t="str">
        <f>IF(SUM(BT290:BU290)=0,"N/A",SUM(BT290:BU290))</f>
        <v>N/A</v>
      </c>
      <c r="BX290" s="3028">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26" t="str">
        <f>IF(BX290=0,"N/A",BX290)</f>
        <v>N/A</v>
      </c>
      <c r="BZ290" s="1304"/>
      <c r="CA290" s="939"/>
      <c r="DR290" s="939"/>
      <c r="DT290" s="1325"/>
      <c r="DU290" s="1379"/>
      <c r="DV290" s="1376" t="str">
        <f>IF(E290="","",E290)&amp;IF(I290="No",""," (Mant.)")&amp;IF(L290="No",""," (Sme)")&amp;IF(O290="No",""," (SMa)")</f>
        <v/>
      </c>
      <c r="DW290" s="1377"/>
      <c r="DX290" s="1378"/>
      <c r="DY290" s="1324"/>
      <c r="DZ290" s="939"/>
      <c r="EA290" s="1470">
        <f t="shared" si="4"/>
        <v>1</v>
      </c>
    </row>
    <row r="291" spans="1:132" x14ac:dyDescent="0.2">
      <c r="A291" s="939"/>
      <c r="B291" s="939"/>
      <c r="C291" s="4822"/>
      <c r="D291" s="1453" t="s">
        <v>1766</v>
      </c>
      <c r="E291" s="1003"/>
      <c r="F291" s="1019"/>
      <c r="G291" s="989" t="str">
        <f>IF(E291=0,"",VLOOKUP(E291,'Tablas Técnicas'!$A$14:$V$771,3,FALSE))</f>
        <v/>
      </c>
      <c r="H291" s="1014" t="str">
        <f>IF($E291=0,"",VLOOKUP($E291,'Tablas Técnicas'!$A$14:$V$771,4,FALSE))</f>
        <v/>
      </c>
      <c r="I291" s="987" t="s">
        <v>1690</v>
      </c>
      <c r="J291" s="1418" t="str">
        <f>IF(E291=0,"",VLOOKUP(E291,'Tablas Técnicas'!$A$14:$V$771,5,FALSE))</f>
        <v/>
      </c>
      <c r="K291" s="1015" t="str">
        <f>IF(I291="Si",IF(E291=0,"",VLOOKUP(E291,'Tablas Técnicas'!$A$14:$V$771,5,FALSE)),"")</f>
        <v/>
      </c>
      <c r="L291" s="987" t="s">
        <v>1690</v>
      </c>
      <c r="M291" s="1418" t="str">
        <f>IF(E291=0,"",VLOOKUP(E291,'Tablas Técnicas'!$A$14:$V$771,6,FALSE))</f>
        <v/>
      </c>
      <c r="N291" s="990" t="str">
        <f>IF(L291="Si",IF(E291=0,"",VLOOKUP(E291,'Tablas Técnicas'!$A$14:$V$771,6,FALSE)),"")</f>
        <v/>
      </c>
      <c r="O291" s="987" t="s">
        <v>1690</v>
      </c>
      <c r="P291" s="1418" t="str">
        <f>IF(E291=0,"",VLOOKUP(E291,'Tablas Técnicas'!$A$14:$V$771,7,FALSE))</f>
        <v/>
      </c>
      <c r="Q291" s="990" t="str">
        <f>IF(O291="Si",IF(E291=0,"",VLOOKUP(E291,'Tablas Técnicas'!$A$14:$V$771,7,FALSE)),"")</f>
        <v/>
      </c>
      <c r="R291" s="1035" t="str">
        <f>IF(E291=0,"",VLOOKUP(E291,'Tablas Técnicas'!$A$14:$V$771,8,FALSE))</f>
        <v/>
      </c>
      <c r="S291" s="1004" t="str">
        <f>IF(R291=$D$8,$D$8,IF(R291=2,2,IF(R291=3,3,R291)))</f>
        <v/>
      </c>
      <c r="T291" s="4803" t="s">
        <v>4546</v>
      </c>
      <c r="U291" s="4804"/>
      <c r="V291" s="3032"/>
      <c r="W291" s="4805"/>
      <c r="X291" s="4806"/>
      <c r="Y291" s="4806"/>
      <c r="Z291" s="4806"/>
      <c r="AA291" s="4806"/>
      <c r="AB291" s="4806"/>
      <c r="AC291" s="4806"/>
      <c r="AD291" s="4806"/>
      <c r="AE291" s="4806"/>
      <c r="AF291" s="4807"/>
      <c r="AG291" s="4805"/>
      <c r="AH291" s="4806"/>
      <c r="AI291" s="4806"/>
      <c r="AJ291" s="4806"/>
      <c r="AK291" s="4806"/>
      <c r="AL291" s="4806"/>
      <c r="AM291" s="4806"/>
      <c r="AN291" s="4806"/>
      <c r="AO291" s="4806"/>
      <c r="AP291" s="4807"/>
      <c r="AQ291" s="4805"/>
      <c r="AR291" s="4806"/>
      <c r="AS291" s="4806"/>
      <c r="AT291" s="4806"/>
      <c r="AU291" s="4806"/>
      <c r="AV291" s="4806"/>
      <c r="AW291" s="4806"/>
      <c r="AX291" s="4806"/>
      <c r="AY291" s="4806"/>
      <c r="AZ291" s="4807"/>
      <c r="BA291" s="4805"/>
      <c r="BB291" s="4806"/>
      <c r="BC291" s="4806"/>
      <c r="BD291" s="4806"/>
      <c r="BE291" s="4806"/>
      <c r="BF291" s="4806"/>
      <c r="BG291" s="4806"/>
      <c r="BH291" s="4806"/>
      <c r="BI291" s="4806"/>
      <c r="BJ291" s="4807"/>
      <c r="BK291" s="1014">
        <f>SUM(K287:K291)-SUM(V291:BA291)</f>
        <v>0</v>
      </c>
      <c r="BL291" s="1439"/>
      <c r="BM291" s="1440"/>
      <c r="BN291" s="1008"/>
      <c r="BO291" s="1009"/>
      <c r="BP291" s="1010" t="str">
        <f>IF(I291="Si",VLOOKUP($D$8,'Tablas Técnicas'!$E$4:$F$6,2,FALSE),"")</f>
        <v/>
      </c>
      <c r="BQ291" s="980" t="str">
        <f>IF(L291="Si",VLOOKUP($D$8,'Tablas Técnicas'!$I$4:$J$6,2,FALSE),"")</f>
        <v/>
      </c>
      <c r="BR291" s="1011" t="str">
        <f>IF(O291="Si",VLOOKUP($D$8,'Tablas Técnicas'!$I$7:$J$9,2,FALSE),"")</f>
        <v/>
      </c>
      <c r="BS291" s="994"/>
      <c r="BT291" s="3023" t="s">
        <v>1701</v>
      </c>
      <c r="BU291" s="3024" t="s">
        <v>4550</v>
      </c>
      <c r="BV291" s="971"/>
      <c r="BW291" s="3024" t="s">
        <v>4551</v>
      </c>
      <c r="BX291" s="3023" t="s">
        <v>4552</v>
      </c>
      <c r="BY291" s="1301" t="s">
        <v>4552</v>
      </c>
      <c r="BZ291" s="1304"/>
      <c r="CA291" s="939"/>
      <c r="DR291" s="939"/>
      <c r="DT291" s="1325"/>
      <c r="DU291" s="1379"/>
      <c r="DV291" s="1376" t="str">
        <f>IF(E291="","",E291)&amp;IF(I291="No",""," (Mant.)")&amp;IF(L291="No",""," (Sme)")&amp;IF(O291="No",""," (SMa)")</f>
        <v/>
      </c>
      <c r="DW291" s="1377"/>
      <c r="DX291" s="1378"/>
      <c r="DY291" s="1324"/>
      <c r="DZ291" s="939"/>
      <c r="EA291" s="1470">
        <f t="shared" si="4"/>
        <v>1</v>
      </c>
    </row>
    <row r="292" spans="1:132" x14ac:dyDescent="0.2">
      <c r="A292" s="939"/>
      <c r="B292" s="1403"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822"/>
      <c r="D292" s="1454">
        <v>5</v>
      </c>
      <c r="E292" s="1246"/>
      <c r="F292" s="1016"/>
      <c r="G292" s="1017"/>
      <c r="H292" s="2159">
        <f t="array" ref="H292">IF(AND(OR(ISNUMBER(SEARCH("Empatía Elemental ("&amp;BK287:BM287&amp;")",Principal!$AF$30))),SUM(H287:H291)&gt;=10),-5,0)</f>
        <v>0</v>
      </c>
      <c r="I292" s="1413"/>
      <c r="J292" s="1416"/>
      <c r="K292" s="1017"/>
      <c r="L292" s="1413"/>
      <c r="M292" s="1416"/>
      <c r="N292" s="1017"/>
      <c r="O292" s="1413"/>
      <c r="P292" s="1416"/>
      <c r="Q292" s="1017"/>
      <c r="R292" s="1018"/>
      <c r="S292" s="1017"/>
      <c r="T292" s="1017"/>
      <c r="U292" s="1017"/>
      <c r="V292" s="1017"/>
      <c r="W292" s="1017"/>
      <c r="X292" s="1017"/>
      <c r="Y292" s="1017"/>
      <c r="Z292" s="1017"/>
      <c r="AA292" s="1017"/>
      <c r="AB292" s="1017"/>
      <c r="AC292" s="1017"/>
      <c r="AD292" s="1017"/>
      <c r="AE292" s="1017"/>
      <c r="AF292" s="1017"/>
      <c r="AG292" s="1017"/>
      <c r="AH292" s="1017"/>
      <c r="AI292" s="1017"/>
      <c r="AJ292" s="1017"/>
      <c r="AK292" s="1017"/>
      <c r="AL292" s="1017"/>
      <c r="AM292" s="1017"/>
      <c r="AN292" s="1017"/>
      <c r="AO292" s="1017"/>
      <c r="AP292" s="1017"/>
      <c r="AQ292" s="1017"/>
      <c r="AR292" s="1017"/>
      <c r="AS292" s="1017"/>
      <c r="AT292" s="1017"/>
      <c r="AU292" s="1017"/>
      <c r="AV292" s="1017"/>
      <c r="AW292" s="1017"/>
      <c r="AX292" s="1017"/>
      <c r="AY292" s="1017"/>
      <c r="AZ292" s="1017"/>
      <c r="BA292" s="1017"/>
      <c r="BB292" s="1017"/>
      <c r="BC292" s="1017"/>
      <c r="BD292" s="1017"/>
      <c r="BE292" s="1017"/>
      <c r="BF292" s="1017"/>
      <c r="BG292" s="1017"/>
      <c r="BH292" s="1017"/>
      <c r="BI292" s="1017"/>
      <c r="BJ292" s="1017"/>
      <c r="BK292" s="1017"/>
      <c r="BL292" s="1017"/>
      <c r="BM292" s="1027"/>
      <c r="BN292" s="1028">
        <f>SUM(K292:K295)</f>
        <v>0</v>
      </c>
      <c r="BO292" s="971" t="str">
        <f>IF(E292=0,"",(AF292+AP292+AZ292+BJ292))</f>
        <v/>
      </c>
      <c r="BP292" s="1029" t="str">
        <f>IF(I292="Si",VLOOKUP($D$8,'Tablas Técnicas'!$E$4:$F$6,2,FALSE),"")</f>
        <v/>
      </c>
      <c r="BQ292" s="1030" t="str">
        <f>IF(L292="Si",VLOOKUP($D$8,'Tablas Técnicas'!$I$4:$J$6,2,FALSE),"")</f>
        <v/>
      </c>
      <c r="BR292" s="1028" t="str">
        <f>IF(O292="Si",VLOOKUP($D$8,'Tablas Técnicas'!$I$7:$J$9,2,FALSE),"")</f>
        <v/>
      </c>
      <c r="BS292" s="994"/>
      <c r="BT292" s="3028">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356"/>
      <c r="BV292" s="971"/>
      <c r="BW292" s="1026" t="str">
        <f>IF(SUM(BT292:BU292)=0,"N/A",SUM(BT292:BU292))</f>
        <v>N/A</v>
      </c>
      <c r="BX292" s="3028">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26" t="str">
        <f>IF(BX292=0,"N/A",BX292)</f>
        <v>N/A</v>
      </c>
      <c r="BZ292" s="1304"/>
      <c r="CA292" s="939"/>
      <c r="DR292" s="939"/>
      <c r="DT292" s="1325"/>
      <c r="DU292" s="1379"/>
      <c r="DV292" s="1380"/>
      <c r="DW292" s="1377"/>
      <c r="DX292" s="1378"/>
      <c r="DY292" s="1324"/>
      <c r="DZ292" s="939"/>
      <c r="EA292" s="1470">
        <f t="shared" si="4"/>
        <v>1</v>
      </c>
    </row>
    <row r="293" spans="1:132" ht="12" thickBot="1" x14ac:dyDescent="0.25">
      <c r="A293" s="939"/>
      <c r="B293" s="939"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822"/>
      <c r="D293" s="1453" t="s">
        <v>1766</v>
      </c>
      <c r="E293" s="983"/>
      <c r="F293" s="1019"/>
      <c r="G293" s="989" t="str">
        <f>IF(E293=0,"",VLOOKUP(E293,'Tablas Técnicas'!$A$14:$V$771,3,FALSE))</f>
        <v/>
      </c>
      <c r="H293" s="1031" t="str">
        <f>IF($E293=0,"",VLOOKUP($E293,'Tablas Técnicas'!$A$14:$V$771,4,FALSE))</f>
        <v/>
      </c>
      <c r="I293" s="987" t="s">
        <v>1690</v>
      </c>
      <c r="J293" s="1417" t="str">
        <f>IF(E293=0,"",VLOOKUP(E293,'Tablas Técnicas'!$A$14:$V$771,5,FALSE))</f>
        <v/>
      </c>
      <c r="K293" s="1033" t="str">
        <f>IF(I293="Si",IF(E293=0,"",VLOOKUP(E293,'Tablas Técnicas'!$A$14:$V$771,5,FALSE)),"")</f>
        <v/>
      </c>
      <c r="L293" s="987" t="s">
        <v>1690</v>
      </c>
      <c r="M293" s="1417" t="str">
        <f>IF(E293=0,"",VLOOKUP(E293,'Tablas Técnicas'!$A$14:$V$771,6,FALSE))</f>
        <v/>
      </c>
      <c r="N293" s="990" t="str">
        <f>IF(L293="Si",IF(E293=0,"",VLOOKUP(E293,'Tablas Técnicas'!$A$14:$V$771,6,FALSE)),"")</f>
        <v/>
      </c>
      <c r="O293" s="987" t="s">
        <v>1690</v>
      </c>
      <c r="P293" s="1417" t="str">
        <f>IF(E293=0,"",VLOOKUP(E293,'Tablas Técnicas'!$A$14:$V$771,7,FALSE))</f>
        <v/>
      </c>
      <c r="Q293" s="990" t="str">
        <f>IF(O293="Si",IF(E293=0,"",VLOOKUP(E293,'Tablas Técnicas'!$A$14:$V$771,7,FALSE)),"")</f>
        <v/>
      </c>
      <c r="R293" s="1032" t="str">
        <f>IF(E293=0,"",VLOOKUP(E293,'Tablas Técnicas'!$A$14:$V$771,8,FALSE))</f>
        <v/>
      </c>
      <c r="S293" s="1004" t="str">
        <f>IF(R293=$D$8,$D$8,IF(R293=2,2,IF(R293=3,3,R293)))</f>
        <v/>
      </c>
      <c r="T293" s="1033" t="str">
        <f>IF(E293=0,"",VLOOKUP(E293,'Tablas Técnicas'!$A$14:$V$771,9,FALSE))</f>
        <v/>
      </c>
      <c r="U293" s="1033" t="str">
        <f>IF(E293=0,"",VLOOKUP(E293,'Tablas Técnicas'!$A$14:$V$771,10,FALSE))</f>
        <v/>
      </c>
      <c r="V293" s="1034" t="str">
        <f>IF(E293=0,"",VLOOKUP(E293,'Tablas Técnicas'!$A$14:$V$771,11,FALSE))</f>
        <v/>
      </c>
      <c r="W293" s="987"/>
      <c r="X293" s="988" t="e">
        <f>VLOOKUP(E293,'Tablas Técnicas'!$A$14:$V$771,12,FALSE)</f>
        <v>#N/A</v>
      </c>
      <c r="Y293" s="988" t="e">
        <f>IF(W293=X293,VLOOKUP(E293,'Tablas Técnicas'!$A$14:$V$771,13,FALSE),0)</f>
        <v>#N/A</v>
      </c>
      <c r="Z293" s="988" t="e">
        <f>VLOOKUP(E293,'Tablas Técnicas'!$A$14:$V$771,14,FALSE)</f>
        <v>#N/A</v>
      </c>
      <c r="AA293" s="988" t="e">
        <f>IF(W293=Z293,VLOOKUP(E293,'Tablas Técnicas'!$A$14:$V$616,15,FALSE),0)</f>
        <v>#N/A</v>
      </c>
      <c r="AB293" s="988" t="e">
        <f>VLOOKUP(E293,'Tablas Técnicas'!$A$14:$V$771,16,FALSE)</f>
        <v>#N/A</v>
      </c>
      <c r="AC293" s="988" t="e">
        <f>IF(W293=AB293,VLOOKUP(E293,'Tablas Técnicas'!$A$14:$V$616,17,FALSE),0)</f>
        <v>#N/A</v>
      </c>
      <c r="AD293" s="988" t="e">
        <f>VLOOKUP(E293,'Tablas Técnicas'!$A$14:$V$771,18,FALSE)</f>
        <v>#N/A</v>
      </c>
      <c r="AE293" s="988" t="e">
        <f>IF(W293=AD293,VLOOKUP(E293,'Tablas Técnicas'!$A$14:$V$771,19,FALSE),0)</f>
        <v>#N/A</v>
      </c>
      <c r="AF293" s="1006" t="str">
        <f>IF(E293=0,"",(Y293+AA293+AC293+AE293))</f>
        <v/>
      </c>
      <c r="AG293" s="987"/>
      <c r="AH293" s="1005" t="e">
        <f>VLOOKUP(E293,'Tablas Técnicas'!$A$14:$V$771,12,FALSE)</f>
        <v>#N/A</v>
      </c>
      <c r="AI293" s="1005" t="e">
        <f>IF(AG293=AH293,VLOOKUP(E293,'Tablas Técnicas'!$A$14:$V$771,13,FALSE),0)</f>
        <v>#N/A</v>
      </c>
      <c r="AJ293" s="1005" t="e">
        <f>VLOOKUP(E293,'Tablas Técnicas'!$A$14:$V$771,14,FALSE)</f>
        <v>#N/A</v>
      </c>
      <c r="AK293" s="1005" t="e">
        <f>IF(AG293=AJ293,VLOOKUP(E293,'Tablas Técnicas'!$A$14:$V$771,15,FALSE),0)</f>
        <v>#N/A</v>
      </c>
      <c r="AL293" s="1005" t="e">
        <f>VLOOKUP(E293,'Tablas Técnicas'!$A$14:$V$771,16,FALSE)</f>
        <v>#N/A</v>
      </c>
      <c r="AM293" s="1005" t="e">
        <f>IF(AG293=AL293,VLOOKUP(E293,'Tablas Técnicas'!$A$14:$V$771,17,FALSE),0)</f>
        <v>#N/A</v>
      </c>
      <c r="AN293" s="1005" t="e">
        <f>VLOOKUP(E293,'Tablas Técnicas'!$A$14:$V$771,18,FALSE)</f>
        <v>#N/A</v>
      </c>
      <c r="AO293" s="1005" t="e">
        <f>IF(AG293=AN293,VLOOKUP(E293,'Tablas Técnicas'!$A$14:$V$771,19,FALSE),0)</f>
        <v>#N/A</v>
      </c>
      <c r="AP293" s="3034" t="str">
        <f>IF(E293=0,"",(AI293+AK293+AM293+AO293))</f>
        <v/>
      </c>
      <c r="AQ293" s="987"/>
      <c r="AR293" s="1005" t="e">
        <f>VLOOKUP(E293,'Tablas Técnicas'!$A$14:$V$771,12,FALSE)</f>
        <v>#N/A</v>
      </c>
      <c r="AS293" s="1005" t="e">
        <f>IF(AQ293=AR293,VLOOKUP(E293,'Tablas Técnicas'!$A$14:$V$771,13,FALSE),0)</f>
        <v>#N/A</v>
      </c>
      <c r="AT293" s="1005" t="e">
        <f>VLOOKUP(E293,'Tablas Técnicas'!$A$14:$V$771,14,FALSE)</f>
        <v>#N/A</v>
      </c>
      <c r="AU293" s="1005" t="e">
        <f>IF(AQ293=AT293,VLOOKUP(E293,'Tablas Técnicas'!$A$14:$V$771,15,FALSE),0)</f>
        <v>#N/A</v>
      </c>
      <c r="AV293" s="1005" t="e">
        <f>VLOOKUP(E293,'Tablas Técnicas'!$A$14:$V$771,16,FALSE)</f>
        <v>#N/A</v>
      </c>
      <c r="AW293" s="1005" t="e">
        <f>IF(AQ293=AV293,VLOOKUP(E293,'Tablas Técnicas'!$A$14:$V$771,17,FALSE),0)</f>
        <v>#N/A</v>
      </c>
      <c r="AX293" s="1005" t="e">
        <f>VLOOKUP(E293,'Tablas Técnicas'!$A$14:$V$771,18,FALSE)</f>
        <v>#N/A</v>
      </c>
      <c r="AY293" s="1005" t="e">
        <f>IF(AQ293=AX293,VLOOKUP(E293,'Tablas Técnicas'!$A$14:$V$771,19,FALSE),0)</f>
        <v>#N/A</v>
      </c>
      <c r="AZ293" s="1006" t="str">
        <f>IF(E293=0,"",(AS293+AU293+AW293+AY293))</f>
        <v/>
      </c>
      <c r="BA293" s="987"/>
      <c r="BB293" s="1005" t="e">
        <f>VLOOKUP(E293,'Tablas Técnicas'!$A$14:$V$771,12,FALSE)</f>
        <v>#N/A</v>
      </c>
      <c r="BC293" s="1005" t="e">
        <f>IF(BA293=BB293,VLOOKUP(E293,'Tablas Técnicas'!$A$14:$V$771,13,FALSE),0)</f>
        <v>#N/A</v>
      </c>
      <c r="BD293" s="1005" t="e">
        <f>VLOOKUP(E293,'Tablas Técnicas'!$A$14:$V$771,14,FALSE)</f>
        <v>#N/A</v>
      </c>
      <c r="BE293" s="1005" t="e">
        <f>IF(BA293=BD293,VLOOKUP(E293,'Tablas Técnicas'!$A$14:$V$771,15,FALSE),0)</f>
        <v>#N/A</v>
      </c>
      <c r="BF293" s="1005" t="e">
        <f>VLOOKUP(E293,'Tablas Técnicas'!$A$14:$V$771,16,FALSE)</f>
        <v>#N/A</v>
      </c>
      <c r="BG293" s="1005" t="e">
        <f>IF(BA293=BF293,VLOOKUP(E293,'Tablas Técnicas'!$A$14:$V$771,17,FALSE),0)</f>
        <v>#N/A</v>
      </c>
      <c r="BH293" s="1005" t="e">
        <f>VLOOKUP(E293,'Tablas Técnicas'!$A$14:$V$771,18,FALSE)</f>
        <v>#N/A</v>
      </c>
      <c r="BI293" s="1005" t="e">
        <f>IF(BA293=BH293,VLOOKUP(E293,'Tablas Técnicas'!$A$14:$V$771,19,FALSE),0)</f>
        <v>#N/A</v>
      </c>
      <c r="BJ293" s="3034" t="str">
        <f>IF(E293=0,"",(BC293+BE293+BG293+BI293))</f>
        <v/>
      </c>
      <c r="BK293" s="1033" t="str">
        <f>IF(E293=0,"",VLOOKUP(E293,'Tablas Técnicas'!$A$14:$V$771,20,FALSE))</f>
        <v/>
      </c>
      <c r="BL293" s="1020" t="str">
        <f>IF(E293=0,"",VLOOKUP(E293,'Tablas Técnicas'!$A$14:$V$771,21,FALSE))</f>
        <v/>
      </c>
      <c r="BM293" s="991" t="str">
        <f>IF(E293=0,"",VLOOKUP(E293,'Tablas Técnicas'!$A$14:$V$771,22,FALSE))</f>
        <v/>
      </c>
      <c r="BN293" s="992"/>
      <c r="BO293" s="993"/>
      <c r="BP293" s="978" t="str">
        <f>IF(I293="Si",VLOOKUP($D$8,'Tablas Técnicas'!$E$4:$F$6,2,FALSE),"")</f>
        <v/>
      </c>
      <c r="BQ293" s="979" t="str">
        <f>IF(L293="Si",VLOOKUP($D$8,'Tablas Técnicas'!$I$4:$J$6,2,FALSE),"")</f>
        <v/>
      </c>
      <c r="BR293" s="977" t="str">
        <f>IF(O293="Si",VLOOKUP($D$8,'Tablas Técnicas'!$I$7:$J$9,2,FALSE),"")</f>
        <v/>
      </c>
      <c r="BS293" s="994"/>
      <c r="BU293" s="4777"/>
      <c r="BV293" s="4777"/>
      <c r="BW293" s="4777"/>
      <c r="BX293" s="951"/>
      <c r="BY293" s="1287"/>
      <c r="BZ293" s="1304"/>
      <c r="CA293" s="939"/>
      <c r="DR293" s="939"/>
      <c r="DT293" s="1326"/>
      <c r="DU293" s="1428" t="str">
        <f>DU269&amp;DU270&amp;DU271&amp;DU272&amp;DU273&amp;DU274</f>
        <v/>
      </c>
      <c r="DV293" s="1429" t="str">
        <f>DV269&amp;DV270&amp;DV271&amp;DV272&amp;DV273&amp;DV275&amp;DV276&amp;DV277&amp;DV278&amp;DV279&amp;DV281&amp;DV282&amp;DV283&amp;DV284&amp;DV285&amp;DV287&amp;DV288&amp;DV289&amp;DV290&amp;DV291</f>
        <v/>
      </c>
      <c r="DW293" s="1430" t="str">
        <f>DW269&amp;DW270&amp;DW271</f>
        <v/>
      </c>
      <c r="DX293" s="1431" t="str">
        <f>IF(DX275="",DX269,DX275)</f>
        <v/>
      </c>
      <c r="DY293" s="1327"/>
      <c r="DZ293" s="939"/>
      <c r="EA293" s="1470">
        <f t="shared" si="4"/>
        <v>1</v>
      </c>
    </row>
    <row r="294" spans="1:132" x14ac:dyDescent="0.2">
      <c r="A294" s="939"/>
      <c r="B294" s="939"/>
      <c r="C294" s="4822"/>
      <c r="D294" s="1452" t="s">
        <v>1766</v>
      </c>
      <c r="E294" s="995"/>
      <c r="F294" s="1025"/>
      <c r="G294" s="1437" t="str">
        <f>IF(E294=0,"",VLOOKUP(E294,'Tablas Técnicas'!$A$14:$V$771,3,FALSE))</f>
        <v/>
      </c>
      <c r="H294" s="998" t="str">
        <f>IF($E294=0,"",VLOOKUP($E294,'Tablas Técnicas'!$A$14:$V$771,4,FALSE))</f>
        <v/>
      </c>
      <c r="I294" s="999" t="s">
        <v>1690</v>
      </c>
      <c r="J294" s="1415" t="str">
        <f>IF(E294=0,"",VLOOKUP(E294,'Tablas Técnicas'!$A$14:$V$771,5,FALSE))</f>
        <v/>
      </c>
      <c r="K294" s="1001" t="str">
        <f>IF(I294="Si",IF(E294=0,"",VLOOKUP(E294,'Tablas Técnicas'!$A$14:$V$771,5,FALSE)),"")</f>
        <v/>
      </c>
      <c r="L294" s="999" t="s">
        <v>1690</v>
      </c>
      <c r="M294" s="1415" t="str">
        <f>IF(E294=0,"",VLOOKUP(E294,'Tablas Técnicas'!$A$14:$V$771,6,FALSE))</f>
        <v/>
      </c>
      <c r="N294" s="1002" t="str">
        <f>IF(L294="Si",IF(E294=0,"",VLOOKUP(E294,'Tablas Técnicas'!$A$14:$V$771,6,FALSE)),"")</f>
        <v/>
      </c>
      <c r="O294" s="999" t="s">
        <v>1690</v>
      </c>
      <c r="P294" s="1415" t="str">
        <f>IF(E294=0,"",VLOOKUP(E294,'Tablas Técnicas'!$A$14:$V$771,7,FALSE))</f>
        <v/>
      </c>
      <c r="Q294" s="1002" t="str">
        <f>IF(O294="Si",IF(E294=0,"",VLOOKUP(E294,'Tablas Técnicas'!$A$14:$V$771,7,FALSE)),"")</f>
        <v/>
      </c>
      <c r="R294" s="1000" t="str">
        <f>IF(E294=0,"",VLOOKUP(E294,'Tablas Técnicas'!$A$14:$V$771,8,FALSE))</f>
        <v/>
      </c>
      <c r="S294" s="998" t="str">
        <f>IF(R294=$D$8,$D$8,IF(R294=2,2,IF(R294=3,3,R294)))</f>
        <v/>
      </c>
      <c r="T294" s="4796" t="s">
        <v>4542</v>
      </c>
      <c r="U294" s="4797"/>
      <c r="V294" s="4797"/>
      <c r="W294" s="4797"/>
      <c r="X294" s="4797"/>
      <c r="Y294" s="4797"/>
      <c r="Z294" s="4797"/>
      <c r="AA294" s="4797"/>
      <c r="AB294" s="4797"/>
      <c r="AC294" s="4797"/>
      <c r="AD294" s="4797"/>
      <c r="AE294" s="4797"/>
      <c r="AF294" s="4797"/>
      <c r="AG294" s="4797"/>
      <c r="AH294" s="4797"/>
      <c r="AI294" s="4797"/>
      <c r="AJ294" s="4797"/>
      <c r="AK294" s="4797"/>
      <c r="AL294" s="4797"/>
      <c r="AM294" s="4797"/>
      <c r="AN294" s="4797"/>
      <c r="AO294" s="4797"/>
      <c r="AP294" s="4797"/>
      <c r="AQ294" s="4797"/>
      <c r="AR294" s="4797"/>
      <c r="AS294" s="4797"/>
      <c r="AT294" s="4797"/>
      <c r="AU294" s="4797"/>
      <c r="AV294" s="4797"/>
      <c r="AW294" s="4797"/>
      <c r="AX294" s="4797"/>
      <c r="AY294" s="4797"/>
      <c r="AZ294" s="4797"/>
      <c r="BA294" s="4797"/>
      <c r="BB294" s="4797"/>
      <c r="BC294" s="4797"/>
      <c r="BD294" s="4797"/>
      <c r="BE294" s="4797"/>
      <c r="BF294" s="4797"/>
      <c r="BG294" s="4797"/>
      <c r="BH294" s="4797"/>
      <c r="BI294" s="4797"/>
      <c r="BJ294" s="4797"/>
      <c r="BK294" s="4798"/>
      <c r="BL294" s="1437"/>
      <c r="BM294" s="1438"/>
      <c r="BN294" s="992"/>
      <c r="BO294" s="993"/>
      <c r="BP294" s="978" t="str">
        <f>IF(I294="Si",VLOOKUP($D$8,'Tablas Técnicas'!$E$4:$F$6,2,FALSE),"")</f>
        <v/>
      </c>
      <c r="BQ294" s="979" t="str">
        <f>IF(L294="Si",VLOOKUP($D$8,'Tablas Técnicas'!$I$4:$J$6,2,FALSE),"")</f>
        <v/>
      </c>
      <c r="BR294" s="977" t="str">
        <f>IF(O294="Si",VLOOKUP($D$8,'Tablas Técnicas'!$I$7:$J$9,2,FALSE),"")</f>
        <v/>
      </c>
      <c r="BS294" s="994"/>
      <c r="BT294" s="1036"/>
      <c r="BU294" s="1074"/>
      <c r="BV294" s="1074"/>
      <c r="BW294" s="1074"/>
      <c r="BX294" s="951"/>
      <c r="BY294" s="1286"/>
      <c r="BZ294" s="1304"/>
      <c r="CA294" s="939"/>
      <c r="DR294" s="939"/>
      <c r="DT294" s="1325"/>
      <c r="DU294" s="1377"/>
      <c r="DV294" s="1376" t="str">
        <f>IF(E294="","",E294)&amp;IF(I294="No",""," (Mant.)")&amp;IF(L294="No",""," (Sme)")&amp;IF(O294="No",""," (SMa)")</f>
        <v/>
      </c>
      <c r="DW294" s="1377"/>
      <c r="DX294" s="1377"/>
      <c r="DY294" s="1324"/>
      <c r="DZ294" s="939"/>
      <c r="EA294" s="1470">
        <f t="shared" si="4"/>
        <v>1</v>
      </c>
    </row>
    <row r="295" spans="1:132" x14ac:dyDescent="0.2">
      <c r="A295" s="939"/>
      <c r="B295" s="939"/>
      <c r="C295" s="4822"/>
      <c r="D295" s="1453" t="s">
        <v>1766</v>
      </c>
      <c r="E295" s="1003"/>
      <c r="F295" s="1019"/>
      <c r="G295" s="989" t="str">
        <f>IF(E295=0,"",VLOOKUP(E295,'Tablas Técnicas'!$A$14:$V$771,3,FALSE))</f>
        <v/>
      </c>
      <c r="H295" s="3033" t="str">
        <f>IF($E295=0,"",VLOOKUP($E295,'Tablas Técnicas'!$A$14:$V$771,4,FALSE))</f>
        <v/>
      </c>
      <c r="I295" s="987" t="s">
        <v>1690</v>
      </c>
      <c r="J295" s="1411" t="str">
        <f>IF(E295=0,"",VLOOKUP(E295,'Tablas Técnicas'!$A$14:$V$771,5,FALSE))</f>
        <v/>
      </c>
      <c r="K295" s="1006" t="str">
        <f>IF(I295="Si",IF(E295=0,"",VLOOKUP(E295,'Tablas Técnicas'!$A$14:$V$771,5,FALSE)),"")</f>
        <v/>
      </c>
      <c r="L295" s="987" t="s">
        <v>1690</v>
      </c>
      <c r="M295" s="1411" t="str">
        <f>IF(E295=0,"",VLOOKUP(E295,'Tablas Técnicas'!$A$14:$V$771,6,FALSE))</f>
        <v/>
      </c>
      <c r="N295" s="990" t="str">
        <f>IF(L295="Si",IF(E295=0,"",VLOOKUP(E295,'Tablas Técnicas'!$A$14:$V$771,6,FALSE)),"")</f>
        <v/>
      </c>
      <c r="O295" s="987" t="s">
        <v>1690</v>
      </c>
      <c r="P295" s="1411" t="str">
        <f>IF(E295=0,"",VLOOKUP(E295,'Tablas Técnicas'!$A$14:$V$771,7,FALSE))</f>
        <v/>
      </c>
      <c r="Q295" s="990" t="str">
        <f>IF(O295="Si",IF(E295=0,"",VLOOKUP(E295,'Tablas Técnicas'!$A$14:$V$771,7,FALSE)),"")</f>
        <v/>
      </c>
      <c r="R295" s="1005" t="str">
        <f>IF(E295=0,"",VLOOKUP(E295,'Tablas Técnicas'!$A$14:$V$771,8,FALSE))</f>
        <v/>
      </c>
      <c r="S295" s="3033" t="str">
        <f>IF(R295=$D$8,$D$8,IF(R295=2,2,IF(R295=3,3,R295)))</f>
        <v/>
      </c>
      <c r="T295" s="4809"/>
      <c r="U295" s="4810"/>
      <c r="V295" s="3029" t="str">
        <f>IF(OR(V293=0,V293=""),"N/A",V293)</f>
        <v>N/A</v>
      </c>
      <c r="W295" s="4809" t="str">
        <f xml:space="preserve"> IF(OR(AF293=0,AF293=""),"N/A",W293)</f>
        <v>N/A</v>
      </c>
      <c r="X295" s="4811"/>
      <c r="Y295" s="4811"/>
      <c r="Z295" s="4811"/>
      <c r="AA295" s="4811"/>
      <c r="AB295" s="4811"/>
      <c r="AC295" s="4811"/>
      <c r="AD295" s="4811"/>
      <c r="AE295" s="4811"/>
      <c r="AF295" s="4810"/>
      <c r="AG295" s="4809" t="str">
        <f xml:space="preserve"> IF(OR(AP293="",AP293=0),"N/A",AG293)</f>
        <v>N/A</v>
      </c>
      <c r="AH295" s="4811"/>
      <c r="AI295" s="4811"/>
      <c r="AJ295" s="4811"/>
      <c r="AK295" s="4811"/>
      <c r="AL295" s="4811"/>
      <c r="AM295" s="4811"/>
      <c r="AN295" s="4811"/>
      <c r="AO295" s="4811"/>
      <c r="AP295" s="4810"/>
      <c r="AQ295" s="4809" t="str">
        <f xml:space="preserve"> IF(OR(AZ293="",AZ293=0),"N/A",AQ293)</f>
        <v>N/A</v>
      </c>
      <c r="AR295" s="4811"/>
      <c r="AS295" s="4811"/>
      <c r="AT295" s="4811"/>
      <c r="AU295" s="4811"/>
      <c r="AV295" s="4811"/>
      <c r="AW295" s="4811"/>
      <c r="AX295" s="4811"/>
      <c r="AY295" s="4811"/>
      <c r="AZ295" s="4810"/>
      <c r="BA295" s="4809" t="str">
        <f xml:space="preserve"> IF(OR(BJ293="",BJ293=0),"N/A",BA293)</f>
        <v>N/A</v>
      </c>
      <c r="BB295" s="4811"/>
      <c r="BC295" s="4811"/>
      <c r="BD295" s="4811"/>
      <c r="BE295" s="4811"/>
      <c r="BF295" s="4811"/>
      <c r="BG295" s="4811"/>
      <c r="BH295" s="4811"/>
      <c r="BI295" s="4811"/>
      <c r="BJ295" s="4810"/>
      <c r="BK295" s="1007" t="s">
        <v>4543</v>
      </c>
      <c r="BL295" s="989"/>
      <c r="BM295" s="1024"/>
      <c r="BN295" s="1008"/>
      <c r="BO295" s="1009"/>
      <c r="BP295" s="1010" t="str">
        <f>IF(I295="Si",VLOOKUP($D$8,'Tablas Técnicas'!$E$4:$F$6,2,FALSE),"")</f>
        <v/>
      </c>
      <c r="BQ295" s="980" t="str">
        <f>IF(L295="Si",VLOOKUP($D$8,'Tablas Técnicas'!$I$4:$J$6,2,FALSE),"")</f>
        <v/>
      </c>
      <c r="BR295" s="1011" t="str">
        <f>IF(O295="Si",VLOOKUP($D$8,'Tablas Técnicas'!$I$7:$J$9,2,FALSE),"")</f>
        <v/>
      </c>
      <c r="BS295" s="994"/>
      <c r="BU295" s="4776"/>
      <c r="BV295" s="4776"/>
      <c r="BW295" s="4776"/>
      <c r="BX295" s="951"/>
      <c r="BY295" s="1286"/>
      <c r="BZ295" s="1304"/>
      <c r="CA295" s="939"/>
      <c r="DR295" s="939"/>
      <c r="DT295" s="1325"/>
      <c r="DU295" s="1377"/>
      <c r="DV295" s="1376" t="str">
        <f>IF(E295="","",E295)&amp;IF(I295="No",""," (Mant.)")&amp;IF(L295="No",""," (Sme)")&amp;IF(O295="No",""," (SMa)")</f>
        <v/>
      </c>
      <c r="DW295" s="1377"/>
      <c r="DX295" s="1377"/>
      <c r="DY295" s="1324"/>
      <c r="DZ295" s="939"/>
      <c r="EA295" s="1470">
        <f t="shared" si="4"/>
        <v>1</v>
      </c>
    </row>
    <row r="296" spans="1:132" x14ac:dyDescent="0.2">
      <c r="A296" s="939"/>
      <c r="B296" s="939"/>
      <c r="C296" s="4822"/>
      <c r="D296" s="1452" t="s">
        <v>1766</v>
      </c>
      <c r="E296" s="995"/>
      <c r="F296" s="1025"/>
      <c r="G296" s="1437" t="str">
        <f>IF(E296=0,"",VLOOKUP(E296,'Tablas Técnicas'!$A$14:$V$771,3,FALSE))</f>
        <v/>
      </c>
      <c r="H296" s="998" t="str">
        <f>IF($E296=0,"",VLOOKUP($E296,'Tablas Técnicas'!$A$14:$V$771,4,FALSE))</f>
        <v/>
      </c>
      <c r="I296" s="999" t="s">
        <v>1690</v>
      </c>
      <c r="J296" s="1415" t="str">
        <f>IF(E296=0,"",VLOOKUP(E296,'Tablas Técnicas'!$A$14:$V$771,5,FALSE))</f>
        <v/>
      </c>
      <c r="K296" s="1001" t="str">
        <f>IF(I296="Si",IF(E296=0,"",VLOOKUP(E296,'Tablas Técnicas'!$A$14:$V$771,5,FALSE)),"")</f>
        <v/>
      </c>
      <c r="L296" s="999" t="s">
        <v>1690</v>
      </c>
      <c r="M296" s="1415" t="str">
        <f>IF(E296=0,"",VLOOKUP(E296,'Tablas Técnicas'!$A$14:$V$771,6,FALSE))</f>
        <v/>
      </c>
      <c r="N296" s="1002" t="str">
        <f>IF(L296="Si",IF(E296=0,"",VLOOKUP(E296,'Tablas Técnicas'!$A$14:$V$771,6,FALSE)),"")</f>
        <v/>
      </c>
      <c r="O296" s="999" t="s">
        <v>1690</v>
      </c>
      <c r="P296" s="1415" t="str">
        <f>IF(E296=0,"",VLOOKUP(E296,'Tablas Técnicas'!$A$14:$V$771,7,FALSE))</f>
        <v/>
      </c>
      <c r="Q296" s="1002" t="str">
        <f>IF(O296="Si",IF(E296=0,"",VLOOKUP(E296,'Tablas Técnicas'!$A$14:$V$771,7,FALSE)),"")</f>
        <v/>
      </c>
      <c r="R296" s="1000" t="str">
        <f>IF(E296=0,"",VLOOKUP(E296,'Tablas Técnicas'!$A$14:$V$771,8,FALSE))</f>
        <v/>
      </c>
      <c r="S296" s="998" t="str">
        <f>IF(R296=$D$8,$D$8,IF(R296=2,2,IF(R296=3,3,R296)))</f>
        <v/>
      </c>
      <c r="T296" s="4812" t="s">
        <v>4544</v>
      </c>
      <c r="U296" s="4813"/>
      <c r="V296" s="3025"/>
      <c r="W296" s="4814"/>
      <c r="X296" s="4815"/>
      <c r="Y296" s="4815"/>
      <c r="Z296" s="4815"/>
      <c r="AA296" s="4815"/>
      <c r="AB296" s="4815"/>
      <c r="AC296" s="4815"/>
      <c r="AD296" s="4815"/>
      <c r="AE296" s="4815"/>
      <c r="AF296" s="4816"/>
      <c r="AG296" s="4814"/>
      <c r="AH296" s="4815"/>
      <c r="AI296" s="4815"/>
      <c r="AJ296" s="4815"/>
      <c r="AK296" s="4815"/>
      <c r="AL296" s="4815"/>
      <c r="AM296" s="4815"/>
      <c r="AN296" s="4815"/>
      <c r="AO296" s="4815"/>
      <c r="AP296" s="4816"/>
      <c r="AQ296" s="4814"/>
      <c r="AR296" s="4815"/>
      <c r="AS296" s="4815"/>
      <c r="AT296" s="4815"/>
      <c r="AU296" s="4815"/>
      <c r="AV296" s="4815"/>
      <c r="AW296" s="4815"/>
      <c r="AX296" s="4815"/>
      <c r="AY296" s="4815"/>
      <c r="AZ296" s="4816"/>
      <c r="BA296" s="4814"/>
      <c r="BB296" s="4815"/>
      <c r="BC296" s="4815"/>
      <c r="BD296" s="4815"/>
      <c r="BE296" s="4815"/>
      <c r="BF296" s="4815"/>
      <c r="BG296" s="4815"/>
      <c r="BH296" s="4815"/>
      <c r="BI296" s="4815"/>
      <c r="BJ296" s="4816"/>
      <c r="BK296" s="998">
        <f>(SUM(G293:G297)+IF(AF293="",0,AF293)+IF(AP293="",0,AP293)+IF(AZ293="",0,AZ293)+IF(BJ293="",0,BJ293)+SUM(K293:K297)+SUM(N293:N297)+SUM(Q293:Q297))- SUM(V296:BA296)</f>
        <v>0</v>
      </c>
      <c r="BL296" s="1437"/>
      <c r="BM296" s="1438"/>
      <c r="BN296" s="992"/>
      <c r="BO296" s="993"/>
      <c r="BP296" s="978" t="str">
        <f>IF(I296="Si",VLOOKUP($D$8,'Tablas Técnicas'!$E$4:$F$6,2,FALSE),"")</f>
        <v/>
      </c>
      <c r="BQ296" s="979" t="str">
        <f>IF(L296="Si",VLOOKUP($D$8,'Tablas Técnicas'!$I$4:$J$6,2,FALSE),"")</f>
        <v/>
      </c>
      <c r="BR296" s="977" t="str">
        <f>IF(O296="Si",VLOOKUP($D$8,'Tablas Técnicas'!$I$7:$J$9,2,FALSE),"")</f>
        <v/>
      </c>
      <c r="BS296" s="994"/>
      <c r="BU296" s="1074"/>
      <c r="BV296" s="1074"/>
      <c r="BW296" s="1074"/>
      <c r="BX296" s="951"/>
      <c r="BY296" s="1286"/>
      <c r="BZ296" s="1304"/>
      <c r="CA296" s="943"/>
      <c r="DR296" s="943"/>
      <c r="DT296" s="1325"/>
      <c r="DU296" s="1432"/>
      <c r="DV296" s="1376" t="str">
        <f>IF(E296="","",E296)&amp;IF(I296="No",""," (Mant.)")&amp;IF(L296="No",""," (Sme)")&amp;IF(O296="No",""," (SMa)")</f>
        <v/>
      </c>
      <c r="DW296" s="1432"/>
      <c r="DX296" s="1432"/>
      <c r="DY296" s="1324"/>
      <c r="DZ296" s="943"/>
      <c r="EA296" s="1470">
        <f t="shared" si="4"/>
        <v>1</v>
      </c>
    </row>
    <row r="297" spans="1:132" x14ac:dyDescent="0.2">
      <c r="A297" s="939"/>
      <c r="B297" s="939"/>
      <c r="C297" s="4822"/>
      <c r="D297" s="1453" t="s">
        <v>1766</v>
      </c>
      <c r="E297" s="1003"/>
      <c r="F297" s="1019"/>
      <c r="G297" s="989" t="str">
        <f>IF(E297=0,"",VLOOKUP(E297,'Tablas Técnicas'!$A$14:$V$771,3,FALSE))</f>
        <v/>
      </c>
      <c r="H297" s="1004" t="str">
        <f>IF($E297=0,"",VLOOKUP($E297,'Tablas Técnicas'!$A$14:$V$771,4,FALSE))</f>
        <v/>
      </c>
      <c r="I297" s="987" t="s">
        <v>1690</v>
      </c>
      <c r="J297" s="1411" t="str">
        <f>IF(E297=0,"",VLOOKUP(E297,'Tablas Técnicas'!$A$14:$V$771,5,FALSE))</f>
        <v/>
      </c>
      <c r="K297" s="1006" t="str">
        <f>IF(I297="Si",IF(E297=0,"",VLOOKUP(E297,'Tablas Técnicas'!$A$14:$V$771,5,FALSE)),"")</f>
        <v/>
      </c>
      <c r="L297" s="987" t="s">
        <v>1690</v>
      </c>
      <c r="M297" s="1411" t="str">
        <f>IF(E297=0,"",VLOOKUP(E297,'Tablas Técnicas'!$A$14:$V$771,6,FALSE))</f>
        <v/>
      </c>
      <c r="N297" s="990" t="str">
        <f>IF(L297="Si",IF(E297=0,"",VLOOKUP(E297,'Tablas Técnicas'!$A$14:$V$771,6,FALSE)),"")</f>
        <v/>
      </c>
      <c r="O297" s="987" t="s">
        <v>1690</v>
      </c>
      <c r="P297" s="1411" t="str">
        <f>IF(E297=0,"",VLOOKUP(E297,'Tablas Técnicas'!$A$14:$V$771,7,FALSE))</f>
        <v/>
      </c>
      <c r="Q297" s="990" t="str">
        <f>IF(O297="Si",IF(E297=0,"",VLOOKUP(E297,'Tablas Técnicas'!$A$14:$V$771,7,FALSE)),"")</f>
        <v/>
      </c>
      <c r="R297" s="1005" t="str">
        <f>IF(E297=0,"",VLOOKUP(E297,'Tablas Técnicas'!$A$14:$V$771,8,FALSE))</f>
        <v/>
      </c>
      <c r="S297" s="1004" t="str">
        <f>IF(R297=$D$8,$D$8,IF(R297=2,2,IF(R297=3,3,R297)))</f>
        <v/>
      </c>
      <c r="T297" s="4817" t="s">
        <v>4546</v>
      </c>
      <c r="U297" s="4818"/>
      <c r="V297" s="3035"/>
      <c r="W297" s="4819"/>
      <c r="X297" s="4820"/>
      <c r="Y297" s="4820"/>
      <c r="Z297" s="4820"/>
      <c r="AA297" s="4820"/>
      <c r="AB297" s="4820"/>
      <c r="AC297" s="4820"/>
      <c r="AD297" s="4820"/>
      <c r="AE297" s="4820"/>
      <c r="AF297" s="4821"/>
      <c r="AG297" s="4819"/>
      <c r="AH297" s="4820"/>
      <c r="AI297" s="4820"/>
      <c r="AJ297" s="4820"/>
      <c r="AK297" s="4820"/>
      <c r="AL297" s="4820"/>
      <c r="AM297" s="4820"/>
      <c r="AN297" s="4820"/>
      <c r="AO297" s="4820"/>
      <c r="AP297" s="4821"/>
      <c r="AQ297" s="4819"/>
      <c r="AR297" s="4820"/>
      <c r="AS297" s="4820"/>
      <c r="AT297" s="4820"/>
      <c r="AU297" s="4820"/>
      <c r="AV297" s="4820"/>
      <c r="AW297" s="4820"/>
      <c r="AX297" s="4820"/>
      <c r="AY297" s="4820"/>
      <c r="AZ297" s="4821"/>
      <c r="BA297" s="4819"/>
      <c r="BB297" s="4820"/>
      <c r="BC297" s="4820"/>
      <c r="BD297" s="4820"/>
      <c r="BE297" s="4820"/>
      <c r="BF297" s="4820"/>
      <c r="BG297" s="4820"/>
      <c r="BH297" s="4820"/>
      <c r="BI297" s="4820"/>
      <c r="BJ297" s="4821"/>
      <c r="BK297" s="1004">
        <f>SUM(K293:K297)-SUM(V297:BA297)</f>
        <v>0</v>
      </c>
      <c r="BL297" s="989"/>
      <c r="BM297" s="1024"/>
      <c r="BN297" s="1008"/>
      <c r="BO297" s="1009"/>
      <c r="BP297" s="1010" t="str">
        <f>IF(I297="Si",VLOOKUP($D$8,'Tablas Técnicas'!$E$4:$F$6,2,FALSE),"")</f>
        <v/>
      </c>
      <c r="BQ297" s="980" t="str">
        <f>IF(L297="Si",VLOOKUP($D$8,'Tablas Técnicas'!$I$4:$J$6,2,FALSE),"")</f>
        <v/>
      </c>
      <c r="BR297" s="1011" t="str">
        <f>IF(O297="Si",VLOOKUP($D$8,'Tablas Técnicas'!$I$7:$J$9,2,FALSE),"")</f>
        <v/>
      </c>
      <c r="BS297" s="994"/>
      <c r="BU297" s="1074"/>
      <c r="BV297" s="1074"/>
      <c r="BW297" s="1074"/>
      <c r="BX297" s="951"/>
      <c r="BY297" s="1286"/>
      <c r="BZ297" s="1304"/>
      <c r="CA297" s="939"/>
      <c r="DR297" s="939"/>
      <c r="DT297" s="1325"/>
      <c r="DU297" s="1377"/>
      <c r="DV297" s="1376" t="str">
        <f>IF(E297="","",E297)&amp;IF(I297="No",""," (Mant.)")&amp;IF(L297="No",""," (Sme)")&amp;IF(O297="No",""," (SMa)")</f>
        <v/>
      </c>
      <c r="DW297" s="1377"/>
      <c r="DX297" s="1377"/>
      <c r="DY297" s="1324"/>
      <c r="DZ297" s="939"/>
      <c r="EA297" s="1470">
        <f t="shared" si="4"/>
        <v>1</v>
      </c>
    </row>
    <row r="298" spans="1:132" x14ac:dyDescent="0.2">
      <c r="A298" s="939"/>
      <c r="B298" s="939"/>
      <c r="C298" s="4822"/>
      <c r="D298" s="1455"/>
      <c r="E298" s="1404" t="s">
        <v>4553</v>
      </c>
      <c r="F298" s="1016"/>
      <c r="G298" s="1017"/>
      <c r="H298" s="2159">
        <f t="array" ref="H298">IF(AND(OR(ISNUMBER(SEARCH("Empatía Elemental ("&amp;BK293:BM293&amp;")",Principal!$AF$30))),SUM(H293:H297)&gt;=10),-5,0)</f>
        <v>0</v>
      </c>
      <c r="I298" s="1017"/>
      <c r="J298" s="1018"/>
      <c r="K298" s="1017"/>
      <c r="L298" s="1017"/>
      <c r="M298" s="1018"/>
      <c r="N298" s="1017"/>
      <c r="O298" s="1017"/>
      <c r="P298" s="1018"/>
      <c r="Q298" s="1017"/>
      <c r="R298" s="1018"/>
      <c r="S298" s="1017"/>
      <c r="T298" s="1017"/>
      <c r="U298" s="1037"/>
      <c r="V298" s="1037"/>
      <c r="W298" s="1037"/>
      <c r="X298" s="1037"/>
      <c r="Y298" s="1037"/>
      <c r="Z298" s="1037"/>
      <c r="AA298" s="1037"/>
      <c r="AB298" s="1037"/>
      <c r="AC298" s="1037"/>
      <c r="AD298" s="1037"/>
      <c r="AE298" s="1037"/>
      <c r="AF298" s="1037"/>
      <c r="AG298" s="1037"/>
      <c r="AH298" s="1037"/>
      <c r="AI298" s="1037"/>
      <c r="AJ298" s="1037"/>
      <c r="AK298" s="1037"/>
      <c r="AL298" s="1037"/>
      <c r="AM298" s="1037"/>
      <c r="AN298" s="1037"/>
      <c r="AO298" s="1037"/>
      <c r="AP298" s="1037"/>
      <c r="AQ298" s="1037"/>
      <c r="AR298" s="1037"/>
      <c r="AS298" s="1037"/>
      <c r="AT298" s="1037"/>
      <c r="AU298" s="1037"/>
      <c r="AV298" s="1037"/>
      <c r="AW298" s="1037"/>
      <c r="AX298" s="1037"/>
      <c r="AY298" s="1037"/>
      <c r="AZ298" s="1037"/>
      <c r="BA298" s="1037"/>
      <c r="BB298" s="1037"/>
      <c r="BC298" s="1037"/>
      <c r="BD298" s="1037"/>
      <c r="BE298" s="1037"/>
      <c r="BF298" s="1037"/>
      <c r="BG298" s="1037"/>
      <c r="BH298" s="1037"/>
      <c r="BI298" s="1037"/>
      <c r="BJ298" s="1037"/>
      <c r="BK298" s="4802"/>
      <c r="BL298" s="4802"/>
      <c r="BM298" s="4767"/>
      <c r="BN298" s="977">
        <f>SUM(K298:K301)</f>
        <v>0</v>
      </c>
      <c r="BO298" s="971">
        <f>IF(E298=0,"",(AF298+AP298+AZ298+BJ298))</f>
        <v>0</v>
      </c>
      <c r="BP298" s="978" t="str">
        <f>IF(I298="Si",VLOOKUP($D$8,'Tablas Técnicas'!$E$4:$F$6,2,FALSE),"")</f>
        <v/>
      </c>
      <c r="BQ298" s="979" t="str">
        <f>IF(L298="Si",VLOOKUP($D$8,'Tablas Técnicas'!$I$4:$J$6,2,FALSE),"")</f>
        <v/>
      </c>
      <c r="BR298" s="977" t="str">
        <f>IF(O298="Si",VLOOKUP($D$8,'Tablas Técnicas'!$I$7:$J$9,2,FALSE),"")</f>
        <v/>
      </c>
      <c r="BS298" s="994"/>
      <c r="BT298" s="4766" t="s">
        <v>4555</v>
      </c>
      <c r="BU298" s="4767"/>
      <c r="BV298" s="971"/>
      <c r="BW298" s="951"/>
      <c r="BX298" s="951"/>
      <c r="BY298" s="1286"/>
      <c r="BZ298" s="1304"/>
      <c r="CA298" s="939"/>
      <c r="DR298" s="939"/>
      <c r="DT298" s="1325"/>
      <c r="DU298" s="1377"/>
      <c r="DV298" s="1377"/>
      <c r="DW298" s="1377"/>
      <c r="DX298" s="1377"/>
      <c r="DY298" s="1324"/>
      <c r="DZ298" s="939"/>
      <c r="EA298" s="1470">
        <f t="shared" si="4"/>
        <v>1</v>
      </c>
    </row>
    <row r="299" spans="1:132" ht="12" x14ac:dyDescent="0.2">
      <c r="A299" s="939"/>
      <c r="B299" s="939"/>
      <c r="C299" s="4822"/>
      <c r="D299" s="1456" t="s">
        <v>4554</v>
      </c>
      <c r="E299" s="983"/>
      <c r="F299" s="1006"/>
      <c r="G299" s="1006"/>
      <c r="H299" s="1004" t="str">
        <f>IF(D267=0,"",IF(E299=0,"",VLOOKUP(E299,'Tablas Técnicas'!$A$14:$V$771,4,FALSE)))</f>
        <v/>
      </c>
      <c r="I299" s="1006"/>
      <c r="J299" s="1006"/>
      <c r="K299" s="1038"/>
      <c r="L299" s="1006"/>
      <c r="M299" s="1006"/>
      <c r="N299" s="1038"/>
      <c r="O299" s="1006"/>
      <c r="P299" s="1006"/>
      <c r="Q299" s="1006"/>
      <c r="R299" s="1005" t="str">
        <f>IF(E299=0,"",VLOOKUP(E299,'Tablas Técnicas'!$A$14:$V$771,8,FALSE))</f>
        <v/>
      </c>
      <c r="S299" s="1031" t="str">
        <f>IF(R299=$D$8,$D$8,IF(R299=2,2,IF(R299=3,3,R299)))</f>
        <v/>
      </c>
      <c r="T299" s="1006" t="str">
        <f>IF(E299=0,"",VLOOKUP(E299,'Tablas Técnicas'!$A$14:$V$771,9,FALSE))</f>
        <v/>
      </c>
      <c r="U299" s="1033" t="str">
        <f>IF(E299=0,"",VLOOKUP(E299,'Tablas Técnicas'!$A$14:$V$771,10,FALSE))</f>
        <v/>
      </c>
      <c r="V299" s="1034"/>
      <c r="W299" s="1034"/>
      <c r="X299" s="1033"/>
      <c r="Y299" s="1033"/>
      <c r="Z299" s="1033"/>
      <c r="AA299" s="1033"/>
      <c r="AB299" s="1033"/>
      <c r="AC299" s="1033"/>
      <c r="AD299" s="1033"/>
      <c r="AE299" s="1033"/>
      <c r="AF299" s="1033"/>
      <c r="AG299" s="4799" t="str">
        <f>IF(OR(E299='Tablas Técnicas'!A$678,E299='Tablas Técnicas'!A$679,E300='Tablas Técnicas'!A$678,E300='Tablas Técnicas'!A$679,E301='Tablas Técnicas'!A$678,E301='Tablas Técnicas'!A$679),"Selecciona la atadura elemental:","")</f>
        <v/>
      </c>
      <c r="AH299" s="4800"/>
      <c r="AI299" s="4800"/>
      <c r="AJ299" s="4800"/>
      <c r="AK299" s="4800"/>
      <c r="AL299" s="4800"/>
      <c r="AM299" s="4800"/>
      <c r="AN299" s="4800"/>
      <c r="AO299" s="4800"/>
      <c r="AP299" s="4800"/>
      <c r="AQ299" s="4800"/>
      <c r="AR299" s="4800"/>
      <c r="AS299" s="4800"/>
      <c r="AT299" s="4800"/>
      <c r="AU299" s="4800"/>
      <c r="AV299" s="4800"/>
      <c r="AW299" s="4800"/>
      <c r="AX299" s="4800"/>
      <c r="AY299" s="4800"/>
      <c r="AZ299" s="4800"/>
      <c r="BA299" s="4800"/>
      <c r="BB299" s="4800"/>
      <c r="BC299" s="4800"/>
      <c r="BD299" s="4800"/>
      <c r="BE299" s="4800"/>
      <c r="BF299" s="4800"/>
      <c r="BG299" s="4800"/>
      <c r="BH299" s="4800"/>
      <c r="BI299" s="4800"/>
      <c r="BJ299" s="4800"/>
      <c r="BK299" s="4801"/>
      <c r="BL299" s="1441"/>
      <c r="BM299" s="1441"/>
      <c r="BN299" s="1006"/>
      <c r="BO299" s="1006"/>
      <c r="BP299" s="1038"/>
      <c r="BQ299" s="1006"/>
      <c r="BR299" s="1006"/>
      <c r="BS299" s="1006"/>
      <c r="BT299" s="4768">
        <f>D267</f>
        <v>1</v>
      </c>
      <c r="BU299" s="4769"/>
      <c r="BV299" s="971">
        <f>IF(BV298=0,0,VLOOKUP(BV298,'Tablas Técnicas'!$M$4:$N$7,2,FALSE))</f>
        <v>0</v>
      </c>
      <c r="BW299" s="951"/>
      <c r="BX299" s="951"/>
      <c r="BY299" s="1286"/>
      <c r="BZ299" s="1304"/>
      <c r="CA299" s="939"/>
      <c r="DR299" s="939"/>
      <c r="DT299" s="1325"/>
      <c r="DU299" s="1377"/>
      <c r="DV299" s="1377"/>
      <c r="DW299" s="1377"/>
      <c r="DX299" s="1377"/>
      <c r="DY299" s="1324"/>
      <c r="DZ299" s="939"/>
      <c r="EA299" s="1470">
        <f t="shared" si="4"/>
        <v>1</v>
      </c>
    </row>
    <row r="300" spans="1:132" x14ac:dyDescent="0.2">
      <c r="A300" s="939"/>
      <c r="B300" s="939"/>
      <c r="C300" s="4822"/>
      <c r="D300" s="1452" t="s">
        <v>4556</v>
      </c>
      <c r="E300" s="1039"/>
      <c r="F300" s="1405"/>
      <c r="G300" s="1406"/>
      <c r="H300" s="996" t="str">
        <f>IF(VALUE(D267)&gt;1,IF(E300=0,"",VLOOKUP(E300,'Tablas Técnicas'!$A$14:$V$771,4,FALSE)),"")</f>
        <v/>
      </c>
      <c r="I300" s="1405"/>
      <c r="J300" s="1406"/>
      <c r="K300" s="1406"/>
      <c r="L300" s="1405"/>
      <c r="M300" s="1406"/>
      <c r="N300" s="1407"/>
      <c r="O300" s="1406"/>
      <c r="P300" s="1406"/>
      <c r="Q300" s="1406"/>
      <c r="R300" s="1000" t="str">
        <f>IF(E300=0,"",VLOOKUP(E300,'Tablas Técnicas'!$A$14:$V$771,8,FALSE))</f>
        <v/>
      </c>
      <c r="S300" s="998" t="str">
        <f>IF(R300=$D$8,$D$8,IF(R300=2,2,IF(R300=3,3,R300)))</f>
        <v/>
      </c>
      <c r="T300" s="1001" t="str">
        <f>IF(E300=0,"",VLOOKUP(E300,'Tablas Técnicas'!$A$14:$V$771,9,FALSE))</f>
        <v/>
      </c>
      <c r="U300" s="1001" t="str">
        <f>IF(E300=0,"",VLOOKUP(E300,'Tablas Técnicas'!$A$14:$V$771,10,FALSE))</f>
        <v/>
      </c>
      <c r="V300" s="1405"/>
      <c r="W300" s="1405"/>
      <c r="X300" s="1406"/>
      <c r="Y300" s="1406"/>
      <c r="Z300" s="1406"/>
      <c r="AA300" s="1406"/>
      <c r="AB300" s="1406"/>
      <c r="AC300" s="1406"/>
      <c r="AD300" s="1406"/>
      <c r="AE300" s="1406"/>
      <c r="AF300" s="1406"/>
      <c r="AG300" s="1408"/>
      <c r="AH300" s="1409"/>
      <c r="AI300" s="1409"/>
      <c r="AJ300" s="1409"/>
      <c r="AK300" s="1409"/>
      <c r="AL300" s="1409"/>
      <c r="AM300" s="1409"/>
      <c r="AN300" s="1409"/>
      <c r="AO300" s="1409"/>
      <c r="AP300" s="1407"/>
      <c r="AQ300" s="1409"/>
      <c r="AR300" s="1409"/>
      <c r="AS300" s="1409"/>
      <c r="AT300" s="1409"/>
      <c r="AU300" s="1409"/>
      <c r="AV300" s="1409"/>
      <c r="AW300" s="1409"/>
      <c r="AX300" s="1409"/>
      <c r="AY300" s="1409"/>
      <c r="AZ300" s="1410"/>
      <c r="BA300" s="1406"/>
      <c r="BB300" s="1406"/>
      <c r="BC300" s="1406"/>
      <c r="BD300" s="1406"/>
      <c r="BE300" s="1406"/>
      <c r="BF300" s="1406"/>
      <c r="BG300" s="1406"/>
      <c r="BH300" s="1406"/>
      <c r="BI300" s="1406"/>
      <c r="BJ300" s="1407"/>
      <c r="BK300" s="1406"/>
      <c r="BL300" s="1442"/>
      <c r="BM300" s="1443"/>
      <c r="BN300" s="1406"/>
      <c r="BO300" s="1406"/>
      <c r="BP300" s="1407"/>
      <c r="BQ300" s="1406"/>
      <c r="BR300" s="1406"/>
      <c r="BS300" s="1406"/>
      <c r="BU300" s="3026"/>
      <c r="BV300" s="971"/>
      <c r="BW300" s="951"/>
      <c r="BX300" s="951"/>
      <c r="BY300" s="1286"/>
      <c r="BZ300" s="1304"/>
      <c r="CA300" s="939"/>
      <c r="DR300" s="939"/>
      <c r="DT300" s="1325"/>
      <c r="DU300" s="1377"/>
      <c r="DV300" s="1377"/>
      <c r="DW300" s="1377"/>
      <c r="DX300" s="1377"/>
      <c r="DY300" s="1324"/>
      <c r="DZ300" s="939"/>
      <c r="EA300" s="1470">
        <f t="shared" si="4"/>
        <v>1</v>
      </c>
    </row>
    <row r="301" spans="1:132" x14ac:dyDescent="0.2">
      <c r="A301" s="939"/>
      <c r="B301" s="939"/>
      <c r="C301" s="4822"/>
      <c r="D301" s="1457" t="s">
        <v>4557</v>
      </c>
      <c r="E301" s="1040"/>
      <c r="F301" s="3030"/>
      <c r="G301" s="1015"/>
      <c r="H301" s="1014" t="str">
        <f>IF(VALUE(D267)=3,IF(E301=0,"",VLOOKUP(E301,'Tablas Técnicas'!$A$14:$V$771,4,FALSE)),"")</f>
        <v/>
      </c>
      <c r="I301" s="1015"/>
      <c r="J301" s="1015"/>
      <c r="K301" s="1015"/>
      <c r="L301" s="3030"/>
      <c r="M301" s="1015"/>
      <c r="N301" s="1015"/>
      <c r="O301" s="3030"/>
      <c r="P301" s="1015"/>
      <c r="Q301" s="1015"/>
      <c r="R301" s="1035" t="str">
        <f>IF(E301=0,"",VLOOKUP(E301,'Tablas Técnicas'!$A$14:$V$771,8,FALSE))</f>
        <v/>
      </c>
      <c r="S301" s="1014" t="str">
        <f>IF(R301=$D$8,$D$8,IF(R301=2,2,IF(R301=3,3,R301)))</f>
        <v/>
      </c>
      <c r="T301" s="1015" t="str">
        <f>IF(E301=0,"",VLOOKUP(E301,'Tablas Técnicas'!$A$14:$V$771,9,FALSE))</f>
        <v/>
      </c>
      <c r="U301" s="1015" t="str">
        <f>IF(E301=0,"",VLOOKUP(E301,'Tablas Técnicas'!$A$14:$V$771,10,FALSE))</f>
        <v/>
      </c>
      <c r="V301" s="3030"/>
      <c r="W301" s="1298"/>
      <c r="X301" s="1298"/>
      <c r="Y301" s="1298"/>
      <c r="Z301" s="1298"/>
      <c r="AA301" s="1298"/>
      <c r="AB301" s="1298"/>
      <c r="AC301" s="1298"/>
      <c r="AD301" s="1298"/>
      <c r="AE301" s="1298"/>
      <c r="AF301" s="1299"/>
      <c r="AG301" s="3030"/>
      <c r="AH301" s="1015"/>
      <c r="AI301" s="1015"/>
      <c r="AJ301" s="1015"/>
      <c r="AK301" s="1015"/>
      <c r="AL301" s="1015"/>
      <c r="AM301" s="1015"/>
      <c r="AN301" s="1015"/>
      <c r="AO301" s="1015"/>
      <c r="AP301" s="3031"/>
      <c r="AQ301" s="1015"/>
      <c r="AR301" s="1015"/>
      <c r="AS301" s="1015"/>
      <c r="AT301" s="1015"/>
      <c r="AU301" s="1015"/>
      <c r="AV301" s="1015"/>
      <c r="AW301" s="1015"/>
      <c r="AX301" s="1015"/>
      <c r="AY301" s="1015"/>
      <c r="AZ301" s="3031"/>
      <c r="BA301" s="1015"/>
      <c r="BB301" s="1015"/>
      <c r="BC301" s="1015"/>
      <c r="BD301" s="1015"/>
      <c r="BE301" s="1015"/>
      <c r="BF301" s="1015"/>
      <c r="BG301" s="1015"/>
      <c r="BH301" s="1015"/>
      <c r="BI301" s="1015"/>
      <c r="BJ301" s="3031"/>
      <c r="BK301" s="1015"/>
      <c r="BL301" s="1439"/>
      <c r="BM301" s="1444"/>
      <c r="BN301" s="1015"/>
      <c r="BO301" s="1015"/>
      <c r="BP301" s="1015"/>
      <c r="BQ301" s="3030"/>
      <c r="BR301" s="1015"/>
      <c r="BS301" s="1015"/>
      <c r="BT301" s="3026"/>
      <c r="BU301" s="3026"/>
      <c r="BV301" s="971">
        <f>IF(BV300=0,0,VLOOKUP(BV300,'Tablas Técnicas'!$M$4:$N$7,2,FALSE))</f>
        <v>0</v>
      </c>
      <c r="BW301" s="951"/>
      <c r="BX301" s="951"/>
      <c r="BY301" s="1286"/>
      <c r="BZ301" s="1304"/>
      <c r="CA301" s="943"/>
      <c r="DR301" s="943"/>
      <c r="DT301" s="1328"/>
      <c r="DU301" s="1433"/>
      <c r="DV301" s="1433"/>
      <c r="DW301" s="1433"/>
      <c r="DX301" s="1433"/>
      <c r="DY301" s="1329"/>
      <c r="DZ301" s="943"/>
      <c r="EA301" s="1470">
        <f t="shared" si="4"/>
        <v>1</v>
      </c>
    </row>
    <row r="302" spans="1:132" x14ac:dyDescent="0.2">
      <c r="A302" s="943"/>
      <c r="B302" s="943"/>
      <c r="C302" s="4822"/>
      <c r="D302" s="1458"/>
      <c r="E302" s="3026"/>
      <c r="F302" s="951"/>
      <c r="G302" s="3026"/>
      <c r="H302" s="3026"/>
      <c r="I302" s="951"/>
      <c r="J302" s="3026"/>
      <c r="K302" s="3026"/>
      <c r="L302" s="3026"/>
      <c r="M302" s="3026"/>
      <c r="N302" s="3026"/>
      <c r="O302" s="3026"/>
      <c r="P302" s="3026"/>
      <c r="Q302" s="3026"/>
      <c r="R302" s="3026"/>
      <c r="S302" s="3026"/>
      <c r="T302" s="3026"/>
      <c r="U302" s="3026"/>
      <c r="V302" s="3026"/>
      <c r="W302" s="3026"/>
      <c r="X302" s="3026"/>
      <c r="Y302" s="3026"/>
      <c r="Z302" s="3026"/>
      <c r="AA302" s="3026"/>
      <c r="AB302" s="3026"/>
      <c r="AC302" s="3026"/>
      <c r="AD302" s="3026"/>
      <c r="AE302" s="3026"/>
      <c r="AF302" s="3026"/>
      <c r="AG302" s="3026"/>
      <c r="AH302" s="3026"/>
      <c r="AI302" s="3026"/>
      <c r="AJ302" s="3026"/>
      <c r="AK302" s="3026"/>
      <c r="AL302" s="3026"/>
      <c r="AM302" s="3026"/>
      <c r="AN302" s="3026"/>
      <c r="AO302" s="3026"/>
      <c r="AP302" s="3026"/>
      <c r="AQ302" s="3026"/>
      <c r="AR302" s="3026"/>
      <c r="AS302" s="3026"/>
      <c r="AT302" s="3026"/>
      <c r="AU302" s="3026"/>
      <c r="AV302" s="3026"/>
      <c r="AW302" s="3026"/>
      <c r="AX302" s="3026"/>
      <c r="AY302" s="3026"/>
      <c r="AZ302" s="3026"/>
      <c r="BA302" s="3026"/>
      <c r="BB302" s="3026"/>
      <c r="BC302" s="3026"/>
      <c r="BD302" s="3026"/>
      <c r="BE302" s="3026"/>
      <c r="BF302" s="3026"/>
      <c r="BG302" s="3026"/>
      <c r="BH302" s="3026"/>
      <c r="BI302" s="3026"/>
      <c r="BJ302" s="3026"/>
      <c r="BK302" s="3026"/>
      <c r="BL302" s="3026"/>
      <c r="BM302" s="3026"/>
      <c r="BN302" s="944">
        <f>SUM(BN307:BN322)</f>
        <v>0</v>
      </c>
      <c r="BO302" s="944">
        <f>SUM(BO307:BO322)</f>
        <v>0</v>
      </c>
      <c r="BP302" s="944">
        <f>SUM(BP307:BP322)</f>
        <v>0</v>
      </c>
      <c r="BQ302" s="944">
        <f>SUM(BQ307:BQ322)</f>
        <v>0</v>
      </c>
      <c r="BR302" s="944">
        <f>SUM(BR307:BR322)</f>
        <v>0</v>
      </c>
      <c r="BS302" s="1041"/>
      <c r="BU302" s="3026"/>
      <c r="BW302" s="951"/>
      <c r="BX302" s="951"/>
      <c r="BY302" s="960"/>
      <c r="BZ302" s="1304"/>
      <c r="CA302" s="939"/>
      <c r="DR302" s="939"/>
      <c r="DT302" s="1325"/>
      <c r="DU302" s="1377"/>
      <c r="DV302" s="1377"/>
      <c r="DW302" s="1377"/>
      <c r="DX302" s="1377"/>
      <c r="DY302" s="1324"/>
      <c r="DZ302" s="939"/>
      <c r="EA302" s="1470">
        <f t="shared" si="4"/>
        <v>1</v>
      </c>
    </row>
    <row r="303" spans="1:132" x14ac:dyDescent="0.2">
      <c r="A303" s="939"/>
      <c r="B303" s="939"/>
      <c r="C303" s="4822"/>
      <c r="D303" s="1450" t="s">
        <v>7698</v>
      </c>
      <c r="E303" s="2941"/>
      <c r="F303" s="957"/>
      <c r="G303" s="957"/>
      <c r="H303" s="957"/>
      <c r="I303" s="957"/>
      <c r="J303" s="958"/>
      <c r="K303" s="957"/>
      <c r="L303" s="957"/>
      <c r="M303" s="958"/>
      <c r="N303" s="957"/>
      <c r="O303" s="957"/>
      <c r="P303" s="958"/>
      <c r="Q303" s="957"/>
      <c r="R303" s="958"/>
      <c r="S303" s="957"/>
      <c r="T303" s="957"/>
      <c r="U303" s="957"/>
      <c r="V303" s="957"/>
      <c r="W303" s="951"/>
      <c r="X303" s="958"/>
      <c r="Y303" s="958"/>
      <c r="Z303" s="958"/>
      <c r="AA303" s="958"/>
      <c r="AB303" s="958"/>
      <c r="AC303" s="958"/>
      <c r="AD303" s="958"/>
      <c r="AE303" s="958"/>
      <c r="AF303" s="957"/>
      <c r="AG303" s="951"/>
      <c r="AH303" s="958"/>
      <c r="AI303" s="958"/>
      <c r="AJ303" s="958"/>
      <c r="AK303" s="958"/>
      <c r="AL303" s="958"/>
      <c r="AM303" s="958"/>
      <c r="AN303" s="958"/>
      <c r="AO303" s="958"/>
      <c r="AP303" s="951"/>
      <c r="AQ303" s="951"/>
      <c r="AR303" s="958"/>
      <c r="AS303" s="958"/>
      <c r="AT303" s="958"/>
      <c r="AU303" s="958"/>
      <c r="AV303" s="958"/>
      <c r="AW303" s="958"/>
      <c r="AX303" s="958"/>
      <c r="AY303" s="958"/>
      <c r="AZ303" s="951"/>
      <c r="BA303" s="951"/>
      <c r="BB303" s="958"/>
      <c r="BC303" s="958"/>
      <c r="BD303" s="958"/>
      <c r="BE303" s="958"/>
      <c r="BF303" s="958"/>
      <c r="BG303" s="958"/>
      <c r="BH303" s="958"/>
      <c r="BI303" s="958"/>
      <c r="BJ303" s="951"/>
      <c r="BK303" s="951"/>
      <c r="BL303" s="951"/>
      <c r="BM303" s="951"/>
      <c r="BN303" s="944">
        <f>SUM(BN305:BN338)</f>
        <v>0</v>
      </c>
      <c r="BO303" s="944">
        <f>SUM(BO305:BO338)</f>
        <v>0</v>
      </c>
      <c r="BP303" s="944">
        <f>MAX(BP305:BP338)</f>
        <v>0</v>
      </c>
      <c r="BQ303" s="944">
        <f>MAX(BQ305:BQ338)</f>
        <v>0</v>
      </c>
      <c r="BR303" s="944">
        <f>MAX(BR305:BR338)</f>
        <v>0</v>
      </c>
      <c r="BS303" s="959"/>
      <c r="BU303" s="3026"/>
      <c r="BV303" s="961"/>
      <c r="BW303" s="951"/>
      <c r="BX303" s="951"/>
      <c r="BY303" s="1286"/>
      <c r="BZ303" s="1304"/>
      <c r="CA303" s="939"/>
      <c r="DR303" s="939"/>
      <c r="DT303" s="1325"/>
      <c r="DU303" s="1377"/>
      <c r="DV303" s="1377"/>
      <c r="DW303" s="1377"/>
      <c r="DX303" s="1377"/>
      <c r="DY303" s="1324"/>
      <c r="DZ303" s="939"/>
      <c r="EA303" s="1470">
        <f t="shared" si="4"/>
        <v>1</v>
      </c>
    </row>
    <row r="304" spans="1:132" ht="12" thickBot="1" x14ac:dyDescent="0.25">
      <c r="A304" s="939"/>
      <c r="B304" s="939"/>
      <c r="C304" s="4822"/>
      <c r="D304" s="1451">
        <v>1</v>
      </c>
      <c r="E304" s="962" t="s">
        <v>8064</v>
      </c>
      <c r="F304" s="963" t="s">
        <v>1789</v>
      </c>
      <c r="G304" s="964" t="s">
        <v>1790</v>
      </c>
      <c r="H304" s="964" t="s">
        <v>1811</v>
      </c>
      <c r="I304" s="965" t="s">
        <v>3334</v>
      </c>
      <c r="J304" s="966"/>
      <c r="K304" s="967"/>
      <c r="L304" s="965" t="s">
        <v>3335</v>
      </c>
      <c r="M304" s="966"/>
      <c r="N304" s="967"/>
      <c r="O304" s="965" t="s">
        <v>3336</v>
      </c>
      <c r="P304" s="966"/>
      <c r="Q304" s="967"/>
      <c r="R304" s="968" t="s">
        <v>4533</v>
      </c>
      <c r="S304" s="964" t="s">
        <v>3304</v>
      </c>
      <c r="T304" s="3036" t="s">
        <v>1708</v>
      </c>
      <c r="U304" s="3036" t="s">
        <v>1679</v>
      </c>
      <c r="V304" s="3036" t="s">
        <v>3337</v>
      </c>
      <c r="W304" s="4794" t="s">
        <v>3338</v>
      </c>
      <c r="X304" s="4794"/>
      <c r="Y304" s="4794"/>
      <c r="Z304" s="4794"/>
      <c r="AA304" s="4794"/>
      <c r="AB304" s="4794"/>
      <c r="AC304" s="4794"/>
      <c r="AD304" s="4794"/>
      <c r="AE304" s="4794"/>
      <c r="AF304" s="4794"/>
      <c r="AG304" s="4794"/>
      <c r="AH304" s="4794"/>
      <c r="AI304" s="4794"/>
      <c r="AJ304" s="4794"/>
      <c r="AK304" s="4794"/>
      <c r="AL304" s="4794"/>
      <c r="AM304" s="4794"/>
      <c r="AN304" s="4794"/>
      <c r="AO304" s="4794"/>
      <c r="AP304" s="4794"/>
      <c r="AQ304" s="4794"/>
      <c r="AR304" s="4794"/>
      <c r="AS304" s="4794"/>
      <c r="AT304" s="4794"/>
      <c r="AU304" s="4794"/>
      <c r="AV304" s="4794"/>
      <c r="AW304" s="4794"/>
      <c r="AX304" s="4794"/>
      <c r="AY304" s="4794"/>
      <c r="AZ304" s="4794"/>
      <c r="BA304" s="4794"/>
      <c r="BB304" s="4794"/>
      <c r="BC304" s="4794"/>
      <c r="BD304" s="4794"/>
      <c r="BE304" s="4794"/>
      <c r="BF304" s="4794"/>
      <c r="BG304" s="4794"/>
      <c r="BH304" s="4794"/>
      <c r="BI304" s="4794"/>
      <c r="BJ304" s="4794"/>
      <c r="BK304" s="4794" t="s">
        <v>3339</v>
      </c>
      <c r="BL304" s="4794"/>
      <c r="BM304" s="4795"/>
      <c r="BN304" s="969" t="s">
        <v>4534</v>
      </c>
      <c r="BO304" s="969" t="s">
        <v>4535</v>
      </c>
      <c r="BP304" s="969" t="s">
        <v>4536</v>
      </c>
      <c r="BQ304" s="969" t="s">
        <v>4537</v>
      </c>
      <c r="BR304" s="969" t="s">
        <v>4538</v>
      </c>
      <c r="BS304" s="970" t="s">
        <v>4539</v>
      </c>
      <c r="BT304" s="4770" t="s">
        <v>4540</v>
      </c>
      <c r="BU304" s="4771"/>
      <c r="BV304" s="971"/>
      <c r="BW304" s="951"/>
      <c r="BX304" s="951"/>
      <c r="BY304" s="1286"/>
      <c r="BZ304" s="1304"/>
      <c r="CA304" s="939"/>
      <c r="DR304" s="939"/>
      <c r="DT304" s="1325"/>
      <c r="DU304" s="1377"/>
      <c r="DV304" s="1377"/>
      <c r="DW304" s="1377"/>
      <c r="DX304" s="1377"/>
      <c r="DY304" s="1324"/>
      <c r="DZ304" s="939"/>
      <c r="EB304" s="2158">
        <f>D304</f>
        <v>1</v>
      </c>
    </row>
    <row r="305" spans="1:131" x14ac:dyDescent="0.2">
      <c r="A305" s="972"/>
      <c r="B305" s="1403"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822"/>
      <c r="D305" s="1452">
        <v>1</v>
      </c>
      <c r="E305" s="1246"/>
      <c r="F305" s="973"/>
      <c r="G305" s="974"/>
      <c r="H305" s="974"/>
      <c r="I305" s="974"/>
      <c r="J305" s="975"/>
      <c r="K305" s="974"/>
      <c r="L305" s="974"/>
      <c r="M305" s="975"/>
      <c r="N305" s="974"/>
      <c r="O305" s="974"/>
      <c r="P305" s="975"/>
      <c r="Q305" s="974"/>
      <c r="R305" s="975"/>
      <c r="S305" s="974"/>
      <c r="T305" s="974"/>
      <c r="U305" s="974"/>
      <c r="V305" s="974"/>
      <c r="W305" s="974"/>
      <c r="X305" s="974"/>
      <c r="Y305" s="974"/>
      <c r="Z305" s="974"/>
      <c r="AA305" s="974"/>
      <c r="AB305" s="974"/>
      <c r="AC305" s="974"/>
      <c r="AD305" s="974"/>
      <c r="AE305" s="974"/>
      <c r="AF305" s="974"/>
      <c r="AG305" s="974"/>
      <c r="AH305" s="974"/>
      <c r="AI305" s="974"/>
      <c r="AJ305" s="974"/>
      <c r="AK305" s="974"/>
      <c r="AL305" s="974"/>
      <c r="AM305" s="974"/>
      <c r="AN305" s="974"/>
      <c r="AO305" s="974"/>
      <c r="AP305" s="974"/>
      <c r="AQ305" s="974"/>
      <c r="AR305" s="974"/>
      <c r="AS305" s="974"/>
      <c r="AT305" s="974"/>
      <c r="AU305" s="974"/>
      <c r="AV305" s="974"/>
      <c r="AW305" s="974"/>
      <c r="AX305" s="974"/>
      <c r="AY305" s="974"/>
      <c r="AZ305" s="974"/>
      <c r="BA305" s="974"/>
      <c r="BB305" s="974"/>
      <c r="BC305" s="974"/>
      <c r="BD305" s="974"/>
      <c r="BE305" s="974"/>
      <c r="BF305" s="974"/>
      <c r="BG305" s="974"/>
      <c r="BH305" s="974"/>
      <c r="BI305" s="974"/>
      <c r="BJ305" s="974"/>
      <c r="BK305" s="974"/>
      <c r="BL305" s="974"/>
      <c r="BM305" s="976"/>
      <c r="BN305" s="977">
        <f>SUM(K305:K308)</f>
        <v>0</v>
      </c>
      <c r="BO305" s="971" t="str">
        <f>IF(E305=0,"",(AF305+AP305+AZ305+BJ305))</f>
        <v/>
      </c>
      <c r="BP305" s="978" t="str">
        <f>IF(I305="Si",VLOOKUP($D$8,'Tablas Técnicas'!$E$4:$F$6,2,FALSE),"")</f>
        <v/>
      </c>
      <c r="BQ305" s="979" t="str">
        <f>IF(L305="Si",VLOOKUP($D$8,'Tablas Técnicas'!$I$4:$J$6,2,FALSE),"")</f>
        <v/>
      </c>
      <c r="BR305" s="977" t="str">
        <f>IF(O305="Si",VLOOKUP($D$8,'Tablas Técnicas'!$I$7:$J$9,2,FALSE),"")</f>
        <v/>
      </c>
      <c r="BS305" s="980">
        <f>VLOOKUP(D304,'Tablas Técnicas'!$P$6:$R$8,3)</f>
        <v>50</v>
      </c>
      <c r="BT305" s="981">
        <f>VLOOKUP(D304,'Tablas Técnicas'!$P$6:$R$8,3,FALSE)</f>
        <v>50</v>
      </c>
      <c r="BU305" s="982">
        <f>VLOOKUP(D304,'Tablas Técnicas'!$P$6:$R$8,2,FALSE)</f>
        <v>20</v>
      </c>
      <c r="BV305" s="971">
        <f>IF(D304=0,"",VLOOKUP(D304,'Tablas Técnicas'!$L$4:$N$7,2,FALSE))</f>
        <v>3</v>
      </c>
      <c r="BW305" s="951"/>
      <c r="BX305" s="951"/>
      <c r="BY305" s="1286"/>
      <c r="BZ305" s="1304"/>
      <c r="CA305" s="939"/>
      <c r="DR305" s="939"/>
      <c r="DT305" s="1325"/>
      <c r="DU305" s="1424" t="s">
        <v>1801</v>
      </c>
      <c r="DV305" s="1425" t="s">
        <v>3315</v>
      </c>
      <c r="DW305" s="1425" t="s">
        <v>3301</v>
      </c>
      <c r="DX305" s="1426" t="s">
        <v>7701</v>
      </c>
      <c r="DY305" s="1324"/>
      <c r="DZ305" s="939"/>
      <c r="EA305" s="1470">
        <f>EB304</f>
        <v>1</v>
      </c>
    </row>
    <row r="306" spans="1:131" x14ac:dyDescent="0.2">
      <c r="A306" s="939"/>
      <c r="B306" s="939"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822"/>
      <c r="D306" s="1453" t="s">
        <v>1766</v>
      </c>
      <c r="E306" s="983"/>
      <c r="F306" s="984" t="str">
        <f>IF(E306=0,"",VLOOKUP(E306,'Tablas Técnicas'!$A$14:$V$771,2,FALSE))</f>
        <v/>
      </c>
      <c r="G306" s="985"/>
      <c r="H306" s="986" t="str">
        <f>IF($E306=0,"",VLOOKUP($E306,'Tablas Técnicas'!$A$14:$V$771,4,FALSE))</f>
        <v/>
      </c>
      <c r="I306" s="987" t="s">
        <v>1690</v>
      </c>
      <c r="J306" s="1412" t="str">
        <f>IF(E306=0,"",VLOOKUP(E306,'Tablas Técnicas'!$A$14:$V$771,5,FALSE))</f>
        <v/>
      </c>
      <c r="K306" s="989" t="str">
        <f>IF(I306="Si",IF(E306=0,"",VLOOKUP(E306,'Tablas Técnicas'!$A$14:$V$771,5,FALSE)),"")</f>
        <v/>
      </c>
      <c r="L306" s="987" t="s">
        <v>1690</v>
      </c>
      <c r="M306" s="1412" t="str">
        <f>IF(E306=0,"",VLOOKUP(E306,'Tablas Técnicas'!$A$14:$V$771,6,FALSE))</f>
        <v/>
      </c>
      <c r="N306" s="990" t="str">
        <f>IF(L306="Si",IF(E306=0,"",VLOOKUP(E306,'Tablas Técnicas'!$A$14:$V$771,6,FALSE)),"")</f>
        <v/>
      </c>
      <c r="O306" s="987" t="s">
        <v>1690</v>
      </c>
      <c r="P306" s="1412" t="str">
        <f>IF(E306=0,"",VLOOKUP(E306,'Tablas Técnicas'!$A$14:$V$771,7,FALSE))</f>
        <v/>
      </c>
      <c r="Q306" s="990" t="str">
        <f>IF(O306="Si",IF(E306=0,"",VLOOKUP(E306,'Tablas Técnicas'!$A$14:$V$771,7,FALSE)),"")</f>
        <v/>
      </c>
      <c r="R306" s="988" t="str">
        <f>IF(E306=0,"",VLOOKUP(E306,'Tablas Técnicas'!$A$14:$V$771,8,FALSE))</f>
        <v/>
      </c>
      <c r="S306" s="986" t="str">
        <f>IF(R306=$D$8,$D$8,IF(R306=2,2,IF(R306=3,3,R306)))</f>
        <v/>
      </c>
      <c r="T306" s="989" t="str">
        <f>IF(E306=0,"",VLOOKUP(E306,'Tablas Técnicas'!$A$14:$V$771,9,FALSE))</f>
        <v/>
      </c>
      <c r="U306" s="989" t="str">
        <f>IF(E306=0,"",VLOOKUP(E306,'Tablas Técnicas'!$A$14:$V$771,10,FALSE))</f>
        <v/>
      </c>
      <c r="V306" s="984" t="str">
        <f>IF(E306=0,"",VLOOKUP(E306,'Tablas Técnicas'!$A$14:$V$771,11,FALSE))</f>
        <v/>
      </c>
      <c r="W306" s="987"/>
      <c r="X306" s="988" t="e">
        <f>VLOOKUP(E306,'Tablas Técnicas'!$A$14:$V$771,12,FALSE)</f>
        <v>#N/A</v>
      </c>
      <c r="Y306" s="988" t="e">
        <f>IF(W306=X306,VLOOKUP(E306,'Tablas Técnicas'!$A$14:$V$771,13,FALSE),0)</f>
        <v>#N/A</v>
      </c>
      <c r="Z306" s="988" t="e">
        <f>VLOOKUP(E306,'Tablas Técnicas'!$A$14:$V$771,14,FALSE)</f>
        <v>#N/A</v>
      </c>
      <c r="AA306" s="988" t="e">
        <f>IF(W306=Z306,VLOOKUP(E306,'Tablas Técnicas'!$A$14:$V$616,15,FALSE),0)</f>
        <v>#N/A</v>
      </c>
      <c r="AB306" s="988" t="e">
        <f>VLOOKUP(E306,'Tablas Técnicas'!$A$14:$V$771,16,FALSE)</f>
        <v>#N/A</v>
      </c>
      <c r="AC306" s="988" t="e">
        <f>IF(W306=AB306,VLOOKUP(E306,'Tablas Técnicas'!$A$14:$V$616,17,FALSE),0)</f>
        <v>#N/A</v>
      </c>
      <c r="AD306" s="988" t="e">
        <f>VLOOKUP(E306,'Tablas Técnicas'!$A$14:$V$771,18,FALSE)</f>
        <v>#N/A</v>
      </c>
      <c r="AE306" s="988" t="e">
        <f>IF(W306=AD306,VLOOKUP(E306,'Tablas Técnicas'!$A$14:$V$771,19,FALSE),0)</f>
        <v>#N/A</v>
      </c>
      <c r="AF306" s="990" t="str">
        <f>IF(E306=0,"",(Y306+AA306+AC306+AE306))</f>
        <v/>
      </c>
      <c r="AG306" s="987"/>
      <c r="AH306" s="988" t="e">
        <f>VLOOKUP(E306,'Tablas Técnicas'!$A$14:$V$771,12,FALSE)</f>
        <v>#N/A</v>
      </c>
      <c r="AI306" s="988" t="e">
        <f>IF(AG306=AH306,VLOOKUP(E306,'Tablas Técnicas'!$A$14:$V$771,13,FALSE),0)</f>
        <v>#N/A</v>
      </c>
      <c r="AJ306" s="988" t="e">
        <f>VLOOKUP(E306,'Tablas Técnicas'!$A$14:$V$771,14,FALSE)</f>
        <v>#N/A</v>
      </c>
      <c r="AK306" s="988" t="e">
        <f>IF(AG306=AJ306,VLOOKUP(E306,'Tablas Técnicas'!$A$14:$V$771,15,FALSE),0)</f>
        <v>#N/A</v>
      </c>
      <c r="AL306" s="988" t="e">
        <f>VLOOKUP(E306,'Tablas Técnicas'!$A$14:$V$771,16,FALSE)</f>
        <v>#N/A</v>
      </c>
      <c r="AM306" s="988" t="e">
        <f>IF(AG306=AL306,VLOOKUP(E306,'Tablas Técnicas'!$A$14:$V$771,17,FALSE),0)</f>
        <v>#N/A</v>
      </c>
      <c r="AN306" s="988" t="e">
        <f>VLOOKUP(E306,'Tablas Técnicas'!$A$14:$V$771,18,FALSE)</f>
        <v>#N/A</v>
      </c>
      <c r="AO306" s="988" t="e">
        <f>IF(AG306=AN306,VLOOKUP(E306,'Tablas Técnicas'!$A$14:$V$771,19,FALSE),0)</f>
        <v>#N/A</v>
      </c>
      <c r="AP306" s="990" t="str">
        <f>IF(E306=0,"",(AI306+AK306+AM306+AO306))</f>
        <v/>
      </c>
      <c r="AQ306" s="987"/>
      <c r="AR306" s="988" t="e">
        <f>VLOOKUP(E306,'Tablas Técnicas'!$A$14:$V$771,12,FALSE)</f>
        <v>#N/A</v>
      </c>
      <c r="AS306" s="988" t="e">
        <f>IF(AQ306=AR306,VLOOKUP(E306,'Tablas Técnicas'!$A$14:$V$771,13,FALSE),0)</f>
        <v>#N/A</v>
      </c>
      <c r="AT306" s="988" t="e">
        <f>VLOOKUP(E306,'Tablas Técnicas'!$A$14:$V$771,14,FALSE)</f>
        <v>#N/A</v>
      </c>
      <c r="AU306" s="988" t="e">
        <f>IF(AQ306=AT306,VLOOKUP(E306,'Tablas Técnicas'!$A$14:$V$771,15,FALSE),0)</f>
        <v>#N/A</v>
      </c>
      <c r="AV306" s="988" t="e">
        <f>VLOOKUP(E306,'Tablas Técnicas'!$A$14:$V$771,16,FALSE)</f>
        <v>#N/A</v>
      </c>
      <c r="AW306" s="988" t="e">
        <f>IF(AQ306=AV306,VLOOKUP(E306,'Tablas Técnicas'!$A$14:$V$771,17,FALSE),0)</f>
        <v>#N/A</v>
      </c>
      <c r="AX306" s="988" t="e">
        <f>VLOOKUP(E306,'Tablas Técnicas'!$A$14:$V$771,18,FALSE)</f>
        <v>#N/A</v>
      </c>
      <c r="AY306" s="988" t="e">
        <f>IF(AQ306=AX306,VLOOKUP(E306,'Tablas Técnicas'!$A$14:$V$771,19,FALSE),0)</f>
        <v>#N/A</v>
      </c>
      <c r="AZ306" s="989" t="str">
        <f>IF(E306=0,"",(AS306+AU306+AW306+AY306))</f>
        <v/>
      </c>
      <c r="BA306" s="987"/>
      <c r="BB306" s="988" t="e">
        <f>VLOOKUP(E306,'Tablas Técnicas'!$A$14:$V$771,12,FALSE)</f>
        <v>#N/A</v>
      </c>
      <c r="BC306" s="988" t="e">
        <f>IF(BA306=BB306,VLOOKUP(E306,'Tablas Técnicas'!$A$14:$V$771,13,FALSE),0)</f>
        <v>#N/A</v>
      </c>
      <c r="BD306" s="988" t="e">
        <f>VLOOKUP(E306,'Tablas Técnicas'!$A$14:$V$771,14,FALSE)</f>
        <v>#N/A</v>
      </c>
      <c r="BE306" s="988" t="e">
        <f>IF(BA306=BD306,VLOOKUP(E306,'Tablas Técnicas'!$A$14:$V$771,15,FALSE),0)</f>
        <v>#N/A</v>
      </c>
      <c r="BF306" s="988" t="e">
        <f>VLOOKUP(E306,'Tablas Técnicas'!$A$14:$V$771,16,FALSE)</f>
        <v>#N/A</v>
      </c>
      <c r="BG306" s="988" t="e">
        <f>IF(BA306=BF306,VLOOKUP(E306,'Tablas Técnicas'!$A$14:$V$771,17,FALSE),0)</f>
        <v>#N/A</v>
      </c>
      <c r="BH306" s="988" t="e">
        <f>VLOOKUP(E306,'Tablas Técnicas'!$A$14:$V$771,18,FALSE)</f>
        <v>#N/A</v>
      </c>
      <c r="BI306" s="988" t="e">
        <f>IF(BA306=BH306,VLOOKUP(E306,'Tablas Técnicas'!$A$14:$V$771,19,FALSE),0)</f>
        <v>#N/A</v>
      </c>
      <c r="BJ306" s="990" t="str">
        <f>IF(E306=0,"",(BC306+BE306+BG306+BI306))</f>
        <v/>
      </c>
      <c r="BK306" s="989" t="str">
        <f>IF(E306=0,"",VLOOKUP(E306,'Tablas Técnicas'!$A$14:$V$771,20,FALSE))</f>
        <v/>
      </c>
      <c r="BL306" s="989" t="str">
        <f>IF(E306=0,"",VLOOKUP(E306,'Tablas Técnicas'!$A$14:$V$771,21,FALSE))</f>
        <v/>
      </c>
      <c r="BM306" s="991" t="str">
        <f>IF(E306=0,"",VLOOKUP(E306,'Tablas Técnicas'!$A$14:$V$771,22,FALSE))</f>
        <v/>
      </c>
      <c r="BN306" s="992"/>
      <c r="BO306" s="993"/>
      <c r="BP306" s="978" t="str">
        <f>IF(I306="Si",VLOOKUP($D$8,'Tablas Técnicas'!$E$4:$F$6,2,FALSE),"")</f>
        <v/>
      </c>
      <c r="BQ306" s="979" t="str">
        <f>IF(L306="Si",VLOOKUP($D$8,'Tablas Técnicas'!$I$4:$J$6,2,FALSE),"")</f>
        <v/>
      </c>
      <c r="BR306" s="977" t="str">
        <f>IF(O306="Si",VLOOKUP($D$8,'Tablas Técnicas'!$I$7:$J$9,2,FALSE),"")</f>
        <v/>
      </c>
      <c r="BS306" s="994"/>
      <c r="BT306" s="4770" t="s">
        <v>4541</v>
      </c>
      <c r="BU306" s="4771"/>
      <c r="BV306" s="971"/>
      <c r="BX306" s="951"/>
      <c r="BY306" s="1286"/>
      <c r="BZ306" s="1304"/>
      <c r="CA306" s="939"/>
      <c r="DR306" s="939"/>
      <c r="DT306" s="1325"/>
      <c r="DU306" s="1375" t="str">
        <f>IF(BW319="N/A","",BT318&amp;" "&amp;BW319&amp;IF(BY319="N/A"," "," ("&amp;BY319&amp;") "))</f>
        <v/>
      </c>
      <c r="DV306" s="1376" t="str">
        <f>IF(E306="","",E306)&amp;IF(I306="No",""," (Mant.)")&amp;IF(L306="No",""," (Sme)")&amp;IF(O306="No",""," (SMa)")</f>
        <v/>
      </c>
      <c r="DW306" s="1377" t="str">
        <f>IF(E336="","",E336)</f>
        <v/>
      </c>
      <c r="DX306" s="4778"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24"/>
      <c r="DZ306" s="939"/>
      <c r="EA306" s="1470">
        <f t="shared" si="4"/>
        <v>1</v>
      </c>
    </row>
    <row r="307" spans="1:131" ht="12.75" customHeight="1" x14ac:dyDescent="0.2">
      <c r="A307" s="939"/>
      <c r="B307" s="939"/>
      <c r="C307" s="4822"/>
      <c r="D307" s="1452" t="s">
        <v>1766</v>
      </c>
      <c r="E307" s="995"/>
      <c r="F307" s="996" t="str">
        <f>IF(E307=0,"",VLOOKUP(E307,'Tablas Técnicas'!$A$14:$V$771,2,FALSE))</f>
        <v/>
      </c>
      <c r="G307" s="997"/>
      <c r="H307" s="998" t="str">
        <f>IF($E307=0,"",VLOOKUP($E307,'Tablas Técnicas'!$A$14:$V$771,4,FALSE))</f>
        <v/>
      </c>
      <c r="I307" s="999" t="s">
        <v>1690</v>
      </c>
      <c r="J307" s="1415" t="str">
        <f>IF(E307=0,"",VLOOKUP(E307,'Tablas Técnicas'!$A$14:$V$771,5,FALSE))</f>
        <v/>
      </c>
      <c r="K307" s="1001" t="str">
        <f>IF(I307="Si",IF(E307=0,"",VLOOKUP(E307,'Tablas Técnicas'!$A$14:$V$771,5,FALSE)),"")</f>
        <v/>
      </c>
      <c r="L307" s="999" t="s">
        <v>1690</v>
      </c>
      <c r="M307" s="1415" t="str">
        <f>IF(E307=0,"",VLOOKUP(E307,'Tablas Técnicas'!$A$14:$V$771,6,FALSE))</f>
        <v/>
      </c>
      <c r="N307" s="1002" t="str">
        <f>IF(L307="Si",IF(E307=0,"",VLOOKUP(E307,'Tablas Técnicas'!$A$14:$V$771,6,FALSE)),"")</f>
        <v/>
      </c>
      <c r="O307" s="999" t="s">
        <v>1690</v>
      </c>
      <c r="P307" s="1415" t="str">
        <f>IF(E307=0,"",VLOOKUP(E307,'Tablas Técnicas'!$A$14:$V$771,7,FALSE))</f>
        <v/>
      </c>
      <c r="Q307" s="1002" t="str">
        <f>IF(O307="Si",IF(E307=0,"",VLOOKUP(E307,'Tablas Técnicas'!$A$14:$V$771,7,FALSE)),"")</f>
        <v/>
      </c>
      <c r="R307" s="1000" t="str">
        <f>IF(E307=0,"",VLOOKUP(E307,'Tablas Técnicas'!$A$14:$V$771,8,FALSE))</f>
        <v/>
      </c>
      <c r="S307" s="998" t="str">
        <f>IF(R307=$D$8,$D$8,IF(R307=2,2,IF(R307=3,3,R307)))</f>
        <v/>
      </c>
      <c r="T307" s="4796" t="s">
        <v>4542</v>
      </c>
      <c r="U307" s="4797"/>
      <c r="V307" s="4797"/>
      <c r="W307" s="4797"/>
      <c r="X307" s="4797"/>
      <c r="Y307" s="4797"/>
      <c r="Z307" s="4797"/>
      <c r="AA307" s="4797"/>
      <c r="AB307" s="4797"/>
      <c r="AC307" s="4797"/>
      <c r="AD307" s="4797"/>
      <c r="AE307" s="4797"/>
      <c r="AF307" s="4797"/>
      <c r="AG307" s="4797"/>
      <c r="AH307" s="4797"/>
      <c r="AI307" s="4797"/>
      <c r="AJ307" s="4797"/>
      <c r="AK307" s="4797"/>
      <c r="AL307" s="4797"/>
      <c r="AM307" s="4797"/>
      <c r="AN307" s="4797"/>
      <c r="AO307" s="4797"/>
      <c r="AP307" s="4797"/>
      <c r="AQ307" s="4797"/>
      <c r="AR307" s="4797"/>
      <c r="AS307" s="4797"/>
      <c r="AT307" s="4797"/>
      <c r="AU307" s="4797"/>
      <c r="AV307" s="4797"/>
      <c r="AW307" s="4797"/>
      <c r="AX307" s="4797"/>
      <c r="AY307" s="4797"/>
      <c r="AZ307" s="4797"/>
      <c r="BA307" s="4797"/>
      <c r="BB307" s="4797"/>
      <c r="BC307" s="4797"/>
      <c r="BD307" s="4797"/>
      <c r="BE307" s="4797"/>
      <c r="BF307" s="4797"/>
      <c r="BG307" s="4797"/>
      <c r="BH307" s="4797"/>
      <c r="BI307" s="4797"/>
      <c r="BJ307" s="4797"/>
      <c r="BK307" s="4798"/>
      <c r="BL307" s="1437"/>
      <c r="BM307" s="1438"/>
      <c r="BN307" s="992"/>
      <c r="BO307" s="993"/>
      <c r="BP307" s="978" t="str">
        <f>IF(I307="Si",VLOOKUP($D$8,'Tablas Técnicas'!$E$4:$F$6,2,FALSE),"")</f>
        <v/>
      </c>
      <c r="BQ307" s="979" t="str">
        <f>IF(L307="Si",VLOOKUP($D$8,'Tablas Técnicas'!$I$4:$J$6,2,FALSE),"")</f>
        <v/>
      </c>
      <c r="BR307" s="977" t="str">
        <f>IF(O307="Si",VLOOKUP($D$8,'Tablas Técnicas'!$I$7:$J$9,2,FALSE),"")</f>
        <v/>
      </c>
      <c r="BS307" s="994"/>
      <c r="BT307" s="4772">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773"/>
      <c r="BV307" s="971"/>
      <c r="BX307" s="951"/>
      <c r="BY307" s="1286"/>
      <c r="BZ307" s="1304"/>
      <c r="CA307" s="939"/>
      <c r="DR307" s="939"/>
      <c r="DT307" s="1325"/>
      <c r="DU307" s="1375" t="str">
        <f>IF(BW321="N/A","",BT320&amp;" "&amp;BW321&amp;IF(BY321="N/A"," "," ("&amp;BY321&amp;") "))</f>
        <v/>
      </c>
      <c r="DV307" s="1376" t="str">
        <f>IF(E307="",""," "&amp;E307)&amp;IF(I307="No",""," (Mant.)")&amp;IF(L307="No",""," (Sme)")&amp;IF(O307="No",""," (SMa)")</f>
        <v/>
      </c>
      <c r="DW307" s="1377" t="str">
        <f>IF(E337="","",", "&amp;E337)</f>
        <v/>
      </c>
      <c r="DX307" s="4778"/>
      <c r="DY307" s="1324"/>
      <c r="DZ307" s="939"/>
      <c r="EA307" s="1470">
        <f t="shared" si="4"/>
        <v>1</v>
      </c>
    </row>
    <row r="308" spans="1:131" x14ac:dyDescent="0.2">
      <c r="A308" s="939"/>
      <c r="B308" s="939"/>
      <c r="C308" s="4822"/>
      <c r="D308" s="1453" t="s">
        <v>1766</v>
      </c>
      <c r="E308" s="1003"/>
      <c r="F308" s="3033" t="str">
        <f>IF(E308=0,"",VLOOKUP(E308,'Tablas Técnicas'!$A$14:$V$771,2,FALSE))</f>
        <v/>
      </c>
      <c r="G308" s="985"/>
      <c r="H308" s="1004" t="str">
        <f>IF($E308=0,"",VLOOKUP($E308,'Tablas Técnicas'!$A$14:$V$771,4,FALSE))</f>
        <v/>
      </c>
      <c r="I308" s="987" t="s">
        <v>1690</v>
      </c>
      <c r="J308" s="1411" t="str">
        <f>IF(E308=0,"",VLOOKUP(E308,'Tablas Técnicas'!$A$14:$V$771,5,FALSE))</f>
        <v/>
      </c>
      <c r="K308" s="1006" t="str">
        <f>IF(I308="Si",IF(E308=0,"",VLOOKUP(E308,'Tablas Técnicas'!$A$14:$V$771,5,FALSE)),"")</f>
        <v/>
      </c>
      <c r="L308" s="987" t="s">
        <v>1690</v>
      </c>
      <c r="M308" s="1411" t="str">
        <f>IF(E308=0,"",VLOOKUP(E308,'Tablas Técnicas'!$A$14:$V$771,6,FALSE))</f>
        <v/>
      </c>
      <c r="N308" s="990" t="str">
        <f>IF(L308="Si",IF(E308=0,"",VLOOKUP(E308,'Tablas Técnicas'!$A$14:$V$771,6,FALSE)),"")</f>
        <v/>
      </c>
      <c r="O308" s="987" t="s">
        <v>1690</v>
      </c>
      <c r="P308" s="1411" t="str">
        <f>IF(E308=0,"",VLOOKUP(E308,'Tablas Técnicas'!$A$14:$V$771,7,FALSE))</f>
        <v/>
      </c>
      <c r="Q308" s="990" t="str">
        <f>IF(O308="Si",IF(E308=0,"",VLOOKUP(E308,'Tablas Técnicas'!$A$14:$V$771,7,FALSE)),"")</f>
        <v/>
      </c>
      <c r="R308" s="1005" t="str">
        <f>IF(E308=0,"",VLOOKUP(E308,'Tablas Técnicas'!$A$14:$V$771,8,FALSE))</f>
        <v/>
      </c>
      <c r="S308" s="3033" t="str">
        <f>IF(R308=$D$8,$D$8,IF(R308=2,2,IF(R308=3,3,R308)))</f>
        <v/>
      </c>
      <c r="T308" s="4809"/>
      <c r="U308" s="4810"/>
      <c r="V308" s="3029" t="str">
        <f>IF(OR(V306=0,V306=""),"N/A",V306)</f>
        <v>N/A</v>
      </c>
      <c r="W308" s="4809" t="str">
        <f xml:space="preserve"> IF(OR(AF306=0,AF306=""),"N/A",W306)</f>
        <v>N/A</v>
      </c>
      <c r="X308" s="4811"/>
      <c r="Y308" s="4811"/>
      <c r="Z308" s="4811"/>
      <c r="AA308" s="4811"/>
      <c r="AB308" s="4811"/>
      <c r="AC308" s="4811"/>
      <c r="AD308" s="4811"/>
      <c r="AE308" s="4811"/>
      <c r="AF308" s="4810"/>
      <c r="AG308" s="4809" t="str">
        <f xml:space="preserve"> IF(OR(AP306="",AP306=0),"N/A",AG306)</f>
        <v>N/A</v>
      </c>
      <c r="AH308" s="4811"/>
      <c r="AI308" s="4811"/>
      <c r="AJ308" s="4811"/>
      <c r="AK308" s="4811"/>
      <c r="AL308" s="4811"/>
      <c r="AM308" s="4811"/>
      <c r="AN308" s="4811"/>
      <c r="AO308" s="4811"/>
      <c r="AP308" s="4810"/>
      <c r="AQ308" s="4809" t="str">
        <f xml:space="preserve"> IF(OR(AZ306="",AZ306=0),"N/A",AQ306)</f>
        <v>N/A</v>
      </c>
      <c r="AR308" s="4811"/>
      <c r="AS308" s="4811"/>
      <c r="AT308" s="4811"/>
      <c r="AU308" s="4811"/>
      <c r="AV308" s="4811"/>
      <c r="AW308" s="4811"/>
      <c r="AX308" s="4811"/>
      <c r="AY308" s="4811"/>
      <c r="AZ308" s="4810"/>
      <c r="BA308" s="4809" t="str">
        <f xml:space="preserve"> IF(OR(BJ306="",BJ306=0),"N/A",BA306)</f>
        <v>N/A</v>
      </c>
      <c r="BB308" s="4811"/>
      <c r="BC308" s="4811"/>
      <c r="BD308" s="4811"/>
      <c r="BE308" s="4811"/>
      <c r="BF308" s="4811"/>
      <c r="BG308" s="4811"/>
      <c r="BH308" s="4811"/>
      <c r="BI308" s="4811"/>
      <c r="BJ308" s="4810"/>
      <c r="BK308" s="1007" t="s">
        <v>4543</v>
      </c>
      <c r="BL308" s="989"/>
      <c r="BM308" s="1024"/>
      <c r="BN308" s="1008"/>
      <c r="BO308" s="1009"/>
      <c r="BP308" s="1010" t="str">
        <f>IF(I308="Si",VLOOKUP($D$8,'Tablas Técnicas'!$E$4:$F$6,2,FALSE),"")</f>
        <v/>
      </c>
      <c r="BQ308" s="980" t="str">
        <f>IF(L308="Si",VLOOKUP($D$8,'Tablas Técnicas'!$I$4:$J$6,2,FALSE),"")</f>
        <v/>
      </c>
      <c r="BR308" s="1011" t="str">
        <f>IF(O308="Si",VLOOKUP($D$8,'Tablas Técnicas'!$I$7:$J$9,2,FALSE),"")</f>
        <v/>
      </c>
      <c r="BS308" s="1012"/>
      <c r="BU308" s="3026"/>
      <c r="BV308" s="971"/>
      <c r="BW308" s="951"/>
      <c r="BX308" s="951"/>
      <c r="BY308" s="1286"/>
      <c r="BZ308" s="1304"/>
      <c r="CA308" s="939"/>
      <c r="DR308" s="939"/>
      <c r="DT308" s="1325"/>
      <c r="DU308" s="1375" t="str">
        <f>IF(BW323="N/A","",BT322&amp;" "&amp;BW323&amp;IF(BY323="N/A"," "," ("&amp;BY323&amp;") "))</f>
        <v/>
      </c>
      <c r="DV308" s="1376" t="str">
        <f>IF(E308="","",E308)&amp;IF(I308="No",""," (Mant.)")&amp;IF(L308="No",""," (Sme)")&amp;IF(O308="No",""," (SMa)")</f>
        <v/>
      </c>
      <c r="DW308" s="1377" t="str">
        <f>IF(E338="","",", "&amp;E338)</f>
        <v/>
      </c>
      <c r="DX308" s="4778"/>
      <c r="DY308" s="1324"/>
      <c r="DZ308" s="939"/>
      <c r="EA308" s="1470">
        <f t="shared" si="4"/>
        <v>1</v>
      </c>
    </row>
    <row r="309" spans="1:131" x14ac:dyDescent="0.2">
      <c r="A309" s="939"/>
      <c r="B309" s="939"/>
      <c r="C309" s="4822"/>
      <c r="D309" s="1452" t="s">
        <v>1766</v>
      </c>
      <c r="E309" s="995"/>
      <c r="F309" s="996" t="str">
        <f>IF(E309=0,"",VLOOKUP(E309,'Tablas Técnicas'!$A$14:$V$771,2,FALSE))</f>
        <v/>
      </c>
      <c r="G309" s="997"/>
      <c r="H309" s="998" t="str">
        <f>IF($E309=0,"",VLOOKUP($E309,'Tablas Técnicas'!$A$14:$V$771,4,FALSE))</f>
        <v/>
      </c>
      <c r="I309" s="999" t="s">
        <v>1690</v>
      </c>
      <c r="J309" s="1415" t="str">
        <f>IF(E309=0,"",VLOOKUP(E309,'Tablas Técnicas'!$A$14:$V$771,5,FALSE))</f>
        <v/>
      </c>
      <c r="K309" s="1001" t="str">
        <f>IF(I309="Si",IF(E309=0,"",VLOOKUP(E309,'Tablas Técnicas'!$A$14:$V$771,5,FALSE)),"")</f>
        <v/>
      </c>
      <c r="L309" s="999" t="s">
        <v>1690</v>
      </c>
      <c r="M309" s="1415" t="str">
        <f>IF(E309=0,"",VLOOKUP(E309,'Tablas Técnicas'!$A$14:$V$771,6,FALSE))</f>
        <v/>
      </c>
      <c r="N309" s="1002" t="str">
        <f>IF(L309="Si",IF(E309=0,"",VLOOKUP(E309,'Tablas Técnicas'!$A$14:$V$771,6,FALSE)),"")</f>
        <v/>
      </c>
      <c r="O309" s="999" t="s">
        <v>1690</v>
      </c>
      <c r="P309" s="1415" t="str">
        <f>IF(E309=0,"",VLOOKUP(E309,'Tablas Técnicas'!$A$14:$V$771,7,FALSE))</f>
        <v/>
      </c>
      <c r="Q309" s="1002" t="str">
        <f>IF(O309="Si",IF(E309=0,"",VLOOKUP(E309,'Tablas Técnicas'!$A$14:$V$771,7,FALSE)),"")</f>
        <v/>
      </c>
      <c r="R309" s="1000" t="str">
        <f>IF(E309=0,"",VLOOKUP(E309,'Tablas Técnicas'!$A$14:$V$771,8,FALSE))</f>
        <v/>
      </c>
      <c r="S309" s="998" t="str">
        <f>IF(R309=$D$8,$D$8,IF(R309=2,2,IF(R309=3,3,R309)))</f>
        <v/>
      </c>
      <c r="T309" s="4812" t="s">
        <v>4544</v>
      </c>
      <c r="U309" s="4813"/>
      <c r="V309" s="3025"/>
      <c r="W309" s="4814"/>
      <c r="X309" s="4815"/>
      <c r="Y309" s="4815"/>
      <c r="Z309" s="4815"/>
      <c r="AA309" s="4815"/>
      <c r="AB309" s="4815"/>
      <c r="AC309" s="4815"/>
      <c r="AD309" s="4815"/>
      <c r="AE309" s="4815"/>
      <c r="AF309" s="4816"/>
      <c r="AG309" s="4814"/>
      <c r="AH309" s="4815"/>
      <c r="AI309" s="4815"/>
      <c r="AJ309" s="4815"/>
      <c r="AK309" s="4815"/>
      <c r="AL309" s="4815"/>
      <c r="AM309" s="4815"/>
      <c r="AN309" s="4815"/>
      <c r="AO309" s="4815"/>
      <c r="AP309" s="4816"/>
      <c r="AQ309" s="4814"/>
      <c r="AR309" s="4815"/>
      <c r="AS309" s="4815"/>
      <c r="AT309" s="4815"/>
      <c r="AU309" s="4815"/>
      <c r="AV309" s="4815"/>
      <c r="AW309" s="4815"/>
      <c r="AX309" s="4815"/>
      <c r="AY309" s="4815"/>
      <c r="AZ309" s="4816"/>
      <c r="BA309" s="4814"/>
      <c r="BB309" s="4815"/>
      <c r="BC309" s="4815"/>
      <c r="BD309" s="4815"/>
      <c r="BE309" s="4815"/>
      <c r="BF309" s="4815"/>
      <c r="BG309" s="4815"/>
      <c r="BH309" s="4815"/>
      <c r="BI309" s="4815"/>
      <c r="BJ309" s="4816"/>
      <c r="BK309" s="998">
        <f>(SUM(F306:F310)+IF(AF306="",0,AF306)+IF(AP306="",0,AP306)+IF(AZ306="",0,AZ306)+IF(BJ306="",0,BJ306)+SUM(K306:K310)+SUM(N306:N310)+SUM(Q306:Q310))- SUM(V309:BA309)</f>
        <v>0</v>
      </c>
      <c r="BL309" s="1437"/>
      <c r="BM309" s="1438"/>
      <c r="BN309" s="992"/>
      <c r="BO309" s="993"/>
      <c r="BP309" s="978" t="str">
        <f>IF(I309="Si",VLOOKUP($D$8,'Tablas Técnicas'!$E$4:$F$6,2,FALSE),"")</f>
        <v/>
      </c>
      <c r="BQ309" s="979" t="str">
        <f>IF(L309="Si",VLOOKUP($D$8,'Tablas Técnicas'!$I$4:$J$6,2,FALSE),"")</f>
        <v/>
      </c>
      <c r="BR309" s="977" t="str">
        <f>IF(O309="Si",VLOOKUP($D$8,'Tablas Técnicas'!$I$7:$J$9,2,FALSE),"")</f>
        <v/>
      </c>
      <c r="BS309" s="994"/>
      <c r="BT309" s="4770" t="s">
        <v>4545</v>
      </c>
      <c r="BU309" s="4771"/>
      <c r="BV309" s="971"/>
      <c r="BW309" s="951"/>
      <c r="BX309" s="951"/>
      <c r="BY309" s="1286"/>
      <c r="BZ309" s="1304"/>
      <c r="CA309" s="939"/>
      <c r="DR309" s="939"/>
      <c r="DT309" s="1325"/>
      <c r="DU309" s="1375" t="str">
        <f>IF(BW325="N/A","",BT324&amp;" "&amp;BW325&amp;IF(BY325="N/A"," "," ("&amp;BY325&amp;") "))</f>
        <v/>
      </c>
      <c r="DV309" s="1376" t="str">
        <f>IF(E309="","",E309)&amp;IF(I309="No",""," (Mant.)")&amp;IF(L309="No",""," (Sme)")&amp;IF(O309="No",""," (SMa)")</f>
        <v/>
      </c>
      <c r="DW309" s="1377"/>
      <c r="DX309" s="4778"/>
      <c r="DY309" s="1324"/>
      <c r="DZ309" s="939"/>
      <c r="EA309" s="1470">
        <f t="shared" si="4"/>
        <v>1</v>
      </c>
    </row>
    <row r="310" spans="1:131" x14ac:dyDescent="0.2">
      <c r="A310" s="939"/>
      <c r="B310" s="939"/>
      <c r="C310" s="4822"/>
      <c r="D310" s="1453" t="s">
        <v>1766</v>
      </c>
      <c r="E310" s="1003"/>
      <c r="F310" s="3033" t="str">
        <f>IF(E310=0,"",VLOOKUP(E310,'Tablas Técnicas'!$A$14:$V$771,2,FALSE))</f>
        <v/>
      </c>
      <c r="G310" s="985"/>
      <c r="H310" s="1004" t="str">
        <f>IF($E310=0,"",VLOOKUP($E310,'Tablas Técnicas'!$A$14:$V$771,4,FALSE))</f>
        <v/>
      </c>
      <c r="I310" s="987" t="s">
        <v>1690</v>
      </c>
      <c r="J310" s="1411" t="str">
        <f>IF(E310=0,"",VLOOKUP(E310,'Tablas Técnicas'!$A$14:$V$771,5,FALSE))</f>
        <v/>
      </c>
      <c r="K310" s="1006" t="str">
        <f>IF(I310="Si",IF(E310=0,"",VLOOKUP(E310,'Tablas Técnicas'!$A$14:$V$771,5,FALSE)),"")</f>
        <v/>
      </c>
      <c r="L310" s="987" t="s">
        <v>1690</v>
      </c>
      <c r="M310" s="1411" t="str">
        <f>IF(E310=0,"",VLOOKUP(E310,'Tablas Técnicas'!$A$14:$V$771,6,FALSE))</f>
        <v/>
      </c>
      <c r="N310" s="990" t="str">
        <f>IF(L310="Si",IF(E310=0,"",VLOOKUP(E310,'Tablas Técnicas'!$A$14:$V$771,6,FALSE)),"")</f>
        <v/>
      </c>
      <c r="O310" s="987" t="s">
        <v>1690</v>
      </c>
      <c r="P310" s="1411" t="str">
        <f>IF(E310=0,"",VLOOKUP(E310,'Tablas Técnicas'!$A$14:$V$771,7,FALSE))</f>
        <v/>
      </c>
      <c r="Q310" s="990" t="str">
        <f>IF(O310="Si",IF(E310=0,"",VLOOKUP(E310,'Tablas Técnicas'!$A$14:$V$771,7,FALSE)),"")</f>
        <v/>
      </c>
      <c r="R310" s="1005" t="str">
        <f>IF(E310=0,"",VLOOKUP(E310,'Tablas Técnicas'!$A$14:$V$771,8,FALSE))</f>
        <v/>
      </c>
      <c r="S310" s="1004" t="str">
        <f>IF(R310=$D$8,$D$8,IF(R310=2,2,IF(R310=3,3,R310)))</f>
        <v/>
      </c>
      <c r="T310" s="4803" t="s">
        <v>4546</v>
      </c>
      <c r="U310" s="4804"/>
      <c r="V310" s="3032"/>
      <c r="W310" s="4805"/>
      <c r="X310" s="4806"/>
      <c r="Y310" s="4806"/>
      <c r="Z310" s="4806"/>
      <c r="AA310" s="4806"/>
      <c r="AB310" s="4806"/>
      <c r="AC310" s="4806"/>
      <c r="AD310" s="4806"/>
      <c r="AE310" s="4806"/>
      <c r="AF310" s="4807"/>
      <c r="AG310" s="4805"/>
      <c r="AH310" s="4806"/>
      <c r="AI310" s="4806"/>
      <c r="AJ310" s="4806"/>
      <c r="AK310" s="4806"/>
      <c r="AL310" s="4806"/>
      <c r="AM310" s="4806"/>
      <c r="AN310" s="4806"/>
      <c r="AO310" s="4806"/>
      <c r="AP310" s="4807"/>
      <c r="AQ310" s="4805"/>
      <c r="AR310" s="4806"/>
      <c r="AS310" s="4806"/>
      <c r="AT310" s="4806"/>
      <c r="AU310" s="4806"/>
      <c r="AV310" s="4806"/>
      <c r="AW310" s="4806"/>
      <c r="AX310" s="4806"/>
      <c r="AY310" s="4806"/>
      <c r="AZ310" s="4807"/>
      <c r="BA310" s="4805"/>
      <c r="BB310" s="4806"/>
      <c r="BC310" s="4806"/>
      <c r="BD310" s="4806"/>
      <c r="BE310" s="4806"/>
      <c r="BF310" s="4806"/>
      <c r="BG310" s="4806"/>
      <c r="BH310" s="4806"/>
      <c r="BI310" s="4806"/>
      <c r="BJ310" s="4807"/>
      <c r="BK310" s="1014">
        <f>SUM(K306:K310)-SUM(V310:BA310)</f>
        <v>0</v>
      </c>
      <c r="BL310" s="1439"/>
      <c r="BM310" s="1440"/>
      <c r="BN310" s="1008"/>
      <c r="BO310" s="1009"/>
      <c r="BP310" s="1010" t="str">
        <f>IF(I310="Si",VLOOKUP($D$8,'Tablas Técnicas'!$E$4:$F$6,2,FALSE),"")</f>
        <v/>
      </c>
      <c r="BQ310" s="980" t="str">
        <f>IF(L310="Si",VLOOKUP($D$8,'Tablas Técnicas'!$I$4:$J$6,2,FALSE),"")</f>
        <v/>
      </c>
      <c r="BR310" s="1011" t="str">
        <f>IF(O310="Si",VLOOKUP($D$8,'Tablas Técnicas'!$I$7:$J$9,2,FALSE),"")</f>
        <v/>
      </c>
      <c r="BS310" s="1012"/>
      <c r="BT310" s="4774" t="s">
        <v>1690</v>
      </c>
      <c r="BU310" s="4775"/>
      <c r="BV310" s="971"/>
      <c r="BW310" s="951"/>
      <c r="BX310" s="951"/>
      <c r="BY310" s="1286"/>
      <c r="BZ310" s="1304"/>
      <c r="CA310" s="939"/>
      <c r="DR310" s="939"/>
      <c r="DT310" s="1325"/>
      <c r="DU310" s="1375" t="str">
        <f>IF(BW327="N/A","",BT326&amp;" "&amp;BW327&amp;IF(BY327="N/A"," "," ("&amp;BY327&amp;") "))</f>
        <v/>
      </c>
      <c r="DV310" s="1376" t="str">
        <f>IF(E310="","",E310)&amp;IF(I310="No",""," (Mant.)")&amp;IF(L310="No",""," (Sme)")&amp;IF(O310="No",""," (SMa)")</f>
        <v/>
      </c>
      <c r="DW310" s="1377"/>
      <c r="DX310" s="4778"/>
      <c r="DY310" s="1324"/>
      <c r="DZ310" s="939"/>
      <c r="EA310" s="1470">
        <f t="shared" si="4"/>
        <v>1</v>
      </c>
    </row>
    <row r="311" spans="1:131" x14ac:dyDescent="0.2">
      <c r="A311" s="939"/>
      <c r="B311" s="1403"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822"/>
      <c r="D311" s="1454">
        <v>2</v>
      </c>
      <c r="E311" s="1246"/>
      <c r="F311" s="1016"/>
      <c r="G311" s="1017"/>
      <c r="H311" s="2159">
        <f t="array" ref="H311">IF(AND(OR(ISNUMBER(SEARCH("Empatía Elemental ("&amp;BK306:BM306&amp;")",Principal!$AF$30))),SUM(H306:H310)&gt;=10),-5,0)</f>
        <v>0</v>
      </c>
      <c r="I311" s="1413"/>
      <c r="J311" s="1416"/>
      <c r="K311" s="1017"/>
      <c r="L311" s="1413"/>
      <c r="M311" s="1416"/>
      <c r="N311" s="1017"/>
      <c r="O311" s="1413"/>
      <c r="P311" s="1416"/>
      <c r="Q311" s="1017"/>
      <c r="R311" s="1018"/>
      <c r="S311" s="1017"/>
      <c r="T311" s="1017"/>
      <c r="U311" s="974"/>
      <c r="V311" s="974"/>
      <c r="W311" s="974"/>
      <c r="X311" s="974"/>
      <c r="Y311" s="974"/>
      <c r="Z311" s="974"/>
      <c r="AA311" s="974"/>
      <c r="AB311" s="974"/>
      <c r="AC311" s="974"/>
      <c r="AD311" s="974"/>
      <c r="AE311" s="974"/>
      <c r="AF311" s="974"/>
      <c r="AG311" s="974"/>
      <c r="AH311" s="974"/>
      <c r="AI311" s="974"/>
      <c r="AJ311" s="974"/>
      <c r="AK311" s="974"/>
      <c r="AL311" s="974"/>
      <c r="AM311" s="974"/>
      <c r="AN311" s="974"/>
      <c r="AO311" s="974"/>
      <c r="AP311" s="974"/>
      <c r="AQ311" s="974"/>
      <c r="AR311" s="974"/>
      <c r="AS311" s="974"/>
      <c r="AT311" s="974"/>
      <c r="AU311" s="974"/>
      <c r="AV311" s="974"/>
      <c r="AW311" s="974"/>
      <c r="AX311" s="974"/>
      <c r="AY311" s="974"/>
      <c r="AZ311" s="974"/>
      <c r="BA311" s="974"/>
      <c r="BB311" s="974"/>
      <c r="BC311" s="974"/>
      <c r="BD311" s="974"/>
      <c r="BE311" s="974"/>
      <c r="BF311" s="974"/>
      <c r="BG311" s="974"/>
      <c r="BH311" s="974"/>
      <c r="BI311" s="974"/>
      <c r="BJ311" s="974"/>
      <c r="BK311" s="974"/>
      <c r="BL311" s="974"/>
      <c r="BM311" s="976"/>
      <c r="BN311" s="977">
        <f>SUM(K311:K314)</f>
        <v>0</v>
      </c>
      <c r="BO311" s="971" t="str">
        <f>IF(E311=0,"",(AF311+AP311+AZ311+BJ311))</f>
        <v/>
      </c>
      <c r="BP311" s="978" t="str">
        <f>IF(I311="Si",VLOOKUP($D$8,'Tablas Técnicas'!$E$4:$F$6,2,FALSE),"")</f>
        <v/>
      </c>
      <c r="BQ311" s="979" t="str">
        <f>IF(L311="Si",VLOOKUP($D$8,'Tablas Técnicas'!$I$4:$J$6,2,FALSE),"")</f>
        <v/>
      </c>
      <c r="BR311" s="977" t="str">
        <f>IF(O311="Si",VLOOKUP($D$8,'Tablas Técnicas'!$I$7:$J$9,2,FALSE),"")</f>
        <v/>
      </c>
      <c r="BS311" s="994"/>
      <c r="BT311" s="4770" t="s">
        <v>4547</v>
      </c>
      <c r="BU311" s="4771"/>
      <c r="BV311" s="971"/>
      <c r="BW311" s="951"/>
      <c r="BX311" s="951"/>
      <c r="BY311" s="1286"/>
      <c r="BZ311" s="1304"/>
      <c r="CA311" s="939"/>
      <c r="DR311" s="939"/>
      <c r="DT311" s="1325"/>
      <c r="DU311" s="1375" t="str">
        <f>IF(BW329="N/A","",BT328&amp;" "&amp;BW329&amp;IF(BY329="N/A"," "," ("&amp;BY329&amp;") "))</f>
        <v/>
      </c>
      <c r="DV311" s="1380"/>
      <c r="DW311" s="1377"/>
      <c r="DX311" s="1427" t="s">
        <v>1828</v>
      </c>
      <c r="DY311" s="1324"/>
      <c r="DZ311" s="939"/>
      <c r="EA311" s="1470">
        <f t="shared" si="4"/>
        <v>1</v>
      </c>
    </row>
    <row r="312" spans="1:131" x14ac:dyDescent="0.2">
      <c r="A312" s="939"/>
      <c r="B312" s="939"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822"/>
      <c r="D312" s="1453" t="s">
        <v>1766</v>
      </c>
      <c r="E312" s="983"/>
      <c r="F312" s="1019"/>
      <c r="G312" s="989" t="str">
        <f>IF(E312=0,"",VLOOKUP(E312,'Tablas Técnicas'!$A$14:$V$771,3,FALSE))</f>
        <v/>
      </c>
      <c r="H312" s="1021" t="str">
        <f>IF($E312=0,"",VLOOKUP($E312,'Tablas Técnicas'!$A$14:$V$771,4,FALSE))</f>
        <v/>
      </c>
      <c r="I312" s="987" t="s">
        <v>1690</v>
      </c>
      <c r="J312" s="1414" t="str">
        <f>IF(E312=0,"",VLOOKUP(E312,'Tablas Técnicas'!$A$14:$V$771,5,FALSE))</f>
        <v/>
      </c>
      <c r="K312" s="1020" t="str">
        <f>IF(I312="Si",IF(E312=0,"",VLOOKUP(E312,'Tablas Técnicas'!$A$14:$V$771,5,FALSE)),"")</f>
        <v/>
      </c>
      <c r="L312" s="987" t="s">
        <v>1690</v>
      </c>
      <c r="M312" s="1414" t="str">
        <f>IF(E312=0,"",VLOOKUP(E312,'Tablas Técnicas'!$A$14:$V$771,6,FALSE))</f>
        <v/>
      </c>
      <c r="N312" s="990" t="str">
        <f>IF(L312="Si",IF(E312=0,"",VLOOKUP(E312,'Tablas Técnicas'!$A$14:$V$771,6,FALSE)),"")</f>
        <v/>
      </c>
      <c r="O312" s="987" t="s">
        <v>1690</v>
      </c>
      <c r="P312" s="1414" t="str">
        <f>IF(E312=0,"",VLOOKUP(E312,'Tablas Técnicas'!$A$14:$V$771,7,FALSE))</f>
        <v/>
      </c>
      <c r="Q312" s="990" t="str">
        <f>IF(O312="Si",IF(E312=0,"",VLOOKUP(E312,'Tablas Técnicas'!$A$14:$V$771,7,FALSE)),"")</f>
        <v/>
      </c>
      <c r="R312" s="1022" t="str">
        <f>IF(E312=0,"",VLOOKUP(E312,'Tablas Técnicas'!$A$14:$V$771,8,FALSE))</f>
        <v/>
      </c>
      <c r="S312" s="1021" t="str">
        <f>IF(R312=$D$8,$D$8,IF(R312=2,2,IF(R312=3,3,R312)))</f>
        <v/>
      </c>
      <c r="T312" s="989" t="str">
        <f>IF(E312=0,"",VLOOKUP(E312,'Tablas Técnicas'!$A$14:$V$771,9,FALSE))</f>
        <v/>
      </c>
      <c r="U312" s="989" t="str">
        <f>IF(E312=0,"",VLOOKUP(E312,'Tablas Técnicas'!$A$14:$V$771,10,FALSE))</f>
        <v/>
      </c>
      <c r="V312" s="984" t="str">
        <f>IF(E312=0,"",VLOOKUP(E312,'Tablas Técnicas'!$A$14:$V$771,11,FALSE))</f>
        <v/>
      </c>
      <c r="W312" s="987"/>
      <c r="X312" s="988" t="e">
        <f>VLOOKUP(E312,'Tablas Técnicas'!$A$14:$V$771,12,FALSE)</f>
        <v>#N/A</v>
      </c>
      <c r="Y312" s="988" t="e">
        <f>IF(W312=X312,VLOOKUP(E312,'Tablas Técnicas'!$A$14:$V$771,13,FALSE),0)</f>
        <v>#N/A</v>
      </c>
      <c r="Z312" s="988" t="e">
        <f>VLOOKUP(E312,'Tablas Técnicas'!$A$14:$V$771,14,FALSE)</f>
        <v>#N/A</v>
      </c>
      <c r="AA312" s="988" t="e">
        <f>IF(W312=Z312,VLOOKUP(E312,'Tablas Técnicas'!$A$14:$V$616,15,FALSE),0)</f>
        <v>#N/A</v>
      </c>
      <c r="AB312" s="988" t="e">
        <f>VLOOKUP(E312,'Tablas Técnicas'!$A$14:$V$771,16,FALSE)</f>
        <v>#N/A</v>
      </c>
      <c r="AC312" s="988" t="e">
        <f>IF(W312=AB312,VLOOKUP(E312,'Tablas Técnicas'!$A$14:$V$616,17,FALSE),0)</f>
        <v>#N/A</v>
      </c>
      <c r="AD312" s="988" t="e">
        <f>VLOOKUP(E312,'Tablas Técnicas'!$A$14:$V$771,18,FALSE)</f>
        <v>#N/A</v>
      </c>
      <c r="AE312" s="988" t="e">
        <f>IF(W312=AD312,VLOOKUP(E312,'Tablas Técnicas'!$A$14:$V$771,19,FALSE),0)</f>
        <v>#N/A</v>
      </c>
      <c r="AF312" s="989" t="str">
        <f>IF(E312=0,"",(Y312+AA312+AC312+AE312))</f>
        <v/>
      </c>
      <c r="AG312" s="987"/>
      <c r="AH312" s="1022" t="e">
        <f>VLOOKUP(E312,'Tablas Técnicas'!$A$14:$V$771,12,FALSE)</f>
        <v>#N/A</v>
      </c>
      <c r="AI312" s="1022" t="e">
        <f>IF(AG312=AH312,VLOOKUP(E312,'Tablas Técnicas'!$A$14:$V$771,13,FALSE),0)</f>
        <v>#N/A</v>
      </c>
      <c r="AJ312" s="1022" t="e">
        <f>VLOOKUP(E312,'Tablas Técnicas'!$A$14:$V$771,14,FALSE)</f>
        <v>#N/A</v>
      </c>
      <c r="AK312" s="1022" t="e">
        <f>IF(AG312=AJ312,VLOOKUP(E312,'Tablas Técnicas'!$A$14:$V$771,15,FALSE),0)</f>
        <v>#N/A</v>
      </c>
      <c r="AL312" s="1022" t="e">
        <f>VLOOKUP(E312,'Tablas Técnicas'!$A$14:$V$771,16,FALSE)</f>
        <v>#N/A</v>
      </c>
      <c r="AM312" s="1022" t="e">
        <f>IF(AG312=AL312,VLOOKUP(E312,'Tablas Técnicas'!$A$14:$V$771,17,FALSE),0)</f>
        <v>#N/A</v>
      </c>
      <c r="AN312" s="1022" t="e">
        <f>VLOOKUP(E312,'Tablas Técnicas'!$A$14:$V$771,18,FALSE)</f>
        <v>#N/A</v>
      </c>
      <c r="AO312" s="1022" t="e">
        <f>IF(AG312=AN312,VLOOKUP(E312,'Tablas Técnicas'!$A$14:$V$771,19,FALSE),0)</f>
        <v>#N/A</v>
      </c>
      <c r="AP312" s="1023" t="str">
        <f>IF(E312=0,"",(AI312+AK312+AM312+AO312))</f>
        <v/>
      </c>
      <c r="AQ312" s="987"/>
      <c r="AR312" s="988" t="e">
        <f>VLOOKUP(E312,'Tablas Técnicas'!$A$14:$V$771,12,FALSE)</f>
        <v>#N/A</v>
      </c>
      <c r="AS312" s="988" t="e">
        <f>IF(AQ312=AR312,VLOOKUP(E312,'Tablas Técnicas'!$A$14:$V$771,13,FALSE),0)</f>
        <v>#N/A</v>
      </c>
      <c r="AT312" s="988" t="e">
        <f>VLOOKUP(E312,'Tablas Técnicas'!$A$14:$V$771,14,FALSE)</f>
        <v>#N/A</v>
      </c>
      <c r="AU312" s="988" t="e">
        <f>IF(AQ312=AT312,VLOOKUP(E312,'Tablas Técnicas'!$A$14:$V$771,15,FALSE),0)</f>
        <v>#N/A</v>
      </c>
      <c r="AV312" s="988" t="e">
        <f>VLOOKUP(E312,'Tablas Técnicas'!$A$14:$V$771,16,FALSE)</f>
        <v>#N/A</v>
      </c>
      <c r="AW312" s="988" t="e">
        <f>IF(AQ312=AV312,VLOOKUP(E312,'Tablas Técnicas'!$A$14:$V$771,17,FALSE),0)</f>
        <v>#N/A</v>
      </c>
      <c r="AX312" s="988" t="e">
        <f>VLOOKUP(E312,'Tablas Técnicas'!$A$14:$V$771,18,FALSE)</f>
        <v>#N/A</v>
      </c>
      <c r="AY312" s="988" t="e">
        <f>IF(AQ312=AX312,VLOOKUP(E312,'Tablas Técnicas'!$A$14:$V$771,19,FALSE),0)</f>
        <v>#N/A</v>
      </c>
      <c r="AZ312" s="989" t="str">
        <f>IF(E312=0,"",(AS312+AU312+AW312+AY312))</f>
        <v/>
      </c>
      <c r="BA312" s="987"/>
      <c r="BB312" s="988" t="e">
        <f>VLOOKUP(E312,'Tablas Técnicas'!$A$14:$V$771,12,FALSE)</f>
        <v>#N/A</v>
      </c>
      <c r="BC312" s="988" t="e">
        <f>IF(BA312=BB312,VLOOKUP(E312,'Tablas Técnicas'!$A$14:$V$771,13,FALSE),0)</f>
        <v>#N/A</v>
      </c>
      <c r="BD312" s="988" t="e">
        <f>VLOOKUP(E312,'Tablas Técnicas'!$A$14:$V$771,14,FALSE)</f>
        <v>#N/A</v>
      </c>
      <c r="BE312" s="988" t="e">
        <f>IF(BA312=BD312,VLOOKUP(E312,'Tablas Técnicas'!$A$14:$V$771,15,FALSE),0)</f>
        <v>#N/A</v>
      </c>
      <c r="BF312" s="988" t="e">
        <f>VLOOKUP(E312,'Tablas Técnicas'!$A$14:$V$771,16,FALSE)</f>
        <v>#N/A</v>
      </c>
      <c r="BG312" s="988" t="e">
        <f>IF(BA312=BF312,VLOOKUP(E312,'Tablas Técnicas'!$A$14:$V$771,17,FALSE),0)</f>
        <v>#N/A</v>
      </c>
      <c r="BH312" s="988" t="e">
        <f>VLOOKUP(E312,'Tablas Técnicas'!$A$14:$V$771,18,FALSE)</f>
        <v>#N/A</v>
      </c>
      <c r="BI312" s="988" t="e">
        <f>IF(BA312=BH312,VLOOKUP(E312,'Tablas Técnicas'!$A$14:$V$771,19,FALSE),0)</f>
        <v>#N/A</v>
      </c>
      <c r="BJ312" s="990" t="str">
        <f>IF(E312=0,"",(BC312+BE312+BG312+BI312))</f>
        <v/>
      </c>
      <c r="BK312" s="989" t="str">
        <f>IF(E312=0,"",VLOOKUP(E312,'Tablas Técnicas'!$A$14:$V$771,20,FALSE))</f>
        <v/>
      </c>
      <c r="BL312" s="989" t="str">
        <f>IF(E312=0,"",VLOOKUP(E312,'Tablas Técnicas'!$A$14:$V$771,21,FALSE))</f>
        <v/>
      </c>
      <c r="BM312" s="1024" t="str">
        <f>IF(E312=0,"",VLOOKUP(E312,'Tablas Técnicas'!$A$14:$V$771,22,FALSE))</f>
        <v/>
      </c>
      <c r="BN312" s="992"/>
      <c r="BO312" s="993"/>
      <c r="BP312" s="978" t="str">
        <f>IF(I312="Si",VLOOKUP($D$8,'Tablas Técnicas'!$E$4:$F$6,2,FALSE),"")</f>
        <v/>
      </c>
      <c r="BQ312" s="979" t="str">
        <f>IF(L312="Si",VLOOKUP($D$8,'Tablas Técnicas'!$I$4:$J$6,2,FALSE),"")</f>
        <v/>
      </c>
      <c r="BR312" s="977" t="str">
        <f>IF(O312="Si",VLOOKUP($D$8,'Tablas Técnicas'!$I$7:$J$9,2,FALSE),"")</f>
        <v/>
      </c>
      <c r="BS312" s="994"/>
      <c r="BT312" s="4774" t="s">
        <v>4527</v>
      </c>
      <c r="BU312" s="4775"/>
      <c r="BV312" s="971"/>
      <c r="BW312" s="951"/>
      <c r="BX312" s="951"/>
      <c r="BY312" s="1286"/>
      <c r="BZ312" s="1304"/>
      <c r="CA312" s="939"/>
      <c r="DR312" s="939"/>
      <c r="DT312" s="1326"/>
      <c r="DU312" s="1379"/>
      <c r="DV312" s="1376" t="str">
        <f>IF(E312="","",", "&amp;E312)&amp;IF(I312="No",""," (Mant.)")&amp;IF(L312="No",""," (Sme)")&amp;IF(O312="No",""," (SMa)")</f>
        <v/>
      </c>
      <c r="DW312" s="1377"/>
      <c r="DX312" s="1378" t="str">
        <f>IF(ISNUMBER(FIND('Tablas Técnicas'!A$678,DW330)),BL336&amp;BM336,IF(ISNUMBER(FIND('Tablas Técnicas'!A$679,DW330)),BL336&amp;" "&amp;BM336,""))</f>
        <v/>
      </c>
      <c r="DY312" s="1327"/>
      <c r="DZ312" s="939"/>
      <c r="EA312" s="1470">
        <f t="shared" si="4"/>
        <v>1</v>
      </c>
    </row>
    <row r="313" spans="1:131" x14ac:dyDescent="0.2">
      <c r="A313" s="939"/>
      <c r="B313" s="939"/>
      <c r="C313" s="4822"/>
      <c r="D313" s="1452" t="s">
        <v>1766</v>
      </c>
      <c r="E313" s="995"/>
      <c r="F313" s="1025"/>
      <c r="G313" s="1437" t="str">
        <f>IF(E313=0,"",VLOOKUP(E313,'Tablas Técnicas'!$A$14:$V$771,3,FALSE))</f>
        <v/>
      </c>
      <c r="H313" s="998" t="str">
        <f>IF($E313=0,"",VLOOKUP($E313,'Tablas Técnicas'!$A$14:$V$771,4,FALSE))</f>
        <v/>
      </c>
      <c r="I313" s="999" t="s">
        <v>1690</v>
      </c>
      <c r="J313" s="1415" t="str">
        <f>IF(E313=0,"",VLOOKUP(E313,'Tablas Técnicas'!$A$14:$V$771,5,FALSE))</f>
        <v/>
      </c>
      <c r="K313" s="1001" t="str">
        <f>IF(I313="Si",IF(E313=0,"",VLOOKUP(E313,'Tablas Técnicas'!$A$14:$V$771,5,FALSE)),"")</f>
        <v/>
      </c>
      <c r="L313" s="999" t="s">
        <v>1690</v>
      </c>
      <c r="M313" s="1415" t="str">
        <f>IF(E313=0,"",VLOOKUP(E313,'Tablas Técnicas'!$A$14:$V$771,6,FALSE))</f>
        <v/>
      </c>
      <c r="N313" s="1002" t="str">
        <f>IF(L313="Si",IF(E313=0,"",VLOOKUP(E313,'Tablas Técnicas'!$A$14:$V$771,6,FALSE)),"")</f>
        <v/>
      </c>
      <c r="O313" s="999" t="s">
        <v>1690</v>
      </c>
      <c r="P313" s="1415" t="str">
        <f>IF(E313=0,"",VLOOKUP(E313,'Tablas Técnicas'!$A$14:$V$771,7,FALSE))</f>
        <v/>
      </c>
      <c r="Q313" s="1002" t="str">
        <f>IF(O313="Si",IF(E313=0,"",VLOOKUP(E313,'Tablas Técnicas'!$A$14:$V$771,7,FALSE)),"")</f>
        <v/>
      </c>
      <c r="R313" s="1000" t="str">
        <f>IF(E313=0,"",VLOOKUP(E313,'Tablas Técnicas'!$A$14:$V$771,8,FALSE))</f>
        <v/>
      </c>
      <c r="S313" s="998" t="str">
        <f>IF(R313=$D$8,$D$8,IF(R313=2,2,IF(R313=3,3,R313)))</f>
        <v/>
      </c>
      <c r="T313" s="4796" t="s">
        <v>4542</v>
      </c>
      <c r="U313" s="4797"/>
      <c r="V313" s="4797"/>
      <c r="W313" s="4797"/>
      <c r="X313" s="4797"/>
      <c r="Y313" s="4797"/>
      <c r="Z313" s="4797"/>
      <c r="AA313" s="4797"/>
      <c r="AB313" s="4797"/>
      <c r="AC313" s="4797"/>
      <c r="AD313" s="4797"/>
      <c r="AE313" s="4797"/>
      <c r="AF313" s="4797"/>
      <c r="AG313" s="4797"/>
      <c r="AH313" s="4797"/>
      <c r="AI313" s="4797"/>
      <c r="AJ313" s="4797"/>
      <c r="AK313" s="4797"/>
      <c r="AL313" s="4797"/>
      <c r="AM313" s="4797"/>
      <c r="AN313" s="4797"/>
      <c r="AO313" s="4797"/>
      <c r="AP313" s="4797"/>
      <c r="AQ313" s="4797"/>
      <c r="AR313" s="4797"/>
      <c r="AS313" s="4797"/>
      <c r="AT313" s="4797"/>
      <c r="AU313" s="4797"/>
      <c r="AV313" s="4797"/>
      <c r="AW313" s="4797"/>
      <c r="AX313" s="4797"/>
      <c r="AY313" s="4797"/>
      <c r="AZ313" s="4797"/>
      <c r="BA313" s="4797"/>
      <c r="BB313" s="4797"/>
      <c r="BC313" s="4797"/>
      <c r="BD313" s="4797"/>
      <c r="BE313" s="4797"/>
      <c r="BF313" s="4797"/>
      <c r="BG313" s="4797"/>
      <c r="BH313" s="4797"/>
      <c r="BI313" s="4797"/>
      <c r="BJ313" s="4797"/>
      <c r="BK313" s="4798"/>
      <c r="BL313" s="1437"/>
      <c r="BM313" s="1438"/>
      <c r="BN313" s="992"/>
      <c r="BO313" s="993"/>
      <c r="BP313" s="978" t="str">
        <f>IF(I313="Si",VLOOKUP($D$8,'Tablas Técnicas'!$E$4:$F$6,2,FALSE),"")</f>
        <v/>
      </c>
      <c r="BQ313" s="979" t="str">
        <f>IF(L313="Si",VLOOKUP($D$8,'Tablas Técnicas'!$I$4:$J$6,2,FALSE),"")</f>
        <v/>
      </c>
      <c r="BR313" s="977" t="str">
        <f>IF(O313="Si",VLOOKUP($D$8,'Tablas Técnicas'!$I$7:$J$9,2,FALSE),"")</f>
        <v/>
      </c>
      <c r="BS313" s="994"/>
      <c r="BT313" s="4770" t="s">
        <v>4548</v>
      </c>
      <c r="BU313" s="4771"/>
      <c r="BV313" s="971"/>
      <c r="BW313" s="951"/>
      <c r="BX313" s="951"/>
      <c r="BY313" s="1286"/>
      <c r="BZ313" s="1304"/>
      <c r="CA313" s="939"/>
      <c r="DR313" s="939"/>
      <c r="DT313" s="1325"/>
      <c r="DU313" s="1375"/>
      <c r="DV313" s="1376" t="str">
        <f>IF(E313="",""," "&amp;E313)&amp;IF(I313="No",""," (Mant.)")&amp;IF(L313="No",""," (Sme)")&amp;IF(O313="No",""," (SMa)")</f>
        <v/>
      </c>
      <c r="DW313" s="1377"/>
      <c r="DX313" s="1378"/>
      <c r="DY313" s="1324"/>
      <c r="DZ313" s="939"/>
      <c r="EA313" s="1470">
        <f t="shared" si="4"/>
        <v>1</v>
      </c>
    </row>
    <row r="314" spans="1:131" x14ac:dyDescent="0.2">
      <c r="A314" s="939"/>
      <c r="B314" s="939"/>
      <c r="C314" s="4822"/>
      <c r="D314" s="1453" t="s">
        <v>1766</v>
      </c>
      <c r="E314" s="1003"/>
      <c r="F314" s="1019"/>
      <c r="G314" s="989" t="str">
        <f>IF(E314=0,"",VLOOKUP(E314,'Tablas Técnicas'!$A$14:$V$771,3,FALSE))</f>
        <v/>
      </c>
      <c r="H314" s="3033" t="str">
        <f>IF($E314=0,"",VLOOKUP($E314,'Tablas Técnicas'!$A$14:$V$771,4,FALSE))</f>
        <v/>
      </c>
      <c r="I314" s="987" t="s">
        <v>1690</v>
      </c>
      <c r="J314" s="1411" t="str">
        <f>IF(E314=0,"",VLOOKUP(E314,'Tablas Técnicas'!$A$14:$V$771,5,FALSE))</f>
        <v/>
      </c>
      <c r="K314" s="1006" t="str">
        <f>IF(I314="Si",IF(E314=0,"",VLOOKUP(E314,'Tablas Técnicas'!$A$14:$V$771,5,FALSE)),"")</f>
        <v/>
      </c>
      <c r="L314" s="987" t="s">
        <v>1690</v>
      </c>
      <c r="M314" s="1411" t="str">
        <f>IF(E314=0,"",VLOOKUP(E314,'Tablas Técnicas'!$A$14:$V$771,6,FALSE))</f>
        <v/>
      </c>
      <c r="N314" s="990" t="str">
        <f>IF(L314="Si",IF(E314=0,"",VLOOKUP(E314,'Tablas Técnicas'!$A$14:$V$771,6,FALSE)),"")</f>
        <v/>
      </c>
      <c r="O314" s="987" t="s">
        <v>1690</v>
      </c>
      <c r="P314" s="1411" t="str">
        <f>IF(E314=0,"",VLOOKUP(E314,'Tablas Técnicas'!$A$14:$V$771,7,FALSE))</f>
        <v/>
      </c>
      <c r="Q314" s="990" t="str">
        <f>IF(O314="Si",IF(E314=0,"",VLOOKUP(E314,'Tablas Técnicas'!$A$14:$V$771,7,FALSE)),"")</f>
        <v/>
      </c>
      <c r="R314" s="1005" t="str">
        <f>IF(E314=0,"",VLOOKUP(E314,'Tablas Técnicas'!$A$14:$V$771,8,FALSE))</f>
        <v/>
      </c>
      <c r="S314" s="3033" t="str">
        <f>IF(R314=$D$8,$D$8,IF(R314=2,2,IF(R314=3,3,R314)))</f>
        <v/>
      </c>
      <c r="T314" s="4809"/>
      <c r="U314" s="4810"/>
      <c r="V314" s="3029" t="str">
        <f>IF(OR(V312=0,V312=""),"N/A",V312)</f>
        <v>N/A</v>
      </c>
      <c r="W314" s="4809" t="str">
        <f xml:space="preserve"> IF(OR(AF312=0,AF312=""),"N/A",W312)</f>
        <v>N/A</v>
      </c>
      <c r="X314" s="4811"/>
      <c r="Y314" s="4811"/>
      <c r="Z314" s="4811"/>
      <c r="AA314" s="4811"/>
      <c r="AB314" s="4811"/>
      <c r="AC314" s="4811"/>
      <c r="AD314" s="4811"/>
      <c r="AE314" s="4811"/>
      <c r="AF314" s="4810"/>
      <c r="AG314" s="4809" t="str">
        <f xml:space="preserve"> IF(OR(AP312="",AP312=0),"N/A",AG312)</f>
        <v>N/A</v>
      </c>
      <c r="AH314" s="4811"/>
      <c r="AI314" s="4811"/>
      <c r="AJ314" s="4811"/>
      <c r="AK314" s="4811"/>
      <c r="AL314" s="4811"/>
      <c r="AM314" s="4811"/>
      <c r="AN314" s="4811"/>
      <c r="AO314" s="4811"/>
      <c r="AP314" s="4810"/>
      <c r="AQ314" s="4809" t="str">
        <f xml:space="preserve"> IF(OR(AZ312="",AZ312=0),"N/A",AQ312)</f>
        <v>N/A</v>
      </c>
      <c r="AR314" s="4811"/>
      <c r="AS314" s="4811"/>
      <c r="AT314" s="4811"/>
      <c r="AU314" s="4811"/>
      <c r="AV314" s="4811"/>
      <c r="AW314" s="4811"/>
      <c r="AX314" s="4811"/>
      <c r="AY314" s="4811"/>
      <c r="AZ314" s="4810"/>
      <c r="BA314" s="4809" t="str">
        <f xml:space="preserve"> IF(OR(BJ312="",BJ312=0),"N/A",BA312)</f>
        <v>N/A</v>
      </c>
      <c r="BB314" s="4811"/>
      <c r="BC314" s="4811"/>
      <c r="BD314" s="4811"/>
      <c r="BE314" s="4811"/>
      <c r="BF314" s="4811"/>
      <c r="BG314" s="4811"/>
      <c r="BH314" s="4811"/>
      <c r="BI314" s="4811"/>
      <c r="BJ314" s="4810"/>
      <c r="BK314" s="1007" t="s">
        <v>4543</v>
      </c>
      <c r="BL314" s="989"/>
      <c r="BM314" s="1024"/>
      <c r="BN314" s="992"/>
      <c r="BO314" s="1009"/>
      <c r="BP314" s="978" t="str">
        <f>IF(I314="Si",VLOOKUP($D$8,'Tablas Técnicas'!$E$4:$F$6,2,FALSE),"")</f>
        <v/>
      </c>
      <c r="BQ314" s="979" t="str">
        <f>IF(L314="Si",VLOOKUP($D$8,'Tablas Técnicas'!$I$4:$J$6,2,FALSE),"")</f>
        <v/>
      </c>
      <c r="BR314" s="977" t="str">
        <f>IF(O314="Si",VLOOKUP($D$8,'Tablas Técnicas'!$I$7:$J$9,2,FALSE),"")</f>
        <v/>
      </c>
      <c r="BS314" s="994"/>
      <c r="BT314" s="4774" t="s">
        <v>4521</v>
      </c>
      <c r="BU314" s="4775"/>
      <c r="BV314" s="971"/>
      <c r="BW314" s="951"/>
      <c r="BX314" s="951"/>
      <c r="BY314" s="1286"/>
      <c r="BZ314" s="1304"/>
      <c r="CA314" s="939"/>
      <c r="DR314" s="939"/>
      <c r="DT314" s="1325"/>
      <c r="DU314" s="1379"/>
      <c r="DV314" s="1376" t="str">
        <f>IF(E314="","",E314)&amp;IF(I314="No",""," (Mant.)")&amp;IF(L314="No",""," (Sme)")&amp;IF(O314="No",""," (SMa)")</f>
        <v/>
      </c>
      <c r="DW314" s="1377"/>
      <c r="DX314" s="1378"/>
      <c r="DY314" s="1324"/>
      <c r="DZ314" s="939"/>
      <c r="EA314" s="1470">
        <f t="shared" si="4"/>
        <v>1</v>
      </c>
    </row>
    <row r="315" spans="1:131" x14ac:dyDescent="0.2">
      <c r="A315" s="939"/>
      <c r="B315" s="939"/>
      <c r="C315" s="4822"/>
      <c r="D315" s="1452" t="s">
        <v>1766</v>
      </c>
      <c r="E315" s="995"/>
      <c r="F315" s="1025"/>
      <c r="G315" s="1437" t="str">
        <f>IF(E315=0,"",VLOOKUP(E315,'Tablas Técnicas'!$A$14:$V$771,3,FALSE))</f>
        <v/>
      </c>
      <c r="H315" s="998" t="str">
        <f>IF($E315=0,"",VLOOKUP($E315,'Tablas Técnicas'!$A$14:$V$771,4,FALSE))</f>
        <v/>
      </c>
      <c r="I315" s="999" t="s">
        <v>1690</v>
      </c>
      <c r="J315" s="1415" t="str">
        <f>IF(E315=0,"",VLOOKUP(E315,'Tablas Técnicas'!$A$14:$V$771,5,FALSE))</f>
        <v/>
      </c>
      <c r="K315" s="1001" t="str">
        <f>IF(I315="Si",IF(E315=0,"",VLOOKUP(E315,'Tablas Técnicas'!$A$14:$V$771,5,FALSE)),"")</f>
        <v/>
      </c>
      <c r="L315" s="999" t="s">
        <v>1690</v>
      </c>
      <c r="M315" s="1415" t="str">
        <f>IF(E315=0,"",VLOOKUP(E315,'Tablas Técnicas'!$A$14:$V$771,6,FALSE))</f>
        <v/>
      </c>
      <c r="N315" s="1002" t="str">
        <f>IF(L315="Si",IF(E315=0,"",VLOOKUP(E315,'Tablas Técnicas'!$A$14:$V$771,6,FALSE)),"")</f>
        <v/>
      </c>
      <c r="O315" s="999" t="s">
        <v>1690</v>
      </c>
      <c r="P315" s="1415" t="str">
        <f>IF(E315=0,"",VLOOKUP(E315,'Tablas Técnicas'!$A$14:$V$771,7,FALSE))</f>
        <v/>
      </c>
      <c r="Q315" s="1002" t="str">
        <f>IF(O315="Si",IF(E315=0,"",VLOOKUP(E315,'Tablas Técnicas'!$A$14:$V$771,7,FALSE)),"")</f>
        <v/>
      </c>
      <c r="R315" s="1000" t="str">
        <f>IF(E315=0,"",VLOOKUP(E315,'Tablas Técnicas'!$A$14:$V$771,8,FALSE))</f>
        <v/>
      </c>
      <c r="S315" s="998" t="str">
        <f>IF(R315=$D$8,$D$8,IF(R315=2,2,IF(R315=3,3,R315)))</f>
        <v/>
      </c>
      <c r="T315" s="4812" t="s">
        <v>4544</v>
      </c>
      <c r="U315" s="4813"/>
      <c r="V315" s="3025"/>
      <c r="W315" s="4814"/>
      <c r="X315" s="4815"/>
      <c r="Y315" s="4815"/>
      <c r="Z315" s="4815"/>
      <c r="AA315" s="4815"/>
      <c r="AB315" s="4815"/>
      <c r="AC315" s="4815"/>
      <c r="AD315" s="4815"/>
      <c r="AE315" s="4815"/>
      <c r="AF315" s="4816"/>
      <c r="AG315" s="4814"/>
      <c r="AH315" s="4815"/>
      <c r="AI315" s="4815"/>
      <c r="AJ315" s="4815"/>
      <c r="AK315" s="4815"/>
      <c r="AL315" s="4815"/>
      <c r="AM315" s="4815"/>
      <c r="AN315" s="4815"/>
      <c r="AO315" s="4815"/>
      <c r="AP315" s="4816"/>
      <c r="AQ315" s="4814"/>
      <c r="AR315" s="4815"/>
      <c r="AS315" s="4815"/>
      <c r="AT315" s="4815"/>
      <c r="AU315" s="4815"/>
      <c r="AV315" s="4815"/>
      <c r="AW315" s="4815"/>
      <c r="AX315" s="4815"/>
      <c r="AY315" s="4815"/>
      <c r="AZ315" s="4816"/>
      <c r="BA315" s="4814"/>
      <c r="BB315" s="4815"/>
      <c r="BC315" s="4815"/>
      <c r="BD315" s="4815"/>
      <c r="BE315" s="4815"/>
      <c r="BF315" s="4815"/>
      <c r="BG315" s="4815"/>
      <c r="BH315" s="4815"/>
      <c r="BI315" s="4815"/>
      <c r="BJ315" s="4816"/>
      <c r="BK315" s="998">
        <f>(SUM(G312:G316)+IF(AF312="",0,AF312)+IF(AP312="",0,AP312)+IF(AZ312="",0,AZ312)+IF(BJ312="",0,BJ312)+SUM(K312:K316)+SUM(N312:N316)+SUM(Q312:Q316))- SUM(V315:BA315)</f>
        <v>0</v>
      </c>
      <c r="BL315" s="1437"/>
      <c r="BM315" s="1438"/>
      <c r="BN315" s="992"/>
      <c r="BO315" s="993"/>
      <c r="BP315" s="978" t="str">
        <f>IF(I315="Si",VLOOKUP($D$8,'Tablas Técnicas'!$E$4:$F$6,2,FALSE),"")</f>
        <v/>
      </c>
      <c r="BQ315" s="979" t="str">
        <f>IF(L315="Si",VLOOKUP($D$8,'Tablas Técnicas'!$I$4:$J$6,2,FALSE),"")</f>
        <v/>
      </c>
      <c r="BR315" s="977" t="str">
        <f>IF(O315="Si",VLOOKUP($D$8,'Tablas Técnicas'!$I$7:$J$9,2,FALSE),"")</f>
        <v/>
      </c>
      <c r="BS315" s="994"/>
      <c r="BT315" s="4766" t="s">
        <v>4549</v>
      </c>
      <c r="BU315" s="4767"/>
      <c r="BV315" s="971"/>
      <c r="BW315" s="951"/>
      <c r="BX315" s="951"/>
      <c r="BY315" s="1286"/>
      <c r="BZ315" s="1304"/>
      <c r="CA315" s="939"/>
      <c r="DR315" s="939"/>
      <c r="DT315" s="1325"/>
      <c r="DU315" s="1375"/>
      <c r="DV315" s="1376" t="str">
        <f>IF(E315="","",E315)&amp;IF(I315="No",""," (Mant.)")&amp;IF(L315="No",""," (Sme)")&amp;IF(O315="No",""," (SMa)")</f>
        <v/>
      </c>
      <c r="DW315" s="1377"/>
      <c r="DX315" s="1378"/>
      <c r="DY315" s="1324"/>
      <c r="DZ315" s="939"/>
      <c r="EA315" s="1470">
        <f t="shared" si="4"/>
        <v>1</v>
      </c>
    </row>
    <row r="316" spans="1:131" x14ac:dyDescent="0.2">
      <c r="A316" s="939"/>
      <c r="B316" s="939"/>
      <c r="C316" s="4822"/>
      <c r="D316" s="1453" t="s">
        <v>1766</v>
      </c>
      <c r="E316" s="1003"/>
      <c r="F316" s="1019"/>
      <c r="G316" s="989" t="str">
        <f>IF(E316=0,"",VLOOKUP(E316,'Tablas Técnicas'!$A$14:$V$771,3,FALSE))</f>
        <v/>
      </c>
      <c r="H316" s="1004" t="str">
        <f>IF($E316=0,"",VLOOKUP($E316,'Tablas Técnicas'!$A$14:$V$771,4,FALSE))</f>
        <v/>
      </c>
      <c r="I316" s="987" t="s">
        <v>1690</v>
      </c>
      <c r="J316" s="1411" t="str">
        <f>IF(E316=0,"",VLOOKUP(E316,'Tablas Técnicas'!$A$14:$V$771,5,FALSE))</f>
        <v/>
      </c>
      <c r="K316" s="1006" t="str">
        <f>IF(I316="Si",IF(E316=0,"",VLOOKUP(E316,'Tablas Técnicas'!$A$14:$V$771,5,FALSE)),"")</f>
        <v/>
      </c>
      <c r="L316" s="987" t="s">
        <v>1690</v>
      </c>
      <c r="M316" s="1411" t="str">
        <f>IF(E316=0,"",VLOOKUP(E316,'Tablas Técnicas'!$A$14:$V$771,6,FALSE))</f>
        <v/>
      </c>
      <c r="N316" s="990" t="str">
        <f>IF(L316="Si",IF(E316=0,"",VLOOKUP(E316,'Tablas Técnicas'!$A$14:$V$771,6,FALSE)),"")</f>
        <v/>
      </c>
      <c r="O316" s="987" t="s">
        <v>1690</v>
      </c>
      <c r="P316" s="1411" t="str">
        <f>IF(E316=0,"",VLOOKUP(E316,'Tablas Técnicas'!$A$14:$V$771,7,FALSE))</f>
        <v/>
      </c>
      <c r="Q316" s="990" t="str">
        <f>IF(O316="Si",IF(E316=0,"",VLOOKUP(E316,'Tablas Técnicas'!$A$14:$V$771,7,FALSE)),"")</f>
        <v/>
      </c>
      <c r="R316" s="1005" t="str">
        <f>IF(E316=0,"",VLOOKUP(E316,'Tablas Técnicas'!$A$14:$V$771,8,FALSE))</f>
        <v/>
      </c>
      <c r="S316" s="1004" t="str">
        <f>IF(R316=$D$8,$D$8,IF(R316=2,2,IF(R316=3,3,R316)))</f>
        <v/>
      </c>
      <c r="T316" s="4803" t="s">
        <v>4546</v>
      </c>
      <c r="U316" s="4804"/>
      <c r="V316" s="3032"/>
      <c r="W316" s="4805"/>
      <c r="X316" s="4806"/>
      <c r="Y316" s="4806"/>
      <c r="Z316" s="4806"/>
      <c r="AA316" s="4806"/>
      <c r="AB316" s="4806"/>
      <c r="AC316" s="4806"/>
      <c r="AD316" s="4806"/>
      <c r="AE316" s="4806"/>
      <c r="AF316" s="4807"/>
      <c r="AG316" s="4805"/>
      <c r="AH316" s="4806"/>
      <c r="AI316" s="4806"/>
      <c r="AJ316" s="4806"/>
      <c r="AK316" s="4806"/>
      <c r="AL316" s="4806"/>
      <c r="AM316" s="4806"/>
      <c r="AN316" s="4806"/>
      <c r="AO316" s="4806"/>
      <c r="AP316" s="4807"/>
      <c r="AQ316" s="4805"/>
      <c r="AR316" s="4806"/>
      <c r="AS316" s="4806"/>
      <c r="AT316" s="4806"/>
      <c r="AU316" s="4806"/>
      <c r="AV316" s="4806"/>
      <c r="AW316" s="4806"/>
      <c r="AX316" s="4806"/>
      <c r="AY316" s="4806"/>
      <c r="AZ316" s="4807"/>
      <c r="BA316" s="4805"/>
      <c r="BB316" s="4806"/>
      <c r="BC316" s="4806"/>
      <c r="BD316" s="4806"/>
      <c r="BE316" s="4806"/>
      <c r="BF316" s="4806"/>
      <c r="BG316" s="4806"/>
      <c r="BH316" s="4806"/>
      <c r="BI316" s="4806"/>
      <c r="BJ316" s="4807"/>
      <c r="BK316" s="1014">
        <f>SUM(K312:K316)-SUM(V316:BA316)</f>
        <v>0</v>
      </c>
      <c r="BL316" s="1439"/>
      <c r="BM316" s="1440"/>
      <c r="BN316" s="992"/>
      <c r="BO316" s="1009"/>
      <c r="BP316" s="978" t="str">
        <f>IF(I316="Si",VLOOKUP($D$8,'Tablas Técnicas'!$E$4:$F$6,2,FALSE),"")</f>
        <v/>
      </c>
      <c r="BQ316" s="979" t="str">
        <f>IF(L316="Si",VLOOKUP($D$8,'Tablas Técnicas'!$I$4:$J$6,2,FALSE),"")</f>
        <v/>
      </c>
      <c r="BR316" s="977" t="str">
        <f>IF(O316="Si",VLOOKUP($D$8,'Tablas Técnicas'!$I$7:$J$9,2,FALSE),"")</f>
        <v/>
      </c>
      <c r="BS316" s="994"/>
      <c r="BT316" s="2354">
        <f>IF(BT310="No",0,IF(D304=0,0,VLOOKUP(D304,'Tablas Técnicas'!$L$4:$N$7,2,FALSE)))+IF(BT312="Bajar coste de CM",0,IF(BT312="-5 CM",2,IF(BT312="-10 CM",4,IF(BT312="-15 CM",6,IF(BT312="-20 CM",8,0)))))+IF(BT314="Bajar coste de Ki",0,IF(BT314="-1 Ki",-1,IF(BT314="-2 Ki",-2,IF(BT314="-3 Ki",-3,IF(BT314="-4 Ki",-4,IF(BT314="-5 Ki",-5,0))))))-BU319-BU321-BU323-BU325-BU327-BU329</f>
        <v>0</v>
      </c>
      <c r="BU316" s="2355">
        <f>IF(BT310="No",0,IF(D304=0,0,VLOOKUP(D304,'Tablas Técnicas'!$L$4:$N$7,2,FALSE)))+IF(BT312="Bajar coste de CM",0,IF(BT312="-5 CM",2,IF(BT312="-10 CM",4,IF(BT312="-15 CM",6,IF(BT312="-20 CM",8,0)))))+IF(BT314="Bajar coste de Ki",0,IF(BT314="-1 Ki",-1,IF(BT314="-2 Ki",-2,IF(BT314="-3 Ki",-3,IF(BT314="-4 Ki",-4,IF(BT314="-5 Ki",-5,0))))))</f>
        <v>0</v>
      </c>
      <c r="BV316" s="971"/>
      <c r="BW316" s="951"/>
      <c r="BX316" s="951"/>
      <c r="BY316" s="1286"/>
      <c r="BZ316" s="1304"/>
      <c r="CA316" s="939"/>
      <c r="DR316" s="939"/>
      <c r="DT316" s="1325"/>
      <c r="DU316" s="1379"/>
      <c r="DV316" s="1376" t="str">
        <f>IF(E316="","",E316)&amp;IF(I316="No",""," (Mant.)")&amp;IF(L316="No",""," (Sme)")&amp;IF(O316="No",""," (SMa)")</f>
        <v/>
      </c>
      <c r="DW316" s="1377"/>
      <c r="DX316" s="1378"/>
      <c r="DY316" s="1324"/>
      <c r="DZ316" s="939"/>
      <c r="EA316" s="1470">
        <f t="shared" si="4"/>
        <v>1</v>
      </c>
    </row>
    <row r="317" spans="1:131" x14ac:dyDescent="0.2">
      <c r="A317" s="939"/>
      <c r="B317" s="1403"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822"/>
      <c r="D317" s="1454">
        <v>3</v>
      </c>
      <c r="E317" s="1246"/>
      <c r="F317" s="1016"/>
      <c r="G317" s="1017"/>
      <c r="H317" s="2159">
        <f t="array" ref="H317">IF(AND(OR(ISNUMBER(SEARCH("Empatía Elemental ("&amp;BK312:BM312&amp;")",Principal!$AF$30))),SUM(H312:H316)&gt;=10),-5,0)</f>
        <v>0</v>
      </c>
      <c r="I317" s="1413"/>
      <c r="J317" s="1416"/>
      <c r="K317" s="1017"/>
      <c r="L317" s="1413"/>
      <c r="M317" s="1416"/>
      <c r="N317" s="1017"/>
      <c r="O317" s="1413"/>
      <c r="P317" s="1416"/>
      <c r="Q317" s="1017"/>
      <c r="R317" s="1018"/>
      <c r="S317" s="1017"/>
      <c r="T317" s="1017"/>
      <c r="U317" s="1017"/>
      <c r="V317" s="1017"/>
      <c r="W317" s="1017"/>
      <c r="X317" s="1017"/>
      <c r="Y317" s="1017"/>
      <c r="Z317" s="1017"/>
      <c r="AA317" s="1017"/>
      <c r="AB317" s="1017"/>
      <c r="AC317" s="1017"/>
      <c r="AD317" s="1017"/>
      <c r="AE317" s="1017"/>
      <c r="AF317" s="1017"/>
      <c r="AG317" s="1017"/>
      <c r="AH317" s="1017"/>
      <c r="AI317" s="1017"/>
      <c r="AJ317" s="1017"/>
      <c r="AK317" s="1017"/>
      <c r="AL317" s="1017"/>
      <c r="AM317" s="1017"/>
      <c r="AN317" s="1017"/>
      <c r="AO317" s="1017"/>
      <c r="AP317" s="1017"/>
      <c r="AQ317" s="1017"/>
      <c r="AR317" s="1017"/>
      <c r="AS317" s="1017"/>
      <c r="AT317" s="1017"/>
      <c r="AU317" s="1017"/>
      <c r="AV317" s="1017"/>
      <c r="AW317" s="1017"/>
      <c r="AX317" s="1017"/>
      <c r="AY317" s="1017"/>
      <c r="AZ317" s="1017"/>
      <c r="BA317" s="1017"/>
      <c r="BB317" s="1017"/>
      <c r="BC317" s="1017"/>
      <c r="BD317" s="1017"/>
      <c r="BE317" s="1017"/>
      <c r="BF317" s="1017"/>
      <c r="BG317" s="1017"/>
      <c r="BH317" s="1017"/>
      <c r="BI317" s="1017"/>
      <c r="BJ317" s="1017"/>
      <c r="BK317" s="1017"/>
      <c r="BL317" s="1017"/>
      <c r="BM317" s="1027"/>
      <c r="BN317" s="1028">
        <f>SUM(K317:K320)</f>
        <v>0</v>
      </c>
      <c r="BO317" s="971" t="str">
        <f>IF(E317=0,"",(AF317+AP317+AZ317+BJ317))</f>
        <v/>
      </c>
      <c r="BP317" s="1029" t="str">
        <f>IF(I317="Si",VLOOKUP($D$8,'Tablas Técnicas'!$E$4:$F$6,2,FALSE),"")</f>
        <v/>
      </c>
      <c r="BQ317" s="1030" t="str">
        <f>IF(L317="Si",VLOOKUP($D$8,'Tablas Técnicas'!$I$4:$J$6,2,FALSE),"")</f>
        <v/>
      </c>
      <c r="BR317" s="1028" t="str">
        <f>IF(O317="Si",VLOOKUP($D$8,'Tablas Técnicas'!$I$7:$J$9,2,FALSE),"")</f>
        <v/>
      </c>
      <c r="BS317" s="994"/>
      <c r="BU317" s="3026"/>
      <c r="BV317" s="971"/>
      <c r="BW317" s="951"/>
      <c r="BX317" s="951"/>
      <c r="BY317" s="1286"/>
      <c r="BZ317" s="1304"/>
      <c r="CA317" s="939"/>
      <c r="DR317" s="939"/>
      <c r="DT317" s="1325"/>
      <c r="DU317" s="1379"/>
      <c r="DV317" s="1380"/>
      <c r="DW317" s="1377"/>
      <c r="DX317" s="1378"/>
      <c r="DY317" s="1324"/>
      <c r="DZ317" s="939"/>
      <c r="EA317" s="1470">
        <f t="shared" si="4"/>
        <v>1</v>
      </c>
    </row>
    <row r="318" spans="1:131" x14ac:dyDescent="0.2">
      <c r="A318" s="939"/>
      <c r="B318" s="939"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822"/>
      <c r="D318" s="1453" t="s">
        <v>1766</v>
      </c>
      <c r="E318" s="983"/>
      <c r="F318" s="1019"/>
      <c r="G318" s="989" t="str">
        <f>IF(E318=0,"",VLOOKUP(E318,'Tablas Técnicas'!$A$14:$V$771,3,FALSE))</f>
        <v/>
      </c>
      <c r="H318" s="1031" t="str">
        <f>IF($E318=0,"",VLOOKUP($E318,'Tablas Técnicas'!$A$14:$V$771,4,FALSE))</f>
        <v/>
      </c>
      <c r="I318" s="987" t="s">
        <v>1690</v>
      </c>
      <c r="J318" s="1417" t="str">
        <f>IF(E318=0,"",VLOOKUP(E318,'Tablas Técnicas'!$A$14:$V$771,5,FALSE))</f>
        <v/>
      </c>
      <c r="K318" s="1033" t="str">
        <f>IF(I318="Si",IF(E318=0,"",VLOOKUP(E318,'Tablas Técnicas'!$A$14:$V$771,5,FALSE)),"")</f>
        <v/>
      </c>
      <c r="L318" s="987" t="s">
        <v>1690</v>
      </c>
      <c r="M318" s="1417" t="str">
        <f>IF(E318=0,"",VLOOKUP(E318,'Tablas Técnicas'!$A$14:$V$771,6,FALSE))</f>
        <v/>
      </c>
      <c r="N318" s="990" t="str">
        <f>IF(L318="Si",IF(E318=0,"",VLOOKUP(E318,'Tablas Técnicas'!$A$14:$V$771,6,FALSE)),"")</f>
        <v/>
      </c>
      <c r="O318" s="987" t="s">
        <v>1690</v>
      </c>
      <c r="P318" s="1417" t="str">
        <f>IF(E318=0,"",VLOOKUP(E318,'Tablas Técnicas'!$A$14:$V$771,7,FALSE))</f>
        <v/>
      </c>
      <c r="Q318" s="990" t="str">
        <f>IF(O318="Si",IF(E318=0,"",VLOOKUP(E318,'Tablas Técnicas'!$A$14:$V$771,7,FALSE)),"")</f>
        <v/>
      </c>
      <c r="R318" s="1032" t="str">
        <f>IF(E318=0,"",VLOOKUP(E318,'Tablas Técnicas'!$A$14:$V$771,8,FALSE))</f>
        <v/>
      </c>
      <c r="S318" s="1004" t="str">
        <f>IF(R318=$D$8,$D$8,IF(R318=2,2,IF(R318=3,3,R318)))</f>
        <v/>
      </c>
      <c r="T318" s="1033" t="str">
        <f>IF(E318=0,"",VLOOKUP(E318,'Tablas Técnicas'!$A$14:$V$771,9,FALSE))</f>
        <v/>
      </c>
      <c r="U318" s="1033" t="str">
        <f>IF(E318=0,"",VLOOKUP(E318,'Tablas Técnicas'!$A$14:$V$771,10,FALSE))</f>
        <v/>
      </c>
      <c r="V318" s="1034" t="str">
        <f>IF(E318=0,"",VLOOKUP(E318,'Tablas Técnicas'!$A$14:$V$771,11,FALSE))</f>
        <v/>
      </c>
      <c r="W318" s="987"/>
      <c r="X318" s="988" t="e">
        <f>VLOOKUP(E318,'Tablas Técnicas'!$A$14:$V$771,12,FALSE)</f>
        <v>#N/A</v>
      </c>
      <c r="Y318" s="988" t="e">
        <f>IF(W318=X318,VLOOKUP(E318,'Tablas Técnicas'!$A$14:$V$771,13,FALSE),0)</f>
        <v>#N/A</v>
      </c>
      <c r="Z318" s="988" t="e">
        <f>VLOOKUP(E318,'Tablas Técnicas'!$A$14:$V$771,14,FALSE)</f>
        <v>#N/A</v>
      </c>
      <c r="AA318" s="988" t="e">
        <f>IF(W318=Z318,VLOOKUP(E318,'Tablas Técnicas'!$A$14:$V$616,15,FALSE),0)</f>
        <v>#N/A</v>
      </c>
      <c r="AB318" s="988" t="e">
        <f>VLOOKUP(E318,'Tablas Técnicas'!$A$14:$V$771,16,FALSE)</f>
        <v>#N/A</v>
      </c>
      <c r="AC318" s="988" t="e">
        <f>IF(W318=AB318,VLOOKUP(E318,'Tablas Técnicas'!$A$14:$V$616,17,FALSE),0)</f>
        <v>#N/A</v>
      </c>
      <c r="AD318" s="988" t="e">
        <f>VLOOKUP(E318,'Tablas Técnicas'!$A$14:$V$771,18,FALSE)</f>
        <v>#N/A</v>
      </c>
      <c r="AE318" s="988" t="e">
        <f>IF(W318=AD318,VLOOKUP(E318,'Tablas Técnicas'!$A$14:$V$771,19,FALSE),0)</f>
        <v>#N/A</v>
      </c>
      <c r="AF318" s="1006" t="str">
        <f>IF(E318=0,"",(Y318+AA318+AC318+AE318))</f>
        <v/>
      </c>
      <c r="AG318" s="987"/>
      <c r="AH318" s="1005" t="e">
        <f>VLOOKUP(E318,'Tablas Técnicas'!$A$14:$V$771,12,FALSE)</f>
        <v>#N/A</v>
      </c>
      <c r="AI318" s="1005" t="e">
        <f>IF(AG318=AH318,VLOOKUP(E318,'Tablas Técnicas'!$A$14:$V$771,13,FALSE),0)</f>
        <v>#N/A</v>
      </c>
      <c r="AJ318" s="1005" t="e">
        <f>VLOOKUP(E318,'Tablas Técnicas'!$A$14:$V$771,14,FALSE)</f>
        <v>#N/A</v>
      </c>
      <c r="AK318" s="1005" t="e">
        <f>IF(AG318=AJ318,VLOOKUP(E318,'Tablas Técnicas'!$A$14:$V$771,15,FALSE),0)</f>
        <v>#N/A</v>
      </c>
      <c r="AL318" s="1005" t="e">
        <f>VLOOKUP(E318,'Tablas Técnicas'!$A$14:$V$771,16,FALSE)</f>
        <v>#N/A</v>
      </c>
      <c r="AM318" s="1005" t="e">
        <f>IF(AG318=AL318,VLOOKUP(E318,'Tablas Técnicas'!$A$14:$V$771,17,FALSE),0)</f>
        <v>#N/A</v>
      </c>
      <c r="AN318" s="1005" t="e">
        <f>VLOOKUP(E318,'Tablas Técnicas'!$A$14:$V$771,18,FALSE)</f>
        <v>#N/A</v>
      </c>
      <c r="AO318" s="1005" t="e">
        <f>IF(AG318=AN318,VLOOKUP(E318,'Tablas Técnicas'!$A$14:$V$771,19,FALSE),0)</f>
        <v>#N/A</v>
      </c>
      <c r="AP318" s="3034" t="str">
        <f>IF(E318=0,"",(AI318+AK318+AM318+AO318))</f>
        <v/>
      </c>
      <c r="AQ318" s="987"/>
      <c r="AR318" s="1005" t="e">
        <f>VLOOKUP(E318,'Tablas Técnicas'!$A$14:$V$771,12,FALSE)</f>
        <v>#N/A</v>
      </c>
      <c r="AS318" s="1005" t="e">
        <f>IF(AQ318=AR318,VLOOKUP(E318,'Tablas Técnicas'!$A$14:$V$771,13,FALSE),0)</f>
        <v>#N/A</v>
      </c>
      <c r="AT318" s="1005" t="e">
        <f>VLOOKUP(E318,'Tablas Técnicas'!$A$14:$V$771,14,FALSE)</f>
        <v>#N/A</v>
      </c>
      <c r="AU318" s="1005" t="e">
        <f>IF(AQ318=AT318,VLOOKUP(E318,'Tablas Técnicas'!$A$14:$V$771,15,FALSE),0)</f>
        <v>#N/A</v>
      </c>
      <c r="AV318" s="1005" t="e">
        <f>VLOOKUP(E318,'Tablas Técnicas'!$A$14:$V$771,16,FALSE)</f>
        <v>#N/A</v>
      </c>
      <c r="AW318" s="1005" t="e">
        <f>IF(AQ318=AV318,VLOOKUP(E318,'Tablas Técnicas'!$A$14:$V$771,17,FALSE),0)</f>
        <v>#N/A</v>
      </c>
      <c r="AX318" s="1005" t="e">
        <f>VLOOKUP(E318,'Tablas Técnicas'!$A$14:$V$771,18,FALSE)</f>
        <v>#N/A</v>
      </c>
      <c r="AY318" s="1005" t="e">
        <f>IF(AQ318=AX318,VLOOKUP(E318,'Tablas Técnicas'!$A$14:$V$771,19,FALSE),0)</f>
        <v>#N/A</v>
      </c>
      <c r="AZ318" s="1006" t="str">
        <f>IF(E318=0,"",(AS318+AU318+AW318+AY318))</f>
        <v/>
      </c>
      <c r="BA318" s="987"/>
      <c r="BB318" s="1005" t="e">
        <f>VLOOKUP(E318,'Tablas Técnicas'!$A$14:$V$771,12,FALSE)</f>
        <v>#N/A</v>
      </c>
      <c r="BC318" s="1005" t="e">
        <f>IF(BA318=BB318,VLOOKUP(E318,'Tablas Técnicas'!$A$14:$V$771,13,FALSE),0)</f>
        <v>#N/A</v>
      </c>
      <c r="BD318" s="1005" t="e">
        <f>VLOOKUP(E318,'Tablas Técnicas'!$A$14:$V$771,14,FALSE)</f>
        <v>#N/A</v>
      </c>
      <c r="BE318" s="1005" t="e">
        <f>IF(BA318=BD318,VLOOKUP(E318,'Tablas Técnicas'!$A$14:$V$771,15,FALSE),0)</f>
        <v>#N/A</v>
      </c>
      <c r="BF318" s="1005" t="e">
        <f>VLOOKUP(E318,'Tablas Técnicas'!$A$14:$V$771,16,FALSE)</f>
        <v>#N/A</v>
      </c>
      <c r="BG318" s="1005" t="e">
        <f>IF(BA318=BF318,VLOOKUP(E318,'Tablas Técnicas'!$A$14:$V$771,17,FALSE),0)</f>
        <v>#N/A</v>
      </c>
      <c r="BH318" s="1005" t="e">
        <f>VLOOKUP(E318,'Tablas Técnicas'!$A$14:$V$771,18,FALSE)</f>
        <v>#N/A</v>
      </c>
      <c r="BI318" s="1005" t="e">
        <f>IF(BA318=BH318,VLOOKUP(E318,'Tablas Técnicas'!$A$14:$V$771,19,FALSE),0)</f>
        <v>#N/A</v>
      </c>
      <c r="BJ318" s="3034" t="str">
        <f>IF(E318=0,"",(BC318+BE318+BG318+BI318))</f>
        <v/>
      </c>
      <c r="BK318" s="1033" t="str">
        <f>IF(E318=0,"",VLOOKUP(E318,'Tablas Técnicas'!$A$14:$V$771,20,FALSE))</f>
        <v/>
      </c>
      <c r="BL318" s="1020" t="str">
        <f>IF(E318=0,"",VLOOKUP(E318,'Tablas Técnicas'!$A$14:$V$771,21,FALSE))</f>
        <v/>
      </c>
      <c r="BM318" s="991" t="str">
        <f>IF(E318=0,"",VLOOKUP(E318,'Tablas Técnicas'!$A$14:$V$771,22,FALSE))</f>
        <v/>
      </c>
      <c r="BN318" s="992"/>
      <c r="BO318" s="993"/>
      <c r="BP318" s="978" t="str">
        <f>IF(I318="Si",VLOOKUP($D$8,'Tablas Técnicas'!$E$4:$F$6,2,FALSE),"")</f>
        <v/>
      </c>
      <c r="BQ318" s="979" t="str">
        <f>IF(L318="Si",VLOOKUP($D$8,'Tablas Técnicas'!$I$4:$J$6,2,FALSE),"")</f>
        <v/>
      </c>
      <c r="BR318" s="977" t="str">
        <f>IF(O318="Si",VLOOKUP($D$8,'Tablas Técnicas'!$I$7:$J$9,2,FALSE),"")</f>
        <v/>
      </c>
      <c r="BS318" s="994"/>
      <c r="BT318" s="3023" t="s">
        <v>1682</v>
      </c>
      <c r="BU318" s="3024" t="s">
        <v>4550</v>
      </c>
      <c r="BV318" s="971"/>
      <c r="BW318" s="3024" t="s">
        <v>4551</v>
      </c>
      <c r="BX318" s="3023" t="s">
        <v>4552</v>
      </c>
      <c r="BY318" s="1300" t="s">
        <v>4552</v>
      </c>
      <c r="BZ318" s="1304"/>
      <c r="CA318" s="939"/>
      <c r="DR318" s="939"/>
      <c r="DT318" s="1325"/>
      <c r="DU318" s="1379"/>
      <c r="DV318" s="1376" t="str">
        <f>IF(E318="","",", "&amp;E318)&amp;IF(I318="No",""," (Mant.)")&amp;IF(L318="No",""," (Sme)")&amp;IF(O318="No",""," (SMa)")</f>
        <v/>
      </c>
      <c r="DW318" s="1377"/>
      <c r="DX318" s="1378"/>
      <c r="DY318" s="1324"/>
      <c r="DZ318" s="939"/>
      <c r="EA318" s="1470">
        <f t="shared" si="4"/>
        <v>1</v>
      </c>
    </row>
    <row r="319" spans="1:131" x14ac:dyDescent="0.2">
      <c r="A319" s="939"/>
      <c r="B319" s="939"/>
      <c r="C319" s="4822"/>
      <c r="D319" s="1452" t="s">
        <v>1766</v>
      </c>
      <c r="E319" s="995"/>
      <c r="F319" s="1025"/>
      <c r="G319" s="1437" t="str">
        <f>IF(E319=0,"",VLOOKUP(E319,'Tablas Técnicas'!$A$14:$V$771,3,FALSE))</f>
        <v/>
      </c>
      <c r="H319" s="998" t="str">
        <f>IF($E319=0,"",VLOOKUP($E319,'Tablas Técnicas'!$A$14:$V$771,4,FALSE))</f>
        <v/>
      </c>
      <c r="I319" s="999" t="s">
        <v>1690</v>
      </c>
      <c r="J319" s="1415" t="str">
        <f>IF(E319=0,"",VLOOKUP(E319,'Tablas Técnicas'!$A$14:$V$771,5,FALSE))</f>
        <v/>
      </c>
      <c r="K319" s="1001" t="str">
        <f>IF(I319="Si",IF(E319=0,"",VLOOKUP(E319,'Tablas Técnicas'!$A$14:$V$771,5,FALSE)),"")</f>
        <v/>
      </c>
      <c r="L319" s="999" t="s">
        <v>1690</v>
      </c>
      <c r="M319" s="1415" t="str">
        <f>IF(E319=0,"",VLOOKUP(E319,'Tablas Técnicas'!$A$14:$V$771,6,FALSE))</f>
        <v/>
      </c>
      <c r="N319" s="1002" t="str">
        <f>IF(L319="Si",IF(E319=0,"",VLOOKUP(E319,'Tablas Técnicas'!$A$14:$V$771,6,FALSE)),"")</f>
        <v/>
      </c>
      <c r="O319" s="999" t="s">
        <v>1690</v>
      </c>
      <c r="P319" s="1415" t="str">
        <f>IF(E319=0,"",VLOOKUP(E319,'Tablas Técnicas'!$A$14:$V$771,7,FALSE))</f>
        <v/>
      </c>
      <c r="Q319" s="1002" t="str">
        <f>IF(O319="Si",IF(E319=0,"",VLOOKUP(E319,'Tablas Técnicas'!$A$14:$V$771,7,FALSE)),"")</f>
        <v/>
      </c>
      <c r="R319" s="1000" t="str">
        <f>IF(E319=0,"",VLOOKUP(E319,'Tablas Técnicas'!$A$14:$V$771,8,FALSE))</f>
        <v/>
      </c>
      <c r="S319" s="998" t="str">
        <f>IF(R319=$D$8,$D$8,IF(R319=2,2,IF(R319=3,3,R319)))</f>
        <v/>
      </c>
      <c r="T319" s="4796" t="s">
        <v>4542</v>
      </c>
      <c r="U319" s="4797"/>
      <c r="V319" s="4797"/>
      <c r="W319" s="4797"/>
      <c r="X319" s="4797"/>
      <c r="Y319" s="4797"/>
      <c r="Z319" s="4797"/>
      <c r="AA319" s="4797"/>
      <c r="AB319" s="4797"/>
      <c r="AC319" s="4797"/>
      <c r="AD319" s="4797"/>
      <c r="AE319" s="4797"/>
      <c r="AF319" s="4797"/>
      <c r="AG319" s="4797"/>
      <c r="AH319" s="4797"/>
      <c r="AI319" s="4797"/>
      <c r="AJ319" s="4797"/>
      <c r="AK319" s="4797"/>
      <c r="AL319" s="4797"/>
      <c r="AM319" s="4797"/>
      <c r="AN319" s="4797"/>
      <c r="AO319" s="4797"/>
      <c r="AP319" s="4797"/>
      <c r="AQ319" s="4797"/>
      <c r="AR319" s="4797"/>
      <c r="AS319" s="4797"/>
      <c r="AT319" s="4797"/>
      <c r="AU319" s="4797"/>
      <c r="AV319" s="4797"/>
      <c r="AW319" s="4797"/>
      <c r="AX319" s="4797"/>
      <c r="AY319" s="4797"/>
      <c r="AZ319" s="4797"/>
      <c r="BA319" s="4797"/>
      <c r="BB319" s="4797"/>
      <c r="BC319" s="4797"/>
      <c r="BD319" s="4797"/>
      <c r="BE319" s="4797"/>
      <c r="BF319" s="4797"/>
      <c r="BG319" s="4797"/>
      <c r="BH319" s="4797"/>
      <c r="BI319" s="4797"/>
      <c r="BJ319" s="4797"/>
      <c r="BK319" s="4798"/>
      <c r="BL319" s="1437"/>
      <c r="BM319" s="1438"/>
      <c r="BN319" s="992"/>
      <c r="BO319" s="993"/>
      <c r="BP319" s="978" t="str">
        <f>IF(I319="Si",VLOOKUP($D$8,'Tablas Técnicas'!$E$4:$F$6,2,FALSE),"")</f>
        <v/>
      </c>
      <c r="BQ319" s="979" t="str">
        <f>IF(L319="Si",VLOOKUP($D$8,'Tablas Técnicas'!$I$4:$J$6,2,FALSE),"")</f>
        <v/>
      </c>
      <c r="BR319" s="977" t="str">
        <f>IF(O319="Si",VLOOKUP($D$8,'Tablas Técnicas'!$I$7:$J$9,2,FALSE),"")</f>
        <v/>
      </c>
      <c r="BS319" s="994"/>
      <c r="BT319" s="3028">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356"/>
      <c r="BV319" s="971"/>
      <c r="BW319" s="1026" t="str">
        <f>IF(SUM(BT319:BU319)=0,"N/A",SUM(BT319:BU319))</f>
        <v>N/A</v>
      </c>
      <c r="BX319" s="3028">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26" t="str">
        <f>IF(BX319=0,"N/A",BX319)</f>
        <v>N/A</v>
      </c>
      <c r="BZ319" s="1304"/>
      <c r="CA319" s="939"/>
      <c r="DR319" s="939"/>
      <c r="DT319" s="1325"/>
      <c r="DU319" s="1379"/>
      <c r="DV319" s="1376" t="str">
        <f>IF(E319="",""," "&amp;E319)&amp;IF(I319="No",""," (Mant.)")&amp;IF(L319="No",""," (Sme)")&amp;IF(O319="No",""," (SMa)")</f>
        <v/>
      </c>
      <c r="DW319" s="1377"/>
      <c r="DX319" s="1378"/>
      <c r="DY319" s="1324"/>
      <c r="DZ319" s="939"/>
      <c r="EA319" s="1470">
        <f t="shared" si="4"/>
        <v>1</v>
      </c>
    </row>
    <row r="320" spans="1:131" x14ac:dyDescent="0.2">
      <c r="A320" s="939"/>
      <c r="B320" s="939"/>
      <c r="C320" s="4822"/>
      <c r="D320" s="1453" t="s">
        <v>1766</v>
      </c>
      <c r="E320" s="1003"/>
      <c r="F320" s="1019"/>
      <c r="G320" s="989" t="str">
        <f>IF(E320=0,"",VLOOKUP(E320,'Tablas Técnicas'!$A$14:$V$771,3,FALSE))</f>
        <v/>
      </c>
      <c r="H320" s="3033" t="str">
        <f>IF($E320=0,"",VLOOKUP($E320,'Tablas Técnicas'!$A$14:$V$771,4,FALSE))</f>
        <v/>
      </c>
      <c r="I320" s="987" t="s">
        <v>1690</v>
      </c>
      <c r="J320" s="1411" t="str">
        <f>IF(E320=0,"",VLOOKUP(E320,'Tablas Técnicas'!$A$14:$V$771,5,FALSE))</f>
        <v/>
      </c>
      <c r="K320" s="1006" t="str">
        <f>IF(I320="Si",IF(E320=0,"",VLOOKUP(E320,'Tablas Técnicas'!$A$14:$V$771,5,FALSE)),"")</f>
        <v/>
      </c>
      <c r="L320" s="987" t="s">
        <v>1690</v>
      </c>
      <c r="M320" s="1411" t="str">
        <f>IF(E320=0,"",VLOOKUP(E320,'Tablas Técnicas'!$A$14:$V$771,6,FALSE))</f>
        <v/>
      </c>
      <c r="N320" s="990" t="str">
        <f>IF(L320="Si",IF(E320=0,"",VLOOKUP(E320,'Tablas Técnicas'!$A$14:$V$771,6,FALSE)),"")</f>
        <v/>
      </c>
      <c r="O320" s="987" t="s">
        <v>1690</v>
      </c>
      <c r="P320" s="1411" t="str">
        <f>IF(E320=0,"",VLOOKUP(E320,'Tablas Técnicas'!$A$14:$V$771,7,FALSE))</f>
        <v/>
      </c>
      <c r="Q320" s="990" t="str">
        <f>IF(O320="Si",IF(E320=0,"",VLOOKUP(E320,'Tablas Técnicas'!$A$14:$V$771,7,FALSE)),"")</f>
        <v/>
      </c>
      <c r="R320" s="1005" t="str">
        <f>IF(E320=0,"",VLOOKUP(E320,'Tablas Técnicas'!$A$14:$V$771,8,FALSE))</f>
        <v/>
      </c>
      <c r="S320" s="3033" t="str">
        <f>IF(R320=$D$8,$D$8,IF(R320=2,2,IF(R320=3,3,R320)))</f>
        <v/>
      </c>
      <c r="T320" s="4809"/>
      <c r="U320" s="4810"/>
      <c r="V320" s="3029" t="str">
        <f>IF(OR(V318=0,V318=""),"N/A",V318)</f>
        <v>N/A</v>
      </c>
      <c r="W320" s="4809" t="str">
        <f xml:space="preserve"> IF(OR(AF318=0,AF318=""),"N/A",W318)</f>
        <v>N/A</v>
      </c>
      <c r="X320" s="4811"/>
      <c r="Y320" s="4811"/>
      <c r="Z320" s="4811"/>
      <c r="AA320" s="4811"/>
      <c r="AB320" s="4811"/>
      <c r="AC320" s="4811"/>
      <c r="AD320" s="4811"/>
      <c r="AE320" s="4811"/>
      <c r="AF320" s="4810"/>
      <c r="AG320" s="4809" t="str">
        <f xml:space="preserve"> IF(OR(AP318="",AP318=0),"N/A",AG318)</f>
        <v>N/A</v>
      </c>
      <c r="AH320" s="4811"/>
      <c r="AI320" s="4811"/>
      <c r="AJ320" s="4811"/>
      <c r="AK320" s="4811"/>
      <c r="AL320" s="4811"/>
      <c r="AM320" s="4811"/>
      <c r="AN320" s="4811"/>
      <c r="AO320" s="4811"/>
      <c r="AP320" s="4810"/>
      <c r="AQ320" s="4809" t="str">
        <f xml:space="preserve"> IF(OR(AZ318="",AZ318=0),"N/A",AQ318)</f>
        <v>N/A</v>
      </c>
      <c r="AR320" s="4811"/>
      <c r="AS320" s="4811"/>
      <c r="AT320" s="4811"/>
      <c r="AU320" s="4811"/>
      <c r="AV320" s="4811"/>
      <c r="AW320" s="4811"/>
      <c r="AX320" s="4811"/>
      <c r="AY320" s="4811"/>
      <c r="AZ320" s="4810"/>
      <c r="BA320" s="4809" t="str">
        <f xml:space="preserve"> IF(OR(BJ318="",BJ318=0),"N/A",BA318)</f>
        <v>N/A</v>
      </c>
      <c r="BB320" s="4811"/>
      <c r="BC320" s="4811"/>
      <c r="BD320" s="4811"/>
      <c r="BE320" s="4811"/>
      <c r="BF320" s="4811"/>
      <c r="BG320" s="4811"/>
      <c r="BH320" s="4811"/>
      <c r="BI320" s="4811"/>
      <c r="BJ320" s="4810"/>
      <c r="BK320" s="1007" t="s">
        <v>4543</v>
      </c>
      <c r="BL320" s="989"/>
      <c r="BM320" s="1024"/>
      <c r="BN320" s="1008"/>
      <c r="BO320" s="1009"/>
      <c r="BP320" s="1010" t="str">
        <f>IF(I320="Si",VLOOKUP($D$8,'Tablas Técnicas'!$E$4:$F$6,2,FALSE),"")</f>
        <v/>
      </c>
      <c r="BQ320" s="980" t="str">
        <f>IF(L320="Si",VLOOKUP($D$8,'Tablas Técnicas'!$I$4:$J$6,2,FALSE),"")</f>
        <v/>
      </c>
      <c r="BR320" s="1011" t="str">
        <f>IF(O320="Si",VLOOKUP($D$8,'Tablas Técnicas'!$I$7:$J$9,2,FALSE),"")</f>
        <v/>
      </c>
      <c r="BS320" s="994"/>
      <c r="BT320" s="3023" t="s">
        <v>1809</v>
      </c>
      <c r="BU320" s="3024" t="s">
        <v>4550</v>
      </c>
      <c r="BV320" s="971"/>
      <c r="BW320" s="3024" t="s">
        <v>4551</v>
      </c>
      <c r="BX320" s="3023" t="s">
        <v>4552</v>
      </c>
      <c r="BY320" s="1301" t="s">
        <v>4552</v>
      </c>
      <c r="BZ320" s="1304"/>
      <c r="CA320" s="939"/>
      <c r="DR320" s="939"/>
      <c r="DT320" s="1325"/>
      <c r="DU320" s="1379"/>
      <c r="DV320" s="1376" t="str">
        <f>IF(E320="","",E320)&amp;IF(I320="No",""," (Mant.)")&amp;IF(L320="No",""," (Sme)")&amp;IF(O320="No",""," (SMa)")</f>
        <v/>
      </c>
      <c r="DW320" s="1376"/>
      <c r="DX320" s="1378"/>
      <c r="DY320" s="1324"/>
      <c r="DZ320" s="939"/>
      <c r="EA320" s="1470">
        <f t="shared" si="4"/>
        <v>1</v>
      </c>
    </row>
    <row r="321" spans="1:131" x14ac:dyDescent="0.2">
      <c r="A321" s="939"/>
      <c r="B321" s="939"/>
      <c r="C321" s="4822"/>
      <c r="D321" s="1452" t="s">
        <v>1766</v>
      </c>
      <c r="E321" s="995"/>
      <c r="F321" s="1025"/>
      <c r="G321" s="1437" t="str">
        <f>IF(E321=0,"",VLOOKUP(E321,'Tablas Técnicas'!$A$14:$V$771,3,FALSE))</f>
        <v/>
      </c>
      <c r="H321" s="998" t="str">
        <f>IF($E321=0,"",VLOOKUP($E321,'Tablas Técnicas'!$A$14:$V$771,4,FALSE))</f>
        <v/>
      </c>
      <c r="I321" s="999" t="s">
        <v>1690</v>
      </c>
      <c r="J321" s="1415" t="str">
        <f>IF(E321=0,"",VLOOKUP(E321,'Tablas Técnicas'!$A$14:$V$771,5,FALSE))</f>
        <v/>
      </c>
      <c r="K321" s="1001" t="str">
        <f>IF(I321="Si",IF(E321=0,"",VLOOKUP(E321,'Tablas Técnicas'!$A$14:$V$771,5,FALSE)),"")</f>
        <v/>
      </c>
      <c r="L321" s="999" t="s">
        <v>1690</v>
      </c>
      <c r="M321" s="1415" t="str">
        <f>IF(E321=0,"",VLOOKUP(E321,'Tablas Técnicas'!$A$14:$V$771,6,FALSE))</f>
        <v/>
      </c>
      <c r="N321" s="1002" t="str">
        <f>IF(L321="Si",IF(E321=0,"",VLOOKUP(E321,'Tablas Técnicas'!$A$14:$V$771,6,FALSE)),"")</f>
        <v/>
      </c>
      <c r="O321" s="999" t="s">
        <v>1690</v>
      </c>
      <c r="P321" s="1415" t="str">
        <f>IF(E321=0,"",VLOOKUP(E321,'Tablas Técnicas'!$A$14:$V$771,7,FALSE))</f>
        <v/>
      </c>
      <c r="Q321" s="1002" t="str">
        <f>IF(O321="Si",IF(E321=0,"",VLOOKUP(E321,'Tablas Técnicas'!$A$14:$V$771,7,FALSE)),"")</f>
        <v/>
      </c>
      <c r="R321" s="1000" t="str">
        <f>IF(E321=0,"",VLOOKUP(E321,'Tablas Técnicas'!$A$14:$V$771,8,FALSE))</f>
        <v/>
      </c>
      <c r="S321" s="998" t="str">
        <f>IF(R321=$D$8,$D$8,IF(R321=2,2,IF(R321=3,3,R321)))</f>
        <v/>
      </c>
      <c r="T321" s="4812" t="s">
        <v>4544</v>
      </c>
      <c r="U321" s="4813"/>
      <c r="V321" s="3025"/>
      <c r="W321" s="4814"/>
      <c r="X321" s="4815"/>
      <c r="Y321" s="4815"/>
      <c r="Z321" s="4815"/>
      <c r="AA321" s="4815"/>
      <c r="AB321" s="4815"/>
      <c r="AC321" s="4815"/>
      <c r="AD321" s="4815"/>
      <c r="AE321" s="4815"/>
      <c r="AF321" s="4816"/>
      <c r="AG321" s="4814"/>
      <c r="AH321" s="4815"/>
      <c r="AI321" s="4815"/>
      <c r="AJ321" s="4815"/>
      <c r="AK321" s="4815"/>
      <c r="AL321" s="4815"/>
      <c r="AM321" s="4815"/>
      <c r="AN321" s="4815"/>
      <c r="AO321" s="4815"/>
      <c r="AP321" s="4816"/>
      <c r="AQ321" s="4814"/>
      <c r="AR321" s="4815"/>
      <c r="AS321" s="4815"/>
      <c r="AT321" s="4815"/>
      <c r="AU321" s="4815"/>
      <c r="AV321" s="4815"/>
      <c r="AW321" s="4815"/>
      <c r="AX321" s="4815"/>
      <c r="AY321" s="4815"/>
      <c r="AZ321" s="4816"/>
      <c r="BA321" s="4814"/>
      <c r="BB321" s="4815"/>
      <c r="BC321" s="4815"/>
      <c r="BD321" s="4815"/>
      <c r="BE321" s="4815"/>
      <c r="BF321" s="4815"/>
      <c r="BG321" s="4815"/>
      <c r="BH321" s="4815"/>
      <c r="BI321" s="4815"/>
      <c r="BJ321" s="4816"/>
      <c r="BK321" s="998">
        <f>(SUM(G318:G322)+IF(AF318="",0,AF318)+IF(AP318="",0,AP318)+IF(AZ318="",0,AZ318)+IF(BJ318="",0,BJ318)+SUM(K318:K322)+SUM(N318:N322)+SUM(Q318:Q322))- SUM(V321:BA321)</f>
        <v>0</v>
      </c>
      <c r="BL321" s="1437"/>
      <c r="BM321" s="1438"/>
      <c r="BN321" s="992"/>
      <c r="BO321" s="993"/>
      <c r="BP321" s="978" t="str">
        <f>IF(I321="Si",VLOOKUP($D$8,'Tablas Técnicas'!$E$4:$F$6,2,FALSE),"")</f>
        <v/>
      </c>
      <c r="BQ321" s="979" t="str">
        <f>IF(L321="Si",VLOOKUP($D$8,'Tablas Técnicas'!$I$4:$J$6,2,FALSE),"")</f>
        <v/>
      </c>
      <c r="BR321" s="977" t="str">
        <f>IF(O321="Si",VLOOKUP($D$8,'Tablas Técnicas'!$I$7:$J$9,2,FALSE),"")</f>
        <v/>
      </c>
      <c r="BS321" s="994"/>
      <c r="BT321" s="3028">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356"/>
      <c r="BV321" s="971"/>
      <c r="BW321" s="1026" t="str">
        <f>IF(SUM(BT321:BU321)=0,"N/A",SUM(BT321:BU321))</f>
        <v>N/A</v>
      </c>
      <c r="BX321" s="3028">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26" t="str">
        <f>IF(BX321=0,"N/A",BX321)</f>
        <v>N/A</v>
      </c>
      <c r="BZ321" s="1304"/>
      <c r="CA321" s="943"/>
      <c r="DR321" s="943"/>
      <c r="DT321" s="1326"/>
      <c r="DU321" s="1375"/>
      <c r="DV321" s="1376" t="str">
        <f>IF(E321="","",E321)&amp;IF(I321="No",""," (Mant.)")&amp;IF(L321="No",""," (Sme)")&amp;IF(O321="No",""," (SMa)")</f>
        <v/>
      </c>
      <c r="DW321" s="1376"/>
      <c r="DX321" s="1381"/>
      <c r="DY321" s="1327"/>
      <c r="DZ321" s="943"/>
      <c r="EA321" s="1470">
        <f t="shared" si="4"/>
        <v>1</v>
      </c>
    </row>
    <row r="322" spans="1:131" x14ac:dyDescent="0.2">
      <c r="A322" s="939"/>
      <c r="B322" s="939"/>
      <c r="C322" s="4822"/>
      <c r="D322" s="1453" t="s">
        <v>1766</v>
      </c>
      <c r="E322" s="1003"/>
      <c r="F322" s="1019"/>
      <c r="G322" s="989" t="str">
        <f>IF(E322=0,"",VLOOKUP(E322,'Tablas Técnicas'!$A$14:$V$771,3,FALSE))</f>
        <v/>
      </c>
      <c r="H322" s="1014" t="str">
        <f>IF($E322=0,"",VLOOKUP($E322,'Tablas Técnicas'!$A$14:$V$771,4,FALSE))</f>
        <v/>
      </c>
      <c r="I322" s="987" t="s">
        <v>1690</v>
      </c>
      <c r="J322" s="1418" t="str">
        <f>IF(E322=0,"",VLOOKUP(E322,'Tablas Técnicas'!$A$14:$V$771,5,FALSE))</f>
        <v/>
      </c>
      <c r="K322" s="1015" t="str">
        <f>IF(I322="Si",IF(E322=0,"",VLOOKUP(E322,'Tablas Técnicas'!$A$14:$V$771,5,FALSE)),"")</f>
        <v/>
      </c>
      <c r="L322" s="987" t="s">
        <v>1690</v>
      </c>
      <c r="M322" s="1418" t="str">
        <f>IF(E322=0,"",VLOOKUP(E322,'Tablas Técnicas'!$A$14:$V$771,6,FALSE))</f>
        <v/>
      </c>
      <c r="N322" s="990" t="str">
        <f>IF(L322="Si",IF(E322=0,"",VLOOKUP(E322,'Tablas Técnicas'!$A$14:$V$771,6,FALSE)),"")</f>
        <v/>
      </c>
      <c r="O322" s="987" t="s">
        <v>1690</v>
      </c>
      <c r="P322" s="1418" t="str">
        <f>IF(E322=0,"",VLOOKUP(E322,'Tablas Técnicas'!$A$14:$V$771,7,FALSE))</f>
        <v/>
      </c>
      <c r="Q322" s="990" t="str">
        <f>IF(O322="Si",IF(E322=0,"",VLOOKUP(E322,'Tablas Técnicas'!$A$14:$V$771,7,FALSE)),"")</f>
        <v/>
      </c>
      <c r="R322" s="1035" t="str">
        <f>IF(E322=0,"",VLOOKUP(E322,'Tablas Técnicas'!$A$14:$V$771,8,FALSE))</f>
        <v/>
      </c>
      <c r="S322" s="1004" t="str">
        <f>IF(R322=$D$8,$D$8,IF(R322=2,2,IF(R322=3,3,R322)))</f>
        <v/>
      </c>
      <c r="T322" s="4803" t="s">
        <v>4546</v>
      </c>
      <c r="U322" s="4804"/>
      <c r="V322" s="3032"/>
      <c r="W322" s="4805"/>
      <c r="X322" s="4806"/>
      <c r="Y322" s="4806"/>
      <c r="Z322" s="4806"/>
      <c r="AA322" s="4806"/>
      <c r="AB322" s="4806"/>
      <c r="AC322" s="4806"/>
      <c r="AD322" s="4806"/>
      <c r="AE322" s="4806"/>
      <c r="AF322" s="4807"/>
      <c r="AG322" s="4805"/>
      <c r="AH322" s="4806"/>
      <c r="AI322" s="4806"/>
      <c r="AJ322" s="4806"/>
      <c r="AK322" s="4806"/>
      <c r="AL322" s="4806"/>
      <c r="AM322" s="4806"/>
      <c r="AN322" s="4806"/>
      <c r="AO322" s="4806"/>
      <c r="AP322" s="4807"/>
      <c r="AQ322" s="4805"/>
      <c r="AR322" s="4806"/>
      <c r="AS322" s="4806"/>
      <c r="AT322" s="4806"/>
      <c r="AU322" s="4806"/>
      <c r="AV322" s="4806"/>
      <c r="AW322" s="4806"/>
      <c r="AX322" s="4806"/>
      <c r="AY322" s="4806"/>
      <c r="AZ322" s="4807"/>
      <c r="BA322" s="4805"/>
      <c r="BB322" s="4806"/>
      <c r="BC322" s="4806"/>
      <c r="BD322" s="4806"/>
      <c r="BE322" s="4806"/>
      <c r="BF322" s="4806"/>
      <c r="BG322" s="4806"/>
      <c r="BH322" s="4806"/>
      <c r="BI322" s="4806"/>
      <c r="BJ322" s="4807"/>
      <c r="BK322" s="1014">
        <f>SUM(K318:K322)-SUM(V322:BA322)</f>
        <v>0</v>
      </c>
      <c r="BL322" s="1439"/>
      <c r="BM322" s="1440"/>
      <c r="BN322" s="1008"/>
      <c r="BO322" s="1009"/>
      <c r="BP322" s="1010" t="str">
        <f>IF(I322="Si",VLOOKUP($D$8,'Tablas Técnicas'!$E$4:$F$6,2,FALSE),"")</f>
        <v/>
      </c>
      <c r="BQ322" s="980" t="str">
        <f>IF(L322="Si",VLOOKUP($D$8,'Tablas Técnicas'!$I$4:$J$6,2,FALSE),"")</f>
        <v/>
      </c>
      <c r="BR322" s="1011" t="str">
        <f>IF(O322="Si",VLOOKUP($D$8,'Tablas Técnicas'!$I$7:$J$9,2,FALSE),"")</f>
        <v/>
      </c>
      <c r="BS322" s="994"/>
      <c r="BT322" s="3023" t="s">
        <v>1687</v>
      </c>
      <c r="BU322" s="3024" t="s">
        <v>4550</v>
      </c>
      <c r="BV322" s="971"/>
      <c r="BW322" s="3024" t="s">
        <v>4551</v>
      </c>
      <c r="BX322" s="3023" t="s">
        <v>4552</v>
      </c>
      <c r="BY322" s="1301" t="s">
        <v>4552</v>
      </c>
      <c r="BZ322" s="1304"/>
      <c r="CA322" s="939"/>
      <c r="DR322" s="939"/>
      <c r="DT322" s="1325"/>
      <c r="DU322" s="1379"/>
      <c r="DV322" s="1376" t="str">
        <f>IF(E322="","",E322)&amp;IF(I322="No",""," (Mant.)")&amp;IF(L322="No",""," (Sme)")&amp;IF(O322="No",""," (SMa)")</f>
        <v/>
      </c>
      <c r="DW322" s="1376"/>
      <c r="DX322" s="1378"/>
      <c r="DY322" s="1324"/>
      <c r="DZ322" s="939"/>
      <c r="EA322" s="1470">
        <f t="shared" si="4"/>
        <v>1</v>
      </c>
    </row>
    <row r="323" spans="1:131" x14ac:dyDescent="0.2">
      <c r="A323" s="939"/>
      <c r="B323" s="1403"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822"/>
      <c r="D323" s="1454">
        <v>4</v>
      </c>
      <c r="E323" s="1246"/>
      <c r="F323" s="1016"/>
      <c r="G323" s="1017"/>
      <c r="H323" s="2159">
        <f t="array" ref="H323">IF(AND(OR(ISNUMBER(SEARCH("Empatía Elemental ("&amp;BK318:BM318&amp;")",Principal!$AF$30))),SUM(H318:H322)&gt;=10),-5,0)</f>
        <v>0</v>
      </c>
      <c r="I323" s="1413"/>
      <c r="J323" s="1416"/>
      <c r="K323" s="1017"/>
      <c r="L323" s="1413"/>
      <c r="M323" s="1416"/>
      <c r="N323" s="1017"/>
      <c r="O323" s="1413"/>
      <c r="P323" s="1416"/>
      <c r="Q323" s="1017"/>
      <c r="R323" s="1018"/>
      <c r="S323" s="1017"/>
      <c r="T323" s="1017"/>
      <c r="U323" s="1017"/>
      <c r="V323" s="1017"/>
      <c r="W323" s="1017"/>
      <c r="X323" s="1017"/>
      <c r="Y323" s="1017"/>
      <c r="Z323" s="1017"/>
      <c r="AA323" s="1017"/>
      <c r="AB323" s="1017"/>
      <c r="AC323" s="1017"/>
      <c r="AD323" s="1017"/>
      <c r="AE323" s="1017"/>
      <c r="AF323" s="1017"/>
      <c r="AG323" s="1017"/>
      <c r="AH323" s="1017"/>
      <c r="AI323" s="1017"/>
      <c r="AJ323" s="1017"/>
      <c r="AK323" s="1017"/>
      <c r="AL323" s="1017"/>
      <c r="AM323" s="1017"/>
      <c r="AN323" s="1017"/>
      <c r="AO323" s="1017"/>
      <c r="AP323" s="1017"/>
      <c r="AQ323" s="1017"/>
      <c r="AR323" s="1017"/>
      <c r="AS323" s="1017"/>
      <c r="AT323" s="1017"/>
      <c r="AU323" s="1017"/>
      <c r="AV323" s="1017"/>
      <c r="AW323" s="1017"/>
      <c r="AX323" s="1017"/>
      <c r="AY323" s="1017"/>
      <c r="AZ323" s="1017"/>
      <c r="BA323" s="1017"/>
      <c r="BB323" s="1017"/>
      <c r="BC323" s="1017"/>
      <c r="BD323" s="1017"/>
      <c r="BE323" s="1017"/>
      <c r="BF323" s="1017"/>
      <c r="BG323" s="1017"/>
      <c r="BH323" s="1017"/>
      <c r="BI323" s="1017"/>
      <c r="BJ323" s="1017"/>
      <c r="BK323" s="1017"/>
      <c r="BL323" s="1017"/>
      <c r="BM323" s="1027"/>
      <c r="BN323" s="1028">
        <f>SUM(K323:K326)</f>
        <v>0</v>
      </c>
      <c r="BO323" s="971" t="str">
        <f>IF(E323=0,"",(AF323+AP323+AZ323+BJ323))</f>
        <v/>
      </c>
      <c r="BP323" s="1029" t="str">
        <f>IF(I323="Si",VLOOKUP($D$8,'Tablas Técnicas'!$E$4:$F$6,2,FALSE),"")</f>
        <v/>
      </c>
      <c r="BQ323" s="1030" t="str">
        <f>IF(L323="Si",VLOOKUP($D$8,'Tablas Técnicas'!$I$4:$J$6,2,FALSE),"")</f>
        <v/>
      </c>
      <c r="BR323" s="1028" t="str">
        <f>IF(O323="Si",VLOOKUP($D$8,'Tablas Técnicas'!$I$7:$J$9,2,FALSE),"")</f>
        <v/>
      </c>
      <c r="BS323" s="994"/>
      <c r="BT323" s="3028">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356"/>
      <c r="BV323" s="971"/>
      <c r="BW323" s="1026" t="str">
        <f>IF(SUM(BT323:BU323)=0,"N/A",SUM(BT323:BU323))</f>
        <v>N/A</v>
      </c>
      <c r="BX323" s="3028">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26" t="str">
        <f>IF(BX323=0,"N/A",BX323)</f>
        <v>N/A</v>
      </c>
      <c r="BZ323" s="1304"/>
      <c r="CA323" s="939"/>
      <c r="DR323" s="939"/>
      <c r="DT323" s="1325"/>
      <c r="DU323" s="1379"/>
      <c r="DV323" s="1380"/>
      <c r="DW323" s="1376"/>
      <c r="DX323" s="1378"/>
      <c r="DY323" s="1324"/>
      <c r="DZ323" s="939"/>
      <c r="EA323" s="1470">
        <f t="shared" si="4"/>
        <v>1</v>
      </c>
    </row>
    <row r="324" spans="1:131" x14ac:dyDescent="0.2">
      <c r="A324" s="939"/>
      <c r="B324" s="939"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822"/>
      <c r="D324" s="1453" t="s">
        <v>1766</v>
      </c>
      <c r="E324" s="983"/>
      <c r="F324" s="1019"/>
      <c r="G324" s="989" t="str">
        <f>IF(E324=0,"",VLOOKUP(E324,'Tablas Técnicas'!$A$14:$V$771,3,FALSE))</f>
        <v/>
      </c>
      <c r="H324" s="1031" t="str">
        <f>IF($E324=0,"",VLOOKUP($E324,'Tablas Técnicas'!$A$14:$V$771,4,FALSE))</f>
        <v/>
      </c>
      <c r="I324" s="987" t="s">
        <v>1690</v>
      </c>
      <c r="J324" s="1417" t="str">
        <f>IF(E324=0,"",VLOOKUP(E324,'Tablas Técnicas'!$A$14:$V$771,5,FALSE))</f>
        <v/>
      </c>
      <c r="K324" s="1033" t="str">
        <f>IF(I324="Si",IF(E324=0,"",VLOOKUP(E324,'Tablas Técnicas'!$A$14:$V$771,5,FALSE)),"")</f>
        <v/>
      </c>
      <c r="L324" s="987" t="s">
        <v>1690</v>
      </c>
      <c r="M324" s="1417" t="str">
        <f>IF(E324=0,"",VLOOKUP(E324,'Tablas Técnicas'!$A$14:$V$771,6,FALSE))</f>
        <v/>
      </c>
      <c r="N324" s="990" t="str">
        <f>IF(L324="Si",IF(E324=0,"",VLOOKUP(E324,'Tablas Técnicas'!$A$14:$V$771,6,FALSE)),"")</f>
        <v/>
      </c>
      <c r="O324" s="987" t="s">
        <v>1690</v>
      </c>
      <c r="P324" s="1417" t="str">
        <f>IF(E324=0,"",VLOOKUP(E324,'Tablas Técnicas'!$A$14:$V$771,7,FALSE))</f>
        <v/>
      </c>
      <c r="Q324" s="990" t="str">
        <f>IF(O324="Si",IF(E324=0,"",VLOOKUP(E324,'Tablas Técnicas'!$A$14:$V$771,7,FALSE)),"")</f>
        <v/>
      </c>
      <c r="R324" s="1032" t="str">
        <f>IF(E324=0,"",VLOOKUP(E324,'Tablas Técnicas'!$A$14:$V$771,8,FALSE))</f>
        <v/>
      </c>
      <c r="S324" s="1004" t="str">
        <f>IF(R324=$D$8,$D$8,IF(R324=2,2,IF(R324=3,3,R324)))</f>
        <v/>
      </c>
      <c r="T324" s="1033" t="str">
        <f>IF(E324=0,"",VLOOKUP(E324,'Tablas Técnicas'!$A$14:$V$771,9,FALSE))</f>
        <v/>
      </c>
      <c r="U324" s="1033" t="str">
        <f>IF(E324=0,"",VLOOKUP(E324,'Tablas Técnicas'!$A$14:$V$771,10,FALSE))</f>
        <v/>
      </c>
      <c r="V324" s="1034" t="str">
        <f>IF(E324=0,"",VLOOKUP(E324,'Tablas Técnicas'!$A$14:$V$771,11,FALSE))</f>
        <v/>
      </c>
      <c r="W324" s="987"/>
      <c r="X324" s="988" t="e">
        <f>VLOOKUP(E324,'Tablas Técnicas'!$A$14:$V$771,12,FALSE)</f>
        <v>#N/A</v>
      </c>
      <c r="Y324" s="988" t="e">
        <f>IF(W324=X324,VLOOKUP(E324,'Tablas Técnicas'!$A$14:$V$771,13,FALSE),0)</f>
        <v>#N/A</v>
      </c>
      <c r="Z324" s="988" t="e">
        <f>VLOOKUP(E324,'Tablas Técnicas'!$A$14:$V$771,14,FALSE)</f>
        <v>#N/A</v>
      </c>
      <c r="AA324" s="988" t="e">
        <f>IF(W324=Z324,VLOOKUP(E324,'Tablas Técnicas'!$A$14:$V$616,15,FALSE),0)</f>
        <v>#N/A</v>
      </c>
      <c r="AB324" s="988" t="e">
        <f>VLOOKUP(E324,'Tablas Técnicas'!$A$14:$V$771,16,FALSE)</f>
        <v>#N/A</v>
      </c>
      <c r="AC324" s="988" t="e">
        <f>IF(W324=AB324,VLOOKUP(E324,'Tablas Técnicas'!$A$14:$V$616,17,FALSE),0)</f>
        <v>#N/A</v>
      </c>
      <c r="AD324" s="988" t="e">
        <f>VLOOKUP(E324,'Tablas Técnicas'!$A$14:$V$771,18,FALSE)</f>
        <v>#N/A</v>
      </c>
      <c r="AE324" s="988" t="e">
        <f>IF(W324=AD324,VLOOKUP(E324,'Tablas Técnicas'!$A$14:$V$771,19,FALSE),0)</f>
        <v>#N/A</v>
      </c>
      <c r="AF324" s="1006" t="str">
        <f>IF(E324=0,"",(Y324+AA324+AC324+AE324))</f>
        <v/>
      </c>
      <c r="AG324" s="987"/>
      <c r="AH324" s="1005" t="e">
        <f>VLOOKUP(E324,'Tablas Técnicas'!$A$14:$V$771,12,FALSE)</f>
        <v>#N/A</v>
      </c>
      <c r="AI324" s="1005" t="e">
        <f>IF(AG324=AH324,VLOOKUP(E324,'Tablas Técnicas'!$A$14:$V$771,13,FALSE),0)</f>
        <v>#N/A</v>
      </c>
      <c r="AJ324" s="1005" t="e">
        <f>VLOOKUP(E324,'Tablas Técnicas'!$A$14:$V$771,14,FALSE)</f>
        <v>#N/A</v>
      </c>
      <c r="AK324" s="1005" t="e">
        <f>IF(AG324=AJ324,VLOOKUP(E324,'Tablas Técnicas'!$A$14:$V$771,15,FALSE),0)</f>
        <v>#N/A</v>
      </c>
      <c r="AL324" s="1005" t="e">
        <f>VLOOKUP(E324,'Tablas Técnicas'!$A$14:$V$771,16,FALSE)</f>
        <v>#N/A</v>
      </c>
      <c r="AM324" s="1005" t="e">
        <f>IF(AG324=AL324,VLOOKUP(E324,'Tablas Técnicas'!$A$14:$V$771,17,FALSE),0)</f>
        <v>#N/A</v>
      </c>
      <c r="AN324" s="1005" t="e">
        <f>VLOOKUP(E324,'Tablas Técnicas'!$A$14:$V$771,18,FALSE)</f>
        <v>#N/A</v>
      </c>
      <c r="AO324" s="1005" t="e">
        <f>IF(AG324=AN324,VLOOKUP(E324,'Tablas Técnicas'!$A$14:$V$771,19,FALSE),0)</f>
        <v>#N/A</v>
      </c>
      <c r="AP324" s="3034" t="str">
        <f>IF(E324=0,"",(AI324+AK324+AM324+AO324))</f>
        <v/>
      </c>
      <c r="AQ324" s="987"/>
      <c r="AR324" s="1005" t="e">
        <f>VLOOKUP(E324,'Tablas Técnicas'!$A$14:$V$771,12,FALSE)</f>
        <v>#N/A</v>
      </c>
      <c r="AS324" s="1005" t="e">
        <f>IF(AQ324=AR324,VLOOKUP(E324,'Tablas Técnicas'!$A$14:$V$771,13,FALSE),0)</f>
        <v>#N/A</v>
      </c>
      <c r="AT324" s="1005" t="e">
        <f>VLOOKUP(E324,'Tablas Técnicas'!$A$14:$V$771,14,FALSE)</f>
        <v>#N/A</v>
      </c>
      <c r="AU324" s="1005" t="e">
        <f>IF(AQ324=AT324,VLOOKUP(E324,'Tablas Técnicas'!$A$14:$V$771,15,FALSE),0)</f>
        <v>#N/A</v>
      </c>
      <c r="AV324" s="1005" t="e">
        <f>VLOOKUP(E324,'Tablas Técnicas'!$A$14:$V$771,16,FALSE)</f>
        <v>#N/A</v>
      </c>
      <c r="AW324" s="1005" t="e">
        <f>IF(AQ324=AV324,VLOOKUP(E324,'Tablas Técnicas'!$A$14:$V$771,17,FALSE),0)</f>
        <v>#N/A</v>
      </c>
      <c r="AX324" s="1005" t="e">
        <f>VLOOKUP(E324,'Tablas Técnicas'!$A$14:$V$771,18,FALSE)</f>
        <v>#N/A</v>
      </c>
      <c r="AY324" s="1005" t="e">
        <f>IF(AQ324=AX324,VLOOKUP(E324,'Tablas Técnicas'!$A$14:$V$771,19,FALSE),0)</f>
        <v>#N/A</v>
      </c>
      <c r="AZ324" s="1006" t="str">
        <f>IF(E324=0,"",(AS324+AU324+AW324+AY324))</f>
        <v/>
      </c>
      <c r="BA324" s="987"/>
      <c r="BB324" s="1005" t="e">
        <f>VLOOKUP(E324,'Tablas Técnicas'!$A$14:$V$771,12,FALSE)</f>
        <v>#N/A</v>
      </c>
      <c r="BC324" s="1005" t="e">
        <f>IF(BA324=BB324,VLOOKUP(E324,'Tablas Técnicas'!$A$14:$V$771,13,FALSE),0)</f>
        <v>#N/A</v>
      </c>
      <c r="BD324" s="1005" t="e">
        <f>VLOOKUP(E324,'Tablas Técnicas'!$A$14:$V$771,14,FALSE)</f>
        <v>#N/A</v>
      </c>
      <c r="BE324" s="1005" t="e">
        <f>IF(BA324=BD324,VLOOKUP(E324,'Tablas Técnicas'!$A$14:$V$771,15,FALSE),0)</f>
        <v>#N/A</v>
      </c>
      <c r="BF324" s="1005" t="e">
        <f>VLOOKUP(E324,'Tablas Técnicas'!$A$14:$V$771,16,FALSE)</f>
        <v>#N/A</v>
      </c>
      <c r="BG324" s="1005" t="e">
        <f>IF(BA324=BF324,VLOOKUP(E324,'Tablas Técnicas'!$A$14:$V$771,17,FALSE),0)</f>
        <v>#N/A</v>
      </c>
      <c r="BH324" s="1005" t="e">
        <f>VLOOKUP(E324,'Tablas Técnicas'!$A$14:$V$771,18,FALSE)</f>
        <v>#N/A</v>
      </c>
      <c r="BI324" s="1005" t="e">
        <f>IF(BA324=BH324,VLOOKUP(E324,'Tablas Técnicas'!$A$14:$V$771,19,FALSE),0)</f>
        <v>#N/A</v>
      </c>
      <c r="BJ324" s="3034" t="str">
        <f>IF(E324=0,"",(BC324+BE324+BG324+BI324))</f>
        <v/>
      </c>
      <c r="BK324" s="1033" t="str">
        <f>IF(E324=0,"",VLOOKUP(E324,'Tablas Técnicas'!$A$14:$V$771,20,FALSE))</f>
        <v/>
      </c>
      <c r="BL324" s="1020" t="str">
        <f>IF(E324=0,"",VLOOKUP(E324,'Tablas Técnicas'!$A$14:$V$771,21,FALSE))</f>
        <v/>
      </c>
      <c r="BM324" s="991" t="str">
        <f>IF(E324=0,"",VLOOKUP(E324,'Tablas Técnicas'!$A$14:$V$771,22,FALSE))</f>
        <v/>
      </c>
      <c r="BN324" s="992"/>
      <c r="BO324" s="993"/>
      <c r="BP324" s="978" t="str">
        <f>IF(I324="Si",VLOOKUP($D$8,'Tablas Técnicas'!$E$4:$F$6,2,FALSE),"")</f>
        <v/>
      </c>
      <c r="BQ324" s="979" t="str">
        <f>IF(L324="Si",VLOOKUP($D$8,'Tablas Técnicas'!$I$4:$J$6,2,FALSE),"")</f>
        <v/>
      </c>
      <c r="BR324" s="977" t="str">
        <f>IF(O324="Si",VLOOKUP($D$8,'Tablas Técnicas'!$I$7:$J$9,2,FALSE),"")</f>
        <v/>
      </c>
      <c r="BS324" s="994"/>
      <c r="BT324" s="3023" t="s">
        <v>1692</v>
      </c>
      <c r="BU324" s="3024" t="s">
        <v>4550</v>
      </c>
      <c r="BV324" s="971"/>
      <c r="BW324" s="3024" t="s">
        <v>4551</v>
      </c>
      <c r="BX324" s="3023" t="s">
        <v>4552</v>
      </c>
      <c r="BY324" s="1301" t="s">
        <v>4552</v>
      </c>
      <c r="BZ324" s="1304"/>
      <c r="CA324" s="939"/>
      <c r="DR324" s="939"/>
      <c r="DT324" s="1325"/>
      <c r="DU324" s="1379"/>
      <c r="DV324" s="1376" t="str">
        <f>IF(E324="","",", "&amp;E324)&amp;IF(I324="No",""," (Mant.)")&amp;IF(L324="No",""," (Sme)")&amp;IF(O324="No",""," (SMa)")</f>
        <v/>
      </c>
      <c r="DW324" s="1376"/>
      <c r="DX324" s="1378"/>
      <c r="DY324" s="1324"/>
      <c r="DZ324" s="939"/>
      <c r="EA324" s="1470">
        <f t="shared" si="4"/>
        <v>1</v>
      </c>
    </row>
    <row r="325" spans="1:131" x14ac:dyDescent="0.2">
      <c r="A325" s="939"/>
      <c r="B325" s="939"/>
      <c r="C325" s="4822"/>
      <c r="D325" s="1452" t="s">
        <v>1766</v>
      </c>
      <c r="E325" s="995"/>
      <c r="F325" s="1025"/>
      <c r="G325" s="1437" t="str">
        <f>IF(E325=0,"",VLOOKUP(E325,'Tablas Técnicas'!$A$14:$V$771,3,FALSE))</f>
        <v/>
      </c>
      <c r="H325" s="998" t="str">
        <f>IF($E325=0,"",VLOOKUP($E325,'Tablas Técnicas'!$A$14:$V$771,4,FALSE))</f>
        <v/>
      </c>
      <c r="I325" s="999" t="s">
        <v>1690</v>
      </c>
      <c r="J325" s="1415" t="str">
        <f>IF(E325=0,"",VLOOKUP(E325,'Tablas Técnicas'!$A$14:$V$771,5,FALSE))</f>
        <v/>
      </c>
      <c r="K325" s="1001" t="str">
        <f>IF(I325="Si",IF(E325=0,"",VLOOKUP(E325,'Tablas Técnicas'!$A$14:$V$771,5,FALSE)),"")</f>
        <v/>
      </c>
      <c r="L325" s="999" t="s">
        <v>1690</v>
      </c>
      <c r="M325" s="1415" t="str">
        <f>IF(E325=0,"",VLOOKUP(E325,'Tablas Técnicas'!$A$14:$V$771,6,FALSE))</f>
        <v/>
      </c>
      <c r="N325" s="1002" t="str">
        <f>IF(L325="Si",IF(E325=0,"",VLOOKUP(E325,'Tablas Técnicas'!$A$14:$V$771,6,FALSE)),"")</f>
        <v/>
      </c>
      <c r="O325" s="999" t="s">
        <v>1690</v>
      </c>
      <c r="P325" s="1415" t="str">
        <f>IF(E325=0,"",VLOOKUP(E325,'Tablas Técnicas'!$A$14:$V$771,7,FALSE))</f>
        <v/>
      </c>
      <c r="Q325" s="1002" t="str">
        <f>IF(O325="Si",IF(E325=0,"",VLOOKUP(E325,'Tablas Técnicas'!$A$14:$V$771,7,FALSE)),"")</f>
        <v/>
      </c>
      <c r="R325" s="1000" t="str">
        <f>IF(E325=0,"",VLOOKUP(E325,'Tablas Técnicas'!$A$14:$V$771,8,FALSE))</f>
        <v/>
      </c>
      <c r="S325" s="998" t="str">
        <f>IF(R325=$D$8,$D$8,IF(R325=2,2,IF(R325=3,3,R325)))</f>
        <v/>
      </c>
      <c r="T325" s="4796" t="s">
        <v>4542</v>
      </c>
      <c r="U325" s="4797"/>
      <c r="V325" s="4797"/>
      <c r="W325" s="4797"/>
      <c r="X325" s="4797"/>
      <c r="Y325" s="4797"/>
      <c r="Z325" s="4797"/>
      <c r="AA325" s="4797"/>
      <c r="AB325" s="4797"/>
      <c r="AC325" s="4797"/>
      <c r="AD325" s="4797"/>
      <c r="AE325" s="4797"/>
      <c r="AF325" s="4797"/>
      <c r="AG325" s="4797"/>
      <c r="AH325" s="4797"/>
      <c r="AI325" s="4797"/>
      <c r="AJ325" s="4797"/>
      <c r="AK325" s="4797"/>
      <c r="AL325" s="4797"/>
      <c r="AM325" s="4797"/>
      <c r="AN325" s="4797"/>
      <c r="AO325" s="4797"/>
      <c r="AP325" s="4797"/>
      <c r="AQ325" s="4797"/>
      <c r="AR325" s="4797"/>
      <c r="AS325" s="4797"/>
      <c r="AT325" s="4797"/>
      <c r="AU325" s="4797"/>
      <c r="AV325" s="4797"/>
      <c r="AW325" s="4797"/>
      <c r="AX325" s="4797"/>
      <c r="AY325" s="4797"/>
      <c r="AZ325" s="4797"/>
      <c r="BA325" s="4797"/>
      <c r="BB325" s="4797"/>
      <c r="BC325" s="4797"/>
      <c r="BD325" s="4797"/>
      <c r="BE325" s="4797"/>
      <c r="BF325" s="4797"/>
      <c r="BG325" s="4797"/>
      <c r="BH325" s="4797"/>
      <c r="BI325" s="4797"/>
      <c r="BJ325" s="4797"/>
      <c r="BK325" s="4798"/>
      <c r="BL325" s="1437"/>
      <c r="BM325" s="1438"/>
      <c r="BN325" s="992"/>
      <c r="BO325" s="993"/>
      <c r="BP325" s="978" t="str">
        <f>IF(I325="Si",VLOOKUP($D$8,'Tablas Técnicas'!$E$4:$F$6,2,FALSE),"")</f>
        <v/>
      </c>
      <c r="BQ325" s="979" t="str">
        <f>IF(L325="Si",VLOOKUP($D$8,'Tablas Técnicas'!$I$4:$J$6,2,FALSE),"")</f>
        <v/>
      </c>
      <c r="BR325" s="977" t="str">
        <f>IF(O325="Si",VLOOKUP($D$8,'Tablas Técnicas'!$I$7:$J$9,2,FALSE),"")</f>
        <v/>
      </c>
      <c r="BS325" s="994"/>
      <c r="BT325" s="3028">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356"/>
      <c r="BV325" s="971"/>
      <c r="BW325" s="1026" t="str">
        <f>IF(SUM(BT325:BU325)=0,"N/A",SUM(BT325:BU325))</f>
        <v>N/A</v>
      </c>
      <c r="BX325" s="3028">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26" t="str">
        <f>IF(BX325=0,"N/A",BX325)</f>
        <v>N/A</v>
      </c>
      <c r="BZ325" s="1304"/>
      <c r="CA325" s="939"/>
      <c r="DR325" s="939"/>
      <c r="DT325" s="1325"/>
      <c r="DU325" s="1379"/>
      <c r="DV325" s="1376" t="str">
        <f>IF(E325="",""," "&amp;E325)&amp;IF(I325="No",""," (Mant.)")&amp;IF(L325="No",""," (Sme)")&amp;IF(O325="No",""," (SMa)")</f>
        <v/>
      </c>
      <c r="DW325" s="1376"/>
      <c r="DX325" s="1378"/>
      <c r="DY325" s="1324"/>
      <c r="DZ325" s="939"/>
      <c r="EA325" s="1470">
        <f t="shared" si="4"/>
        <v>1</v>
      </c>
    </row>
    <row r="326" spans="1:131" x14ac:dyDescent="0.2">
      <c r="A326" s="939"/>
      <c r="B326" s="939"/>
      <c r="C326" s="4822"/>
      <c r="D326" s="1453" t="s">
        <v>1766</v>
      </c>
      <c r="E326" s="1003"/>
      <c r="F326" s="1019"/>
      <c r="G326" s="989" t="str">
        <f>IF(E326=0,"",VLOOKUP(E326,'Tablas Técnicas'!$A$14:$V$771,3,FALSE))</f>
        <v/>
      </c>
      <c r="H326" s="3033" t="str">
        <f>IF($E326=0,"",VLOOKUP($E326,'Tablas Técnicas'!$A$14:$V$771,4,FALSE))</f>
        <v/>
      </c>
      <c r="I326" s="987" t="s">
        <v>1690</v>
      </c>
      <c r="J326" s="1411" t="str">
        <f>IF(E326=0,"",VLOOKUP(E326,'Tablas Técnicas'!$A$14:$V$771,5,FALSE))</f>
        <v/>
      </c>
      <c r="K326" s="1006" t="str">
        <f>IF(I326="Si",IF(E326=0,"",VLOOKUP(E326,'Tablas Técnicas'!$A$14:$V$771,5,FALSE)),"")</f>
        <v/>
      </c>
      <c r="L326" s="987" t="s">
        <v>1690</v>
      </c>
      <c r="M326" s="1411" t="str">
        <f>IF(E326=0,"",VLOOKUP(E326,'Tablas Técnicas'!$A$14:$V$771,6,FALSE))</f>
        <v/>
      </c>
      <c r="N326" s="990" t="str">
        <f>IF(L326="Si",IF(E326=0,"",VLOOKUP(E326,'Tablas Técnicas'!$A$14:$V$771,6,FALSE)),"")</f>
        <v/>
      </c>
      <c r="O326" s="987" t="s">
        <v>1690</v>
      </c>
      <c r="P326" s="1411" t="str">
        <f>IF(E326=0,"",VLOOKUP(E326,'Tablas Técnicas'!$A$14:$V$771,7,FALSE))</f>
        <v/>
      </c>
      <c r="Q326" s="990" t="str">
        <f>IF(O326="Si",IF(E326=0,"",VLOOKUP(E326,'Tablas Técnicas'!$A$14:$V$771,7,FALSE)),"")</f>
        <v/>
      </c>
      <c r="R326" s="1005" t="str">
        <f>IF(E326=0,"",VLOOKUP(E326,'Tablas Técnicas'!$A$14:$V$771,8,FALSE))</f>
        <v/>
      </c>
      <c r="S326" s="3033" t="str">
        <f>IF(R326=$D$8,$D$8,IF(R326=2,2,IF(R326=3,3,R326)))</f>
        <v/>
      </c>
      <c r="T326" s="4809"/>
      <c r="U326" s="4810"/>
      <c r="V326" s="3029" t="str">
        <f>IF(OR(V324=0,V324=""),"N/A",V324)</f>
        <v>N/A</v>
      </c>
      <c r="W326" s="4809" t="str">
        <f xml:space="preserve"> IF(OR(AF324=0,AF324=""),"N/A",W324)</f>
        <v>N/A</v>
      </c>
      <c r="X326" s="4811"/>
      <c r="Y326" s="4811"/>
      <c r="Z326" s="4811"/>
      <c r="AA326" s="4811"/>
      <c r="AB326" s="4811"/>
      <c r="AC326" s="4811"/>
      <c r="AD326" s="4811"/>
      <c r="AE326" s="4811"/>
      <c r="AF326" s="4810"/>
      <c r="AG326" s="4809" t="str">
        <f xml:space="preserve"> IF(OR(AP324="",AP324=0),"N/A",AG324)</f>
        <v>N/A</v>
      </c>
      <c r="AH326" s="4811"/>
      <c r="AI326" s="4811"/>
      <c r="AJ326" s="4811"/>
      <c r="AK326" s="4811"/>
      <c r="AL326" s="4811"/>
      <c r="AM326" s="4811"/>
      <c r="AN326" s="4811"/>
      <c r="AO326" s="4811"/>
      <c r="AP326" s="4810"/>
      <c r="AQ326" s="4809" t="str">
        <f xml:space="preserve"> IF(OR(AZ324="",AZ324=0),"N/A",AQ324)</f>
        <v>N/A</v>
      </c>
      <c r="AR326" s="4811"/>
      <c r="AS326" s="4811"/>
      <c r="AT326" s="4811"/>
      <c r="AU326" s="4811"/>
      <c r="AV326" s="4811"/>
      <c r="AW326" s="4811"/>
      <c r="AX326" s="4811"/>
      <c r="AY326" s="4811"/>
      <c r="AZ326" s="4810"/>
      <c r="BA326" s="4809" t="str">
        <f xml:space="preserve"> IF(OR(BJ324="",BJ324=0),"N/A",BA324)</f>
        <v>N/A</v>
      </c>
      <c r="BB326" s="4811"/>
      <c r="BC326" s="4811"/>
      <c r="BD326" s="4811"/>
      <c r="BE326" s="4811"/>
      <c r="BF326" s="4811"/>
      <c r="BG326" s="4811"/>
      <c r="BH326" s="4811"/>
      <c r="BI326" s="4811"/>
      <c r="BJ326" s="4810"/>
      <c r="BK326" s="1007" t="s">
        <v>4543</v>
      </c>
      <c r="BL326" s="989"/>
      <c r="BM326" s="1024"/>
      <c r="BN326" s="1008"/>
      <c r="BO326" s="1009"/>
      <c r="BP326" s="1010" t="str">
        <f>IF(I326="Si",VLOOKUP($D$8,'Tablas Técnicas'!$E$4:$F$6,2,FALSE),"")</f>
        <v/>
      </c>
      <c r="BQ326" s="980" t="str">
        <f>IF(L326="Si",VLOOKUP($D$8,'Tablas Técnicas'!$I$4:$J$6,2,FALSE),"")</f>
        <v/>
      </c>
      <c r="BR326" s="1011" t="str">
        <f>IF(O326="Si",VLOOKUP($D$8,'Tablas Técnicas'!$I$7:$J$9,2,FALSE),"")</f>
        <v/>
      </c>
      <c r="BS326" s="994"/>
      <c r="BT326" s="3023" t="s">
        <v>1700</v>
      </c>
      <c r="BU326" s="3024" t="s">
        <v>4550</v>
      </c>
      <c r="BV326" s="971"/>
      <c r="BW326" s="3024" t="s">
        <v>4551</v>
      </c>
      <c r="BX326" s="3023" t="s">
        <v>4552</v>
      </c>
      <c r="BY326" s="1301" t="s">
        <v>4552</v>
      </c>
      <c r="BZ326" s="1304"/>
      <c r="CA326" s="939"/>
      <c r="DR326" s="939"/>
      <c r="DT326" s="1325"/>
      <c r="DU326" s="1379"/>
      <c r="DV326" s="1376" t="str">
        <f>IF(E326="","",E326)&amp;IF(I326="No",""," (Mant.)")&amp;IF(L326="No",""," (Sme)")&amp;IF(O326="No",""," (SMa)")</f>
        <v/>
      </c>
      <c r="DW326" s="1377"/>
      <c r="DX326" s="1378"/>
      <c r="DY326" s="1324"/>
      <c r="DZ326" s="939"/>
      <c r="EA326" s="1470">
        <f t="shared" si="4"/>
        <v>1</v>
      </c>
    </row>
    <row r="327" spans="1:131" x14ac:dyDescent="0.2">
      <c r="A327" s="939"/>
      <c r="B327" s="939"/>
      <c r="C327" s="4822"/>
      <c r="D327" s="1452" t="s">
        <v>1766</v>
      </c>
      <c r="E327" s="995"/>
      <c r="F327" s="1025"/>
      <c r="G327" s="1437" t="str">
        <f>IF(E327=0,"",VLOOKUP(E327,'Tablas Técnicas'!$A$14:$V$771,3,FALSE))</f>
        <v/>
      </c>
      <c r="H327" s="998" t="str">
        <f>IF($E327=0,"",VLOOKUP($E327,'Tablas Técnicas'!$A$14:$V$771,4,FALSE))</f>
        <v/>
      </c>
      <c r="I327" s="999" t="s">
        <v>1690</v>
      </c>
      <c r="J327" s="1415" t="str">
        <f>IF(E327=0,"",VLOOKUP(E327,'Tablas Técnicas'!$A$14:$V$771,5,FALSE))</f>
        <v/>
      </c>
      <c r="K327" s="1001" t="str">
        <f>IF(I327="Si",IF(E327=0,"",VLOOKUP(E327,'Tablas Técnicas'!$A$14:$V$771,5,FALSE)),"")</f>
        <v/>
      </c>
      <c r="L327" s="999" t="s">
        <v>1690</v>
      </c>
      <c r="M327" s="1415" t="str">
        <f>IF(E327=0,"",VLOOKUP(E327,'Tablas Técnicas'!$A$14:$V$771,6,FALSE))</f>
        <v/>
      </c>
      <c r="N327" s="1002" t="str">
        <f>IF(L327="Si",IF(E327=0,"",VLOOKUP(E327,'Tablas Técnicas'!$A$14:$V$771,6,FALSE)),"")</f>
        <v/>
      </c>
      <c r="O327" s="999" t="s">
        <v>1690</v>
      </c>
      <c r="P327" s="1415" t="str">
        <f>IF(E327=0,"",VLOOKUP(E327,'Tablas Técnicas'!$A$14:$V$771,7,FALSE))</f>
        <v/>
      </c>
      <c r="Q327" s="1002" t="str">
        <f>IF(O327="Si",IF(E327=0,"",VLOOKUP(E327,'Tablas Técnicas'!$A$14:$V$771,7,FALSE)),"")</f>
        <v/>
      </c>
      <c r="R327" s="1000" t="str">
        <f>IF(E327=0,"",VLOOKUP(E327,'Tablas Técnicas'!$A$14:$V$771,8,FALSE))</f>
        <v/>
      </c>
      <c r="S327" s="998" t="str">
        <f>IF(R327=$D$8,$D$8,IF(R327=2,2,IF(R327=3,3,R327)))</f>
        <v/>
      </c>
      <c r="T327" s="4812" t="s">
        <v>4544</v>
      </c>
      <c r="U327" s="4813"/>
      <c r="V327" s="3025"/>
      <c r="W327" s="4814"/>
      <c r="X327" s="4815"/>
      <c r="Y327" s="4815"/>
      <c r="Z327" s="4815"/>
      <c r="AA327" s="4815"/>
      <c r="AB327" s="4815"/>
      <c r="AC327" s="4815"/>
      <c r="AD327" s="4815"/>
      <c r="AE327" s="4815"/>
      <c r="AF327" s="4816"/>
      <c r="AG327" s="4814"/>
      <c r="AH327" s="4815"/>
      <c r="AI327" s="4815"/>
      <c r="AJ327" s="4815"/>
      <c r="AK327" s="4815"/>
      <c r="AL327" s="4815"/>
      <c r="AM327" s="4815"/>
      <c r="AN327" s="4815"/>
      <c r="AO327" s="4815"/>
      <c r="AP327" s="4816"/>
      <c r="AQ327" s="4814"/>
      <c r="AR327" s="4815"/>
      <c r="AS327" s="4815"/>
      <c r="AT327" s="4815"/>
      <c r="AU327" s="4815"/>
      <c r="AV327" s="4815"/>
      <c r="AW327" s="4815"/>
      <c r="AX327" s="4815"/>
      <c r="AY327" s="4815"/>
      <c r="AZ327" s="4816"/>
      <c r="BA327" s="4814"/>
      <c r="BB327" s="4815"/>
      <c r="BC327" s="4815"/>
      <c r="BD327" s="4815"/>
      <c r="BE327" s="4815"/>
      <c r="BF327" s="4815"/>
      <c r="BG327" s="4815"/>
      <c r="BH327" s="4815"/>
      <c r="BI327" s="4815"/>
      <c r="BJ327" s="4816"/>
      <c r="BK327" s="998">
        <f>(SUM(G324:G328)+IF(AF324="",0,AF324)+IF(AP324="",0,AP324)+IF(AZ324="",0,AZ324)+IF(BJ324="",0,BJ324)+SUM(K324:K328)+SUM(N324:N328)+SUM(Q324:Q328))- SUM(V327:BA327)</f>
        <v>0</v>
      </c>
      <c r="BL327" s="1437"/>
      <c r="BM327" s="1438"/>
      <c r="BN327" s="992"/>
      <c r="BO327" s="993"/>
      <c r="BP327" s="978" t="str">
        <f>IF(I327="Si",VLOOKUP($D$8,'Tablas Técnicas'!$E$4:$F$6,2,FALSE),"")</f>
        <v/>
      </c>
      <c r="BQ327" s="979" t="str">
        <f>IF(L327="Si",VLOOKUP($D$8,'Tablas Técnicas'!$I$4:$J$6,2,FALSE),"")</f>
        <v/>
      </c>
      <c r="BR327" s="977" t="str">
        <f>IF(O327="Si",VLOOKUP($D$8,'Tablas Técnicas'!$I$7:$J$9,2,FALSE),"")</f>
        <v/>
      </c>
      <c r="BS327" s="994"/>
      <c r="BT327" s="3028">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356"/>
      <c r="BV327" s="971"/>
      <c r="BW327" s="1026" t="str">
        <f>IF(SUM(BT327:BU327)=0,"N/A",SUM(BT327:BU327))</f>
        <v>N/A</v>
      </c>
      <c r="BX327" s="3028">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26" t="str">
        <f>IF(BX327=0,"N/A",BX327)</f>
        <v>N/A</v>
      </c>
      <c r="BZ327" s="1304"/>
      <c r="CA327" s="939"/>
      <c r="DR327" s="939"/>
      <c r="DT327" s="1325"/>
      <c r="DU327" s="1379"/>
      <c r="DV327" s="1376" t="str">
        <f>IF(E327="","",E327)&amp;IF(I327="No",""," (Mant.)")&amp;IF(L327="No",""," (Sme)")&amp;IF(O327="No",""," (SMa)")</f>
        <v/>
      </c>
      <c r="DW327" s="1377"/>
      <c r="DX327" s="1378"/>
      <c r="DY327" s="1324"/>
      <c r="DZ327" s="939"/>
      <c r="EA327" s="1470">
        <f t="shared" si="4"/>
        <v>1</v>
      </c>
    </row>
    <row r="328" spans="1:131" x14ac:dyDescent="0.2">
      <c r="A328" s="939"/>
      <c r="B328" s="939"/>
      <c r="C328" s="4822"/>
      <c r="D328" s="1453" t="s">
        <v>1766</v>
      </c>
      <c r="E328" s="1003"/>
      <c r="F328" s="1019"/>
      <c r="G328" s="989" t="str">
        <f>IF(E328=0,"",VLOOKUP(E328,'Tablas Técnicas'!$A$14:$V$771,3,FALSE))</f>
        <v/>
      </c>
      <c r="H328" s="1014" t="str">
        <f>IF($E328=0,"",VLOOKUP($E328,'Tablas Técnicas'!$A$14:$V$771,4,FALSE))</f>
        <v/>
      </c>
      <c r="I328" s="987" t="s">
        <v>1690</v>
      </c>
      <c r="J328" s="1418" t="str">
        <f>IF(E328=0,"",VLOOKUP(E328,'Tablas Técnicas'!$A$14:$V$771,5,FALSE))</f>
        <v/>
      </c>
      <c r="K328" s="1015" t="str">
        <f>IF(I328="Si",IF(E328=0,"",VLOOKUP(E328,'Tablas Técnicas'!$A$14:$V$771,5,FALSE)),"")</f>
        <v/>
      </c>
      <c r="L328" s="987" t="s">
        <v>1690</v>
      </c>
      <c r="M328" s="1418" t="str">
        <f>IF(E328=0,"",VLOOKUP(E328,'Tablas Técnicas'!$A$14:$V$771,6,FALSE))</f>
        <v/>
      </c>
      <c r="N328" s="990" t="str">
        <f>IF(L328="Si",IF(E328=0,"",VLOOKUP(E328,'Tablas Técnicas'!$A$14:$V$771,6,FALSE)),"")</f>
        <v/>
      </c>
      <c r="O328" s="987" t="s">
        <v>1690</v>
      </c>
      <c r="P328" s="1418" t="str">
        <f>IF(E328=0,"",VLOOKUP(E328,'Tablas Técnicas'!$A$14:$V$771,7,FALSE))</f>
        <v/>
      </c>
      <c r="Q328" s="990" t="str">
        <f>IF(O328="Si",IF(E328=0,"",VLOOKUP(E328,'Tablas Técnicas'!$A$14:$V$771,7,FALSE)),"")</f>
        <v/>
      </c>
      <c r="R328" s="1035" t="str">
        <f>IF(E328=0,"",VLOOKUP(E328,'Tablas Técnicas'!$A$14:$V$771,8,FALSE))</f>
        <v/>
      </c>
      <c r="S328" s="1004" t="str">
        <f>IF(R328=$D$8,$D$8,IF(R328=2,2,IF(R328=3,3,R328)))</f>
        <v/>
      </c>
      <c r="T328" s="4803" t="s">
        <v>4546</v>
      </c>
      <c r="U328" s="4804"/>
      <c r="V328" s="3032"/>
      <c r="W328" s="4805"/>
      <c r="X328" s="4806"/>
      <c r="Y328" s="4806"/>
      <c r="Z328" s="4806"/>
      <c r="AA328" s="4806"/>
      <c r="AB328" s="4806"/>
      <c r="AC328" s="4806"/>
      <c r="AD328" s="4806"/>
      <c r="AE328" s="4806"/>
      <c r="AF328" s="4807"/>
      <c r="AG328" s="4805"/>
      <c r="AH328" s="4806"/>
      <c r="AI328" s="4806"/>
      <c r="AJ328" s="4806"/>
      <c r="AK328" s="4806"/>
      <c r="AL328" s="4806"/>
      <c r="AM328" s="4806"/>
      <c r="AN328" s="4806"/>
      <c r="AO328" s="4806"/>
      <c r="AP328" s="4807"/>
      <c r="AQ328" s="4805"/>
      <c r="AR328" s="4806"/>
      <c r="AS328" s="4806"/>
      <c r="AT328" s="4806"/>
      <c r="AU328" s="4806"/>
      <c r="AV328" s="4806"/>
      <c r="AW328" s="4806"/>
      <c r="AX328" s="4806"/>
      <c r="AY328" s="4806"/>
      <c r="AZ328" s="4807"/>
      <c r="BA328" s="4805"/>
      <c r="BB328" s="4806"/>
      <c r="BC328" s="4806"/>
      <c r="BD328" s="4806"/>
      <c r="BE328" s="4806"/>
      <c r="BF328" s="4806"/>
      <c r="BG328" s="4806"/>
      <c r="BH328" s="4806"/>
      <c r="BI328" s="4806"/>
      <c r="BJ328" s="4807"/>
      <c r="BK328" s="1014">
        <f>SUM(K324:K328)-SUM(V328:BA328)</f>
        <v>0</v>
      </c>
      <c r="BL328" s="1439"/>
      <c r="BM328" s="1440"/>
      <c r="BN328" s="1008"/>
      <c r="BO328" s="1009"/>
      <c r="BP328" s="1010" t="str">
        <f>IF(I328="Si",VLOOKUP($D$8,'Tablas Técnicas'!$E$4:$F$6,2,FALSE),"")</f>
        <v/>
      </c>
      <c r="BQ328" s="980" t="str">
        <f>IF(L328="Si",VLOOKUP($D$8,'Tablas Técnicas'!$I$4:$J$6,2,FALSE),"")</f>
        <v/>
      </c>
      <c r="BR328" s="1011" t="str">
        <f>IF(O328="Si",VLOOKUP($D$8,'Tablas Técnicas'!$I$7:$J$9,2,FALSE),"")</f>
        <v/>
      </c>
      <c r="BS328" s="994"/>
      <c r="BT328" s="3023" t="s">
        <v>1701</v>
      </c>
      <c r="BU328" s="3024" t="s">
        <v>4550</v>
      </c>
      <c r="BV328" s="971"/>
      <c r="BW328" s="3024" t="s">
        <v>4551</v>
      </c>
      <c r="BX328" s="3023" t="s">
        <v>4552</v>
      </c>
      <c r="BY328" s="1301" t="s">
        <v>4552</v>
      </c>
      <c r="BZ328" s="1304"/>
      <c r="CA328" s="939"/>
      <c r="DR328" s="939"/>
      <c r="DT328" s="1325"/>
      <c r="DU328" s="1379"/>
      <c r="DV328" s="1376" t="str">
        <f>IF(E328="","",E328)&amp;IF(I328="No",""," (Mant.)")&amp;IF(L328="No",""," (Sme)")&amp;IF(O328="No",""," (SMa)")</f>
        <v/>
      </c>
      <c r="DW328" s="1377"/>
      <c r="DX328" s="1378"/>
      <c r="DY328" s="1324"/>
      <c r="DZ328" s="939"/>
      <c r="EA328" s="1470">
        <f t="shared" si="4"/>
        <v>1</v>
      </c>
    </row>
    <row r="329" spans="1:131" x14ac:dyDescent="0.2">
      <c r="A329" s="939"/>
      <c r="B329" s="1403"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822"/>
      <c r="D329" s="1454">
        <v>5</v>
      </c>
      <c r="E329" s="1246"/>
      <c r="F329" s="1016"/>
      <c r="G329" s="1017"/>
      <c r="H329" s="2159">
        <f t="array" ref="H329">IF(AND(OR(ISNUMBER(SEARCH("Empatía Elemental ("&amp;BK324:BM324&amp;")",Principal!$AF$30))),SUM(H324:H328)&gt;=10),-5,0)</f>
        <v>0</v>
      </c>
      <c r="I329" s="1413"/>
      <c r="J329" s="1416"/>
      <c r="K329" s="1017"/>
      <c r="L329" s="1413"/>
      <c r="M329" s="1416"/>
      <c r="N329" s="1017"/>
      <c r="O329" s="1413"/>
      <c r="P329" s="1416"/>
      <c r="Q329" s="1017"/>
      <c r="R329" s="1018"/>
      <c r="S329" s="1017"/>
      <c r="T329" s="1017"/>
      <c r="U329" s="1017"/>
      <c r="V329" s="1017"/>
      <c r="W329" s="1017"/>
      <c r="X329" s="1017"/>
      <c r="Y329" s="1017"/>
      <c r="Z329" s="1017"/>
      <c r="AA329" s="1017"/>
      <c r="AB329" s="1017"/>
      <c r="AC329" s="1017"/>
      <c r="AD329" s="1017"/>
      <c r="AE329" s="1017"/>
      <c r="AF329" s="1017"/>
      <c r="AG329" s="1017"/>
      <c r="AH329" s="1017"/>
      <c r="AI329" s="1017"/>
      <c r="AJ329" s="1017"/>
      <c r="AK329" s="1017"/>
      <c r="AL329" s="1017"/>
      <c r="AM329" s="1017"/>
      <c r="AN329" s="1017"/>
      <c r="AO329" s="1017"/>
      <c r="AP329" s="1017"/>
      <c r="AQ329" s="1017"/>
      <c r="AR329" s="1017"/>
      <c r="AS329" s="1017"/>
      <c r="AT329" s="1017"/>
      <c r="AU329" s="1017"/>
      <c r="AV329" s="1017"/>
      <c r="AW329" s="1017"/>
      <c r="AX329" s="1017"/>
      <c r="AY329" s="1017"/>
      <c r="AZ329" s="1017"/>
      <c r="BA329" s="1017"/>
      <c r="BB329" s="1017"/>
      <c r="BC329" s="1017"/>
      <c r="BD329" s="1017"/>
      <c r="BE329" s="1017"/>
      <c r="BF329" s="1017"/>
      <c r="BG329" s="1017"/>
      <c r="BH329" s="1017"/>
      <c r="BI329" s="1017"/>
      <c r="BJ329" s="1017"/>
      <c r="BK329" s="1017"/>
      <c r="BL329" s="1017"/>
      <c r="BM329" s="1027"/>
      <c r="BN329" s="1028">
        <f>SUM(K329:K332)</f>
        <v>0</v>
      </c>
      <c r="BO329" s="971" t="str">
        <f>IF(E329=0,"",(AF329+AP329+AZ329+BJ329))</f>
        <v/>
      </c>
      <c r="BP329" s="1029" t="str">
        <f>IF(I329="Si",VLOOKUP($D$8,'Tablas Técnicas'!$E$4:$F$6,2,FALSE),"")</f>
        <v/>
      </c>
      <c r="BQ329" s="1030" t="str">
        <f>IF(L329="Si",VLOOKUP($D$8,'Tablas Técnicas'!$I$4:$J$6,2,FALSE),"")</f>
        <v/>
      </c>
      <c r="BR329" s="1028" t="str">
        <f>IF(O329="Si",VLOOKUP($D$8,'Tablas Técnicas'!$I$7:$J$9,2,FALSE),"")</f>
        <v/>
      </c>
      <c r="BS329" s="994"/>
      <c r="BT329" s="3028">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356"/>
      <c r="BV329" s="971"/>
      <c r="BW329" s="1026" t="str">
        <f>IF(SUM(BT329:BU329)=0,"N/A",SUM(BT329:BU329))</f>
        <v>N/A</v>
      </c>
      <c r="BX329" s="3028">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26" t="str">
        <f>IF(BX329=0,"N/A",BX329)</f>
        <v>N/A</v>
      </c>
      <c r="BZ329" s="1304"/>
      <c r="CA329" s="939"/>
      <c r="DR329" s="939"/>
      <c r="DT329" s="1325"/>
      <c r="DU329" s="1379"/>
      <c r="DV329" s="1380"/>
      <c r="DW329" s="1377"/>
      <c r="DX329" s="1378"/>
      <c r="DY329" s="1324"/>
      <c r="DZ329" s="939"/>
      <c r="EA329" s="1470">
        <f t="shared" si="4"/>
        <v>1</v>
      </c>
    </row>
    <row r="330" spans="1:131" ht="12" thickBot="1" x14ac:dyDescent="0.25">
      <c r="A330" s="939"/>
      <c r="B330" s="939"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822"/>
      <c r="D330" s="1453" t="s">
        <v>1766</v>
      </c>
      <c r="E330" s="983"/>
      <c r="F330" s="1019"/>
      <c r="G330" s="989" t="str">
        <f>IF(E330=0,"",VLOOKUP(E330,'Tablas Técnicas'!$A$14:$V$771,3,FALSE))</f>
        <v/>
      </c>
      <c r="H330" s="1031" t="str">
        <f>IF($E330=0,"",VLOOKUP($E330,'Tablas Técnicas'!$A$14:$V$771,4,FALSE))</f>
        <v/>
      </c>
      <c r="I330" s="987" t="s">
        <v>1690</v>
      </c>
      <c r="J330" s="1417" t="str">
        <f>IF(E330=0,"",VLOOKUP(E330,'Tablas Técnicas'!$A$14:$V$771,5,FALSE))</f>
        <v/>
      </c>
      <c r="K330" s="1033" t="str">
        <f>IF(I330="Si",IF(E330=0,"",VLOOKUP(E330,'Tablas Técnicas'!$A$14:$V$771,5,FALSE)),"")</f>
        <v/>
      </c>
      <c r="L330" s="987" t="s">
        <v>1690</v>
      </c>
      <c r="M330" s="1417" t="str">
        <f>IF(E330=0,"",VLOOKUP(E330,'Tablas Técnicas'!$A$14:$V$771,6,FALSE))</f>
        <v/>
      </c>
      <c r="N330" s="990" t="str">
        <f>IF(L330="Si",IF(E330=0,"",VLOOKUP(E330,'Tablas Técnicas'!$A$14:$V$771,6,FALSE)),"")</f>
        <v/>
      </c>
      <c r="O330" s="987" t="s">
        <v>1690</v>
      </c>
      <c r="P330" s="1417" t="str">
        <f>IF(E330=0,"",VLOOKUP(E330,'Tablas Técnicas'!$A$14:$V$771,7,FALSE))</f>
        <v/>
      </c>
      <c r="Q330" s="990" t="str">
        <f>IF(O330="Si",IF(E330=0,"",VLOOKUP(E330,'Tablas Técnicas'!$A$14:$V$771,7,FALSE)),"")</f>
        <v/>
      </c>
      <c r="R330" s="1032" t="str">
        <f>IF(E330=0,"",VLOOKUP(E330,'Tablas Técnicas'!$A$14:$V$771,8,FALSE))</f>
        <v/>
      </c>
      <c r="S330" s="1004" t="str">
        <f>IF(R330=$D$8,$D$8,IF(R330=2,2,IF(R330=3,3,R330)))</f>
        <v/>
      </c>
      <c r="T330" s="1033" t="str">
        <f>IF(E330=0,"",VLOOKUP(E330,'Tablas Técnicas'!$A$14:$V$771,9,FALSE))</f>
        <v/>
      </c>
      <c r="U330" s="1033" t="str">
        <f>IF(E330=0,"",VLOOKUP(E330,'Tablas Técnicas'!$A$14:$V$771,10,FALSE))</f>
        <v/>
      </c>
      <c r="V330" s="1034" t="str">
        <f>IF(E330=0,"",VLOOKUP(E330,'Tablas Técnicas'!$A$14:$V$771,11,FALSE))</f>
        <v/>
      </c>
      <c r="W330" s="987"/>
      <c r="X330" s="988" t="e">
        <f>VLOOKUP(E330,'Tablas Técnicas'!$A$14:$V$771,12,FALSE)</f>
        <v>#N/A</v>
      </c>
      <c r="Y330" s="988" t="e">
        <f>IF(W330=X330,VLOOKUP(E330,'Tablas Técnicas'!$A$14:$V$771,13,FALSE),0)</f>
        <v>#N/A</v>
      </c>
      <c r="Z330" s="988" t="e">
        <f>VLOOKUP(E330,'Tablas Técnicas'!$A$14:$V$771,14,FALSE)</f>
        <v>#N/A</v>
      </c>
      <c r="AA330" s="988" t="e">
        <f>IF(W330=Z330,VLOOKUP(E330,'Tablas Técnicas'!$A$14:$V$616,15,FALSE),0)</f>
        <v>#N/A</v>
      </c>
      <c r="AB330" s="988" t="e">
        <f>VLOOKUP(E330,'Tablas Técnicas'!$A$14:$V$771,16,FALSE)</f>
        <v>#N/A</v>
      </c>
      <c r="AC330" s="988" t="e">
        <f>IF(W330=AB330,VLOOKUP(E330,'Tablas Técnicas'!$A$14:$V$616,17,FALSE),0)</f>
        <v>#N/A</v>
      </c>
      <c r="AD330" s="988" t="e">
        <f>VLOOKUP(E330,'Tablas Técnicas'!$A$14:$V$771,18,FALSE)</f>
        <v>#N/A</v>
      </c>
      <c r="AE330" s="988" t="e">
        <f>IF(W330=AD330,VLOOKUP(E330,'Tablas Técnicas'!$A$14:$V$771,19,FALSE),0)</f>
        <v>#N/A</v>
      </c>
      <c r="AF330" s="1006" t="str">
        <f>IF(E330=0,"",(Y330+AA330+AC330+AE330))</f>
        <v/>
      </c>
      <c r="AG330" s="987"/>
      <c r="AH330" s="1005" t="e">
        <f>VLOOKUP(E330,'Tablas Técnicas'!$A$14:$V$771,12,FALSE)</f>
        <v>#N/A</v>
      </c>
      <c r="AI330" s="1005" t="e">
        <f>IF(AG330=AH330,VLOOKUP(E330,'Tablas Técnicas'!$A$14:$V$771,13,FALSE),0)</f>
        <v>#N/A</v>
      </c>
      <c r="AJ330" s="1005" t="e">
        <f>VLOOKUP(E330,'Tablas Técnicas'!$A$14:$V$771,14,FALSE)</f>
        <v>#N/A</v>
      </c>
      <c r="AK330" s="1005" t="e">
        <f>IF(AG330=AJ330,VLOOKUP(E330,'Tablas Técnicas'!$A$14:$V$771,15,FALSE),0)</f>
        <v>#N/A</v>
      </c>
      <c r="AL330" s="1005" t="e">
        <f>VLOOKUP(E330,'Tablas Técnicas'!$A$14:$V$771,16,FALSE)</f>
        <v>#N/A</v>
      </c>
      <c r="AM330" s="1005" t="e">
        <f>IF(AG330=AL330,VLOOKUP(E330,'Tablas Técnicas'!$A$14:$V$771,17,FALSE),0)</f>
        <v>#N/A</v>
      </c>
      <c r="AN330" s="1005" t="e">
        <f>VLOOKUP(E330,'Tablas Técnicas'!$A$14:$V$771,18,FALSE)</f>
        <v>#N/A</v>
      </c>
      <c r="AO330" s="1005" t="e">
        <f>IF(AG330=AN330,VLOOKUP(E330,'Tablas Técnicas'!$A$14:$V$771,19,FALSE),0)</f>
        <v>#N/A</v>
      </c>
      <c r="AP330" s="3034" t="str">
        <f>IF(E330=0,"",(AI330+AK330+AM330+AO330))</f>
        <v/>
      </c>
      <c r="AQ330" s="987"/>
      <c r="AR330" s="1005" t="e">
        <f>VLOOKUP(E330,'Tablas Técnicas'!$A$14:$V$771,12,FALSE)</f>
        <v>#N/A</v>
      </c>
      <c r="AS330" s="1005" t="e">
        <f>IF(AQ330=AR330,VLOOKUP(E330,'Tablas Técnicas'!$A$14:$V$771,13,FALSE),0)</f>
        <v>#N/A</v>
      </c>
      <c r="AT330" s="1005" t="e">
        <f>VLOOKUP(E330,'Tablas Técnicas'!$A$14:$V$771,14,FALSE)</f>
        <v>#N/A</v>
      </c>
      <c r="AU330" s="1005" t="e">
        <f>IF(AQ330=AT330,VLOOKUP(E330,'Tablas Técnicas'!$A$14:$V$771,15,FALSE),0)</f>
        <v>#N/A</v>
      </c>
      <c r="AV330" s="1005" t="e">
        <f>VLOOKUP(E330,'Tablas Técnicas'!$A$14:$V$771,16,FALSE)</f>
        <v>#N/A</v>
      </c>
      <c r="AW330" s="1005" t="e">
        <f>IF(AQ330=AV330,VLOOKUP(E330,'Tablas Técnicas'!$A$14:$V$771,17,FALSE),0)</f>
        <v>#N/A</v>
      </c>
      <c r="AX330" s="1005" t="e">
        <f>VLOOKUP(E330,'Tablas Técnicas'!$A$14:$V$771,18,FALSE)</f>
        <v>#N/A</v>
      </c>
      <c r="AY330" s="1005" t="e">
        <f>IF(AQ330=AX330,VLOOKUP(E330,'Tablas Técnicas'!$A$14:$V$771,19,FALSE),0)</f>
        <v>#N/A</v>
      </c>
      <c r="AZ330" s="1006" t="str">
        <f>IF(E330=0,"",(AS330+AU330+AW330+AY330))</f>
        <v/>
      </c>
      <c r="BA330" s="987"/>
      <c r="BB330" s="1005" t="e">
        <f>VLOOKUP(E330,'Tablas Técnicas'!$A$14:$V$771,12,FALSE)</f>
        <v>#N/A</v>
      </c>
      <c r="BC330" s="1005" t="e">
        <f>IF(BA330=BB330,VLOOKUP(E330,'Tablas Técnicas'!$A$14:$V$771,13,FALSE),0)</f>
        <v>#N/A</v>
      </c>
      <c r="BD330" s="1005" t="e">
        <f>VLOOKUP(E330,'Tablas Técnicas'!$A$14:$V$771,14,FALSE)</f>
        <v>#N/A</v>
      </c>
      <c r="BE330" s="1005" t="e">
        <f>IF(BA330=BD330,VLOOKUP(E330,'Tablas Técnicas'!$A$14:$V$771,15,FALSE),0)</f>
        <v>#N/A</v>
      </c>
      <c r="BF330" s="1005" t="e">
        <f>VLOOKUP(E330,'Tablas Técnicas'!$A$14:$V$771,16,FALSE)</f>
        <v>#N/A</v>
      </c>
      <c r="BG330" s="1005" t="e">
        <f>IF(BA330=BF330,VLOOKUP(E330,'Tablas Técnicas'!$A$14:$V$771,17,FALSE),0)</f>
        <v>#N/A</v>
      </c>
      <c r="BH330" s="1005" t="e">
        <f>VLOOKUP(E330,'Tablas Técnicas'!$A$14:$V$771,18,FALSE)</f>
        <v>#N/A</v>
      </c>
      <c r="BI330" s="1005" t="e">
        <f>IF(BA330=BH330,VLOOKUP(E330,'Tablas Técnicas'!$A$14:$V$771,19,FALSE),0)</f>
        <v>#N/A</v>
      </c>
      <c r="BJ330" s="3034" t="str">
        <f>IF(E330=0,"",(BC330+BE330+BG330+BI330))</f>
        <v/>
      </c>
      <c r="BK330" s="1033" t="str">
        <f>IF(E330=0,"",VLOOKUP(E330,'Tablas Técnicas'!$A$14:$V$771,20,FALSE))</f>
        <v/>
      </c>
      <c r="BL330" s="1020" t="str">
        <f>IF(E330=0,"",VLOOKUP(E330,'Tablas Técnicas'!$A$14:$V$771,21,FALSE))</f>
        <v/>
      </c>
      <c r="BM330" s="991" t="str">
        <f>IF(E330=0,"",VLOOKUP(E330,'Tablas Técnicas'!$A$14:$V$771,22,FALSE))</f>
        <v/>
      </c>
      <c r="BN330" s="992"/>
      <c r="BO330" s="993"/>
      <c r="BP330" s="978" t="str">
        <f>IF(I330="Si",VLOOKUP($D$8,'Tablas Técnicas'!$E$4:$F$6,2,FALSE),"")</f>
        <v/>
      </c>
      <c r="BQ330" s="979" t="str">
        <f>IF(L330="Si",VLOOKUP($D$8,'Tablas Técnicas'!$I$4:$J$6,2,FALSE),"")</f>
        <v/>
      </c>
      <c r="BR330" s="977" t="str">
        <f>IF(O330="Si",VLOOKUP($D$8,'Tablas Técnicas'!$I$7:$J$9,2,FALSE),"")</f>
        <v/>
      </c>
      <c r="BS330" s="994"/>
      <c r="BU330" s="4777"/>
      <c r="BV330" s="4777"/>
      <c r="BW330" s="4777"/>
      <c r="BX330" s="951"/>
      <c r="BY330" s="1287"/>
      <c r="BZ330" s="1304"/>
      <c r="CA330" s="939"/>
      <c r="DR330" s="939"/>
      <c r="DT330" s="1326"/>
      <c r="DU330" s="1428" t="str">
        <f>DU306&amp;DU307&amp;DU308&amp;DU309&amp;DU310&amp;DU311</f>
        <v/>
      </c>
      <c r="DV330" s="1429" t="str">
        <f>DV306&amp;DV307&amp;DV308&amp;DV309&amp;DV310&amp;DV312&amp;DV313&amp;DV314&amp;DV315&amp;DV316&amp;DV318&amp;DV319&amp;DV320&amp;DV321&amp;DV322&amp;DV324&amp;DV325&amp;DV326&amp;DV327&amp;DV328</f>
        <v/>
      </c>
      <c r="DW330" s="1430" t="str">
        <f>DW306&amp;DW307&amp;DW308</f>
        <v/>
      </c>
      <c r="DX330" s="1431" t="str">
        <f>IF(DX312="",DX306,DX312)</f>
        <v/>
      </c>
      <c r="DY330" s="1327"/>
      <c r="DZ330" s="939"/>
      <c r="EA330" s="1470">
        <f t="shared" ref="EA330:EA375" si="5">EA329</f>
        <v>1</v>
      </c>
    </row>
    <row r="331" spans="1:131" x14ac:dyDescent="0.2">
      <c r="A331" s="939"/>
      <c r="B331" s="939"/>
      <c r="C331" s="4822"/>
      <c r="D331" s="1452" t="s">
        <v>1766</v>
      </c>
      <c r="E331" s="995"/>
      <c r="F331" s="1025"/>
      <c r="G331" s="1437" t="str">
        <f>IF(E331=0,"",VLOOKUP(E331,'Tablas Técnicas'!$A$14:$V$771,3,FALSE))</f>
        <v/>
      </c>
      <c r="H331" s="998" t="str">
        <f>IF($E331=0,"",VLOOKUP($E331,'Tablas Técnicas'!$A$14:$V$771,4,FALSE))</f>
        <v/>
      </c>
      <c r="I331" s="999" t="s">
        <v>1690</v>
      </c>
      <c r="J331" s="1415" t="str">
        <f>IF(E331=0,"",VLOOKUP(E331,'Tablas Técnicas'!$A$14:$V$771,5,FALSE))</f>
        <v/>
      </c>
      <c r="K331" s="1001" t="str">
        <f>IF(I331="Si",IF(E331=0,"",VLOOKUP(E331,'Tablas Técnicas'!$A$14:$V$771,5,FALSE)),"")</f>
        <v/>
      </c>
      <c r="L331" s="999" t="s">
        <v>1690</v>
      </c>
      <c r="M331" s="1415" t="str">
        <f>IF(E331=0,"",VLOOKUP(E331,'Tablas Técnicas'!$A$14:$V$771,6,FALSE))</f>
        <v/>
      </c>
      <c r="N331" s="1002" t="str">
        <f>IF(L331="Si",IF(E331=0,"",VLOOKUP(E331,'Tablas Técnicas'!$A$14:$V$771,6,FALSE)),"")</f>
        <v/>
      </c>
      <c r="O331" s="999" t="s">
        <v>1690</v>
      </c>
      <c r="P331" s="1415" t="str">
        <f>IF(E331=0,"",VLOOKUP(E331,'Tablas Técnicas'!$A$14:$V$771,7,FALSE))</f>
        <v/>
      </c>
      <c r="Q331" s="1002" t="str">
        <f>IF(O331="Si",IF(E331=0,"",VLOOKUP(E331,'Tablas Técnicas'!$A$14:$V$771,7,FALSE)),"")</f>
        <v/>
      </c>
      <c r="R331" s="1000" t="str">
        <f>IF(E331=0,"",VLOOKUP(E331,'Tablas Técnicas'!$A$14:$V$771,8,FALSE))</f>
        <v/>
      </c>
      <c r="S331" s="998" t="str">
        <f>IF(R331=$D$8,$D$8,IF(R331=2,2,IF(R331=3,3,R331)))</f>
        <v/>
      </c>
      <c r="T331" s="4796" t="s">
        <v>4542</v>
      </c>
      <c r="U331" s="4797"/>
      <c r="V331" s="4797"/>
      <c r="W331" s="4797"/>
      <c r="X331" s="4797"/>
      <c r="Y331" s="4797"/>
      <c r="Z331" s="4797"/>
      <c r="AA331" s="4797"/>
      <c r="AB331" s="4797"/>
      <c r="AC331" s="4797"/>
      <c r="AD331" s="4797"/>
      <c r="AE331" s="4797"/>
      <c r="AF331" s="4797"/>
      <c r="AG331" s="4797"/>
      <c r="AH331" s="4797"/>
      <c r="AI331" s="4797"/>
      <c r="AJ331" s="4797"/>
      <c r="AK331" s="4797"/>
      <c r="AL331" s="4797"/>
      <c r="AM331" s="4797"/>
      <c r="AN331" s="4797"/>
      <c r="AO331" s="4797"/>
      <c r="AP331" s="4797"/>
      <c r="AQ331" s="4797"/>
      <c r="AR331" s="4797"/>
      <c r="AS331" s="4797"/>
      <c r="AT331" s="4797"/>
      <c r="AU331" s="4797"/>
      <c r="AV331" s="4797"/>
      <c r="AW331" s="4797"/>
      <c r="AX331" s="4797"/>
      <c r="AY331" s="4797"/>
      <c r="AZ331" s="4797"/>
      <c r="BA331" s="4797"/>
      <c r="BB331" s="4797"/>
      <c r="BC331" s="4797"/>
      <c r="BD331" s="4797"/>
      <c r="BE331" s="4797"/>
      <c r="BF331" s="4797"/>
      <c r="BG331" s="4797"/>
      <c r="BH331" s="4797"/>
      <c r="BI331" s="4797"/>
      <c r="BJ331" s="4797"/>
      <c r="BK331" s="4798"/>
      <c r="BL331" s="1437"/>
      <c r="BM331" s="1438"/>
      <c r="BN331" s="992"/>
      <c r="BO331" s="993"/>
      <c r="BP331" s="978" t="str">
        <f>IF(I331="Si",VLOOKUP($D$8,'Tablas Técnicas'!$E$4:$F$6,2,FALSE),"")</f>
        <v/>
      </c>
      <c r="BQ331" s="979" t="str">
        <f>IF(L331="Si",VLOOKUP($D$8,'Tablas Técnicas'!$I$4:$J$6,2,FALSE),"")</f>
        <v/>
      </c>
      <c r="BR331" s="977" t="str">
        <f>IF(O331="Si",VLOOKUP($D$8,'Tablas Técnicas'!$I$7:$J$9,2,FALSE),"")</f>
        <v/>
      </c>
      <c r="BS331" s="994"/>
      <c r="BT331" s="1036"/>
      <c r="BU331" s="1074"/>
      <c r="BV331" s="1074"/>
      <c r="BW331" s="1074"/>
      <c r="BX331" s="951"/>
      <c r="BY331" s="1286"/>
      <c r="BZ331" s="1304"/>
      <c r="CA331" s="939"/>
      <c r="DR331" s="939"/>
      <c r="DT331" s="1325"/>
      <c r="DU331" s="1377"/>
      <c r="DV331" s="1376" t="str">
        <f>IF(E331="","",E331)&amp;IF(I331="No",""," (Mant.)")&amp;IF(L331="No",""," (Sme)")&amp;IF(O331="No",""," (SMa)")</f>
        <v/>
      </c>
      <c r="DW331" s="1377"/>
      <c r="DX331" s="1377"/>
      <c r="DY331" s="1324"/>
      <c r="DZ331" s="939"/>
      <c r="EA331" s="1470">
        <f t="shared" si="5"/>
        <v>1</v>
      </c>
    </row>
    <row r="332" spans="1:131" x14ac:dyDescent="0.2">
      <c r="A332" s="939"/>
      <c r="B332" s="939"/>
      <c r="C332" s="4822"/>
      <c r="D332" s="1453" t="s">
        <v>1766</v>
      </c>
      <c r="E332" s="1003"/>
      <c r="F332" s="1019"/>
      <c r="G332" s="989" t="str">
        <f>IF(E332=0,"",VLOOKUP(E332,'Tablas Técnicas'!$A$14:$V$771,3,FALSE))</f>
        <v/>
      </c>
      <c r="H332" s="3033" t="str">
        <f>IF($E332=0,"",VLOOKUP($E332,'Tablas Técnicas'!$A$14:$V$771,4,FALSE))</f>
        <v/>
      </c>
      <c r="I332" s="987" t="s">
        <v>1690</v>
      </c>
      <c r="J332" s="1411" t="str">
        <f>IF(E332=0,"",VLOOKUP(E332,'Tablas Técnicas'!$A$14:$V$771,5,FALSE))</f>
        <v/>
      </c>
      <c r="K332" s="1006" t="str">
        <f>IF(I332="Si",IF(E332=0,"",VLOOKUP(E332,'Tablas Técnicas'!$A$14:$V$771,5,FALSE)),"")</f>
        <v/>
      </c>
      <c r="L332" s="987" t="s">
        <v>1690</v>
      </c>
      <c r="M332" s="1411" t="str">
        <f>IF(E332=0,"",VLOOKUP(E332,'Tablas Técnicas'!$A$14:$V$771,6,FALSE))</f>
        <v/>
      </c>
      <c r="N332" s="990" t="str">
        <f>IF(L332="Si",IF(E332=0,"",VLOOKUP(E332,'Tablas Técnicas'!$A$14:$V$771,6,FALSE)),"")</f>
        <v/>
      </c>
      <c r="O332" s="987" t="s">
        <v>1690</v>
      </c>
      <c r="P332" s="1411" t="str">
        <f>IF(E332=0,"",VLOOKUP(E332,'Tablas Técnicas'!$A$14:$V$771,7,FALSE))</f>
        <v/>
      </c>
      <c r="Q332" s="990" t="str">
        <f>IF(O332="Si",IF(E332=0,"",VLOOKUP(E332,'Tablas Técnicas'!$A$14:$V$771,7,FALSE)),"")</f>
        <v/>
      </c>
      <c r="R332" s="1005" t="str">
        <f>IF(E332=0,"",VLOOKUP(E332,'Tablas Técnicas'!$A$14:$V$771,8,FALSE))</f>
        <v/>
      </c>
      <c r="S332" s="3033" t="str">
        <f>IF(R332=$D$8,$D$8,IF(R332=2,2,IF(R332=3,3,R332)))</f>
        <v/>
      </c>
      <c r="T332" s="4809"/>
      <c r="U332" s="4810"/>
      <c r="V332" s="3029" t="str">
        <f>IF(OR(V330=0,V330=""),"N/A",V330)</f>
        <v>N/A</v>
      </c>
      <c r="W332" s="4809" t="str">
        <f xml:space="preserve"> IF(OR(AF330=0,AF330=""),"N/A",W330)</f>
        <v>N/A</v>
      </c>
      <c r="X332" s="4811"/>
      <c r="Y332" s="4811"/>
      <c r="Z332" s="4811"/>
      <c r="AA332" s="4811"/>
      <c r="AB332" s="4811"/>
      <c r="AC332" s="4811"/>
      <c r="AD332" s="4811"/>
      <c r="AE332" s="4811"/>
      <c r="AF332" s="4810"/>
      <c r="AG332" s="4809" t="str">
        <f xml:space="preserve"> IF(OR(AP330="",AP330=0),"N/A",AG330)</f>
        <v>N/A</v>
      </c>
      <c r="AH332" s="4811"/>
      <c r="AI332" s="4811"/>
      <c r="AJ332" s="4811"/>
      <c r="AK332" s="4811"/>
      <c r="AL332" s="4811"/>
      <c r="AM332" s="4811"/>
      <c r="AN332" s="4811"/>
      <c r="AO332" s="4811"/>
      <c r="AP332" s="4810"/>
      <c r="AQ332" s="4809" t="str">
        <f xml:space="preserve"> IF(OR(AZ330="",AZ330=0),"N/A",AQ330)</f>
        <v>N/A</v>
      </c>
      <c r="AR332" s="4811"/>
      <c r="AS332" s="4811"/>
      <c r="AT332" s="4811"/>
      <c r="AU332" s="4811"/>
      <c r="AV332" s="4811"/>
      <c r="AW332" s="4811"/>
      <c r="AX332" s="4811"/>
      <c r="AY332" s="4811"/>
      <c r="AZ332" s="4810"/>
      <c r="BA332" s="4809" t="str">
        <f xml:space="preserve"> IF(OR(BJ330="",BJ330=0),"N/A",BA330)</f>
        <v>N/A</v>
      </c>
      <c r="BB332" s="4811"/>
      <c r="BC332" s="4811"/>
      <c r="BD332" s="4811"/>
      <c r="BE332" s="4811"/>
      <c r="BF332" s="4811"/>
      <c r="BG332" s="4811"/>
      <c r="BH332" s="4811"/>
      <c r="BI332" s="4811"/>
      <c r="BJ332" s="4810"/>
      <c r="BK332" s="1007" t="s">
        <v>4543</v>
      </c>
      <c r="BL332" s="989"/>
      <c r="BM332" s="1024"/>
      <c r="BN332" s="1008"/>
      <c r="BO332" s="1009"/>
      <c r="BP332" s="1010" t="str">
        <f>IF(I332="Si",VLOOKUP($D$8,'Tablas Técnicas'!$E$4:$F$6,2,FALSE),"")</f>
        <v/>
      </c>
      <c r="BQ332" s="980" t="str">
        <f>IF(L332="Si",VLOOKUP($D$8,'Tablas Técnicas'!$I$4:$J$6,2,FALSE),"")</f>
        <v/>
      </c>
      <c r="BR332" s="1011" t="str">
        <f>IF(O332="Si",VLOOKUP($D$8,'Tablas Técnicas'!$I$7:$J$9,2,FALSE),"")</f>
        <v/>
      </c>
      <c r="BS332" s="994"/>
      <c r="BU332" s="4776"/>
      <c r="BV332" s="4776"/>
      <c r="BW332" s="4776"/>
      <c r="BX332" s="951"/>
      <c r="BY332" s="1286"/>
      <c r="BZ332" s="1304"/>
      <c r="CA332" s="939"/>
      <c r="DR332" s="939"/>
      <c r="DT332" s="1325"/>
      <c r="DU332" s="1377"/>
      <c r="DV332" s="1376" t="str">
        <f>IF(E332="","",E332)&amp;IF(I332="No",""," (Mant.)")&amp;IF(L332="No",""," (Sme)")&amp;IF(O332="No",""," (SMa)")</f>
        <v/>
      </c>
      <c r="DW332" s="1377"/>
      <c r="DX332" s="1377"/>
      <c r="DY332" s="1324"/>
      <c r="DZ332" s="939"/>
      <c r="EA332" s="1470">
        <f t="shared" si="5"/>
        <v>1</v>
      </c>
    </row>
    <row r="333" spans="1:131" x14ac:dyDescent="0.2">
      <c r="A333" s="939"/>
      <c r="B333" s="939"/>
      <c r="C333" s="4822"/>
      <c r="D333" s="1452" t="s">
        <v>1766</v>
      </c>
      <c r="E333" s="995"/>
      <c r="F333" s="1025"/>
      <c r="G333" s="1437" t="str">
        <f>IF(E333=0,"",VLOOKUP(E333,'Tablas Técnicas'!$A$14:$V$771,3,FALSE))</f>
        <v/>
      </c>
      <c r="H333" s="998" t="str">
        <f>IF($E333=0,"",VLOOKUP($E333,'Tablas Técnicas'!$A$14:$V$771,4,FALSE))</f>
        <v/>
      </c>
      <c r="I333" s="999" t="s">
        <v>1690</v>
      </c>
      <c r="J333" s="1415" t="str">
        <f>IF(E333=0,"",VLOOKUP(E333,'Tablas Técnicas'!$A$14:$V$771,5,FALSE))</f>
        <v/>
      </c>
      <c r="K333" s="1001" t="str">
        <f>IF(I333="Si",IF(E333=0,"",VLOOKUP(E333,'Tablas Técnicas'!$A$14:$V$771,5,FALSE)),"")</f>
        <v/>
      </c>
      <c r="L333" s="999" t="s">
        <v>1690</v>
      </c>
      <c r="M333" s="1415" t="str">
        <f>IF(E333=0,"",VLOOKUP(E333,'Tablas Técnicas'!$A$14:$V$771,6,FALSE))</f>
        <v/>
      </c>
      <c r="N333" s="1002" t="str">
        <f>IF(L333="Si",IF(E333=0,"",VLOOKUP(E333,'Tablas Técnicas'!$A$14:$V$771,6,FALSE)),"")</f>
        <v/>
      </c>
      <c r="O333" s="999" t="s">
        <v>1690</v>
      </c>
      <c r="P333" s="1415" t="str">
        <f>IF(E333=0,"",VLOOKUP(E333,'Tablas Técnicas'!$A$14:$V$771,7,FALSE))</f>
        <v/>
      </c>
      <c r="Q333" s="1002" t="str">
        <f>IF(O333="Si",IF(E333=0,"",VLOOKUP(E333,'Tablas Técnicas'!$A$14:$V$771,7,FALSE)),"")</f>
        <v/>
      </c>
      <c r="R333" s="1000" t="str">
        <f>IF(E333=0,"",VLOOKUP(E333,'Tablas Técnicas'!$A$14:$V$771,8,FALSE))</f>
        <v/>
      </c>
      <c r="S333" s="998" t="str">
        <f>IF(R333=$D$8,$D$8,IF(R333=2,2,IF(R333=3,3,R333)))</f>
        <v/>
      </c>
      <c r="T333" s="4812" t="s">
        <v>4544</v>
      </c>
      <c r="U333" s="4813"/>
      <c r="V333" s="3025"/>
      <c r="W333" s="4814"/>
      <c r="X333" s="4815"/>
      <c r="Y333" s="4815"/>
      <c r="Z333" s="4815"/>
      <c r="AA333" s="4815"/>
      <c r="AB333" s="4815"/>
      <c r="AC333" s="4815"/>
      <c r="AD333" s="4815"/>
      <c r="AE333" s="4815"/>
      <c r="AF333" s="4816"/>
      <c r="AG333" s="4814"/>
      <c r="AH333" s="4815"/>
      <c r="AI333" s="4815"/>
      <c r="AJ333" s="4815"/>
      <c r="AK333" s="4815"/>
      <c r="AL333" s="4815"/>
      <c r="AM333" s="4815"/>
      <c r="AN333" s="4815"/>
      <c r="AO333" s="4815"/>
      <c r="AP333" s="4816"/>
      <c r="AQ333" s="4814"/>
      <c r="AR333" s="4815"/>
      <c r="AS333" s="4815"/>
      <c r="AT333" s="4815"/>
      <c r="AU333" s="4815"/>
      <c r="AV333" s="4815"/>
      <c r="AW333" s="4815"/>
      <c r="AX333" s="4815"/>
      <c r="AY333" s="4815"/>
      <c r="AZ333" s="4816"/>
      <c r="BA333" s="4814"/>
      <c r="BB333" s="4815"/>
      <c r="BC333" s="4815"/>
      <c r="BD333" s="4815"/>
      <c r="BE333" s="4815"/>
      <c r="BF333" s="4815"/>
      <c r="BG333" s="4815"/>
      <c r="BH333" s="4815"/>
      <c r="BI333" s="4815"/>
      <c r="BJ333" s="4816"/>
      <c r="BK333" s="998">
        <f>(SUM(G330:G334)+IF(AF330="",0,AF330)+IF(AP330="",0,AP330)+IF(AZ330="",0,AZ330)+IF(BJ330="",0,BJ330)+SUM(K330:K334)+SUM(N330:N334)+SUM(Q330:Q334))- SUM(V333:BA333)</f>
        <v>0</v>
      </c>
      <c r="BL333" s="1437"/>
      <c r="BM333" s="1438"/>
      <c r="BN333" s="992"/>
      <c r="BO333" s="993"/>
      <c r="BP333" s="978" t="str">
        <f>IF(I333="Si",VLOOKUP($D$8,'Tablas Técnicas'!$E$4:$F$6,2,FALSE),"")</f>
        <v/>
      </c>
      <c r="BQ333" s="979" t="str">
        <f>IF(L333="Si",VLOOKUP($D$8,'Tablas Técnicas'!$I$4:$J$6,2,FALSE),"")</f>
        <v/>
      </c>
      <c r="BR333" s="977" t="str">
        <f>IF(O333="Si",VLOOKUP($D$8,'Tablas Técnicas'!$I$7:$J$9,2,FALSE),"")</f>
        <v/>
      </c>
      <c r="BS333" s="994"/>
      <c r="BU333" s="1074"/>
      <c r="BV333" s="1074"/>
      <c r="BW333" s="1074"/>
      <c r="BX333" s="951"/>
      <c r="BY333" s="1286"/>
      <c r="BZ333" s="1304"/>
      <c r="CA333" s="943"/>
      <c r="DR333" s="943"/>
      <c r="DT333" s="1325"/>
      <c r="DU333" s="1432"/>
      <c r="DV333" s="1376" t="str">
        <f>IF(E333="","",E333)&amp;IF(I333="No",""," (Mant.)")&amp;IF(L333="No",""," (Sme)")&amp;IF(O333="No",""," (SMa)")</f>
        <v/>
      </c>
      <c r="DW333" s="1432"/>
      <c r="DX333" s="1432"/>
      <c r="DY333" s="1324"/>
      <c r="DZ333" s="943"/>
      <c r="EA333" s="1470">
        <f t="shared" si="5"/>
        <v>1</v>
      </c>
    </row>
    <row r="334" spans="1:131" x14ac:dyDescent="0.2">
      <c r="A334" s="939"/>
      <c r="B334" s="939"/>
      <c r="C334" s="4822"/>
      <c r="D334" s="1453" t="s">
        <v>1766</v>
      </c>
      <c r="E334" s="1003"/>
      <c r="F334" s="1019"/>
      <c r="G334" s="989" t="str">
        <f>IF(E334=0,"",VLOOKUP(E334,'Tablas Técnicas'!$A$14:$V$771,3,FALSE))</f>
        <v/>
      </c>
      <c r="H334" s="1004" t="str">
        <f>IF($E334=0,"",VLOOKUP($E334,'Tablas Técnicas'!$A$14:$V$771,4,FALSE))</f>
        <v/>
      </c>
      <c r="I334" s="987" t="s">
        <v>1690</v>
      </c>
      <c r="J334" s="1411" t="str">
        <f>IF(E334=0,"",VLOOKUP(E334,'Tablas Técnicas'!$A$14:$V$771,5,FALSE))</f>
        <v/>
      </c>
      <c r="K334" s="1006" t="str">
        <f>IF(I334="Si",IF(E334=0,"",VLOOKUP(E334,'Tablas Técnicas'!$A$14:$V$771,5,FALSE)),"")</f>
        <v/>
      </c>
      <c r="L334" s="987" t="s">
        <v>1690</v>
      </c>
      <c r="M334" s="1411" t="str">
        <f>IF(E334=0,"",VLOOKUP(E334,'Tablas Técnicas'!$A$14:$V$771,6,FALSE))</f>
        <v/>
      </c>
      <c r="N334" s="990" t="str">
        <f>IF(L334="Si",IF(E334=0,"",VLOOKUP(E334,'Tablas Técnicas'!$A$14:$V$771,6,FALSE)),"")</f>
        <v/>
      </c>
      <c r="O334" s="987" t="s">
        <v>1690</v>
      </c>
      <c r="P334" s="1411" t="str">
        <f>IF(E334=0,"",VLOOKUP(E334,'Tablas Técnicas'!$A$14:$V$771,7,FALSE))</f>
        <v/>
      </c>
      <c r="Q334" s="990" t="str">
        <f>IF(O334="Si",IF(E334=0,"",VLOOKUP(E334,'Tablas Técnicas'!$A$14:$V$771,7,FALSE)),"")</f>
        <v/>
      </c>
      <c r="R334" s="1005" t="str">
        <f>IF(E334=0,"",VLOOKUP(E334,'Tablas Técnicas'!$A$14:$V$771,8,FALSE))</f>
        <v/>
      </c>
      <c r="S334" s="1004" t="str">
        <f>IF(R334=$D$8,$D$8,IF(R334=2,2,IF(R334=3,3,R334)))</f>
        <v/>
      </c>
      <c r="T334" s="4817" t="s">
        <v>4546</v>
      </c>
      <c r="U334" s="4818"/>
      <c r="V334" s="3035"/>
      <c r="W334" s="4819"/>
      <c r="X334" s="4820"/>
      <c r="Y334" s="4820"/>
      <c r="Z334" s="4820"/>
      <c r="AA334" s="4820"/>
      <c r="AB334" s="4820"/>
      <c r="AC334" s="4820"/>
      <c r="AD334" s="4820"/>
      <c r="AE334" s="4820"/>
      <c r="AF334" s="4821"/>
      <c r="AG334" s="4819"/>
      <c r="AH334" s="4820"/>
      <c r="AI334" s="4820"/>
      <c r="AJ334" s="4820"/>
      <c r="AK334" s="4820"/>
      <c r="AL334" s="4820"/>
      <c r="AM334" s="4820"/>
      <c r="AN334" s="4820"/>
      <c r="AO334" s="4820"/>
      <c r="AP334" s="4821"/>
      <c r="AQ334" s="4819"/>
      <c r="AR334" s="4820"/>
      <c r="AS334" s="4820"/>
      <c r="AT334" s="4820"/>
      <c r="AU334" s="4820"/>
      <c r="AV334" s="4820"/>
      <c r="AW334" s="4820"/>
      <c r="AX334" s="4820"/>
      <c r="AY334" s="4820"/>
      <c r="AZ334" s="4821"/>
      <c r="BA334" s="4819"/>
      <c r="BB334" s="4820"/>
      <c r="BC334" s="4820"/>
      <c r="BD334" s="4820"/>
      <c r="BE334" s="4820"/>
      <c r="BF334" s="4820"/>
      <c r="BG334" s="4820"/>
      <c r="BH334" s="4820"/>
      <c r="BI334" s="4820"/>
      <c r="BJ334" s="4821"/>
      <c r="BK334" s="1004">
        <f>SUM(K330:K334)-SUM(V334:BA334)</f>
        <v>0</v>
      </c>
      <c r="BL334" s="989"/>
      <c r="BM334" s="1024"/>
      <c r="BN334" s="1008"/>
      <c r="BO334" s="1009"/>
      <c r="BP334" s="1010" t="str">
        <f>IF(I334="Si",VLOOKUP($D$8,'Tablas Técnicas'!$E$4:$F$6,2,FALSE),"")</f>
        <v/>
      </c>
      <c r="BQ334" s="980" t="str">
        <f>IF(L334="Si",VLOOKUP($D$8,'Tablas Técnicas'!$I$4:$J$6,2,FALSE),"")</f>
        <v/>
      </c>
      <c r="BR334" s="1011" t="str">
        <f>IF(O334="Si",VLOOKUP($D$8,'Tablas Técnicas'!$I$7:$J$9,2,FALSE),"")</f>
        <v/>
      </c>
      <c r="BS334" s="994"/>
      <c r="BU334" s="1074"/>
      <c r="BV334" s="1074"/>
      <c r="BW334" s="1074"/>
      <c r="BX334" s="951"/>
      <c r="BY334" s="1286"/>
      <c r="BZ334" s="1304"/>
      <c r="CA334" s="939"/>
      <c r="DR334" s="939"/>
      <c r="DT334" s="1325"/>
      <c r="DU334" s="1377"/>
      <c r="DV334" s="1376" t="str">
        <f>IF(E334="","",E334)&amp;IF(I334="No",""," (Mant.)")&amp;IF(L334="No",""," (Sme)")&amp;IF(O334="No",""," (SMa)")</f>
        <v/>
      </c>
      <c r="DW334" s="1377"/>
      <c r="DX334" s="1377"/>
      <c r="DY334" s="1324"/>
      <c r="DZ334" s="939"/>
      <c r="EA334" s="1470">
        <f t="shared" si="5"/>
        <v>1</v>
      </c>
    </row>
    <row r="335" spans="1:131" x14ac:dyDescent="0.2">
      <c r="A335" s="939"/>
      <c r="B335" s="939"/>
      <c r="C335" s="4822"/>
      <c r="D335" s="1455"/>
      <c r="E335" s="1404" t="s">
        <v>4553</v>
      </c>
      <c r="F335" s="1016"/>
      <c r="G335" s="1017"/>
      <c r="H335" s="2159">
        <f t="array" ref="H335">IF(AND(OR(ISNUMBER(SEARCH("Empatía Elemental ("&amp;BK330:BM330&amp;")",Principal!$AF$30))),SUM(H330:H334)&gt;=10),-5,0)</f>
        <v>0</v>
      </c>
      <c r="I335" s="1017"/>
      <c r="J335" s="1018"/>
      <c r="K335" s="1017"/>
      <c r="L335" s="1017"/>
      <c r="M335" s="1018"/>
      <c r="N335" s="1017"/>
      <c r="O335" s="1017"/>
      <c r="P335" s="1018"/>
      <c r="Q335" s="1017"/>
      <c r="R335" s="1018"/>
      <c r="S335" s="1017"/>
      <c r="T335" s="1017"/>
      <c r="U335" s="1037"/>
      <c r="V335" s="1037"/>
      <c r="W335" s="1037"/>
      <c r="X335" s="1037"/>
      <c r="Y335" s="1037"/>
      <c r="Z335" s="1037"/>
      <c r="AA335" s="1037"/>
      <c r="AB335" s="1037"/>
      <c r="AC335" s="1037"/>
      <c r="AD335" s="1037"/>
      <c r="AE335" s="1037"/>
      <c r="AF335" s="1037"/>
      <c r="AG335" s="1037"/>
      <c r="AH335" s="1037"/>
      <c r="AI335" s="1037"/>
      <c r="AJ335" s="1037"/>
      <c r="AK335" s="1037"/>
      <c r="AL335" s="1037"/>
      <c r="AM335" s="1037"/>
      <c r="AN335" s="1037"/>
      <c r="AO335" s="1037"/>
      <c r="AP335" s="1037"/>
      <c r="AQ335" s="1037"/>
      <c r="AR335" s="1037"/>
      <c r="AS335" s="1037"/>
      <c r="AT335" s="1037"/>
      <c r="AU335" s="1037"/>
      <c r="AV335" s="1037"/>
      <c r="AW335" s="1037"/>
      <c r="AX335" s="1037"/>
      <c r="AY335" s="1037"/>
      <c r="AZ335" s="1037"/>
      <c r="BA335" s="1037"/>
      <c r="BB335" s="1037"/>
      <c r="BC335" s="1037"/>
      <c r="BD335" s="1037"/>
      <c r="BE335" s="1037"/>
      <c r="BF335" s="1037"/>
      <c r="BG335" s="1037"/>
      <c r="BH335" s="1037"/>
      <c r="BI335" s="1037"/>
      <c r="BJ335" s="1037"/>
      <c r="BK335" s="4802"/>
      <c r="BL335" s="4802"/>
      <c r="BM335" s="4767"/>
      <c r="BN335" s="977">
        <f>SUM(K335:K338)</f>
        <v>0</v>
      </c>
      <c r="BO335" s="971">
        <f>IF(E335=0,"",(AF335+AP335+AZ335+BJ335))</f>
        <v>0</v>
      </c>
      <c r="BP335" s="978" t="str">
        <f>IF(I335="Si",VLOOKUP($D$8,'Tablas Técnicas'!$E$4:$F$6,2,FALSE),"")</f>
        <v/>
      </c>
      <c r="BQ335" s="979" t="str">
        <f>IF(L335="Si",VLOOKUP($D$8,'Tablas Técnicas'!$I$4:$J$6,2,FALSE),"")</f>
        <v/>
      </c>
      <c r="BR335" s="977" t="str">
        <f>IF(O335="Si",VLOOKUP($D$8,'Tablas Técnicas'!$I$7:$J$9,2,FALSE),"")</f>
        <v/>
      </c>
      <c r="BS335" s="994"/>
      <c r="BT335" s="4766" t="s">
        <v>4555</v>
      </c>
      <c r="BU335" s="4767"/>
      <c r="BV335" s="971"/>
      <c r="BW335" s="951"/>
      <c r="BX335" s="951"/>
      <c r="BY335" s="1286"/>
      <c r="BZ335" s="1304"/>
      <c r="CA335" s="939"/>
      <c r="DR335" s="939"/>
      <c r="DT335" s="1325"/>
      <c r="DU335" s="1377"/>
      <c r="DV335" s="1377"/>
      <c r="DW335" s="1377"/>
      <c r="DX335" s="1377"/>
      <c r="DY335" s="1324"/>
      <c r="DZ335" s="939"/>
      <c r="EA335" s="1470">
        <f t="shared" si="5"/>
        <v>1</v>
      </c>
    </row>
    <row r="336" spans="1:131" ht="12" x14ac:dyDescent="0.2">
      <c r="A336" s="939"/>
      <c r="B336" s="939"/>
      <c r="C336" s="4822"/>
      <c r="D336" s="1456" t="s">
        <v>4554</v>
      </c>
      <c r="E336" s="983"/>
      <c r="F336" s="1006"/>
      <c r="G336" s="1006"/>
      <c r="H336" s="1004" t="str">
        <f>IF(D304=0,"",IF(E336=0,"",VLOOKUP(E336,'Tablas Técnicas'!$A$14:$V$771,4,FALSE)))</f>
        <v/>
      </c>
      <c r="I336" s="1006"/>
      <c r="J336" s="1006"/>
      <c r="K336" s="1038"/>
      <c r="L336" s="1006"/>
      <c r="M336" s="1006"/>
      <c r="N336" s="1038"/>
      <c r="O336" s="1006"/>
      <c r="P336" s="1006"/>
      <c r="Q336" s="1006"/>
      <c r="R336" s="1005" t="str">
        <f>IF(E336=0,"",VLOOKUP(E336,'Tablas Técnicas'!$A$14:$V$771,8,FALSE))</f>
        <v/>
      </c>
      <c r="S336" s="1031" t="str">
        <f>IF(R336=$D$8,$D$8,IF(R336=2,2,IF(R336=3,3,R336)))</f>
        <v/>
      </c>
      <c r="T336" s="1006" t="str">
        <f>IF(E336=0,"",VLOOKUP(E336,'Tablas Técnicas'!$A$14:$V$771,9,FALSE))</f>
        <v/>
      </c>
      <c r="U336" s="1033" t="str">
        <f>IF(E336=0,"",VLOOKUP(E336,'Tablas Técnicas'!$A$14:$V$771,10,FALSE))</f>
        <v/>
      </c>
      <c r="V336" s="1034"/>
      <c r="W336" s="1034"/>
      <c r="X336" s="1033"/>
      <c r="Y336" s="1033"/>
      <c r="Z336" s="1033"/>
      <c r="AA336" s="1033"/>
      <c r="AB336" s="1033"/>
      <c r="AC336" s="1033"/>
      <c r="AD336" s="1033"/>
      <c r="AE336" s="1033"/>
      <c r="AF336" s="1033"/>
      <c r="AG336" s="4799" t="str">
        <f>IF(OR(E336='Tablas Técnicas'!A$678,E336='Tablas Técnicas'!A$679,E337='Tablas Técnicas'!A$678,E337='Tablas Técnicas'!A$679,E338='Tablas Técnicas'!A$678,E338='Tablas Técnicas'!A$679),"Selecciona la atadura elemental:","")</f>
        <v/>
      </c>
      <c r="AH336" s="4800"/>
      <c r="AI336" s="4800"/>
      <c r="AJ336" s="4800"/>
      <c r="AK336" s="4800"/>
      <c r="AL336" s="4800"/>
      <c r="AM336" s="4800"/>
      <c r="AN336" s="4800"/>
      <c r="AO336" s="4800"/>
      <c r="AP336" s="4800"/>
      <c r="AQ336" s="4800"/>
      <c r="AR336" s="4800"/>
      <c r="AS336" s="4800"/>
      <c r="AT336" s="4800"/>
      <c r="AU336" s="4800"/>
      <c r="AV336" s="4800"/>
      <c r="AW336" s="4800"/>
      <c r="AX336" s="4800"/>
      <c r="AY336" s="4800"/>
      <c r="AZ336" s="4800"/>
      <c r="BA336" s="4800"/>
      <c r="BB336" s="4800"/>
      <c r="BC336" s="4800"/>
      <c r="BD336" s="4800"/>
      <c r="BE336" s="4800"/>
      <c r="BF336" s="4800"/>
      <c r="BG336" s="4800"/>
      <c r="BH336" s="4800"/>
      <c r="BI336" s="4800"/>
      <c r="BJ336" s="4800"/>
      <c r="BK336" s="4801"/>
      <c r="BL336" s="1441"/>
      <c r="BM336" s="1441"/>
      <c r="BN336" s="1006"/>
      <c r="BO336" s="1006"/>
      <c r="BP336" s="1038"/>
      <c r="BQ336" s="1006"/>
      <c r="BR336" s="1006"/>
      <c r="BS336" s="1006"/>
      <c r="BT336" s="4768">
        <f>D304</f>
        <v>1</v>
      </c>
      <c r="BU336" s="4769"/>
      <c r="BV336" s="971">
        <f>IF(BV335=0,0,VLOOKUP(BV335,'Tablas Técnicas'!$M$4:$N$7,2,FALSE))</f>
        <v>0</v>
      </c>
      <c r="BW336" s="951"/>
      <c r="BX336" s="951"/>
      <c r="BY336" s="1286"/>
      <c r="BZ336" s="1304"/>
      <c r="CA336" s="939"/>
      <c r="DR336" s="939"/>
      <c r="DT336" s="1325"/>
      <c r="DU336" s="1377"/>
      <c r="DV336" s="1377"/>
      <c r="DW336" s="1377"/>
      <c r="DX336" s="1377"/>
      <c r="DY336" s="1324"/>
      <c r="DZ336" s="939"/>
      <c r="EA336" s="1470">
        <f t="shared" si="5"/>
        <v>1</v>
      </c>
    </row>
    <row r="337" spans="1:132" x14ac:dyDescent="0.2">
      <c r="A337" s="939"/>
      <c r="B337" s="939"/>
      <c r="C337" s="4822"/>
      <c r="D337" s="1452" t="s">
        <v>4556</v>
      </c>
      <c r="E337" s="1039"/>
      <c r="F337" s="1405"/>
      <c r="G337" s="1406"/>
      <c r="H337" s="996" t="str">
        <f>IF(VALUE(D304)&gt;1,IF(E337=0,"",VLOOKUP(E337,'Tablas Técnicas'!$A$14:$V$771,4,FALSE)),"")</f>
        <v/>
      </c>
      <c r="I337" s="1405"/>
      <c r="J337" s="1406"/>
      <c r="K337" s="1406"/>
      <c r="L337" s="1405"/>
      <c r="M337" s="1406"/>
      <c r="N337" s="1407"/>
      <c r="O337" s="1406"/>
      <c r="P337" s="1406"/>
      <c r="Q337" s="1406"/>
      <c r="R337" s="1000" t="str">
        <f>IF(E337=0,"",VLOOKUP(E337,'Tablas Técnicas'!$A$14:$V$771,8,FALSE))</f>
        <v/>
      </c>
      <c r="S337" s="998" t="str">
        <f>IF(R337=$D$8,$D$8,IF(R337=2,2,IF(R337=3,3,R337)))</f>
        <v/>
      </c>
      <c r="T337" s="1001" t="str">
        <f>IF(E337=0,"",VLOOKUP(E337,'Tablas Técnicas'!$A$14:$V$771,9,FALSE))</f>
        <v/>
      </c>
      <c r="U337" s="1001" t="str">
        <f>IF(E337=0,"",VLOOKUP(E337,'Tablas Técnicas'!$A$14:$V$771,10,FALSE))</f>
        <v/>
      </c>
      <c r="V337" s="1405"/>
      <c r="W337" s="1405"/>
      <c r="X337" s="1406"/>
      <c r="Y337" s="1406"/>
      <c r="Z337" s="1406"/>
      <c r="AA337" s="1406"/>
      <c r="AB337" s="1406"/>
      <c r="AC337" s="1406"/>
      <c r="AD337" s="1406"/>
      <c r="AE337" s="1406"/>
      <c r="AF337" s="1406"/>
      <c r="AG337" s="1408"/>
      <c r="AH337" s="1409"/>
      <c r="AI337" s="1409"/>
      <c r="AJ337" s="1409"/>
      <c r="AK337" s="1409"/>
      <c r="AL337" s="1409"/>
      <c r="AM337" s="1409"/>
      <c r="AN337" s="1409"/>
      <c r="AO337" s="1409"/>
      <c r="AP337" s="1407"/>
      <c r="AQ337" s="1409"/>
      <c r="AR337" s="1409"/>
      <c r="AS337" s="1409"/>
      <c r="AT337" s="1409"/>
      <c r="AU337" s="1409"/>
      <c r="AV337" s="1409"/>
      <c r="AW337" s="1409"/>
      <c r="AX337" s="1409"/>
      <c r="AY337" s="1409"/>
      <c r="AZ337" s="1410"/>
      <c r="BA337" s="1406"/>
      <c r="BB337" s="1406"/>
      <c r="BC337" s="1406"/>
      <c r="BD337" s="1406"/>
      <c r="BE337" s="1406"/>
      <c r="BF337" s="1406"/>
      <c r="BG337" s="1406"/>
      <c r="BH337" s="1406"/>
      <c r="BI337" s="1406"/>
      <c r="BJ337" s="1407"/>
      <c r="BK337" s="1406"/>
      <c r="BL337" s="1442"/>
      <c r="BM337" s="1443"/>
      <c r="BN337" s="1406"/>
      <c r="BO337" s="1406"/>
      <c r="BP337" s="1407"/>
      <c r="BQ337" s="1406"/>
      <c r="BR337" s="1406"/>
      <c r="BS337" s="1406"/>
      <c r="BU337" s="3026"/>
      <c r="BV337" s="971"/>
      <c r="BW337" s="951"/>
      <c r="BX337" s="951"/>
      <c r="BY337" s="1286"/>
      <c r="BZ337" s="1304"/>
      <c r="CA337" s="939"/>
      <c r="DR337" s="939"/>
      <c r="DT337" s="1325"/>
      <c r="DU337" s="1377"/>
      <c r="DV337" s="1377"/>
      <c r="DW337" s="1377"/>
      <c r="DX337" s="1377"/>
      <c r="DY337" s="1324"/>
      <c r="DZ337" s="939"/>
      <c r="EA337" s="1470">
        <f t="shared" si="5"/>
        <v>1</v>
      </c>
    </row>
    <row r="338" spans="1:132" x14ac:dyDescent="0.2">
      <c r="A338" s="939"/>
      <c r="B338" s="939"/>
      <c r="C338" s="4822"/>
      <c r="D338" s="1457" t="s">
        <v>4557</v>
      </c>
      <c r="E338" s="1040"/>
      <c r="F338" s="3030"/>
      <c r="G338" s="1015"/>
      <c r="H338" s="1014" t="str">
        <f>IF(VALUE(D304)=3,IF(E338=0,"",VLOOKUP(E338,'Tablas Técnicas'!$A$14:$V$771,4,FALSE)),"")</f>
        <v/>
      </c>
      <c r="I338" s="1015"/>
      <c r="J338" s="1015"/>
      <c r="K338" s="1015"/>
      <c r="L338" s="3030"/>
      <c r="M338" s="1015"/>
      <c r="N338" s="1015"/>
      <c r="O338" s="3030"/>
      <c r="P338" s="1015"/>
      <c r="Q338" s="1015"/>
      <c r="R338" s="1035" t="str">
        <f>IF(E338=0,"",VLOOKUP(E338,'Tablas Técnicas'!$A$14:$V$771,8,FALSE))</f>
        <v/>
      </c>
      <c r="S338" s="1014" t="str">
        <f>IF(R338=$D$8,$D$8,IF(R338=2,2,IF(R338=3,3,R338)))</f>
        <v/>
      </c>
      <c r="T338" s="1015" t="str">
        <f>IF(E338=0,"",VLOOKUP(E338,'Tablas Técnicas'!$A$14:$V$771,9,FALSE))</f>
        <v/>
      </c>
      <c r="U338" s="1015" t="str">
        <f>IF(E338=0,"",VLOOKUP(E338,'Tablas Técnicas'!$A$14:$V$771,10,FALSE))</f>
        <v/>
      </c>
      <c r="V338" s="3030"/>
      <c r="W338" s="1298"/>
      <c r="X338" s="1298"/>
      <c r="Y338" s="1298"/>
      <c r="Z338" s="1298"/>
      <c r="AA338" s="1298"/>
      <c r="AB338" s="1298"/>
      <c r="AC338" s="1298"/>
      <c r="AD338" s="1298"/>
      <c r="AE338" s="1298"/>
      <c r="AF338" s="1299"/>
      <c r="AG338" s="3030"/>
      <c r="AH338" s="1015"/>
      <c r="AI338" s="1015"/>
      <c r="AJ338" s="1015"/>
      <c r="AK338" s="1015"/>
      <c r="AL338" s="1015"/>
      <c r="AM338" s="1015"/>
      <c r="AN338" s="1015"/>
      <c r="AO338" s="1015"/>
      <c r="AP338" s="3031"/>
      <c r="AQ338" s="1015"/>
      <c r="AR338" s="1015"/>
      <c r="AS338" s="1015"/>
      <c r="AT338" s="1015"/>
      <c r="AU338" s="1015"/>
      <c r="AV338" s="1015"/>
      <c r="AW338" s="1015"/>
      <c r="AX338" s="1015"/>
      <c r="AY338" s="1015"/>
      <c r="AZ338" s="3031"/>
      <c r="BA338" s="1015"/>
      <c r="BB338" s="1015"/>
      <c r="BC338" s="1015"/>
      <c r="BD338" s="1015"/>
      <c r="BE338" s="1015"/>
      <c r="BF338" s="1015"/>
      <c r="BG338" s="1015"/>
      <c r="BH338" s="1015"/>
      <c r="BI338" s="1015"/>
      <c r="BJ338" s="3031"/>
      <c r="BK338" s="1015"/>
      <c r="BL338" s="1439"/>
      <c r="BM338" s="1444"/>
      <c r="BN338" s="1015"/>
      <c r="BO338" s="1015"/>
      <c r="BP338" s="1015"/>
      <c r="BQ338" s="3030"/>
      <c r="BR338" s="1015"/>
      <c r="BS338" s="1015"/>
      <c r="BT338" s="3026"/>
      <c r="BU338" s="3026"/>
      <c r="BV338" s="971">
        <f>IF(BV337=0,0,VLOOKUP(BV337,'Tablas Técnicas'!$M$4:$N$7,2,FALSE))</f>
        <v>0</v>
      </c>
      <c r="BW338" s="951"/>
      <c r="BX338" s="951"/>
      <c r="BY338" s="1286"/>
      <c r="BZ338" s="1304"/>
      <c r="CA338" s="943"/>
      <c r="DR338" s="943"/>
      <c r="DT338" s="1328"/>
      <c r="DU338" s="1433"/>
      <c r="DV338" s="1433"/>
      <c r="DW338" s="1433"/>
      <c r="DX338" s="1433"/>
      <c r="DY338" s="1329"/>
      <c r="DZ338" s="943"/>
      <c r="EA338" s="1470">
        <f t="shared" si="5"/>
        <v>1</v>
      </c>
    </row>
    <row r="339" spans="1:132" x14ac:dyDescent="0.2">
      <c r="A339" s="943"/>
      <c r="B339" s="943"/>
      <c r="C339" s="4822"/>
      <c r="D339" s="1458"/>
      <c r="E339" s="3026"/>
      <c r="F339" s="951"/>
      <c r="G339" s="3026"/>
      <c r="H339" s="3026"/>
      <c r="I339" s="951"/>
      <c r="J339" s="3026"/>
      <c r="K339" s="3026"/>
      <c r="L339" s="3026"/>
      <c r="M339" s="3026"/>
      <c r="N339" s="3026"/>
      <c r="O339" s="3026"/>
      <c r="P339" s="3026"/>
      <c r="Q339" s="3026"/>
      <c r="R339" s="3026"/>
      <c r="S339" s="3026"/>
      <c r="T339" s="3026"/>
      <c r="U339" s="3026"/>
      <c r="V339" s="3026"/>
      <c r="W339" s="3026"/>
      <c r="X339" s="3026"/>
      <c r="Y339" s="3026"/>
      <c r="Z339" s="3026"/>
      <c r="AA339" s="3026"/>
      <c r="AB339" s="3026"/>
      <c r="AC339" s="3026"/>
      <c r="AD339" s="3026"/>
      <c r="AE339" s="3026"/>
      <c r="AF339" s="3026"/>
      <c r="AG339" s="3026"/>
      <c r="AH339" s="3026"/>
      <c r="AI339" s="3026"/>
      <c r="AJ339" s="3026"/>
      <c r="AK339" s="3026"/>
      <c r="AL339" s="3026"/>
      <c r="AM339" s="3026"/>
      <c r="AN339" s="3026"/>
      <c r="AO339" s="3026"/>
      <c r="AP339" s="3026"/>
      <c r="AQ339" s="3026"/>
      <c r="AR339" s="3026"/>
      <c r="AS339" s="3026"/>
      <c r="AT339" s="3026"/>
      <c r="AU339" s="3026"/>
      <c r="AV339" s="3026"/>
      <c r="AW339" s="3026"/>
      <c r="AX339" s="3026"/>
      <c r="AY339" s="3026"/>
      <c r="AZ339" s="3026"/>
      <c r="BA339" s="3026"/>
      <c r="BB339" s="3026"/>
      <c r="BC339" s="3026"/>
      <c r="BD339" s="3026"/>
      <c r="BE339" s="3026"/>
      <c r="BF339" s="3026"/>
      <c r="BG339" s="3026"/>
      <c r="BH339" s="3026"/>
      <c r="BI339" s="3026"/>
      <c r="BJ339" s="3026"/>
      <c r="BK339" s="3026"/>
      <c r="BL339" s="3026"/>
      <c r="BM339" s="3026"/>
      <c r="BN339" s="944">
        <f>SUM(BN344:BN359)</f>
        <v>0</v>
      </c>
      <c r="BO339" s="944">
        <f>SUM(BO344:BO359)</f>
        <v>0</v>
      </c>
      <c r="BP339" s="944">
        <f>SUM(BP344:BP359)</f>
        <v>0</v>
      </c>
      <c r="BQ339" s="944">
        <f>SUM(BQ344:BQ359)</f>
        <v>0</v>
      </c>
      <c r="BR339" s="944">
        <f>SUM(BR344:BR359)</f>
        <v>0</v>
      </c>
      <c r="BS339" s="1041"/>
      <c r="BU339" s="3026"/>
      <c r="BW339" s="951"/>
      <c r="BX339" s="951"/>
      <c r="BY339" s="960"/>
      <c r="BZ339" s="1304"/>
      <c r="CA339" s="939"/>
      <c r="DR339" s="939"/>
      <c r="DT339" s="1325"/>
      <c r="DU339" s="1377"/>
      <c r="DV339" s="1377"/>
      <c r="DW339" s="1377"/>
      <c r="DX339" s="1377"/>
      <c r="DY339" s="1324"/>
      <c r="DZ339" s="939"/>
      <c r="EA339" s="1470">
        <f t="shared" si="5"/>
        <v>1</v>
      </c>
    </row>
    <row r="340" spans="1:132" x14ac:dyDescent="0.2">
      <c r="A340" s="939"/>
      <c r="B340" s="939"/>
      <c r="C340" s="4822"/>
      <c r="D340" s="1450" t="s">
        <v>7698</v>
      </c>
      <c r="E340" s="2941"/>
      <c r="F340" s="957"/>
      <c r="G340" s="957"/>
      <c r="H340" s="957"/>
      <c r="I340" s="957"/>
      <c r="J340" s="958"/>
      <c r="K340" s="957"/>
      <c r="L340" s="957"/>
      <c r="M340" s="958"/>
      <c r="N340" s="957"/>
      <c r="O340" s="957"/>
      <c r="P340" s="958"/>
      <c r="Q340" s="957"/>
      <c r="R340" s="958"/>
      <c r="S340" s="957"/>
      <c r="T340" s="957"/>
      <c r="U340" s="957"/>
      <c r="V340" s="957"/>
      <c r="W340" s="951"/>
      <c r="X340" s="958"/>
      <c r="Y340" s="958"/>
      <c r="Z340" s="958"/>
      <c r="AA340" s="958"/>
      <c r="AB340" s="958"/>
      <c r="AC340" s="958"/>
      <c r="AD340" s="958"/>
      <c r="AE340" s="958"/>
      <c r="AF340" s="957"/>
      <c r="AG340" s="951"/>
      <c r="AH340" s="958"/>
      <c r="AI340" s="958"/>
      <c r="AJ340" s="958"/>
      <c r="AK340" s="958"/>
      <c r="AL340" s="958"/>
      <c r="AM340" s="958"/>
      <c r="AN340" s="958"/>
      <c r="AO340" s="958"/>
      <c r="AP340" s="951"/>
      <c r="AQ340" s="951"/>
      <c r="AR340" s="958"/>
      <c r="AS340" s="958"/>
      <c r="AT340" s="958"/>
      <c r="AU340" s="958"/>
      <c r="AV340" s="958"/>
      <c r="AW340" s="958"/>
      <c r="AX340" s="958"/>
      <c r="AY340" s="958"/>
      <c r="AZ340" s="951"/>
      <c r="BA340" s="951"/>
      <c r="BB340" s="958"/>
      <c r="BC340" s="958"/>
      <c r="BD340" s="958"/>
      <c r="BE340" s="958"/>
      <c r="BF340" s="958"/>
      <c r="BG340" s="958"/>
      <c r="BH340" s="958"/>
      <c r="BI340" s="958"/>
      <c r="BJ340" s="951"/>
      <c r="BK340" s="951"/>
      <c r="BL340" s="951"/>
      <c r="BM340" s="951"/>
      <c r="BN340" s="944">
        <f>SUM(BN342:BN375)</f>
        <v>0</v>
      </c>
      <c r="BO340" s="944">
        <f>SUM(BO342:BO375)</f>
        <v>0</v>
      </c>
      <c r="BP340" s="944">
        <f>MAX(BP342:BP375)</f>
        <v>0</v>
      </c>
      <c r="BQ340" s="944">
        <f>MAX(BQ342:BQ375)</f>
        <v>0</v>
      </c>
      <c r="BR340" s="944">
        <f>MAX(BR342:BR375)</f>
        <v>0</v>
      </c>
      <c r="BS340" s="959"/>
      <c r="BU340" s="3026"/>
      <c r="BV340" s="961"/>
      <c r="BW340" s="951"/>
      <c r="BX340" s="951"/>
      <c r="BY340" s="1286"/>
      <c r="BZ340" s="1304"/>
      <c r="CA340" s="939"/>
      <c r="DR340" s="939"/>
      <c r="DT340" s="1325"/>
      <c r="DU340" s="1377"/>
      <c r="DV340" s="1377"/>
      <c r="DW340" s="1377"/>
      <c r="DX340" s="1377"/>
      <c r="DY340" s="1324"/>
      <c r="DZ340" s="939"/>
      <c r="EA340" s="1470">
        <f t="shared" si="5"/>
        <v>1</v>
      </c>
    </row>
    <row r="341" spans="1:132" ht="12" thickBot="1" x14ac:dyDescent="0.25">
      <c r="A341" s="939"/>
      <c r="B341" s="939"/>
      <c r="C341" s="4822"/>
      <c r="D341" s="1451">
        <v>1</v>
      </c>
      <c r="E341" s="962" t="s">
        <v>8064</v>
      </c>
      <c r="F341" s="963" t="s">
        <v>1789</v>
      </c>
      <c r="G341" s="964" t="s">
        <v>1790</v>
      </c>
      <c r="H341" s="964" t="s">
        <v>1811</v>
      </c>
      <c r="I341" s="965" t="s">
        <v>3334</v>
      </c>
      <c r="J341" s="966"/>
      <c r="K341" s="967"/>
      <c r="L341" s="965" t="s">
        <v>3335</v>
      </c>
      <c r="M341" s="966"/>
      <c r="N341" s="967"/>
      <c r="O341" s="965" t="s">
        <v>3336</v>
      </c>
      <c r="P341" s="966"/>
      <c r="Q341" s="967"/>
      <c r="R341" s="968" t="s">
        <v>4533</v>
      </c>
      <c r="S341" s="964" t="s">
        <v>3304</v>
      </c>
      <c r="T341" s="3036" t="s">
        <v>1708</v>
      </c>
      <c r="U341" s="3036" t="s">
        <v>1679</v>
      </c>
      <c r="V341" s="3036" t="s">
        <v>3337</v>
      </c>
      <c r="W341" s="4794" t="s">
        <v>3338</v>
      </c>
      <c r="X341" s="4794"/>
      <c r="Y341" s="4794"/>
      <c r="Z341" s="4794"/>
      <c r="AA341" s="4794"/>
      <c r="AB341" s="4794"/>
      <c r="AC341" s="4794"/>
      <c r="AD341" s="4794"/>
      <c r="AE341" s="4794"/>
      <c r="AF341" s="4794"/>
      <c r="AG341" s="4794"/>
      <c r="AH341" s="4794"/>
      <c r="AI341" s="4794"/>
      <c r="AJ341" s="4794"/>
      <c r="AK341" s="4794"/>
      <c r="AL341" s="4794"/>
      <c r="AM341" s="4794"/>
      <c r="AN341" s="4794"/>
      <c r="AO341" s="4794"/>
      <c r="AP341" s="4794"/>
      <c r="AQ341" s="4794"/>
      <c r="AR341" s="4794"/>
      <c r="AS341" s="4794"/>
      <c r="AT341" s="4794"/>
      <c r="AU341" s="4794"/>
      <c r="AV341" s="4794"/>
      <c r="AW341" s="4794"/>
      <c r="AX341" s="4794"/>
      <c r="AY341" s="4794"/>
      <c r="AZ341" s="4794"/>
      <c r="BA341" s="4794"/>
      <c r="BB341" s="4794"/>
      <c r="BC341" s="4794"/>
      <c r="BD341" s="4794"/>
      <c r="BE341" s="4794"/>
      <c r="BF341" s="4794"/>
      <c r="BG341" s="4794"/>
      <c r="BH341" s="4794"/>
      <c r="BI341" s="4794"/>
      <c r="BJ341" s="4794"/>
      <c r="BK341" s="4794" t="s">
        <v>3339</v>
      </c>
      <c r="BL341" s="4794"/>
      <c r="BM341" s="4795"/>
      <c r="BN341" s="969" t="s">
        <v>4534</v>
      </c>
      <c r="BO341" s="969" t="s">
        <v>4535</v>
      </c>
      <c r="BP341" s="969" t="s">
        <v>4536</v>
      </c>
      <c r="BQ341" s="969" t="s">
        <v>4537</v>
      </c>
      <c r="BR341" s="969" t="s">
        <v>4538</v>
      </c>
      <c r="BS341" s="970" t="s">
        <v>4539</v>
      </c>
      <c r="BT341" s="4770" t="s">
        <v>4540</v>
      </c>
      <c r="BU341" s="4771"/>
      <c r="BV341" s="971"/>
      <c r="BW341" s="951"/>
      <c r="BX341" s="951"/>
      <c r="BY341" s="1286"/>
      <c r="BZ341" s="1304"/>
      <c r="CA341" s="939"/>
      <c r="DR341" s="939"/>
      <c r="DT341" s="1325"/>
      <c r="DU341" s="1377"/>
      <c r="DV341" s="1377"/>
      <c r="DW341" s="1377"/>
      <c r="DX341" s="1377"/>
      <c r="DY341" s="1324"/>
      <c r="DZ341" s="939"/>
      <c r="EB341" s="2158">
        <f>D341</f>
        <v>1</v>
      </c>
    </row>
    <row r="342" spans="1:132" x14ac:dyDescent="0.2">
      <c r="A342" s="972"/>
      <c r="B342" s="1403"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822"/>
      <c r="D342" s="1452">
        <v>1</v>
      </c>
      <c r="E342" s="1246"/>
      <c r="F342" s="973"/>
      <c r="G342" s="974"/>
      <c r="H342" s="974"/>
      <c r="I342" s="974"/>
      <c r="J342" s="975"/>
      <c r="K342" s="974"/>
      <c r="L342" s="974"/>
      <c r="M342" s="975"/>
      <c r="N342" s="974"/>
      <c r="O342" s="974"/>
      <c r="P342" s="975"/>
      <c r="Q342" s="974"/>
      <c r="R342" s="975"/>
      <c r="S342" s="974"/>
      <c r="T342" s="974"/>
      <c r="U342" s="974"/>
      <c r="V342" s="974"/>
      <c r="W342" s="974"/>
      <c r="X342" s="974"/>
      <c r="Y342" s="974"/>
      <c r="Z342" s="974"/>
      <c r="AA342" s="974"/>
      <c r="AB342" s="974"/>
      <c r="AC342" s="974"/>
      <c r="AD342" s="974"/>
      <c r="AE342" s="974"/>
      <c r="AF342" s="974"/>
      <c r="AG342" s="974"/>
      <c r="AH342" s="974"/>
      <c r="AI342" s="974"/>
      <c r="AJ342" s="974"/>
      <c r="AK342" s="974"/>
      <c r="AL342" s="974"/>
      <c r="AM342" s="974"/>
      <c r="AN342" s="974"/>
      <c r="AO342" s="974"/>
      <c r="AP342" s="974"/>
      <c r="AQ342" s="974"/>
      <c r="AR342" s="974"/>
      <c r="AS342" s="974"/>
      <c r="AT342" s="974"/>
      <c r="AU342" s="974"/>
      <c r="AV342" s="974"/>
      <c r="AW342" s="974"/>
      <c r="AX342" s="974"/>
      <c r="AY342" s="974"/>
      <c r="AZ342" s="974"/>
      <c r="BA342" s="974"/>
      <c r="BB342" s="974"/>
      <c r="BC342" s="974"/>
      <c r="BD342" s="974"/>
      <c r="BE342" s="974"/>
      <c r="BF342" s="974"/>
      <c r="BG342" s="974"/>
      <c r="BH342" s="974"/>
      <c r="BI342" s="974"/>
      <c r="BJ342" s="974"/>
      <c r="BK342" s="974"/>
      <c r="BL342" s="974"/>
      <c r="BM342" s="976"/>
      <c r="BN342" s="977">
        <f>SUM(K342:K345)</f>
        <v>0</v>
      </c>
      <c r="BO342" s="971" t="str">
        <f>IF(E342=0,"",(AF342+AP342+AZ342+BJ342))</f>
        <v/>
      </c>
      <c r="BP342" s="978" t="str">
        <f>IF(I342="Si",VLOOKUP($D$8,'Tablas Técnicas'!$E$4:$F$6,2,FALSE),"")</f>
        <v/>
      </c>
      <c r="BQ342" s="979" t="str">
        <f>IF(L342="Si",VLOOKUP($D$8,'Tablas Técnicas'!$I$4:$J$6,2,FALSE),"")</f>
        <v/>
      </c>
      <c r="BR342" s="977" t="str">
        <f>IF(O342="Si",VLOOKUP($D$8,'Tablas Técnicas'!$I$7:$J$9,2,FALSE),"")</f>
        <v/>
      </c>
      <c r="BS342" s="980">
        <f>VLOOKUP(D341,'Tablas Técnicas'!$P$6:$R$8,3)</f>
        <v>50</v>
      </c>
      <c r="BT342" s="981">
        <f>VLOOKUP(D341,'Tablas Técnicas'!$P$6:$R$8,3,FALSE)</f>
        <v>50</v>
      </c>
      <c r="BU342" s="982">
        <f>VLOOKUP(D341,'Tablas Técnicas'!$P$6:$R$8,2,FALSE)</f>
        <v>20</v>
      </c>
      <c r="BV342" s="971">
        <f>IF(D341=0,"",VLOOKUP(D341,'Tablas Técnicas'!$L$4:$N$7,2,FALSE))</f>
        <v>3</v>
      </c>
      <c r="BW342" s="951"/>
      <c r="BX342" s="951"/>
      <c r="BY342" s="1286"/>
      <c r="BZ342" s="1304"/>
      <c r="CA342" s="939"/>
      <c r="DR342" s="939"/>
      <c r="DT342" s="1325"/>
      <c r="DU342" s="1424" t="s">
        <v>1801</v>
      </c>
      <c r="DV342" s="1425" t="s">
        <v>3315</v>
      </c>
      <c r="DW342" s="1425" t="s">
        <v>3301</v>
      </c>
      <c r="DX342" s="1426" t="s">
        <v>7701</v>
      </c>
      <c r="DY342" s="1324"/>
      <c r="DZ342" s="939"/>
      <c r="EA342" s="1470">
        <f>EB341</f>
        <v>1</v>
      </c>
    </row>
    <row r="343" spans="1:132" x14ac:dyDescent="0.2">
      <c r="A343" s="939"/>
      <c r="B343" s="939"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822"/>
      <c r="D343" s="1453" t="s">
        <v>1766</v>
      </c>
      <c r="E343" s="983"/>
      <c r="F343" s="984" t="str">
        <f>IF(E343=0,"",VLOOKUP(E343,'Tablas Técnicas'!$A$14:$V$771,2,FALSE))</f>
        <v/>
      </c>
      <c r="G343" s="985"/>
      <c r="H343" s="986" t="str">
        <f>IF($E343=0,"",VLOOKUP($E343,'Tablas Técnicas'!$A$14:$V$771,4,FALSE))</f>
        <v/>
      </c>
      <c r="I343" s="987" t="s">
        <v>1690</v>
      </c>
      <c r="J343" s="1412" t="str">
        <f>IF(E343=0,"",VLOOKUP(E343,'Tablas Técnicas'!$A$14:$V$771,5,FALSE))</f>
        <v/>
      </c>
      <c r="K343" s="989" t="str">
        <f>IF(I343="Si",IF(E343=0,"",VLOOKUP(E343,'Tablas Técnicas'!$A$14:$V$771,5,FALSE)),"")</f>
        <v/>
      </c>
      <c r="L343" s="987" t="s">
        <v>1690</v>
      </c>
      <c r="M343" s="1412" t="str">
        <f>IF(E343=0,"",VLOOKUP(E343,'Tablas Técnicas'!$A$14:$V$771,6,FALSE))</f>
        <v/>
      </c>
      <c r="N343" s="990" t="str">
        <f>IF(L343="Si",IF(E343=0,"",VLOOKUP(E343,'Tablas Técnicas'!$A$14:$V$771,6,FALSE)),"")</f>
        <v/>
      </c>
      <c r="O343" s="987" t="s">
        <v>1690</v>
      </c>
      <c r="P343" s="1412" t="str">
        <f>IF(E343=0,"",VLOOKUP(E343,'Tablas Técnicas'!$A$14:$V$771,7,FALSE))</f>
        <v/>
      </c>
      <c r="Q343" s="990" t="str">
        <f>IF(O343="Si",IF(E343=0,"",VLOOKUP(E343,'Tablas Técnicas'!$A$14:$V$771,7,FALSE)),"")</f>
        <v/>
      </c>
      <c r="R343" s="988" t="str">
        <f>IF(E343=0,"",VLOOKUP(E343,'Tablas Técnicas'!$A$14:$V$771,8,FALSE))</f>
        <v/>
      </c>
      <c r="S343" s="986" t="str">
        <f>IF(R343=$D$8,$D$8,IF(R343=2,2,IF(R343=3,3,R343)))</f>
        <v/>
      </c>
      <c r="T343" s="989" t="str">
        <f>IF(E343=0,"",VLOOKUP(E343,'Tablas Técnicas'!$A$14:$V$771,9,FALSE))</f>
        <v/>
      </c>
      <c r="U343" s="989" t="str">
        <f>IF(E343=0,"",VLOOKUP(E343,'Tablas Técnicas'!$A$14:$V$771,10,FALSE))</f>
        <v/>
      </c>
      <c r="V343" s="984" t="str">
        <f>IF(E343=0,"",VLOOKUP(E343,'Tablas Técnicas'!$A$14:$V$771,11,FALSE))</f>
        <v/>
      </c>
      <c r="W343" s="987"/>
      <c r="X343" s="988" t="e">
        <f>VLOOKUP(E343,'Tablas Técnicas'!$A$14:$V$771,12,FALSE)</f>
        <v>#N/A</v>
      </c>
      <c r="Y343" s="988" t="e">
        <f>IF(W343=X343,VLOOKUP(E343,'Tablas Técnicas'!$A$14:$V$771,13,FALSE),0)</f>
        <v>#N/A</v>
      </c>
      <c r="Z343" s="988" t="e">
        <f>VLOOKUP(E343,'Tablas Técnicas'!$A$14:$V$771,14,FALSE)</f>
        <v>#N/A</v>
      </c>
      <c r="AA343" s="988" t="e">
        <f>IF(W343=Z343,VLOOKUP(E343,'Tablas Técnicas'!$A$14:$V$616,15,FALSE),0)</f>
        <v>#N/A</v>
      </c>
      <c r="AB343" s="988" t="e">
        <f>VLOOKUP(E343,'Tablas Técnicas'!$A$14:$V$771,16,FALSE)</f>
        <v>#N/A</v>
      </c>
      <c r="AC343" s="988" t="e">
        <f>IF(W343=AB343,VLOOKUP(E343,'Tablas Técnicas'!$A$14:$V$616,17,FALSE),0)</f>
        <v>#N/A</v>
      </c>
      <c r="AD343" s="988" t="e">
        <f>VLOOKUP(E343,'Tablas Técnicas'!$A$14:$V$771,18,FALSE)</f>
        <v>#N/A</v>
      </c>
      <c r="AE343" s="988" t="e">
        <f>IF(W343=AD343,VLOOKUP(E343,'Tablas Técnicas'!$A$14:$V$771,19,FALSE),0)</f>
        <v>#N/A</v>
      </c>
      <c r="AF343" s="990" t="str">
        <f>IF(E343=0,"",(Y343+AA343+AC343+AE343))</f>
        <v/>
      </c>
      <c r="AG343" s="987"/>
      <c r="AH343" s="988" t="e">
        <f>VLOOKUP(E343,'Tablas Técnicas'!$A$14:$V$771,12,FALSE)</f>
        <v>#N/A</v>
      </c>
      <c r="AI343" s="988" t="e">
        <f>IF(AG343=AH343,VLOOKUP(E343,'Tablas Técnicas'!$A$14:$V$771,13,FALSE),0)</f>
        <v>#N/A</v>
      </c>
      <c r="AJ343" s="988" t="e">
        <f>VLOOKUP(E343,'Tablas Técnicas'!$A$14:$V$771,14,FALSE)</f>
        <v>#N/A</v>
      </c>
      <c r="AK343" s="988" t="e">
        <f>IF(AG343=AJ343,VLOOKUP(E343,'Tablas Técnicas'!$A$14:$V$771,15,FALSE),0)</f>
        <v>#N/A</v>
      </c>
      <c r="AL343" s="988" t="e">
        <f>VLOOKUP(E343,'Tablas Técnicas'!$A$14:$V$771,16,FALSE)</f>
        <v>#N/A</v>
      </c>
      <c r="AM343" s="988" t="e">
        <f>IF(AG343=AL343,VLOOKUP(E343,'Tablas Técnicas'!$A$14:$V$771,17,FALSE),0)</f>
        <v>#N/A</v>
      </c>
      <c r="AN343" s="988" t="e">
        <f>VLOOKUP(E343,'Tablas Técnicas'!$A$14:$V$771,18,FALSE)</f>
        <v>#N/A</v>
      </c>
      <c r="AO343" s="988" t="e">
        <f>IF(AG343=AN343,VLOOKUP(E343,'Tablas Técnicas'!$A$14:$V$771,19,FALSE),0)</f>
        <v>#N/A</v>
      </c>
      <c r="AP343" s="990" t="str">
        <f>IF(E343=0,"",(AI343+AK343+AM343+AO343))</f>
        <v/>
      </c>
      <c r="AQ343" s="987"/>
      <c r="AR343" s="988" t="e">
        <f>VLOOKUP(E343,'Tablas Técnicas'!$A$14:$V$771,12,FALSE)</f>
        <v>#N/A</v>
      </c>
      <c r="AS343" s="988" t="e">
        <f>IF(AQ343=AR343,VLOOKUP(E343,'Tablas Técnicas'!$A$14:$V$771,13,FALSE),0)</f>
        <v>#N/A</v>
      </c>
      <c r="AT343" s="988" t="e">
        <f>VLOOKUP(E343,'Tablas Técnicas'!$A$14:$V$771,14,FALSE)</f>
        <v>#N/A</v>
      </c>
      <c r="AU343" s="988" t="e">
        <f>IF(AQ343=AT343,VLOOKUP(E343,'Tablas Técnicas'!$A$14:$V$771,15,FALSE),0)</f>
        <v>#N/A</v>
      </c>
      <c r="AV343" s="988" t="e">
        <f>VLOOKUP(E343,'Tablas Técnicas'!$A$14:$V$771,16,FALSE)</f>
        <v>#N/A</v>
      </c>
      <c r="AW343" s="988" t="e">
        <f>IF(AQ343=AV343,VLOOKUP(E343,'Tablas Técnicas'!$A$14:$V$771,17,FALSE),0)</f>
        <v>#N/A</v>
      </c>
      <c r="AX343" s="988" t="e">
        <f>VLOOKUP(E343,'Tablas Técnicas'!$A$14:$V$771,18,FALSE)</f>
        <v>#N/A</v>
      </c>
      <c r="AY343" s="988" t="e">
        <f>IF(AQ343=AX343,VLOOKUP(E343,'Tablas Técnicas'!$A$14:$V$771,19,FALSE),0)</f>
        <v>#N/A</v>
      </c>
      <c r="AZ343" s="989" t="str">
        <f>IF(E343=0,"",(AS343+AU343+AW343+AY343))</f>
        <v/>
      </c>
      <c r="BA343" s="987"/>
      <c r="BB343" s="988" t="e">
        <f>VLOOKUP(E343,'Tablas Técnicas'!$A$14:$V$771,12,FALSE)</f>
        <v>#N/A</v>
      </c>
      <c r="BC343" s="988" t="e">
        <f>IF(BA343=BB343,VLOOKUP(E343,'Tablas Técnicas'!$A$14:$V$771,13,FALSE),0)</f>
        <v>#N/A</v>
      </c>
      <c r="BD343" s="988" t="e">
        <f>VLOOKUP(E343,'Tablas Técnicas'!$A$14:$V$771,14,FALSE)</f>
        <v>#N/A</v>
      </c>
      <c r="BE343" s="988" t="e">
        <f>IF(BA343=BD343,VLOOKUP(E343,'Tablas Técnicas'!$A$14:$V$771,15,FALSE),0)</f>
        <v>#N/A</v>
      </c>
      <c r="BF343" s="988" t="e">
        <f>VLOOKUP(E343,'Tablas Técnicas'!$A$14:$V$771,16,FALSE)</f>
        <v>#N/A</v>
      </c>
      <c r="BG343" s="988" t="e">
        <f>IF(BA343=BF343,VLOOKUP(E343,'Tablas Técnicas'!$A$14:$V$771,17,FALSE),0)</f>
        <v>#N/A</v>
      </c>
      <c r="BH343" s="988" t="e">
        <f>VLOOKUP(E343,'Tablas Técnicas'!$A$14:$V$771,18,FALSE)</f>
        <v>#N/A</v>
      </c>
      <c r="BI343" s="988" t="e">
        <f>IF(BA343=BH343,VLOOKUP(E343,'Tablas Técnicas'!$A$14:$V$771,19,FALSE),0)</f>
        <v>#N/A</v>
      </c>
      <c r="BJ343" s="990" t="str">
        <f>IF(E343=0,"",(BC343+BE343+BG343+BI343))</f>
        <v/>
      </c>
      <c r="BK343" s="989" t="str">
        <f>IF(E343=0,"",VLOOKUP(E343,'Tablas Técnicas'!$A$14:$V$771,20,FALSE))</f>
        <v/>
      </c>
      <c r="BL343" s="989" t="str">
        <f>IF(E343=0,"",VLOOKUP(E343,'Tablas Técnicas'!$A$14:$V$771,21,FALSE))</f>
        <v/>
      </c>
      <c r="BM343" s="991" t="str">
        <f>IF(E343=0,"",VLOOKUP(E343,'Tablas Técnicas'!$A$14:$V$771,22,FALSE))</f>
        <v/>
      </c>
      <c r="BN343" s="992"/>
      <c r="BO343" s="993"/>
      <c r="BP343" s="978" t="str">
        <f>IF(I343="Si",VLOOKUP($D$8,'Tablas Técnicas'!$E$4:$F$6,2,FALSE),"")</f>
        <v/>
      </c>
      <c r="BQ343" s="979" t="str">
        <f>IF(L343="Si",VLOOKUP($D$8,'Tablas Técnicas'!$I$4:$J$6,2,FALSE),"")</f>
        <v/>
      </c>
      <c r="BR343" s="977" t="str">
        <f>IF(O343="Si",VLOOKUP($D$8,'Tablas Técnicas'!$I$7:$J$9,2,FALSE),"")</f>
        <v/>
      </c>
      <c r="BS343" s="994"/>
      <c r="BT343" s="4770" t="s">
        <v>4541</v>
      </c>
      <c r="BU343" s="4771"/>
      <c r="BV343" s="971"/>
      <c r="BX343" s="951"/>
      <c r="BY343" s="1286"/>
      <c r="BZ343" s="1304"/>
      <c r="CA343" s="939"/>
      <c r="DR343" s="939"/>
      <c r="DT343" s="1325"/>
      <c r="DU343" s="1375" t="str">
        <f>IF(BW356="N/A","",BT355&amp;" "&amp;BW356&amp;IF(BY356="N/A"," "," ("&amp;BY356&amp;") "))</f>
        <v/>
      </c>
      <c r="DV343" s="1376" t="str">
        <f>IF(E343="","",E343)&amp;IF(I343="No",""," (Mant.)")&amp;IF(L343="No",""," (Sme)")&amp;IF(O343="No",""," (SMa)")</f>
        <v/>
      </c>
      <c r="DW343" s="1377" t="str">
        <f>IF(E373="","",E373)</f>
        <v/>
      </c>
      <c r="DX343" s="4778"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24"/>
      <c r="DZ343" s="939"/>
      <c r="EA343" s="1470">
        <f t="shared" si="5"/>
        <v>1</v>
      </c>
    </row>
    <row r="344" spans="1:132" ht="12.75" customHeight="1" x14ac:dyDescent="0.2">
      <c r="A344" s="939"/>
      <c r="B344" s="939"/>
      <c r="C344" s="4822"/>
      <c r="D344" s="1452" t="s">
        <v>1766</v>
      </c>
      <c r="E344" s="995"/>
      <c r="F344" s="996" t="str">
        <f>IF(E344=0,"",VLOOKUP(E344,'Tablas Técnicas'!$A$14:$V$771,2,FALSE))</f>
        <v/>
      </c>
      <c r="G344" s="997"/>
      <c r="H344" s="998" t="str">
        <f>IF($E344=0,"",VLOOKUP($E344,'Tablas Técnicas'!$A$14:$V$771,4,FALSE))</f>
        <v/>
      </c>
      <c r="I344" s="999" t="s">
        <v>1690</v>
      </c>
      <c r="J344" s="1415" t="str">
        <f>IF(E344=0,"",VLOOKUP(E344,'Tablas Técnicas'!$A$14:$V$771,5,FALSE))</f>
        <v/>
      </c>
      <c r="K344" s="1001" t="str">
        <f>IF(I344="Si",IF(E344=0,"",VLOOKUP(E344,'Tablas Técnicas'!$A$14:$V$771,5,FALSE)),"")</f>
        <v/>
      </c>
      <c r="L344" s="999" t="s">
        <v>1690</v>
      </c>
      <c r="M344" s="1415" t="str">
        <f>IF(E344=0,"",VLOOKUP(E344,'Tablas Técnicas'!$A$14:$V$771,6,FALSE))</f>
        <v/>
      </c>
      <c r="N344" s="1002" t="str">
        <f>IF(L344="Si",IF(E344=0,"",VLOOKUP(E344,'Tablas Técnicas'!$A$14:$V$771,6,FALSE)),"")</f>
        <v/>
      </c>
      <c r="O344" s="999" t="s">
        <v>1690</v>
      </c>
      <c r="P344" s="1415" t="str">
        <f>IF(E344=0,"",VLOOKUP(E344,'Tablas Técnicas'!$A$14:$V$771,7,FALSE))</f>
        <v/>
      </c>
      <c r="Q344" s="1002" t="str">
        <f>IF(O344="Si",IF(E344=0,"",VLOOKUP(E344,'Tablas Técnicas'!$A$14:$V$771,7,FALSE)),"")</f>
        <v/>
      </c>
      <c r="R344" s="1000" t="str">
        <f>IF(E344=0,"",VLOOKUP(E344,'Tablas Técnicas'!$A$14:$V$771,8,FALSE))</f>
        <v/>
      </c>
      <c r="S344" s="998" t="str">
        <f>IF(R344=$D$8,$D$8,IF(R344=2,2,IF(R344=3,3,R344)))</f>
        <v/>
      </c>
      <c r="T344" s="4796" t="s">
        <v>4542</v>
      </c>
      <c r="U344" s="4797"/>
      <c r="V344" s="4797"/>
      <c r="W344" s="4797"/>
      <c r="X344" s="4797"/>
      <c r="Y344" s="4797"/>
      <c r="Z344" s="4797"/>
      <c r="AA344" s="4797"/>
      <c r="AB344" s="4797"/>
      <c r="AC344" s="4797"/>
      <c r="AD344" s="4797"/>
      <c r="AE344" s="4797"/>
      <c r="AF344" s="4797"/>
      <c r="AG344" s="4797"/>
      <c r="AH344" s="4797"/>
      <c r="AI344" s="4797"/>
      <c r="AJ344" s="4797"/>
      <c r="AK344" s="4797"/>
      <c r="AL344" s="4797"/>
      <c r="AM344" s="4797"/>
      <c r="AN344" s="4797"/>
      <c r="AO344" s="4797"/>
      <c r="AP344" s="4797"/>
      <c r="AQ344" s="4797"/>
      <c r="AR344" s="4797"/>
      <c r="AS344" s="4797"/>
      <c r="AT344" s="4797"/>
      <c r="AU344" s="4797"/>
      <c r="AV344" s="4797"/>
      <c r="AW344" s="4797"/>
      <c r="AX344" s="4797"/>
      <c r="AY344" s="4797"/>
      <c r="AZ344" s="4797"/>
      <c r="BA344" s="4797"/>
      <c r="BB344" s="4797"/>
      <c r="BC344" s="4797"/>
      <c r="BD344" s="4797"/>
      <c r="BE344" s="4797"/>
      <c r="BF344" s="4797"/>
      <c r="BG344" s="4797"/>
      <c r="BH344" s="4797"/>
      <c r="BI344" s="4797"/>
      <c r="BJ344" s="4797"/>
      <c r="BK344" s="4798"/>
      <c r="BL344" s="1437"/>
      <c r="BM344" s="1438"/>
      <c r="BN344" s="992"/>
      <c r="BO344" s="993"/>
      <c r="BP344" s="978" t="str">
        <f>IF(I344="Si",VLOOKUP($D$8,'Tablas Técnicas'!$E$4:$F$6,2,FALSE),"")</f>
        <v/>
      </c>
      <c r="BQ344" s="979" t="str">
        <f>IF(L344="Si",VLOOKUP($D$8,'Tablas Técnicas'!$I$4:$J$6,2,FALSE),"")</f>
        <v/>
      </c>
      <c r="BR344" s="977" t="str">
        <f>IF(O344="Si",VLOOKUP($D$8,'Tablas Técnicas'!$I$7:$J$9,2,FALSE),"")</f>
        <v/>
      </c>
      <c r="BS344" s="994"/>
      <c r="BT344" s="4772">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773"/>
      <c r="BV344" s="971"/>
      <c r="BX344" s="951"/>
      <c r="BY344" s="1286"/>
      <c r="BZ344" s="1304"/>
      <c r="CA344" s="939"/>
      <c r="DR344" s="939"/>
      <c r="DT344" s="1325"/>
      <c r="DU344" s="1375" t="str">
        <f>IF(BW358="N/A","",BT357&amp;" "&amp;BW358&amp;IF(BY358="N/A"," "," ("&amp;BY358&amp;") "))</f>
        <v/>
      </c>
      <c r="DV344" s="1376" t="str">
        <f>IF(E344="",""," "&amp;E344)&amp;IF(I344="No",""," (Mant.)")&amp;IF(L344="No",""," (Sme)")&amp;IF(O344="No",""," (SMa)")</f>
        <v/>
      </c>
      <c r="DW344" s="1377" t="str">
        <f>IF(E374="","",", "&amp;E374)</f>
        <v/>
      </c>
      <c r="DX344" s="4778"/>
      <c r="DY344" s="1324"/>
      <c r="DZ344" s="939"/>
      <c r="EA344" s="1470">
        <f t="shared" si="5"/>
        <v>1</v>
      </c>
    </row>
    <row r="345" spans="1:132" x14ac:dyDescent="0.2">
      <c r="A345" s="939"/>
      <c r="B345" s="939"/>
      <c r="C345" s="4822"/>
      <c r="D345" s="1453" t="s">
        <v>1766</v>
      </c>
      <c r="E345" s="1003"/>
      <c r="F345" s="3033" t="str">
        <f>IF(E345=0,"",VLOOKUP(E345,'Tablas Técnicas'!$A$14:$V$771,2,FALSE))</f>
        <v/>
      </c>
      <c r="G345" s="985"/>
      <c r="H345" s="1004" t="str">
        <f>IF($E345=0,"",VLOOKUP($E345,'Tablas Técnicas'!$A$14:$V$771,4,FALSE))</f>
        <v/>
      </c>
      <c r="I345" s="987" t="s">
        <v>1690</v>
      </c>
      <c r="J345" s="1411" t="str">
        <f>IF(E345=0,"",VLOOKUP(E345,'Tablas Técnicas'!$A$14:$V$771,5,FALSE))</f>
        <v/>
      </c>
      <c r="K345" s="1006" t="str">
        <f>IF(I345="Si",IF(E345=0,"",VLOOKUP(E345,'Tablas Técnicas'!$A$14:$V$771,5,FALSE)),"")</f>
        <v/>
      </c>
      <c r="L345" s="987" t="s">
        <v>1690</v>
      </c>
      <c r="M345" s="1411" t="str">
        <f>IF(E345=0,"",VLOOKUP(E345,'Tablas Técnicas'!$A$14:$V$771,6,FALSE))</f>
        <v/>
      </c>
      <c r="N345" s="990" t="str">
        <f>IF(L345="Si",IF(E345=0,"",VLOOKUP(E345,'Tablas Técnicas'!$A$14:$V$771,6,FALSE)),"")</f>
        <v/>
      </c>
      <c r="O345" s="987" t="s">
        <v>1690</v>
      </c>
      <c r="P345" s="1411" t="str">
        <f>IF(E345=0,"",VLOOKUP(E345,'Tablas Técnicas'!$A$14:$V$771,7,FALSE))</f>
        <v/>
      </c>
      <c r="Q345" s="990" t="str">
        <f>IF(O345="Si",IF(E345=0,"",VLOOKUP(E345,'Tablas Técnicas'!$A$14:$V$771,7,FALSE)),"")</f>
        <v/>
      </c>
      <c r="R345" s="1005" t="str">
        <f>IF(E345=0,"",VLOOKUP(E345,'Tablas Técnicas'!$A$14:$V$771,8,FALSE))</f>
        <v/>
      </c>
      <c r="S345" s="3033" t="str">
        <f>IF(R345=$D$8,$D$8,IF(R345=2,2,IF(R345=3,3,R345)))</f>
        <v/>
      </c>
      <c r="T345" s="4809"/>
      <c r="U345" s="4810"/>
      <c r="V345" s="3029" t="str">
        <f>IF(OR(V343=0,V343=""),"N/A",V343)</f>
        <v>N/A</v>
      </c>
      <c r="W345" s="4809" t="str">
        <f xml:space="preserve"> IF(OR(AF343=0,AF343=""),"N/A",W343)</f>
        <v>N/A</v>
      </c>
      <c r="X345" s="4811"/>
      <c r="Y345" s="4811"/>
      <c r="Z345" s="4811"/>
      <c r="AA345" s="4811"/>
      <c r="AB345" s="4811"/>
      <c r="AC345" s="4811"/>
      <c r="AD345" s="4811"/>
      <c r="AE345" s="4811"/>
      <c r="AF345" s="4810"/>
      <c r="AG345" s="4809" t="str">
        <f xml:space="preserve"> IF(OR(AP343="",AP343=0),"N/A",AG343)</f>
        <v>N/A</v>
      </c>
      <c r="AH345" s="4811"/>
      <c r="AI345" s="4811"/>
      <c r="AJ345" s="4811"/>
      <c r="AK345" s="4811"/>
      <c r="AL345" s="4811"/>
      <c r="AM345" s="4811"/>
      <c r="AN345" s="4811"/>
      <c r="AO345" s="4811"/>
      <c r="AP345" s="4810"/>
      <c r="AQ345" s="4809" t="str">
        <f xml:space="preserve"> IF(OR(AZ343="",AZ343=0),"N/A",AQ343)</f>
        <v>N/A</v>
      </c>
      <c r="AR345" s="4811"/>
      <c r="AS345" s="4811"/>
      <c r="AT345" s="4811"/>
      <c r="AU345" s="4811"/>
      <c r="AV345" s="4811"/>
      <c r="AW345" s="4811"/>
      <c r="AX345" s="4811"/>
      <c r="AY345" s="4811"/>
      <c r="AZ345" s="4810"/>
      <c r="BA345" s="4809" t="str">
        <f xml:space="preserve"> IF(OR(BJ343="",BJ343=0),"N/A",BA343)</f>
        <v>N/A</v>
      </c>
      <c r="BB345" s="4811"/>
      <c r="BC345" s="4811"/>
      <c r="BD345" s="4811"/>
      <c r="BE345" s="4811"/>
      <c r="BF345" s="4811"/>
      <c r="BG345" s="4811"/>
      <c r="BH345" s="4811"/>
      <c r="BI345" s="4811"/>
      <c r="BJ345" s="4810"/>
      <c r="BK345" s="1007" t="s">
        <v>4543</v>
      </c>
      <c r="BL345" s="989"/>
      <c r="BM345" s="1024"/>
      <c r="BN345" s="1008"/>
      <c r="BO345" s="1009"/>
      <c r="BP345" s="1010" t="str">
        <f>IF(I345="Si",VLOOKUP($D$8,'Tablas Técnicas'!$E$4:$F$6,2,FALSE),"")</f>
        <v/>
      </c>
      <c r="BQ345" s="980" t="str">
        <f>IF(L345="Si",VLOOKUP($D$8,'Tablas Técnicas'!$I$4:$J$6,2,FALSE),"")</f>
        <v/>
      </c>
      <c r="BR345" s="1011" t="str">
        <f>IF(O345="Si",VLOOKUP($D$8,'Tablas Técnicas'!$I$7:$J$9,2,FALSE),"")</f>
        <v/>
      </c>
      <c r="BS345" s="1012"/>
      <c r="BU345" s="3026"/>
      <c r="BV345" s="971"/>
      <c r="BW345" s="951"/>
      <c r="BX345" s="951"/>
      <c r="BY345" s="1286"/>
      <c r="BZ345" s="1304"/>
      <c r="CA345" s="939"/>
      <c r="DR345" s="939"/>
      <c r="DT345" s="1325"/>
      <c r="DU345" s="1375" t="str">
        <f>IF(BW360="N/A","",BT359&amp;" "&amp;BW360&amp;IF(BY360="N/A"," "," ("&amp;BY360&amp;") "))</f>
        <v/>
      </c>
      <c r="DV345" s="1376" t="str">
        <f>IF(E345="","",E345)&amp;IF(I345="No",""," (Mant.)")&amp;IF(L345="No",""," (Sme)")&amp;IF(O345="No",""," (SMa)")</f>
        <v/>
      </c>
      <c r="DW345" s="1377" t="str">
        <f>IF(E375="","",", "&amp;E375)</f>
        <v/>
      </c>
      <c r="DX345" s="4778"/>
      <c r="DY345" s="1324"/>
      <c r="DZ345" s="939"/>
      <c r="EA345" s="1470">
        <f t="shared" si="5"/>
        <v>1</v>
      </c>
    </row>
    <row r="346" spans="1:132" x14ac:dyDescent="0.2">
      <c r="A346" s="939"/>
      <c r="B346" s="939"/>
      <c r="C346" s="4822"/>
      <c r="D346" s="1452" t="s">
        <v>1766</v>
      </c>
      <c r="E346" s="995"/>
      <c r="F346" s="996" t="str">
        <f>IF(E346=0,"",VLOOKUP(E346,'Tablas Técnicas'!$A$14:$V$771,2,FALSE))</f>
        <v/>
      </c>
      <c r="G346" s="997"/>
      <c r="H346" s="998" t="str">
        <f>IF($E346=0,"",VLOOKUP($E346,'Tablas Técnicas'!$A$14:$V$771,4,FALSE))</f>
        <v/>
      </c>
      <c r="I346" s="999" t="s">
        <v>1690</v>
      </c>
      <c r="J346" s="1415" t="str">
        <f>IF(E346=0,"",VLOOKUP(E346,'Tablas Técnicas'!$A$14:$V$771,5,FALSE))</f>
        <v/>
      </c>
      <c r="K346" s="1001" t="str">
        <f>IF(I346="Si",IF(E346=0,"",VLOOKUP(E346,'Tablas Técnicas'!$A$14:$V$771,5,FALSE)),"")</f>
        <v/>
      </c>
      <c r="L346" s="999" t="s">
        <v>1690</v>
      </c>
      <c r="M346" s="1415" t="str">
        <f>IF(E346=0,"",VLOOKUP(E346,'Tablas Técnicas'!$A$14:$V$771,6,FALSE))</f>
        <v/>
      </c>
      <c r="N346" s="1002" t="str">
        <f>IF(L346="Si",IF(E346=0,"",VLOOKUP(E346,'Tablas Técnicas'!$A$14:$V$771,6,FALSE)),"")</f>
        <v/>
      </c>
      <c r="O346" s="999" t="s">
        <v>1690</v>
      </c>
      <c r="P346" s="1415" t="str">
        <f>IF(E346=0,"",VLOOKUP(E346,'Tablas Técnicas'!$A$14:$V$771,7,FALSE))</f>
        <v/>
      </c>
      <c r="Q346" s="1002" t="str">
        <f>IF(O346="Si",IF(E346=0,"",VLOOKUP(E346,'Tablas Técnicas'!$A$14:$V$771,7,FALSE)),"")</f>
        <v/>
      </c>
      <c r="R346" s="1000" t="str">
        <f>IF(E346=0,"",VLOOKUP(E346,'Tablas Técnicas'!$A$14:$V$771,8,FALSE))</f>
        <v/>
      </c>
      <c r="S346" s="998" t="str">
        <f>IF(R346=$D$8,$D$8,IF(R346=2,2,IF(R346=3,3,R346)))</f>
        <v/>
      </c>
      <c r="T346" s="4812" t="s">
        <v>4544</v>
      </c>
      <c r="U346" s="4813"/>
      <c r="V346" s="3025"/>
      <c r="W346" s="4814"/>
      <c r="X346" s="4815"/>
      <c r="Y346" s="4815"/>
      <c r="Z346" s="4815"/>
      <c r="AA346" s="4815"/>
      <c r="AB346" s="4815"/>
      <c r="AC346" s="4815"/>
      <c r="AD346" s="4815"/>
      <c r="AE346" s="4815"/>
      <c r="AF346" s="4816"/>
      <c r="AG346" s="4814"/>
      <c r="AH346" s="4815"/>
      <c r="AI346" s="4815"/>
      <c r="AJ346" s="4815"/>
      <c r="AK346" s="4815"/>
      <c r="AL346" s="4815"/>
      <c r="AM346" s="4815"/>
      <c r="AN346" s="4815"/>
      <c r="AO346" s="4815"/>
      <c r="AP346" s="4816"/>
      <c r="AQ346" s="4814"/>
      <c r="AR346" s="4815"/>
      <c r="AS346" s="4815"/>
      <c r="AT346" s="4815"/>
      <c r="AU346" s="4815"/>
      <c r="AV346" s="4815"/>
      <c r="AW346" s="4815"/>
      <c r="AX346" s="4815"/>
      <c r="AY346" s="4815"/>
      <c r="AZ346" s="4816"/>
      <c r="BA346" s="4814"/>
      <c r="BB346" s="4815"/>
      <c r="BC346" s="4815"/>
      <c r="BD346" s="4815"/>
      <c r="BE346" s="4815"/>
      <c r="BF346" s="4815"/>
      <c r="BG346" s="4815"/>
      <c r="BH346" s="4815"/>
      <c r="BI346" s="4815"/>
      <c r="BJ346" s="4816"/>
      <c r="BK346" s="998">
        <f>(SUM(F343:F347)+IF(AF343="",0,AF343)+IF(AP343="",0,AP343)+IF(AZ343="",0,AZ343)+IF(BJ343="",0,BJ343)+SUM(K343:K347)+SUM(N343:N347)+SUM(Q343:Q347))- SUM(V346:BA346)</f>
        <v>0</v>
      </c>
      <c r="BL346" s="1437"/>
      <c r="BM346" s="1438"/>
      <c r="BN346" s="992"/>
      <c r="BO346" s="993"/>
      <c r="BP346" s="978" t="str">
        <f>IF(I346="Si",VLOOKUP($D$8,'Tablas Técnicas'!$E$4:$F$6,2,FALSE),"")</f>
        <v/>
      </c>
      <c r="BQ346" s="979" t="str">
        <f>IF(L346="Si",VLOOKUP($D$8,'Tablas Técnicas'!$I$4:$J$6,2,FALSE),"")</f>
        <v/>
      </c>
      <c r="BR346" s="977" t="str">
        <f>IF(O346="Si",VLOOKUP($D$8,'Tablas Técnicas'!$I$7:$J$9,2,FALSE),"")</f>
        <v/>
      </c>
      <c r="BS346" s="994"/>
      <c r="BT346" s="4770" t="s">
        <v>4545</v>
      </c>
      <c r="BU346" s="4771"/>
      <c r="BV346" s="971"/>
      <c r="BW346" s="951"/>
      <c r="BX346" s="951"/>
      <c r="BY346" s="1286"/>
      <c r="BZ346" s="1304"/>
      <c r="CA346" s="939"/>
      <c r="DR346" s="939"/>
      <c r="DT346" s="1325"/>
      <c r="DU346" s="1375" t="str">
        <f>IF(BW362="N/A","",BT361&amp;" "&amp;BW362&amp;IF(BY362="N/A"," "," ("&amp;BY362&amp;") "))</f>
        <v/>
      </c>
      <c r="DV346" s="1376" t="str">
        <f>IF(E346="","",E346)&amp;IF(I346="No",""," (Mant.)")&amp;IF(L346="No",""," (Sme)")&amp;IF(O346="No",""," (SMa)")</f>
        <v/>
      </c>
      <c r="DW346" s="1377"/>
      <c r="DX346" s="4778"/>
      <c r="DY346" s="1324"/>
      <c r="DZ346" s="939"/>
      <c r="EA346" s="1470">
        <f t="shared" si="5"/>
        <v>1</v>
      </c>
    </row>
    <row r="347" spans="1:132" x14ac:dyDescent="0.2">
      <c r="A347" s="939"/>
      <c r="B347" s="939"/>
      <c r="C347" s="4822"/>
      <c r="D347" s="1453" t="s">
        <v>1766</v>
      </c>
      <c r="E347" s="1003"/>
      <c r="F347" s="3033" t="str">
        <f>IF(E347=0,"",VLOOKUP(E347,'Tablas Técnicas'!$A$14:$V$771,2,FALSE))</f>
        <v/>
      </c>
      <c r="G347" s="985"/>
      <c r="H347" s="1004" t="str">
        <f>IF($E347=0,"",VLOOKUP($E347,'Tablas Técnicas'!$A$14:$V$771,4,FALSE))</f>
        <v/>
      </c>
      <c r="I347" s="987" t="s">
        <v>1690</v>
      </c>
      <c r="J347" s="1411" t="str">
        <f>IF(E347=0,"",VLOOKUP(E347,'Tablas Técnicas'!$A$14:$V$771,5,FALSE))</f>
        <v/>
      </c>
      <c r="K347" s="1006" t="str">
        <f>IF(I347="Si",IF(E347=0,"",VLOOKUP(E347,'Tablas Técnicas'!$A$14:$V$771,5,FALSE)),"")</f>
        <v/>
      </c>
      <c r="L347" s="987" t="s">
        <v>1690</v>
      </c>
      <c r="M347" s="1411" t="str">
        <f>IF(E347=0,"",VLOOKUP(E347,'Tablas Técnicas'!$A$14:$V$771,6,FALSE))</f>
        <v/>
      </c>
      <c r="N347" s="990" t="str">
        <f>IF(L347="Si",IF(E347=0,"",VLOOKUP(E347,'Tablas Técnicas'!$A$14:$V$771,6,FALSE)),"")</f>
        <v/>
      </c>
      <c r="O347" s="987" t="s">
        <v>1690</v>
      </c>
      <c r="P347" s="1411" t="str">
        <f>IF(E347=0,"",VLOOKUP(E347,'Tablas Técnicas'!$A$14:$V$771,7,FALSE))</f>
        <v/>
      </c>
      <c r="Q347" s="990" t="str">
        <f>IF(O347="Si",IF(E347=0,"",VLOOKUP(E347,'Tablas Técnicas'!$A$14:$V$771,7,FALSE)),"")</f>
        <v/>
      </c>
      <c r="R347" s="1005" t="str">
        <f>IF(E347=0,"",VLOOKUP(E347,'Tablas Técnicas'!$A$14:$V$771,8,FALSE))</f>
        <v/>
      </c>
      <c r="S347" s="1004" t="str">
        <f>IF(R347=$D$8,$D$8,IF(R347=2,2,IF(R347=3,3,R347)))</f>
        <v/>
      </c>
      <c r="T347" s="4803" t="s">
        <v>4546</v>
      </c>
      <c r="U347" s="4804"/>
      <c r="V347" s="3032"/>
      <c r="W347" s="4805"/>
      <c r="X347" s="4806"/>
      <c r="Y347" s="4806"/>
      <c r="Z347" s="4806"/>
      <c r="AA347" s="4806"/>
      <c r="AB347" s="4806"/>
      <c r="AC347" s="4806"/>
      <c r="AD347" s="4806"/>
      <c r="AE347" s="4806"/>
      <c r="AF347" s="4807"/>
      <c r="AG347" s="4805"/>
      <c r="AH347" s="4806"/>
      <c r="AI347" s="4806"/>
      <c r="AJ347" s="4806"/>
      <c r="AK347" s="4806"/>
      <c r="AL347" s="4806"/>
      <c r="AM347" s="4806"/>
      <c r="AN347" s="4806"/>
      <c r="AO347" s="4806"/>
      <c r="AP347" s="4807"/>
      <c r="AQ347" s="4805"/>
      <c r="AR347" s="4806"/>
      <c r="AS347" s="4806"/>
      <c r="AT347" s="4806"/>
      <c r="AU347" s="4806"/>
      <c r="AV347" s="4806"/>
      <c r="AW347" s="4806"/>
      <c r="AX347" s="4806"/>
      <c r="AY347" s="4806"/>
      <c r="AZ347" s="4807"/>
      <c r="BA347" s="4805"/>
      <c r="BB347" s="4806"/>
      <c r="BC347" s="4806"/>
      <c r="BD347" s="4806"/>
      <c r="BE347" s="4806"/>
      <c r="BF347" s="4806"/>
      <c r="BG347" s="4806"/>
      <c r="BH347" s="4806"/>
      <c r="BI347" s="4806"/>
      <c r="BJ347" s="4807"/>
      <c r="BK347" s="1014">
        <f>SUM(K343:K347)-SUM(V347:BA347)</f>
        <v>0</v>
      </c>
      <c r="BL347" s="1439"/>
      <c r="BM347" s="1440"/>
      <c r="BN347" s="1008"/>
      <c r="BO347" s="1009"/>
      <c r="BP347" s="1010" t="str">
        <f>IF(I347="Si",VLOOKUP($D$8,'Tablas Técnicas'!$E$4:$F$6,2,FALSE),"")</f>
        <v/>
      </c>
      <c r="BQ347" s="980" t="str">
        <f>IF(L347="Si",VLOOKUP($D$8,'Tablas Técnicas'!$I$4:$J$6,2,FALSE),"")</f>
        <v/>
      </c>
      <c r="BR347" s="1011" t="str">
        <f>IF(O347="Si",VLOOKUP($D$8,'Tablas Técnicas'!$I$7:$J$9,2,FALSE),"")</f>
        <v/>
      </c>
      <c r="BS347" s="1012"/>
      <c r="BT347" s="4774" t="s">
        <v>1690</v>
      </c>
      <c r="BU347" s="4775"/>
      <c r="BV347" s="971"/>
      <c r="BW347" s="951"/>
      <c r="BX347" s="951"/>
      <c r="BY347" s="1286"/>
      <c r="BZ347" s="1304"/>
      <c r="CA347" s="939"/>
      <c r="DR347" s="939"/>
      <c r="DT347" s="1325"/>
      <c r="DU347" s="1375" t="str">
        <f>IF(BW364="N/A","",BT363&amp;" "&amp;BW364&amp;IF(BY364="N/A"," "," ("&amp;BY364&amp;") "))</f>
        <v/>
      </c>
      <c r="DV347" s="1376" t="str">
        <f>IF(E347="","",E347)&amp;IF(I347="No",""," (Mant.)")&amp;IF(L347="No",""," (Sme)")&amp;IF(O347="No",""," (SMa)")</f>
        <v/>
      </c>
      <c r="DW347" s="1377"/>
      <c r="DX347" s="4778"/>
      <c r="DY347" s="1324"/>
      <c r="DZ347" s="939"/>
      <c r="EA347" s="1470">
        <f t="shared" si="5"/>
        <v>1</v>
      </c>
    </row>
    <row r="348" spans="1:132" x14ac:dyDescent="0.2">
      <c r="A348" s="939"/>
      <c r="B348" s="1403"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822"/>
      <c r="D348" s="1454">
        <v>2</v>
      </c>
      <c r="E348" s="1246"/>
      <c r="F348" s="1016"/>
      <c r="G348" s="1017"/>
      <c r="H348" s="2159">
        <f t="array" ref="H348">IF(AND(OR(ISNUMBER(SEARCH("Empatía Elemental ("&amp;BK343:BM343&amp;")",Principal!$AF$30))),SUM(H343:H347)&gt;=10),-5,0)</f>
        <v>0</v>
      </c>
      <c r="I348" s="1413"/>
      <c r="J348" s="1416"/>
      <c r="K348" s="1017"/>
      <c r="L348" s="1413"/>
      <c r="M348" s="1416"/>
      <c r="N348" s="1017"/>
      <c r="O348" s="1413"/>
      <c r="P348" s="1416"/>
      <c r="Q348" s="1017"/>
      <c r="R348" s="1018"/>
      <c r="S348" s="1017"/>
      <c r="T348" s="1017"/>
      <c r="U348" s="974"/>
      <c r="V348" s="974"/>
      <c r="W348" s="974"/>
      <c r="X348" s="974"/>
      <c r="Y348" s="974"/>
      <c r="Z348" s="974"/>
      <c r="AA348" s="974"/>
      <c r="AB348" s="974"/>
      <c r="AC348" s="974"/>
      <c r="AD348" s="974"/>
      <c r="AE348" s="974"/>
      <c r="AF348" s="974"/>
      <c r="AG348" s="974"/>
      <c r="AH348" s="974"/>
      <c r="AI348" s="974"/>
      <c r="AJ348" s="974"/>
      <c r="AK348" s="974"/>
      <c r="AL348" s="974"/>
      <c r="AM348" s="974"/>
      <c r="AN348" s="974"/>
      <c r="AO348" s="974"/>
      <c r="AP348" s="974"/>
      <c r="AQ348" s="974"/>
      <c r="AR348" s="974"/>
      <c r="AS348" s="974"/>
      <c r="AT348" s="974"/>
      <c r="AU348" s="974"/>
      <c r="AV348" s="974"/>
      <c r="AW348" s="974"/>
      <c r="AX348" s="974"/>
      <c r="AY348" s="974"/>
      <c r="AZ348" s="974"/>
      <c r="BA348" s="974"/>
      <c r="BB348" s="974"/>
      <c r="BC348" s="974"/>
      <c r="BD348" s="974"/>
      <c r="BE348" s="974"/>
      <c r="BF348" s="974"/>
      <c r="BG348" s="974"/>
      <c r="BH348" s="974"/>
      <c r="BI348" s="974"/>
      <c r="BJ348" s="974"/>
      <c r="BK348" s="974"/>
      <c r="BL348" s="974"/>
      <c r="BM348" s="976"/>
      <c r="BN348" s="977">
        <f>SUM(K348:K351)</f>
        <v>0</v>
      </c>
      <c r="BO348" s="971" t="str">
        <f>IF(E348=0,"",(AF348+AP348+AZ348+BJ348))</f>
        <v/>
      </c>
      <c r="BP348" s="978" t="str">
        <f>IF(I348="Si",VLOOKUP($D$8,'Tablas Técnicas'!$E$4:$F$6,2,FALSE),"")</f>
        <v/>
      </c>
      <c r="BQ348" s="979" t="str">
        <f>IF(L348="Si",VLOOKUP($D$8,'Tablas Técnicas'!$I$4:$J$6,2,FALSE),"")</f>
        <v/>
      </c>
      <c r="BR348" s="977" t="str">
        <f>IF(O348="Si",VLOOKUP($D$8,'Tablas Técnicas'!$I$7:$J$9,2,FALSE),"")</f>
        <v/>
      </c>
      <c r="BS348" s="994"/>
      <c r="BT348" s="4770" t="s">
        <v>4547</v>
      </c>
      <c r="BU348" s="4771"/>
      <c r="BV348" s="971"/>
      <c r="BW348" s="951"/>
      <c r="BX348" s="951"/>
      <c r="BY348" s="1286"/>
      <c r="BZ348" s="1304"/>
      <c r="CA348" s="939"/>
      <c r="DR348" s="939"/>
      <c r="DT348" s="1325"/>
      <c r="DU348" s="1375" t="str">
        <f>IF(BW366="N/A","",BT365&amp;" "&amp;BW366&amp;IF(BY366="N/A"," "," ("&amp;BY366&amp;") "))</f>
        <v/>
      </c>
      <c r="DV348" s="1380"/>
      <c r="DW348" s="1377"/>
      <c r="DX348" s="1427" t="s">
        <v>1828</v>
      </c>
      <c r="DY348" s="1324"/>
      <c r="DZ348" s="939"/>
      <c r="EA348" s="1470">
        <f t="shared" si="5"/>
        <v>1</v>
      </c>
    </row>
    <row r="349" spans="1:132" x14ac:dyDescent="0.2">
      <c r="A349" s="939"/>
      <c r="B349" s="939"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822"/>
      <c r="D349" s="1453" t="s">
        <v>1766</v>
      </c>
      <c r="E349" s="983"/>
      <c r="F349" s="1019"/>
      <c r="G349" s="989" t="str">
        <f>IF(E349=0,"",VLOOKUP(E349,'Tablas Técnicas'!$A$14:$V$771,3,FALSE))</f>
        <v/>
      </c>
      <c r="H349" s="1021" t="str">
        <f>IF($E349=0,"",VLOOKUP($E349,'Tablas Técnicas'!$A$14:$V$771,4,FALSE))</f>
        <v/>
      </c>
      <c r="I349" s="987" t="s">
        <v>1690</v>
      </c>
      <c r="J349" s="1414" t="str">
        <f>IF(E349=0,"",VLOOKUP(E349,'Tablas Técnicas'!$A$14:$V$771,5,FALSE))</f>
        <v/>
      </c>
      <c r="K349" s="1020" t="str">
        <f>IF(I349="Si",IF(E349=0,"",VLOOKUP(E349,'Tablas Técnicas'!$A$14:$V$771,5,FALSE)),"")</f>
        <v/>
      </c>
      <c r="L349" s="987" t="s">
        <v>1690</v>
      </c>
      <c r="M349" s="1414" t="str">
        <f>IF(E349=0,"",VLOOKUP(E349,'Tablas Técnicas'!$A$14:$V$771,6,FALSE))</f>
        <v/>
      </c>
      <c r="N349" s="990" t="str">
        <f>IF(L349="Si",IF(E349=0,"",VLOOKUP(E349,'Tablas Técnicas'!$A$14:$V$771,6,FALSE)),"")</f>
        <v/>
      </c>
      <c r="O349" s="987" t="s">
        <v>1690</v>
      </c>
      <c r="P349" s="1414" t="str">
        <f>IF(E349=0,"",VLOOKUP(E349,'Tablas Técnicas'!$A$14:$V$771,7,FALSE))</f>
        <v/>
      </c>
      <c r="Q349" s="990" t="str">
        <f>IF(O349="Si",IF(E349=0,"",VLOOKUP(E349,'Tablas Técnicas'!$A$14:$V$771,7,FALSE)),"")</f>
        <v/>
      </c>
      <c r="R349" s="1022" t="str">
        <f>IF(E349=0,"",VLOOKUP(E349,'Tablas Técnicas'!$A$14:$V$771,8,FALSE))</f>
        <v/>
      </c>
      <c r="S349" s="1021" t="str">
        <f>IF(R349=$D$8,$D$8,IF(R349=2,2,IF(R349=3,3,R349)))</f>
        <v/>
      </c>
      <c r="T349" s="989" t="str">
        <f>IF(E349=0,"",VLOOKUP(E349,'Tablas Técnicas'!$A$14:$V$771,9,FALSE))</f>
        <v/>
      </c>
      <c r="U349" s="989" t="str">
        <f>IF(E349=0,"",VLOOKUP(E349,'Tablas Técnicas'!$A$14:$V$771,10,FALSE))</f>
        <v/>
      </c>
      <c r="V349" s="984" t="str">
        <f>IF(E349=0,"",VLOOKUP(E349,'Tablas Técnicas'!$A$14:$V$771,11,FALSE))</f>
        <v/>
      </c>
      <c r="W349" s="987"/>
      <c r="X349" s="988" t="e">
        <f>VLOOKUP(E349,'Tablas Técnicas'!$A$14:$V$771,12,FALSE)</f>
        <v>#N/A</v>
      </c>
      <c r="Y349" s="988" t="e">
        <f>IF(W349=X349,VLOOKUP(E349,'Tablas Técnicas'!$A$14:$V$771,13,FALSE),0)</f>
        <v>#N/A</v>
      </c>
      <c r="Z349" s="988" t="e">
        <f>VLOOKUP(E349,'Tablas Técnicas'!$A$14:$V$771,14,FALSE)</f>
        <v>#N/A</v>
      </c>
      <c r="AA349" s="988" t="e">
        <f>IF(W349=Z349,VLOOKUP(E349,'Tablas Técnicas'!$A$14:$V$616,15,FALSE),0)</f>
        <v>#N/A</v>
      </c>
      <c r="AB349" s="988" t="e">
        <f>VLOOKUP(E349,'Tablas Técnicas'!$A$14:$V$771,16,FALSE)</f>
        <v>#N/A</v>
      </c>
      <c r="AC349" s="988" t="e">
        <f>IF(W349=AB349,VLOOKUP(E349,'Tablas Técnicas'!$A$14:$V$616,17,FALSE),0)</f>
        <v>#N/A</v>
      </c>
      <c r="AD349" s="988" t="e">
        <f>VLOOKUP(E349,'Tablas Técnicas'!$A$14:$V$771,18,FALSE)</f>
        <v>#N/A</v>
      </c>
      <c r="AE349" s="988" t="e">
        <f>IF(W349=AD349,VLOOKUP(E349,'Tablas Técnicas'!$A$14:$V$771,19,FALSE),0)</f>
        <v>#N/A</v>
      </c>
      <c r="AF349" s="989" t="str">
        <f>IF(E349=0,"",(Y349+AA349+AC349+AE349))</f>
        <v/>
      </c>
      <c r="AG349" s="987"/>
      <c r="AH349" s="1022" t="e">
        <f>VLOOKUP(E349,'Tablas Técnicas'!$A$14:$V$771,12,FALSE)</f>
        <v>#N/A</v>
      </c>
      <c r="AI349" s="1022" t="e">
        <f>IF(AG349=AH349,VLOOKUP(E349,'Tablas Técnicas'!$A$14:$V$771,13,FALSE),0)</f>
        <v>#N/A</v>
      </c>
      <c r="AJ349" s="1022" t="e">
        <f>VLOOKUP(E349,'Tablas Técnicas'!$A$14:$V$771,14,FALSE)</f>
        <v>#N/A</v>
      </c>
      <c r="AK349" s="1022" t="e">
        <f>IF(AG349=AJ349,VLOOKUP(E349,'Tablas Técnicas'!$A$14:$V$771,15,FALSE),0)</f>
        <v>#N/A</v>
      </c>
      <c r="AL349" s="1022" t="e">
        <f>VLOOKUP(E349,'Tablas Técnicas'!$A$14:$V$771,16,FALSE)</f>
        <v>#N/A</v>
      </c>
      <c r="AM349" s="1022" t="e">
        <f>IF(AG349=AL349,VLOOKUP(E349,'Tablas Técnicas'!$A$14:$V$771,17,FALSE),0)</f>
        <v>#N/A</v>
      </c>
      <c r="AN349" s="1022" t="e">
        <f>VLOOKUP(E349,'Tablas Técnicas'!$A$14:$V$771,18,FALSE)</f>
        <v>#N/A</v>
      </c>
      <c r="AO349" s="1022" t="e">
        <f>IF(AG349=AN349,VLOOKUP(E349,'Tablas Técnicas'!$A$14:$V$771,19,FALSE),0)</f>
        <v>#N/A</v>
      </c>
      <c r="AP349" s="1023" t="str">
        <f>IF(E349=0,"",(AI349+AK349+AM349+AO349))</f>
        <v/>
      </c>
      <c r="AQ349" s="987"/>
      <c r="AR349" s="988" t="e">
        <f>VLOOKUP(E349,'Tablas Técnicas'!$A$14:$V$771,12,FALSE)</f>
        <v>#N/A</v>
      </c>
      <c r="AS349" s="988" t="e">
        <f>IF(AQ349=AR349,VLOOKUP(E349,'Tablas Técnicas'!$A$14:$V$771,13,FALSE),0)</f>
        <v>#N/A</v>
      </c>
      <c r="AT349" s="988" t="e">
        <f>VLOOKUP(E349,'Tablas Técnicas'!$A$14:$V$771,14,FALSE)</f>
        <v>#N/A</v>
      </c>
      <c r="AU349" s="988" t="e">
        <f>IF(AQ349=AT349,VLOOKUP(E349,'Tablas Técnicas'!$A$14:$V$771,15,FALSE),0)</f>
        <v>#N/A</v>
      </c>
      <c r="AV349" s="988" t="e">
        <f>VLOOKUP(E349,'Tablas Técnicas'!$A$14:$V$771,16,FALSE)</f>
        <v>#N/A</v>
      </c>
      <c r="AW349" s="988" t="e">
        <f>IF(AQ349=AV349,VLOOKUP(E349,'Tablas Técnicas'!$A$14:$V$771,17,FALSE),0)</f>
        <v>#N/A</v>
      </c>
      <c r="AX349" s="988" t="e">
        <f>VLOOKUP(E349,'Tablas Técnicas'!$A$14:$V$771,18,FALSE)</f>
        <v>#N/A</v>
      </c>
      <c r="AY349" s="988" t="e">
        <f>IF(AQ349=AX349,VLOOKUP(E349,'Tablas Técnicas'!$A$14:$V$771,19,FALSE),0)</f>
        <v>#N/A</v>
      </c>
      <c r="AZ349" s="989" t="str">
        <f>IF(E349=0,"",(AS349+AU349+AW349+AY349))</f>
        <v/>
      </c>
      <c r="BA349" s="987"/>
      <c r="BB349" s="988" t="e">
        <f>VLOOKUP(E349,'Tablas Técnicas'!$A$14:$V$771,12,FALSE)</f>
        <v>#N/A</v>
      </c>
      <c r="BC349" s="988" t="e">
        <f>IF(BA349=BB349,VLOOKUP(E349,'Tablas Técnicas'!$A$14:$V$771,13,FALSE),0)</f>
        <v>#N/A</v>
      </c>
      <c r="BD349" s="988" t="e">
        <f>VLOOKUP(E349,'Tablas Técnicas'!$A$14:$V$771,14,FALSE)</f>
        <v>#N/A</v>
      </c>
      <c r="BE349" s="988" t="e">
        <f>IF(BA349=BD349,VLOOKUP(E349,'Tablas Técnicas'!$A$14:$V$771,15,FALSE),0)</f>
        <v>#N/A</v>
      </c>
      <c r="BF349" s="988" t="e">
        <f>VLOOKUP(E349,'Tablas Técnicas'!$A$14:$V$771,16,FALSE)</f>
        <v>#N/A</v>
      </c>
      <c r="BG349" s="988" t="e">
        <f>IF(BA349=BF349,VLOOKUP(E349,'Tablas Técnicas'!$A$14:$V$771,17,FALSE),0)</f>
        <v>#N/A</v>
      </c>
      <c r="BH349" s="988" t="e">
        <f>VLOOKUP(E349,'Tablas Técnicas'!$A$14:$V$771,18,FALSE)</f>
        <v>#N/A</v>
      </c>
      <c r="BI349" s="988" t="e">
        <f>IF(BA349=BH349,VLOOKUP(E349,'Tablas Técnicas'!$A$14:$V$771,19,FALSE),0)</f>
        <v>#N/A</v>
      </c>
      <c r="BJ349" s="990" t="str">
        <f>IF(E349=0,"",(BC349+BE349+BG349+BI349))</f>
        <v/>
      </c>
      <c r="BK349" s="989" t="str">
        <f>IF(E349=0,"",VLOOKUP(E349,'Tablas Técnicas'!$A$14:$V$771,20,FALSE))</f>
        <v/>
      </c>
      <c r="BL349" s="989" t="str">
        <f>IF(E349=0,"",VLOOKUP(E349,'Tablas Técnicas'!$A$14:$V$771,21,FALSE))</f>
        <v/>
      </c>
      <c r="BM349" s="1024" t="str">
        <f>IF(E349=0,"",VLOOKUP(E349,'Tablas Técnicas'!$A$14:$V$771,22,FALSE))</f>
        <v/>
      </c>
      <c r="BN349" s="992"/>
      <c r="BO349" s="993"/>
      <c r="BP349" s="978" t="str">
        <f>IF(I349="Si",VLOOKUP($D$8,'Tablas Técnicas'!$E$4:$F$6,2,FALSE),"")</f>
        <v/>
      </c>
      <c r="BQ349" s="979" t="str">
        <f>IF(L349="Si",VLOOKUP($D$8,'Tablas Técnicas'!$I$4:$J$6,2,FALSE),"")</f>
        <v/>
      </c>
      <c r="BR349" s="977" t="str">
        <f>IF(O349="Si",VLOOKUP($D$8,'Tablas Técnicas'!$I$7:$J$9,2,FALSE),"")</f>
        <v/>
      </c>
      <c r="BS349" s="994"/>
      <c r="BT349" s="4774" t="s">
        <v>4527</v>
      </c>
      <c r="BU349" s="4775"/>
      <c r="BV349" s="971"/>
      <c r="BW349" s="951"/>
      <c r="BX349" s="951"/>
      <c r="BY349" s="1286"/>
      <c r="BZ349" s="1304"/>
      <c r="CA349" s="939"/>
      <c r="DR349" s="939"/>
      <c r="DT349" s="1326"/>
      <c r="DU349" s="1379"/>
      <c r="DV349" s="1376" t="str">
        <f>IF(E349="","",", "&amp;E349)&amp;IF(I349="No",""," (Mant.)")&amp;IF(L349="No",""," (Sme)")&amp;IF(O349="No",""," (SMa)")</f>
        <v/>
      </c>
      <c r="DW349" s="1377"/>
      <c r="DX349" s="1378" t="str">
        <f>IF(ISNUMBER(FIND('Tablas Técnicas'!A$678,DW367)),BL373&amp;BM373,IF(ISNUMBER(FIND('Tablas Técnicas'!A$679,DW367)),BL373&amp;" "&amp;BM373,""))</f>
        <v/>
      </c>
      <c r="DY349" s="1327"/>
      <c r="DZ349" s="939"/>
      <c r="EA349" s="1470">
        <f t="shared" si="5"/>
        <v>1</v>
      </c>
    </row>
    <row r="350" spans="1:132" x14ac:dyDescent="0.2">
      <c r="A350" s="939"/>
      <c r="B350" s="939"/>
      <c r="C350" s="4822"/>
      <c r="D350" s="1452" t="s">
        <v>1766</v>
      </c>
      <c r="E350" s="995"/>
      <c r="F350" s="1025"/>
      <c r="G350" s="1437" t="str">
        <f>IF(E350=0,"",VLOOKUP(E350,'Tablas Técnicas'!$A$14:$V$771,3,FALSE))</f>
        <v/>
      </c>
      <c r="H350" s="998" t="str">
        <f>IF($E350=0,"",VLOOKUP($E350,'Tablas Técnicas'!$A$14:$V$771,4,FALSE))</f>
        <v/>
      </c>
      <c r="I350" s="999" t="s">
        <v>1690</v>
      </c>
      <c r="J350" s="1415" t="str">
        <f>IF(E350=0,"",VLOOKUP(E350,'Tablas Técnicas'!$A$14:$V$771,5,FALSE))</f>
        <v/>
      </c>
      <c r="K350" s="1001" t="str">
        <f>IF(I350="Si",IF(E350=0,"",VLOOKUP(E350,'Tablas Técnicas'!$A$14:$V$771,5,FALSE)),"")</f>
        <v/>
      </c>
      <c r="L350" s="999" t="s">
        <v>1690</v>
      </c>
      <c r="M350" s="1415" t="str">
        <f>IF(E350=0,"",VLOOKUP(E350,'Tablas Técnicas'!$A$14:$V$771,6,FALSE))</f>
        <v/>
      </c>
      <c r="N350" s="1002" t="str">
        <f>IF(L350="Si",IF(E350=0,"",VLOOKUP(E350,'Tablas Técnicas'!$A$14:$V$771,6,FALSE)),"")</f>
        <v/>
      </c>
      <c r="O350" s="999" t="s">
        <v>1690</v>
      </c>
      <c r="P350" s="1415" t="str">
        <f>IF(E350=0,"",VLOOKUP(E350,'Tablas Técnicas'!$A$14:$V$771,7,FALSE))</f>
        <v/>
      </c>
      <c r="Q350" s="1002" t="str">
        <f>IF(O350="Si",IF(E350=0,"",VLOOKUP(E350,'Tablas Técnicas'!$A$14:$V$771,7,FALSE)),"")</f>
        <v/>
      </c>
      <c r="R350" s="1000" t="str">
        <f>IF(E350=0,"",VLOOKUP(E350,'Tablas Técnicas'!$A$14:$V$771,8,FALSE))</f>
        <v/>
      </c>
      <c r="S350" s="998" t="str">
        <f>IF(R350=$D$8,$D$8,IF(R350=2,2,IF(R350=3,3,R350)))</f>
        <v/>
      </c>
      <c r="T350" s="4796" t="s">
        <v>4542</v>
      </c>
      <c r="U350" s="4797"/>
      <c r="V350" s="4797"/>
      <c r="W350" s="4797"/>
      <c r="X350" s="4797"/>
      <c r="Y350" s="4797"/>
      <c r="Z350" s="4797"/>
      <c r="AA350" s="4797"/>
      <c r="AB350" s="4797"/>
      <c r="AC350" s="4797"/>
      <c r="AD350" s="4797"/>
      <c r="AE350" s="4797"/>
      <c r="AF350" s="4797"/>
      <c r="AG350" s="4797"/>
      <c r="AH350" s="4797"/>
      <c r="AI350" s="4797"/>
      <c r="AJ350" s="4797"/>
      <c r="AK350" s="4797"/>
      <c r="AL350" s="4797"/>
      <c r="AM350" s="4797"/>
      <c r="AN350" s="4797"/>
      <c r="AO350" s="4797"/>
      <c r="AP350" s="4797"/>
      <c r="AQ350" s="4797"/>
      <c r="AR350" s="4797"/>
      <c r="AS350" s="4797"/>
      <c r="AT350" s="4797"/>
      <c r="AU350" s="4797"/>
      <c r="AV350" s="4797"/>
      <c r="AW350" s="4797"/>
      <c r="AX350" s="4797"/>
      <c r="AY350" s="4797"/>
      <c r="AZ350" s="4797"/>
      <c r="BA350" s="4797"/>
      <c r="BB350" s="4797"/>
      <c r="BC350" s="4797"/>
      <c r="BD350" s="4797"/>
      <c r="BE350" s="4797"/>
      <c r="BF350" s="4797"/>
      <c r="BG350" s="4797"/>
      <c r="BH350" s="4797"/>
      <c r="BI350" s="4797"/>
      <c r="BJ350" s="4797"/>
      <c r="BK350" s="4798"/>
      <c r="BL350" s="1437"/>
      <c r="BM350" s="1438"/>
      <c r="BN350" s="992"/>
      <c r="BO350" s="993"/>
      <c r="BP350" s="978" t="str">
        <f>IF(I350="Si",VLOOKUP($D$8,'Tablas Técnicas'!$E$4:$F$6,2,FALSE),"")</f>
        <v/>
      </c>
      <c r="BQ350" s="979" t="str">
        <f>IF(L350="Si",VLOOKUP($D$8,'Tablas Técnicas'!$I$4:$J$6,2,FALSE),"")</f>
        <v/>
      </c>
      <c r="BR350" s="977" t="str">
        <f>IF(O350="Si",VLOOKUP($D$8,'Tablas Técnicas'!$I$7:$J$9,2,FALSE),"")</f>
        <v/>
      </c>
      <c r="BS350" s="994"/>
      <c r="BT350" s="4770" t="s">
        <v>4548</v>
      </c>
      <c r="BU350" s="4771"/>
      <c r="BV350" s="971"/>
      <c r="BW350" s="951"/>
      <c r="BX350" s="951"/>
      <c r="BY350" s="1286"/>
      <c r="BZ350" s="1304"/>
      <c r="CA350" s="939"/>
      <c r="DR350" s="939"/>
      <c r="DT350" s="1325"/>
      <c r="DU350" s="1375"/>
      <c r="DV350" s="1376" t="str">
        <f>IF(E350="",""," "&amp;E350)&amp;IF(I350="No",""," (Mant.)")&amp;IF(L350="No",""," (Sme)")&amp;IF(O350="No",""," (SMa)")</f>
        <v/>
      </c>
      <c r="DW350" s="1377"/>
      <c r="DX350" s="1378"/>
      <c r="DY350" s="1324"/>
      <c r="DZ350" s="939"/>
      <c r="EA350" s="1470">
        <f t="shared" si="5"/>
        <v>1</v>
      </c>
    </row>
    <row r="351" spans="1:132" x14ac:dyDescent="0.2">
      <c r="A351" s="939"/>
      <c r="B351" s="939"/>
      <c r="C351" s="4822"/>
      <c r="D351" s="1453" t="s">
        <v>1766</v>
      </c>
      <c r="E351" s="1003"/>
      <c r="F351" s="1019"/>
      <c r="G351" s="989" t="str">
        <f>IF(E351=0,"",VLOOKUP(E351,'Tablas Técnicas'!$A$14:$V$771,3,FALSE))</f>
        <v/>
      </c>
      <c r="H351" s="3033" t="str">
        <f>IF($E351=0,"",VLOOKUP($E351,'Tablas Técnicas'!$A$14:$V$771,4,FALSE))</f>
        <v/>
      </c>
      <c r="I351" s="987" t="s">
        <v>1690</v>
      </c>
      <c r="J351" s="1411" t="str">
        <f>IF(E351=0,"",VLOOKUP(E351,'Tablas Técnicas'!$A$14:$V$771,5,FALSE))</f>
        <v/>
      </c>
      <c r="K351" s="1006" t="str">
        <f>IF(I351="Si",IF(E351=0,"",VLOOKUP(E351,'Tablas Técnicas'!$A$14:$V$771,5,FALSE)),"")</f>
        <v/>
      </c>
      <c r="L351" s="987" t="s">
        <v>1690</v>
      </c>
      <c r="M351" s="1411" t="str">
        <f>IF(E351=0,"",VLOOKUP(E351,'Tablas Técnicas'!$A$14:$V$771,6,FALSE))</f>
        <v/>
      </c>
      <c r="N351" s="990" t="str">
        <f>IF(L351="Si",IF(E351=0,"",VLOOKUP(E351,'Tablas Técnicas'!$A$14:$V$771,6,FALSE)),"")</f>
        <v/>
      </c>
      <c r="O351" s="987" t="s">
        <v>1690</v>
      </c>
      <c r="P351" s="1411" t="str">
        <f>IF(E351=0,"",VLOOKUP(E351,'Tablas Técnicas'!$A$14:$V$771,7,FALSE))</f>
        <v/>
      </c>
      <c r="Q351" s="990" t="str">
        <f>IF(O351="Si",IF(E351=0,"",VLOOKUP(E351,'Tablas Técnicas'!$A$14:$V$771,7,FALSE)),"")</f>
        <v/>
      </c>
      <c r="R351" s="1005" t="str">
        <f>IF(E351=0,"",VLOOKUP(E351,'Tablas Técnicas'!$A$14:$V$771,8,FALSE))</f>
        <v/>
      </c>
      <c r="S351" s="3033" t="str">
        <f>IF(R351=$D$8,$D$8,IF(R351=2,2,IF(R351=3,3,R351)))</f>
        <v/>
      </c>
      <c r="T351" s="4809"/>
      <c r="U351" s="4810"/>
      <c r="V351" s="3029" t="str">
        <f>IF(OR(V349=0,V349=""),"N/A",V349)</f>
        <v>N/A</v>
      </c>
      <c r="W351" s="4809" t="str">
        <f xml:space="preserve"> IF(OR(AF349=0,AF349=""),"N/A",W349)</f>
        <v>N/A</v>
      </c>
      <c r="X351" s="4811"/>
      <c r="Y351" s="4811"/>
      <c r="Z351" s="4811"/>
      <c r="AA351" s="4811"/>
      <c r="AB351" s="4811"/>
      <c r="AC351" s="4811"/>
      <c r="AD351" s="4811"/>
      <c r="AE351" s="4811"/>
      <c r="AF351" s="4810"/>
      <c r="AG351" s="4809" t="str">
        <f xml:space="preserve"> IF(OR(AP349="",AP349=0),"N/A",AG349)</f>
        <v>N/A</v>
      </c>
      <c r="AH351" s="4811"/>
      <c r="AI351" s="4811"/>
      <c r="AJ351" s="4811"/>
      <c r="AK351" s="4811"/>
      <c r="AL351" s="4811"/>
      <c r="AM351" s="4811"/>
      <c r="AN351" s="4811"/>
      <c r="AO351" s="4811"/>
      <c r="AP351" s="4810"/>
      <c r="AQ351" s="4809" t="str">
        <f xml:space="preserve"> IF(OR(AZ349="",AZ349=0),"N/A",AQ349)</f>
        <v>N/A</v>
      </c>
      <c r="AR351" s="4811"/>
      <c r="AS351" s="4811"/>
      <c r="AT351" s="4811"/>
      <c r="AU351" s="4811"/>
      <c r="AV351" s="4811"/>
      <c r="AW351" s="4811"/>
      <c r="AX351" s="4811"/>
      <c r="AY351" s="4811"/>
      <c r="AZ351" s="4810"/>
      <c r="BA351" s="4809" t="str">
        <f xml:space="preserve"> IF(OR(BJ349="",BJ349=0),"N/A",BA349)</f>
        <v>N/A</v>
      </c>
      <c r="BB351" s="4811"/>
      <c r="BC351" s="4811"/>
      <c r="BD351" s="4811"/>
      <c r="BE351" s="4811"/>
      <c r="BF351" s="4811"/>
      <c r="BG351" s="4811"/>
      <c r="BH351" s="4811"/>
      <c r="BI351" s="4811"/>
      <c r="BJ351" s="4810"/>
      <c r="BK351" s="1007" t="s">
        <v>4543</v>
      </c>
      <c r="BL351" s="989"/>
      <c r="BM351" s="1024"/>
      <c r="BN351" s="992"/>
      <c r="BO351" s="1009"/>
      <c r="BP351" s="978" t="str">
        <f>IF(I351="Si",VLOOKUP($D$8,'Tablas Técnicas'!$E$4:$F$6,2,FALSE),"")</f>
        <v/>
      </c>
      <c r="BQ351" s="979" t="str">
        <f>IF(L351="Si",VLOOKUP($D$8,'Tablas Técnicas'!$I$4:$J$6,2,FALSE),"")</f>
        <v/>
      </c>
      <c r="BR351" s="977" t="str">
        <f>IF(O351="Si",VLOOKUP($D$8,'Tablas Técnicas'!$I$7:$J$9,2,FALSE),"")</f>
        <v/>
      </c>
      <c r="BS351" s="994"/>
      <c r="BT351" s="4774" t="s">
        <v>4521</v>
      </c>
      <c r="BU351" s="4775"/>
      <c r="BV351" s="971"/>
      <c r="BW351" s="951"/>
      <c r="BX351" s="951"/>
      <c r="BY351" s="1286"/>
      <c r="BZ351" s="1304"/>
      <c r="CA351" s="939"/>
      <c r="DR351" s="939"/>
      <c r="DT351" s="1325"/>
      <c r="DU351" s="1379"/>
      <c r="DV351" s="1376" t="str">
        <f>IF(E351="","",E351)&amp;IF(I351="No",""," (Mant.)")&amp;IF(L351="No",""," (Sme)")&amp;IF(O351="No",""," (SMa)")</f>
        <v/>
      </c>
      <c r="DW351" s="1377"/>
      <c r="DX351" s="1378"/>
      <c r="DY351" s="1324"/>
      <c r="DZ351" s="939"/>
      <c r="EA351" s="1470">
        <f t="shared" si="5"/>
        <v>1</v>
      </c>
    </row>
    <row r="352" spans="1:132" x14ac:dyDescent="0.2">
      <c r="A352" s="939"/>
      <c r="B352" s="939"/>
      <c r="C352" s="4822"/>
      <c r="D352" s="1452" t="s">
        <v>1766</v>
      </c>
      <c r="E352" s="995"/>
      <c r="F352" s="1025"/>
      <c r="G352" s="1437" t="str">
        <f>IF(E352=0,"",VLOOKUP(E352,'Tablas Técnicas'!$A$14:$V$771,3,FALSE))</f>
        <v/>
      </c>
      <c r="H352" s="998" t="str">
        <f>IF($E352=0,"",VLOOKUP($E352,'Tablas Técnicas'!$A$14:$V$771,4,FALSE))</f>
        <v/>
      </c>
      <c r="I352" s="999" t="s">
        <v>1690</v>
      </c>
      <c r="J352" s="1415" t="str">
        <f>IF(E352=0,"",VLOOKUP(E352,'Tablas Técnicas'!$A$14:$V$771,5,FALSE))</f>
        <v/>
      </c>
      <c r="K352" s="1001" t="str">
        <f>IF(I352="Si",IF(E352=0,"",VLOOKUP(E352,'Tablas Técnicas'!$A$14:$V$771,5,FALSE)),"")</f>
        <v/>
      </c>
      <c r="L352" s="999" t="s">
        <v>1690</v>
      </c>
      <c r="M352" s="1415" t="str">
        <f>IF(E352=0,"",VLOOKUP(E352,'Tablas Técnicas'!$A$14:$V$771,6,FALSE))</f>
        <v/>
      </c>
      <c r="N352" s="1002" t="str">
        <f>IF(L352="Si",IF(E352=0,"",VLOOKUP(E352,'Tablas Técnicas'!$A$14:$V$771,6,FALSE)),"")</f>
        <v/>
      </c>
      <c r="O352" s="999" t="s">
        <v>1690</v>
      </c>
      <c r="P352" s="1415" t="str">
        <f>IF(E352=0,"",VLOOKUP(E352,'Tablas Técnicas'!$A$14:$V$771,7,FALSE))</f>
        <v/>
      </c>
      <c r="Q352" s="1002" t="str">
        <f>IF(O352="Si",IF(E352=0,"",VLOOKUP(E352,'Tablas Técnicas'!$A$14:$V$771,7,FALSE)),"")</f>
        <v/>
      </c>
      <c r="R352" s="1000" t="str">
        <f>IF(E352=0,"",VLOOKUP(E352,'Tablas Técnicas'!$A$14:$V$771,8,FALSE))</f>
        <v/>
      </c>
      <c r="S352" s="998" t="str">
        <f>IF(R352=$D$8,$D$8,IF(R352=2,2,IF(R352=3,3,R352)))</f>
        <v/>
      </c>
      <c r="T352" s="4812" t="s">
        <v>4544</v>
      </c>
      <c r="U352" s="4813"/>
      <c r="V352" s="3025"/>
      <c r="W352" s="4814"/>
      <c r="X352" s="4815"/>
      <c r="Y352" s="4815"/>
      <c r="Z352" s="4815"/>
      <c r="AA352" s="4815"/>
      <c r="AB352" s="4815"/>
      <c r="AC352" s="4815"/>
      <c r="AD352" s="4815"/>
      <c r="AE352" s="4815"/>
      <c r="AF352" s="4816"/>
      <c r="AG352" s="4814"/>
      <c r="AH352" s="4815"/>
      <c r="AI352" s="4815"/>
      <c r="AJ352" s="4815"/>
      <c r="AK352" s="4815"/>
      <c r="AL352" s="4815"/>
      <c r="AM352" s="4815"/>
      <c r="AN352" s="4815"/>
      <c r="AO352" s="4815"/>
      <c r="AP352" s="4816"/>
      <c r="AQ352" s="4814"/>
      <c r="AR352" s="4815"/>
      <c r="AS352" s="4815"/>
      <c r="AT352" s="4815"/>
      <c r="AU352" s="4815"/>
      <c r="AV352" s="4815"/>
      <c r="AW352" s="4815"/>
      <c r="AX352" s="4815"/>
      <c r="AY352" s="4815"/>
      <c r="AZ352" s="4816"/>
      <c r="BA352" s="4814"/>
      <c r="BB352" s="4815"/>
      <c r="BC352" s="4815"/>
      <c r="BD352" s="4815"/>
      <c r="BE352" s="4815"/>
      <c r="BF352" s="4815"/>
      <c r="BG352" s="4815"/>
      <c r="BH352" s="4815"/>
      <c r="BI352" s="4815"/>
      <c r="BJ352" s="4816"/>
      <c r="BK352" s="998">
        <f>(SUM(G349:G353)+IF(AF349="",0,AF349)+IF(AP349="",0,AP349)+IF(AZ349="",0,AZ349)+IF(BJ349="",0,BJ349)+SUM(K349:K353)+SUM(N349:N353)+SUM(Q349:Q353))- SUM(V352:BA352)</f>
        <v>0</v>
      </c>
      <c r="BL352" s="1437"/>
      <c r="BM352" s="1438"/>
      <c r="BN352" s="992"/>
      <c r="BO352" s="993"/>
      <c r="BP352" s="978" t="str">
        <f>IF(I352="Si",VLOOKUP($D$8,'Tablas Técnicas'!$E$4:$F$6,2,FALSE),"")</f>
        <v/>
      </c>
      <c r="BQ352" s="979" t="str">
        <f>IF(L352="Si",VLOOKUP($D$8,'Tablas Técnicas'!$I$4:$J$6,2,FALSE),"")</f>
        <v/>
      </c>
      <c r="BR352" s="977" t="str">
        <f>IF(O352="Si",VLOOKUP($D$8,'Tablas Técnicas'!$I$7:$J$9,2,FALSE),"")</f>
        <v/>
      </c>
      <c r="BS352" s="994"/>
      <c r="BT352" s="4766" t="s">
        <v>4549</v>
      </c>
      <c r="BU352" s="4767"/>
      <c r="BV352" s="971"/>
      <c r="BW352" s="951"/>
      <c r="BX352" s="951"/>
      <c r="BY352" s="1286"/>
      <c r="BZ352" s="1304"/>
      <c r="CA352" s="939"/>
      <c r="DR352" s="939"/>
      <c r="DT352" s="1325"/>
      <c r="DU352" s="1375"/>
      <c r="DV352" s="1376" t="str">
        <f>IF(E352="","",E352)&amp;IF(I352="No",""," (Mant.)")&amp;IF(L352="No",""," (Sme)")&amp;IF(O352="No",""," (SMa)")</f>
        <v/>
      </c>
      <c r="DW352" s="1377"/>
      <c r="DX352" s="1378"/>
      <c r="DY352" s="1324"/>
      <c r="DZ352" s="939"/>
      <c r="EA352" s="1470">
        <f t="shared" si="5"/>
        <v>1</v>
      </c>
    </row>
    <row r="353" spans="1:131" x14ac:dyDescent="0.2">
      <c r="A353" s="939"/>
      <c r="B353" s="939"/>
      <c r="C353" s="4822"/>
      <c r="D353" s="1453" t="s">
        <v>1766</v>
      </c>
      <c r="E353" s="1003"/>
      <c r="F353" s="1019"/>
      <c r="G353" s="989" t="str">
        <f>IF(E353=0,"",VLOOKUP(E353,'Tablas Técnicas'!$A$14:$V$771,3,FALSE))</f>
        <v/>
      </c>
      <c r="H353" s="1004" t="str">
        <f>IF($E353=0,"",VLOOKUP($E353,'Tablas Técnicas'!$A$14:$V$771,4,FALSE))</f>
        <v/>
      </c>
      <c r="I353" s="987" t="s">
        <v>1690</v>
      </c>
      <c r="J353" s="1411" t="str">
        <f>IF(E353=0,"",VLOOKUP(E353,'Tablas Técnicas'!$A$14:$V$771,5,FALSE))</f>
        <v/>
      </c>
      <c r="K353" s="1006" t="str">
        <f>IF(I353="Si",IF(E353=0,"",VLOOKUP(E353,'Tablas Técnicas'!$A$14:$V$771,5,FALSE)),"")</f>
        <v/>
      </c>
      <c r="L353" s="987" t="s">
        <v>1690</v>
      </c>
      <c r="M353" s="1411" t="str">
        <f>IF(E353=0,"",VLOOKUP(E353,'Tablas Técnicas'!$A$14:$V$771,6,FALSE))</f>
        <v/>
      </c>
      <c r="N353" s="990" t="str">
        <f>IF(L353="Si",IF(E353=0,"",VLOOKUP(E353,'Tablas Técnicas'!$A$14:$V$771,6,FALSE)),"")</f>
        <v/>
      </c>
      <c r="O353" s="987" t="s">
        <v>1690</v>
      </c>
      <c r="P353" s="1411" t="str">
        <f>IF(E353=0,"",VLOOKUP(E353,'Tablas Técnicas'!$A$14:$V$771,7,FALSE))</f>
        <v/>
      </c>
      <c r="Q353" s="990" t="str">
        <f>IF(O353="Si",IF(E353=0,"",VLOOKUP(E353,'Tablas Técnicas'!$A$14:$V$771,7,FALSE)),"")</f>
        <v/>
      </c>
      <c r="R353" s="1005" t="str">
        <f>IF(E353=0,"",VLOOKUP(E353,'Tablas Técnicas'!$A$14:$V$771,8,FALSE))</f>
        <v/>
      </c>
      <c r="S353" s="1004" t="str">
        <f>IF(R353=$D$8,$D$8,IF(R353=2,2,IF(R353=3,3,R353)))</f>
        <v/>
      </c>
      <c r="T353" s="4803" t="s">
        <v>4546</v>
      </c>
      <c r="U353" s="4804"/>
      <c r="V353" s="3032"/>
      <c r="W353" s="4805"/>
      <c r="X353" s="4806"/>
      <c r="Y353" s="4806"/>
      <c r="Z353" s="4806"/>
      <c r="AA353" s="4806"/>
      <c r="AB353" s="4806"/>
      <c r="AC353" s="4806"/>
      <c r="AD353" s="4806"/>
      <c r="AE353" s="4806"/>
      <c r="AF353" s="4807"/>
      <c r="AG353" s="4805"/>
      <c r="AH353" s="4806"/>
      <c r="AI353" s="4806"/>
      <c r="AJ353" s="4806"/>
      <c r="AK353" s="4806"/>
      <c r="AL353" s="4806"/>
      <c r="AM353" s="4806"/>
      <c r="AN353" s="4806"/>
      <c r="AO353" s="4806"/>
      <c r="AP353" s="4807"/>
      <c r="AQ353" s="4805"/>
      <c r="AR353" s="4806"/>
      <c r="AS353" s="4806"/>
      <c r="AT353" s="4806"/>
      <c r="AU353" s="4806"/>
      <c r="AV353" s="4806"/>
      <c r="AW353" s="4806"/>
      <c r="AX353" s="4806"/>
      <c r="AY353" s="4806"/>
      <c r="AZ353" s="4807"/>
      <c r="BA353" s="4805"/>
      <c r="BB353" s="4806"/>
      <c r="BC353" s="4806"/>
      <c r="BD353" s="4806"/>
      <c r="BE353" s="4806"/>
      <c r="BF353" s="4806"/>
      <c r="BG353" s="4806"/>
      <c r="BH353" s="4806"/>
      <c r="BI353" s="4806"/>
      <c r="BJ353" s="4807"/>
      <c r="BK353" s="1014">
        <f>SUM(K349:K353)-SUM(V353:BA353)</f>
        <v>0</v>
      </c>
      <c r="BL353" s="1439"/>
      <c r="BM353" s="1440"/>
      <c r="BN353" s="992"/>
      <c r="BO353" s="1009"/>
      <c r="BP353" s="978" t="str">
        <f>IF(I353="Si",VLOOKUP($D$8,'Tablas Técnicas'!$E$4:$F$6,2,FALSE),"")</f>
        <v/>
      </c>
      <c r="BQ353" s="979" t="str">
        <f>IF(L353="Si",VLOOKUP($D$8,'Tablas Técnicas'!$I$4:$J$6,2,FALSE),"")</f>
        <v/>
      </c>
      <c r="BR353" s="977" t="str">
        <f>IF(O353="Si",VLOOKUP($D$8,'Tablas Técnicas'!$I$7:$J$9,2,FALSE),"")</f>
        <v/>
      </c>
      <c r="BS353" s="994"/>
      <c r="BT353" s="2354">
        <f>IF(BT347="No",0,IF(D341=0,0,VLOOKUP(D341,'Tablas Técnicas'!$L$4:$N$7,2,FALSE)))+IF(BT349="Bajar coste de CM",0,IF(BT349="-5 CM",2,IF(BT349="-10 CM",4,IF(BT349="-15 CM",6,IF(BT349="-20 CM",8,0)))))+IF(BT351="Bajar coste de Ki",0,IF(BT351="-1 Ki",-1,IF(BT351="-2 Ki",-2,IF(BT351="-3 Ki",-3,IF(BT351="-4 Ki",-4,IF(BT351="-5 Ki",-5,0))))))-BU356-BU358-BU360-BU362-BU364-BU366</f>
        <v>0</v>
      </c>
      <c r="BU353" s="2355">
        <f>IF(BT347="No",0,IF(D341=0,0,VLOOKUP(D341,'Tablas Técnicas'!$L$4:$N$7,2,FALSE)))+IF(BT349="Bajar coste de CM",0,IF(BT349="-5 CM",2,IF(BT349="-10 CM",4,IF(BT349="-15 CM",6,IF(BT349="-20 CM",8,0)))))+IF(BT351="Bajar coste de Ki",0,IF(BT351="-1 Ki",-1,IF(BT351="-2 Ki",-2,IF(BT351="-3 Ki",-3,IF(BT351="-4 Ki",-4,IF(BT351="-5 Ki",-5,0))))))</f>
        <v>0</v>
      </c>
      <c r="BV353" s="971"/>
      <c r="BW353" s="951"/>
      <c r="BX353" s="951"/>
      <c r="BY353" s="1286"/>
      <c r="BZ353" s="1304"/>
      <c r="CA353" s="939"/>
      <c r="DR353" s="939"/>
      <c r="DT353" s="1325"/>
      <c r="DU353" s="1379"/>
      <c r="DV353" s="1376" t="str">
        <f>IF(E353="","",E353)&amp;IF(I353="No",""," (Mant.)")&amp;IF(L353="No",""," (Sme)")&amp;IF(O353="No",""," (SMa)")</f>
        <v/>
      </c>
      <c r="DW353" s="1377"/>
      <c r="DX353" s="1378"/>
      <c r="DY353" s="1324"/>
      <c r="DZ353" s="939"/>
      <c r="EA353" s="1470">
        <f t="shared" si="5"/>
        <v>1</v>
      </c>
    </row>
    <row r="354" spans="1:131" x14ac:dyDescent="0.2">
      <c r="A354" s="939"/>
      <c r="B354" s="1403"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822"/>
      <c r="D354" s="1454">
        <v>3</v>
      </c>
      <c r="E354" s="1246"/>
      <c r="F354" s="1016"/>
      <c r="G354" s="1017"/>
      <c r="H354" s="2159">
        <f t="array" ref="H354">IF(AND(OR(ISNUMBER(SEARCH("Empatía Elemental ("&amp;BK349:BM349&amp;")",Principal!$AF$30))),SUM(H349:H353)&gt;=10),-5,0)</f>
        <v>0</v>
      </c>
      <c r="I354" s="1413"/>
      <c r="J354" s="1416"/>
      <c r="K354" s="1017"/>
      <c r="L354" s="1413"/>
      <c r="M354" s="1416"/>
      <c r="N354" s="1017"/>
      <c r="O354" s="1413"/>
      <c r="P354" s="1416"/>
      <c r="Q354" s="1017"/>
      <c r="R354" s="1018"/>
      <c r="S354" s="1017"/>
      <c r="T354" s="1017"/>
      <c r="U354" s="1017"/>
      <c r="V354" s="1017"/>
      <c r="W354" s="1017"/>
      <c r="X354" s="1017"/>
      <c r="Y354" s="1017"/>
      <c r="Z354" s="1017"/>
      <c r="AA354" s="1017"/>
      <c r="AB354" s="1017"/>
      <c r="AC354" s="1017"/>
      <c r="AD354" s="1017"/>
      <c r="AE354" s="1017"/>
      <c r="AF354" s="1017"/>
      <c r="AG354" s="1017"/>
      <c r="AH354" s="1017"/>
      <c r="AI354" s="1017"/>
      <c r="AJ354" s="1017"/>
      <c r="AK354" s="1017"/>
      <c r="AL354" s="1017"/>
      <c r="AM354" s="1017"/>
      <c r="AN354" s="1017"/>
      <c r="AO354" s="1017"/>
      <c r="AP354" s="1017"/>
      <c r="AQ354" s="1017"/>
      <c r="AR354" s="1017"/>
      <c r="AS354" s="1017"/>
      <c r="AT354" s="1017"/>
      <c r="AU354" s="1017"/>
      <c r="AV354" s="1017"/>
      <c r="AW354" s="1017"/>
      <c r="AX354" s="1017"/>
      <c r="AY354" s="1017"/>
      <c r="AZ354" s="1017"/>
      <c r="BA354" s="1017"/>
      <c r="BB354" s="1017"/>
      <c r="BC354" s="1017"/>
      <c r="BD354" s="1017"/>
      <c r="BE354" s="1017"/>
      <c r="BF354" s="1017"/>
      <c r="BG354" s="1017"/>
      <c r="BH354" s="1017"/>
      <c r="BI354" s="1017"/>
      <c r="BJ354" s="1017"/>
      <c r="BK354" s="1017"/>
      <c r="BL354" s="1017"/>
      <c r="BM354" s="1027"/>
      <c r="BN354" s="1028">
        <f>SUM(K354:K357)</f>
        <v>0</v>
      </c>
      <c r="BO354" s="971" t="str">
        <f>IF(E354=0,"",(AF354+AP354+AZ354+BJ354))</f>
        <v/>
      </c>
      <c r="BP354" s="1029" t="str">
        <f>IF(I354="Si",VLOOKUP($D$8,'Tablas Técnicas'!$E$4:$F$6,2,FALSE),"")</f>
        <v/>
      </c>
      <c r="BQ354" s="1030" t="str">
        <f>IF(L354="Si",VLOOKUP($D$8,'Tablas Técnicas'!$I$4:$J$6,2,FALSE),"")</f>
        <v/>
      </c>
      <c r="BR354" s="1028" t="str">
        <f>IF(O354="Si",VLOOKUP($D$8,'Tablas Técnicas'!$I$7:$J$9,2,FALSE),"")</f>
        <v/>
      </c>
      <c r="BS354" s="994"/>
      <c r="BU354" s="3026"/>
      <c r="BV354" s="971"/>
      <c r="BW354" s="951"/>
      <c r="BX354" s="951"/>
      <c r="BY354" s="1286"/>
      <c r="BZ354" s="1304"/>
      <c r="CA354" s="939"/>
      <c r="DR354" s="939"/>
      <c r="DT354" s="1325"/>
      <c r="DU354" s="1379"/>
      <c r="DV354" s="1380"/>
      <c r="DW354" s="1377"/>
      <c r="DX354" s="1378"/>
      <c r="DY354" s="1324"/>
      <c r="DZ354" s="939"/>
      <c r="EA354" s="1470">
        <f t="shared" si="5"/>
        <v>1</v>
      </c>
    </row>
    <row r="355" spans="1:131" x14ac:dyDescent="0.2">
      <c r="A355" s="939"/>
      <c r="B355" s="939"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822"/>
      <c r="D355" s="1453" t="s">
        <v>1766</v>
      </c>
      <c r="E355" s="983"/>
      <c r="F355" s="1019"/>
      <c r="G355" s="989" t="str">
        <f>IF(E355=0,"",VLOOKUP(E355,'Tablas Técnicas'!$A$14:$V$771,3,FALSE))</f>
        <v/>
      </c>
      <c r="H355" s="1031" t="str">
        <f>IF($E355=0,"",VLOOKUP($E355,'Tablas Técnicas'!$A$14:$V$771,4,FALSE))</f>
        <v/>
      </c>
      <c r="I355" s="987" t="s">
        <v>1690</v>
      </c>
      <c r="J355" s="1417" t="str">
        <f>IF(E355=0,"",VLOOKUP(E355,'Tablas Técnicas'!$A$14:$V$771,5,FALSE))</f>
        <v/>
      </c>
      <c r="K355" s="1033" t="str">
        <f>IF(I355="Si",IF(E355=0,"",VLOOKUP(E355,'Tablas Técnicas'!$A$14:$V$771,5,FALSE)),"")</f>
        <v/>
      </c>
      <c r="L355" s="987" t="s">
        <v>1690</v>
      </c>
      <c r="M355" s="1417" t="str">
        <f>IF(E355=0,"",VLOOKUP(E355,'Tablas Técnicas'!$A$14:$V$771,6,FALSE))</f>
        <v/>
      </c>
      <c r="N355" s="990" t="str">
        <f>IF(L355="Si",IF(E355=0,"",VLOOKUP(E355,'Tablas Técnicas'!$A$14:$V$771,6,FALSE)),"")</f>
        <v/>
      </c>
      <c r="O355" s="987" t="s">
        <v>1690</v>
      </c>
      <c r="P355" s="1417" t="str">
        <f>IF(E355=0,"",VLOOKUP(E355,'Tablas Técnicas'!$A$14:$V$771,7,FALSE))</f>
        <v/>
      </c>
      <c r="Q355" s="990" t="str">
        <f>IF(O355="Si",IF(E355=0,"",VLOOKUP(E355,'Tablas Técnicas'!$A$14:$V$771,7,FALSE)),"")</f>
        <v/>
      </c>
      <c r="R355" s="1032" t="str">
        <f>IF(E355=0,"",VLOOKUP(E355,'Tablas Técnicas'!$A$14:$V$771,8,FALSE))</f>
        <v/>
      </c>
      <c r="S355" s="1004" t="str">
        <f>IF(R355=$D$8,$D$8,IF(R355=2,2,IF(R355=3,3,R355)))</f>
        <v/>
      </c>
      <c r="T355" s="1033" t="str">
        <f>IF(E355=0,"",VLOOKUP(E355,'Tablas Técnicas'!$A$14:$V$771,9,FALSE))</f>
        <v/>
      </c>
      <c r="U355" s="1033" t="str">
        <f>IF(E355=0,"",VLOOKUP(E355,'Tablas Técnicas'!$A$14:$V$771,10,FALSE))</f>
        <v/>
      </c>
      <c r="V355" s="1034" t="str">
        <f>IF(E355=0,"",VLOOKUP(E355,'Tablas Técnicas'!$A$14:$V$771,11,FALSE))</f>
        <v/>
      </c>
      <c r="W355" s="987"/>
      <c r="X355" s="988" t="e">
        <f>VLOOKUP(E355,'Tablas Técnicas'!$A$14:$V$771,12,FALSE)</f>
        <v>#N/A</v>
      </c>
      <c r="Y355" s="988" t="e">
        <f>IF(W355=X355,VLOOKUP(E355,'Tablas Técnicas'!$A$14:$V$771,13,FALSE),0)</f>
        <v>#N/A</v>
      </c>
      <c r="Z355" s="988" t="e">
        <f>VLOOKUP(E355,'Tablas Técnicas'!$A$14:$V$771,14,FALSE)</f>
        <v>#N/A</v>
      </c>
      <c r="AA355" s="988" t="e">
        <f>IF(W355=Z355,VLOOKUP(E355,'Tablas Técnicas'!$A$14:$V$616,15,FALSE),0)</f>
        <v>#N/A</v>
      </c>
      <c r="AB355" s="988" t="e">
        <f>VLOOKUP(E355,'Tablas Técnicas'!$A$14:$V$771,16,FALSE)</f>
        <v>#N/A</v>
      </c>
      <c r="AC355" s="988" t="e">
        <f>IF(W355=AB355,VLOOKUP(E355,'Tablas Técnicas'!$A$14:$V$616,17,FALSE),0)</f>
        <v>#N/A</v>
      </c>
      <c r="AD355" s="988" t="e">
        <f>VLOOKUP(E355,'Tablas Técnicas'!$A$14:$V$771,18,FALSE)</f>
        <v>#N/A</v>
      </c>
      <c r="AE355" s="988" t="e">
        <f>IF(W355=AD355,VLOOKUP(E355,'Tablas Técnicas'!$A$14:$V$771,19,FALSE),0)</f>
        <v>#N/A</v>
      </c>
      <c r="AF355" s="1006" t="str">
        <f>IF(E355=0,"",(Y355+AA355+AC355+AE355))</f>
        <v/>
      </c>
      <c r="AG355" s="987"/>
      <c r="AH355" s="1005" t="e">
        <f>VLOOKUP(E355,'Tablas Técnicas'!$A$14:$V$771,12,FALSE)</f>
        <v>#N/A</v>
      </c>
      <c r="AI355" s="1005" t="e">
        <f>IF(AG355=AH355,VLOOKUP(E355,'Tablas Técnicas'!$A$14:$V$771,13,FALSE),0)</f>
        <v>#N/A</v>
      </c>
      <c r="AJ355" s="1005" t="e">
        <f>VLOOKUP(E355,'Tablas Técnicas'!$A$14:$V$771,14,FALSE)</f>
        <v>#N/A</v>
      </c>
      <c r="AK355" s="1005" t="e">
        <f>IF(AG355=AJ355,VLOOKUP(E355,'Tablas Técnicas'!$A$14:$V$771,15,FALSE),0)</f>
        <v>#N/A</v>
      </c>
      <c r="AL355" s="1005" t="e">
        <f>VLOOKUP(E355,'Tablas Técnicas'!$A$14:$V$771,16,FALSE)</f>
        <v>#N/A</v>
      </c>
      <c r="AM355" s="1005" t="e">
        <f>IF(AG355=AL355,VLOOKUP(E355,'Tablas Técnicas'!$A$14:$V$771,17,FALSE),0)</f>
        <v>#N/A</v>
      </c>
      <c r="AN355" s="1005" t="e">
        <f>VLOOKUP(E355,'Tablas Técnicas'!$A$14:$V$771,18,FALSE)</f>
        <v>#N/A</v>
      </c>
      <c r="AO355" s="1005" t="e">
        <f>IF(AG355=AN355,VLOOKUP(E355,'Tablas Técnicas'!$A$14:$V$771,19,FALSE),0)</f>
        <v>#N/A</v>
      </c>
      <c r="AP355" s="3034" t="str">
        <f>IF(E355=0,"",(AI355+AK355+AM355+AO355))</f>
        <v/>
      </c>
      <c r="AQ355" s="987"/>
      <c r="AR355" s="1005" t="e">
        <f>VLOOKUP(E355,'Tablas Técnicas'!$A$14:$V$771,12,FALSE)</f>
        <v>#N/A</v>
      </c>
      <c r="AS355" s="1005" t="e">
        <f>IF(AQ355=AR355,VLOOKUP(E355,'Tablas Técnicas'!$A$14:$V$771,13,FALSE),0)</f>
        <v>#N/A</v>
      </c>
      <c r="AT355" s="1005" t="e">
        <f>VLOOKUP(E355,'Tablas Técnicas'!$A$14:$V$771,14,FALSE)</f>
        <v>#N/A</v>
      </c>
      <c r="AU355" s="1005" t="e">
        <f>IF(AQ355=AT355,VLOOKUP(E355,'Tablas Técnicas'!$A$14:$V$771,15,FALSE),0)</f>
        <v>#N/A</v>
      </c>
      <c r="AV355" s="1005" t="e">
        <f>VLOOKUP(E355,'Tablas Técnicas'!$A$14:$V$771,16,FALSE)</f>
        <v>#N/A</v>
      </c>
      <c r="AW355" s="1005" t="e">
        <f>IF(AQ355=AV355,VLOOKUP(E355,'Tablas Técnicas'!$A$14:$V$771,17,FALSE),0)</f>
        <v>#N/A</v>
      </c>
      <c r="AX355" s="1005" t="e">
        <f>VLOOKUP(E355,'Tablas Técnicas'!$A$14:$V$771,18,FALSE)</f>
        <v>#N/A</v>
      </c>
      <c r="AY355" s="1005" t="e">
        <f>IF(AQ355=AX355,VLOOKUP(E355,'Tablas Técnicas'!$A$14:$V$771,19,FALSE),0)</f>
        <v>#N/A</v>
      </c>
      <c r="AZ355" s="1006" t="str">
        <f>IF(E355=0,"",(AS355+AU355+AW355+AY355))</f>
        <v/>
      </c>
      <c r="BA355" s="987"/>
      <c r="BB355" s="1005" t="e">
        <f>VLOOKUP(E355,'Tablas Técnicas'!$A$14:$V$771,12,FALSE)</f>
        <v>#N/A</v>
      </c>
      <c r="BC355" s="1005" t="e">
        <f>IF(BA355=BB355,VLOOKUP(E355,'Tablas Técnicas'!$A$14:$V$771,13,FALSE),0)</f>
        <v>#N/A</v>
      </c>
      <c r="BD355" s="1005" t="e">
        <f>VLOOKUP(E355,'Tablas Técnicas'!$A$14:$V$771,14,FALSE)</f>
        <v>#N/A</v>
      </c>
      <c r="BE355" s="1005" t="e">
        <f>IF(BA355=BD355,VLOOKUP(E355,'Tablas Técnicas'!$A$14:$V$771,15,FALSE),0)</f>
        <v>#N/A</v>
      </c>
      <c r="BF355" s="1005" t="e">
        <f>VLOOKUP(E355,'Tablas Técnicas'!$A$14:$V$771,16,FALSE)</f>
        <v>#N/A</v>
      </c>
      <c r="BG355" s="1005" t="e">
        <f>IF(BA355=BF355,VLOOKUP(E355,'Tablas Técnicas'!$A$14:$V$771,17,FALSE),0)</f>
        <v>#N/A</v>
      </c>
      <c r="BH355" s="1005" t="e">
        <f>VLOOKUP(E355,'Tablas Técnicas'!$A$14:$V$771,18,FALSE)</f>
        <v>#N/A</v>
      </c>
      <c r="BI355" s="1005" t="e">
        <f>IF(BA355=BH355,VLOOKUP(E355,'Tablas Técnicas'!$A$14:$V$771,19,FALSE),0)</f>
        <v>#N/A</v>
      </c>
      <c r="BJ355" s="3034" t="str">
        <f>IF(E355=0,"",(BC355+BE355+BG355+BI355))</f>
        <v/>
      </c>
      <c r="BK355" s="1033" t="str">
        <f>IF(E355=0,"",VLOOKUP(E355,'Tablas Técnicas'!$A$14:$V$771,20,FALSE))</f>
        <v/>
      </c>
      <c r="BL355" s="1020" t="str">
        <f>IF(E355=0,"",VLOOKUP(E355,'Tablas Técnicas'!$A$14:$V$771,21,FALSE))</f>
        <v/>
      </c>
      <c r="BM355" s="991" t="str">
        <f>IF(E355=0,"",VLOOKUP(E355,'Tablas Técnicas'!$A$14:$V$771,22,FALSE))</f>
        <v/>
      </c>
      <c r="BN355" s="992"/>
      <c r="BO355" s="993"/>
      <c r="BP355" s="978" t="str">
        <f>IF(I355="Si",VLOOKUP($D$8,'Tablas Técnicas'!$E$4:$F$6,2,FALSE),"")</f>
        <v/>
      </c>
      <c r="BQ355" s="979" t="str">
        <f>IF(L355="Si",VLOOKUP($D$8,'Tablas Técnicas'!$I$4:$J$6,2,FALSE),"")</f>
        <v/>
      </c>
      <c r="BR355" s="977" t="str">
        <f>IF(O355="Si",VLOOKUP($D$8,'Tablas Técnicas'!$I$7:$J$9,2,FALSE),"")</f>
        <v/>
      </c>
      <c r="BS355" s="994"/>
      <c r="BT355" s="3023" t="s">
        <v>1682</v>
      </c>
      <c r="BU355" s="3024" t="s">
        <v>4550</v>
      </c>
      <c r="BV355" s="971"/>
      <c r="BW355" s="3024" t="s">
        <v>4551</v>
      </c>
      <c r="BX355" s="3023" t="s">
        <v>4552</v>
      </c>
      <c r="BY355" s="1300" t="s">
        <v>4552</v>
      </c>
      <c r="BZ355" s="1304"/>
      <c r="CA355" s="939"/>
      <c r="DR355" s="939"/>
      <c r="DT355" s="1325"/>
      <c r="DU355" s="1379"/>
      <c r="DV355" s="1376" t="str">
        <f>IF(E355="","",", "&amp;E355)&amp;IF(I355="No",""," (Mant.)")&amp;IF(L355="No",""," (Sme)")&amp;IF(O355="No",""," (SMa)")</f>
        <v/>
      </c>
      <c r="DW355" s="1377"/>
      <c r="DX355" s="1378"/>
      <c r="DY355" s="1324"/>
      <c r="DZ355" s="939"/>
      <c r="EA355" s="1470">
        <f t="shared" si="5"/>
        <v>1</v>
      </c>
    </row>
    <row r="356" spans="1:131" x14ac:dyDescent="0.2">
      <c r="A356" s="939"/>
      <c r="B356" s="939"/>
      <c r="C356" s="4822"/>
      <c r="D356" s="1452" t="s">
        <v>1766</v>
      </c>
      <c r="E356" s="995"/>
      <c r="F356" s="1025"/>
      <c r="G356" s="1437" t="str">
        <f>IF(E356=0,"",VLOOKUP(E356,'Tablas Técnicas'!$A$14:$V$771,3,FALSE))</f>
        <v/>
      </c>
      <c r="H356" s="998" t="str">
        <f>IF($E356=0,"",VLOOKUP($E356,'Tablas Técnicas'!$A$14:$V$771,4,FALSE))</f>
        <v/>
      </c>
      <c r="I356" s="999" t="s">
        <v>1690</v>
      </c>
      <c r="J356" s="1415" t="str">
        <f>IF(E356=0,"",VLOOKUP(E356,'Tablas Técnicas'!$A$14:$V$771,5,FALSE))</f>
        <v/>
      </c>
      <c r="K356" s="1001" t="str">
        <f>IF(I356="Si",IF(E356=0,"",VLOOKUP(E356,'Tablas Técnicas'!$A$14:$V$771,5,FALSE)),"")</f>
        <v/>
      </c>
      <c r="L356" s="999" t="s">
        <v>1690</v>
      </c>
      <c r="M356" s="1415" t="str">
        <f>IF(E356=0,"",VLOOKUP(E356,'Tablas Técnicas'!$A$14:$V$771,6,FALSE))</f>
        <v/>
      </c>
      <c r="N356" s="1002" t="str">
        <f>IF(L356="Si",IF(E356=0,"",VLOOKUP(E356,'Tablas Técnicas'!$A$14:$V$771,6,FALSE)),"")</f>
        <v/>
      </c>
      <c r="O356" s="999" t="s">
        <v>1690</v>
      </c>
      <c r="P356" s="1415" t="str">
        <f>IF(E356=0,"",VLOOKUP(E356,'Tablas Técnicas'!$A$14:$V$771,7,FALSE))</f>
        <v/>
      </c>
      <c r="Q356" s="1002" t="str">
        <f>IF(O356="Si",IF(E356=0,"",VLOOKUP(E356,'Tablas Técnicas'!$A$14:$V$771,7,FALSE)),"")</f>
        <v/>
      </c>
      <c r="R356" s="1000" t="str">
        <f>IF(E356=0,"",VLOOKUP(E356,'Tablas Técnicas'!$A$14:$V$771,8,FALSE))</f>
        <v/>
      </c>
      <c r="S356" s="998" t="str">
        <f>IF(R356=$D$8,$D$8,IF(R356=2,2,IF(R356=3,3,R356)))</f>
        <v/>
      </c>
      <c r="T356" s="4796" t="s">
        <v>4542</v>
      </c>
      <c r="U356" s="4797"/>
      <c r="V356" s="4797"/>
      <c r="W356" s="4797"/>
      <c r="X356" s="4797"/>
      <c r="Y356" s="4797"/>
      <c r="Z356" s="4797"/>
      <c r="AA356" s="4797"/>
      <c r="AB356" s="4797"/>
      <c r="AC356" s="4797"/>
      <c r="AD356" s="4797"/>
      <c r="AE356" s="4797"/>
      <c r="AF356" s="4797"/>
      <c r="AG356" s="4797"/>
      <c r="AH356" s="4797"/>
      <c r="AI356" s="4797"/>
      <c r="AJ356" s="4797"/>
      <c r="AK356" s="4797"/>
      <c r="AL356" s="4797"/>
      <c r="AM356" s="4797"/>
      <c r="AN356" s="4797"/>
      <c r="AO356" s="4797"/>
      <c r="AP356" s="4797"/>
      <c r="AQ356" s="4797"/>
      <c r="AR356" s="4797"/>
      <c r="AS356" s="4797"/>
      <c r="AT356" s="4797"/>
      <c r="AU356" s="4797"/>
      <c r="AV356" s="4797"/>
      <c r="AW356" s="4797"/>
      <c r="AX356" s="4797"/>
      <c r="AY356" s="4797"/>
      <c r="AZ356" s="4797"/>
      <c r="BA356" s="4797"/>
      <c r="BB356" s="4797"/>
      <c r="BC356" s="4797"/>
      <c r="BD356" s="4797"/>
      <c r="BE356" s="4797"/>
      <c r="BF356" s="4797"/>
      <c r="BG356" s="4797"/>
      <c r="BH356" s="4797"/>
      <c r="BI356" s="4797"/>
      <c r="BJ356" s="4797"/>
      <c r="BK356" s="4798"/>
      <c r="BL356" s="1437"/>
      <c r="BM356" s="1438"/>
      <c r="BN356" s="992"/>
      <c r="BO356" s="993"/>
      <c r="BP356" s="978" t="str">
        <f>IF(I356="Si",VLOOKUP($D$8,'Tablas Técnicas'!$E$4:$F$6,2,FALSE),"")</f>
        <v/>
      </c>
      <c r="BQ356" s="979" t="str">
        <f>IF(L356="Si",VLOOKUP($D$8,'Tablas Técnicas'!$I$4:$J$6,2,FALSE),"")</f>
        <v/>
      </c>
      <c r="BR356" s="977" t="str">
        <f>IF(O356="Si",VLOOKUP($D$8,'Tablas Técnicas'!$I$7:$J$9,2,FALSE),"")</f>
        <v/>
      </c>
      <c r="BS356" s="994"/>
      <c r="BT356" s="3028">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356"/>
      <c r="BV356" s="971"/>
      <c r="BW356" s="1026" t="str">
        <f>IF(SUM(BT356:BU356)=0,"N/A",SUM(BT356:BU356))</f>
        <v>N/A</v>
      </c>
      <c r="BX356" s="3028">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26" t="str">
        <f>IF(BX356=0,"N/A",BX356)</f>
        <v>N/A</v>
      </c>
      <c r="BZ356" s="1304"/>
      <c r="CA356" s="939"/>
      <c r="DR356" s="939"/>
      <c r="DT356" s="1325"/>
      <c r="DU356" s="1379"/>
      <c r="DV356" s="1376" t="str">
        <f>IF(E356="",""," "&amp;E356)&amp;IF(I356="No",""," (Mant.)")&amp;IF(L356="No",""," (Sme)")&amp;IF(O356="No",""," (SMa)")</f>
        <v/>
      </c>
      <c r="DW356" s="1377"/>
      <c r="DX356" s="1378"/>
      <c r="DY356" s="1324"/>
      <c r="DZ356" s="939"/>
      <c r="EA356" s="1470">
        <f t="shared" si="5"/>
        <v>1</v>
      </c>
    </row>
    <row r="357" spans="1:131" x14ac:dyDescent="0.2">
      <c r="A357" s="939"/>
      <c r="B357" s="939"/>
      <c r="C357" s="4822"/>
      <c r="D357" s="1453" t="s">
        <v>1766</v>
      </c>
      <c r="E357" s="1003"/>
      <c r="F357" s="1019"/>
      <c r="G357" s="989" t="str">
        <f>IF(E357=0,"",VLOOKUP(E357,'Tablas Técnicas'!$A$14:$V$771,3,FALSE))</f>
        <v/>
      </c>
      <c r="H357" s="3033" t="str">
        <f>IF($E357=0,"",VLOOKUP($E357,'Tablas Técnicas'!$A$14:$V$771,4,FALSE))</f>
        <v/>
      </c>
      <c r="I357" s="987" t="s">
        <v>1690</v>
      </c>
      <c r="J357" s="1411" t="str">
        <f>IF(E357=0,"",VLOOKUP(E357,'Tablas Técnicas'!$A$14:$V$771,5,FALSE))</f>
        <v/>
      </c>
      <c r="K357" s="1006" t="str">
        <f>IF(I357="Si",IF(E357=0,"",VLOOKUP(E357,'Tablas Técnicas'!$A$14:$V$771,5,FALSE)),"")</f>
        <v/>
      </c>
      <c r="L357" s="987" t="s">
        <v>1690</v>
      </c>
      <c r="M357" s="1411" t="str">
        <f>IF(E357=0,"",VLOOKUP(E357,'Tablas Técnicas'!$A$14:$V$771,6,FALSE))</f>
        <v/>
      </c>
      <c r="N357" s="990" t="str">
        <f>IF(L357="Si",IF(E357=0,"",VLOOKUP(E357,'Tablas Técnicas'!$A$14:$V$771,6,FALSE)),"")</f>
        <v/>
      </c>
      <c r="O357" s="987" t="s">
        <v>1690</v>
      </c>
      <c r="P357" s="1411" t="str">
        <f>IF(E357=0,"",VLOOKUP(E357,'Tablas Técnicas'!$A$14:$V$771,7,FALSE))</f>
        <v/>
      </c>
      <c r="Q357" s="990" t="str">
        <f>IF(O357="Si",IF(E357=0,"",VLOOKUP(E357,'Tablas Técnicas'!$A$14:$V$771,7,FALSE)),"")</f>
        <v/>
      </c>
      <c r="R357" s="1005" t="str">
        <f>IF(E357=0,"",VLOOKUP(E357,'Tablas Técnicas'!$A$14:$V$771,8,FALSE))</f>
        <v/>
      </c>
      <c r="S357" s="3033" t="str">
        <f>IF(R357=$D$8,$D$8,IF(R357=2,2,IF(R357=3,3,R357)))</f>
        <v/>
      </c>
      <c r="T357" s="4809"/>
      <c r="U357" s="4810"/>
      <c r="V357" s="3029" t="str">
        <f>IF(OR(V355=0,V355=""),"N/A",V355)</f>
        <v>N/A</v>
      </c>
      <c r="W357" s="4809" t="str">
        <f xml:space="preserve"> IF(OR(AF355=0,AF355=""),"N/A",W355)</f>
        <v>N/A</v>
      </c>
      <c r="X357" s="4811"/>
      <c r="Y357" s="4811"/>
      <c r="Z357" s="4811"/>
      <c r="AA357" s="4811"/>
      <c r="AB357" s="4811"/>
      <c r="AC357" s="4811"/>
      <c r="AD357" s="4811"/>
      <c r="AE357" s="4811"/>
      <c r="AF357" s="4810"/>
      <c r="AG357" s="4809" t="str">
        <f xml:space="preserve"> IF(OR(AP355="",AP355=0),"N/A",AG355)</f>
        <v>N/A</v>
      </c>
      <c r="AH357" s="4811"/>
      <c r="AI357" s="4811"/>
      <c r="AJ357" s="4811"/>
      <c r="AK357" s="4811"/>
      <c r="AL357" s="4811"/>
      <c r="AM357" s="4811"/>
      <c r="AN357" s="4811"/>
      <c r="AO357" s="4811"/>
      <c r="AP357" s="4810"/>
      <c r="AQ357" s="4809" t="str">
        <f xml:space="preserve"> IF(OR(AZ355="",AZ355=0),"N/A",AQ355)</f>
        <v>N/A</v>
      </c>
      <c r="AR357" s="4811"/>
      <c r="AS357" s="4811"/>
      <c r="AT357" s="4811"/>
      <c r="AU357" s="4811"/>
      <c r="AV357" s="4811"/>
      <c r="AW357" s="4811"/>
      <c r="AX357" s="4811"/>
      <c r="AY357" s="4811"/>
      <c r="AZ357" s="4810"/>
      <c r="BA357" s="4809" t="str">
        <f xml:space="preserve"> IF(OR(BJ355="",BJ355=0),"N/A",BA355)</f>
        <v>N/A</v>
      </c>
      <c r="BB357" s="4811"/>
      <c r="BC357" s="4811"/>
      <c r="BD357" s="4811"/>
      <c r="BE357" s="4811"/>
      <c r="BF357" s="4811"/>
      <c r="BG357" s="4811"/>
      <c r="BH357" s="4811"/>
      <c r="BI357" s="4811"/>
      <c r="BJ357" s="4810"/>
      <c r="BK357" s="1007" t="s">
        <v>4543</v>
      </c>
      <c r="BL357" s="989"/>
      <c r="BM357" s="1024"/>
      <c r="BN357" s="1008"/>
      <c r="BO357" s="1009"/>
      <c r="BP357" s="1010" t="str">
        <f>IF(I357="Si",VLOOKUP($D$8,'Tablas Técnicas'!$E$4:$F$6,2,FALSE),"")</f>
        <v/>
      </c>
      <c r="BQ357" s="980" t="str">
        <f>IF(L357="Si",VLOOKUP($D$8,'Tablas Técnicas'!$I$4:$J$6,2,FALSE),"")</f>
        <v/>
      </c>
      <c r="BR357" s="1011" t="str">
        <f>IF(O357="Si",VLOOKUP($D$8,'Tablas Técnicas'!$I$7:$J$9,2,FALSE),"")</f>
        <v/>
      </c>
      <c r="BS357" s="994"/>
      <c r="BT357" s="3023" t="s">
        <v>1809</v>
      </c>
      <c r="BU357" s="3024" t="s">
        <v>4550</v>
      </c>
      <c r="BV357" s="971"/>
      <c r="BW357" s="3024" t="s">
        <v>4551</v>
      </c>
      <c r="BX357" s="3023" t="s">
        <v>4552</v>
      </c>
      <c r="BY357" s="1301" t="s">
        <v>4552</v>
      </c>
      <c r="BZ357" s="1304"/>
      <c r="CA357" s="939"/>
      <c r="DR357" s="939"/>
      <c r="DT357" s="1325"/>
      <c r="DU357" s="1379"/>
      <c r="DV357" s="1376" t="str">
        <f>IF(E357="","",E357)&amp;IF(I357="No",""," (Mant.)")&amp;IF(L357="No",""," (Sme)")&amp;IF(O357="No",""," (SMa)")</f>
        <v/>
      </c>
      <c r="DW357" s="1376"/>
      <c r="DX357" s="1378"/>
      <c r="DY357" s="1324"/>
      <c r="DZ357" s="939"/>
      <c r="EA357" s="1470">
        <f t="shared" si="5"/>
        <v>1</v>
      </c>
    </row>
    <row r="358" spans="1:131" x14ac:dyDescent="0.2">
      <c r="A358" s="939"/>
      <c r="B358" s="939"/>
      <c r="C358" s="4822"/>
      <c r="D358" s="1452" t="s">
        <v>1766</v>
      </c>
      <c r="E358" s="995"/>
      <c r="F358" s="1025"/>
      <c r="G358" s="1437" t="str">
        <f>IF(E358=0,"",VLOOKUP(E358,'Tablas Técnicas'!$A$14:$V$771,3,FALSE))</f>
        <v/>
      </c>
      <c r="H358" s="998" t="str">
        <f>IF($E358=0,"",VLOOKUP($E358,'Tablas Técnicas'!$A$14:$V$771,4,FALSE))</f>
        <v/>
      </c>
      <c r="I358" s="999" t="s">
        <v>1690</v>
      </c>
      <c r="J358" s="1415" t="str">
        <f>IF(E358=0,"",VLOOKUP(E358,'Tablas Técnicas'!$A$14:$V$771,5,FALSE))</f>
        <v/>
      </c>
      <c r="K358" s="1001" t="str">
        <f>IF(I358="Si",IF(E358=0,"",VLOOKUP(E358,'Tablas Técnicas'!$A$14:$V$771,5,FALSE)),"")</f>
        <v/>
      </c>
      <c r="L358" s="999" t="s">
        <v>1690</v>
      </c>
      <c r="M358" s="1415" t="str">
        <f>IF(E358=0,"",VLOOKUP(E358,'Tablas Técnicas'!$A$14:$V$771,6,FALSE))</f>
        <v/>
      </c>
      <c r="N358" s="1002" t="str">
        <f>IF(L358="Si",IF(E358=0,"",VLOOKUP(E358,'Tablas Técnicas'!$A$14:$V$771,6,FALSE)),"")</f>
        <v/>
      </c>
      <c r="O358" s="999" t="s">
        <v>1690</v>
      </c>
      <c r="P358" s="1415" t="str">
        <f>IF(E358=0,"",VLOOKUP(E358,'Tablas Técnicas'!$A$14:$V$771,7,FALSE))</f>
        <v/>
      </c>
      <c r="Q358" s="1002" t="str">
        <f>IF(O358="Si",IF(E358=0,"",VLOOKUP(E358,'Tablas Técnicas'!$A$14:$V$771,7,FALSE)),"")</f>
        <v/>
      </c>
      <c r="R358" s="1000" t="str">
        <f>IF(E358=0,"",VLOOKUP(E358,'Tablas Técnicas'!$A$14:$V$771,8,FALSE))</f>
        <v/>
      </c>
      <c r="S358" s="998" t="str">
        <f>IF(R358=$D$8,$D$8,IF(R358=2,2,IF(R358=3,3,R358)))</f>
        <v/>
      </c>
      <c r="T358" s="4812" t="s">
        <v>4544</v>
      </c>
      <c r="U358" s="4813"/>
      <c r="V358" s="3025"/>
      <c r="W358" s="4814"/>
      <c r="X358" s="4815"/>
      <c r="Y358" s="4815"/>
      <c r="Z358" s="4815"/>
      <c r="AA358" s="4815"/>
      <c r="AB358" s="4815"/>
      <c r="AC358" s="4815"/>
      <c r="AD358" s="4815"/>
      <c r="AE358" s="4815"/>
      <c r="AF358" s="4816"/>
      <c r="AG358" s="4814"/>
      <c r="AH358" s="4815"/>
      <c r="AI358" s="4815"/>
      <c r="AJ358" s="4815"/>
      <c r="AK358" s="4815"/>
      <c r="AL358" s="4815"/>
      <c r="AM358" s="4815"/>
      <c r="AN358" s="4815"/>
      <c r="AO358" s="4815"/>
      <c r="AP358" s="4816"/>
      <c r="AQ358" s="4814"/>
      <c r="AR358" s="4815"/>
      <c r="AS358" s="4815"/>
      <c r="AT358" s="4815"/>
      <c r="AU358" s="4815"/>
      <c r="AV358" s="4815"/>
      <c r="AW358" s="4815"/>
      <c r="AX358" s="4815"/>
      <c r="AY358" s="4815"/>
      <c r="AZ358" s="4816"/>
      <c r="BA358" s="4814"/>
      <c r="BB358" s="4815"/>
      <c r="BC358" s="4815"/>
      <c r="BD358" s="4815"/>
      <c r="BE358" s="4815"/>
      <c r="BF358" s="4815"/>
      <c r="BG358" s="4815"/>
      <c r="BH358" s="4815"/>
      <c r="BI358" s="4815"/>
      <c r="BJ358" s="4816"/>
      <c r="BK358" s="998">
        <f>(SUM(G355:G359)+IF(AF355="",0,AF355)+IF(AP355="",0,AP355)+IF(AZ355="",0,AZ355)+IF(BJ355="",0,BJ355)+SUM(K355:K359)+SUM(N355:N359)+SUM(Q355:Q359))- SUM(V358:BA358)</f>
        <v>0</v>
      </c>
      <c r="BL358" s="1437"/>
      <c r="BM358" s="1438"/>
      <c r="BN358" s="992"/>
      <c r="BO358" s="993"/>
      <c r="BP358" s="978" t="str">
        <f>IF(I358="Si",VLOOKUP($D$8,'Tablas Técnicas'!$E$4:$F$6,2,FALSE),"")</f>
        <v/>
      </c>
      <c r="BQ358" s="979" t="str">
        <f>IF(L358="Si",VLOOKUP($D$8,'Tablas Técnicas'!$I$4:$J$6,2,FALSE),"")</f>
        <v/>
      </c>
      <c r="BR358" s="977" t="str">
        <f>IF(O358="Si",VLOOKUP($D$8,'Tablas Técnicas'!$I$7:$J$9,2,FALSE),"")</f>
        <v/>
      </c>
      <c r="BS358" s="994"/>
      <c r="BT358" s="3028">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356"/>
      <c r="BV358" s="971"/>
      <c r="BW358" s="1026" t="str">
        <f>IF(SUM(BT358:BU358)=0,"N/A",SUM(BT358:BU358))</f>
        <v>N/A</v>
      </c>
      <c r="BX358" s="3028">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26" t="str">
        <f>IF(BX358=0,"N/A",BX358)</f>
        <v>N/A</v>
      </c>
      <c r="BZ358" s="1304"/>
      <c r="CA358" s="943"/>
      <c r="DR358" s="943"/>
      <c r="DT358" s="1326"/>
      <c r="DU358" s="1375"/>
      <c r="DV358" s="1376" t="str">
        <f>IF(E358="","",E358)&amp;IF(I358="No",""," (Mant.)")&amp;IF(L358="No",""," (Sme)")&amp;IF(O358="No",""," (SMa)")</f>
        <v/>
      </c>
      <c r="DW358" s="1376"/>
      <c r="DX358" s="1381"/>
      <c r="DY358" s="1327"/>
      <c r="DZ358" s="943"/>
      <c r="EA358" s="1470">
        <f t="shared" si="5"/>
        <v>1</v>
      </c>
    </row>
    <row r="359" spans="1:131" x14ac:dyDescent="0.2">
      <c r="A359" s="939"/>
      <c r="B359" s="939"/>
      <c r="C359" s="4822"/>
      <c r="D359" s="1453" t="s">
        <v>1766</v>
      </c>
      <c r="E359" s="1003"/>
      <c r="F359" s="1019"/>
      <c r="G359" s="989" t="str">
        <f>IF(E359=0,"",VLOOKUP(E359,'Tablas Técnicas'!$A$14:$V$771,3,FALSE))</f>
        <v/>
      </c>
      <c r="H359" s="1014" t="str">
        <f>IF($E359=0,"",VLOOKUP($E359,'Tablas Técnicas'!$A$14:$V$771,4,FALSE))</f>
        <v/>
      </c>
      <c r="I359" s="987" t="s">
        <v>1690</v>
      </c>
      <c r="J359" s="1418" t="str">
        <f>IF(E359=0,"",VLOOKUP(E359,'Tablas Técnicas'!$A$14:$V$771,5,FALSE))</f>
        <v/>
      </c>
      <c r="K359" s="1015" t="str">
        <f>IF(I359="Si",IF(E359=0,"",VLOOKUP(E359,'Tablas Técnicas'!$A$14:$V$771,5,FALSE)),"")</f>
        <v/>
      </c>
      <c r="L359" s="987" t="s">
        <v>1690</v>
      </c>
      <c r="M359" s="1418" t="str">
        <f>IF(E359=0,"",VLOOKUP(E359,'Tablas Técnicas'!$A$14:$V$771,6,FALSE))</f>
        <v/>
      </c>
      <c r="N359" s="990" t="str">
        <f>IF(L359="Si",IF(E359=0,"",VLOOKUP(E359,'Tablas Técnicas'!$A$14:$V$771,6,FALSE)),"")</f>
        <v/>
      </c>
      <c r="O359" s="987" t="s">
        <v>1690</v>
      </c>
      <c r="P359" s="1418" t="str">
        <f>IF(E359=0,"",VLOOKUP(E359,'Tablas Técnicas'!$A$14:$V$771,7,FALSE))</f>
        <v/>
      </c>
      <c r="Q359" s="990" t="str">
        <f>IF(O359="Si",IF(E359=0,"",VLOOKUP(E359,'Tablas Técnicas'!$A$14:$V$771,7,FALSE)),"")</f>
        <v/>
      </c>
      <c r="R359" s="1035" t="str">
        <f>IF(E359=0,"",VLOOKUP(E359,'Tablas Técnicas'!$A$14:$V$771,8,FALSE))</f>
        <v/>
      </c>
      <c r="S359" s="1004" t="str">
        <f>IF(R359=$D$8,$D$8,IF(R359=2,2,IF(R359=3,3,R359)))</f>
        <v/>
      </c>
      <c r="T359" s="4803" t="s">
        <v>4546</v>
      </c>
      <c r="U359" s="4804"/>
      <c r="V359" s="3032"/>
      <c r="W359" s="4805"/>
      <c r="X359" s="4806"/>
      <c r="Y359" s="4806"/>
      <c r="Z359" s="4806"/>
      <c r="AA359" s="4806"/>
      <c r="AB359" s="4806"/>
      <c r="AC359" s="4806"/>
      <c r="AD359" s="4806"/>
      <c r="AE359" s="4806"/>
      <c r="AF359" s="4807"/>
      <c r="AG359" s="4805"/>
      <c r="AH359" s="4806"/>
      <c r="AI359" s="4806"/>
      <c r="AJ359" s="4806"/>
      <c r="AK359" s="4806"/>
      <c r="AL359" s="4806"/>
      <c r="AM359" s="4806"/>
      <c r="AN359" s="4806"/>
      <c r="AO359" s="4806"/>
      <c r="AP359" s="4807"/>
      <c r="AQ359" s="4805"/>
      <c r="AR359" s="4806"/>
      <c r="AS359" s="4806"/>
      <c r="AT359" s="4806"/>
      <c r="AU359" s="4806"/>
      <c r="AV359" s="4806"/>
      <c r="AW359" s="4806"/>
      <c r="AX359" s="4806"/>
      <c r="AY359" s="4806"/>
      <c r="AZ359" s="4807"/>
      <c r="BA359" s="4805"/>
      <c r="BB359" s="4806"/>
      <c r="BC359" s="4806"/>
      <c r="BD359" s="4806"/>
      <c r="BE359" s="4806"/>
      <c r="BF359" s="4806"/>
      <c r="BG359" s="4806"/>
      <c r="BH359" s="4806"/>
      <c r="BI359" s="4806"/>
      <c r="BJ359" s="4807"/>
      <c r="BK359" s="1014">
        <f>SUM(K355:K359)-SUM(V359:BA359)</f>
        <v>0</v>
      </c>
      <c r="BL359" s="1439"/>
      <c r="BM359" s="1440"/>
      <c r="BN359" s="1008"/>
      <c r="BO359" s="1009"/>
      <c r="BP359" s="1010" t="str">
        <f>IF(I359="Si",VLOOKUP($D$8,'Tablas Técnicas'!$E$4:$F$6,2,FALSE),"")</f>
        <v/>
      </c>
      <c r="BQ359" s="980" t="str">
        <f>IF(L359="Si",VLOOKUP($D$8,'Tablas Técnicas'!$I$4:$J$6,2,FALSE),"")</f>
        <v/>
      </c>
      <c r="BR359" s="1011" t="str">
        <f>IF(O359="Si",VLOOKUP($D$8,'Tablas Técnicas'!$I$7:$J$9,2,FALSE),"")</f>
        <v/>
      </c>
      <c r="BS359" s="994"/>
      <c r="BT359" s="3023" t="s">
        <v>1687</v>
      </c>
      <c r="BU359" s="3024" t="s">
        <v>4550</v>
      </c>
      <c r="BV359" s="971"/>
      <c r="BW359" s="3024" t="s">
        <v>4551</v>
      </c>
      <c r="BX359" s="3023" t="s">
        <v>4552</v>
      </c>
      <c r="BY359" s="1301" t="s">
        <v>4552</v>
      </c>
      <c r="BZ359" s="1304"/>
      <c r="CA359" s="939"/>
      <c r="DR359" s="939"/>
      <c r="DT359" s="1325"/>
      <c r="DU359" s="1379"/>
      <c r="DV359" s="1376" t="str">
        <f>IF(E359="","",E359)&amp;IF(I359="No",""," (Mant.)")&amp;IF(L359="No",""," (Sme)")&amp;IF(O359="No",""," (SMa)")</f>
        <v/>
      </c>
      <c r="DW359" s="1376"/>
      <c r="DX359" s="1378"/>
      <c r="DY359" s="1324"/>
      <c r="DZ359" s="939"/>
      <c r="EA359" s="1470">
        <f t="shared" si="5"/>
        <v>1</v>
      </c>
    </row>
    <row r="360" spans="1:131" x14ac:dyDescent="0.2">
      <c r="A360" s="939"/>
      <c r="B360" s="1403"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822"/>
      <c r="D360" s="1454">
        <v>4</v>
      </c>
      <c r="E360" s="1246"/>
      <c r="F360" s="1016"/>
      <c r="G360" s="1017"/>
      <c r="H360" s="2159">
        <f t="array" ref="H360">IF(AND(OR(ISNUMBER(SEARCH("Empatía Elemental ("&amp;BK355:BM355&amp;")",Principal!$AF$30))),SUM(H355:H359)&gt;=10),-5,0)</f>
        <v>0</v>
      </c>
      <c r="I360" s="1413"/>
      <c r="J360" s="1416"/>
      <c r="K360" s="1017"/>
      <c r="L360" s="1413"/>
      <c r="M360" s="1416"/>
      <c r="N360" s="1017"/>
      <c r="O360" s="1413"/>
      <c r="P360" s="1416"/>
      <c r="Q360" s="1017"/>
      <c r="R360" s="1018"/>
      <c r="S360" s="1017"/>
      <c r="T360" s="1017"/>
      <c r="U360" s="1017"/>
      <c r="V360" s="1017"/>
      <c r="W360" s="1017"/>
      <c r="X360" s="1017"/>
      <c r="Y360" s="1017"/>
      <c r="Z360" s="1017"/>
      <c r="AA360" s="1017"/>
      <c r="AB360" s="1017"/>
      <c r="AC360" s="1017"/>
      <c r="AD360" s="1017"/>
      <c r="AE360" s="1017"/>
      <c r="AF360" s="1017"/>
      <c r="AG360" s="1017"/>
      <c r="AH360" s="1017"/>
      <c r="AI360" s="1017"/>
      <c r="AJ360" s="1017"/>
      <c r="AK360" s="1017"/>
      <c r="AL360" s="1017"/>
      <c r="AM360" s="1017"/>
      <c r="AN360" s="1017"/>
      <c r="AO360" s="1017"/>
      <c r="AP360" s="1017"/>
      <c r="AQ360" s="1017"/>
      <c r="AR360" s="1017"/>
      <c r="AS360" s="1017"/>
      <c r="AT360" s="1017"/>
      <c r="AU360" s="1017"/>
      <c r="AV360" s="1017"/>
      <c r="AW360" s="1017"/>
      <c r="AX360" s="1017"/>
      <c r="AY360" s="1017"/>
      <c r="AZ360" s="1017"/>
      <c r="BA360" s="1017"/>
      <c r="BB360" s="1017"/>
      <c r="BC360" s="1017"/>
      <c r="BD360" s="1017"/>
      <c r="BE360" s="1017"/>
      <c r="BF360" s="1017"/>
      <c r="BG360" s="1017"/>
      <c r="BH360" s="1017"/>
      <c r="BI360" s="1017"/>
      <c r="BJ360" s="1017"/>
      <c r="BK360" s="1017"/>
      <c r="BL360" s="1017"/>
      <c r="BM360" s="1027"/>
      <c r="BN360" s="1028">
        <f>SUM(K360:K363)</f>
        <v>0</v>
      </c>
      <c r="BO360" s="971" t="str">
        <f>IF(E360=0,"",(AF360+AP360+AZ360+BJ360))</f>
        <v/>
      </c>
      <c r="BP360" s="1029" t="str">
        <f>IF(I360="Si",VLOOKUP($D$8,'Tablas Técnicas'!$E$4:$F$6,2,FALSE),"")</f>
        <v/>
      </c>
      <c r="BQ360" s="1030" t="str">
        <f>IF(L360="Si",VLOOKUP($D$8,'Tablas Técnicas'!$I$4:$J$6,2,FALSE),"")</f>
        <v/>
      </c>
      <c r="BR360" s="1028" t="str">
        <f>IF(O360="Si",VLOOKUP($D$8,'Tablas Técnicas'!$I$7:$J$9,2,FALSE),"")</f>
        <v/>
      </c>
      <c r="BS360" s="994"/>
      <c r="BT360" s="3028">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356"/>
      <c r="BV360" s="971"/>
      <c r="BW360" s="1026" t="str">
        <f>IF(SUM(BT360:BU360)=0,"N/A",SUM(BT360:BU360))</f>
        <v>N/A</v>
      </c>
      <c r="BX360" s="3028">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26" t="str">
        <f>IF(BX360=0,"N/A",BX360)</f>
        <v>N/A</v>
      </c>
      <c r="BZ360" s="1304"/>
      <c r="CA360" s="939"/>
      <c r="DR360" s="939"/>
      <c r="DT360" s="1325"/>
      <c r="DU360" s="1379"/>
      <c r="DV360" s="1380"/>
      <c r="DW360" s="1376"/>
      <c r="DX360" s="1378"/>
      <c r="DY360" s="1324"/>
      <c r="DZ360" s="939"/>
      <c r="EA360" s="1470">
        <f t="shared" si="5"/>
        <v>1</v>
      </c>
    </row>
    <row r="361" spans="1:131" x14ac:dyDescent="0.2">
      <c r="A361" s="939"/>
      <c r="B361" s="939"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822"/>
      <c r="D361" s="1453" t="s">
        <v>1766</v>
      </c>
      <c r="E361" s="983"/>
      <c r="F361" s="1019"/>
      <c r="G361" s="989" t="str">
        <f>IF(E361=0,"",VLOOKUP(E361,'Tablas Técnicas'!$A$14:$V$771,3,FALSE))</f>
        <v/>
      </c>
      <c r="H361" s="1031" t="str">
        <f>IF($E361=0,"",VLOOKUP($E361,'Tablas Técnicas'!$A$14:$V$771,4,FALSE))</f>
        <v/>
      </c>
      <c r="I361" s="987" t="s">
        <v>1690</v>
      </c>
      <c r="J361" s="1417" t="str">
        <f>IF(E361=0,"",VLOOKUP(E361,'Tablas Técnicas'!$A$14:$V$771,5,FALSE))</f>
        <v/>
      </c>
      <c r="K361" s="1033" t="str">
        <f>IF(I361="Si",IF(E361=0,"",VLOOKUP(E361,'Tablas Técnicas'!$A$14:$V$771,5,FALSE)),"")</f>
        <v/>
      </c>
      <c r="L361" s="987" t="s">
        <v>1690</v>
      </c>
      <c r="M361" s="1417" t="str">
        <f>IF(E361=0,"",VLOOKUP(E361,'Tablas Técnicas'!$A$14:$V$771,6,FALSE))</f>
        <v/>
      </c>
      <c r="N361" s="990" t="str">
        <f>IF(L361="Si",IF(E361=0,"",VLOOKUP(E361,'Tablas Técnicas'!$A$14:$V$771,6,FALSE)),"")</f>
        <v/>
      </c>
      <c r="O361" s="987" t="s">
        <v>1690</v>
      </c>
      <c r="P361" s="1417" t="str">
        <f>IF(E361=0,"",VLOOKUP(E361,'Tablas Técnicas'!$A$14:$V$771,7,FALSE))</f>
        <v/>
      </c>
      <c r="Q361" s="990" t="str">
        <f>IF(O361="Si",IF(E361=0,"",VLOOKUP(E361,'Tablas Técnicas'!$A$14:$V$771,7,FALSE)),"")</f>
        <v/>
      </c>
      <c r="R361" s="1032" t="str">
        <f>IF(E361=0,"",VLOOKUP(E361,'Tablas Técnicas'!$A$14:$V$771,8,FALSE))</f>
        <v/>
      </c>
      <c r="S361" s="1004" t="str">
        <f>IF(R361=$D$8,$D$8,IF(R361=2,2,IF(R361=3,3,R361)))</f>
        <v/>
      </c>
      <c r="T361" s="1033" t="str">
        <f>IF(E361=0,"",VLOOKUP(E361,'Tablas Técnicas'!$A$14:$V$771,9,FALSE))</f>
        <v/>
      </c>
      <c r="U361" s="1033" t="str">
        <f>IF(E361=0,"",VLOOKUP(E361,'Tablas Técnicas'!$A$14:$V$771,10,FALSE))</f>
        <v/>
      </c>
      <c r="V361" s="1034" t="str">
        <f>IF(E361=0,"",VLOOKUP(E361,'Tablas Técnicas'!$A$14:$V$771,11,FALSE))</f>
        <v/>
      </c>
      <c r="W361" s="987"/>
      <c r="X361" s="988" t="e">
        <f>VLOOKUP(E361,'Tablas Técnicas'!$A$14:$V$771,12,FALSE)</f>
        <v>#N/A</v>
      </c>
      <c r="Y361" s="988" t="e">
        <f>IF(W361=X361,VLOOKUP(E361,'Tablas Técnicas'!$A$14:$V$771,13,FALSE),0)</f>
        <v>#N/A</v>
      </c>
      <c r="Z361" s="988" t="e">
        <f>VLOOKUP(E361,'Tablas Técnicas'!$A$14:$V$771,14,FALSE)</f>
        <v>#N/A</v>
      </c>
      <c r="AA361" s="988" t="e">
        <f>IF(W361=Z361,VLOOKUP(E361,'Tablas Técnicas'!$A$14:$V$616,15,FALSE),0)</f>
        <v>#N/A</v>
      </c>
      <c r="AB361" s="988" t="e">
        <f>VLOOKUP(E361,'Tablas Técnicas'!$A$14:$V$771,16,FALSE)</f>
        <v>#N/A</v>
      </c>
      <c r="AC361" s="988" t="e">
        <f>IF(W361=AB361,VLOOKUP(E361,'Tablas Técnicas'!$A$14:$V$616,17,FALSE),0)</f>
        <v>#N/A</v>
      </c>
      <c r="AD361" s="988" t="e">
        <f>VLOOKUP(E361,'Tablas Técnicas'!$A$14:$V$771,18,FALSE)</f>
        <v>#N/A</v>
      </c>
      <c r="AE361" s="988" t="e">
        <f>IF(W361=AD361,VLOOKUP(E361,'Tablas Técnicas'!$A$14:$V$771,19,FALSE),0)</f>
        <v>#N/A</v>
      </c>
      <c r="AF361" s="1006" t="str">
        <f>IF(E361=0,"",(Y361+AA361+AC361+AE361))</f>
        <v/>
      </c>
      <c r="AG361" s="987"/>
      <c r="AH361" s="1005" t="e">
        <f>VLOOKUP(E361,'Tablas Técnicas'!$A$14:$V$771,12,FALSE)</f>
        <v>#N/A</v>
      </c>
      <c r="AI361" s="1005" t="e">
        <f>IF(AG361=AH361,VLOOKUP(E361,'Tablas Técnicas'!$A$14:$V$771,13,FALSE),0)</f>
        <v>#N/A</v>
      </c>
      <c r="AJ361" s="1005" t="e">
        <f>VLOOKUP(E361,'Tablas Técnicas'!$A$14:$V$771,14,FALSE)</f>
        <v>#N/A</v>
      </c>
      <c r="AK361" s="1005" t="e">
        <f>IF(AG361=AJ361,VLOOKUP(E361,'Tablas Técnicas'!$A$14:$V$771,15,FALSE),0)</f>
        <v>#N/A</v>
      </c>
      <c r="AL361" s="1005" t="e">
        <f>VLOOKUP(E361,'Tablas Técnicas'!$A$14:$V$771,16,FALSE)</f>
        <v>#N/A</v>
      </c>
      <c r="AM361" s="1005" t="e">
        <f>IF(AG361=AL361,VLOOKUP(E361,'Tablas Técnicas'!$A$14:$V$771,17,FALSE),0)</f>
        <v>#N/A</v>
      </c>
      <c r="AN361" s="1005" t="e">
        <f>VLOOKUP(E361,'Tablas Técnicas'!$A$14:$V$771,18,FALSE)</f>
        <v>#N/A</v>
      </c>
      <c r="AO361" s="1005" t="e">
        <f>IF(AG361=AN361,VLOOKUP(E361,'Tablas Técnicas'!$A$14:$V$771,19,FALSE),0)</f>
        <v>#N/A</v>
      </c>
      <c r="AP361" s="3034" t="str">
        <f>IF(E361=0,"",(AI361+AK361+AM361+AO361))</f>
        <v/>
      </c>
      <c r="AQ361" s="987"/>
      <c r="AR361" s="1005" t="e">
        <f>VLOOKUP(E361,'Tablas Técnicas'!$A$14:$V$771,12,FALSE)</f>
        <v>#N/A</v>
      </c>
      <c r="AS361" s="1005" t="e">
        <f>IF(AQ361=AR361,VLOOKUP(E361,'Tablas Técnicas'!$A$14:$V$771,13,FALSE),0)</f>
        <v>#N/A</v>
      </c>
      <c r="AT361" s="1005" t="e">
        <f>VLOOKUP(E361,'Tablas Técnicas'!$A$14:$V$771,14,FALSE)</f>
        <v>#N/A</v>
      </c>
      <c r="AU361" s="1005" t="e">
        <f>IF(AQ361=AT361,VLOOKUP(E361,'Tablas Técnicas'!$A$14:$V$771,15,FALSE),0)</f>
        <v>#N/A</v>
      </c>
      <c r="AV361" s="1005" t="e">
        <f>VLOOKUP(E361,'Tablas Técnicas'!$A$14:$V$771,16,FALSE)</f>
        <v>#N/A</v>
      </c>
      <c r="AW361" s="1005" t="e">
        <f>IF(AQ361=AV361,VLOOKUP(E361,'Tablas Técnicas'!$A$14:$V$771,17,FALSE),0)</f>
        <v>#N/A</v>
      </c>
      <c r="AX361" s="1005" t="e">
        <f>VLOOKUP(E361,'Tablas Técnicas'!$A$14:$V$771,18,FALSE)</f>
        <v>#N/A</v>
      </c>
      <c r="AY361" s="1005" t="e">
        <f>IF(AQ361=AX361,VLOOKUP(E361,'Tablas Técnicas'!$A$14:$V$771,19,FALSE),0)</f>
        <v>#N/A</v>
      </c>
      <c r="AZ361" s="1006" t="str">
        <f>IF(E361=0,"",(AS361+AU361+AW361+AY361))</f>
        <v/>
      </c>
      <c r="BA361" s="987"/>
      <c r="BB361" s="1005" t="e">
        <f>VLOOKUP(E361,'Tablas Técnicas'!$A$14:$V$771,12,FALSE)</f>
        <v>#N/A</v>
      </c>
      <c r="BC361" s="1005" t="e">
        <f>IF(BA361=BB361,VLOOKUP(E361,'Tablas Técnicas'!$A$14:$V$771,13,FALSE),0)</f>
        <v>#N/A</v>
      </c>
      <c r="BD361" s="1005" t="e">
        <f>VLOOKUP(E361,'Tablas Técnicas'!$A$14:$V$771,14,FALSE)</f>
        <v>#N/A</v>
      </c>
      <c r="BE361" s="1005" t="e">
        <f>IF(BA361=BD361,VLOOKUP(E361,'Tablas Técnicas'!$A$14:$V$771,15,FALSE),0)</f>
        <v>#N/A</v>
      </c>
      <c r="BF361" s="1005" t="e">
        <f>VLOOKUP(E361,'Tablas Técnicas'!$A$14:$V$771,16,FALSE)</f>
        <v>#N/A</v>
      </c>
      <c r="BG361" s="1005" t="e">
        <f>IF(BA361=BF361,VLOOKUP(E361,'Tablas Técnicas'!$A$14:$V$771,17,FALSE),0)</f>
        <v>#N/A</v>
      </c>
      <c r="BH361" s="1005" t="e">
        <f>VLOOKUP(E361,'Tablas Técnicas'!$A$14:$V$771,18,FALSE)</f>
        <v>#N/A</v>
      </c>
      <c r="BI361" s="1005" t="e">
        <f>IF(BA361=BH361,VLOOKUP(E361,'Tablas Técnicas'!$A$14:$V$771,19,FALSE),0)</f>
        <v>#N/A</v>
      </c>
      <c r="BJ361" s="3034" t="str">
        <f>IF(E361=0,"",(BC361+BE361+BG361+BI361))</f>
        <v/>
      </c>
      <c r="BK361" s="1033" t="str">
        <f>IF(E361=0,"",VLOOKUP(E361,'Tablas Técnicas'!$A$14:$V$771,20,FALSE))</f>
        <v/>
      </c>
      <c r="BL361" s="1020" t="str">
        <f>IF(E361=0,"",VLOOKUP(E361,'Tablas Técnicas'!$A$14:$V$771,21,FALSE))</f>
        <v/>
      </c>
      <c r="BM361" s="991" t="str">
        <f>IF(E361=0,"",VLOOKUP(E361,'Tablas Técnicas'!$A$14:$V$771,22,FALSE))</f>
        <v/>
      </c>
      <c r="BN361" s="992"/>
      <c r="BO361" s="993"/>
      <c r="BP361" s="978" t="str">
        <f>IF(I361="Si",VLOOKUP($D$8,'Tablas Técnicas'!$E$4:$F$6,2,FALSE),"")</f>
        <v/>
      </c>
      <c r="BQ361" s="979" t="str">
        <f>IF(L361="Si",VLOOKUP($D$8,'Tablas Técnicas'!$I$4:$J$6,2,FALSE),"")</f>
        <v/>
      </c>
      <c r="BR361" s="977" t="str">
        <f>IF(O361="Si",VLOOKUP($D$8,'Tablas Técnicas'!$I$7:$J$9,2,FALSE),"")</f>
        <v/>
      </c>
      <c r="BS361" s="994"/>
      <c r="BT361" s="3023" t="s">
        <v>1692</v>
      </c>
      <c r="BU361" s="3024" t="s">
        <v>4550</v>
      </c>
      <c r="BV361" s="971"/>
      <c r="BW361" s="3024" t="s">
        <v>4551</v>
      </c>
      <c r="BX361" s="3023" t="s">
        <v>4552</v>
      </c>
      <c r="BY361" s="1301" t="s">
        <v>4552</v>
      </c>
      <c r="BZ361" s="1304"/>
      <c r="CA361" s="939"/>
      <c r="DR361" s="939"/>
      <c r="DT361" s="1325"/>
      <c r="DU361" s="1379"/>
      <c r="DV361" s="1376" t="str">
        <f>IF(E361="","",", "&amp;E361)&amp;IF(I361="No",""," (Mant.)")&amp;IF(L361="No",""," (Sme)")&amp;IF(O361="No",""," (SMa)")</f>
        <v/>
      </c>
      <c r="DW361" s="1376"/>
      <c r="DX361" s="1378"/>
      <c r="DY361" s="1324"/>
      <c r="DZ361" s="939"/>
      <c r="EA361" s="1470">
        <f t="shared" si="5"/>
        <v>1</v>
      </c>
    </row>
    <row r="362" spans="1:131" x14ac:dyDescent="0.2">
      <c r="A362" s="939"/>
      <c r="B362" s="939"/>
      <c r="C362" s="4822"/>
      <c r="D362" s="1452" t="s">
        <v>1766</v>
      </c>
      <c r="E362" s="995"/>
      <c r="F362" s="1025"/>
      <c r="G362" s="1437" t="str">
        <f>IF(E362=0,"",VLOOKUP(E362,'Tablas Técnicas'!$A$14:$V$771,3,FALSE))</f>
        <v/>
      </c>
      <c r="H362" s="998" t="str">
        <f>IF($E362=0,"",VLOOKUP($E362,'Tablas Técnicas'!$A$14:$V$771,4,FALSE))</f>
        <v/>
      </c>
      <c r="I362" s="999" t="s">
        <v>1690</v>
      </c>
      <c r="J362" s="1415" t="str">
        <f>IF(E362=0,"",VLOOKUP(E362,'Tablas Técnicas'!$A$14:$V$771,5,FALSE))</f>
        <v/>
      </c>
      <c r="K362" s="1001" t="str">
        <f>IF(I362="Si",IF(E362=0,"",VLOOKUP(E362,'Tablas Técnicas'!$A$14:$V$771,5,FALSE)),"")</f>
        <v/>
      </c>
      <c r="L362" s="999" t="s">
        <v>1690</v>
      </c>
      <c r="M362" s="1415" t="str">
        <f>IF(E362=0,"",VLOOKUP(E362,'Tablas Técnicas'!$A$14:$V$771,6,FALSE))</f>
        <v/>
      </c>
      <c r="N362" s="1002" t="str">
        <f>IF(L362="Si",IF(E362=0,"",VLOOKUP(E362,'Tablas Técnicas'!$A$14:$V$771,6,FALSE)),"")</f>
        <v/>
      </c>
      <c r="O362" s="999" t="s">
        <v>1690</v>
      </c>
      <c r="P362" s="1415" t="str">
        <f>IF(E362=0,"",VLOOKUP(E362,'Tablas Técnicas'!$A$14:$V$771,7,FALSE))</f>
        <v/>
      </c>
      <c r="Q362" s="1002" t="str">
        <f>IF(O362="Si",IF(E362=0,"",VLOOKUP(E362,'Tablas Técnicas'!$A$14:$V$771,7,FALSE)),"")</f>
        <v/>
      </c>
      <c r="R362" s="1000" t="str">
        <f>IF(E362=0,"",VLOOKUP(E362,'Tablas Técnicas'!$A$14:$V$771,8,FALSE))</f>
        <v/>
      </c>
      <c r="S362" s="998" t="str">
        <f>IF(R362=$D$8,$D$8,IF(R362=2,2,IF(R362=3,3,R362)))</f>
        <v/>
      </c>
      <c r="T362" s="4796" t="s">
        <v>4542</v>
      </c>
      <c r="U362" s="4797"/>
      <c r="V362" s="4797"/>
      <c r="W362" s="4797"/>
      <c r="X362" s="4797"/>
      <c r="Y362" s="4797"/>
      <c r="Z362" s="4797"/>
      <c r="AA362" s="4797"/>
      <c r="AB362" s="4797"/>
      <c r="AC362" s="4797"/>
      <c r="AD362" s="4797"/>
      <c r="AE362" s="4797"/>
      <c r="AF362" s="4797"/>
      <c r="AG362" s="4797"/>
      <c r="AH362" s="4797"/>
      <c r="AI362" s="4797"/>
      <c r="AJ362" s="4797"/>
      <c r="AK362" s="4797"/>
      <c r="AL362" s="4797"/>
      <c r="AM362" s="4797"/>
      <c r="AN362" s="4797"/>
      <c r="AO362" s="4797"/>
      <c r="AP362" s="4797"/>
      <c r="AQ362" s="4797"/>
      <c r="AR362" s="4797"/>
      <c r="AS362" s="4797"/>
      <c r="AT362" s="4797"/>
      <c r="AU362" s="4797"/>
      <c r="AV362" s="4797"/>
      <c r="AW362" s="4797"/>
      <c r="AX362" s="4797"/>
      <c r="AY362" s="4797"/>
      <c r="AZ362" s="4797"/>
      <c r="BA362" s="4797"/>
      <c r="BB362" s="4797"/>
      <c r="BC362" s="4797"/>
      <c r="BD362" s="4797"/>
      <c r="BE362" s="4797"/>
      <c r="BF362" s="4797"/>
      <c r="BG362" s="4797"/>
      <c r="BH362" s="4797"/>
      <c r="BI362" s="4797"/>
      <c r="BJ362" s="4797"/>
      <c r="BK362" s="4798"/>
      <c r="BL362" s="1437"/>
      <c r="BM362" s="1438"/>
      <c r="BN362" s="992"/>
      <c r="BO362" s="993"/>
      <c r="BP362" s="978" t="str">
        <f>IF(I362="Si",VLOOKUP($D$8,'Tablas Técnicas'!$E$4:$F$6,2,FALSE),"")</f>
        <v/>
      </c>
      <c r="BQ362" s="979" t="str">
        <f>IF(L362="Si",VLOOKUP($D$8,'Tablas Técnicas'!$I$4:$J$6,2,FALSE),"")</f>
        <v/>
      </c>
      <c r="BR362" s="977" t="str">
        <f>IF(O362="Si",VLOOKUP($D$8,'Tablas Técnicas'!$I$7:$J$9,2,FALSE),"")</f>
        <v/>
      </c>
      <c r="BS362" s="994"/>
      <c r="BT362" s="3028">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356"/>
      <c r="BV362" s="971"/>
      <c r="BW362" s="1026" t="str">
        <f>IF(SUM(BT362:BU362)=0,"N/A",SUM(BT362:BU362))</f>
        <v>N/A</v>
      </c>
      <c r="BX362" s="3028">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26" t="str">
        <f>IF(BX362=0,"N/A",BX362)</f>
        <v>N/A</v>
      </c>
      <c r="BZ362" s="1304"/>
      <c r="CA362" s="939"/>
      <c r="DR362" s="939"/>
      <c r="DT362" s="1325"/>
      <c r="DU362" s="1379"/>
      <c r="DV362" s="1376" t="str">
        <f>IF(E362="",""," "&amp;E362)&amp;IF(I362="No",""," (Mant.)")&amp;IF(L362="No",""," (Sme)")&amp;IF(O362="No",""," (SMa)")</f>
        <v/>
      </c>
      <c r="DW362" s="1376"/>
      <c r="DX362" s="1378"/>
      <c r="DY362" s="1324"/>
      <c r="DZ362" s="939"/>
      <c r="EA362" s="1470">
        <f t="shared" si="5"/>
        <v>1</v>
      </c>
    </row>
    <row r="363" spans="1:131" x14ac:dyDescent="0.2">
      <c r="A363" s="939"/>
      <c r="B363" s="939"/>
      <c r="C363" s="4822"/>
      <c r="D363" s="1453" t="s">
        <v>1766</v>
      </c>
      <c r="E363" s="1003"/>
      <c r="F363" s="1019"/>
      <c r="G363" s="989" t="str">
        <f>IF(E363=0,"",VLOOKUP(E363,'Tablas Técnicas'!$A$14:$V$771,3,FALSE))</f>
        <v/>
      </c>
      <c r="H363" s="3033" t="str">
        <f>IF($E363=0,"",VLOOKUP($E363,'Tablas Técnicas'!$A$14:$V$771,4,FALSE))</f>
        <v/>
      </c>
      <c r="I363" s="987" t="s">
        <v>1690</v>
      </c>
      <c r="J363" s="1411" t="str">
        <f>IF(E363=0,"",VLOOKUP(E363,'Tablas Técnicas'!$A$14:$V$771,5,FALSE))</f>
        <v/>
      </c>
      <c r="K363" s="1006" t="str">
        <f>IF(I363="Si",IF(E363=0,"",VLOOKUP(E363,'Tablas Técnicas'!$A$14:$V$771,5,FALSE)),"")</f>
        <v/>
      </c>
      <c r="L363" s="987" t="s">
        <v>1690</v>
      </c>
      <c r="M363" s="1411" t="str">
        <f>IF(E363=0,"",VLOOKUP(E363,'Tablas Técnicas'!$A$14:$V$771,6,FALSE))</f>
        <v/>
      </c>
      <c r="N363" s="990" t="str">
        <f>IF(L363="Si",IF(E363=0,"",VLOOKUP(E363,'Tablas Técnicas'!$A$14:$V$771,6,FALSE)),"")</f>
        <v/>
      </c>
      <c r="O363" s="987" t="s">
        <v>1690</v>
      </c>
      <c r="P363" s="1411" t="str">
        <f>IF(E363=0,"",VLOOKUP(E363,'Tablas Técnicas'!$A$14:$V$771,7,FALSE))</f>
        <v/>
      </c>
      <c r="Q363" s="990" t="str">
        <f>IF(O363="Si",IF(E363=0,"",VLOOKUP(E363,'Tablas Técnicas'!$A$14:$V$771,7,FALSE)),"")</f>
        <v/>
      </c>
      <c r="R363" s="1005" t="str">
        <f>IF(E363=0,"",VLOOKUP(E363,'Tablas Técnicas'!$A$14:$V$771,8,FALSE))</f>
        <v/>
      </c>
      <c r="S363" s="3033" t="str">
        <f>IF(R363=$D$8,$D$8,IF(R363=2,2,IF(R363=3,3,R363)))</f>
        <v/>
      </c>
      <c r="T363" s="4809"/>
      <c r="U363" s="4810"/>
      <c r="V363" s="3029" t="str">
        <f>IF(OR(V361=0,V361=""),"N/A",V361)</f>
        <v>N/A</v>
      </c>
      <c r="W363" s="4809" t="str">
        <f xml:space="preserve"> IF(OR(AF361=0,AF361=""),"N/A",W361)</f>
        <v>N/A</v>
      </c>
      <c r="X363" s="4811"/>
      <c r="Y363" s="4811"/>
      <c r="Z363" s="4811"/>
      <c r="AA363" s="4811"/>
      <c r="AB363" s="4811"/>
      <c r="AC363" s="4811"/>
      <c r="AD363" s="4811"/>
      <c r="AE363" s="4811"/>
      <c r="AF363" s="4810"/>
      <c r="AG363" s="4809" t="str">
        <f xml:space="preserve"> IF(OR(AP361="",AP361=0),"N/A",AG361)</f>
        <v>N/A</v>
      </c>
      <c r="AH363" s="4811"/>
      <c r="AI363" s="4811"/>
      <c r="AJ363" s="4811"/>
      <c r="AK363" s="4811"/>
      <c r="AL363" s="4811"/>
      <c r="AM363" s="4811"/>
      <c r="AN363" s="4811"/>
      <c r="AO363" s="4811"/>
      <c r="AP363" s="4810"/>
      <c r="AQ363" s="4809" t="str">
        <f xml:space="preserve"> IF(OR(AZ361="",AZ361=0),"N/A",AQ361)</f>
        <v>N/A</v>
      </c>
      <c r="AR363" s="4811"/>
      <c r="AS363" s="4811"/>
      <c r="AT363" s="4811"/>
      <c r="AU363" s="4811"/>
      <c r="AV363" s="4811"/>
      <c r="AW363" s="4811"/>
      <c r="AX363" s="4811"/>
      <c r="AY363" s="4811"/>
      <c r="AZ363" s="4810"/>
      <c r="BA363" s="4809" t="str">
        <f xml:space="preserve"> IF(OR(BJ361="",BJ361=0),"N/A",BA361)</f>
        <v>N/A</v>
      </c>
      <c r="BB363" s="4811"/>
      <c r="BC363" s="4811"/>
      <c r="BD363" s="4811"/>
      <c r="BE363" s="4811"/>
      <c r="BF363" s="4811"/>
      <c r="BG363" s="4811"/>
      <c r="BH363" s="4811"/>
      <c r="BI363" s="4811"/>
      <c r="BJ363" s="4810"/>
      <c r="BK363" s="1007" t="s">
        <v>4543</v>
      </c>
      <c r="BL363" s="989"/>
      <c r="BM363" s="1024"/>
      <c r="BN363" s="1008"/>
      <c r="BO363" s="1009"/>
      <c r="BP363" s="1010" t="str">
        <f>IF(I363="Si",VLOOKUP($D$8,'Tablas Técnicas'!$E$4:$F$6,2,FALSE),"")</f>
        <v/>
      </c>
      <c r="BQ363" s="980" t="str">
        <f>IF(L363="Si",VLOOKUP($D$8,'Tablas Técnicas'!$I$4:$J$6,2,FALSE),"")</f>
        <v/>
      </c>
      <c r="BR363" s="1011" t="str">
        <f>IF(O363="Si",VLOOKUP($D$8,'Tablas Técnicas'!$I$7:$J$9,2,FALSE),"")</f>
        <v/>
      </c>
      <c r="BS363" s="994"/>
      <c r="BT363" s="3023" t="s">
        <v>1700</v>
      </c>
      <c r="BU363" s="3024" t="s">
        <v>4550</v>
      </c>
      <c r="BV363" s="971"/>
      <c r="BW363" s="3024" t="s">
        <v>4551</v>
      </c>
      <c r="BX363" s="3023" t="s">
        <v>4552</v>
      </c>
      <c r="BY363" s="1301" t="s">
        <v>4552</v>
      </c>
      <c r="BZ363" s="1304"/>
      <c r="CA363" s="939"/>
      <c r="DR363" s="939"/>
      <c r="DT363" s="1325"/>
      <c r="DU363" s="1379"/>
      <c r="DV363" s="1376" t="str">
        <f>IF(E363="","",E363)&amp;IF(I363="No",""," (Mant.)")&amp;IF(L363="No",""," (Sme)")&amp;IF(O363="No",""," (SMa)")</f>
        <v/>
      </c>
      <c r="DW363" s="1377"/>
      <c r="DX363" s="1378"/>
      <c r="DY363" s="1324"/>
      <c r="DZ363" s="939"/>
      <c r="EA363" s="1470">
        <f t="shared" si="5"/>
        <v>1</v>
      </c>
    </row>
    <row r="364" spans="1:131" x14ac:dyDescent="0.2">
      <c r="A364" s="939"/>
      <c r="B364" s="939"/>
      <c r="C364" s="4822"/>
      <c r="D364" s="1452" t="s">
        <v>1766</v>
      </c>
      <c r="E364" s="995"/>
      <c r="F364" s="1025"/>
      <c r="G364" s="1437" t="str">
        <f>IF(E364=0,"",VLOOKUP(E364,'Tablas Técnicas'!$A$14:$V$771,3,FALSE))</f>
        <v/>
      </c>
      <c r="H364" s="998" t="str">
        <f>IF($E364=0,"",VLOOKUP($E364,'Tablas Técnicas'!$A$14:$V$771,4,FALSE))</f>
        <v/>
      </c>
      <c r="I364" s="999" t="s">
        <v>1690</v>
      </c>
      <c r="J364" s="1415" t="str">
        <f>IF(E364=0,"",VLOOKUP(E364,'Tablas Técnicas'!$A$14:$V$771,5,FALSE))</f>
        <v/>
      </c>
      <c r="K364" s="1001" t="str">
        <f>IF(I364="Si",IF(E364=0,"",VLOOKUP(E364,'Tablas Técnicas'!$A$14:$V$771,5,FALSE)),"")</f>
        <v/>
      </c>
      <c r="L364" s="999" t="s">
        <v>1690</v>
      </c>
      <c r="M364" s="1415" t="str">
        <f>IF(E364=0,"",VLOOKUP(E364,'Tablas Técnicas'!$A$14:$V$771,6,FALSE))</f>
        <v/>
      </c>
      <c r="N364" s="1002" t="str">
        <f>IF(L364="Si",IF(E364=0,"",VLOOKUP(E364,'Tablas Técnicas'!$A$14:$V$771,6,FALSE)),"")</f>
        <v/>
      </c>
      <c r="O364" s="999" t="s">
        <v>1690</v>
      </c>
      <c r="P364" s="1415" t="str">
        <f>IF(E364=0,"",VLOOKUP(E364,'Tablas Técnicas'!$A$14:$V$771,7,FALSE))</f>
        <v/>
      </c>
      <c r="Q364" s="1002" t="str">
        <f>IF(O364="Si",IF(E364=0,"",VLOOKUP(E364,'Tablas Técnicas'!$A$14:$V$771,7,FALSE)),"")</f>
        <v/>
      </c>
      <c r="R364" s="1000" t="str">
        <f>IF(E364=0,"",VLOOKUP(E364,'Tablas Técnicas'!$A$14:$V$771,8,FALSE))</f>
        <v/>
      </c>
      <c r="S364" s="998" t="str">
        <f>IF(R364=$D$8,$D$8,IF(R364=2,2,IF(R364=3,3,R364)))</f>
        <v/>
      </c>
      <c r="T364" s="4812" t="s">
        <v>4544</v>
      </c>
      <c r="U364" s="4813"/>
      <c r="V364" s="3025"/>
      <c r="W364" s="4814"/>
      <c r="X364" s="4815"/>
      <c r="Y364" s="4815"/>
      <c r="Z364" s="4815"/>
      <c r="AA364" s="4815"/>
      <c r="AB364" s="4815"/>
      <c r="AC364" s="4815"/>
      <c r="AD364" s="4815"/>
      <c r="AE364" s="4815"/>
      <c r="AF364" s="4816"/>
      <c r="AG364" s="4814"/>
      <c r="AH364" s="4815"/>
      <c r="AI364" s="4815"/>
      <c r="AJ364" s="4815"/>
      <c r="AK364" s="4815"/>
      <c r="AL364" s="4815"/>
      <c r="AM364" s="4815"/>
      <c r="AN364" s="4815"/>
      <c r="AO364" s="4815"/>
      <c r="AP364" s="4816"/>
      <c r="AQ364" s="4814"/>
      <c r="AR364" s="4815"/>
      <c r="AS364" s="4815"/>
      <c r="AT364" s="4815"/>
      <c r="AU364" s="4815"/>
      <c r="AV364" s="4815"/>
      <c r="AW364" s="4815"/>
      <c r="AX364" s="4815"/>
      <c r="AY364" s="4815"/>
      <c r="AZ364" s="4816"/>
      <c r="BA364" s="4814"/>
      <c r="BB364" s="4815"/>
      <c r="BC364" s="4815"/>
      <c r="BD364" s="4815"/>
      <c r="BE364" s="4815"/>
      <c r="BF364" s="4815"/>
      <c r="BG364" s="4815"/>
      <c r="BH364" s="4815"/>
      <c r="BI364" s="4815"/>
      <c r="BJ364" s="4816"/>
      <c r="BK364" s="998">
        <f>(SUM(G361:G365)+IF(AF361="",0,AF361)+IF(AP361="",0,AP361)+IF(AZ361="",0,AZ361)+IF(BJ361="",0,BJ361)+SUM(K361:K365)+SUM(N361:N365)+SUM(Q361:Q365))- SUM(V364:BA364)</f>
        <v>0</v>
      </c>
      <c r="BL364" s="1437"/>
      <c r="BM364" s="1438"/>
      <c r="BN364" s="992"/>
      <c r="BO364" s="993"/>
      <c r="BP364" s="978" t="str">
        <f>IF(I364="Si",VLOOKUP($D$8,'Tablas Técnicas'!$E$4:$F$6,2,FALSE),"")</f>
        <v/>
      </c>
      <c r="BQ364" s="979" t="str">
        <f>IF(L364="Si",VLOOKUP($D$8,'Tablas Técnicas'!$I$4:$J$6,2,FALSE),"")</f>
        <v/>
      </c>
      <c r="BR364" s="977" t="str">
        <f>IF(O364="Si",VLOOKUP($D$8,'Tablas Técnicas'!$I$7:$J$9,2,FALSE),"")</f>
        <v/>
      </c>
      <c r="BS364" s="994"/>
      <c r="BT364" s="3028">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356"/>
      <c r="BV364" s="971"/>
      <c r="BW364" s="1026" t="str">
        <f>IF(SUM(BT364:BU364)=0,"N/A",SUM(BT364:BU364))</f>
        <v>N/A</v>
      </c>
      <c r="BX364" s="3028">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26" t="str">
        <f>IF(BX364=0,"N/A",BX364)</f>
        <v>N/A</v>
      </c>
      <c r="BZ364" s="1304"/>
      <c r="CA364" s="939"/>
      <c r="DR364" s="939"/>
      <c r="DT364" s="1325"/>
      <c r="DU364" s="1379"/>
      <c r="DV364" s="1376" t="str">
        <f>IF(E364="","",E364)&amp;IF(I364="No",""," (Mant.)")&amp;IF(L364="No",""," (Sme)")&amp;IF(O364="No",""," (SMa)")</f>
        <v/>
      </c>
      <c r="DW364" s="1377"/>
      <c r="DX364" s="1378"/>
      <c r="DY364" s="1324"/>
      <c r="DZ364" s="939"/>
      <c r="EA364" s="1470">
        <f t="shared" si="5"/>
        <v>1</v>
      </c>
    </row>
    <row r="365" spans="1:131" x14ac:dyDescent="0.2">
      <c r="A365" s="939"/>
      <c r="B365" s="939"/>
      <c r="C365" s="4822"/>
      <c r="D365" s="1453" t="s">
        <v>1766</v>
      </c>
      <c r="E365" s="1003"/>
      <c r="F365" s="1019"/>
      <c r="G365" s="989" t="str">
        <f>IF(E365=0,"",VLOOKUP(E365,'Tablas Técnicas'!$A$14:$V$771,3,FALSE))</f>
        <v/>
      </c>
      <c r="H365" s="1014" t="str">
        <f>IF($E365=0,"",VLOOKUP($E365,'Tablas Técnicas'!$A$14:$V$771,4,FALSE))</f>
        <v/>
      </c>
      <c r="I365" s="987" t="s">
        <v>1690</v>
      </c>
      <c r="J365" s="1418" t="str">
        <f>IF(E365=0,"",VLOOKUP(E365,'Tablas Técnicas'!$A$14:$V$771,5,FALSE))</f>
        <v/>
      </c>
      <c r="K365" s="1015" t="str">
        <f>IF(I365="Si",IF(E365=0,"",VLOOKUP(E365,'Tablas Técnicas'!$A$14:$V$771,5,FALSE)),"")</f>
        <v/>
      </c>
      <c r="L365" s="987" t="s">
        <v>1690</v>
      </c>
      <c r="M365" s="1418" t="str">
        <f>IF(E365=0,"",VLOOKUP(E365,'Tablas Técnicas'!$A$14:$V$771,6,FALSE))</f>
        <v/>
      </c>
      <c r="N365" s="990" t="str">
        <f>IF(L365="Si",IF(E365=0,"",VLOOKUP(E365,'Tablas Técnicas'!$A$14:$V$771,6,FALSE)),"")</f>
        <v/>
      </c>
      <c r="O365" s="987" t="s">
        <v>1690</v>
      </c>
      <c r="P365" s="1418" t="str">
        <f>IF(E365=0,"",VLOOKUP(E365,'Tablas Técnicas'!$A$14:$V$771,7,FALSE))</f>
        <v/>
      </c>
      <c r="Q365" s="990" t="str">
        <f>IF(O365="Si",IF(E365=0,"",VLOOKUP(E365,'Tablas Técnicas'!$A$14:$V$771,7,FALSE)),"")</f>
        <v/>
      </c>
      <c r="R365" s="1035" t="str">
        <f>IF(E365=0,"",VLOOKUP(E365,'Tablas Técnicas'!$A$14:$V$771,8,FALSE))</f>
        <v/>
      </c>
      <c r="S365" s="1004" t="str">
        <f>IF(R365=$D$8,$D$8,IF(R365=2,2,IF(R365=3,3,R365)))</f>
        <v/>
      </c>
      <c r="T365" s="4803" t="s">
        <v>4546</v>
      </c>
      <c r="U365" s="4804"/>
      <c r="V365" s="3032"/>
      <c r="W365" s="4805"/>
      <c r="X365" s="4806"/>
      <c r="Y365" s="4806"/>
      <c r="Z365" s="4806"/>
      <c r="AA365" s="4806"/>
      <c r="AB365" s="4806"/>
      <c r="AC365" s="4806"/>
      <c r="AD365" s="4806"/>
      <c r="AE365" s="4806"/>
      <c r="AF365" s="4807"/>
      <c r="AG365" s="4805"/>
      <c r="AH365" s="4806"/>
      <c r="AI365" s="4806"/>
      <c r="AJ365" s="4806"/>
      <c r="AK365" s="4806"/>
      <c r="AL365" s="4806"/>
      <c r="AM365" s="4806"/>
      <c r="AN365" s="4806"/>
      <c r="AO365" s="4806"/>
      <c r="AP365" s="4807"/>
      <c r="AQ365" s="4805"/>
      <c r="AR365" s="4806"/>
      <c r="AS365" s="4806"/>
      <c r="AT365" s="4806"/>
      <c r="AU365" s="4806"/>
      <c r="AV365" s="4806"/>
      <c r="AW365" s="4806"/>
      <c r="AX365" s="4806"/>
      <c r="AY365" s="4806"/>
      <c r="AZ365" s="4807"/>
      <c r="BA365" s="4805"/>
      <c r="BB365" s="4806"/>
      <c r="BC365" s="4806"/>
      <c r="BD365" s="4806"/>
      <c r="BE365" s="4806"/>
      <c r="BF365" s="4806"/>
      <c r="BG365" s="4806"/>
      <c r="BH365" s="4806"/>
      <c r="BI365" s="4806"/>
      <c r="BJ365" s="4807"/>
      <c r="BK365" s="1014">
        <f>SUM(K361:K365)-SUM(V365:BA365)</f>
        <v>0</v>
      </c>
      <c r="BL365" s="1439"/>
      <c r="BM365" s="1440"/>
      <c r="BN365" s="1008"/>
      <c r="BO365" s="1009"/>
      <c r="BP365" s="1010" t="str">
        <f>IF(I365="Si",VLOOKUP($D$8,'Tablas Técnicas'!$E$4:$F$6,2,FALSE),"")</f>
        <v/>
      </c>
      <c r="BQ365" s="980" t="str">
        <f>IF(L365="Si",VLOOKUP($D$8,'Tablas Técnicas'!$I$4:$J$6,2,FALSE),"")</f>
        <v/>
      </c>
      <c r="BR365" s="1011" t="str">
        <f>IF(O365="Si",VLOOKUP($D$8,'Tablas Técnicas'!$I$7:$J$9,2,FALSE),"")</f>
        <v/>
      </c>
      <c r="BS365" s="994"/>
      <c r="BT365" s="3023" t="s">
        <v>1701</v>
      </c>
      <c r="BU365" s="3024" t="s">
        <v>4550</v>
      </c>
      <c r="BV365" s="971"/>
      <c r="BW365" s="3024" t="s">
        <v>4551</v>
      </c>
      <c r="BX365" s="3023" t="s">
        <v>4552</v>
      </c>
      <c r="BY365" s="1301" t="s">
        <v>4552</v>
      </c>
      <c r="BZ365" s="1304"/>
      <c r="CA365" s="939"/>
      <c r="DR365" s="939"/>
      <c r="DT365" s="1325"/>
      <c r="DU365" s="1379"/>
      <c r="DV365" s="1376" t="str">
        <f>IF(E365="","",E365)&amp;IF(I365="No",""," (Mant.)")&amp;IF(L365="No",""," (Sme)")&amp;IF(O365="No",""," (SMa)")</f>
        <v/>
      </c>
      <c r="DW365" s="1377"/>
      <c r="DX365" s="1378"/>
      <c r="DY365" s="1324"/>
      <c r="DZ365" s="939"/>
      <c r="EA365" s="1470">
        <f t="shared" si="5"/>
        <v>1</v>
      </c>
    </row>
    <row r="366" spans="1:131" x14ac:dyDescent="0.2">
      <c r="A366" s="939"/>
      <c r="B366" s="1403"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822"/>
      <c r="D366" s="1454">
        <v>5</v>
      </c>
      <c r="E366" s="1246"/>
      <c r="F366" s="1016"/>
      <c r="G366" s="1017"/>
      <c r="H366" s="2159">
        <f t="array" ref="H366">IF(AND(OR(ISNUMBER(SEARCH("Empatía Elemental ("&amp;BK361:BM361&amp;")",Principal!$AF$30))),SUM(H361:H365)&gt;=10),-5,0)</f>
        <v>0</v>
      </c>
      <c r="I366" s="1413"/>
      <c r="J366" s="1416"/>
      <c r="K366" s="1017"/>
      <c r="L366" s="1413"/>
      <c r="M366" s="1416"/>
      <c r="N366" s="1017"/>
      <c r="O366" s="1413"/>
      <c r="P366" s="1416"/>
      <c r="Q366" s="1017"/>
      <c r="R366" s="1018"/>
      <c r="S366" s="1017"/>
      <c r="T366" s="1017"/>
      <c r="U366" s="1017"/>
      <c r="V366" s="1017"/>
      <c r="W366" s="1017"/>
      <c r="X366" s="1017"/>
      <c r="Y366" s="1017"/>
      <c r="Z366" s="1017"/>
      <c r="AA366" s="1017"/>
      <c r="AB366" s="1017"/>
      <c r="AC366" s="1017"/>
      <c r="AD366" s="1017"/>
      <c r="AE366" s="1017"/>
      <c r="AF366" s="1017"/>
      <c r="AG366" s="1017"/>
      <c r="AH366" s="1017"/>
      <c r="AI366" s="1017"/>
      <c r="AJ366" s="1017"/>
      <c r="AK366" s="1017"/>
      <c r="AL366" s="1017"/>
      <c r="AM366" s="1017"/>
      <c r="AN366" s="1017"/>
      <c r="AO366" s="1017"/>
      <c r="AP366" s="1017"/>
      <c r="AQ366" s="1017"/>
      <c r="AR366" s="1017"/>
      <c r="AS366" s="1017"/>
      <c r="AT366" s="1017"/>
      <c r="AU366" s="1017"/>
      <c r="AV366" s="1017"/>
      <c r="AW366" s="1017"/>
      <c r="AX366" s="1017"/>
      <c r="AY366" s="1017"/>
      <c r="AZ366" s="1017"/>
      <c r="BA366" s="1017"/>
      <c r="BB366" s="1017"/>
      <c r="BC366" s="1017"/>
      <c r="BD366" s="1017"/>
      <c r="BE366" s="1017"/>
      <c r="BF366" s="1017"/>
      <c r="BG366" s="1017"/>
      <c r="BH366" s="1017"/>
      <c r="BI366" s="1017"/>
      <c r="BJ366" s="1017"/>
      <c r="BK366" s="1017"/>
      <c r="BL366" s="1017"/>
      <c r="BM366" s="1027"/>
      <c r="BN366" s="1028">
        <f>SUM(K366:K369)</f>
        <v>0</v>
      </c>
      <c r="BO366" s="971" t="str">
        <f>IF(E366=0,"",(AF366+AP366+AZ366+BJ366))</f>
        <v/>
      </c>
      <c r="BP366" s="1029" t="str">
        <f>IF(I366="Si",VLOOKUP($D$8,'Tablas Técnicas'!$E$4:$F$6,2,FALSE),"")</f>
        <v/>
      </c>
      <c r="BQ366" s="1030" t="str">
        <f>IF(L366="Si",VLOOKUP($D$8,'Tablas Técnicas'!$I$4:$J$6,2,FALSE),"")</f>
        <v/>
      </c>
      <c r="BR366" s="1028" t="str">
        <f>IF(O366="Si",VLOOKUP($D$8,'Tablas Técnicas'!$I$7:$J$9,2,FALSE),"")</f>
        <v/>
      </c>
      <c r="BS366" s="994"/>
      <c r="BT366" s="3028">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356"/>
      <c r="BV366" s="971"/>
      <c r="BW366" s="1026" t="str">
        <f>IF(SUM(BT366:BU366)=0,"N/A",SUM(BT366:BU366))</f>
        <v>N/A</v>
      </c>
      <c r="BX366" s="3028">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26" t="str">
        <f>IF(BX366=0,"N/A",BX366)</f>
        <v>N/A</v>
      </c>
      <c r="BZ366" s="1304"/>
      <c r="CA366" s="939"/>
      <c r="DR366" s="939"/>
      <c r="DT366" s="1325"/>
      <c r="DU366" s="1379"/>
      <c r="DV366" s="1380"/>
      <c r="DW366" s="1377"/>
      <c r="DX366" s="1378"/>
      <c r="DY366" s="1324"/>
      <c r="DZ366" s="939"/>
      <c r="EA366" s="1470">
        <f t="shared" si="5"/>
        <v>1</v>
      </c>
    </row>
    <row r="367" spans="1:131" ht="12" thickBot="1" x14ac:dyDescent="0.25">
      <c r="A367" s="939"/>
      <c r="B367" s="939"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822"/>
      <c r="D367" s="1453" t="s">
        <v>1766</v>
      </c>
      <c r="E367" s="983"/>
      <c r="F367" s="1019"/>
      <c r="G367" s="989" t="str">
        <f>IF(E367=0,"",VLOOKUP(E367,'Tablas Técnicas'!$A$14:$V$771,3,FALSE))</f>
        <v/>
      </c>
      <c r="H367" s="1031" t="str">
        <f>IF($E367=0,"",VLOOKUP($E367,'Tablas Técnicas'!$A$14:$V$771,4,FALSE))</f>
        <v/>
      </c>
      <c r="I367" s="987" t="s">
        <v>1690</v>
      </c>
      <c r="J367" s="1417" t="str">
        <f>IF(E367=0,"",VLOOKUP(E367,'Tablas Técnicas'!$A$14:$V$771,5,FALSE))</f>
        <v/>
      </c>
      <c r="K367" s="1033" t="str">
        <f>IF(I367="Si",IF(E367=0,"",VLOOKUP(E367,'Tablas Técnicas'!$A$14:$V$771,5,FALSE)),"")</f>
        <v/>
      </c>
      <c r="L367" s="987" t="s">
        <v>1690</v>
      </c>
      <c r="M367" s="1417" t="str">
        <f>IF(E367=0,"",VLOOKUP(E367,'Tablas Técnicas'!$A$14:$V$771,6,FALSE))</f>
        <v/>
      </c>
      <c r="N367" s="990" t="str">
        <f>IF(L367="Si",IF(E367=0,"",VLOOKUP(E367,'Tablas Técnicas'!$A$14:$V$771,6,FALSE)),"")</f>
        <v/>
      </c>
      <c r="O367" s="987" t="s">
        <v>1690</v>
      </c>
      <c r="P367" s="1417" t="str">
        <f>IF(E367=0,"",VLOOKUP(E367,'Tablas Técnicas'!$A$14:$V$771,7,FALSE))</f>
        <v/>
      </c>
      <c r="Q367" s="990" t="str">
        <f>IF(O367="Si",IF(E367=0,"",VLOOKUP(E367,'Tablas Técnicas'!$A$14:$V$771,7,FALSE)),"")</f>
        <v/>
      </c>
      <c r="R367" s="1032" t="str">
        <f>IF(E367=0,"",VLOOKUP(E367,'Tablas Técnicas'!$A$14:$V$771,8,FALSE))</f>
        <v/>
      </c>
      <c r="S367" s="1004" t="str">
        <f>IF(R367=$D$8,$D$8,IF(R367=2,2,IF(R367=3,3,R367)))</f>
        <v/>
      </c>
      <c r="T367" s="1033" t="str">
        <f>IF(E367=0,"",VLOOKUP(E367,'Tablas Técnicas'!$A$14:$V$771,9,FALSE))</f>
        <v/>
      </c>
      <c r="U367" s="1033" t="str">
        <f>IF(E367=0,"",VLOOKUP(E367,'Tablas Técnicas'!$A$14:$V$771,10,FALSE))</f>
        <v/>
      </c>
      <c r="V367" s="1034" t="str">
        <f>IF(E367=0,"",VLOOKUP(E367,'Tablas Técnicas'!$A$14:$V$771,11,FALSE))</f>
        <v/>
      </c>
      <c r="W367" s="987"/>
      <c r="X367" s="988" t="e">
        <f>VLOOKUP(E367,'Tablas Técnicas'!$A$14:$V$771,12,FALSE)</f>
        <v>#N/A</v>
      </c>
      <c r="Y367" s="988" t="e">
        <f>IF(W367=X367,VLOOKUP(E367,'Tablas Técnicas'!$A$14:$V$771,13,FALSE),0)</f>
        <v>#N/A</v>
      </c>
      <c r="Z367" s="988" t="e">
        <f>VLOOKUP(E367,'Tablas Técnicas'!$A$14:$V$771,14,FALSE)</f>
        <v>#N/A</v>
      </c>
      <c r="AA367" s="988" t="e">
        <f>IF(W367=Z367,VLOOKUP(E367,'Tablas Técnicas'!$A$14:$V$616,15,FALSE),0)</f>
        <v>#N/A</v>
      </c>
      <c r="AB367" s="988" t="e">
        <f>VLOOKUP(E367,'Tablas Técnicas'!$A$14:$V$771,16,FALSE)</f>
        <v>#N/A</v>
      </c>
      <c r="AC367" s="988" t="e">
        <f>IF(W367=AB367,VLOOKUP(E367,'Tablas Técnicas'!$A$14:$V$616,17,FALSE),0)</f>
        <v>#N/A</v>
      </c>
      <c r="AD367" s="988" t="e">
        <f>VLOOKUP(E367,'Tablas Técnicas'!$A$14:$V$771,18,FALSE)</f>
        <v>#N/A</v>
      </c>
      <c r="AE367" s="988" t="e">
        <f>IF(W367=AD367,VLOOKUP(E367,'Tablas Técnicas'!$A$14:$V$771,19,FALSE),0)</f>
        <v>#N/A</v>
      </c>
      <c r="AF367" s="1006" t="str">
        <f>IF(E367=0,"",(Y367+AA367+AC367+AE367))</f>
        <v/>
      </c>
      <c r="AG367" s="987"/>
      <c r="AH367" s="1005" t="e">
        <f>VLOOKUP(E367,'Tablas Técnicas'!$A$14:$V$771,12,FALSE)</f>
        <v>#N/A</v>
      </c>
      <c r="AI367" s="1005" t="e">
        <f>IF(AG367=AH367,VLOOKUP(E367,'Tablas Técnicas'!$A$14:$V$771,13,FALSE),0)</f>
        <v>#N/A</v>
      </c>
      <c r="AJ367" s="1005" t="e">
        <f>VLOOKUP(E367,'Tablas Técnicas'!$A$14:$V$771,14,FALSE)</f>
        <v>#N/A</v>
      </c>
      <c r="AK367" s="1005" t="e">
        <f>IF(AG367=AJ367,VLOOKUP(E367,'Tablas Técnicas'!$A$14:$V$771,15,FALSE),0)</f>
        <v>#N/A</v>
      </c>
      <c r="AL367" s="1005" t="e">
        <f>VLOOKUP(E367,'Tablas Técnicas'!$A$14:$V$771,16,FALSE)</f>
        <v>#N/A</v>
      </c>
      <c r="AM367" s="1005" t="e">
        <f>IF(AG367=AL367,VLOOKUP(E367,'Tablas Técnicas'!$A$14:$V$771,17,FALSE),0)</f>
        <v>#N/A</v>
      </c>
      <c r="AN367" s="1005" t="e">
        <f>VLOOKUP(E367,'Tablas Técnicas'!$A$14:$V$771,18,FALSE)</f>
        <v>#N/A</v>
      </c>
      <c r="AO367" s="1005" t="e">
        <f>IF(AG367=AN367,VLOOKUP(E367,'Tablas Técnicas'!$A$14:$V$771,19,FALSE),0)</f>
        <v>#N/A</v>
      </c>
      <c r="AP367" s="3034" t="str">
        <f>IF(E367=0,"",(AI367+AK367+AM367+AO367))</f>
        <v/>
      </c>
      <c r="AQ367" s="987"/>
      <c r="AR367" s="1005" t="e">
        <f>VLOOKUP(E367,'Tablas Técnicas'!$A$14:$V$771,12,FALSE)</f>
        <v>#N/A</v>
      </c>
      <c r="AS367" s="1005" t="e">
        <f>IF(AQ367=AR367,VLOOKUP(E367,'Tablas Técnicas'!$A$14:$V$771,13,FALSE),0)</f>
        <v>#N/A</v>
      </c>
      <c r="AT367" s="1005" t="e">
        <f>VLOOKUP(E367,'Tablas Técnicas'!$A$14:$V$771,14,FALSE)</f>
        <v>#N/A</v>
      </c>
      <c r="AU367" s="1005" t="e">
        <f>IF(AQ367=AT367,VLOOKUP(E367,'Tablas Técnicas'!$A$14:$V$771,15,FALSE),0)</f>
        <v>#N/A</v>
      </c>
      <c r="AV367" s="1005" t="e">
        <f>VLOOKUP(E367,'Tablas Técnicas'!$A$14:$V$771,16,FALSE)</f>
        <v>#N/A</v>
      </c>
      <c r="AW367" s="1005" t="e">
        <f>IF(AQ367=AV367,VLOOKUP(E367,'Tablas Técnicas'!$A$14:$V$771,17,FALSE),0)</f>
        <v>#N/A</v>
      </c>
      <c r="AX367" s="1005" t="e">
        <f>VLOOKUP(E367,'Tablas Técnicas'!$A$14:$V$771,18,FALSE)</f>
        <v>#N/A</v>
      </c>
      <c r="AY367" s="1005" t="e">
        <f>IF(AQ367=AX367,VLOOKUP(E367,'Tablas Técnicas'!$A$14:$V$771,19,FALSE),0)</f>
        <v>#N/A</v>
      </c>
      <c r="AZ367" s="1006" t="str">
        <f>IF(E367=0,"",(AS367+AU367+AW367+AY367))</f>
        <v/>
      </c>
      <c r="BA367" s="987"/>
      <c r="BB367" s="1005" t="e">
        <f>VLOOKUP(E367,'Tablas Técnicas'!$A$14:$V$771,12,FALSE)</f>
        <v>#N/A</v>
      </c>
      <c r="BC367" s="1005" t="e">
        <f>IF(BA367=BB367,VLOOKUP(E367,'Tablas Técnicas'!$A$14:$V$771,13,FALSE),0)</f>
        <v>#N/A</v>
      </c>
      <c r="BD367" s="1005" t="e">
        <f>VLOOKUP(E367,'Tablas Técnicas'!$A$14:$V$771,14,FALSE)</f>
        <v>#N/A</v>
      </c>
      <c r="BE367" s="1005" t="e">
        <f>IF(BA367=BD367,VLOOKUP(E367,'Tablas Técnicas'!$A$14:$V$771,15,FALSE),0)</f>
        <v>#N/A</v>
      </c>
      <c r="BF367" s="1005" t="e">
        <f>VLOOKUP(E367,'Tablas Técnicas'!$A$14:$V$771,16,FALSE)</f>
        <v>#N/A</v>
      </c>
      <c r="BG367" s="1005" t="e">
        <f>IF(BA367=BF367,VLOOKUP(E367,'Tablas Técnicas'!$A$14:$V$771,17,FALSE),0)</f>
        <v>#N/A</v>
      </c>
      <c r="BH367" s="1005" t="e">
        <f>VLOOKUP(E367,'Tablas Técnicas'!$A$14:$V$771,18,FALSE)</f>
        <v>#N/A</v>
      </c>
      <c r="BI367" s="1005" t="e">
        <f>IF(BA367=BH367,VLOOKUP(E367,'Tablas Técnicas'!$A$14:$V$771,19,FALSE),0)</f>
        <v>#N/A</v>
      </c>
      <c r="BJ367" s="3034" t="str">
        <f>IF(E367=0,"",(BC367+BE367+BG367+BI367))</f>
        <v/>
      </c>
      <c r="BK367" s="1033" t="str">
        <f>IF(E367=0,"",VLOOKUP(E367,'Tablas Técnicas'!$A$14:$V$771,20,FALSE))</f>
        <v/>
      </c>
      <c r="BL367" s="1020" t="str">
        <f>IF(E367=0,"",VLOOKUP(E367,'Tablas Técnicas'!$A$14:$V$771,21,FALSE))</f>
        <v/>
      </c>
      <c r="BM367" s="991" t="str">
        <f>IF(E367=0,"",VLOOKUP(E367,'Tablas Técnicas'!$A$14:$V$771,22,FALSE))</f>
        <v/>
      </c>
      <c r="BN367" s="992"/>
      <c r="BO367" s="993"/>
      <c r="BP367" s="978" t="str">
        <f>IF(I367="Si",VLOOKUP($D$8,'Tablas Técnicas'!$E$4:$F$6,2,FALSE),"")</f>
        <v/>
      </c>
      <c r="BQ367" s="979" t="str">
        <f>IF(L367="Si",VLOOKUP($D$8,'Tablas Técnicas'!$I$4:$J$6,2,FALSE),"")</f>
        <v/>
      </c>
      <c r="BR367" s="977" t="str">
        <f>IF(O367="Si",VLOOKUP($D$8,'Tablas Técnicas'!$I$7:$J$9,2,FALSE),"")</f>
        <v/>
      </c>
      <c r="BS367" s="994"/>
      <c r="BU367" s="4777"/>
      <c r="BV367" s="4777"/>
      <c r="BW367" s="4777"/>
      <c r="BX367" s="951"/>
      <c r="BY367" s="1287"/>
      <c r="BZ367" s="1304"/>
      <c r="CA367" s="939"/>
      <c r="DR367" s="939"/>
      <c r="DT367" s="1326"/>
      <c r="DU367" s="1428" t="str">
        <f>DU343&amp;DU344&amp;DU345&amp;DU346&amp;DU347&amp;DU348</f>
        <v/>
      </c>
      <c r="DV367" s="1429" t="str">
        <f>DV343&amp;DV344&amp;DV345&amp;DV346&amp;DV347&amp;DV349&amp;DV350&amp;DV351&amp;DV352&amp;DV353&amp;DV355&amp;DV356&amp;DV357&amp;DV358&amp;DV359&amp;DV361&amp;DV362&amp;DV363&amp;DV364&amp;DV365</f>
        <v/>
      </c>
      <c r="DW367" s="1430" t="str">
        <f>DW343&amp;DW344&amp;DW345</f>
        <v/>
      </c>
      <c r="DX367" s="1431" t="str">
        <f>IF(DX349="",DX343,DX349)</f>
        <v/>
      </c>
      <c r="DY367" s="1327"/>
      <c r="DZ367" s="939"/>
      <c r="EA367" s="1470">
        <f t="shared" si="5"/>
        <v>1</v>
      </c>
    </row>
    <row r="368" spans="1:131" x14ac:dyDescent="0.2">
      <c r="A368" s="939"/>
      <c r="B368" s="939"/>
      <c r="C368" s="4822"/>
      <c r="D368" s="1452" t="s">
        <v>1766</v>
      </c>
      <c r="E368" s="995"/>
      <c r="F368" s="1025"/>
      <c r="G368" s="1437" t="str">
        <f>IF(E368=0,"",VLOOKUP(E368,'Tablas Técnicas'!$A$14:$V$771,3,FALSE))</f>
        <v/>
      </c>
      <c r="H368" s="998" t="str">
        <f>IF($E368=0,"",VLOOKUP($E368,'Tablas Técnicas'!$A$14:$V$771,4,FALSE))</f>
        <v/>
      </c>
      <c r="I368" s="999" t="s">
        <v>1690</v>
      </c>
      <c r="J368" s="1415" t="str">
        <f>IF(E368=0,"",VLOOKUP(E368,'Tablas Técnicas'!$A$14:$V$771,5,FALSE))</f>
        <v/>
      </c>
      <c r="K368" s="1001" t="str">
        <f>IF(I368="Si",IF(E368=0,"",VLOOKUP(E368,'Tablas Técnicas'!$A$14:$V$771,5,FALSE)),"")</f>
        <v/>
      </c>
      <c r="L368" s="999" t="s">
        <v>1690</v>
      </c>
      <c r="M368" s="1415" t="str">
        <f>IF(E368=0,"",VLOOKUP(E368,'Tablas Técnicas'!$A$14:$V$771,6,FALSE))</f>
        <v/>
      </c>
      <c r="N368" s="1002" t="str">
        <f>IF(L368="Si",IF(E368=0,"",VLOOKUP(E368,'Tablas Técnicas'!$A$14:$V$771,6,FALSE)),"")</f>
        <v/>
      </c>
      <c r="O368" s="999" t="s">
        <v>1690</v>
      </c>
      <c r="P368" s="1415" t="str">
        <f>IF(E368=0,"",VLOOKUP(E368,'Tablas Técnicas'!$A$14:$V$771,7,FALSE))</f>
        <v/>
      </c>
      <c r="Q368" s="1002" t="str">
        <f>IF(O368="Si",IF(E368=0,"",VLOOKUP(E368,'Tablas Técnicas'!$A$14:$V$771,7,FALSE)),"")</f>
        <v/>
      </c>
      <c r="R368" s="1000" t="str">
        <f>IF(E368=0,"",VLOOKUP(E368,'Tablas Técnicas'!$A$14:$V$771,8,FALSE))</f>
        <v/>
      </c>
      <c r="S368" s="998" t="str">
        <f>IF(R368=$D$8,$D$8,IF(R368=2,2,IF(R368=3,3,R368)))</f>
        <v/>
      </c>
      <c r="T368" s="4796" t="s">
        <v>4542</v>
      </c>
      <c r="U368" s="4797"/>
      <c r="V368" s="4797"/>
      <c r="W368" s="4797"/>
      <c r="X368" s="4797"/>
      <c r="Y368" s="4797"/>
      <c r="Z368" s="4797"/>
      <c r="AA368" s="4797"/>
      <c r="AB368" s="4797"/>
      <c r="AC368" s="4797"/>
      <c r="AD368" s="4797"/>
      <c r="AE368" s="4797"/>
      <c r="AF368" s="4797"/>
      <c r="AG368" s="4797"/>
      <c r="AH368" s="4797"/>
      <c r="AI368" s="4797"/>
      <c r="AJ368" s="4797"/>
      <c r="AK368" s="4797"/>
      <c r="AL368" s="4797"/>
      <c r="AM368" s="4797"/>
      <c r="AN368" s="4797"/>
      <c r="AO368" s="4797"/>
      <c r="AP368" s="4797"/>
      <c r="AQ368" s="4797"/>
      <c r="AR368" s="4797"/>
      <c r="AS368" s="4797"/>
      <c r="AT368" s="4797"/>
      <c r="AU368" s="4797"/>
      <c r="AV368" s="4797"/>
      <c r="AW368" s="4797"/>
      <c r="AX368" s="4797"/>
      <c r="AY368" s="4797"/>
      <c r="AZ368" s="4797"/>
      <c r="BA368" s="4797"/>
      <c r="BB368" s="4797"/>
      <c r="BC368" s="4797"/>
      <c r="BD368" s="4797"/>
      <c r="BE368" s="4797"/>
      <c r="BF368" s="4797"/>
      <c r="BG368" s="4797"/>
      <c r="BH368" s="4797"/>
      <c r="BI368" s="4797"/>
      <c r="BJ368" s="4797"/>
      <c r="BK368" s="4798"/>
      <c r="BL368" s="1437"/>
      <c r="BM368" s="1438"/>
      <c r="BN368" s="992"/>
      <c r="BO368" s="993"/>
      <c r="BP368" s="978" t="str">
        <f>IF(I368="Si",VLOOKUP($D$8,'Tablas Técnicas'!$E$4:$F$6,2,FALSE),"")</f>
        <v/>
      </c>
      <c r="BQ368" s="979" t="str">
        <f>IF(L368="Si",VLOOKUP($D$8,'Tablas Técnicas'!$I$4:$J$6,2,FALSE),"")</f>
        <v/>
      </c>
      <c r="BR368" s="977" t="str">
        <f>IF(O368="Si",VLOOKUP($D$8,'Tablas Técnicas'!$I$7:$J$9,2,FALSE),"")</f>
        <v/>
      </c>
      <c r="BS368" s="994"/>
      <c r="BT368" s="1036"/>
      <c r="BU368" s="1074"/>
      <c r="BV368" s="1074"/>
      <c r="BW368" s="1074"/>
      <c r="BX368" s="951"/>
      <c r="BY368" s="1286"/>
      <c r="BZ368" s="1304"/>
      <c r="CA368" s="939"/>
      <c r="DR368" s="939"/>
      <c r="DT368" s="1325"/>
      <c r="DU368" s="1377"/>
      <c r="DV368" s="1376" t="str">
        <f>IF(E368="","",E368)&amp;IF(I368="No",""," (Mant.)")&amp;IF(L368="No",""," (Sme)")&amp;IF(O368="No",""," (SMa)")</f>
        <v/>
      </c>
      <c r="DW368" s="1377"/>
      <c r="DX368" s="1377"/>
      <c r="DY368" s="1324"/>
      <c r="DZ368" s="939"/>
      <c r="EA368" s="1470">
        <f t="shared" si="5"/>
        <v>1</v>
      </c>
    </row>
    <row r="369" spans="1:131" x14ac:dyDescent="0.2">
      <c r="A369" s="939"/>
      <c r="B369" s="939"/>
      <c r="C369" s="4822"/>
      <c r="D369" s="1453" t="s">
        <v>1766</v>
      </c>
      <c r="E369" s="1003"/>
      <c r="F369" s="1019"/>
      <c r="G369" s="989" t="str">
        <f>IF(E369=0,"",VLOOKUP(E369,'Tablas Técnicas'!$A$14:$V$771,3,FALSE))</f>
        <v/>
      </c>
      <c r="H369" s="3033" t="str">
        <f>IF($E369=0,"",VLOOKUP($E369,'Tablas Técnicas'!$A$14:$V$771,4,FALSE))</f>
        <v/>
      </c>
      <c r="I369" s="987" t="s">
        <v>1690</v>
      </c>
      <c r="J369" s="1411" t="str">
        <f>IF(E369=0,"",VLOOKUP(E369,'Tablas Técnicas'!$A$14:$V$771,5,FALSE))</f>
        <v/>
      </c>
      <c r="K369" s="1006" t="str">
        <f>IF(I369="Si",IF(E369=0,"",VLOOKUP(E369,'Tablas Técnicas'!$A$14:$V$771,5,FALSE)),"")</f>
        <v/>
      </c>
      <c r="L369" s="987" t="s">
        <v>1690</v>
      </c>
      <c r="M369" s="1411" t="str">
        <f>IF(E369=0,"",VLOOKUP(E369,'Tablas Técnicas'!$A$14:$V$771,6,FALSE))</f>
        <v/>
      </c>
      <c r="N369" s="990" t="str">
        <f>IF(L369="Si",IF(E369=0,"",VLOOKUP(E369,'Tablas Técnicas'!$A$14:$V$771,6,FALSE)),"")</f>
        <v/>
      </c>
      <c r="O369" s="987" t="s">
        <v>1690</v>
      </c>
      <c r="P369" s="1411" t="str">
        <f>IF(E369=0,"",VLOOKUP(E369,'Tablas Técnicas'!$A$14:$V$771,7,FALSE))</f>
        <v/>
      </c>
      <c r="Q369" s="990" t="str">
        <f>IF(O369="Si",IF(E369=0,"",VLOOKUP(E369,'Tablas Técnicas'!$A$14:$V$771,7,FALSE)),"")</f>
        <v/>
      </c>
      <c r="R369" s="1005" t="str">
        <f>IF(E369=0,"",VLOOKUP(E369,'Tablas Técnicas'!$A$14:$V$771,8,FALSE))</f>
        <v/>
      </c>
      <c r="S369" s="3033" t="str">
        <f>IF(R369=$D$8,$D$8,IF(R369=2,2,IF(R369=3,3,R369)))</f>
        <v/>
      </c>
      <c r="T369" s="4809"/>
      <c r="U369" s="4810"/>
      <c r="V369" s="3029" t="str">
        <f>IF(OR(V367=0,V367=""),"N/A",V367)</f>
        <v>N/A</v>
      </c>
      <c r="W369" s="4809" t="str">
        <f xml:space="preserve"> IF(OR(AF367=0,AF367=""),"N/A",W367)</f>
        <v>N/A</v>
      </c>
      <c r="X369" s="4811"/>
      <c r="Y369" s="4811"/>
      <c r="Z369" s="4811"/>
      <c r="AA369" s="4811"/>
      <c r="AB369" s="4811"/>
      <c r="AC369" s="4811"/>
      <c r="AD369" s="4811"/>
      <c r="AE369" s="4811"/>
      <c r="AF369" s="4810"/>
      <c r="AG369" s="4809" t="str">
        <f xml:space="preserve"> IF(OR(AP367="",AP367=0),"N/A",AG367)</f>
        <v>N/A</v>
      </c>
      <c r="AH369" s="4811"/>
      <c r="AI369" s="4811"/>
      <c r="AJ369" s="4811"/>
      <c r="AK369" s="4811"/>
      <c r="AL369" s="4811"/>
      <c r="AM369" s="4811"/>
      <c r="AN369" s="4811"/>
      <c r="AO369" s="4811"/>
      <c r="AP369" s="4810"/>
      <c r="AQ369" s="4809" t="str">
        <f xml:space="preserve"> IF(OR(AZ367="",AZ367=0),"N/A",AQ367)</f>
        <v>N/A</v>
      </c>
      <c r="AR369" s="4811"/>
      <c r="AS369" s="4811"/>
      <c r="AT369" s="4811"/>
      <c r="AU369" s="4811"/>
      <c r="AV369" s="4811"/>
      <c r="AW369" s="4811"/>
      <c r="AX369" s="4811"/>
      <c r="AY369" s="4811"/>
      <c r="AZ369" s="4810"/>
      <c r="BA369" s="4809" t="str">
        <f xml:space="preserve"> IF(OR(BJ367="",BJ367=0),"N/A",BA367)</f>
        <v>N/A</v>
      </c>
      <c r="BB369" s="4811"/>
      <c r="BC369" s="4811"/>
      <c r="BD369" s="4811"/>
      <c r="BE369" s="4811"/>
      <c r="BF369" s="4811"/>
      <c r="BG369" s="4811"/>
      <c r="BH369" s="4811"/>
      <c r="BI369" s="4811"/>
      <c r="BJ369" s="4810"/>
      <c r="BK369" s="1007" t="s">
        <v>4543</v>
      </c>
      <c r="BL369" s="989"/>
      <c r="BM369" s="1024"/>
      <c r="BN369" s="1008"/>
      <c r="BO369" s="1009"/>
      <c r="BP369" s="1010" t="str">
        <f>IF(I369="Si",VLOOKUP($D$8,'Tablas Técnicas'!$E$4:$F$6,2,FALSE),"")</f>
        <v/>
      </c>
      <c r="BQ369" s="980" t="str">
        <f>IF(L369="Si",VLOOKUP($D$8,'Tablas Técnicas'!$I$4:$J$6,2,FALSE),"")</f>
        <v/>
      </c>
      <c r="BR369" s="1011" t="str">
        <f>IF(O369="Si",VLOOKUP($D$8,'Tablas Técnicas'!$I$7:$J$9,2,FALSE),"")</f>
        <v/>
      </c>
      <c r="BS369" s="994"/>
      <c r="BU369" s="4776"/>
      <c r="BV369" s="4776"/>
      <c r="BW369" s="4776"/>
      <c r="BX369" s="951"/>
      <c r="BY369" s="1286"/>
      <c r="BZ369" s="1304"/>
      <c r="CA369" s="939"/>
      <c r="DR369" s="939"/>
      <c r="DT369" s="1325"/>
      <c r="DU369" s="1377"/>
      <c r="DV369" s="1376" t="str">
        <f>IF(E369="","",E369)&amp;IF(I369="No",""," (Mant.)")&amp;IF(L369="No",""," (Sme)")&amp;IF(O369="No",""," (SMa)")</f>
        <v/>
      </c>
      <c r="DW369" s="1377"/>
      <c r="DX369" s="1377"/>
      <c r="DY369" s="1324"/>
      <c r="DZ369" s="939"/>
      <c r="EA369" s="1470">
        <f t="shared" si="5"/>
        <v>1</v>
      </c>
    </row>
    <row r="370" spans="1:131" x14ac:dyDescent="0.2">
      <c r="A370" s="939"/>
      <c r="B370" s="939"/>
      <c r="C370" s="4822"/>
      <c r="D370" s="1452" t="s">
        <v>1766</v>
      </c>
      <c r="E370" s="995"/>
      <c r="F370" s="1025"/>
      <c r="G370" s="1437" t="str">
        <f>IF(E370=0,"",VLOOKUP(E370,'Tablas Técnicas'!$A$14:$V$771,3,FALSE))</f>
        <v/>
      </c>
      <c r="H370" s="998" t="str">
        <f>IF($E370=0,"",VLOOKUP($E370,'Tablas Técnicas'!$A$14:$V$771,4,FALSE))</f>
        <v/>
      </c>
      <c r="I370" s="999" t="s">
        <v>1690</v>
      </c>
      <c r="J370" s="1415" t="str">
        <f>IF(E370=0,"",VLOOKUP(E370,'Tablas Técnicas'!$A$14:$V$771,5,FALSE))</f>
        <v/>
      </c>
      <c r="K370" s="1001" t="str">
        <f>IF(I370="Si",IF(E370=0,"",VLOOKUP(E370,'Tablas Técnicas'!$A$14:$V$771,5,FALSE)),"")</f>
        <v/>
      </c>
      <c r="L370" s="999" t="s">
        <v>1690</v>
      </c>
      <c r="M370" s="1415" t="str">
        <f>IF(E370=0,"",VLOOKUP(E370,'Tablas Técnicas'!$A$14:$V$771,6,FALSE))</f>
        <v/>
      </c>
      <c r="N370" s="1002" t="str">
        <f>IF(L370="Si",IF(E370=0,"",VLOOKUP(E370,'Tablas Técnicas'!$A$14:$V$771,6,FALSE)),"")</f>
        <v/>
      </c>
      <c r="O370" s="999" t="s">
        <v>1690</v>
      </c>
      <c r="P370" s="1415" t="str">
        <f>IF(E370=0,"",VLOOKUP(E370,'Tablas Técnicas'!$A$14:$V$771,7,FALSE))</f>
        <v/>
      </c>
      <c r="Q370" s="1002" t="str">
        <f>IF(O370="Si",IF(E370=0,"",VLOOKUP(E370,'Tablas Técnicas'!$A$14:$V$771,7,FALSE)),"")</f>
        <v/>
      </c>
      <c r="R370" s="1000" t="str">
        <f>IF(E370=0,"",VLOOKUP(E370,'Tablas Técnicas'!$A$14:$V$771,8,FALSE))</f>
        <v/>
      </c>
      <c r="S370" s="998" t="str">
        <f>IF(R370=$D$8,$D$8,IF(R370=2,2,IF(R370=3,3,R370)))</f>
        <v/>
      </c>
      <c r="T370" s="4812" t="s">
        <v>4544</v>
      </c>
      <c r="U370" s="4813"/>
      <c r="V370" s="3025"/>
      <c r="W370" s="4814"/>
      <c r="X370" s="4815"/>
      <c r="Y370" s="4815"/>
      <c r="Z370" s="4815"/>
      <c r="AA370" s="4815"/>
      <c r="AB370" s="4815"/>
      <c r="AC370" s="4815"/>
      <c r="AD370" s="4815"/>
      <c r="AE370" s="4815"/>
      <c r="AF370" s="4816"/>
      <c r="AG370" s="4814"/>
      <c r="AH370" s="4815"/>
      <c r="AI370" s="4815"/>
      <c r="AJ370" s="4815"/>
      <c r="AK370" s="4815"/>
      <c r="AL370" s="4815"/>
      <c r="AM370" s="4815"/>
      <c r="AN370" s="4815"/>
      <c r="AO370" s="4815"/>
      <c r="AP370" s="4816"/>
      <c r="AQ370" s="4814"/>
      <c r="AR370" s="4815"/>
      <c r="AS370" s="4815"/>
      <c r="AT370" s="4815"/>
      <c r="AU370" s="4815"/>
      <c r="AV370" s="4815"/>
      <c r="AW370" s="4815"/>
      <c r="AX370" s="4815"/>
      <c r="AY370" s="4815"/>
      <c r="AZ370" s="4816"/>
      <c r="BA370" s="4814"/>
      <c r="BB370" s="4815"/>
      <c r="BC370" s="4815"/>
      <c r="BD370" s="4815"/>
      <c r="BE370" s="4815"/>
      <c r="BF370" s="4815"/>
      <c r="BG370" s="4815"/>
      <c r="BH370" s="4815"/>
      <c r="BI370" s="4815"/>
      <c r="BJ370" s="4816"/>
      <c r="BK370" s="998">
        <f>(SUM(G367:G371)+IF(AF367="",0,AF367)+IF(AP367="",0,AP367)+IF(AZ367="",0,AZ367)+IF(BJ367="",0,BJ367)+SUM(K367:K371)+SUM(N367:N371)+SUM(Q367:Q371))- SUM(V370:BA370)</f>
        <v>0</v>
      </c>
      <c r="BL370" s="1437"/>
      <c r="BM370" s="1438"/>
      <c r="BN370" s="992"/>
      <c r="BO370" s="993"/>
      <c r="BP370" s="978" t="str">
        <f>IF(I370="Si",VLOOKUP($D$8,'Tablas Técnicas'!$E$4:$F$6,2,FALSE),"")</f>
        <v/>
      </c>
      <c r="BQ370" s="979" t="str">
        <f>IF(L370="Si",VLOOKUP($D$8,'Tablas Técnicas'!$I$4:$J$6,2,FALSE),"")</f>
        <v/>
      </c>
      <c r="BR370" s="977" t="str">
        <f>IF(O370="Si",VLOOKUP($D$8,'Tablas Técnicas'!$I$7:$J$9,2,FALSE),"")</f>
        <v/>
      </c>
      <c r="BS370" s="994"/>
      <c r="BU370" s="1074"/>
      <c r="BV370" s="1074"/>
      <c r="BW370" s="1074"/>
      <c r="BX370" s="951"/>
      <c r="BY370" s="1286"/>
      <c r="BZ370" s="1304"/>
      <c r="CA370" s="943"/>
      <c r="DR370" s="943"/>
      <c r="DT370" s="1325"/>
      <c r="DU370" s="1432"/>
      <c r="DV370" s="1376" t="str">
        <f>IF(E370="","",E370)&amp;IF(I370="No",""," (Mant.)")&amp;IF(L370="No",""," (Sme)")&amp;IF(O370="No",""," (SMa)")</f>
        <v/>
      </c>
      <c r="DW370" s="1432"/>
      <c r="DX370" s="1432"/>
      <c r="DY370" s="1324"/>
      <c r="DZ370" s="943"/>
      <c r="EA370" s="1470">
        <f t="shared" si="5"/>
        <v>1</v>
      </c>
    </row>
    <row r="371" spans="1:131" x14ac:dyDescent="0.2">
      <c r="A371" s="939"/>
      <c r="B371" s="939"/>
      <c r="C371" s="4822"/>
      <c r="D371" s="1453" t="s">
        <v>1766</v>
      </c>
      <c r="E371" s="1003"/>
      <c r="F371" s="1019"/>
      <c r="G371" s="989" t="str">
        <f>IF(E371=0,"",VLOOKUP(E371,'Tablas Técnicas'!$A$14:$V$771,3,FALSE))</f>
        <v/>
      </c>
      <c r="H371" s="1004" t="str">
        <f>IF($E371=0,"",VLOOKUP($E371,'Tablas Técnicas'!$A$14:$V$771,4,FALSE))</f>
        <v/>
      </c>
      <c r="I371" s="987" t="s">
        <v>1690</v>
      </c>
      <c r="J371" s="1411" t="str">
        <f>IF(E371=0,"",VLOOKUP(E371,'Tablas Técnicas'!$A$14:$V$771,5,FALSE))</f>
        <v/>
      </c>
      <c r="K371" s="1006" t="str">
        <f>IF(I371="Si",IF(E371=0,"",VLOOKUP(E371,'Tablas Técnicas'!$A$14:$V$771,5,FALSE)),"")</f>
        <v/>
      </c>
      <c r="L371" s="987" t="s">
        <v>1690</v>
      </c>
      <c r="M371" s="1411" t="str">
        <f>IF(E371=0,"",VLOOKUP(E371,'Tablas Técnicas'!$A$14:$V$771,6,FALSE))</f>
        <v/>
      </c>
      <c r="N371" s="990" t="str">
        <f>IF(L371="Si",IF(E371=0,"",VLOOKUP(E371,'Tablas Técnicas'!$A$14:$V$771,6,FALSE)),"")</f>
        <v/>
      </c>
      <c r="O371" s="987" t="s">
        <v>1690</v>
      </c>
      <c r="P371" s="1411" t="str">
        <f>IF(E371=0,"",VLOOKUP(E371,'Tablas Técnicas'!$A$14:$V$771,7,FALSE))</f>
        <v/>
      </c>
      <c r="Q371" s="990" t="str">
        <f>IF(O371="Si",IF(E371=0,"",VLOOKUP(E371,'Tablas Técnicas'!$A$14:$V$771,7,FALSE)),"")</f>
        <v/>
      </c>
      <c r="R371" s="1005" t="str">
        <f>IF(E371=0,"",VLOOKUP(E371,'Tablas Técnicas'!$A$14:$V$771,8,FALSE))</f>
        <v/>
      </c>
      <c r="S371" s="1004" t="str">
        <f>IF(R371=$D$8,$D$8,IF(R371=2,2,IF(R371=3,3,R371)))</f>
        <v/>
      </c>
      <c r="T371" s="4817" t="s">
        <v>4546</v>
      </c>
      <c r="U371" s="4818"/>
      <c r="V371" s="3035"/>
      <c r="W371" s="4819"/>
      <c r="X371" s="4820"/>
      <c r="Y371" s="4820"/>
      <c r="Z371" s="4820"/>
      <c r="AA371" s="4820"/>
      <c r="AB371" s="4820"/>
      <c r="AC371" s="4820"/>
      <c r="AD371" s="4820"/>
      <c r="AE371" s="4820"/>
      <c r="AF371" s="4821"/>
      <c r="AG371" s="4819"/>
      <c r="AH371" s="4820"/>
      <c r="AI371" s="4820"/>
      <c r="AJ371" s="4820"/>
      <c r="AK371" s="4820"/>
      <c r="AL371" s="4820"/>
      <c r="AM371" s="4820"/>
      <c r="AN371" s="4820"/>
      <c r="AO371" s="4820"/>
      <c r="AP371" s="4821"/>
      <c r="AQ371" s="4819"/>
      <c r="AR371" s="4820"/>
      <c r="AS371" s="4820"/>
      <c r="AT371" s="4820"/>
      <c r="AU371" s="4820"/>
      <c r="AV371" s="4820"/>
      <c r="AW371" s="4820"/>
      <c r="AX371" s="4820"/>
      <c r="AY371" s="4820"/>
      <c r="AZ371" s="4821"/>
      <c r="BA371" s="4819"/>
      <c r="BB371" s="4820"/>
      <c r="BC371" s="4820"/>
      <c r="BD371" s="4820"/>
      <c r="BE371" s="4820"/>
      <c r="BF371" s="4820"/>
      <c r="BG371" s="4820"/>
      <c r="BH371" s="4820"/>
      <c r="BI371" s="4820"/>
      <c r="BJ371" s="4821"/>
      <c r="BK371" s="1004">
        <f>SUM(K367:K371)-SUM(V371:BA371)</f>
        <v>0</v>
      </c>
      <c r="BL371" s="989"/>
      <c r="BM371" s="1024"/>
      <c r="BN371" s="1008"/>
      <c r="BO371" s="1009"/>
      <c r="BP371" s="1010" t="str">
        <f>IF(I371="Si",VLOOKUP($D$8,'Tablas Técnicas'!$E$4:$F$6,2,FALSE),"")</f>
        <v/>
      </c>
      <c r="BQ371" s="980" t="str">
        <f>IF(L371="Si",VLOOKUP($D$8,'Tablas Técnicas'!$I$4:$J$6,2,FALSE),"")</f>
        <v/>
      </c>
      <c r="BR371" s="1011" t="str">
        <f>IF(O371="Si",VLOOKUP($D$8,'Tablas Técnicas'!$I$7:$J$9,2,FALSE),"")</f>
        <v/>
      </c>
      <c r="BS371" s="994"/>
      <c r="BU371" s="1074"/>
      <c r="BV371" s="1074"/>
      <c r="BW371" s="1074"/>
      <c r="BX371" s="951"/>
      <c r="BY371" s="1286"/>
      <c r="BZ371" s="1304"/>
      <c r="CA371" s="939"/>
      <c r="DR371" s="939"/>
      <c r="DT371" s="1325"/>
      <c r="DU371" s="1377"/>
      <c r="DV371" s="1376" t="str">
        <f>IF(E371="","",E371)&amp;IF(I371="No",""," (Mant.)")&amp;IF(L371="No",""," (Sme)")&amp;IF(O371="No",""," (SMa)")</f>
        <v/>
      </c>
      <c r="DW371" s="1377"/>
      <c r="DX371" s="1377"/>
      <c r="DY371" s="1324"/>
      <c r="DZ371" s="939"/>
      <c r="EA371" s="1470">
        <f t="shared" si="5"/>
        <v>1</v>
      </c>
    </row>
    <row r="372" spans="1:131" x14ac:dyDescent="0.2">
      <c r="A372" s="939"/>
      <c r="B372" s="939"/>
      <c r="C372" s="4822"/>
      <c r="D372" s="1455"/>
      <c r="E372" s="1404" t="s">
        <v>4553</v>
      </c>
      <c r="F372" s="1016"/>
      <c r="G372" s="1017"/>
      <c r="H372" s="2159">
        <f t="array" ref="H372">IF(AND(OR(ISNUMBER(SEARCH("Empatía Elemental ("&amp;BK367:BM367&amp;")",Principal!$AF$30))),SUM(H367:H371)&gt;=10),-5,0)</f>
        <v>0</v>
      </c>
      <c r="I372" s="1017"/>
      <c r="J372" s="1018"/>
      <c r="K372" s="1017"/>
      <c r="L372" s="1017"/>
      <c r="M372" s="1018"/>
      <c r="N372" s="1017"/>
      <c r="O372" s="1017"/>
      <c r="P372" s="1018"/>
      <c r="Q372" s="1017"/>
      <c r="R372" s="1018"/>
      <c r="S372" s="1017"/>
      <c r="T372" s="1017"/>
      <c r="U372" s="1037"/>
      <c r="V372" s="1037"/>
      <c r="W372" s="1037"/>
      <c r="X372" s="1037"/>
      <c r="Y372" s="1037"/>
      <c r="Z372" s="1037"/>
      <c r="AA372" s="1037"/>
      <c r="AB372" s="1037"/>
      <c r="AC372" s="1037"/>
      <c r="AD372" s="1037"/>
      <c r="AE372" s="1037"/>
      <c r="AF372" s="1037"/>
      <c r="AG372" s="1037"/>
      <c r="AH372" s="1037"/>
      <c r="AI372" s="1037"/>
      <c r="AJ372" s="1037"/>
      <c r="AK372" s="1037"/>
      <c r="AL372" s="1037"/>
      <c r="AM372" s="1037"/>
      <c r="AN372" s="1037"/>
      <c r="AO372" s="1037"/>
      <c r="AP372" s="1037"/>
      <c r="AQ372" s="1037"/>
      <c r="AR372" s="1037"/>
      <c r="AS372" s="1037"/>
      <c r="AT372" s="1037"/>
      <c r="AU372" s="1037"/>
      <c r="AV372" s="1037"/>
      <c r="AW372" s="1037"/>
      <c r="AX372" s="1037"/>
      <c r="AY372" s="1037"/>
      <c r="AZ372" s="1037"/>
      <c r="BA372" s="1037"/>
      <c r="BB372" s="1037"/>
      <c r="BC372" s="1037"/>
      <c r="BD372" s="1037"/>
      <c r="BE372" s="1037"/>
      <c r="BF372" s="1037"/>
      <c r="BG372" s="1037"/>
      <c r="BH372" s="1037"/>
      <c r="BI372" s="1037"/>
      <c r="BJ372" s="1037"/>
      <c r="BK372" s="4802"/>
      <c r="BL372" s="4802"/>
      <c r="BM372" s="4767"/>
      <c r="BN372" s="977">
        <f>SUM(K372:K375)</f>
        <v>0</v>
      </c>
      <c r="BO372" s="971">
        <f>IF(E372=0,"",(AF372+AP372+AZ372+BJ372))</f>
        <v>0</v>
      </c>
      <c r="BP372" s="978" t="str">
        <f>IF(I372="Si",VLOOKUP($D$8,'Tablas Técnicas'!$E$4:$F$6,2,FALSE),"")</f>
        <v/>
      </c>
      <c r="BQ372" s="979" t="str">
        <f>IF(L372="Si",VLOOKUP($D$8,'Tablas Técnicas'!$I$4:$J$6,2,FALSE),"")</f>
        <v/>
      </c>
      <c r="BR372" s="977" t="str">
        <f>IF(O372="Si",VLOOKUP($D$8,'Tablas Técnicas'!$I$7:$J$9,2,FALSE),"")</f>
        <v/>
      </c>
      <c r="BS372" s="994"/>
      <c r="BT372" s="4766" t="s">
        <v>4555</v>
      </c>
      <c r="BU372" s="4767"/>
      <c r="BV372" s="971"/>
      <c r="BW372" s="951"/>
      <c r="BX372" s="951"/>
      <c r="BY372" s="1286"/>
      <c r="BZ372" s="1304"/>
      <c r="CA372" s="939"/>
      <c r="DR372" s="939"/>
      <c r="DT372" s="1325"/>
      <c r="DU372" s="1377"/>
      <c r="DV372" s="1377"/>
      <c r="DW372" s="1377"/>
      <c r="DX372" s="1377"/>
      <c r="DY372" s="1324"/>
      <c r="DZ372" s="939"/>
      <c r="EA372" s="1470">
        <f t="shared" si="5"/>
        <v>1</v>
      </c>
    </row>
    <row r="373" spans="1:131" ht="12" x14ac:dyDescent="0.2">
      <c r="A373" s="939"/>
      <c r="B373" s="939"/>
      <c r="C373" s="4822"/>
      <c r="D373" s="1456" t="s">
        <v>4554</v>
      </c>
      <c r="E373" s="983"/>
      <c r="F373" s="1006"/>
      <c r="G373" s="1006"/>
      <c r="H373" s="1004" t="str">
        <f>IF(D341=0,"",IF(E373=0,"",VLOOKUP(E373,'Tablas Técnicas'!$A$14:$V$771,4,FALSE)))</f>
        <v/>
      </c>
      <c r="I373" s="1006"/>
      <c r="J373" s="1006"/>
      <c r="K373" s="1038"/>
      <c r="L373" s="1006"/>
      <c r="M373" s="1006"/>
      <c r="N373" s="1038"/>
      <c r="O373" s="1006"/>
      <c r="P373" s="1006"/>
      <c r="Q373" s="1006"/>
      <c r="R373" s="1005" t="str">
        <f>IF(E373=0,"",VLOOKUP(E373,'Tablas Técnicas'!$A$14:$V$771,8,FALSE))</f>
        <v/>
      </c>
      <c r="S373" s="1031" t="str">
        <f>IF(R373=$D$8,$D$8,IF(R373=2,2,IF(R373=3,3,R373)))</f>
        <v/>
      </c>
      <c r="T373" s="1006" t="str">
        <f>IF(E373=0,"",VLOOKUP(E373,'Tablas Técnicas'!$A$14:$V$771,9,FALSE))</f>
        <v/>
      </c>
      <c r="U373" s="1033" t="str">
        <f>IF(E373=0,"",VLOOKUP(E373,'Tablas Técnicas'!$A$14:$V$771,10,FALSE))</f>
        <v/>
      </c>
      <c r="V373" s="1034"/>
      <c r="W373" s="1034"/>
      <c r="X373" s="1033"/>
      <c r="Y373" s="1033"/>
      <c r="Z373" s="1033"/>
      <c r="AA373" s="1033"/>
      <c r="AB373" s="1033"/>
      <c r="AC373" s="1033"/>
      <c r="AD373" s="1033"/>
      <c r="AE373" s="1033"/>
      <c r="AF373" s="1033"/>
      <c r="AG373" s="4799" t="str">
        <f>IF(OR(E373='Tablas Técnicas'!A$678,E373='Tablas Técnicas'!A$679,E374='Tablas Técnicas'!A$678,E374='Tablas Técnicas'!A$679,E375='Tablas Técnicas'!A$678,E375='Tablas Técnicas'!A$679),"Selecciona la atadura elemental:","")</f>
        <v/>
      </c>
      <c r="AH373" s="4800"/>
      <c r="AI373" s="4800"/>
      <c r="AJ373" s="4800"/>
      <c r="AK373" s="4800"/>
      <c r="AL373" s="4800"/>
      <c r="AM373" s="4800"/>
      <c r="AN373" s="4800"/>
      <c r="AO373" s="4800"/>
      <c r="AP373" s="4800"/>
      <c r="AQ373" s="4800"/>
      <c r="AR373" s="4800"/>
      <c r="AS373" s="4800"/>
      <c r="AT373" s="4800"/>
      <c r="AU373" s="4800"/>
      <c r="AV373" s="4800"/>
      <c r="AW373" s="4800"/>
      <c r="AX373" s="4800"/>
      <c r="AY373" s="4800"/>
      <c r="AZ373" s="4800"/>
      <c r="BA373" s="4800"/>
      <c r="BB373" s="4800"/>
      <c r="BC373" s="4800"/>
      <c r="BD373" s="4800"/>
      <c r="BE373" s="4800"/>
      <c r="BF373" s="4800"/>
      <c r="BG373" s="4800"/>
      <c r="BH373" s="4800"/>
      <c r="BI373" s="4800"/>
      <c r="BJ373" s="4800"/>
      <c r="BK373" s="4801"/>
      <c r="BL373" s="1441"/>
      <c r="BM373" s="1441"/>
      <c r="BN373" s="1006"/>
      <c r="BO373" s="1006"/>
      <c r="BP373" s="1038"/>
      <c r="BQ373" s="1006"/>
      <c r="BR373" s="1006"/>
      <c r="BS373" s="1006"/>
      <c r="BT373" s="4768">
        <f>D341</f>
        <v>1</v>
      </c>
      <c r="BU373" s="4769"/>
      <c r="BV373" s="971">
        <f>IF(BV372=0,0,VLOOKUP(BV372,'Tablas Técnicas'!$M$4:$N$7,2,FALSE))</f>
        <v>0</v>
      </c>
      <c r="BW373" s="951"/>
      <c r="BX373" s="951"/>
      <c r="BY373" s="1286"/>
      <c r="BZ373" s="1304"/>
      <c r="CA373" s="939"/>
      <c r="DR373" s="939"/>
      <c r="DT373" s="1325"/>
      <c r="DU373" s="1377"/>
      <c r="DV373" s="1377"/>
      <c r="DW373" s="1377"/>
      <c r="DX373" s="1377"/>
      <c r="DY373" s="1324"/>
      <c r="DZ373" s="939"/>
      <c r="EA373" s="1470">
        <f t="shared" si="5"/>
        <v>1</v>
      </c>
    </row>
    <row r="374" spans="1:131" x14ac:dyDescent="0.2">
      <c r="A374" s="939"/>
      <c r="B374" s="939"/>
      <c r="C374" s="4822"/>
      <c r="D374" s="1452" t="s">
        <v>4556</v>
      </c>
      <c r="E374" s="1039"/>
      <c r="F374" s="1405"/>
      <c r="G374" s="1406"/>
      <c r="H374" s="996" t="str">
        <f>IF(VALUE(D341)&gt;1,IF(E374=0,"",VLOOKUP(E374,'Tablas Técnicas'!$A$14:$V$771,4,FALSE)),"")</f>
        <v/>
      </c>
      <c r="I374" s="1405"/>
      <c r="J374" s="1406"/>
      <c r="K374" s="1406"/>
      <c r="L374" s="1405"/>
      <c r="M374" s="1406"/>
      <c r="N374" s="1407"/>
      <c r="O374" s="1406"/>
      <c r="P374" s="1406"/>
      <c r="Q374" s="1406"/>
      <c r="R374" s="1000" t="str">
        <f>IF(E374=0,"",VLOOKUP(E374,'Tablas Técnicas'!$A$14:$V$771,8,FALSE))</f>
        <v/>
      </c>
      <c r="S374" s="998" t="str">
        <f>IF(R374=$D$8,$D$8,IF(R374=2,2,IF(R374=3,3,R374)))</f>
        <v/>
      </c>
      <c r="T374" s="1001" t="str">
        <f>IF(E374=0,"",VLOOKUP(E374,'Tablas Técnicas'!$A$14:$V$771,9,FALSE))</f>
        <v/>
      </c>
      <c r="U374" s="1001" t="str">
        <f>IF(E374=0,"",VLOOKUP(E374,'Tablas Técnicas'!$A$14:$V$771,10,FALSE))</f>
        <v/>
      </c>
      <c r="V374" s="1405"/>
      <c r="W374" s="1405"/>
      <c r="X374" s="1406"/>
      <c r="Y374" s="1406"/>
      <c r="Z374" s="1406"/>
      <c r="AA374" s="1406"/>
      <c r="AB374" s="1406"/>
      <c r="AC374" s="1406"/>
      <c r="AD374" s="1406"/>
      <c r="AE374" s="1406"/>
      <c r="AF374" s="1406"/>
      <c r="AG374" s="1408"/>
      <c r="AH374" s="1409"/>
      <c r="AI374" s="1409"/>
      <c r="AJ374" s="1409"/>
      <c r="AK374" s="1409"/>
      <c r="AL374" s="1409"/>
      <c r="AM374" s="1409"/>
      <c r="AN374" s="1409"/>
      <c r="AO374" s="1409"/>
      <c r="AP374" s="1407"/>
      <c r="AQ374" s="1409"/>
      <c r="AR374" s="1409"/>
      <c r="AS374" s="1409"/>
      <c r="AT374" s="1409"/>
      <c r="AU374" s="1409"/>
      <c r="AV374" s="1409"/>
      <c r="AW374" s="1409"/>
      <c r="AX374" s="1409"/>
      <c r="AY374" s="1409"/>
      <c r="AZ374" s="1410"/>
      <c r="BA374" s="1406"/>
      <c r="BB374" s="1406"/>
      <c r="BC374" s="1406"/>
      <c r="BD374" s="1406"/>
      <c r="BE374" s="1406"/>
      <c r="BF374" s="1406"/>
      <c r="BG374" s="1406"/>
      <c r="BH374" s="1406"/>
      <c r="BI374" s="1406"/>
      <c r="BJ374" s="1407"/>
      <c r="BK374" s="1406"/>
      <c r="BL374" s="1442"/>
      <c r="BM374" s="1443"/>
      <c r="BN374" s="1406"/>
      <c r="BO374" s="1406"/>
      <c r="BP374" s="1407"/>
      <c r="BQ374" s="1406"/>
      <c r="BR374" s="1406"/>
      <c r="BS374" s="1406"/>
      <c r="BU374" s="3026"/>
      <c r="BV374" s="971"/>
      <c r="BW374" s="951"/>
      <c r="BX374" s="951"/>
      <c r="BY374" s="1286"/>
      <c r="BZ374" s="1304"/>
      <c r="CA374" s="939"/>
      <c r="DR374" s="939"/>
      <c r="DT374" s="1325"/>
      <c r="DU374" s="1377"/>
      <c r="DV374" s="1377"/>
      <c r="DW374" s="1377"/>
      <c r="DX374" s="1377"/>
      <c r="DY374" s="1324"/>
      <c r="DZ374" s="939"/>
      <c r="EA374" s="1470">
        <f t="shared" si="5"/>
        <v>1</v>
      </c>
    </row>
    <row r="375" spans="1:131" x14ac:dyDescent="0.2">
      <c r="A375" s="939"/>
      <c r="B375" s="939"/>
      <c r="C375" s="4822"/>
      <c r="D375" s="1457" t="s">
        <v>4557</v>
      </c>
      <c r="E375" s="1040"/>
      <c r="F375" s="3030"/>
      <c r="G375" s="1015"/>
      <c r="H375" s="1014" t="str">
        <f>IF(VALUE(D341)=3,IF(E375=0,"",VLOOKUP(E375,'Tablas Técnicas'!$A$14:$V$771,4,FALSE)),"")</f>
        <v/>
      </c>
      <c r="I375" s="1015"/>
      <c r="J375" s="1015"/>
      <c r="K375" s="1015"/>
      <c r="L375" s="3030"/>
      <c r="M375" s="1015"/>
      <c r="N375" s="1015"/>
      <c r="O375" s="3030"/>
      <c r="P375" s="1015"/>
      <c r="Q375" s="1015"/>
      <c r="R375" s="1035" t="str">
        <f>IF(E375=0,"",VLOOKUP(E375,'Tablas Técnicas'!$A$14:$V$771,8,FALSE))</f>
        <v/>
      </c>
      <c r="S375" s="1014" t="str">
        <f>IF(R375=$D$8,$D$8,IF(R375=2,2,IF(R375=3,3,R375)))</f>
        <v/>
      </c>
      <c r="T375" s="1015" t="str">
        <f>IF(E375=0,"",VLOOKUP(E375,'Tablas Técnicas'!$A$14:$V$771,9,FALSE))</f>
        <v/>
      </c>
      <c r="U375" s="1015" t="str">
        <f>IF(E375=0,"",VLOOKUP(E375,'Tablas Técnicas'!$A$14:$V$771,10,FALSE))</f>
        <v/>
      </c>
      <c r="V375" s="3030"/>
      <c r="W375" s="1298"/>
      <c r="X375" s="1298"/>
      <c r="Y375" s="1298"/>
      <c r="Z375" s="1298"/>
      <c r="AA375" s="1298"/>
      <c r="AB375" s="1298"/>
      <c r="AC375" s="1298"/>
      <c r="AD375" s="1298"/>
      <c r="AE375" s="1298"/>
      <c r="AF375" s="1299"/>
      <c r="AG375" s="3030"/>
      <c r="AH375" s="1015"/>
      <c r="AI375" s="1015"/>
      <c r="AJ375" s="1015"/>
      <c r="AK375" s="1015"/>
      <c r="AL375" s="1015"/>
      <c r="AM375" s="1015"/>
      <c r="AN375" s="1015"/>
      <c r="AO375" s="1015"/>
      <c r="AP375" s="3031"/>
      <c r="AQ375" s="1015"/>
      <c r="AR375" s="1015"/>
      <c r="AS375" s="1015"/>
      <c r="AT375" s="1015"/>
      <c r="AU375" s="1015"/>
      <c r="AV375" s="1015"/>
      <c r="AW375" s="1015"/>
      <c r="AX375" s="1015"/>
      <c r="AY375" s="1015"/>
      <c r="AZ375" s="3031"/>
      <c r="BA375" s="1015"/>
      <c r="BB375" s="1015"/>
      <c r="BC375" s="1015"/>
      <c r="BD375" s="1015"/>
      <c r="BE375" s="1015"/>
      <c r="BF375" s="1015"/>
      <c r="BG375" s="1015"/>
      <c r="BH375" s="1015"/>
      <c r="BI375" s="1015"/>
      <c r="BJ375" s="3031"/>
      <c r="BK375" s="1015"/>
      <c r="BL375" s="1439"/>
      <c r="BM375" s="1444"/>
      <c r="BN375" s="1015"/>
      <c r="BO375" s="1015"/>
      <c r="BP375" s="1015"/>
      <c r="BQ375" s="3030"/>
      <c r="BR375" s="1015"/>
      <c r="BS375" s="1015"/>
      <c r="BT375" s="3026"/>
      <c r="BU375" s="3026"/>
      <c r="BV375" s="971">
        <f>IF(BV374=0,0,VLOOKUP(BV374,'Tablas Técnicas'!$M$4:$N$7,2,FALSE))</f>
        <v>0</v>
      </c>
      <c r="BW375" s="951"/>
      <c r="BX375" s="951"/>
      <c r="BY375" s="1286"/>
      <c r="BZ375" s="1304"/>
      <c r="CA375" s="943"/>
      <c r="DR375" s="943"/>
      <c r="DT375" s="1328"/>
      <c r="DU375" s="1433"/>
      <c r="DV375" s="1433"/>
      <c r="DW375" s="1433"/>
      <c r="DX375" s="1433"/>
      <c r="DY375" s="1329"/>
      <c r="DZ375" s="943"/>
      <c r="EA375" s="1470">
        <f t="shared" si="5"/>
        <v>1</v>
      </c>
    </row>
    <row r="376" spans="1:131" x14ac:dyDescent="0.2">
      <c r="A376" s="943"/>
      <c r="B376" s="943"/>
      <c r="C376" s="4822"/>
      <c r="D376" s="1458"/>
      <c r="E376" s="3026"/>
      <c r="F376" s="951"/>
      <c r="G376" s="3026"/>
      <c r="H376" s="3026"/>
      <c r="I376" s="951"/>
      <c r="J376" s="3026"/>
      <c r="K376" s="3026"/>
      <c r="L376" s="3026"/>
      <c r="M376" s="3026"/>
      <c r="N376" s="3026"/>
      <c r="O376" s="3026"/>
      <c r="P376" s="3026"/>
      <c r="Q376" s="3026"/>
      <c r="R376" s="3026"/>
      <c r="S376" s="3026"/>
      <c r="T376" s="3026"/>
      <c r="U376" s="3026"/>
      <c r="V376" s="3026"/>
      <c r="W376" s="3026"/>
      <c r="X376" s="3026"/>
      <c r="Y376" s="3026"/>
      <c r="Z376" s="3026"/>
      <c r="AA376" s="3026"/>
      <c r="AB376" s="3026"/>
      <c r="AC376" s="3026"/>
      <c r="AD376" s="3026"/>
      <c r="AE376" s="3026"/>
      <c r="AF376" s="3026"/>
      <c r="AG376" s="3026"/>
      <c r="AH376" s="3026"/>
      <c r="AI376" s="3026"/>
      <c r="AJ376" s="3026"/>
      <c r="AK376" s="3026"/>
      <c r="AL376" s="3026"/>
      <c r="AM376" s="3026"/>
      <c r="AN376" s="3026"/>
      <c r="AO376" s="3026"/>
      <c r="AP376" s="3026"/>
      <c r="AQ376" s="3026"/>
      <c r="AR376" s="3026"/>
      <c r="AS376" s="3026"/>
      <c r="AT376" s="3026"/>
      <c r="AU376" s="3026"/>
      <c r="AV376" s="3026"/>
      <c r="AW376" s="3026"/>
      <c r="AX376" s="3026"/>
      <c r="AY376" s="3026"/>
      <c r="AZ376" s="3026"/>
      <c r="BA376" s="3026"/>
      <c r="BB376" s="3026"/>
      <c r="BC376" s="3026"/>
      <c r="BD376" s="3026"/>
      <c r="BE376" s="3026"/>
      <c r="BF376" s="3026"/>
      <c r="BG376" s="3026"/>
      <c r="BH376" s="3026"/>
      <c r="BI376" s="3026"/>
      <c r="BJ376" s="3026"/>
      <c r="BK376" s="3026"/>
      <c r="BL376" s="3026"/>
      <c r="BM376" s="3026"/>
      <c r="BN376" s="944">
        <f>SUM(BN381:BN396)</f>
        <v>0</v>
      </c>
      <c r="BO376" s="944">
        <f>SUM(BO381:BO396)</f>
        <v>0</v>
      </c>
      <c r="BP376" s="944">
        <f>SUM(BP381:BP396)</f>
        <v>0</v>
      </c>
      <c r="BQ376" s="944">
        <f>SUM(BQ381:BQ396)</f>
        <v>0</v>
      </c>
      <c r="BR376" s="944">
        <f>SUM(BR381:BR396)</f>
        <v>0</v>
      </c>
      <c r="BS376" s="1041"/>
      <c r="BU376" s="3026"/>
      <c r="BW376" s="951"/>
      <c r="BX376" s="951"/>
      <c r="BY376" s="960"/>
      <c r="BZ376" s="1304"/>
      <c r="CA376" s="939"/>
      <c r="DR376" s="939"/>
      <c r="DT376" s="1321"/>
      <c r="DU376" s="1377"/>
      <c r="DV376" s="1377"/>
      <c r="DW376" s="1377"/>
      <c r="DX376" s="1377"/>
      <c r="DY376" s="1290"/>
      <c r="DZ376" s="939"/>
      <c r="EA376" s="1470"/>
    </row>
    <row r="377" spans="1:131" ht="12" thickBot="1" x14ac:dyDescent="0.25">
      <c r="A377" s="943"/>
      <c r="B377" s="943"/>
      <c r="C377" s="1310"/>
      <c r="D377" s="1459"/>
      <c r="E377" s="1292"/>
      <c r="F377" s="1291"/>
      <c r="G377" s="1291"/>
      <c r="H377" s="1292"/>
      <c r="I377" s="1291"/>
      <c r="J377" s="1293"/>
      <c r="K377" s="1291"/>
      <c r="L377" s="1291"/>
      <c r="M377" s="1294"/>
      <c r="N377" s="1291"/>
      <c r="O377" s="1291"/>
      <c r="P377" s="1294"/>
      <c r="Q377" s="1291"/>
      <c r="R377" s="1294"/>
      <c r="S377" s="1291"/>
      <c r="T377" s="1291"/>
      <c r="U377" s="1291"/>
      <c r="V377" s="1291"/>
      <c r="W377" s="1291"/>
      <c r="X377" s="1291"/>
      <c r="Y377" s="1291"/>
      <c r="Z377" s="1291"/>
      <c r="AA377" s="1291"/>
      <c r="AB377" s="1291"/>
      <c r="AC377" s="1291"/>
      <c r="AD377" s="1291"/>
      <c r="AE377" s="1291"/>
      <c r="AF377" s="1291"/>
      <c r="AG377" s="1291"/>
      <c r="AH377" s="1291"/>
      <c r="AI377" s="1291"/>
      <c r="AJ377" s="1291"/>
      <c r="AK377" s="1291"/>
      <c r="AL377" s="1291"/>
      <c r="AM377" s="1291"/>
      <c r="AN377" s="1291"/>
      <c r="AO377" s="1291"/>
      <c r="AP377" s="1291"/>
      <c r="AQ377" s="1291"/>
      <c r="AR377" s="1291"/>
      <c r="AS377" s="1291"/>
      <c r="AT377" s="1291"/>
      <c r="AU377" s="1291"/>
      <c r="AV377" s="1291"/>
      <c r="AW377" s="1291"/>
      <c r="AX377" s="1291"/>
      <c r="AY377" s="1291"/>
      <c r="AZ377" s="1291"/>
      <c r="BA377" s="1291"/>
      <c r="BB377" s="1291"/>
      <c r="BC377" s="1291"/>
      <c r="BD377" s="1291"/>
      <c r="BE377" s="1291"/>
      <c r="BF377" s="1291"/>
      <c r="BG377" s="1291"/>
      <c r="BH377" s="1291"/>
      <c r="BI377" s="1291"/>
      <c r="BJ377" s="1291"/>
      <c r="BK377" s="1291"/>
      <c r="BL377" s="1291"/>
      <c r="BM377" s="1291"/>
      <c r="BN377" s="1294">
        <f t="shared" ref="BN377:BR377" si="6">SUM(BN382:BN397)</f>
        <v>0</v>
      </c>
      <c r="BO377" s="1294">
        <f t="shared" si="6"/>
        <v>0</v>
      </c>
      <c r="BP377" s="1294">
        <f t="shared" si="6"/>
        <v>0</v>
      </c>
      <c r="BQ377" s="1294">
        <f t="shared" si="6"/>
        <v>0</v>
      </c>
      <c r="BR377" s="1294">
        <f t="shared" si="6"/>
        <v>0</v>
      </c>
      <c r="BS377" s="1295"/>
      <c r="BT377" s="1296"/>
      <c r="BU377" s="1291"/>
      <c r="BV377" s="1294"/>
      <c r="BW377" s="1292"/>
      <c r="BX377" s="1292"/>
      <c r="BY377" s="1296"/>
      <c r="BZ377" s="1305"/>
      <c r="CA377" s="939"/>
      <c r="DR377" s="939"/>
      <c r="DT377" s="1322"/>
      <c r="DU377" s="1434"/>
      <c r="DV377" s="1434"/>
      <c r="DW377" s="1434"/>
      <c r="DX377" s="1434"/>
      <c r="DY377" s="1297"/>
      <c r="DZ377" s="939"/>
    </row>
    <row r="378" spans="1:131" x14ac:dyDescent="0.2">
      <c r="A378" s="941"/>
      <c r="B378" s="1042"/>
      <c r="C378" s="1311"/>
      <c r="D378" s="1460"/>
      <c r="E378" s="941"/>
      <c r="F378" s="941"/>
      <c r="G378" s="941"/>
      <c r="H378" s="941"/>
      <c r="I378" s="941"/>
      <c r="J378" s="959"/>
      <c r="K378" s="941"/>
      <c r="L378" s="941"/>
      <c r="M378" s="959"/>
      <c r="N378" s="941"/>
      <c r="O378" s="941"/>
      <c r="P378" s="959"/>
      <c r="Q378" s="941"/>
      <c r="R378" s="959"/>
      <c r="S378" s="941"/>
      <c r="T378" s="941"/>
      <c r="U378" s="941"/>
      <c r="V378" s="941"/>
      <c r="W378" s="941"/>
      <c r="X378" s="959"/>
      <c r="Y378" s="959"/>
      <c r="Z378" s="959"/>
      <c r="AA378" s="959"/>
      <c r="AB378" s="959"/>
      <c r="AC378" s="959"/>
      <c r="AD378" s="959"/>
      <c r="AE378" s="959"/>
      <c r="AF378" s="941"/>
      <c r="AG378" s="941"/>
      <c r="AH378" s="959"/>
      <c r="AI378" s="959"/>
      <c r="AJ378" s="959"/>
      <c r="AK378" s="959"/>
      <c r="AL378" s="959"/>
      <c r="AM378" s="959"/>
      <c r="AN378" s="959"/>
      <c r="AO378" s="959"/>
      <c r="AP378" s="941"/>
      <c r="AQ378" s="941"/>
      <c r="AR378" s="959"/>
      <c r="AS378" s="959"/>
      <c r="AT378" s="959"/>
      <c r="AU378" s="959"/>
      <c r="AV378" s="959"/>
      <c r="AW378" s="959"/>
      <c r="AX378" s="959"/>
      <c r="AY378" s="959"/>
      <c r="AZ378" s="941"/>
      <c r="BA378" s="941"/>
      <c r="BB378" s="959"/>
      <c r="BC378" s="959"/>
      <c r="BD378" s="959"/>
      <c r="BE378" s="959"/>
      <c r="BF378" s="959"/>
      <c r="BG378" s="959"/>
      <c r="BH378" s="959"/>
      <c r="BI378" s="959"/>
      <c r="BJ378" s="941"/>
      <c r="BK378" s="941"/>
      <c r="BL378" s="941"/>
      <c r="BM378" s="941"/>
      <c r="BN378" s="959"/>
      <c r="BO378" s="959"/>
      <c r="BP378" s="944"/>
      <c r="BQ378" s="944"/>
      <c r="BR378" s="944"/>
      <c r="BS378" s="959"/>
      <c r="BT378" s="1288"/>
      <c r="BU378" s="1288"/>
      <c r="BW378" s="941"/>
      <c r="BX378" s="941"/>
      <c r="BY378" s="941"/>
      <c r="BZ378" s="1302"/>
      <c r="CA378" s="941"/>
      <c r="DR378" s="941"/>
      <c r="DT378" s="941"/>
      <c r="DU378" s="1435"/>
      <c r="DV378" s="1435"/>
      <c r="DW378" s="1435"/>
      <c r="DX378" s="1435"/>
      <c r="DY378" s="941"/>
      <c r="DZ378" s="941"/>
    </row>
    <row r="379" spans="1:131" x14ac:dyDescent="0.2">
      <c r="A379" s="951"/>
      <c r="B379" s="951"/>
      <c r="C379" s="1312"/>
      <c r="D379" s="1461"/>
      <c r="E379" s="1047"/>
      <c r="F379" s="1048"/>
      <c r="G379" s="1048"/>
      <c r="H379" s="1048"/>
      <c r="I379" s="1048"/>
      <c r="J379" s="1045"/>
      <c r="K379" s="1048"/>
      <c r="L379" s="1048"/>
      <c r="M379" s="1045"/>
      <c r="N379" s="1048"/>
      <c r="O379" s="1048"/>
      <c r="P379" s="1045"/>
      <c r="Q379" s="1048"/>
      <c r="R379" s="1045"/>
      <c r="S379" s="1046"/>
      <c r="T379" s="1047"/>
      <c r="U379" s="1048"/>
      <c r="V379" s="1048"/>
      <c r="W379" s="1048"/>
      <c r="X379" s="1045"/>
      <c r="Y379" s="1045"/>
      <c r="Z379" s="1045"/>
      <c r="AA379" s="1045"/>
      <c r="AB379" s="1045"/>
      <c r="AC379" s="1045"/>
      <c r="AD379" s="1045"/>
      <c r="AE379" s="1045"/>
      <c r="AF379" s="1048"/>
      <c r="AG379" s="1048"/>
      <c r="AH379" s="1045"/>
      <c r="AI379" s="1045"/>
      <c r="AJ379" s="1045"/>
      <c r="AK379" s="1045"/>
      <c r="AL379" s="1045"/>
      <c r="AM379" s="1045"/>
      <c r="AN379" s="1045"/>
      <c r="AO379" s="1045"/>
      <c r="AP379" s="1048"/>
      <c r="AQ379" s="951"/>
      <c r="AR379" s="1045"/>
      <c r="AS379" s="1045"/>
      <c r="AT379" s="1045"/>
      <c r="AU379" s="1045"/>
      <c r="AV379" s="1045"/>
      <c r="AW379" s="1045"/>
      <c r="AX379" s="1045"/>
      <c r="AY379" s="1045"/>
      <c r="BB379" s="1045"/>
      <c r="BC379" s="1045"/>
      <c r="BD379" s="1045"/>
      <c r="BE379" s="1045"/>
      <c r="BF379" s="1045"/>
      <c r="BG379" s="1045"/>
      <c r="BH379" s="1045"/>
      <c r="BI379" s="1045"/>
      <c r="BT379" s="945"/>
      <c r="BU379" s="956"/>
      <c r="BV379" s="1049"/>
      <c r="BW379" s="951"/>
      <c r="BX379" s="951"/>
      <c r="BY379" s="951"/>
      <c r="DS379" s="945"/>
    </row>
    <row r="380" spans="1:131" x14ac:dyDescent="0.2">
      <c r="A380" s="951"/>
      <c r="B380" s="951"/>
      <c r="C380" s="1312"/>
      <c r="D380" s="1461"/>
      <c r="E380" s="1047"/>
      <c r="F380" s="1048"/>
      <c r="G380" s="1048"/>
      <c r="H380" s="1048"/>
      <c r="I380" s="1048"/>
      <c r="J380" s="1045"/>
      <c r="K380" s="1048"/>
      <c r="L380" s="1048"/>
      <c r="M380" s="1045"/>
      <c r="N380" s="1048"/>
      <c r="O380" s="1048"/>
      <c r="P380" s="1045"/>
      <c r="Q380" s="1048"/>
      <c r="R380" s="1045"/>
      <c r="S380" s="1046"/>
      <c r="T380" s="1047"/>
      <c r="U380" s="1048"/>
      <c r="V380" s="1048"/>
      <c r="W380" s="1048"/>
      <c r="X380" s="1045"/>
      <c r="Y380" s="1045"/>
      <c r="Z380" s="1045"/>
      <c r="AA380" s="1045"/>
      <c r="AB380" s="1045"/>
      <c r="AC380" s="1045"/>
      <c r="AD380" s="1045"/>
      <c r="AE380" s="1045"/>
      <c r="AF380" s="1048"/>
      <c r="AG380" s="1048"/>
      <c r="AH380" s="1045"/>
      <c r="AI380" s="1045"/>
      <c r="AJ380" s="1045"/>
      <c r="AK380" s="1045"/>
      <c r="AL380" s="1045"/>
      <c r="AM380" s="1045"/>
      <c r="AN380" s="1045"/>
      <c r="AO380" s="1045"/>
      <c r="AP380" s="1048"/>
      <c r="AQ380" s="951"/>
      <c r="AR380" s="1045"/>
      <c r="AS380" s="1045"/>
      <c r="AT380" s="1045"/>
      <c r="AU380" s="1045"/>
      <c r="AV380" s="1045"/>
      <c r="AW380" s="1045"/>
      <c r="AX380" s="1045"/>
      <c r="AY380" s="1045"/>
      <c r="BB380" s="1045"/>
      <c r="BC380" s="1045"/>
      <c r="BD380" s="1045"/>
      <c r="BE380" s="1045"/>
      <c r="BF380" s="1045"/>
      <c r="BG380" s="1045"/>
      <c r="BH380" s="1045"/>
      <c r="BI380" s="1045"/>
      <c r="BT380" s="945"/>
      <c r="BU380" s="956"/>
      <c r="BV380" s="1049"/>
      <c r="BW380" s="951"/>
      <c r="BX380" s="951"/>
      <c r="BY380" s="951"/>
      <c r="DS380" s="945"/>
    </row>
    <row r="381" spans="1:131" x14ac:dyDescent="0.2">
      <c r="A381" s="951"/>
      <c r="B381" s="951"/>
      <c r="C381" s="1312"/>
      <c r="D381" s="1461"/>
      <c r="E381" s="1047"/>
      <c r="F381" s="1048"/>
      <c r="G381" s="1048"/>
      <c r="H381" s="1048"/>
      <c r="I381" s="1048"/>
      <c r="J381" s="1045"/>
      <c r="K381" s="1048"/>
      <c r="L381" s="1048"/>
      <c r="M381" s="1045"/>
      <c r="N381" s="1048"/>
      <c r="O381" s="1048"/>
      <c r="P381" s="1045"/>
      <c r="Q381" s="1048"/>
      <c r="R381" s="1045"/>
      <c r="S381" s="1046"/>
      <c r="T381" s="1047"/>
      <c r="U381" s="1048"/>
      <c r="V381" s="1048"/>
      <c r="W381" s="1048"/>
      <c r="X381" s="1045"/>
      <c r="Y381" s="1045"/>
      <c r="Z381" s="1045"/>
      <c r="AA381" s="1045"/>
      <c r="AB381" s="1045"/>
      <c r="AC381" s="1045"/>
      <c r="AD381" s="1045"/>
      <c r="AE381" s="1045"/>
      <c r="AF381" s="1048"/>
      <c r="AG381" s="1048"/>
      <c r="AH381" s="1045"/>
      <c r="AI381" s="1045"/>
      <c r="AJ381" s="1045"/>
      <c r="AK381" s="1045"/>
      <c r="AL381" s="1045"/>
      <c r="AM381" s="1045"/>
      <c r="AN381" s="1045"/>
      <c r="AO381" s="1045"/>
      <c r="AP381" s="1048"/>
      <c r="AQ381" s="951"/>
      <c r="AR381" s="1045"/>
      <c r="AS381" s="1045"/>
      <c r="AT381" s="1045"/>
      <c r="AU381" s="1045"/>
      <c r="AV381" s="1045"/>
      <c r="AW381" s="1045"/>
      <c r="AX381" s="1045"/>
      <c r="AY381" s="1045"/>
      <c r="BB381" s="1045"/>
      <c r="BC381" s="1045"/>
      <c r="BD381" s="1045"/>
      <c r="BE381" s="1045"/>
      <c r="BF381" s="1045"/>
      <c r="BG381" s="1045"/>
      <c r="BH381" s="1045"/>
      <c r="BI381" s="1045"/>
      <c r="BT381" s="945"/>
      <c r="BU381" s="956"/>
      <c r="BV381" s="1049"/>
      <c r="BW381" s="951"/>
      <c r="BX381" s="951"/>
      <c r="BY381" s="951"/>
      <c r="DS381" s="945"/>
    </row>
    <row r="382" spans="1:131" x14ac:dyDescent="0.2">
      <c r="A382" s="951"/>
      <c r="B382" s="951"/>
      <c r="C382" s="1312"/>
      <c r="D382" s="1461"/>
      <c r="E382" s="1047"/>
      <c r="F382" s="1048"/>
      <c r="G382" s="1048"/>
      <c r="H382" s="1048"/>
      <c r="I382" s="1048"/>
      <c r="J382" s="1045"/>
      <c r="K382" s="1048"/>
      <c r="L382" s="1048"/>
      <c r="M382" s="1045"/>
      <c r="N382" s="1048"/>
      <c r="O382" s="1048"/>
      <c r="P382" s="1045"/>
      <c r="Q382" s="1048"/>
      <c r="R382" s="1045"/>
      <c r="S382" s="1046"/>
      <c r="T382" s="1047"/>
      <c r="U382" s="1048"/>
      <c r="V382" s="1048"/>
      <c r="W382" s="1048"/>
      <c r="X382" s="1045"/>
      <c r="Y382" s="1045"/>
      <c r="Z382" s="1045"/>
      <c r="AA382" s="1045"/>
      <c r="AB382" s="1045"/>
      <c r="AC382" s="1045"/>
      <c r="AD382" s="1045"/>
      <c r="AE382" s="1045"/>
      <c r="AF382" s="1048"/>
      <c r="AG382" s="1048"/>
      <c r="AH382" s="1045"/>
      <c r="AI382" s="1045"/>
      <c r="AJ382" s="1045"/>
      <c r="AK382" s="1045"/>
      <c r="AL382" s="1045"/>
      <c r="AM382" s="1045"/>
      <c r="AN382" s="1045"/>
      <c r="AO382" s="1045"/>
      <c r="AP382" s="1048"/>
      <c r="AQ382" s="951"/>
      <c r="AR382" s="1045"/>
      <c r="AS382" s="1045"/>
      <c r="AT382" s="1045"/>
      <c r="AU382" s="1045"/>
      <c r="AV382" s="1045"/>
      <c r="AW382" s="1045"/>
      <c r="AX382" s="1045"/>
      <c r="AY382" s="1045"/>
      <c r="BB382" s="1045"/>
      <c r="BC382" s="1045"/>
      <c r="BD382" s="1045"/>
      <c r="BE382" s="1045"/>
      <c r="BF382" s="1045"/>
      <c r="BG382" s="1045"/>
      <c r="BH382" s="1045"/>
      <c r="BI382" s="1045"/>
      <c r="BT382" s="945"/>
      <c r="BU382" s="956"/>
      <c r="BV382" s="1049"/>
      <c r="BW382" s="951"/>
      <c r="BX382" s="951"/>
      <c r="BY382" s="951"/>
      <c r="DS382" s="945"/>
    </row>
    <row r="383" spans="1:131" x14ac:dyDescent="0.2">
      <c r="A383" s="951"/>
      <c r="B383" s="951"/>
      <c r="C383" s="1312"/>
      <c r="D383" s="1461"/>
      <c r="E383" s="1047"/>
      <c r="F383" s="1048"/>
      <c r="G383" s="1048"/>
      <c r="H383" s="1048"/>
      <c r="I383" s="1048"/>
      <c r="J383" s="1045"/>
      <c r="K383" s="1048"/>
      <c r="L383" s="1048"/>
      <c r="M383" s="1045"/>
      <c r="N383" s="1048"/>
      <c r="O383" s="1048"/>
      <c r="P383" s="1045"/>
      <c r="Q383" s="1048"/>
      <c r="R383" s="1045"/>
      <c r="S383" s="1046"/>
      <c r="T383" s="1047"/>
      <c r="U383" s="1048"/>
      <c r="V383" s="1048"/>
      <c r="W383" s="1048"/>
      <c r="X383" s="1045"/>
      <c r="Y383" s="1045"/>
      <c r="Z383" s="1045"/>
      <c r="AA383" s="1045"/>
      <c r="AB383" s="1045"/>
      <c r="AC383" s="1045"/>
      <c r="AD383" s="1045"/>
      <c r="AE383" s="1045"/>
      <c r="AF383" s="1048"/>
      <c r="AG383" s="1048"/>
      <c r="AH383" s="1045"/>
      <c r="AI383" s="1045"/>
      <c r="AJ383" s="1045"/>
      <c r="AK383" s="1045"/>
      <c r="AL383" s="1045"/>
      <c r="AM383" s="1045"/>
      <c r="AN383" s="1045"/>
      <c r="AO383" s="1045"/>
      <c r="AP383" s="1048"/>
      <c r="AQ383" s="951"/>
      <c r="AR383" s="1045"/>
      <c r="AS383" s="1045"/>
      <c r="AT383" s="1045"/>
      <c r="AU383" s="1045"/>
      <c r="AV383" s="1045"/>
      <c r="AW383" s="1045"/>
      <c r="AX383" s="1045"/>
      <c r="AY383" s="1045"/>
      <c r="BB383" s="1045"/>
      <c r="BC383" s="1045"/>
      <c r="BD383" s="1045"/>
      <c r="BE383" s="1045"/>
      <c r="BF383" s="1045"/>
      <c r="BG383" s="1045"/>
      <c r="BH383" s="1045"/>
      <c r="BI383" s="1045"/>
      <c r="BT383" s="945"/>
      <c r="BU383" s="956"/>
      <c r="BV383" s="1049"/>
      <c r="BW383" s="951"/>
      <c r="BX383" s="951"/>
      <c r="BY383" s="951"/>
      <c r="DS383" s="945"/>
    </row>
    <row r="384" spans="1:131" x14ac:dyDescent="0.2">
      <c r="A384" s="951"/>
      <c r="B384" s="951"/>
      <c r="C384" s="1312"/>
      <c r="D384" s="1461"/>
      <c r="E384" s="1047"/>
      <c r="F384" s="1048"/>
      <c r="G384" s="1048"/>
      <c r="H384" s="1048"/>
      <c r="I384" s="1048"/>
      <c r="J384" s="1045"/>
      <c r="K384" s="1048"/>
      <c r="L384" s="1048"/>
      <c r="M384" s="1045"/>
      <c r="N384" s="1048"/>
      <c r="O384" s="1048"/>
      <c r="P384" s="1045"/>
      <c r="Q384" s="1048"/>
      <c r="R384" s="1045"/>
      <c r="S384" s="1046"/>
      <c r="T384" s="1047"/>
      <c r="U384" s="1048"/>
      <c r="V384" s="1048"/>
      <c r="W384" s="1048"/>
      <c r="X384" s="1045"/>
      <c r="Y384" s="1045"/>
      <c r="Z384" s="1045"/>
      <c r="AA384" s="1045"/>
      <c r="AB384" s="1045"/>
      <c r="AC384" s="1045"/>
      <c r="AD384" s="1045"/>
      <c r="AE384" s="1045"/>
      <c r="AF384" s="1048"/>
      <c r="AG384" s="1048"/>
      <c r="AH384" s="1045"/>
      <c r="AI384" s="1045"/>
      <c r="AJ384" s="1045"/>
      <c r="AK384" s="1045"/>
      <c r="AL384" s="1045"/>
      <c r="AM384" s="1045"/>
      <c r="AN384" s="1045"/>
      <c r="AO384" s="1045"/>
      <c r="AP384" s="1048"/>
      <c r="AQ384" s="951"/>
      <c r="AR384" s="1045"/>
      <c r="AS384" s="1045"/>
      <c r="AT384" s="1045"/>
      <c r="AU384" s="1045"/>
      <c r="AV384" s="1045"/>
      <c r="AW384" s="1045"/>
      <c r="AX384" s="1045"/>
      <c r="AY384" s="1045"/>
      <c r="BB384" s="1045"/>
      <c r="BC384" s="1045"/>
      <c r="BD384" s="1045"/>
      <c r="BE384" s="1045"/>
      <c r="BF384" s="1045"/>
      <c r="BG384" s="1045"/>
      <c r="BH384" s="1045"/>
      <c r="BI384" s="1045"/>
      <c r="BT384" s="945"/>
      <c r="BU384" s="956"/>
      <c r="BV384" s="1049"/>
      <c r="BW384" s="951"/>
      <c r="BX384" s="951"/>
      <c r="BY384" s="951"/>
      <c r="DS384" s="945"/>
    </row>
    <row r="385" spans="1:123" x14ac:dyDescent="0.2">
      <c r="A385" s="951"/>
      <c r="B385" s="951"/>
      <c r="C385" s="1312"/>
      <c r="D385" s="1461"/>
      <c r="E385" s="1047"/>
      <c r="F385" s="1048"/>
      <c r="G385" s="1048"/>
      <c r="H385" s="1048"/>
      <c r="I385" s="1048"/>
      <c r="J385" s="1045"/>
      <c r="K385" s="1048"/>
      <c r="L385" s="1048"/>
      <c r="M385" s="1045"/>
      <c r="N385" s="1048"/>
      <c r="O385" s="1048"/>
      <c r="P385" s="1045"/>
      <c r="Q385" s="1048"/>
      <c r="R385" s="1045"/>
      <c r="S385" s="1046"/>
      <c r="T385" s="1047"/>
      <c r="U385" s="1048"/>
      <c r="V385" s="1048"/>
      <c r="W385" s="1048"/>
      <c r="X385" s="1045"/>
      <c r="Y385" s="1045"/>
      <c r="Z385" s="1045"/>
      <c r="AA385" s="1045"/>
      <c r="AB385" s="1045"/>
      <c r="AC385" s="1045"/>
      <c r="AD385" s="1045"/>
      <c r="AE385" s="1045"/>
      <c r="AF385" s="1048"/>
      <c r="AG385" s="1048"/>
      <c r="AH385" s="1045"/>
      <c r="AI385" s="1045"/>
      <c r="AJ385" s="1045"/>
      <c r="AK385" s="1045"/>
      <c r="AL385" s="1045"/>
      <c r="AM385" s="1045"/>
      <c r="AN385" s="1045"/>
      <c r="AO385" s="1045"/>
      <c r="AP385" s="1048"/>
      <c r="AQ385" s="951"/>
      <c r="AR385" s="1045"/>
      <c r="AS385" s="1045"/>
      <c r="AT385" s="1045"/>
      <c r="AU385" s="1045"/>
      <c r="AV385" s="1045"/>
      <c r="AW385" s="1045"/>
      <c r="AX385" s="1045"/>
      <c r="AY385" s="1045"/>
      <c r="BB385" s="1045"/>
      <c r="BC385" s="1045"/>
      <c r="BD385" s="1045"/>
      <c r="BE385" s="1045"/>
      <c r="BF385" s="1045"/>
      <c r="BG385" s="1045"/>
      <c r="BH385" s="1045"/>
      <c r="BI385" s="1045"/>
      <c r="BT385" s="945"/>
      <c r="BU385" s="956"/>
      <c r="BV385" s="1049"/>
      <c r="BW385" s="951"/>
      <c r="BX385" s="951"/>
      <c r="BY385" s="951"/>
      <c r="DS385" s="945"/>
    </row>
    <row r="386" spans="1:123" x14ac:dyDescent="0.2">
      <c r="A386" s="951"/>
      <c r="B386" s="951"/>
      <c r="C386" s="1312"/>
      <c r="D386" s="1461"/>
      <c r="E386" s="1047"/>
      <c r="F386" s="1048"/>
      <c r="G386" s="1048"/>
      <c r="H386" s="1048"/>
      <c r="I386" s="1048"/>
      <c r="J386" s="1045"/>
      <c r="K386" s="1048"/>
      <c r="L386" s="1048"/>
      <c r="M386" s="1045"/>
      <c r="N386" s="1048"/>
      <c r="O386" s="1048"/>
      <c r="P386" s="1045"/>
      <c r="Q386" s="1048"/>
      <c r="R386" s="1045"/>
      <c r="S386" s="1046"/>
      <c r="T386" s="1047"/>
      <c r="U386" s="1048"/>
      <c r="V386" s="1048"/>
      <c r="W386" s="1048"/>
      <c r="X386" s="1045"/>
      <c r="Y386" s="1045"/>
      <c r="Z386" s="1045"/>
      <c r="AA386" s="1045"/>
      <c r="AB386" s="1045"/>
      <c r="AC386" s="1045"/>
      <c r="AD386" s="1045"/>
      <c r="AE386" s="1045"/>
      <c r="AF386" s="1048"/>
      <c r="AG386" s="1048"/>
      <c r="AH386" s="1045"/>
      <c r="AI386" s="1045"/>
      <c r="AJ386" s="1045"/>
      <c r="AK386" s="1045"/>
      <c r="AL386" s="1045"/>
      <c r="AM386" s="1045"/>
      <c r="AN386" s="1045"/>
      <c r="AO386" s="1045"/>
      <c r="AP386" s="1048"/>
      <c r="AQ386" s="951"/>
      <c r="AR386" s="1045"/>
      <c r="AS386" s="1045"/>
      <c r="AT386" s="1045"/>
      <c r="AU386" s="1045"/>
      <c r="AV386" s="1045"/>
      <c r="AW386" s="1045"/>
      <c r="AX386" s="1045"/>
      <c r="AY386" s="1045"/>
      <c r="BB386" s="1045"/>
      <c r="BC386" s="1045"/>
      <c r="BD386" s="1045"/>
      <c r="BE386" s="1045"/>
      <c r="BF386" s="1045"/>
      <c r="BG386" s="1045"/>
      <c r="BH386" s="1045"/>
      <c r="BI386" s="1045"/>
      <c r="BT386" s="945"/>
      <c r="BU386" s="956"/>
      <c r="BV386" s="1049"/>
      <c r="BW386" s="951"/>
      <c r="BX386" s="951"/>
      <c r="BY386" s="951"/>
      <c r="DS386" s="945"/>
    </row>
    <row r="387" spans="1:123" x14ac:dyDescent="0.2">
      <c r="A387" s="951"/>
      <c r="B387" s="951"/>
      <c r="C387" s="1312"/>
      <c r="D387" s="1461"/>
      <c r="E387" s="1047"/>
      <c r="F387" s="1048"/>
      <c r="G387" s="1048"/>
      <c r="H387" s="1048"/>
      <c r="I387" s="1048"/>
      <c r="J387" s="1045"/>
      <c r="K387" s="1048"/>
      <c r="L387" s="1048"/>
      <c r="M387" s="1045"/>
      <c r="N387" s="1048"/>
      <c r="O387" s="1048"/>
      <c r="P387" s="1045"/>
      <c r="Q387" s="1048"/>
      <c r="R387" s="1045"/>
      <c r="S387" s="1046"/>
      <c r="T387" s="1047"/>
      <c r="U387" s="1048"/>
      <c r="V387" s="1048"/>
      <c r="W387" s="1048"/>
      <c r="X387" s="1045"/>
      <c r="Y387" s="1045"/>
      <c r="Z387" s="1045"/>
      <c r="AA387" s="1045"/>
      <c r="AB387" s="1045"/>
      <c r="AC387" s="1045"/>
      <c r="AD387" s="1045"/>
      <c r="AE387" s="1045"/>
      <c r="AF387" s="1048"/>
      <c r="AG387" s="1048"/>
      <c r="AH387" s="1045"/>
      <c r="AI387" s="1045"/>
      <c r="AJ387" s="1045"/>
      <c r="AK387" s="1045"/>
      <c r="AL387" s="1045"/>
      <c r="AM387" s="1045"/>
      <c r="AN387" s="1045"/>
      <c r="AO387" s="1045"/>
      <c r="AP387" s="1048"/>
      <c r="AQ387" s="951"/>
      <c r="AR387" s="1045"/>
      <c r="AS387" s="1045"/>
      <c r="AT387" s="1045"/>
      <c r="AU387" s="1045"/>
      <c r="AV387" s="1045"/>
      <c r="AW387" s="1045"/>
      <c r="AX387" s="1045"/>
      <c r="AY387" s="1045"/>
      <c r="BB387" s="1045"/>
      <c r="BC387" s="1045"/>
      <c r="BD387" s="1045"/>
      <c r="BE387" s="1045"/>
      <c r="BF387" s="1045"/>
      <c r="BG387" s="1045"/>
      <c r="BH387" s="1045"/>
      <c r="BI387" s="1045"/>
      <c r="BT387" s="945"/>
      <c r="BU387" s="956"/>
      <c r="BV387" s="1049"/>
      <c r="BW387" s="951"/>
      <c r="BX387" s="951"/>
      <c r="BY387" s="951"/>
      <c r="DS387" s="945"/>
    </row>
    <row r="388" spans="1:123" x14ac:dyDescent="0.2">
      <c r="A388" s="951"/>
      <c r="B388" s="951"/>
      <c r="C388" s="1312"/>
      <c r="D388" s="1461"/>
      <c r="E388" s="1047"/>
      <c r="F388" s="1048"/>
      <c r="G388" s="1048"/>
      <c r="H388" s="1048"/>
      <c r="I388" s="1048"/>
      <c r="J388" s="1045"/>
      <c r="K388" s="1048"/>
      <c r="L388" s="1048"/>
      <c r="M388" s="1045"/>
      <c r="N388" s="1048"/>
      <c r="O388" s="1048"/>
      <c r="P388" s="1045"/>
      <c r="Q388" s="1048"/>
      <c r="R388" s="1045"/>
      <c r="S388" s="1046"/>
      <c r="T388" s="1047"/>
      <c r="U388" s="1048"/>
      <c r="V388" s="1048"/>
      <c r="W388" s="1048"/>
      <c r="X388" s="1045"/>
      <c r="Y388" s="1045"/>
      <c r="Z388" s="1045"/>
      <c r="AA388" s="1045"/>
      <c r="AB388" s="1045"/>
      <c r="AC388" s="1045"/>
      <c r="AD388" s="1045"/>
      <c r="AE388" s="1045"/>
      <c r="AF388" s="1048"/>
      <c r="AG388" s="1048"/>
      <c r="AH388" s="1045"/>
      <c r="AI388" s="1045"/>
      <c r="AJ388" s="1045"/>
      <c r="AK388" s="1045"/>
      <c r="AL388" s="1045"/>
      <c r="AM388" s="1045"/>
      <c r="AN388" s="1045"/>
      <c r="AO388" s="1045"/>
      <c r="AP388" s="1048"/>
      <c r="AQ388" s="951"/>
      <c r="AR388" s="1045"/>
      <c r="AS388" s="1045"/>
      <c r="AT388" s="1045"/>
      <c r="AU388" s="1045"/>
      <c r="AV388" s="1045"/>
      <c r="AW388" s="1045"/>
      <c r="AX388" s="1045"/>
      <c r="AY388" s="1045"/>
      <c r="BB388" s="1045"/>
      <c r="BC388" s="1045"/>
      <c r="BD388" s="1045"/>
      <c r="BE388" s="1045"/>
      <c r="BF388" s="1045"/>
      <c r="BG388" s="1045"/>
      <c r="BH388" s="1045"/>
      <c r="BI388" s="1045"/>
      <c r="BT388" s="945"/>
      <c r="BU388" s="956"/>
      <c r="BV388" s="1049"/>
      <c r="BW388" s="951"/>
      <c r="BX388" s="951"/>
      <c r="BY388" s="951"/>
      <c r="DS388" s="945"/>
    </row>
    <row r="389" spans="1:123" x14ac:dyDescent="0.2">
      <c r="A389" s="951"/>
      <c r="B389" s="951"/>
      <c r="C389" s="1312"/>
      <c r="D389" s="1461"/>
      <c r="E389" s="1047"/>
      <c r="F389" s="1048"/>
      <c r="G389" s="1048"/>
      <c r="H389" s="1048"/>
      <c r="I389" s="1048"/>
      <c r="J389" s="1045"/>
      <c r="K389" s="1048"/>
      <c r="L389" s="1048"/>
      <c r="M389" s="1045"/>
      <c r="N389" s="1048"/>
      <c r="O389" s="1048"/>
      <c r="P389" s="1045"/>
      <c r="Q389" s="1048"/>
      <c r="R389" s="1045"/>
      <c r="S389" s="1046"/>
      <c r="T389" s="1047"/>
      <c r="U389" s="1048"/>
      <c r="V389" s="1048"/>
      <c r="W389" s="1048"/>
      <c r="X389" s="1045"/>
      <c r="Y389" s="1045"/>
      <c r="Z389" s="1045"/>
      <c r="AA389" s="1045"/>
      <c r="AB389" s="1045"/>
      <c r="AC389" s="1045"/>
      <c r="AD389" s="1045"/>
      <c r="AE389" s="1045"/>
      <c r="AF389" s="1048"/>
      <c r="AG389" s="1048"/>
      <c r="AH389" s="1045"/>
      <c r="AI389" s="1045"/>
      <c r="AJ389" s="1045"/>
      <c r="AK389" s="1045"/>
      <c r="AL389" s="1045"/>
      <c r="AM389" s="1045"/>
      <c r="AN389" s="1045"/>
      <c r="AO389" s="1045"/>
      <c r="AP389" s="1048"/>
      <c r="AQ389" s="951"/>
      <c r="AR389" s="1045"/>
      <c r="AS389" s="1045"/>
      <c r="AT389" s="1045"/>
      <c r="AU389" s="1045"/>
      <c r="AV389" s="1045"/>
      <c r="AW389" s="1045"/>
      <c r="AX389" s="1045"/>
      <c r="AY389" s="1045"/>
      <c r="BB389" s="1045"/>
      <c r="BC389" s="1045"/>
      <c r="BD389" s="1045"/>
      <c r="BE389" s="1045"/>
      <c r="BF389" s="1045"/>
      <c r="BG389" s="1045"/>
      <c r="BH389" s="1045"/>
      <c r="BI389" s="1045"/>
      <c r="BT389" s="945"/>
      <c r="BU389" s="956"/>
      <c r="BV389" s="1049"/>
      <c r="BW389" s="951"/>
      <c r="BX389" s="951"/>
      <c r="BY389" s="951"/>
      <c r="DS389" s="945"/>
    </row>
    <row r="390" spans="1:123" x14ac:dyDescent="0.2">
      <c r="A390" s="951"/>
      <c r="B390" s="951"/>
      <c r="C390" s="1312"/>
      <c r="D390" s="1461"/>
      <c r="E390" s="1047"/>
      <c r="F390" s="1048"/>
      <c r="G390" s="1048"/>
      <c r="H390" s="1048"/>
      <c r="I390" s="1048"/>
      <c r="J390" s="1045"/>
      <c r="K390" s="1048"/>
      <c r="L390" s="1048"/>
      <c r="M390" s="1045"/>
      <c r="N390" s="1048"/>
      <c r="O390" s="1048"/>
      <c r="P390" s="1045"/>
      <c r="Q390" s="1048"/>
      <c r="R390" s="1045"/>
      <c r="S390" s="1046"/>
      <c r="T390" s="1047"/>
      <c r="U390" s="1048"/>
      <c r="V390" s="1048"/>
      <c r="W390" s="1048"/>
      <c r="X390" s="1045"/>
      <c r="Y390" s="1045"/>
      <c r="Z390" s="1045"/>
      <c r="AA390" s="1045"/>
      <c r="AB390" s="1045"/>
      <c r="AC390" s="1045"/>
      <c r="AD390" s="1045"/>
      <c r="AE390" s="1045"/>
      <c r="AF390" s="1048"/>
      <c r="AG390" s="1048"/>
      <c r="AH390" s="1045"/>
      <c r="AI390" s="1045"/>
      <c r="AJ390" s="1045"/>
      <c r="AK390" s="1045"/>
      <c r="AL390" s="1045"/>
      <c r="AM390" s="1045"/>
      <c r="AN390" s="1045"/>
      <c r="AO390" s="1045"/>
      <c r="AP390" s="1048"/>
      <c r="AQ390" s="951"/>
      <c r="AR390" s="1045"/>
      <c r="AS390" s="1045"/>
      <c r="AT390" s="1045"/>
      <c r="AU390" s="1045"/>
      <c r="AV390" s="1045"/>
      <c r="AW390" s="1045"/>
      <c r="AX390" s="1045"/>
      <c r="AY390" s="1045"/>
      <c r="BB390" s="1045"/>
      <c r="BC390" s="1045"/>
      <c r="BD390" s="1045"/>
      <c r="BE390" s="1045"/>
      <c r="BF390" s="1045"/>
      <c r="BG390" s="1045"/>
      <c r="BH390" s="1045"/>
      <c r="BI390" s="1045"/>
      <c r="BT390" s="945"/>
      <c r="BU390" s="956"/>
      <c r="BV390" s="1049"/>
      <c r="BW390" s="951"/>
      <c r="BX390" s="951"/>
      <c r="BY390" s="951"/>
      <c r="DS390" s="945"/>
    </row>
    <row r="391" spans="1:123" x14ac:dyDescent="0.2">
      <c r="A391" s="951"/>
      <c r="B391" s="951"/>
      <c r="C391" s="1312"/>
      <c r="D391" s="1461"/>
      <c r="E391" s="1047"/>
      <c r="F391" s="1048"/>
      <c r="G391" s="1048"/>
      <c r="H391" s="1048"/>
      <c r="I391" s="1048"/>
      <c r="J391" s="1045"/>
      <c r="K391" s="1048"/>
      <c r="L391" s="1048"/>
      <c r="M391" s="1045"/>
      <c r="N391" s="1048"/>
      <c r="O391" s="1048"/>
      <c r="P391" s="1045"/>
      <c r="Q391" s="1048"/>
      <c r="R391" s="1045"/>
      <c r="S391" s="1046"/>
      <c r="T391" s="1047"/>
      <c r="U391" s="1048"/>
      <c r="V391" s="1048"/>
      <c r="W391" s="1048"/>
      <c r="X391" s="1045"/>
      <c r="Y391" s="1045"/>
      <c r="Z391" s="1045"/>
      <c r="AA391" s="1045"/>
      <c r="AB391" s="1045"/>
      <c r="AC391" s="1045"/>
      <c r="AD391" s="1045"/>
      <c r="AE391" s="1045"/>
      <c r="AF391" s="1048"/>
      <c r="AG391" s="1048"/>
      <c r="AH391" s="1045"/>
      <c r="AI391" s="1045"/>
      <c r="AJ391" s="1045"/>
      <c r="AK391" s="1045"/>
      <c r="AL391" s="1045"/>
      <c r="AM391" s="1045"/>
      <c r="AN391" s="1045"/>
      <c r="AO391" s="1045"/>
      <c r="AP391" s="1048"/>
      <c r="AQ391" s="951"/>
      <c r="AR391" s="1045"/>
      <c r="AS391" s="1045"/>
      <c r="AT391" s="1045"/>
      <c r="AU391" s="1045"/>
      <c r="AV391" s="1045"/>
      <c r="AW391" s="1045"/>
      <c r="AX391" s="1045"/>
      <c r="AY391" s="1045"/>
      <c r="BB391" s="1045"/>
      <c r="BC391" s="1045"/>
      <c r="BD391" s="1045"/>
      <c r="BE391" s="1045"/>
      <c r="BF391" s="1045"/>
      <c r="BG391" s="1045"/>
      <c r="BH391" s="1045"/>
      <c r="BI391" s="1045"/>
      <c r="BT391" s="945"/>
      <c r="BU391" s="956"/>
      <c r="BV391" s="1049"/>
      <c r="BW391" s="951"/>
      <c r="BX391" s="951"/>
      <c r="BY391" s="951"/>
      <c r="DS391" s="945"/>
    </row>
    <row r="392" spans="1:123" x14ac:dyDescent="0.2">
      <c r="A392" s="951"/>
      <c r="B392" s="951"/>
      <c r="C392" s="1312"/>
      <c r="D392" s="1461"/>
      <c r="E392" s="1047"/>
      <c r="F392" s="1048"/>
      <c r="G392" s="1048"/>
      <c r="H392" s="1048"/>
      <c r="I392" s="1048"/>
      <c r="J392" s="1045"/>
      <c r="K392" s="1048"/>
      <c r="L392" s="1048"/>
      <c r="M392" s="1045"/>
      <c r="N392" s="1048"/>
      <c r="O392" s="1048"/>
      <c r="P392" s="1045"/>
      <c r="Q392" s="1048"/>
      <c r="R392" s="1045"/>
      <c r="S392" s="1046"/>
      <c r="T392" s="1047"/>
      <c r="U392" s="1048"/>
      <c r="V392" s="1048"/>
      <c r="W392" s="1048"/>
      <c r="X392" s="1045"/>
      <c r="Y392" s="1045"/>
      <c r="Z392" s="1045"/>
      <c r="AA392" s="1045"/>
      <c r="AB392" s="1045"/>
      <c r="AC392" s="1045"/>
      <c r="AD392" s="1045"/>
      <c r="AE392" s="1045"/>
      <c r="AF392" s="1048"/>
      <c r="AG392" s="1048"/>
      <c r="AH392" s="1045"/>
      <c r="AI392" s="1045"/>
      <c r="AJ392" s="1045"/>
      <c r="AK392" s="1045"/>
      <c r="AL392" s="1045"/>
      <c r="AM392" s="1045"/>
      <c r="AN392" s="1045"/>
      <c r="AO392" s="1045"/>
      <c r="AP392" s="1048"/>
      <c r="AQ392" s="951"/>
      <c r="AR392" s="1045"/>
      <c r="AS392" s="1045"/>
      <c r="AT392" s="1045"/>
      <c r="AU392" s="1045"/>
      <c r="AV392" s="1045"/>
      <c r="AW392" s="1045"/>
      <c r="AX392" s="1045"/>
      <c r="AY392" s="1045"/>
      <c r="BB392" s="1045"/>
      <c r="BC392" s="1045"/>
      <c r="BD392" s="1045"/>
      <c r="BE392" s="1045"/>
      <c r="BF392" s="1045"/>
      <c r="BG392" s="1045"/>
      <c r="BH392" s="1045"/>
      <c r="BI392" s="1045"/>
      <c r="BT392" s="945"/>
      <c r="BU392" s="956"/>
      <c r="BV392" s="1049"/>
      <c r="BW392" s="951"/>
      <c r="BX392" s="951"/>
      <c r="BY392" s="951"/>
      <c r="DS392" s="945"/>
    </row>
    <row r="393" spans="1:123" x14ac:dyDescent="0.2">
      <c r="A393" s="951"/>
      <c r="B393" s="951"/>
      <c r="C393" s="1312"/>
      <c r="D393" s="1461"/>
      <c r="E393" s="1047"/>
      <c r="F393" s="1048"/>
      <c r="G393" s="1048"/>
      <c r="H393" s="1048"/>
      <c r="I393" s="1048"/>
      <c r="J393" s="1045"/>
      <c r="K393" s="1048"/>
      <c r="L393" s="1048"/>
      <c r="M393" s="1045"/>
      <c r="N393" s="1048"/>
      <c r="O393" s="1048"/>
      <c r="P393" s="1045"/>
      <c r="Q393" s="1048"/>
      <c r="R393" s="1045"/>
      <c r="S393" s="1046"/>
      <c r="T393" s="1047"/>
      <c r="U393" s="1048"/>
      <c r="V393" s="1048"/>
      <c r="W393" s="1048"/>
      <c r="X393" s="1045"/>
      <c r="Y393" s="1045"/>
      <c r="Z393" s="1045"/>
      <c r="AA393" s="1045"/>
      <c r="AB393" s="1045"/>
      <c r="AC393" s="1045"/>
      <c r="AD393" s="1045"/>
      <c r="AE393" s="1045"/>
      <c r="AF393" s="1048"/>
      <c r="AG393" s="1048"/>
      <c r="AH393" s="1045"/>
      <c r="AI393" s="1045"/>
      <c r="AJ393" s="1045"/>
      <c r="AK393" s="1045"/>
      <c r="AL393" s="1045"/>
      <c r="AM393" s="1045"/>
      <c r="AN393" s="1045"/>
      <c r="AO393" s="1045"/>
      <c r="AP393" s="1048"/>
      <c r="AQ393" s="951"/>
      <c r="AR393" s="1045"/>
      <c r="AS393" s="1045"/>
      <c r="AT393" s="1045"/>
      <c r="AU393" s="1045"/>
      <c r="AV393" s="1045"/>
      <c r="AW393" s="1045"/>
      <c r="AX393" s="1045"/>
      <c r="AY393" s="1045"/>
      <c r="BB393" s="1045"/>
      <c r="BC393" s="1045"/>
      <c r="BD393" s="1045"/>
      <c r="BE393" s="1045"/>
      <c r="BF393" s="1045"/>
      <c r="BG393" s="1045"/>
      <c r="BH393" s="1045"/>
      <c r="BI393" s="1045"/>
      <c r="BT393" s="945"/>
      <c r="BU393" s="956"/>
      <c r="BV393" s="1049"/>
      <c r="BW393" s="951"/>
      <c r="BX393" s="951"/>
      <c r="BY393" s="951"/>
      <c r="DS393" s="945"/>
    </row>
    <row r="394" spans="1:123" x14ac:dyDescent="0.2">
      <c r="A394" s="951"/>
      <c r="B394" s="951"/>
      <c r="C394" s="1312"/>
      <c r="D394" s="1461"/>
      <c r="E394" s="1047"/>
      <c r="F394" s="1048"/>
      <c r="G394" s="1048"/>
      <c r="H394" s="1048"/>
      <c r="I394" s="1048"/>
      <c r="J394" s="1045"/>
      <c r="K394" s="1048"/>
      <c r="L394" s="1048"/>
      <c r="M394" s="1045"/>
      <c r="N394" s="1048"/>
      <c r="O394" s="1048"/>
      <c r="P394" s="1045"/>
      <c r="Q394" s="1048"/>
      <c r="R394" s="1045"/>
      <c r="S394" s="1046"/>
      <c r="T394" s="1047"/>
      <c r="U394" s="1048"/>
      <c r="V394" s="1048"/>
      <c r="W394" s="1048"/>
      <c r="X394" s="1045"/>
      <c r="Y394" s="1045"/>
      <c r="Z394" s="1045"/>
      <c r="AA394" s="1045"/>
      <c r="AB394" s="1045"/>
      <c r="AC394" s="1045"/>
      <c r="AD394" s="1045"/>
      <c r="AE394" s="1045"/>
      <c r="AF394" s="1048"/>
      <c r="AG394" s="1048"/>
      <c r="AH394" s="1045"/>
      <c r="AI394" s="1045"/>
      <c r="AJ394" s="1045"/>
      <c r="AK394" s="1045"/>
      <c r="AL394" s="1045"/>
      <c r="AM394" s="1045"/>
      <c r="AN394" s="1045"/>
      <c r="AO394" s="1045"/>
      <c r="AP394" s="1048"/>
      <c r="AQ394" s="951"/>
      <c r="AR394" s="1045"/>
      <c r="AS394" s="1045"/>
      <c r="AT394" s="1045"/>
      <c r="AU394" s="1045"/>
      <c r="AV394" s="1045"/>
      <c r="AW394" s="1045"/>
      <c r="AX394" s="1045"/>
      <c r="AY394" s="1045"/>
      <c r="BB394" s="1045"/>
      <c r="BC394" s="1045"/>
      <c r="BD394" s="1045"/>
      <c r="BE394" s="1045"/>
      <c r="BF394" s="1045"/>
      <c r="BG394" s="1045"/>
      <c r="BH394" s="1045"/>
      <c r="BI394" s="1045"/>
      <c r="BT394" s="945"/>
      <c r="BU394" s="956"/>
      <c r="BV394" s="1049"/>
      <c r="BW394" s="951"/>
      <c r="BX394" s="951"/>
      <c r="BY394" s="951"/>
      <c r="DS394" s="945"/>
    </row>
    <row r="395" spans="1:123" x14ac:dyDescent="0.2">
      <c r="A395" s="951"/>
      <c r="B395" s="951"/>
      <c r="C395" s="1312"/>
      <c r="D395" s="1461"/>
      <c r="E395" s="1047"/>
      <c r="F395" s="1048"/>
      <c r="G395" s="1048"/>
      <c r="H395" s="1048"/>
      <c r="I395" s="1048"/>
      <c r="J395" s="1045"/>
      <c r="K395" s="1048"/>
      <c r="L395" s="1048"/>
      <c r="M395" s="1045"/>
      <c r="N395" s="1048"/>
      <c r="O395" s="1048"/>
      <c r="P395" s="1045"/>
      <c r="Q395" s="1048"/>
      <c r="R395" s="1045"/>
      <c r="S395" s="1046"/>
      <c r="T395" s="1047"/>
      <c r="U395" s="1048"/>
      <c r="V395" s="1048"/>
      <c r="W395" s="1048"/>
      <c r="X395" s="1045"/>
      <c r="Y395" s="1045"/>
      <c r="Z395" s="1045"/>
      <c r="AA395" s="1045"/>
      <c r="AB395" s="1045"/>
      <c r="AC395" s="1045"/>
      <c r="AD395" s="1045"/>
      <c r="AE395" s="1045"/>
      <c r="AF395" s="1048"/>
      <c r="AG395" s="1048"/>
      <c r="AH395" s="1045"/>
      <c r="AI395" s="1045"/>
      <c r="AJ395" s="1045"/>
      <c r="AK395" s="1045"/>
      <c r="AL395" s="1045"/>
      <c r="AM395" s="1045"/>
      <c r="AN395" s="1045"/>
      <c r="AO395" s="1045"/>
      <c r="AP395" s="1048"/>
      <c r="AQ395" s="951"/>
      <c r="AR395" s="1045"/>
      <c r="AS395" s="1045"/>
      <c r="AT395" s="1045"/>
      <c r="AU395" s="1045"/>
      <c r="AV395" s="1045"/>
      <c r="AW395" s="1045"/>
      <c r="AX395" s="1045"/>
      <c r="AY395" s="1045"/>
      <c r="BB395" s="1045"/>
      <c r="BC395" s="1045"/>
      <c r="BD395" s="1045"/>
      <c r="BE395" s="1045"/>
      <c r="BF395" s="1045"/>
      <c r="BG395" s="1045"/>
      <c r="BH395" s="1045"/>
      <c r="BI395" s="1045"/>
      <c r="BT395" s="945"/>
      <c r="BU395" s="956"/>
      <c r="BV395" s="1049"/>
      <c r="BW395" s="951"/>
      <c r="BX395" s="951"/>
      <c r="BY395" s="951"/>
      <c r="DS395" s="945"/>
    </row>
    <row r="396" spans="1:123" x14ac:dyDescent="0.2">
      <c r="A396" s="951"/>
      <c r="B396" s="951"/>
      <c r="C396" s="1312"/>
      <c r="D396" s="1461"/>
      <c r="E396" s="1047"/>
      <c r="F396" s="1048"/>
      <c r="G396" s="1048"/>
      <c r="H396" s="1048"/>
      <c r="I396" s="1048"/>
      <c r="J396" s="1045"/>
      <c r="K396" s="1048"/>
      <c r="L396" s="1048"/>
      <c r="M396" s="1045"/>
      <c r="N396" s="1048"/>
      <c r="O396" s="1048"/>
      <c r="P396" s="1045"/>
      <c r="Q396" s="1048"/>
      <c r="R396" s="1045"/>
      <c r="S396" s="1046"/>
      <c r="T396" s="1047"/>
      <c r="U396" s="1048"/>
      <c r="V396" s="1048"/>
      <c r="W396" s="1048"/>
      <c r="X396" s="1045"/>
      <c r="Y396" s="1045"/>
      <c r="Z396" s="1045"/>
      <c r="AA396" s="1045"/>
      <c r="AB396" s="1045"/>
      <c r="AC396" s="1045"/>
      <c r="AD396" s="1045"/>
      <c r="AE396" s="1045"/>
      <c r="AF396" s="1048"/>
      <c r="AG396" s="1048"/>
      <c r="AH396" s="1045"/>
      <c r="AI396" s="1045"/>
      <c r="AJ396" s="1045"/>
      <c r="AK396" s="1045"/>
      <c r="AL396" s="1045"/>
      <c r="AM396" s="1045"/>
      <c r="AN396" s="1045"/>
      <c r="AO396" s="1045"/>
      <c r="AP396" s="1048"/>
      <c r="AQ396" s="951"/>
      <c r="AR396" s="1045"/>
      <c r="AS396" s="1045"/>
      <c r="AT396" s="1045"/>
      <c r="AU396" s="1045"/>
      <c r="AV396" s="1045"/>
      <c r="AW396" s="1045"/>
      <c r="AX396" s="1045"/>
      <c r="AY396" s="1045"/>
      <c r="BB396" s="1045"/>
      <c r="BC396" s="1045"/>
      <c r="BD396" s="1045"/>
      <c r="BE396" s="1045"/>
      <c r="BF396" s="1045"/>
      <c r="BG396" s="1045"/>
      <c r="BH396" s="1045"/>
      <c r="BI396" s="1045"/>
      <c r="BT396" s="945"/>
      <c r="BU396" s="956"/>
      <c r="BV396" s="1049"/>
      <c r="BW396" s="951"/>
      <c r="BX396" s="951"/>
      <c r="BY396" s="951"/>
      <c r="DS396" s="945"/>
    </row>
    <row r="397" spans="1:123" x14ac:dyDescent="0.2">
      <c r="A397" s="951"/>
      <c r="B397" s="951"/>
      <c r="C397" s="1312"/>
      <c r="D397" s="1461"/>
      <c r="E397" s="1047"/>
      <c r="F397" s="1048"/>
      <c r="G397" s="1048"/>
      <c r="H397" s="1048"/>
      <c r="I397" s="1048"/>
      <c r="J397" s="1045"/>
      <c r="K397" s="1048"/>
      <c r="L397" s="1048"/>
      <c r="M397" s="1045"/>
      <c r="N397" s="1048"/>
      <c r="O397" s="1048"/>
      <c r="P397" s="1045"/>
      <c r="Q397" s="1048"/>
      <c r="R397" s="1045"/>
      <c r="S397" s="1046"/>
      <c r="T397" s="1047"/>
      <c r="U397" s="1048"/>
      <c r="V397" s="1048"/>
      <c r="W397" s="1048"/>
      <c r="X397" s="1045"/>
      <c r="Y397" s="1045"/>
      <c r="Z397" s="1045"/>
      <c r="AA397" s="1045"/>
      <c r="AB397" s="1045"/>
      <c r="AC397" s="1045"/>
      <c r="AD397" s="1045"/>
      <c r="AE397" s="1045"/>
      <c r="AF397" s="1048"/>
      <c r="AG397" s="1048"/>
      <c r="AH397" s="1045"/>
      <c r="AI397" s="1045"/>
      <c r="AJ397" s="1045"/>
      <c r="AK397" s="1045"/>
      <c r="AL397" s="1045"/>
      <c r="AM397" s="1045"/>
      <c r="AN397" s="1045"/>
      <c r="AO397" s="1045"/>
      <c r="AP397" s="1048"/>
      <c r="AQ397" s="951"/>
      <c r="AR397" s="1045"/>
      <c r="AS397" s="1045"/>
      <c r="AT397" s="1045"/>
      <c r="AU397" s="1045"/>
      <c r="AV397" s="1045"/>
      <c r="AW397" s="1045"/>
      <c r="AX397" s="1045"/>
      <c r="AY397" s="1045"/>
      <c r="BB397" s="1045"/>
      <c r="BC397" s="1045"/>
      <c r="BD397" s="1045"/>
      <c r="BE397" s="1045"/>
      <c r="BF397" s="1045"/>
      <c r="BG397" s="1045"/>
      <c r="BH397" s="1045"/>
      <c r="BI397" s="1045"/>
      <c r="BT397" s="945"/>
      <c r="BU397" s="956"/>
      <c r="BV397" s="1049"/>
      <c r="BW397" s="951"/>
      <c r="BX397" s="951"/>
      <c r="BY397" s="951"/>
      <c r="DS397" s="945"/>
    </row>
    <row r="398" spans="1:123" x14ac:dyDescent="0.2">
      <c r="A398" s="951"/>
      <c r="B398" s="951"/>
      <c r="C398" s="1312"/>
      <c r="D398" s="1461"/>
      <c r="E398" s="1047"/>
      <c r="F398" s="1048"/>
      <c r="G398" s="1048"/>
      <c r="H398" s="1048"/>
      <c r="I398" s="1048"/>
      <c r="J398" s="1045"/>
      <c r="K398" s="1048"/>
      <c r="L398" s="1048"/>
      <c r="M398" s="1045"/>
      <c r="N398" s="1048"/>
      <c r="O398" s="1048"/>
      <c r="P398" s="1045"/>
      <c r="Q398" s="1048"/>
      <c r="R398" s="1045"/>
      <c r="S398" s="1046"/>
      <c r="T398" s="1047"/>
      <c r="U398" s="1048"/>
      <c r="V398" s="1048"/>
      <c r="W398" s="1048"/>
      <c r="X398" s="1045"/>
      <c r="Y398" s="1045"/>
      <c r="Z398" s="1045"/>
      <c r="AA398" s="1045"/>
      <c r="AB398" s="1045"/>
      <c r="AC398" s="1045"/>
      <c r="AD398" s="1045"/>
      <c r="AE398" s="1045"/>
      <c r="AF398" s="1048"/>
      <c r="AG398" s="1048"/>
      <c r="AH398" s="1045"/>
      <c r="AI398" s="1045"/>
      <c r="AJ398" s="1045"/>
      <c r="AK398" s="1045"/>
      <c r="AL398" s="1045"/>
      <c r="AM398" s="1045"/>
      <c r="AN398" s="1045"/>
      <c r="AO398" s="1045"/>
      <c r="AP398" s="1048"/>
      <c r="AQ398" s="951"/>
      <c r="AR398" s="1045"/>
      <c r="AS398" s="1045"/>
      <c r="AT398" s="1045"/>
      <c r="AU398" s="1045"/>
      <c r="AV398" s="1045"/>
      <c r="AW398" s="1045"/>
      <c r="AX398" s="1045"/>
      <c r="AY398" s="1045"/>
      <c r="BB398" s="1045"/>
      <c r="BC398" s="1045"/>
      <c r="BD398" s="1045"/>
      <c r="BE398" s="1045"/>
      <c r="BF398" s="1045"/>
      <c r="BG398" s="1045"/>
      <c r="BH398" s="1045"/>
      <c r="BI398" s="1045"/>
      <c r="BT398" s="945"/>
      <c r="BU398" s="956"/>
      <c r="BV398" s="1049"/>
      <c r="BW398" s="951"/>
      <c r="BX398" s="951"/>
      <c r="BY398" s="951"/>
      <c r="DS398" s="945"/>
    </row>
    <row r="399" spans="1:123" x14ac:dyDescent="0.2">
      <c r="A399" s="951"/>
      <c r="B399" s="951"/>
      <c r="C399" s="1312"/>
      <c r="D399" s="1462"/>
      <c r="E399" s="951"/>
      <c r="F399" s="951"/>
      <c r="G399" s="951"/>
      <c r="H399" s="951"/>
      <c r="I399" s="951"/>
      <c r="J399" s="959"/>
      <c r="L399" s="951"/>
      <c r="M399" s="959"/>
      <c r="N399" s="951"/>
      <c r="O399" s="951"/>
      <c r="P399" s="959"/>
      <c r="Q399" s="951"/>
      <c r="R399" s="959"/>
      <c r="S399" s="951"/>
      <c r="T399" s="951"/>
      <c r="U399" s="951"/>
      <c r="V399" s="951"/>
      <c r="W399" s="951"/>
      <c r="X399" s="959"/>
      <c r="Y399" s="959"/>
      <c r="Z399" s="959"/>
      <c r="AA399" s="959"/>
      <c r="AB399" s="959"/>
      <c r="AC399" s="959"/>
      <c r="AD399" s="959"/>
      <c r="AE399" s="959"/>
      <c r="AF399" s="951"/>
      <c r="AG399" s="951"/>
      <c r="AH399" s="959"/>
      <c r="AI399" s="959"/>
      <c r="AJ399" s="959"/>
      <c r="AK399" s="959"/>
      <c r="AL399" s="959"/>
      <c r="AM399" s="959"/>
      <c r="AN399" s="959"/>
      <c r="AO399" s="959"/>
      <c r="AP399" s="951"/>
      <c r="AQ399" s="951"/>
      <c r="AR399" s="959"/>
      <c r="AS399" s="959"/>
      <c r="AT399" s="959"/>
      <c r="AU399" s="959"/>
      <c r="AV399" s="959"/>
      <c r="AW399" s="959"/>
      <c r="AX399" s="959"/>
      <c r="AY399" s="959"/>
      <c r="BB399" s="959"/>
      <c r="BC399" s="959"/>
      <c r="BD399" s="959"/>
      <c r="BE399" s="959"/>
      <c r="BF399" s="959"/>
      <c r="BG399" s="959"/>
      <c r="BH399" s="959"/>
      <c r="BI399" s="959"/>
      <c r="BU399" s="956"/>
      <c r="BW399" s="951"/>
      <c r="BX399" s="951"/>
      <c r="BY399" s="951"/>
    </row>
    <row r="400" spans="1:123" x14ac:dyDescent="0.2">
      <c r="A400" s="951"/>
      <c r="B400" s="951"/>
      <c r="C400" s="1312"/>
      <c r="D400" s="1462"/>
      <c r="E400" s="951"/>
      <c r="F400" s="951"/>
      <c r="G400" s="951"/>
      <c r="H400" s="951"/>
      <c r="I400" s="951"/>
      <c r="J400" s="959"/>
      <c r="L400" s="951"/>
      <c r="M400" s="959"/>
      <c r="N400" s="951"/>
      <c r="O400" s="951"/>
      <c r="P400" s="959"/>
      <c r="Q400" s="951"/>
      <c r="R400" s="959"/>
      <c r="S400" s="951"/>
      <c r="T400" s="951"/>
      <c r="U400" s="951"/>
      <c r="V400" s="951"/>
      <c r="W400" s="951"/>
      <c r="X400" s="959"/>
      <c r="Y400" s="959"/>
      <c r="Z400" s="959"/>
      <c r="AA400" s="959"/>
      <c r="AB400" s="959"/>
      <c r="AC400" s="959"/>
      <c r="AD400" s="959"/>
      <c r="AE400" s="959"/>
      <c r="AF400" s="951"/>
      <c r="AG400" s="951"/>
      <c r="AH400" s="959"/>
      <c r="AI400" s="959"/>
      <c r="AJ400" s="959"/>
      <c r="AK400" s="959"/>
      <c r="AL400" s="959"/>
      <c r="AM400" s="959"/>
      <c r="AN400" s="959"/>
      <c r="AO400" s="959"/>
      <c r="AP400" s="951"/>
      <c r="AQ400" s="951"/>
      <c r="AR400" s="959"/>
      <c r="AS400" s="959"/>
      <c r="AT400" s="959"/>
      <c r="AU400" s="959"/>
      <c r="AV400" s="959"/>
      <c r="AW400" s="959"/>
      <c r="AX400" s="959"/>
      <c r="AY400" s="959"/>
      <c r="BB400" s="959"/>
      <c r="BC400" s="959"/>
      <c r="BD400" s="959"/>
      <c r="BE400" s="959"/>
      <c r="BF400" s="959"/>
      <c r="BG400" s="959"/>
      <c r="BH400" s="959"/>
      <c r="BI400" s="959"/>
      <c r="BU400" s="956"/>
      <c r="BW400" s="951"/>
      <c r="BX400" s="951"/>
      <c r="BY400" s="951"/>
    </row>
    <row r="401" spans="1:77" x14ac:dyDescent="0.2">
      <c r="A401" s="951"/>
      <c r="B401" s="951"/>
      <c r="C401" s="1312"/>
      <c r="D401" s="1461"/>
      <c r="E401" s="1047"/>
      <c r="F401" s="1048"/>
      <c r="G401" s="1048"/>
      <c r="H401" s="1048"/>
      <c r="I401" s="1048"/>
      <c r="J401" s="1045"/>
      <c r="K401" s="1048"/>
      <c r="L401" s="1048"/>
      <c r="M401" s="1045"/>
      <c r="N401" s="1048"/>
      <c r="O401" s="1048"/>
      <c r="P401" s="1045"/>
      <c r="Q401" s="1048"/>
      <c r="R401" s="1060"/>
      <c r="S401" s="1059"/>
      <c r="T401" s="1047"/>
      <c r="U401" s="1048"/>
      <c r="V401" s="1048"/>
      <c r="W401" s="1048"/>
      <c r="X401" s="1045"/>
      <c r="Y401" s="1045"/>
      <c r="Z401" s="1045"/>
      <c r="AA401" s="1045"/>
      <c r="AB401" s="1045"/>
      <c r="AC401" s="1045"/>
      <c r="AD401" s="1045"/>
      <c r="AE401" s="1045"/>
      <c r="AF401" s="1048"/>
      <c r="AG401" s="1048"/>
      <c r="AH401" s="1045"/>
      <c r="AI401" s="1045"/>
      <c r="AJ401" s="1045"/>
      <c r="AK401" s="1045"/>
      <c r="AL401" s="1045"/>
      <c r="AM401" s="1045"/>
      <c r="AN401" s="1045"/>
      <c r="AO401" s="1045"/>
      <c r="AP401" s="1048"/>
      <c r="AQ401" s="951"/>
      <c r="AR401" s="1045"/>
      <c r="AS401" s="1045"/>
      <c r="AT401" s="1045"/>
      <c r="AU401" s="1045"/>
      <c r="AV401" s="1045"/>
      <c r="AW401" s="1045"/>
      <c r="AX401" s="1045"/>
      <c r="AY401" s="1045"/>
      <c r="BB401" s="1045"/>
      <c r="BC401" s="1045"/>
      <c r="BD401" s="1045"/>
      <c r="BE401" s="1045"/>
      <c r="BF401" s="1045"/>
      <c r="BG401" s="1045"/>
      <c r="BH401" s="1045"/>
      <c r="BI401" s="1045"/>
      <c r="BU401" s="956"/>
      <c r="BV401" s="1049"/>
      <c r="BW401" s="951"/>
      <c r="BX401" s="951"/>
      <c r="BY401" s="951"/>
    </row>
    <row r="402" spans="1:77" x14ac:dyDescent="0.2">
      <c r="A402" s="951"/>
      <c r="B402" s="951"/>
      <c r="C402" s="1312"/>
      <c r="D402" s="1461"/>
      <c r="E402" s="1047"/>
      <c r="F402" s="1048"/>
      <c r="G402" s="1048"/>
      <c r="H402" s="1048"/>
      <c r="I402" s="1048"/>
      <c r="J402" s="1045"/>
      <c r="K402" s="1048"/>
      <c r="L402" s="1048"/>
      <c r="M402" s="1045"/>
      <c r="N402" s="1048"/>
      <c r="O402" s="1048"/>
      <c r="P402" s="1045"/>
      <c r="Q402" s="1048"/>
      <c r="R402" s="1061"/>
      <c r="S402" s="1050"/>
      <c r="T402" s="1047"/>
      <c r="U402" s="1048"/>
      <c r="V402" s="1048"/>
      <c r="W402" s="1048"/>
      <c r="X402" s="1045"/>
      <c r="Y402" s="1045"/>
      <c r="Z402" s="1045"/>
      <c r="AA402" s="1045"/>
      <c r="AB402" s="1045"/>
      <c r="AC402" s="1045"/>
      <c r="AD402" s="1045"/>
      <c r="AE402" s="1045"/>
      <c r="AF402" s="1048"/>
      <c r="AG402" s="1048"/>
      <c r="AH402" s="1045"/>
      <c r="AI402" s="1045"/>
      <c r="AJ402" s="1045"/>
      <c r="AK402" s="1045"/>
      <c r="AL402" s="1045"/>
      <c r="AM402" s="1045"/>
      <c r="AN402" s="1045"/>
      <c r="AO402" s="1045"/>
      <c r="AP402" s="1048"/>
      <c r="AQ402" s="951"/>
      <c r="AR402" s="1045"/>
      <c r="AS402" s="1045"/>
      <c r="AT402" s="1045"/>
      <c r="AU402" s="1045"/>
      <c r="AV402" s="1045"/>
      <c r="AW402" s="1045"/>
      <c r="AX402" s="1045"/>
      <c r="AY402" s="1045"/>
      <c r="BB402" s="1045"/>
      <c r="BC402" s="1045"/>
      <c r="BD402" s="1045"/>
      <c r="BE402" s="1045"/>
      <c r="BF402" s="1045"/>
      <c r="BG402" s="1045"/>
      <c r="BH402" s="1045"/>
      <c r="BI402" s="1045"/>
      <c r="BU402" s="956"/>
      <c r="BV402" s="1049"/>
      <c r="BW402" s="951"/>
      <c r="BX402" s="951"/>
      <c r="BY402" s="951"/>
    </row>
    <row r="403" spans="1:77" x14ac:dyDescent="0.2">
      <c r="A403" s="951"/>
      <c r="B403" s="951"/>
      <c r="C403" s="1312"/>
      <c r="D403" s="1463"/>
      <c r="E403" s="1050"/>
      <c r="F403" s="1051"/>
      <c r="G403" s="1051"/>
      <c r="H403" s="1051"/>
      <c r="I403" s="1051"/>
      <c r="J403" s="1052"/>
      <c r="K403" s="1051"/>
      <c r="L403" s="1051"/>
      <c r="M403" s="1052"/>
      <c r="N403" s="1051"/>
      <c r="O403" s="1051"/>
      <c r="P403" s="1052"/>
      <c r="Q403" s="1051"/>
      <c r="R403" s="1060"/>
      <c r="S403" s="1059"/>
      <c r="T403" s="1050"/>
      <c r="U403" s="1051"/>
      <c r="V403" s="1051"/>
      <c r="W403" s="1051"/>
      <c r="X403" s="1052"/>
      <c r="Y403" s="1052"/>
      <c r="Z403" s="1052"/>
      <c r="AA403" s="1052"/>
      <c r="AB403" s="1052"/>
      <c r="AC403" s="1052"/>
      <c r="AD403" s="1052"/>
      <c r="AE403" s="1052"/>
      <c r="AF403" s="1051"/>
      <c r="AG403" s="1051"/>
      <c r="AH403" s="1052"/>
      <c r="AI403" s="1052"/>
      <c r="AJ403" s="1052"/>
      <c r="AK403" s="1052"/>
      <c r="AL403" s="1052"/>
      <c r="AM403" s="1052"/>
      <c r="AN403" s="1052"/>
      <c r="AO403" s="1052"/>
      <c r="AP403" s="1051"/>
      <c r="AQ403" s="951"/>
      <c r="AR403" s="1052"/>
      <c r="AS403" s="1052"/>
      <c r="AT403" s="1052"/>
      <c r="AU403" s="1052"/>
      <c r="AV403" s="1052"/>
      <c r="AW403" s="1052"/>
      <c r="AX403" s="1052"/>
      <c r="AY403" s="1052"/>
      <c r="BB403" s="1052"/>
      <c r="BC403" s="1052"/>
      <c r="BD403" s="1052"/>
      <c r="BE403" s="1052"/>
      <c r="BF403" s="1052"/>
      <c r="BG403" s="1052"/>
      <c r="BH403" s="1052"/>
      <c r="BI403" s="1052"/>
      <c r="BU403" s="956"/>
      <c r="BV403" s="1052"/>
      <c r="BW403" s="951"/>
      <c r="BX403" s="951"/>
      <c r="BY403" s="951"/>
    </row>
    <row r="404" spans="1:77" x14ac:dyDescent="0.2">
      <c r="A404" s="951"/>
      <c r="B404" s="951"/>
      <c r="C404" s="1312"/>
      <c r="D404" s="1464"/>
      <c r="E404" s="1053"/>
      <c r="F404" s="1054"/>
      <c r="G404" s="1054"/>
      <c r="H404" s="1054"/>
      <c r="I404" s="1054"/>
      <c r="J404" s="1055"/>
      <c r="K404" s="1054"/>
      <c r="L404" s="1054"/>
      <c r="M404" s="1055"/>
      <c r="N404" s="1054"/>
      <c r="O404" s="1054"/>
      <c r="P404" s="1055"/>
      <c r="Q404" s="1054"/>
      <c r="R404" s="1060"/>
      <c r="S404" s="1059"/>
      <c r="T404" s="1053"/>
      <c r="U404" s="1054"/>
      <c r="V404" s="1054"/>
      <c r="W404" s="1054"/>
      <c r="X404" s="1055"/>
      <c r="Y404" s="1055"/>
      <c r="Z404" s="1055"/>
      <c r="AA404" s="1055"/>
      <c r="AB404" s="1055"/>
      <c r="AC404" s="1055"/>
      <c r="AD404" s="1055"/>
      <c r="AE404" s="1055"/>
      <c r="AF404" s="1054"/>
      <c r="AG404" s="1054"/>
      <c r="AH404" s="1055"/>
      <c r="AI404" s="1055"/>
      <c r="AJ404" s="1055"/>
      <c r="AK404" s="1055"/>
      <c r="AL404" s="1055"/>
      <c r="AM404" s="1055"/>
      <c r="AN404" s="1055"/>
      <c r="AO404" s="1055"/>
      <c r="AP404" s="1054"/>
      <c r="AQ404" s="951"/>
      <c r="AR404" s="1055"/>
      <c r="AS404" s="1055"/>
      <c r="AT404" s="1055"/>
      <c r="AU404" s="1055"/>
      <c r="AV404" s="1055"/>
      <c r="AW404" s="1055"/>
      <c r="AX404" s="1055"/>
      <c r="AY404" s="1055"/>
      <c r="BB404" s="1055"/>
      <c r="BC404" s="1055"/>
      <c r="BD404" s="1055"/>
      <c r="BE404" s="1055"/>
      <c r="BF404" s="1055"/>
      <c r="BG404" s="1055"/>
      <c r="BH404" s="1055"/>
      <c r="BI404" s="1055"/>
      <c r="BU404" s="956"/>
      <c r="BV404" s="1056"/>
      <c r="BW404" s="951"/>
      <c r="BX404" s="951"/>
      <c r="BY404" s="951"/>
    </row>
    <row r="405" spans="1:77" x14ac:dyDescent="0.2">
      <c r="A405" s="951"/>
      <c r="B405" s="951"/>
      <c r="C405" s="1312"/>
      <c r="D405" s="1465"/>
      <c r="E405" s="1057"/>
      <c r="F405" s="1054"/>
      <c r="G405" s="1054"/>
      <c r="H405" s="1054"/>
      <c r="I405" s="1054"/>
      <c r="J405" s="1055"/>
      <c r="K405" s="1054"/>
      <c r="L405" s="1054"/>
      <c r="M405" s="1055"/>
      <c r="N405" s="1054"/>
      <c r="O405" s="1054"/>
      <c r="P405" s="1055"/>
      <c r="Q405" s="1054"/>
      <c r="R405" s="1060"/>
      <c r="S405" s="1059"/>
      <c r="T405" s="1057"/>
      <c r="U405" s="1054"/>
      <c r="V405" s="1054"/>
      <c r="W405" s="1054"/>
      <c r="X405" s="1055"/>
      <c r="Y405" s="1055"/>
      <c r="Z405" s="1055"/>
      <c r="AA405" s="1055"/>
      <c r="AB405" s="1055"/>
      <c r="AC405" s="1055"/>
      <c r="AD405" s="1055"/>
      <c r="AE405" s="1055"/>
      <c r="AF405" s="1054"/>
      <c r="AG405" s="1054"/>
      <c r="AH405" s="1055"/>
      <c r="AI405" s="1055"/>
      <c r="AJ405" s="1055"/>
      <c r="AK405" s="1055"/>
      <c r="AL405" s="1055"/>
      <c r="AM405" s="1055"/>
      <c r="AN405" s="1055"/>
      <c r="AO405" s="1055"/>
      <c r="AP405" s="1054"/>
      <c r="AQ405" s="951"/>
      <c r="AR405" s="1055"/>
      <c r="AS405" s="1055"/>
      <c r="AT405" s="1055"/>
      <c r="AU405" s="1055"/>
      <c r="AV405" s="1055"/>
      <c r="AW405" s="1055"/>
      <c r="AX405" s="1055"/>
      <c r="AY405" s="1055"/>
      <c r="BB405" s="1055"/>
      <c r="BC405" s="1055"/>
      <c r="BD405" s="1055"/>
      <c r="BE405" s="1055"/>
      <c r="BF405" s="1055"/>
      <c r="BG405" s="1055"/>
      <c r="BH405" s="1055"/>
      <c r="BI405" s="1055"/>
      <c r="BU405" s="956"/>
      <c r="BV405" s="1056"/>
      <c r="BW405" s="951"/>
      <c r="BX405" s="951"/>
      <c r="BY405" s="951"/>
    </row>
    <row r="406" spans="1:77" x14ac:dyDescent="0.2">
      <c r="A406" s="951"/>
      <c r="B406" s="951"/>
      <c r="C406" s="1312"/>
      <c r="D406" s="1465"/>
      <c r="E406" s="1057"/>
      <c r="F406" s="1054"/>
      <c r="G406" s="1054"/>
      <c r="H406" s="1054"/>
      <c r="I406" s="1054"/>
      <c r="J406" s="1055"/>
      <c r="K406" s="1054"/>
      <c r="L406" s="1054"/>
      <c r="M406" s="1055"/>
      <c r="N406" s="1054"/>
      <c r="O406" s="1054"/>
      <c r="P406" s="1055"/>
      <c r="Q406" s="1054"/>
      <c r="R406" s="1060"/>
      <c r="S406" s="1059"/>
      <c r="T406" s="1057"/>
      <c r="U406" s="1054"/>
      <c r="V406" s="1054"/>
      <c r="W406" s="1054"/>
      <c r="X406" s="1055"/>
      <c r="Y406" s="1055"/>
      <c r="Z406" s="1055"/>
      <c r="AA406" s="1055"/>
      <c r="AB406" s="1055"/>
      <c r="AC406" s="1055"/>
      <c r="AD406" s="1055"/>
      <c r="AE406" s="1055"/>
      <c r="AF406" s="1054"/>
      <c r="AG406" s="1054"/>
      <c r="AH406" s="1055"/>
      <c r="AI406" s="1055"/>
      <c r="AJ406" s="1055"/>
      <c r="AK406" s="1055"/>
      <c r="AL406" s="1055"/>
      <c r="AM406" s="1055"/>
      <c r="AN406" s="1055"/>
      <c r="AO406" s="1055"/>
      <c r="AP406" s="1054"/>
      <c r="AQ406" s="951"/>
      <c r="AR406" s="1055"/>
      <c r="AS406" s="1055"/>
      <c r="AT406" s="1055"/>
      <c r="AU406" s="1055"/>
      <c r="AV406" s="1055"/>
      <c r="AW406" s="1055"/>
      <c r="AX406" s="1055"/>
      <c r="AY406" s="1055"/>
      <c r="BB406" s="1055"/>
      <c r="BC406" s="1055"/>
      <c r="BD406" s="1055"/>
      <c r="BE406" s="1055"/>
      <c r="BF406" s="1055"/>
      <c r="BG406" s="1055"/>
      <c r="BH406" s="1055"/>
      <c r="BI406" s="1055"/>
      <c r="BU406" s="956"/>
      <c r="BV406" s="1056"/>
      <c r="BW406" s="951"/>
      <c r="BX406" s="951"/>
      <c r="BY406" s="951"/>
    </row>
    <row r="407" spans="1:77" x14ac:dyDescent="0.2">
      <c r="A407" s="951"/>
      <c r="B407" s="951"/>
      <c r="C407" s="1312"/>
      <c r="D407" s="1465"/>
      <c r="E407" s="1057"/>
      <c r="F407" s="1057"/>
      <c r="G407" s="1057"/>
      <c r="H407" s="1057"/>
      <c r="I407" s="1057"/>
      <c r="J407" s="1062"/>
      <c r="K407" s="1057"/>
      <c r="L407" s="1057"/>
      <c r="M407" s="1062"/>
      <c r="N407" s="1057"/>
      <c r="O407" s="1057"/>
      <c r="P407" s="1062"/>
      <c r="Q407" s="1057"/>
      <c r="R407" s="1060"/>
      <c r="S407" s="1059"/>
      <c r="T407" s="1059"/>
      <c r="U407" s="1059"/>
      <c r="V407" s="1070"/>
      <c r="W407" s="1059"/>
      <c r="X407" s="1060"/>
      <c r="Y407" s="1060"/>
      <c r="Z407" s="1060"/>
      <c r="AA407" s="1060"/>
      <c r="AB407" s="1060"/>
      <c r="AC407" s="1060"/>
      <c r="AD407" s="1060"/>
      <c r="AE407" s="1060"/>
      <c r="AF407" s="1059"/>
      <c r="AG407" s="1059"/>
      <c r="AH407" s="1060"/>
      <c r="AI407" s="1060"/>
      <c r="AJ407" s="1060"/>
      <c r="AK407" s="1060"/>
      <c r="AL407" s="1060"/>
      <c r="AM407" s="1060"/>
      <c r="AN407" s="1060"/>
      <c r="AO407" s="1060"/>
      <c r="AP407" s="1059"/>
      <c r="AQ407" s="951"/>
      <c r="AR407" s="1060"/>
      <c r="AS407" s="1060"/>
      <c r="AT407" s="1060"/>
      <c r="AU407" s="1060"/>
      <c r="AV407" s="1060"/>
      <c r="AW407" s="1060"/>
      <c r="AX407" s="1060"/>
      <c r="AY407" s="1060"/>
      <c r="BB407" s="1060"/>
      <c r="BC407" s="1060"/>
      <c r="BD407" s="1060"/>
      <c r="BE407" s="1060"/>
      <c r="BF407" s="1060"/>
      <c r="BG407" s="1060"/>
      <c r="BH407" s="1060"/>
      <c r="BI407" s="1060"/>
      <c r="BU407" s="956"/>
      <c r="BV407" s="1063"/>
      <c r="BW407" s="951"/>
      <c r="BX407" s="951"/>
      <c r="BY407" s="951"/>
    </row>
    <row r="408" spans="1:77" x14ac:dyDescent="0.2">
      <c r="A408" s="951"/>
      <c r="B408" s="951"/>
      <c r="C408" s="1312"/>
      <c r="D408" s="1466"/>
      <c r="E408" s="1064"/>
      <c r="F408" s="1064"/>
      <c r="G408" s="1046"/>
      <c r="H408" s="1046"/>
      <c r="I408" s="1046"/>
      <c r="J408" s="1045"/>
      <c r="K408" s="1046"/>
      <c r="L408" s="1046"/>
      <c r="M408" s="1045"/>
      <c r="N408" s="1046"/>
      <c r="O408" s="1046"/>
      <c r="P408" s="1044"/>
      <c r="Q408" s="1065"/>
      <c r="R408" s="1060"/>
      <c r="S408" s="1059"/>
      <c r="T408" s="1064"/>
      <c r="U408" s="1064"/>
      <c r="V408" s="1046"/>
      <c r="W408" s="1046"/>
      <c r="X408" s="1045"/>
      <c r="Y408" s="1045"/>
      <c r="Z408" s="1045"/>
      <c r="AA408" s="1045"/>
      <c r="AB408" s="1045"/>
      <c r="AC408" s="1045"/>
      <c r="AD408" s="1045"/>
      <c r="AE408" s="1045"/>
      <c r="AF408" s="1046"/>
      <c r="AG408" s="1046"/>
      <c r="AH408" s="1045"/>
      <c r="AI408" s="1045"/>
      <c r="AJ408" s="1045"/>
      <c r="AK408" s="1045"/>
      <c r="AL408" s="1045"/>
      <c r="AM408" s="1045"/>
      <c r="AN408" s="1045"/>
      <c r="AO408" s="1045"/>
      <c r="AP408" s="1065"/>
      <c r="AQ408" s="951"/>
      <c r="AR408" s="1045"/>
      <c r="AS408" s="1045"/>
      <c r="AT408" s="1045"/>
      <c r="AU408" s="1045"/>
      <c r="AV408" s="1045"/>
      <c r="AW408" s="1045"/>
      <c r="AX408" s="1045"/>
      <c r="AY408" s="1045"/>
      <c r="BB408" s="1045"/>
      <c r="BC408" s="1045"/>
      <c r="BD408" s="1045"/>
      <c r="BE408" s="1045"/>
      <c r="BF408" s="1045"/>
      <c r="BG408" s="1045"/>
      <c r="BH408" s="1045"/>
      <c r="BI408" s="1045"/>
      <c r="BU408" s="956"/>
      <c r="BV408" s="1044"/>
      <c r="BW408" s="951"/>
      <c r="BX408" s="951"/>
      <c r="BY408" s="951"/>
    </row>
    <row r="409" spans="1:77" x14ac:dyDescent="0.2">
      <c r="A409" s="951"/>
      <c r="B409" s="951"/>
      <c r="C409" s="1312"/>
      <c r="D409" s="1467"/>
      <c r="E409" s="1066"/>
      <c r="F409" s="1066"/>
      <c r="G409" s="1046"/>
      <c r="H409" s="1046"/>
      <c r="I409" s="1046"/>
      <c r="J409" s="1045"/>
      <c r="K409" s="1046"/>
      <c r="L409" s="1046"/>
      <c r="M409" s="1045"/>
      <c r="N409" s="1046"/>
      <c r="O409" s="1046"/>
      <c r="P409" s="1049"/>
      <c r="Q409" s="1067"/>
      <c r="R409" s="1060"/>
      <c r="S409" s="1059"/>
      <c r="T409" s="1066"/>
      <c r="U409" s="1066"/>
      <c r="V409" s="1046"/>
      <c r="W409" s="1046"/>
      <c r="X409" s="1045"/>
      <c r="Y409" s="1045"/>
      <c r="Z409" s="1045"/>
      <c r="AA409" s="1045"/>
      <c r="AB409" s="1045"/>
      <c r="AC409" s="1045"/>
      <c r="AD409" s="1045"/>
      <c r="AE409" s="1045"/>
      <c r="AF409" s="1046"/>
      <c r="AG409" s="1046"/>
      <c r="AH409" s="1045"/>
      <c r="AI409" s="1045"/>
      <c r="AJ409" s="1045"/>
      <c r="AK409" s="1045"/>
      <c r="AL409" s="1045"/>
      <c r="AM409" s="1045"/>
      <c r="AN409" s="1045"/>
      <c r="AO409" s="1045"/>
      <c r="AP409" s="1067"/>
      <c r="AQ409" s="951"/>
      <c r="AR409" s="1045"/>
      <c r="AS409" s="1045"/>
      <c r="AT409" s="1045"/>
      <c r="AU409" s="1045"/>
      <c r="AV409" s="1045"/>
      <c r="AW409" s="1045"/>
      <c r="AX409" s="1045"/>
      <c r="AY409" s="1045"/>
      <c r="BB409" s="1045"/>
      <c r="BC409" s="1045"/>
      <c r="BD409" s="1045"/>
      <c r="BE409" s="1045"/>
      <c r="BF409" s="1045"/>
      <c r="BG409" s="1045"/>
      <c r="BH409" s="1045"/>
      <c r="BI409" s="1045"/>
      <c r="BU409" s="956"/>
      <c r="BV409" s="1049"/>
      <c r="BW409" s="951"/>
      <c r="BX409" s="951"/>
      <c r="BY409" s="951"/>
    </row>
    <row r="410" spans="1:77" x14ac:dyDescent="0.2">
      <c r="A410" s="951"/>
      <c r="B410" s="951"/>
      <c r="C410" s="1312"/>
      <c r="D410" s="1461"/>
      <c r="E410" s="1047"/>
      <c r="F410" s="1047"/>
      <c r="G410" s="1046"/>
      <c r="H410" s="1046"/>
      <c r="I410" s="1046"/>
      <c r="J410" s="1045"/>
      <c r="K410" s="1046"/>
      <c r="L410" s="1046"/>
      <c r="M410" s="1068"/>
      <c r="N410" s="1069"/>
      <c r="O410" s="1069"/>
      <c r="P410" s="1049"/>
      <c r="Q410" s="1067"/>
      <c r="R410" s="1060"/>
      <c r="S410" s="1059"/>
      <c r="T410" s="1047"/>
      <c r="U410" s="1047"/>
      <c r="V410" s="1046"/>
      <c r="W410" s="1046"/>
      <c r="X410" s="1045"/>
      <c r="Y410" s="1045"/>
      <c r="Z410" s="1045"/>
      <c r="AA410" s="1045"/>
      <c r="AB410" s="1045"/>
      <c r="AC410" s="1045"/>
      <c r="AD410" s="1045"/>
      <c r="AE410" s="1045"/>
      <c r="AF410" s="1046"/>
      <c r="AG410" s="1069"/>
      <c r="AH410" s="1045"/>
      <c r="AI410" s="1045"/>
      <c r="AJ410" s="1045"/>
      <c r="AK410" s="1045"/>
      <c r="AL410" s="1045"/>
      <c r="AM410" s="1045"/>
      <c r="AN410" s="1045"/>
      <c r="AO410" s="1045"/>
      <c r="AP410" s="1067"/>
      <c r="AQ410" s="951"/>
      <c r="AR410" s="1045"/>
      <c r="AS410" s="1045"/>
      <c r="AT410" s="1045"/>
      <c r="AU410" s="1045"/>
      <c r="AV410" s="1045"/>
      <c r="AW410" s="1045"/>
      <c r="AX410" s="1045"/>
      <c r="AY410" s="1045"/>
      <c r="BB410" s="1045"/>
      <c r="BC410" s="1045"/>
      <c r="BD410" s="1045"/>
      <c r="BE410" s="1045"/>
      <c r="BF410" s="1045"/>
      <c r="BG410" s="1045"/>
      <c r="BH410" s="1045"/>
      <c r="BI410" s="1045"/>
      <c r="BU410" s="956"/>
      <c r="BV410" s="1049"/>
      <c r="BW410" s="951"/>
      <c r="BX410" s="951"/>
      <c r="BY410" s="951"/>
    </row>
    <row r="411" spans="1:77" x14ac:dyDescent="0.2">
      <c r="A411" s="951"/>
      <c r="B411" s="951"/>
      <c r="C411" s="1312"/>
      <c r="D411" s="1462"/>
      <c r="E411" s="951"/>
      <c r="F411" s="1043"/>
      <c r="G411" s="1043"/>
      <c r="H411" s="1043"/>
      <c r="I411" s="1043"/>
      <c r="J411" s="1044"/>
      <c r="K411" s="1043"/>
      <c r="L411" s="1043"/>
      <c r="M411" s="1044"/>
      <c r="N411" s="1043"/>
      <c r="O411" s="1043"/>
      <c r="P411" s="1044"/>
      <c r="Q411" s="1043"/>
      <c r="R411" s="1060"/>
      <c r="S411" s="1059"/>
      <c r="T411" s="951"/>
      <c r="U411" s="1043"/>
      <c r="V411" s="1043"/>
      <c r="W411" s="1043"/>
      <c r="X411" s="1044"/>
      <c r="Y411" s="1044"/>
      <c r="Z411" s="1044"/>
      <c r="AA411" s="1044"/>
      <c r="AB411" s="1044"/>
      <c r="AC411" s="1044"/>
      <c r="AD411" s="1044"/>
      <c r="AE411" s="1044"/>
      <c r="AF411" s="1043"/>
      <c r="AG411" s="1043"/>
      <c r="AH411" s="1044"/>
      <c r="AI411" s="1044"/>
      <c r="AJ411" s="1044"/>
      <c r="AK411" s="1044"/>
      <c r="AL411" s="1044"/>
      <c r="AM411" s="1044"/>
      <c r="AN411" s="1044"/>
      <c r="AO411" s="1044"/>
      <c r="AP411" s="1043"/>
      <c r="AQ411" s="951"/>
      <c r="AR411" s="1044"/>
      <c r="AS411" s="1044"/>
      <c r="AT411" s="1044"/>
      <c r="AU411" s="1044"/>
      <c r="AV411" s="1044"/>
      <c r="AW411" s="1044"/>
      <c r="AX411" s="1044"/>
      <c r="AY411" s="1044"/>
      <c r="BB411" s="1044"/>
      <c r="BC411" s="1044"/>
      <c r="BD411" s="1044"/>
      <c r="BE411" s="1044"/>
      <c r="BF411" s="1044"/>
      <c r="BG411" s="1044"/>
      <c r="BH411" s="1044"/>
      <c r="BI411" s="1044"/>
      <c r="BU411" s="956"/>
      <c r="BV411" s="1044"/>
      <c r="BW411" s="951"/>
      <c r="BX411" s="951"/>
      <c r="BY411" s="951"/>
    </row>
    <row r="412" spans="1:77" x14ac:dyDescent="0.2">
      <c r="A412" s="951"/>
      <c r="B412" s="951"/>
      <c r="C412" s="1312"/>
      <c r="D412" s="1461"/>
      <c r="E412" s="1047"/>
      <c r="F412" s="1048"/>
      <c r="G412" s="1048"/>
      <c r="H412" s="1048"/>
      <c r="I412" s="1048"/>
      <c r="J412" s="1045"/>
      <c r="K412" s="1048"/>
      <c r="L412" s="1048"/>
      <c r="M412" s="1045"/>
      <c r="N412" s="1048"/>
      <c r="O412" s="1048"/>
      <c r="P412" s="1045"/>
      <c r="Q412" s="1048"/>
      <c r="R412" s="1061"/>
      <c r="S412" s="1050"/>
      <c r="T412" s="1047"/>
      <c r="U412" s="1048"/>
      <c r="V412" s="1048"/>
      <c r="W412" s="1048"/>
      <c r="X412" s="1045"/>
      <c r="Y412" s="1045"/>
      <c r="Z412" s="1045"/>
      <c r="AA412" s="1045"/>
      <c r="AB412" s="1045"/>
      <c r="AC412" s="1045"/>
      <c r="AD412" s="1045"/>
      <c r="AE412" s="1045"/>
      <c r="AF412" s="1048"/>
      <c r="AG412" s="1048"/>
      <c r="AH412" s="1045"/>
      <c r="AI412" s="1045"/>
      <c r="AJ412" s="1045"/>
      <c r="AK412" s="1045"/>
      <c r="AL412" s="1045"/>
      <c r="AM412" s="1045"/>
      <c r="AN412" s="1045"/>
      <c r="AO412" s="1045"/>
      <c r="AP412" s="1048"/>
      <c r="AQ412" s="951"/>
      <c r="AR412" s="1045"/>
      <c r="AS412" s="1045"/>
      <c r="AT412" s="1045"/>
      <c r="AU412" s="1045"/>
      <c r="AV412" s="1045"/>
      <c r="AW412" s="1045"/>
      <c r="AX412" s="1045"/>
      <c r="AY412" s="1045"/>
      <c r="BB412" s="1045"/>
      <c r="BC412" s="1045"/>
      <c r="BD412" s="1045"/>
      <c r="BE412" s="1045"/>
      <c r="BF412" s="1045"/>
      <c r="BG412" s="1045"/>
      <c r="BH412" s="1045"/>
      <c r="BI412" s="1045"/>
      <c r="BU412" s="956"/>
      <c r="BV412" s="1049"/>
      <c r="BW412" s="951"/>
      <c r="BX412" s="951"/>
      <c r="BY412" s="951"/>
    </row>
    <row r="413" spans="1:77" x14ac:dyDescent="0.2">
      <c r="A413" s="951"/>
      <c r="B413" s="951"/>
      <c r="C413" s="1312"/>
      <c r="D413" s="1461"/>
      <c r="E413" s="1047"/>
      <c r="F413" s="1048"/>
      <c r="G413" s="1048"/>
      <c r="H413" s="1048"/>
      <c r="I413" s="1048"/>
      <c r="J413" s="1045"/>
      <c r="K413" s="1048"/>
      <c r="L413" s="1048"/>
      <c r="M413" s="1045"/>
      <c r="N413" s="1048"/>
      <c r="O413" s="1048"/>
      <c r="P413" s="1045"/>
      <c r="Q413" s="1048"/>
      <c r="R413" s="1061"/>
      <c r="S413" s="1050"/>
      <c r="T413" s="1047"/>
      <c r="U413" s="1048"/>
      <c r="V413" s="1048"/>
      <c r="W413" s="1048"/>
      <c r="X413" s="1045"/>
      <c r="Y413" s="1045"/>
      <c r="Z413" s="1045"/>
      <c r="AA413" s="1045"/>
      <c r="AB413" s="1045"/>
      <c r="AC413" s="1045"/>
      <c r="AD413" s="1045"/>
      <c r="AE413" s="1045"/>
      <c r="AF413" s="1048"/>
      <c r="AG413" s="1048"/>
      <c r="AH413" s="1045"/>
      <c r="AI413" s="1045"/>
      <c r="AJ413" s="1045"/>
      <c r="AK413" s="1045"/>
      <c r="AL413" s="1045"/>
      <c r="AM413" s="1045"/>
      <c r="AN413" s="1045"/>
      <c r="AO413" s="1045"/>
      <c r="AP413" s="1048"/>
      <c r="AQ413" s="951"/>
      <c r="AR413" s="1045"/>
      <c r="AS413" s="1045"/>
      <c r="AT413" s="1045"/>
      <c r="AU413" s="1045"/>
      <c r="AV413" s="1045"/>
      <c r="AW413" s="1045"/>
      <c r="AX413" s="1045"/>
      <c r="AY413" s="1045"/>
      <c r="BB413" s="1045"/>
      <c r="BC413" s="1045"/>
      <c r="BD413" s="1045"/>
      <c r="BE413" s="1045"/>
      <c r="BF413" s="1045"/>
      <c r="BG413" s="1045"/>
      <c r="BH413" s="1045"/>
      <c r="BI413" s="1045"/>
      <c r="BU413" s="956"/>
      <c r="BV413" s="1049"/>
      <c r="BW413" s="951"/>
      <c r="BX413" s="951"/>
      <c r="BY413" s="951"/>
    </row>
    <row r="414" spans="1:77" x14ac:dyDescent="0.2">
      <c r="A414" s="951"/>
      <c r="B414" s="951"/>
      <c r="C414" s="1312"/>
      <c r="D414" s="1463"/>
      <c r="E414" s="1050"/>
      <c r="F414" s="1051"/>
      <c r="G414" s="1051"/>
      <c r="H414" s="1051"/>
      <c r="I414" s="1051"/>
      <c r="J414" s="1052"/>
      <c r="K414" s="1051"/>
      <c r="L414" s="1051"/>
      <c r="M414" s="1052"/>
      <c r="N414" s="1051"/>
      <c r="O414" s="1051"/>
      <c r="P414" s="1052"/>
      <c r="Q414" s="1051"/>
      <c r="R414" s="1061"/>
      <c r="S414" s="1050"/>
      <c r="T414" s="1050"/>
      <c r="U414" s="1051"/>
      <c r="V414" s="1051"/>
      <c r="W414" s="1051"/>
      <c r="X414" s="1052"/>
      <c r="Y414" s="1052"/>
      <c r="Z414" s="1052"/>
      <c r="AA414" s="1052"/>
      <c r="AB414" s="1052"/>
      <c r="AC414" s="1052"/>
      <c r="AD414" s="1052"/>
      <c r="AE414" s="1052"/>
      <c r="AF414" s="1051"/>
      <c r="AG414" s="1051"/>
      <c r="AH414" s="1052"/>
      <c r="AI414" s="1052"/>
      <c r="AJ414" s="1052"/>
      <c r="AK414" s="1052"/>
      <c r="AL414" s="1052"/>
      <c r="AM414" s="1052"/>
      <c r="AN414" s="1052"/>
      <c r="AO414" s="1052"/>
      <c r="AP414" s="1051"/>
      <c r="AQ414" s="951"/>
      <c r="AR414" s="1052"/>
      <c r="AS414" s="1052"/>
      <c r="AT414" s="1052"/>
      <c r="AU414" s="1052"/>
      <c r="AV414" s="1052"/>
      <c r="AW414" s="1052"/>
      <c r="AX414" s="1052"/>
      <c r="AY414" s="1052"/>
      <c r="BB414" s="1052"/>
      <c r="BC414" s="1052"/>
      <c r="BD414" s="1052"/>
      <c r="BE414" s="1052"/>
      <c r="BF414" s="1052"/>
      <c r="BG414" s="1052"/>
      <c r="BH414" s="1052"/>
      <c r="BI414" s="1052"/>
      <c r="BU414" s="956"/>
      <c r="BV414" s="1052"/>
      <c r="BW414" s="951"/>
      <c r="BX414" s="951"/>
      <c r="BY414" s="951"/>
    </row>
    <row r="415" spans="1:77" x14ac:dyDescent="0.2">
      <c r="A415" s="951"/>
      <c r="B415" s="951"/>
      <c r="C415" s="1312"/>
      <c r="D415" s="1464"/>
      <c r="E415" s="1053"/>
      <c r="F415" s="1054"/>
      <c r="G415" s="1054"/>
      <c r="H415" s="1054"/>
      <c r="I415" s="1054"/>
      <c r="J415" s="1055"/>
      <c r="K415" s="1054"/>
      <c r="L415" s="1054"/>
      <c r="M415" s="1055"/>
      <c r="N415" s="1054"/>
      <c r="O415" s="1054"/>
      <c r="P415" s="1055"/>
      <c r="Q415" s="1054"/>
      <c r="R415" s="944"/>
      <c r="S415" s="956"/>
      <c r="T415" s="1053"/>
      <c r="U415" s="1054"/>
      <c r="V415" s="1054"/>
      <c r="W415" s="1054"/>
      <c r="X415" s="1055"/>
      <c r="Y415" s="1055"/>
      <c r="Z415" s="1055"/>
      <c r="AA415" s="1055"/>
      <c r="AB415" s="1055"/>
      <c r="AC415" s="1055"/>
      <c r="AD415" s="1055"/>
      <c r="AE415" s="1055"/>
      <c r="AF415" s="1054"/>
      <c r="AG415" s="1054"/>
      <c r="AH415" s="1055"/>
      <c r="AI415" s="1055"/>
      <c r="AJ415" s="1055"/>
      <c r="AK415" s="1055"/>
      <c r="AL415" s="1055"/>
      <c r="AM415" s="1055"/>
      <c r="AN415" s="1055"/>
      <c r="AO415" s="1055"/>
      <c r="AP415" s="1054"/>
      <c r="AQ415" s="951"/>
      <c r="AR415" s="1055"/>
      <c r="AS415" s="1055"/>
      <c r="AT415" s="1055"/>
      <c r="AU415" s="1055"/>
      <c r="AV415" s="1055"/>
      <c r="AW415" s="1055"/>
      <c r="AX415" s="1055"/>
      <c r="AY415" s="1055"/>
      <c r="BB415" s="1055"/>
      <c r="BC415" s="1055"/>
      <c r="BD415" s="1055"/>
      <c r="BE415" s="1055"/>
      <c r="BF415" s="1055"/>
      <c r="BG415" s="1055"/>
      <c r="BH415" s="1055"/>
      <c r="BI415" s="1055"/>
      <c r="BU415" s="956"/>
      <c r="BV415" s="1056"/>
      <c r="BW415" s="951"/>
      <c r="BX415" s="951"/>
      <c r="BY415" s="951"/>
    </row>
    <row r="416" spans="1:77" x14ac:dyDescent="0.2">
      <c r="A416" s="951"/>
      <c r="B416" s="951"/>
      <c r="C416" s="1312"/>
      <c r="D416" s="1465"/>
      <c r="E416" s="1057"/>
      <c r="F416" s="1054"/>
      <c r="G416" s="1054"/>
      <c r="H416" s="1054"/>
      <c r="I416" s="1054"/>
      <c r="J416" s="1055"/>
      <c r="K416" s="1054"/>
      <c r="L416" s="1054"/>
      <c r="M416" s="1055"/>
      <c r="N416" s="1054"/>
      <c r="O416" s="1054"/>
      <c r="P416" s="1055"/>
      <c r="Q416" s="1054"/>
      <c r="R416" s="1061"/>
      <c r="S416" s="1050"/>
      <c r="T416" s="1057"/>
      <c r="U416" s="1054"/>
      <c r="V416" s="1054"/>
      <c r="W416" s="1054"/>
      <c r="X416" s="1055"/>
      <c r="Y416" s="1055"/>
      <c r="Z416" s="1055"/>
      <c r="AA416" s="1055"/>
      <c r="AB416" s="1055"/>
      <c r="AC416" s="1055"/>
      <c r="AD416" s="1055"/>
      <c r="AE416" s="1055"/>
      <c r="AF416" s="1054"/>
      <c r="AG416" s="1054"/>
      <c r="AH416" s="1055"/>
      <c r="AI416" s="1055"/>
      <c r="AJ416" s="1055"/>
      <c r="AK416" s="1055"/>
      <c r="AL416" s="1055"/>
      <c r="AM416" s="1055"/>
      <c r="AN416" s="1055"/>
      <c r="AO416" s="1055"/>
      <c r="AP416" s="1054"/>
      <c r="AQ416" s="951"/>
      <c r="AR416" s="1055"/>
      <c r="AS416" s="1055"/>
      <c r="AT416" s="1055"/>
      <c r="AU416" s="1055"/>
      <c r="AV416" s="1055"/>
      <c r="AW416" s="1055"/>
      <c r="AX416" s="1055"/>
      <c r="AY416" s="1055"/>
      <c r="BB416" s="1055"/>
      <c r="BC416" s="1055"/>
      <c r="BD416" s="1055"/>
      <c r="BE416" s="1055"/>
      <c r="BF416" s="1055"/>
      <c r="BG416" s="1055"/>
      <c r="BH416" s="1055"/>
      <c r="BI416" s="1055"/>
      <c r="BU416" s="956"/>
      <c r="BV416" s="1056"/>
      <c r="BW416" s="951"/>
      <c r="BX416" s="951"/>
      <c r="BY416" s="951"/>
    </row>
    <row r="417" spans="1:77" x14ac:dyDescent="0.2">
      <c r="A417" s="951"/>
      <c r="B417" s="951"/>
      <c r="C417" s="1312"/>
      <c r="D417" s="1465"/>
      <c r="E417" s="1057"/>
      <c r="F417" s="1054"/>
      <c r="G417" s="1054"/>
      <c r="H417" s="1054"/>
      <c r="I417" s="1054"/>
      <c r="J417" s="1055"/>
      <c r="K417" s="1054"/>
      <c r="L417" s="1054"/>
      <c r="M417" s="1055"/>
      <c r="N417" s="1054"/>
      <c r="O417" s="1054"/>
      <c r="P417" s="1055"/>
      <c r="Q417" s="1054"/>
      <c r="R417" s="1061"/>
      <c r="S417" s="1050"/>
      <c r="T417" s="1057"/>
      <c r="U417" s="1054"/>
      <c r="V417" s="1054"/>
      <c r="W417" s="1054"/>
      <c r="X417" s="1055"/>
      <c r="Y417" s="1055"/>
      <c r="Z417" s="1055"/>
      <c r="AA417" s="1055"/>
      <c r="AB417" s="1055"/>
      <c r="AC417" s="1055"/>
      <c r="AD417" s="1055"/>
      <c r="AE417" s="1055"/>
      <c r="AF417" s="1054"/>
      <c r="AG417" s="1054"/>
      <c r="AH417" s="1055"/>
      <c r="AI417" s="1055"/>
      <c r="AJ417" s="1055"/>
      <c r="AK417" s="1055"/>
      <c r="AL417" s="1055"/>
      <c r="AM417" s="1055"/>
      <c r="AN417" s="1055"/>
      <c r="AO417" s="1055"/>
      <c r="AP417" s="1054"/>
      <c r="AQ417" s="951"/>
      <c r="AR417" s="1055"/>
      <c r="AS417" s="1055"/>
      <c r="AT417" s="1055"/>
      <c r="AU417" s="1055"/>
      <c r="AV417" s="1055"/>
      <c r="AW417" s="1055"/>
      <c r="AX417" s="1055"/>
      <c r="AY417" s="1055"/>
      <c r="BB417" s="1055"/>
      <c r="BC417" s="1055"/>
      <c r="BD417" s="1055"/>
      <c r="BE417" s="1055"/>
      <c r="BF417" s="1055"/>
      <c r="BG417" s="1055"/>
      <c r="BH417" s="1055"/>
      <c r="BI417" s="1055"/>
      <c r="BU417" s="956"/>
      <c r="BV417" s="1056"/>
      <c r="BW417" s="951"/>
      <c r="BX417" s="951"/>
      <c r="BY417" s="951"/>
    </row>
    <row r="418" spans="1:77" x14ac:dyDescent="0.2">
      <c r="A418" s="951"/>
      <c r="B418" s="951"/>
      <c r="C418" s="1312"/>
      <c r="D418" s="1462"/>
      <c r="E418" s="951"/>
      <c r="F418" s="951"/>
      <c r="G418" s="951"/>
      <c r="H418" s="951"/>
      <c r="I418" s="951"/>
      <c r="J418" s="959"/>
      <c r="L418" s="951"/>
      <c r="M418" s="1061"/>
      <c r="N418" s="1050"/>
      <c r="O418" s="1050"/>
      <c r="P418" s="1061"/>
      <c r="Q418" s="1050"/>
      <c r="R418" s="1061"/>
      <c r="S418" s="1071"/>
      <c r="T418" s="1051"/>
      <c r="U418" s="1059"/>
      <c r="V418" s="1059"/>
      <c r="W418" s="1059"/>
      <c r="X418" s="1060"/>
      <c r="Y418" s="1060"/>
      <c r="Z418" s="1060"/>
      <c r="AA418" s="1060"/>
      <c r="AB418" s="1060"/>
      <c r="AC418" s="1060"/>
      <c r="AD418" s="1060"/>
      <c r="AE418" s="1060"/>
      <c r="AF418" s="1059"/>
      <c r="AG418" s="1059"/>
      <c r="AH418" s="1060"/>
      <c r="AI418" s="1060"/>
      <c r="AJ418" s="1060"/>
      <c r="AK418" s="1060"/>
      <c r="AL418" s="1060"/>
      <c r="AM418" s="1060"/>
      <c r="AN418" s="1060"/>
      <c r="AO418" s="1060"/>
      <c r="AP418" s="1059"/>
      <c r="AQ418" s="951"/>
      <c r="AR418" s="1060"/>
      <c r="AS418" s="1060"/>
      <c r="AT418" s="1060"/>
      <c r="AU418" s="1060"/>
      <c r="AV418" s="1060"/>
      <c r="AW418" s="1060"/>
      <c r="AX418" s="1060"/>
      <c r="AY418" s="1060"/>
      <c r="BB418" s="1060"/>
      <c r="BC418" s="1060"/>
      <c r="BD418" s="1060"/>
      <c r="BE418" s="1060"/>
      <c r="BF418" s="1060"/>
      <c r="BG418" s="1060"/>
      <c r="BH418" s="1060"/>
      <c r="BI418" s="1060"/>
      <c r="BU418" s="956"/>
      <c r="BV418" s="1061"/>
      <c r="BW418" s="951"/>
      <c r="BX418" s="951"/>
      <c r="BY418" s="951"/>
    </row>
    <row r="419" spans="1:77" x14ac:dyDescent="0.2">
      <c r="A419" s="951"/>
      <c r="B419" s="951"/>
      <c r="C419" s="1312"/>
      <c r="D419" s="1466"/>
      <c r="E419" s="1064"/>
      <c r="F419" s="1064"/>
      <c r="G419" s="1046"/>
      <c r="H419" s="1046"/>
      <c r="I419" s="1046"/>
      <c r="J419" s="1045"/>
      <c r="K419" s="1046"/>
      <c r="L419" s="1046"/>
      <c r="M419" s="1045"/>
      <c r="N419" s="1046"/>
      <c r="O419" s="1046"/>
      <c r="P419" s="1044"/>
      <c r="Q419" s="1065"/>
      <c r="R419" s="1061"/>
      <c r="S419" s="1071"/>
      <c r="T419" s="1064"/>
      <c r="U419" s="1064"/>
      <c r="V419" s="1046"/>
      <c r="W419" s="1046"/>
      <c r="X419" s="1045"/>
      <c r="Y419" s="1045"/>
      <c r="Z419" s="1045"/>
      <c r="AA419" s="1045"/>
      <c r="AB419" s="1045"/>
      <c r="AC419" s="1045"/>
      <c r="AD419" s="1045"/>
      <c r="AE419" s="1045"/>
      <c r="AF419" s="1046"/>
      <c r="AG419" s="1046"/>
      <c r="AH419" s="1045"/>
      <c r="AI419" s="1045"/>
      <c r="AJ419" s="1045"/>
      <c r="AK419" s="1045"/>
      <c r="AL419" s="1045"/>
      <c r="AM419" s="1045"/>
      <c r="AN419" s="1045"/>
      <c r="AO419" s="1045"/>
      <c r="AP419" s="1065"/>
      <c r="AQ419" s="951"/>
      <c r="AR419" s="1045"/>
      <c r="AS419" s="1045"/>
      <c r="AT419" s="1045"/>
      <c r="AU419" s="1045"/>
      <c r="AV419" s="1045"/>
      <c r="AW419" s="1045"/>
      <c r="AX419" s="1045"/>
      <c r="AY419" s="1045"/>
      <c r="BB419" s="1045"/>
      <c r="BC419" s="1045"/>
      <c r="BD419" s="1045"/>
      <c r="BE419" s="1045"/>
      <c r="BF419" s="1045"/>
      <c r="BG419" s="1045"/>
      <c r="BH419" s="1045"/>
      <c r="BI419" s="1045"/>
      <c r="BU419" s="956"/>
      <c r="BV419" s="1044"/>
      <c r="BW419" s="951"/>
      <c r="BX419" s="951"/>
      <c r="BY419" s="951"/>
    </row>
    <row r="420" spans="1:77" x14ac:dyDescent="0.2">
      <c r="A420" s="951"/>
      <c r="B420" s="951"/>
      <c r="C420" s="1312"/>
      <c r="D420" s="1467"/>
      <c r="E420" s="1066"/>
      <c r="F420" s="1066"/>
      <c r="G420" s="1046"/>
      <c r="H420" s="1046"/>
      <c r="I420" s="1046"/>
      <c r="J420" s="1045"/>
      <c r="K420" s="1046"/>
      <c r="L420" s="1046"/>
      <c r="M420" s="1045"/>
      <c r="N420" s="1046"/>
      <c r="O420" s="1046"/>
      <c r="P420" s="1049"/>
      <c r="Q420" s="1067"/>
      <c r="R420" s="1060"/>
      <c r="S420" s="1059"/>
      <c r="T420" s="1066"/>
      <c r="U420" s="1066"/>
      <c r="V420" s="1046"/>
      <c r="W420" s="1046"/>
      <c r="X420" s="1045"/>
      <c r="Y420" s="1045"/>
      <c r="Z420" s="1045"/>
      <c r="AA420" s="1045"/>
      <c r="AB420" s="1045"/>
      <c r="AC420" s="1045"/>
      <c r="AD420" s="1045"/>
      <c r="AE420" s="1045"/>
      <c r="AF420" s="1046"/>
      <c r="AG420" s="1046"/>
      <c r="AH420" s="1045"/>
      <c r="AI420" s="1045"/>
      <c r="AJ420" s="1045"/>
      <c r="AK420" s="1045"/>
      <c r="AL420" s="1045"/>
      <c r="AM420" s="1045"/>
      <c r="AN420" s="1045"/>
      <c r="AO420" s="1045"/>
      <c r="AP420" s="1067"/>
      <c r="AQ420" s="951"/>
      <c r="AR420" s="1045"/>
      <c r="AS420" s="1045"/>
      <c r="AT420" s="1045"/>
      <c r="AU420" s="1045"/>
      <c r="AV420" s="1045"/>
      <c r="AW420" s="1045"/>
      <c r="AX420" s="1045"/>
      <c r="AY420" s="1045"/>
      <c r="BB420" s="1045"/>
      <c r="BC420" s="1045"/>
      <c r="BD420" s="1045"/>
      <c r="BE420" s="1045"/>
      <c r="BF420" s="1045"/>
      <c r="BG420" s="1045"/>
      <c r="BH420" s="1045"/>
      <c r="BI420" s="1045"/>
      <c r="BU420" s="956"/>
      <c r="BV420" s="1049"/>
      <c r="BW420" s="951"/>
      <c r="BX420" s="951"/>
      <c r="BY420" s="951"/>
    </row>
    <row r="421" spans="1:77" x14ac:dyDescent="0.2">
      <c r="A421" s="951"/>
      <c r="B421" s="951"/>
      <c r="C421" s="1312"/>
      <c r="D421" s="1461"/>
      <c r="E421" s="1047"/>
      <c r="F421" s="1047"/>
      <c r="G421" s="1046"/>
      <c r="H421" s="1046"/>
      <c r="I421" s="1046"/>
      <c r="J421" s="1045"/>
      <c r="K421" s="1046"/>
      <c r="L421" s="1046"/>
      <c r="M421" s="1068"/>
      <c r="N421" s="1069"/>
      <c r="O421" s="1069"/>
      <c r="P421" s="1049"/>
      <c r="Q421" s="1067"/>
      <c r="R421" s="1061"/>
      <c r="S421" s="1050"/>
      <c r="T421" s="1047"/>
      <c r="U421" s="1047"/>
      <c r="V421" s="1046"/>
      <c r="W421" s="1046"/>
      <c r="X421" s="1045"/>
      <c r="Y421" s="1045"/>
      <c r="Z421" s="1045"/>
      <c r="AA421" s="1045"/>
      <c r="AB421" s="1045"/>
      <c r="AC421" s="1045"/>
      <c r="AD421" s="1045"/>
      <c r="AE421" s="1045"/>
      <c r="AF421" s="1046"/>
      <c r="AG421" s="1069"/>
      <c r="AH421" s="1045"/>
      <c r="AI421" s="1045"/>
      <c r="AJ421" s="1045"/>
      <c r="AK421" s="1045"/>
      <c r="AL421" s="1045"/>
      <c r="AM421" s="1045"/>
      <c r="AN421" s="1045"/>
      <c r="AO421" s="1045"/>
      <c r="AP421" s="1067"/>
      <c r="AQ421" s="951"/>
      <c r="AR421" s="1045"/>
      <c r="AS421" s="1045"/>
      <c r="AT421" s="1045"/>
      <c r="AU421" s="1045"/>
      <c r="AV421" s="1045"/>
      <c r="AW421" s="1045"/>
      <c r="AX421" s="1045"/>
      <c r="AY421" s="1045"/>
      <c r="BB421" s="1045"/>
      <c r="BC421" s="1045"/>
      <c r="BD421" s="1045"/>
      <c r="BE421" s="1045"/>
      <c r="BF421" s="1045"/>
      <c r="BG421" s="1045"/>
      <c r="BH421" s="1045"/>
      <c r="BI421" s="1045"/>
      <c r="BU421" s="956"/>
      <c r="BV421" s="1049"/>
      <c r="BW421" s="951"/>
      <c r="BX421" s="951"/>
      <c r="BY421" s="951"/>
    </row>
    <row r="422" spans="1:77" x14ac:dyDescent="0.2">
      <c r="A422" s="951"/>
      <c r="B422" s="951"/>
      <c r="C422" s="1312"/>
      <c r="D422" s="1462"/>
      <c r="E422" s="951"/>
      <c r="F422" s="1043"/>
      <c r="G422" s="1043"/>
      <c r="H422" s="1043"/>
      <c r="I422" s="1043"/>
      <c r="J422" s="1044"/>
      <c r="K422" s="1043"/>
      <c r="L422" s="1043"/>
      <c r="M422" s="1044"/>
      <c r="N422" s="1043"/>
      <c r="O422" s="1043"/>
      <c r="P422" s="1044"/>
      <c r="Q422" s="1043"/>
      <c r="R422" s="1061"/>
      <c r="S422" s="1050"/>
      <c r="T422" s="951"/>
      <c r="U422" s="1043"/>
      <c r="V422" s="1043"/>
      <c r="W422" s="1043"/>
      <c r="X422" s="1044"/>
      <c r="Y422" s="1044"/>
      <c r="Z422" s="1044"/>
      <c r="AA422" s="1044"/>
      <c r="AB422" s="1044"/>
      <c r="AC422" s="1044"/>
      <c r="AD422" s="1044"/>
      <c r="AE422" s="1044"/>
      <c r="AF422" s="1043"/>
      <c r="AG422" s="1043"/>
      <c r="AH422" s="1044"/>
      <c r="AI422" s="1044"/>
      <c r="AJ422" s="1044"/>
      <c r="AK422" s="1044"/>
      <c r="AL422" s="1044"/>
      <c r="AM422" s="1044"/>
      <c r="AN422" s="1044"/>
      <c r="AO422" s="1044"/>
      <c r="AP422" s="1043"/>
      <c r="AQ422" s="951"/>
      <c r="AR422" s="1044"/>
      <c r="AS422" s="1044"/>
      <c r="AT422" s="1044"/>
      <c r="AU422" s="1044"/>
      <c r="AV422" s="1044"/>
      <c r="AW422" s="1044"/>
      <c r="AX422" s="1044"/>
      <c r="AY422" s="1044"/>
      <c r="BB422" s="1044"/>
      <c r="BC422" s="1044"/>
      <c r="BD422" s="1044"/>
      <c r="BE422" s="1044"/>
      <c r="BF422" s="1044"/>
      <c r="BG422" s="1044"/>
      <c r="BH422" s="1044"/>
      <c r="BI422" s="1044"/>
      <c r="BU422" s="956"/>
      <c r="BV422" s="1044"/>
      <c r="BW422" s="951"/>
      <c r="BX422" s="951"/>
      <c r="BY422" s="951"/>
    </row>
    <row r="423" spans="1:77" x14ac:dyDescent="0.2">
      <c r="A423" s="951"/>
      <c r="B423" s="951"/>
      <c r="C423" s="1312"/>
      <c r="D423" s="1461"/>
      <c r="E423" s="1047"/>
      <c r="F423" s="1048"/>
      <c r="G423" s="1048"/>
      <c r="H423" s="1048"/>
      <c r="I423" s="1048"/>
      <c r="J423" s="1045"/>
      <c r="K423" s="1048"/>
      <c r="L423" s="1048"/>
      <c r="M423" s="1045"/>
      <c r="N423" s="1048"/>
      <c r="O423" s="1048"/>
      <c r="P423" s="1045"/>
      <c r="Q423" s="1048"/>
      <c r="R423" s="1061"/>
      <c r="S423" s="1050"/>
      <c r="T423" s="1047"/>
      <c r="U423" s="1048"/>
      <c r="V423" s="1048"/>
      <c r="W423" s="1048"/>
      <c r="X423" s="1045"/>
      <c r="Y423" s="1045"/>
      <c r="Z423" s="1045"/>
      <c r="AA423" s="1045"/>
      <c r="AB423" s="1045"/>
      <c r="AC423" s="1045"/>
      <c r="AD423" s="1045"/>
      <c r="AE423" s="1045"/>
      <c r="AF423" s="1048"/>
      <c r="AG423" s="1048"/>
      <c r="AH423" s="1045"/>
      <c r="AI423" s="1045"/>
      <c r="AJ423" s="1045"/>
      <c r="AK423" s="1045"/>
      <c r="AL423" s="1045"/>
      <c r="AM423" s="1045"/>
      <c r="AN423" s="1045"/>
      <c r="AO423" s="1045"/>
      <c r="AP423" s="1048"/>
      <c r="AQ423" s="951"/>
      <c r="AR423" s="1045"/>
      <c r="AS423" s="1045"/>
      <c r="AT423" s="1045"/>
      <c r="AU423" s="1045"/>
      <c r="AV423" s="1045"/>
      <c r="AW423" s="1045"/>
      <c r="AX423" s="1045"/>
      <c r="AY423" s="1045"/>
      <c r="BB423" s="1045"/>
      <c r="BC423" s="1045"/>
      <c r="BD423" s="1045"/>
      <c r="BE423" s="1045"/>
      <c r="BF423" s="1045"/>
      <c r="BG423" s="1045"/>
      <c r="BH423" s="1045"/>
      <c r="BI423" s="1045"/>
      <c r="BU423" s="956"/>
      <c r="BV423" s="1049"/>
      <c r="BW423" s="951"/>
      <c r="BX423" s="951"/>
      <c r="BY423" s="951"/>
    </row>
    <row r="424" spans="1:77" x14ac:dyDescent="0.2">
      <c r="A424" s="951"/>
      <c r="B424" s="951"/>
      <c r="C424" s="1312"/>
      <c r="D424" s="1461"/>
      <c r="E424" s="1047"/>
      <c r="F424" s="1048"/>
      <c r="G424" s="1048"/>
      <c r="H424" s="1048"/>
      <c r="I424" s="1048"/>
      <c r="J424" s="1045"/>
      <c r="K424" s="1048"/>
      <c r="L424" s="1048"/>
      <c r="M424" s="1045"/>
      <c r="N424" s="1048"/>
      <c r="O424" s="1048"/>
      <c r="P424" s="1045"/>
      <c r="Q424" s="1048"/>
      <c r="R424" s="944"/>
      <c r="S424" s="956"/>
      <c r="T424" s="1047"/>
      <c r="U424" s="1048"/>
      <c r="V424" s="1048"/>
      <c r="W424" s="1048"/>
      <c r="X424" s="1045"/>
      <c r="Y424" s="1045"/>
      <c r="Z424" s="1045"/>
      <c r="AA424" s="1045"/>
      <c r="AB424" s="1045"/>
      <c r="AC424" s="1045"/>
      <c r="AD424" s="1045"/>
      <c r="AE424" s="1045"/>
      <c r="AF424" s="1048"/>
      <c r="AG424" s="1048"/>
      <c r="AH424" s="1045"/>
      <c r="AI424" s="1045"/>
      <c r="AJ424" s="1045"/>
      <c r="AK424" s="1045"/>
      <c r="AL424" s="1045"/>
      <c r="AM424" s="1045"/>
      <c r="AN424" s="1045"/>
      <c r="AO424" s="1045"/>
      <c r="AP424" s="1048"/>
      <c r="AQ424" s="951"/>
      <c r="AR424" s="1045"/>
      <c r="AS424" s="1045"/>
      <c r="AT424" s="1045"/>
      <c r="AU424" s="1045"/>
      <c r="AV424" s="1045"/>
      <c r="AW424" s="1045"/>
      <c r="AX424" s="1045"/>
      <c r="AY424" s="1045"/>
      <c r="BB424" s="1045"/>
      <c r="BC424" s="1045"/>
      <c r="BD424" s="1045"/>
      <c r="BE424" s="1045"/>
      <c r="BF424" s="1045"/>
      <c r="BG424" s="1045"/>
      <c r="BH424" s="1045"/>
      <c r="BI424" s="1045"/>
      <c r="BU424" s="956"/>
      <c r="BV424" s="1049"/>
      <c r="BW424" s="951"/>
      <c r="BX424" s="951"/>
      <c r="BY424" s="951"/>
    </row>
    <row r="425" spans="1:77" x14ac:dyDescent="0.2">
      <c r="A425" s="951"/>
      <c r="B425" s="951"/>
      <c r="C425" s="1312"/>
      <c r="D425" s="1463"/>
      <c r="E425" s="1050"/>
      <c r="F425" s="1051"/>
      <c r="G425" s="1051"/>
      <c r="H425" s="1051"/>
      <c r="I425" s="1051"/>
      <c r="J425" s="1052"/>
      <c r="K425" s="1051"/>
      <c r="L425" s="1051"/>
      <c r="M425" s="1052"/>
      <c r="N425" s="1051"/>
      <c r="O425" s="1051"/>
      <c r="P425" s="1052"/>
      <c r="Q425" s="1051"/>
      <c r="R425" s="1061"/>
      <c r="S425" s="1050"/>
      <c r="T425" s="1050"/>
      <c r="U425" s="1051"/>
      <c r="V425" s="1051"/>
      <c r="W425" s="1051"/>
      <c r="X425" s="1052"/>
      <c r="Y425" s="1052"/>
      <c r="Z425" s="1052"/>
      <c r="AA425" s="1052"/>
      <c r="AB425" s="1052"/>
      <c r="AC425" s="1052"/>
      <c r="AD425" s="1052"/>
      <c r="AE425" s="1052"/>
      <c r="AF425" s="1051"/>
      <c r="AG425" s="1051"/>
      <c r="AH425" s="1052"/>
      <c r="AI425" s="1052"/>
      <c r="AJ425" s="1052"/>
      <c r="AK425" s="1052"/>
      <c r="AL425" s="1052"/>
      <c r="AM425" s="1052"/>
      <c r="AN425" s="1052"/>
      <c r="AO425" s="1052"/>
      <c r="AP425" s="1051"/>
      <c r="AQ425" s="951"/>
      <c r="AR425" s="1052"/>
      <c r="AS425" s="1052"/>
      <c r="AT425" s="1052"/>
      <c r="AU425" s="1052"/>
      <c r="AV425" s="1052"/>
      <c r="AW425" s="1052"/>
      <c r="AX425" s="1052"/>
      <c r="AY425" s="1052"/>
      <c r="BB425" s="1052"/>
      <c r="BC425" s="1052"/>
      <c r="BD425" s="1052"/>
      <c r="BE425" s="1052"/>
      <c r="BF425" s="1052"/>
      <c r="BG425" s="1052"/>
      <c r="BH425" s="1052"/>
      <c r="BI425" s="1052"/>
      <c r="BU425" s="956"/>
      <c r="BV425" s="1052"/>
      <c r="BW425" s="951"/>
      <c r="BX425" s="951"/>
      <c r="BY425" s="951"/>
    </row>
    <row r="426" spans="1:77" x14ac:dyDescent="0.2">
      <c r="A426" s="951"/>
      <c r="B426" s="951"/>
      <c r="C426" s="1312"/>
      <c r="D426" s="1464"/>
      <c r="E426" s="1053"/>
      <c r="F426" s="1054"/>
      <c r="G426" s="1054"/>
      <c r="H426" s="1054"/>
      <c r="I426" s="1054"/>
      <c r="J426" s="1055"/>
      <c r="K426" s="1054"/>
      <c r="L426" s="1054"/>
      <c r="M426" s="1055"/>
      <c r="N426" s="1054"/>
      <c r="O426" s="1054"/>
      <c r="P426" s="1055"/>
      <c r="Q426" s="1054"/>
      <c r="R426" s="1061"/>
      <c r="S426" s="1050"/>
      <c r="T426" s="1053"/>
      <c r="U426" s="1054"/>
      <c r="V426" s="1054"/>
      <c r="W426" s="1054"/>
      <c r="X426" s="1055"/>
      <c r="Y426" s="1055"/>
      <c r="Z426" s="1055"/>
      <c r="AA426" s="1055"/>
      <c r="AB426" s="1055"/>
      <c r="AC426" s="1055"/>
      <c r="AD426" s="1055"/>
      <c r="AE426" s="1055"/>
      <c r="AF426" s="1054"/>
      <c r="AG426" s="1054"/>
      <c r="AH426" s="1055"/>
      <c r="AI426" s="1055"/>
      <c r="AJ426" s="1055"/>
      <c r="AK426" s="1055"/>
      <c r="AL426" s="1055"/>
      <c r="AM426" s="1055"/>
      <c r="AN426" s="1055"/>
      <c r="AO426" s="1055"/>
      <c r="AP426" s="1054"/>
      <c r="AQ426" s="951"/>
      <c r="AR426" s="1055"/>
      <c r="AS426" s="1055"/>
      <c r="AT426" s="1055"/>
      <c r="AU426" s="1055"/>
      <c r="AV426" s="1055"/>
      <c r="AW426" s="1055"/>
      <c r="AX426" s="1055"/>
      <c r="AY426" s="1055"/>
      <c r="BB426" s="1055"/>
      <c r="BC426" s="1055"/>
      <c r="BD426" s="1055"/>
      <c r="BE426" s="1055"/>
      <c r="BF426" s="1055"/>
      <c r="BG426" s="1055"/>
      <c r="BH426" s="1055"/>
      <c r="BI426" s="1055"/>
      <c r="BU426" s="956"/>
      <c r="BV426" s="1056"/>
      <c r="BW426" s="951"/>
      <c r="BX426" s="951"/>
      <c r="BY426" s="951"/>
    </row>
    <row r="427" spans="1:77" x14ac:dyDescent="0.2">
      <c r="A427" s="951"/>
      <c r="B427" s="951"/>
      <c r="C427" s="1312"/>
      <c r="D427" s="1465"/>
      <c r="E427" s="1057"/>
      <c r="F427" s="1054"/>
      <c r="G427" s="1054"/>
      <c r="H427" s="1054"/>
      <c r="I427" s="1054"/>
      <c r="J427" s="1055"/>
      <c r="K427" s="1054"/>
      <c r="L427" s="1054"/>
      <c r="M427" s="1055"/>
      <c r="N427" s="1054"/>
      <c r="O427" s="1054"/>
      <c r="P427" s="1055"/>
      <c r="Q427" s="1054"/>
      <c r="R427" s="1061"/>
      <c r="S427" s="1071"/>
      <c r="T427" s="1057"/>
      <c r="U427" s="1054"/>
      <c r="V427" s="1054"/>
      <c r="W427" s="1054"/>
      <c r="X427" s="1055"/>
      <c r="Y427" s="1055"/>
      <c r="Z427" s="1055"/>
      <c r="AA427" s="1055"/>
      <c r="AB427" s="1055"/>
      <c r="AC427" s="1055"/>
      <c r="AD427" s="1055"/>
      <c r="AE427" s="1055"/>
      <c r="AF427" s="1054"/>
      <c r="AG427" s="1054"/>
      <c r="AH427" s="1055"/>
      <c r="AI427" s="1055"/>
      <c r="AJ427" s="1055"/>
      <c r="AK427" s="1055"/>
      <c r="AL427" s="1055"/>
      <c r="AM427" s="1055"/>
      <c r="AN427" s="1055"/>
      <c r="AO427" s="1055"/>
      <c r="AP427" s="1054"/>
      <c r="AQ427" s="951"/>
      <c r="AR427" s="1055"/>
      <c r="AS427" s="1055"/>
      <c r="AT427" s="1055"/>
      <c r="AU427" s="1055"/>
      <c r="AV427" s="1055"/>
      <c r="AW427" s="1055"/>
      <c r="AX427" s="1055"/>
      <c r="AY427" s="1055"/>
      <c r="BB427" s="1055"/>
      <c r="BC427" s="1055"/>
      <c r="BD427" s="1055"/>
      <c r="BE427" s="1055"/>
      <c r="BF427" s="1055"/>
      <c r="BG427" s="1055"/>
      <c r="BH427" s="1055"/>
      <c r="BI427" s="1055"/>
      <c r="BU427" s="956"/>
      <c r="BV427" s="1056"/>
      <c r="BW427" s="951"/>
      <c r="BX427" s="951"/>
      <c r="BY427" s="951"/>
    </row>
    <row r="428" spans="1:77" x14ac:dyDescent="0.2">
      <c r="A428" s="951"/>
      <c r="B428" s="951"/>
      <c r="C428" s="1312"/>
      <c r="D428" s="1465"/>
      <c r="E428" s="1057"/>
      <c r="F428" s="1054"/>
      <c r="G428" s="1054"/>
      <c r="H428" s="1054"/>
      <c r="I428" s="1054"/>
      <c r="J428" s="1055"/>
      <c r="K428" s="1054"/>
      <c r="L428" s="1054"/>
      <c r="M428" s="1055"/>
      <c r="N428" s="1054"/>
      <c r="O428" s="1054"/>
      <c r="P428" s="1055"/>
      <c r="Q428" s="1054"/>
      <c r="R428" s="1061"/>
      <c r="S428" s="1071"/>
      <c r="T428" s="1057"/>
      <c r="U428" s="1054"/>
      <c r="V428" s="1054"/>
      <c r="W428" s="1054"/>
      <c r="X428" s="1055"/>
      <c r="Y428" s="1055"/>
      <c r="Z428" s="1055"/>
      <c r="AA428" s="1055"/>
      <c r="AB428" s="1055"/>
      <c r="AC428" s="1055"/>
      <c r="AD428" s="1055"/>
      <c r="AE428" s="1055"/>
      <c r="AF428" s="1054"/>
      <c r="AG428" s="1054"/>
      <c r="AH428" s="1055"/>
      <c r="AI428" s="1055"/>
      <c r="AJ428" s="1055"/>
      <c r="AK428" s="1055"/>
      <c r="AL428" s="1055"/>
      <c r="AM428" s="1055"/>
      <c r="AN428" s="1055"/>
      <c r="AO428" s="1055"/>
      <c r="AP428" s="1054"/>
      <c r="AQ428" s="951"/>
      <c r="AR428" s="1055"/>
      <c r="AS428" s="1055"/>
      <c r="AT428" s="1055"/>
      <c r="AU428" s="1055"/>
      <c r="AV428" s="1055"/>
      <c r="AW428" s="1055"/>
      <c r="AX428" s="1055"/>
      <c r="AY428" s="1055"/>
      <c r="BB428" s="1055"/>
      <c r="BC428" s="1055"/>
      <c r="BD428" s="1055"/>
      <c r="BE428" s="1055"/>
      <c r="BF428" s="1055"/>
      <c r="BG428" s="1055"/>
      <c r="BH428" s="1055"/>
      <c r="BI428" s="1055"/>
      <c r="BU428" s="956"/>
      <c r="BV428" s="1056"/>
      <c r="BW428" s="951"/>
      <c r="BX428" s="951"/>
      <c r="BY428" s="951"/>
    </row>
    <row r="429" spans="1:77" x14ac:dyDescent="0.2">
      <c r="A429" s="951"/>
      <c r="B429" s="951"/>
      <c r="C429" s="1312"/>
      <c r="D429" s="1468"/>
      <c r="E429" s="1059"/>
      <c r="F429" s="1059"/>
      <c r="G429" s="1059"/>
      <c r="H429" s="1059"/>
      <c r="I429" s="1059"/>
      <c r="J429" s="1060"/>
      <c r="K429" s="1059"/>
      <c r="L429" s="1059"/>
      <c r="M429" s="1060"/>
      <c r="N429" s="1059"/>
      <c r="O429" s="1059"/>
      <c r="P429" s="1060"/>
      <c r="Q429" s="1059"/>
      <c r="R429" s="1060"/>
      <c r="S429" s="1059"/>
      <c r="T429" s="1059"/>
      <c r="U429" s="1059"/>
      <c r="V429" s="1059"/>
      <c r="W429" s="1059"/>
      <c r="X429" s="1060"/>
      <c r="Y429" s="1060"/>
      <c r="Z429" s="1060"/>
      <c r="AA429" s="1060"/>
      <c r="AB429" s="1060"/>
      <c r="AC429" s="1060"/>
      <c r="AD429" s="1060"/>
      <c r="AE429" s="1060"/>
      <c r="AF429" s="1059"/>
      <c r="AG429" s="1059"/>
      <c r="AH429" s="1060"/>
      <c r="AI429" s="1060"/>
      <c r="AJ429" s="1060"/>
      <c r="AK429" s="1060"/>
      <c r="AL429" s="1060"/>
      <c r="AM429" s="1060"/>
      <c r="AN429" s="1060"/>
      <c r="AO429" s="1060"/>
      <c r="AP429" s="1059"/>
      <c r="AQ429" s="951"/>
      <c r="AR429" s="1060"/>
      <c r="AS429" s="1060"/>
      <c r="AT429" s="1060"/>
      <c r="AU429" s="1060"/>
      <c r="AV429" s="1060"/>
      <c r="AW429" s="1060"/>
      <c r="AX429" s="1060"/>
      <c r="AY429" s="1060"/>
      <c r="BB429" s="1060"/>
      <c r="BC429" s="1060"/>
      <c r="BD429" s="1060"/>
      <c r="BE429" s="1060"/>
      <c r="BF429" s="1060"/>
      <c r="BG429" s="1060"/>
      <c r="BH429" s="1060"/>
      <c r="BI429" s="1060"/>
      <c r="BU429" s="956"/>
      <c r="BW429" s="951"/>
      <c r="BX429" s="951"/>
      <c r="BY429" s="951"/>
    </row>
    <row r="430" spans="1:77" x14ac:dyDescent="0.2">
      <c r="A430" s="951"/>
      <c r="B430" s="951"/>
      <c r="C430" s="1312"/>
      <c r="D430" s="1466"/>
      <c r="E430" s="1064"/>
      <c r="F430" s="1064"/>
      <c r="G430" s="1046"/>
      <c r="H430" s="1046"/>
      <c r="I430" s="1046"/>
      <c r="J430" s="1045"/>
      <c r="K430" s="1046"/>
      <c r="L430" s="1046"/>
      <c r="M430" s="1045"/>
      <c r="N430" s="1046"/>
      <c r="O430" s="1046"/>
      <c r="P430" s="1044"/>
      <c r="Q430" s="1065"/>
      <c r="R430" s="959"/>
      <c r="S430" s="951"/>
      <c r="T430" s="1064"/>
      <c r="U430" s="1064"/>
      <c r="V430" s="1046"/>
      <c r="W430" s="1046"/>
      <c r="X430" s="1045"/>
      <c r="Y430" s="1045"/>
      <c r="Z430" s="1045"/>
      <c r="AA430" s="1045"/>
      <c r="AB430" s="1045"/>
      <c r="AC430" s="1045"/>
      <c r="AD430" s="1045"/>
      <c r="AE430" s="1045"/>
      <c r="AF430" s="1046"/>
      <c r="AG430" s="1046"/>
      <c r="AH430" s="1045"/>
      <c r="AI430" s="1045"/>
      <c r="AJ430" s="1045"/>
      <c r="AK430" s="1045"/>
      <c r="AL430" s="1045"/>
      <c r="AM430" s="1045"/>
      <c r="AN430" s="1045"/>
      <c r="AO430" s="1045"/>
      <c r="AP430" s="1065"/>
      <c r="AQ430" s="951"/>
      <c r="AR430" s="1045"/>
      <c r="AS430" s="1045"/>
      <c r="AT430" s="1045"/>
      <c r="AU430" s="1045"/>
      <c r="AV430" s="1045"/>
      <c r="AW430" s="1045"/>
      <c r="AX430" s="1045"/>
      <c r="AY430" s="1045"/>
      <c r="BB430" s="1045"/>
      <c r="BC430" s="1045"/>
      <c r="BD430" s="1045"/>
      <c r="BE430" s="1045"/>
      <c r="BF430" s="1045"/>
      <c r="BG430" s="1045"/>
      <c r="BH430" s="1045"/>
      <c r="BI430" s="1045"/>
      <c r="BU430" s="956"/>
      <c r="BV430" s="1044"/>
      <c r="BW430" s="951"/>
      <c r="BX430" s="951"/>
      <c r="BY430" s="951"/>
    </row>
    <row r="431" spans="1:77" x14ac:dyDescent="0.2">
      <c r="A431" s="951"/>
      <c r="B431" s="951"/>
      <c r="C431" s="1312"/>
      <c r="D431" s="1467"/>
      <c r="E431" s="1066"/>
      <c r="F431" s="1066"/>
      <c r="G431" s="1046"/>
      <c r="H431" s="1046"/>
      <c r="I431" s="1046"/>
      <c r="J431" s="1045"/>
      <c r="K431" s="1046"/>
      <c r="L431" s="1046"/>
      <c r="M431" s="1045"/>
      <c r="N431" s="1046"/>
      <c r="O431" s="1046"/>
      <c r="P431" s="1049"/>
      <c r="Q431" s="1067"/>
      <c r="R431" s="959"/>
      <c r="S431" s="951"/>
      <c r="T431" s="1066"/>
      <c r="U431" s="1066"/>
      <c r="V431" s="1046"/>
      <c r="W431" s="1046"/>
      <c r="X431" s="1045"/>
      <c r="Y431" s="1045"/>
      <c r="Z431" s="1045"/>
      <c r="AA431" s="1045"/>
      <c r="AB431" s="1045"/>
      <c r="AC431" s="1045"/>
      <c r="AD431" s="1045"/>
      <c r="AE431" s="1045"/>
      <c r="AF431" s="1046"/>
      <c r="AG431" s="1046"/>
      <c r="AH431" s="1045"/>
      <c r="AI431" s="1045"/>
      <c r="AJ431" s="1045"/>
      <c r="AK431" s="1045"/>
      <c r="AL431" s="1045"/>
      <c r="AM431" s="1045"/>
      <c r="AN431" s="1045"/>
      <c r="AO431" s="1045"/>
      <c r="AP431" s="1067"/>
      <c r="AQ431" s="951"/>
      <c r="AR431" s="1045"/>
      <c r="AS431" s="1045"/>
      <c r="AT431" s="1045"/>
      <c r="AU431" s="1045"/>
      <c r="AV431" s="1045"/>
      <c r="AW431" s="1045"/>
      <c r="AX431" s="1045"/>
      <c r="AY431" s="1045"/>
      <c r="BB431" s="1045"/>
      <c r="BC431" s="1045"/>
      <c r="BD431" s="1045"/>
      <c r="BE431" s="1045"/>
      <c r="BF431" s="1045"/>
      <c r="BG431" s="1045"/>
      <c r="BH431" s="1045"/>
      <c r="BI431" s="1045"/>
      <c r="BU431" s="956"/>
      <c r="BV431" s="1049"/>
      <c r="BW431" s="951"/>
      <c r="BX431" s="951"/>
      <c r="BY431" s="951"/>
    </row>
    <row r="432" spans="1:77" x14ac:dyDescent="0.2">
      <c r="A432" s="951"/>
      <c r="B432" s="951"/>
      <c r="C432" s="1312"/>
      <c r="D432" s="1461"/>
      <c r="E432" s="1047"/>
      <c r="F432" s="1047"/>
      <c r="G432" s="1046"/>
      <c r="H432" s="1046"/>
      <c r="I432" s="1046"/>
      <c r="J432" s="1045"/>
      <c r="K432" s="1046"/>
      <c r="L432" s="1046"/>
      <c r="M432" s="1068"/>
      <c r="N432" s="1069"/>
      <c r="O432" s="1069"/>
      <c r="P432" s="1049"/>
      <c r="Q432" s="1067"/>
      <c r="R432" s="959"/>
      <c r="S432" s="951"/>
      <c r="T432" s="1047"/>
      <c r="U432" s="1047"/>
      <c r="V432" s="1046"/>
      <c r="W432" s="1046"/>
      <c r="X432" s="1045"/>
      <c r="Y432" s="1045"/>
      <c r="Z432" s="1045"/>
      <c r="AA432" s="1045"/>
      <c r="AB432" s="1045"/>
      <c r="AC432" s="1045"/>
      <c r="AD432" s="1045"/>
      <c r="AE432" s="1045"/>
      <c r="AF432" s="1046"/>
      <c r="AG432" s="1069"/>
      <c r="AH432" s="1045"/>
      <c r="AI432" s="1045"/>
      <c r="AJ432" s="1045"/>
      <c r="AK432" s="1045"/>
      <c r="AL432" s="1045"/>
      <c r="AM432" s="1045"/>
      <c r="AN432" s="1045"/>
      <c r="AO432" s="1045"/>
      <c r="AP432" s="1067"/>
      <c r="AQ432" s="951"/>
      <c r="AR432" s="1045"/>
      <c r="AS432" s="1045"/>
      <c r="AT432" s="1045"/>
      <c r="AU432" s="1045"/>
      <c r="AV432" s="1045"/>
      <c r="AW432" s="1045"/>
      <c r="AX432" s="1045"/>
      <c r="AY432" s="1045"/>
      <c r="BB432" s="1045"/>
      <c r="BC432" s="1045"/>
      <c r="BD432" s="1045"/>
      <c r="BE432" s="1045"/>
      <c r="BF432" s="1045"/>
      <c r="BG432" s="1045"/>
      <c r="BH432" s="1045"/>
      <c r="BI432" s="1045"/>
      <c r="BU432" s="956"/>
      <c r="BV432" s="1049"/>
      <c r="BW432" s="951"/>
      <c r="BX432" s="951"/>
      <c r="BY432" s="951"/>
    </row>
    <row r="433" spans="1:77" x14ac:dyDescent="0.2">
      <c r="A433" s="951"/>
      <c r="B433" s="951"/>
      <c r="C433" s="1312"/>
      <c r="D433" s="1462"/>
      <c r="E433" s="951"/>
      <c r="F433" s="1043"/>
      <c r="G433" s="1043"/>
      <c r="H433" s="1043"/>
      <c r="I433" s="1043"/>
      <c r="J433" s="1044"/>
      <c r="K433" s="1043"/>
      <c r="L433" s="1043"/>
      <c r="M433" s="1044"/>
      <c r="N433" s="1043"/>
      <c r="O433" s="1043"/>
      <c r="P433" s="1044"/>
      <c r="Q433" s="1043"/>
      <c r="R433" s="959"/>
      <c r="S433" s="951"/>
      <c r="T433" s="951"/>
      <c r="U433" s="1043"/>
      <c r="V433" s="1043"/>
      <c r="W433" s="1043"/>
      <c r="X433" s="1044"/>
      <c r="Y433" s="1044"/>
      <c r="Z433" s="1044"/>
      <c r="AA433" s="1044"/>
      <c r="AB433" s="1044"/>
      <c r="AC433" s="1044"/>
      <c r="AD433" s="1044"/>
      <c r="AE433" s="1044"/>
      <c r="AF433" s="1043"/>
      <c r="AG433" s="1043"/>
      <c r="AH433" s="1044"/>
      <c r="AI433" s="1044"/>
      <c r="AJ433" s="1044"/>
      <c r="AK433" s="1044"/>
      <c r="AL433" s="1044"/>
      <c r="AM433" s="1044"/>
      <c r="AN433" s="1044"/>
      <c r="AO433" s="1044"/>
      <c r="AP433" s="1043"/>
      <c r="AQ433" s="951"/>
      <c r="AR433" s="1044"/>
      <c r="AS433" s="1044"/>
      <c r="AT433" s="1044"/>
      <c r="AU433" s="1044"/>
      <c r="AV433" s="1044"/>
      <c r="AW433" s="1044"/>
      <c r="AX433" s="1044"/>
      <c r="AY433" s="1044"/>
      <c r="BB433" s="1044"/>
      <c r="BC433" s="1044"/>
      <c r="BD433" s="1044"/>
      <c r="BE433" s="1044"/>
      <c r="BF433" s="1044"/>
      <c r="BG433" s="1044"/>
      <c r="BH433" s="1044"/>
      <c r="BI433" s="1044"/>
      <c r="BU433" s="956"/>
      <c r="BV433" s="1044"/>
      <c r="BW433" s="951"/>
      <c r="BX433" s="951"/>
      <c r="BY433" s="951"/>
    </row>
    <row r="434" spans="1:77" x14ac:dyDescent="0.2">
      <c r="A434" s="951"/>
      <c r="B434" s="951"/>
      <c r="C434" s="1312"/>
      <c r="D434" s="1461"/>
      <c r="E434" s="1047"/>
      <c r="F434" s="1048"/>
      <c r="G434" s="1048"/>
      <c r="H434" s="1048"/>
      <c r="I434" s="1048"/>
      <c r="J434" s="1045"/>
      <c r="K434" s="1048"/>
      <c r="L434" s="1048"/>
      <c r="M434" s="1045"/>
      <c r="N434" s="1048"/>
      <c r="O434" s="1048"/>
      <c r="P434" s="1045"/>
      <c r="Q434" s="1048"/>
      <c r="R434" s="959"/>
      <c r="S434" s="951"/>
      <c r="T434" s="1047"/>
      <c r="U434" s="1048"/>
      <c r="V434" s="1048"/>
      <c r="W434" s="1048"/>
      <c r="X434" s="1045"/>
      <c r="Y434" s="1045"/>
      <c r="Z434" s="1045"/>
      <c r="AA434" s="1045"/>
      <c r="AB434" s="1045"/>
      <c r="AC434" s="1045"/>
      <c r="AD434" s="1045"/>
      <c r="AE434" s="1045"/>
      <c r="AF434" s="1048"/>
      <c r="AG434" s="1048"/>
      <c r="AH434" s="1045"/>
      <c r="AI434" s="1045"/>
      <c r="AJ434" s="1045"/>
      <c r="AK434" s="1045"/>
      <c r="AL434" s="1045"/>
      <c r="AM434" s="1045"/>
      <c r="AN434" s="1045"/>
      <c r="AO434" s="1045"/>
      <c r="AP434" s="1048"/>
      <c r="AQ434" s="951"/>
      <c r="AR434" s="1045"/>
      <c r="AS434" s="1045"/>
      <c r="AT434" s="1045"/>
      <c r="AU434" s="1045"/>
      <c r="AV434" s="1045"/>
      <c r="AW434" s="1045"/>
      <c r="AX434" s="1045"/>
      <c r="AY434" s="1045"/>
      <c r="BB434" s="1045"/>
      <c r="BC434" s="1045"/>
      <c r="BD434" s="1045"/>
      <c r="BE434" s="1045"/>
      <c r="BF434" s="1045"/>
      <c r="BG434" s="1045"/>
      <c r="BH434" s="1045"/>
      <c r="BI434" s="1045"/>
      <c r="BU434" s="956"/>
      <c r="BV434" s="1049"/>
      <c r="BW434" s="951"/>
      <c r="BX434" s="951"/>
      <c r="BY434" s="951"/>
    </row>
    <row r="435" spans="1:77" x14ac:dyDescent="0.2">
      <c r="A435" s="951"/>
      <c r="B435" s="951"/>
      <c r="C435" s="1312"/>
      <c r="D435" s="1461"/>
      <c r="E435" s="1047"/>
      <c r="F435" s="1048"/>
      <c r="G435" s="1048"/>
      <c r="H435" s="1048"/>
      <c r="I435" s="1048"/>
      <c r="J435" s="1045"/>
      <c r="K435" s="1048"/>
      <c r="L435" s="1048"/>
      <c r="M435" s="1045"/>
      <c r="N435" s="1048"/>
      <c r="O435" s="1048"/>
      <c r="P435" s="1045"/>
      <c r="Q435" s="1048"/>
      <c r="R435" s="959"/>
      <c r="S435" s="951"/>
      <c r="T435" s="1047"/>
      <c r="U435" s="1048"/>
      <c r="V435" s="1048"/>
      <c r="W435" s="1048"/>
      <c r="X435" s="1045"/>
      <c r="Y435" s="1045"/>
      <c r="Z435" s="1045"/>
      <c r="AA435" s="1045"/>
      <c r="AB435" s="1045"/>
      <c r="AC435" s="1045"/>
      <c r="AD435" s="1045"/>
      <c r="AE435" s="1045"/>
      <c r="AF435" s="1048"/>
      <c r="AG435" s="1048"/>
      <c r="AH435" s="1045"/>
      <c r="AI435" s="1045"/>
      <c r="AJ435" s="1045"/>
      <c r="AK435" s="1045"/>
      <c r="AL435" s="1045"/>
      <c r="AM435" s="1045"/>
      <c r="AN435" s="1045"/>
      <c r="AO435" s="1045"/>
      <c r="AP435" s="1048"/>
      <c r="AQ435" s="951"/>
      <c r="AR435" s="1045"/>
      <c r="AS435" s="1045"/>
      <c r="AT435" s="1045"/>
      <c r="AU435" s="1045"/>
      <c r="AV435" s="1045"/>
      <c r="AW435" s="1045"/>
      <c r="AX435" s="1045"/>
      <c r="AY435" s="1045"/>
      <c r="BB435" s="1045"/>
      <c r="BC435" s="1045"/>
      <c r="BD435" s="1045"/>
      <c r="BE435" s="1045"/>
      <c r="BF435" s="1045"/>
      <c r="BG435" s="1045"/>
      <c r="BH435" s="1045"/>
      <c r="BI435" s="1045"/>
      <c r="BU435" s="956"/>
      <c r="BV435" s="1049"/>
      <c r="BW435" s="951"/>
      <c r="BX435" s="951"/>
      <c r="BY435" s="951"/>
    </row>
    <row r="436" spans="1:77" x14ac:dyDescent="0.2">
      <c r="A436" s="951"/>
      <c r="B436" s="951"/>
      <c r="C436" s="1312"/>
      <c r="D436" s="1463"/>
      <c r="E436" s="1050"/>
      <c r="F436" s="1051"/>
      <c r="G436" s="1051"/>
      <c r="H436" s="1051"/>
      <c r="I436" s="1051"/>
      <c r="J436" s="1052"/>
      <c r="K436" s="1051"/>
      <c r="L436" s="1051"/>
      <c r="M436" s="1052"/>
      <c r="N436" s="1051"/>
      <c r="O436" s="1051"/>
      <c r="P436" s="1052"/>
      <c r="Q436" s="1051"/>
      <c r="R436" s="959"/>
      <c r="S436" s="951"/>
      <c r="T436" s="1050"/>
      <c r="U436" s="1051"/>
      <c r="V436" s="1051"/>
      <c r="W436" s="1051"/>
      <c r="X436" s="1052"/>
      <c r="Y436" s="1052"/>
      <c r="Z436" s="1052"/>
      <c r="AA436" s="1052"/>
      <c r="AB436" s="1052"/>
      <c r="AC436" s="1052"/>
      <c r="AD436" s="1052"/>
      <c r="AE436" s="1052"/>
      <c r="AF436" s="1051"/>
      <c r="AG436" s="1051"/>
      <c r="AH436" s="1052"/>
      <c r="AI436" s="1052"/>
      <c r="AJ436" s="1052"/>
      <c r="AK436" s="1052"/>
      <c r="AL436" s="1052"/>
      <c r="AM436" s="1052"/>
      <c r="AN436" s="1052"/>
      <c r="AO436" s="1052"/>
      <c r="AP436" s="1051"/>
      <c r="AQ436" s="951"/>
      <c r="AR436" s="1052"/>
      <c r="AS436" s="1052"/>
      <c r="AT436" s="1052"/>
      <c r="AU436" s="1052"/>
      <c r="AV436" s="1052"/>
      <c r="AW436" s="1052"/>
      <c r="AX436" s="1052"/>
      <c r="AY436" s="1052"/>
      <c r="BB436" s="1052"/>
      <c r="BC436" s="1052"/>
      <c r="BD436" s="1052"/>
      <c r="BE436" s="1052"/>
      <c r="BF436" s="1052"/>
      <c r="BG436" s="1052"/>
      <c r="BH436" s="1052"/>
      <c r="BI436" s="1052"/>
      <c r="BU436" s="956"/>
      <c r="BV436" s="1052"/>
      <c r="BW436" s="951"/>
      <c r="BX436" s="951"/>
      <c r="BY436" s="951"/>
    </row>
    <row r="437" spans="1:77" x14ac:dyDescent="0.2">
      <c r="A437" s="951"/>
      <c r="B437" s="951"/>
      <c r="C437" s="1312"/>
      <c r="D437" s="1464"/>
      <c r="E437" s="1053"/>
      <c r="F437" s="1054"/>
      <c r="G437" s="1054"/>
      <c r="H437" s="1054"/>
      <c r="I437" s="1054"/>
      <c r="J437" s="1055"/>
      <c r="K437" s="1054"/>
      <c r="L437" s="1054"/>
      <c r="M437" s="1055"/>
      <c r="N437" s="1054"/>
      <c r="O437" s="1054"/>
      <c r="P437" s="1055"/>
      <c r="Q437" s="1054"/>
      <c r="R437" s="959"/>
      <c r="S437" s="951"/>
      <c r="T437" s="1053"/>
      <c r="U437" s="1054"/>
      <c r="V437" s="1054"/>
      <c r="W437" s="1054"/>
      <c r="X437" s="1055"/>
      <c r="Y437" s="1055"/>
      <c r="Z437" s="1055"/>
      <c r="AA437" s="1055"/>
      <c r="AB437" s="1055"/>
      <c r="AC437" s="1055"/>
      <c r="AD437" s="1055"/>
      <c r="AE437" s="1055"/>
      <c r="AF437" s="1054"/>
      <c r="AG437" s="1054"/>
      <c r="AH437" s="1055"/>
      <c r="AI437" s="1055"/>
      <c r="AJ437" s="1055"/>
      <c r="AK437" s="1055"/>
      <c r="AL437" s="1055"/>
      <c r="AM437" s="1055"/>
      <c r="AN437" s="1055"/>
      <c r="AO437" s="1055"/>
      <c r="AP437" s="1054"/>
      <c r="AQ437" s="951"/>
      <c r="AR437" s="1055"/>
      <c r="AS437" s="1055"/>
      <c r="AT437" s="1055"/>
      <c r="AU437" s="1055"/>
      <c r="AV437" s="1055"/>
      <c r="AW437" s="1055"/>
      <c r="AX437" s="1055"/>
      <c r="AY437" s="1055"/>
      <c r="BB437" s="1055"/>
      <c r="BC437" s="1055"/>
      <c r="BD437" s="1055"/>
      <c r="BE437" s="1055"/>
      <c r="BF437" s="1055"/>
      <c r="BG437" s="1055"/>
      <c r="BH437" s="1055"/>
      <c r="BI437" s="1055"/>
      <c r="BU437" s="956"/>
      <c r="BV437" s="1056"/>
      <c r="BW437" s="951"/>
      <c r="BX437" s="951"/>
      <c r="BY437" s="951"/>
    </row>
    <row r="438" spans="1:77" x14ac:dyDescent="0.2">
      <c r="A438" s="951"/>
      <c r="B438" s="951"/>
      <c r="C438" s="1312"/>
      <c r="D438" s="1465"/>
      <c r="E438" s="1057"/>
      <c r="F438" s="1054"/>
      <c r="G438" s="1054"/>
      <c r="H438" s="1054"/>
      <c r="I438" s="1054"/>
      <c r="J438" s="1055"/>
      <c r="K438" s="1054"/>
      <c r="L438" s="1054"/>
      <c r="M438" s="1055"/>
      <c r="N438" s="1054"/>
      <c r="O438" s="1054"/>
      <c r="P438" s="1055"/>
      <c r="Q438" s="1054"/>
      <c r="R438" s="959"/>
      <c r="S438" s="951"/>
      <c r="T438" s="1057"/>
      <c r="U438" s="1054"/>
      <c r="V438" s="1054"/>
      <c r="W438" s="1054"/>
      <c r="X438" s="1055"/>
      <c r="Y438" s="1055"/>
      <c r="Z438" s="1055"/>
      <c r="AA438" s="1055"/>
      <c r="AB438" s="1055"/>
      <c r="AC438" s="1055"/>
      <c r="AD438" s="1055"/>
      <c r="AE438" s="1055"/>
      <c r="AF438" s="1054"/>
      <c r="AG438" s="1054"/>
      <c r="AH438" s="1055"/>
      <c r="AI438" s="1055"/>
      <c r="AJ438" s="1055"/>
      <c r="AK438" s="1055"/>
      <c r="AL438" s="1055"/>
      <c r="AM438" s="1055"/>
      <c r="AN438" s="1055"/>
      <c r="AO438" s="1055"/>
      <c r="AP438" s="1054"/>
      <c r="AQ438" s="951"/>
      <c r="AR438" s="1055"/>
      <c r="AS438" s="1055"/>
      <c r="AT438" s="1055"/>
      <c r="AU438" s="1055"/>
      <c r="AV438" s="1055"/>
      <c r="AW438" s="1055"/>
      <c r="AX438" s="1055"/>
      <c r="AY438" s="1055"/>
      <c r="BB438" s="1055"/>
      <c r="BC438" s="1055"/>
      <c r="BD438" s="1055"/>
      <c r="BE438" s="1055"/>
      <c r="BF438" s="1055"/>
      <c r="BG438" s="1055"/>
      <c r="BH438" s="1055"/>
      <c r="BI438" s="1055"/>
      <c r="BU438" s="956"/>
      <c r="BV438" s="1056"/>
      <c r="BW438" s="951"/>
      <c r="BX438" s="951"/>
      <c r="BY438" s="951"/>
    </row>
    <row r="439" spans="1:77" x14ac:dyDescent="0.2">
      <c r="A439" s="951"/>
      <c r="B439" s="951"/>
      <c r="C439" s="1312"/>
      <c r="D439" s="1465"/>
      <c r="E439" s="1057"/>
      <c r="F439" s="1054"/>
      <c r="G439" s="1054"/>
      <c r="H439" s="1054"/>
      <c r="I439" s="1054"/>
      <c r="J439" s="1055"/>
      <c r="K439" s="1054"/>
      <c r="L439" s="1054"/>
      <c r="M439" s="1055"/>
      <c r="N439" s="1054"/>
      <c r="O439" s="1054"/>
      <c r="P439" s="1055"/>
      <c r="Q439" s="1054"/>
      <c r="R439" s="959"/>
      <c r="S439" s="951"/>
      <c r="T439" s="1057"/>
      <c r="U439" s="1054"/>
      <c r="V439" s="1054"/>
      <c r="W439" s="1054"/>
      <c r="X439" s="1055"/>
      <c r="Y439" s="1055"/>
      <c r="Z439" s="1055"/>
      <c r="AA439" s="1055"/>
      <c r="AB439" s="1055"/>
      <c r="AC439" s="1055"/>
      <c r="AD439" s="1055"/>
      <c r="AE439" s="1055"/>
      <c r="AF439" s="1054"/>
      <c r="AG439" s="1054"/>
      <c r="AH439" s="1055"/>
      <c r="AI439" s="1055"/>
      <c r="AJ439" s="1055"/>
      <c r="AK439" s="1055"/>
      <c r="AL439" s="1055"/>
      <c r="AM439" s="1055"/>
      <c r="AN439" s="1055"/>
      <c r="AO439" s="1055"/>
      <c r="AP439" s="1054"/>
      <c r="AQ439" s="951"/>
      <c r="AR439" s="1055"/>
      <c r="AS439" s="1055"/>
      <c r="AT439" s="1055"/>
      <c r="AU439" s="1055"/>
      <c r="AV439" s="1055"/>
      <c r="AW439" s="1055"/>
      <c r="AX439" s="1055"/>
      <c r="AY439" s="1055"/>
      <c r="BB439" s="1055"/>
      <c r="BC439" s="1055"/>
      <c r="BD439" s="1055"/>
      <c r="BE439" s="1055"/>
      <c r="BF439" s="1055"/>
      <c r="BG439" s="1055"/>
      <c r="BH439" s="1055"/>
      <c r="BI439" s="1055"/>
      <c r="BU439" s="956"/>
      <c r="BV439" s="1056"/>
      <c r="BW439" s="951"/>
      <c r="BX439" s="951"/>
      <c r="BY439" s="951"/>
    </row>
    <row r="440" spans="1:77" x14ac:dyDescent="0.2">
      <c r="A440" s="951"/>
      <c r="B440" s="951"/>
      <c r="C440" s="1312"/>
      <c r="D440" s="1462"/>
      <c r="E440" s="951"/>
      <c r="F440" s="951"/>
      <c r="G440" s="951"/>
      <c r="H440" s="951"/>
      <c r="I440" s="951"/>
      <c r="J440" s="959"/>
      <c r="L440" s="951"/>
      <c r="M440" s="959"/>
      <c r="N440" s="951"/>
      <c r="O440" s="951"/>
      <c r="P440" s="959"/>
      <c r="Q440" s="951"/>
      <c r="R440" s="959"/>
      <c r="S440" s="951"/>
      <c r="T440" s="951"/>
      <c r="U440" s="951"/>
      <c r="V440" s="951"/>
      <c r="W440" s="951"/>
      <c r="X440" s="959"/>
      <c r="Y440" s="959"/>
      <c r="Z440" s="959"/>
      <c r="AA440" s="959"/>
      <c r="AB440" s="959"/>
      <c r="AC440" s="959"/>
      <c r="AD440" s="959"/>
      <c r="AE440" s="959"/>
      <c r="AF440" s="951"/>
      <c r="AG440" s="951"/>
      <c r="AH440" s="959"/>
      <c r="AI440" s="959"/>
      <c r="AJ440" s="959"/>
      <c r="AK440" s="959"/>
      <c r="AL440" s="959"/>
      <c r="AM440" s="959"/>
      <c r="AN440" s="959"/>
      <c r="AO440" s="959"/>
      <c r="AP440" s="951"/>
      <c r="AQ440" s="951"/>
      <c r="AR440" s="959"/>
      <c r="AS440" s="959"/>
      <c r="AT440" s="959"/>
      <c r="AU440" s="959"/>
      <c r="AV440" s="959"/>
      <c r="AW440" s="959"/>
      <c r="AX440" s="959"/>
      <c r="AY440" s="959"/>
      <c r="BB440" s="959"/>
      <c r="BC440" s="959"/>
      <c r="BD440" s="959"/>
      <c r="BE440" s="959"/>
      <c r="BF440" s="959"/>
      <c r="BG440" s="959"/>
      <c r="BH440" s="959"/>
      <c r="BI440" s="959"/>
      <c r="BU440" s="956"/>
      <c r="BW440" s="951"/>
      <c r="BX440" s="951"/>
      <c r="BY440" s="951"/>
    </row>
    <row r="441" spans="1:77" x14ac:dyDescent="0.2">
      <c r="A441" s="951"/>
      <c r="B441" s="951"/>
      <c r="C441" s="1312"/>
      <c r="D441" s="1466"/>
      <c r="E441" s="1064"/>
      <c r="F441" s="1064"/>
      <c r="G441" s="1046"/>
      <c r="H441" s="1046"/>
      <c r="I441" s="1046"/>
      <c r="J441" s="1045"/>
      <c r="K441" s="1046"/>
      <c r="L441" s="1046"/>
      <c r="M441" s="1045"/>
      <c r="N441" s="1046"/>
      <c r="O441" s="1046"/>
      <c r="P441" s="1044"/>
      <c r="Q441" s="1065"/>
      <c r="R441" s="1072"/>
      <c r="S441" s="1073"/>
      <c r="T441" s="1064"/>
      <c r="U441" s="1064"/>
      <c r="V441" s="1046"/>
      <c r="W441" s="1046"/>
      <c r="X441" s="1045"/>
      <c r="Y441" s="1045"/>
      <c r="Z441" s="1045"/>
      <c r="AA441" s="1045"/>
      <c r="AB441" s="1045"/>
      <c r="AC441" s="1045"/>
      <c r="AD441" s="1045"/>
      <c r="AE441" s="1045"/>
      <c r="AF441" s="1046"/>
      <c r="AG441" s="1046"/>
      <c r="AH441" s="1045"/>
      <c r="AI441" s="1045"/>
      <c r="AJ441" s="1045"/>
      <c r="AK441" s="1045"/>
      <c r="AL441" s="1045"/>
      <c r="AM441" s="1045"/>
      <c r="AN441" s="1045"/>
      <c r="AO441" s="1045"/>
      <c r="AP441" s="1065"/>
      <c r="AQ441" s="951"/>
      <c r="AR441" s="1045"/>
      <c r="AS441" s="1045"/>
      <c r="AT441" s="1045"/>
      <c r="AU441" s="1045"/>
      <c r="AV441" s="1045"/>
      <c r="AW441" s="1045"/>
      <c r="AX441" s="1045"/>
      <c r="AY441" s="1045"/>
      <c r="BB441" s="1045"/>
      <c r="BC441" s="1045"/>
      <c r="BD441" s="1045"/>
      <c r="BE441" s="1045"/>
      <c r="BF441" s="1045"/>
      <c r="BG441" s="1045"/>
      <c r="BH441" s="1045"/>
      <c r="BI441" s="1045"/>
      <c r="BU441" s="956"/>
      <c r="BV441" s="1044"/>
      <c r="BW441" s="951"/>
      <c r="BX441" s="951"/>
      <c r="BY441" s="951"/>
    </row>
    <row r="442" spans="1:77" x14ac:dyDescent="0.2">
      <c r="A442" s="951"/>
      <c r="B442" s="951"/>
      <c r="C442" s="1312"/>
      <c r="D442" s="1467"/>
      <c r="E442" s="1066"/>
      <c r="F442" s="1066"/>
      <c r="G442" s="1046"/>
      <c r="H442" s="1046"/>
      <c r="I442" s="1046"/>
      <c r="J442" s="1045"/>
      <c r="K442" s="1046"/>
      <c r="L442" s="1046"/>
      <c r="M442" s="1045"/>
      <c r="N442" s="1046"/>
      <c r="O442" s="1046"/>
      <c r="P442" s="1049"/>
      <c r="Q442" s="1067"/>
      <c r="R442" s="1072"/>
      <c r="S442" s="1074"/>
      <c r="T442" s="1066"/>
      <c r="U442" s="1066"/>
      <c r="V442" s="1046"/>
      <c r="W442" s="1046"/>
      <c r="X442" s="1045"/>
      <c r="Y442" s="1045"/>
      <c r="Z442" s="1045"/>
      <c r="AA442" s="1045"/>
      <c r="AB442" s="1045"/>
      <c r="AC442" s="1045"/>
      <c r="AD442" s="1045"/>
      <c r="AE442" s="1045"/>
      <c r="AF442" s="1046"/>
      <c r="AG442" s="1046"/>
      <c r="AH442" s="1045"/>
      <c r="AI442" s="1045"/>
      <c r="AJ442" s="1045"/>
      <c r="AK442" s="1045"/>
      <c r="AL442" s="1045"/>
      <c r="AM442" s="1045"/>
      <c r="AN442" s="1045"/>
      <c r="AO442" s="1045"/>
      <c r="AP442" s="1067"/>
      <c r="AQ442" s="951"/>
      <c r="AR442" s="1045"/>
      <c r="AS442" s="1045"/>
      <c r="AT442" s="1045"/>
      <c r="AU442" s="1045"/>
      <c r="AV442" s="1045"/>
      <c r="AW442" s="1045"/>
      <c r="AX442" s="1045"/>
      <c r="AY442" s="1045"/>
      <c r="BB442" s="1045"/>
      <c r="BC442" s="1045"/>
      <c r="BD442" s="1045"/>
      <c r="BE442" s="1045"/>
      <c r="BF442" s="1045"/>
      <c r="BG442" s="1045"/>
      <c r="BH442" s="1045"/>
      <c r="BI442" s="1045"/>
      <c r="BU442" s="956"/>
      <c r="BV442" s="1049"/>
      <c r="BW442" s="951"/>
      <c r="BX442" s="951"/>
      <c r="BY442" s="951"/>
    </row>
    <row r="443" spans="1:77" x14ac:dyDescent="0.2">
      <c r="A443" s="951"/>
      <c r="B443" s="951"/>
      <c r="C443" s="1312"/>
      <c r="D443" s="1461"/>
      <c r="E443" s="1047"/>
      <c r="F443" s="1047"/>
      <c r="G443" s="1046"/>
      <c r="H443" s="1046"/>
      <c r="I443" s="1046"/>
      <c r="J443" s="1045"/>
      <c r="K443" s="1046"/>
      <c r="L443" s="1046"/>
      <c r="M443" s="1068"/>
      <c r="N443" s="1069"/>
      <c r="O443" s="1069"/>
      <c r="P443" s="1049"/>
      <c r="Q443" s="1067"/>
      <c r="R443" s="1045"/>
      <c r="S443" s="1046"/>
      <c r="T443" s="1047"/>
      <c r="U443" s="1047"/>
      <c r="V443" s="1046"/>
      <c r="W443" s="1046"/>
      <c r="X443" s="1045"/>
      <c r="Y443" s="1045"/>
      <c r="Z443" s="1045"/>
      <c r="AA443" s="1045"/>
      <c r="AB443" s="1045"/>
      <c r="AC443" s="1045"/>
      <c r="AD443" s="1045"/>
      <c r="AE443" s="1045"/>
      <c r="AF443" s="1046"/>
      <c r="AG443" s="1069"/>
      <c r="AH443" s="1045"/>
      <c r="AI443" s="1045"/>
      <c r="AJ443" s="1045"/>
      <c r="AK443" s="1045"/>
      <c r="AL443" s="1045"/>
      <c r="AM443" s="1045"/>
      <c r="AN443" s="1045"/>
      <c r="AO443" s="1045"/>
      <c r="AP443" s="1067"/>
      <c r="AQ443" s="951"/>
      <c r="AR443" s="1045"/>
      <c r="AS443" s="1045"/>
      <c r="AT443" s="1045"/>
      <c r="AU443" s="1045"/>
      <c r="AV443" s="1045"/>
      <c r="AW443" s="1045"/>
      <c r="AX443" s="1045"/>
      <c r="AY443" s="1045"/>
      <c r="BB443" s="1045"/>
      <c r="BC443" s="1045"/>
      <c r="BD443" s="1045"/>
      <c r="BE443" s="1045"/>
      <c r="BF443" s="1045"/>
      <c r="BG443" s="1045"/>
      <c r="BH443" s="1045"/>
      <c r="BI443" s="1045"/>
      <c r="BU443" s="956"/>
      <c r="BV443" s="1049"/>
      <c r="BW443" s="951"/>
      <c r="BX443" s="951"/>
      <c r="BY443" s="951"/>
    </row>
    <row r="444" spans="1:77" x14ac:dyDescent="0.2">
      <c r="A444" s="951"/>
      <c r="B444" s="951"/>
      <c r="C444" s="1312"/>
      <c r="D444" s="1462"/>
      <c r="E444" s="951"/>
      <c r="F444" s="1043"/>
      <c r="G444" s="1043"/>
      <c r="H444" s="1043"/>
      <c r="I444" s="1043"/>
      <c r="J444" s="1044"/>
      <c r="K444" s="1043"/>
      <c r="L444" s="1043"/>
      <c r="M444" s="1044"/>
      <c r="N444" s="1043"/>
      <c r="O444" s="1043"/>
      <c r="P444" s="1044"/>
      <c r="Q444" s="1043"/>
      <c r="R444" s="1045"/>
      <c r="S444" s="1046"/>
      <c r="T444" s="951"/>
      <c r="U444" s="1043"/>
      <c r="V444" s="1043"/>
      <c r="W444" s="1043"/>
      <c r="X444" s="1044"/>
      <c r="Y444" s="1044"/>
      <c r="Z444" s="1044"/>
      <c r="AA444" s="1044"/>
      <c r="AB444" s="1044"/>
      <c r="AC444" s="1044"/>
      <c r="AD444" s="1044"/>
      <c r="AE444" s="1044"/>
      <c r="AF444" s="1043"/>
      <c r="AG444" s="1043"/>
      <c r="AH444" s="1044"/>
      <c r="AI444" s="1044"/>
      <c r="AJ444" s="1044"/>
      <c r="AK444" s="1044"/>
      <c r="AL444" s="1044"/>
      <c r="AM444" s="1044"/>
      <c r="AN444" s="1044"/>
      <c r="AO444" s="1044"/>
      <c r="AP444" s="1043"/>
      <c r="AQ444" s="951"/>
      <c r="AR444" s="1044"/>
      <c r="AS444" s="1044"/>
      <c r="AT444" s="1044"/>
      <c r="AU444" s="1044"/>
      <c r="AV444" s="1044"/>
      <c r="AW444" s="1044"/>
      <c r="AX444" s="1044"/>
      <c r="AY444" s="1044"/>
      <c r="BB444" s="1044"/>
      <c r="BC444" s="1044"/>
      <c r="BD444" s="1044"/>
      <c r="BE444" s="1044"/>
      <c r="BF444" s="1044"/>
      <c r="BG444" s="1044"/>
      <c r="BH444" s="1044"/>
      <c r="BI444" s="1044"/>
      <c r="BU444" s="956"/>
      <c r="BV444" s="1044"/>
      <c r="BW444" s="951"/>
      <c r="BX444" s="951"/>
      <c r="BY444" s="951"/>
    </row>
    <row r="445" spans="1:77" x14ac:dyDescent="0.2">
      <c r="A445" s="951"/>
      <c r="B445" s="951"/>
      <c r="C445" s="1312"/>
      <c r="D445" s="1461"/>
      <c r="E445" s="1047"/>
      <c r="F445" s="1048"/>
      <c r="G445" s="1048"/>
      <c r="H445" s="1048"/>
      <c r="I445" s="1048"/>
      <c r="J445" s="1045"/>
      <c r="K445" s="1048"/>
      <c r="L445" s="1048"/>
      <c r="M445" s="1045"/>
      <c r="N445" s="1048"/>
      <c r="O445" s="1048"/>
      <c r="P445" s="1045"/>
      <c r="Q445" s="1048"/>
      <c r="R445" s="1045"/>
      <c r="S445" s="1046"/>
      <c r="T445" s="1047"/>
      <c r="U445" s="1048"/>
      <c r="V445" s="1048"/>
      <c r="W445" s="1048"/>
      <c r="X445" s="1045"/>
      <c r="Y445" s="1045"/>
      <c r="Z445" s="1045"/>
      <c r="AA445" s="1045"/>
      <c r="AB445" s="1045"/>
      <c r="AC445" s="1045"/>
      <c r="AD445" s="1045"/>
      <c r="AE445" s="1045"/>
      <c r="AF445" s="1048"/>
      <c r="AG445" s="1048"/>
      <c r="AH445" s="1045"/>
      <c r="AI445" s="1045"/>
      <c r="AJ445" s="1045"/>
      <c r="AK445" s="1045"/>
      <c r="AL445" s="1045"/>
      <c r="AM445" s="1045"/>
      <c r="AN445" s="1045"/>
      <c r="AO445" s="1045"/>
      <c r="AP445" s="1048"/>
      <c r="AQ445" s="951"/>
      <c r="AR445" s="1045"/>
      <c r="AS445" s="1045"/>
      <c r="AT445" s="1045"/>
      <c r="AU445" s="1045"/>
      <c r="AV445" s="1045"/>
      <c r="AW445" s="1045"/>
      <c r="AX445" s="1045"/>
      <c r="AY445" s="1045"/>
      <c r="BB445" s="1045"/>
      <c r="BC445" s="1045"/>
      <c r="BD445" s="1045"/>
      <c r="BE445" s="1045"/>
      <c r="BF445" s="1045"/>
      <c r="BG445" s="1045"/>
      <c r="BH445" s="1045"/>
      <c r="BI445" s="1045"/>
      <c r="BU445" s="956"/>
      <c r="BV445" s="1049"/>
      <c r="BW445" s="951"/>
      <c r="BX445" s="951"/>
      <c r="BY445" s="951"/>
    </row>
    <row r="446" spans="1:77" x14ac:dyDescent="0.2">
      <c r="A446" s="951"/>
      <c r="B446" s="951"/>
      <c r="C446" s="1312"/>
      <c r="D446" s="1461"/>
      <c r="E446" s="1047"/>
      <c r="F446" s="1048"/>
      <c r="G446" s="1048"/>
      <c r="H446" s="1048"/>
      <c r="I446" s="1048"/>
      <c r="J446" s="1045"/>
      <c r="K446" s="1048"/>
      <c r="L446" s="1048"/>
      <c r="M446" s="1045"/>
      <c r="N446" s="1048"/>
      <c r="O446" s="1048"/>
      <c r="P446" s="1045"/>
      <c r="Q446" s="1048"/>
      <c r="R446" s="1045"/>
      <c r="S446" s="1046"/>
      <c r="T446" s="1047"/>
      <c r="U446" s="1048"/>
      <c r="V446" s="1048"/>
      <c r="W446" s="1048"/>
      <c r="X446" s="1045"/>
      <c r="Y446" s="1045"/>
      <c r="Z446" s="1045"/>
      <c r="AA446" s="1045"/>
      <c r="AB446" s="1045"/>
      <c r="AC446" s="1045"/>
      <c r="AD446" s="1045"/>
      <c r="AE446" s="1045"/>
      <c r="AF446" s="1048"/>
      <c r="AG446" s="1048"/>
      <c r="AH446" s="1045"/>
      <c r="AI446" s="1045"/>
      <c r="AJ446" s="1045"/>
      <c r="AK446" s="1045"/>
      <c r="AL446" s="1045"/>
      <c r="AM446" s="1045"/>
      <c r="AN446" s="1045"/>
      <c r="AO446" s="1045"/>
      <c r="AP446" s="1048"/>
      <c r="AQ446" s="951"/>
      <c r="AR446" s="1045"/>
      <c r="AS446" s="1045"/>
      <c r="AT446" s="1045"/>
      <c r="AU446" s="1045"/>
      <c r="AV446" s="1045"/>
      <c r="AW446" s="1045"/>
      <c r="AX446" s="1045"/>
      <c r="AY446" s="1045"/>
      <c r="BB446" s="1045"/>
      <c r="BC446" s="1045"/>
      <c r="BD446" s="1045"/>
      <c r="BE446" s="1045"/>
      <c r="BF446" s="1045"/>
      <c r="BG446" s="1045"/>
      <c r="BH446" s="1045"/>
      <c r="BI446" s="1045"/>
      <c r="BU446" s="956"/>
      <c r="BV446" s="1049"/>
      <c r="BW446" s="951"/>
      <c r="BX446" s="951"/>
      <c r="BY446" s="951"/>
    </row>
    <row r="447" spans="1:77" x14ac:dyDescent="0.2">
      <c r="A447" s="951"/>
      <c r="B447" s="951"/>
      <c r="C447" s="1312"/>
      <c r="D447" s="1463"/>
      <c r="E447" s="1050"/>
      <c r="F447" s="1051"/>
      <c r="G447" s="1051"/>
      <c r="H447" s="1051"/>
      <c r="I447" s="1051"/>
      <c r="J447" s="1052"/>
      <c r="K447" s="1051"/>
      <c r="L447" s="1051"/>
      <c r="M447" s="1052"/>
      <c r="N447" s="1051"/>
      <c r="O447" s="1051"/>
      <c r="P447" s="1052"/>
      <c r="Q447" s="1051"/>
      <c r="R447" s="1045"/>
      <c r="S447" s="1046"/>
      <c r="T447" s="1050"/>
      <c r="U447" s="1051"/>
      <c r="V447" s="1051"/>
      <c r="W447" s="1051"/>
      <c r="X447" s="1052"/>
      <c r="Y447" s="1052"/>
      <c r="Z447" s="1052"/>
      <c r="AA447" s="1052"/>
      <c r="AB447" s="1052"/>
      <c r="AC447" s="1052"/>
      <c r="AD447" s="1052"/>
      <c r="AE447" s="1052"/>
      <c r="AF447" s="1051"/>
      <c r="AG447" s="1051"/>
      <c r="AH447" s="1052"/>
      <c r="AI447" s="1052"/>
      <c r="AJ447" s="1052"/>
      <c r="AK447" s="1052"/>
      <c r="AL447" s="1052"/>
      <c r="AM447" s="1052"/>
      <c r="AN447" s="1052"/>
      <c r="AO447" s="1052"/>
      <c r="AP447" s="1051"/>
      <c r="AQ447" s="951"/>
      <c r="AR447" s="1052"/>
      <c r="AS447" s="1052"/>
      <c r="AT447" s="1052"/>
      <c r="AU447" s="1052"/>
      <c r="AV447" s="1052"/>
      <c r="AW447" s="1052"/>
      <c r="AX447" s="1052"/>
      <c r="AY447" s="1052"/>
      <c r="BB447" s="1052"/>
      <c r="BC447" s="1052"/>
      <c r="BD447" s="1052"/>
      <c r="BE447" s="1052"/>
      <c r="BF447" s="1052"/>
      <c r="BG447" s="1052"/>
      <c r="BH447" s="1052"/>
      <c r="BI447" s="1052"/>
      <c r="BU447" s="956"/>
      <c r="BV447" s="1052"/>
      <c r="BW447" s="951"/>
      <c r="BX447" s="951"/>
      <c r="BY447" s="951"/>
    </row>
    <row r="448" spans="1:77" x14ac:dyDescent="0.2">
      <c r="A448" s="951"/>
      <c r="B448" s="951"/>
      <c r="C448" s="1312"/>
      <c r="D448" s="1464"/>
      <c r="E448" s="1053"/>
      <c r="F448" s="1054"/>
      <c r="G448" s="1054"/>
      <c r="H448" s="1054"/>
      <c r="I448" s="1054"/>
      <c r="J448" s="1055"/>
      <c r="K448" s="1054"/>
      <c r="L448" s="1054"/>
      <c r="M448" s="1055"/>
      <c r="N448" s="1054"/>
      <c r="O448" s="1054"/>
      <c r="P448" s="1055"/>
      <c r="Q448" s="1054"/>
      <c r="R448" s="1045"/>
      <c r="S448" s="1046"/>
      <c r="T448" s="1053"/>
      <c r="U448" s="1054"/>
      <c r="V448" s="1054"/>
      <c r="W448" s="1054"/>
      <c r="X448" s="1055"/>
      <c r="Y448" s="1055"/>
      <c r="Z448" s="1055"/>
      <c r="AA448" s="1055"/>
      <c r="AB448" s="1055"/>
      <c r="AC448" s="1055"/>
      <c r="AD448" s="1055"/>
      <c r="AE448" s="1055"/>
      <c r="AF448" s="1054"/>
      <c r="AG448" s="1054"/>
      <c r="AH448" s="1055"/>
      <c r="AI448" s="1055"/>
      <c r="AJ448" s="1055"/>
      <c r="AK448" s="1055"/>
      <c r="AL448" s="1055"/>
      <c r="AM448" s="1055"/>
      <c r="AN448" s="1055"/>
      <c r="AO448" s="1055"/>
      <c r="AP448" s="1054"/>
      <c r="AQ448" s="951"/>
      <c r="AR448" s="1055"/>
      <c r="AS448" s="1055"/>
      <c r="AT448" s="1055"/>
      <c r="AU448" s="1055"/>
      <c r="AV448" s="1055"/>
      <c r="AW448" s="1055"/>
      <c r="AX448" s="1055"/>
      <c r="AY448" s="1055"/>
      <c r="BB448" s="1055"/>
      <c r="BC448" s="1055"/>
      <c r="BD448" s="1055"/>
      <c r="BE448" s="1055"/>
      <c r="BF448" s="1055"/>
      <c r="BG448" s="1055"/>
      <c r="BH448" s="1055"/>
      <c r="BI448" s="1055"/>
      <c r="BU448" s="956"/>
      <c r="BV448" s="1056"/>
      <c r="BW448" s="951"/>
      <c r="BX448" s="951"/>
      <c r="BY448" s="951"/>
    </row>
    <row r="449" spans="1:77" x14ac:dyDescent="0.2">
      <c r="A449" s="951"/>
      <c r="B449" s="951"/>
      <c r="C449" s="1312"/>
      <c r="D449" s="1465"/>
      <c r="E449" s="1057"/>
      <c r="F449" s="1054"/>
      <c r="G449" s="1054"/>
      <c r="H449" s="1054"/>
      <c r="I449" s="1054"/>
      <c r="J449" s="1055"/>
      <c r="K449" s="1054"/>
      <c r="L449" s="1054"/>
      <c r="M449" s="1055"/>
      <c r="N449" s="1054"/>
      <c r="O449" s="1054"/>
      <c r="P449" s="1055"/>
      <c r="Q449" s="1054"/>
      <c r="R449" s="1045"/>
      <c r="S449" s="1046"/>
      <c r="T449" s="1057"/>
      <c r="U449" s="1054"/>
      <c r="V449" s="1054"/>
      <c r="W449" s="1054"/>
      <c r="X449" s="1055"/>
      <c r="Y449" s="1055"/>
      <c r="Z449" s="1055"/>
      <c r="AA449" s="1055"/>
      <c r="AB449" s="1055"/>
      <c r="AC449" s="1055"/>
      <c r="AD449" s="1055"/>
      <c r="AE449" s="1055"/>
      <c r="AF449" s="1054"/>
      <c r="AG449" s="1054"/>
      <c r="AH449" s="1055"/>
      <c r="AI449" s="1055"/>
      <c r="AJ449" s="1055"/>
      <c r="AK449" s="1055"/>
      <c r="AL449" s="1055"/>
      <c r="AM449" s="1055"/>
      <c r="AN449" s="1055"/>
      <c r="AO449" s="1055"/>
      <c r="AP449" s="1054"/>
      <c r="AQ449" s="951"/>
      <c r="AR449" s="1055"/>
      <c r="AS449" s="1055"/>
      <c r="AT449" s="1055"/>
      <c r="AU449" s="1055"/>
      <c r="AV449" s="1055"/>
      <c r="AW449" s="1055"/>
      <c r="AX449" s="1055"/>
      <c r="AY449" s="1055"/>
      <c r="BB449" s="1055"/>
      <c r="BC449" s="1055"/>
      <c r="BD449" s="1055"/>
      <c r="BE449" s="1055"/>
      <c r="BF449" s="1055"/>
      <c r="BG449" s="1055"/>
      <c r="BH449" s="1055"/>
      <c r="BI449" s="1055"/>
      <c r="BU449" s="956"/>
      <c r="BV449" s="1056"/>
      <c r="BW449" s="951"/>
      <c r="BX449" s="951"/>
      <c r="BY449" s="951"/>
    </row>
    <row r="450" spans="1:77" x14ac:dyDescent="0.2">
      <c r="A450" s="951"/>
      <c r="B450" s="951"/>
      <c r="C450" s="1312"/>
      <c r="D450" s="1465"/>
      <c r="E450" s="1057"/>
      <c r="F450" s="1054"/>
      <c r="G450" s="1054"/>
      <c r="H450" s="1054"/>
      <c r="I450" s="1054"/>
      <c r="J450" s="1055"/>
      <c r="K450" s="1054"/>
      <c r="L450" s="1054"/>
      <c r="M450" s="1055"/>
      <c r="N450" s="1054"/>
      <c r="O450" s="1054"/>
      <c r="P450" s="1055"/>
      <c r="Q450" s="1054"/>
      <c r="R450" s="1045"/>
      <c r="S450" s="1046"/>
      <c r="T450" s="1057"/>
      <c r="U450" s="1054"/>
      <c r="V450" s="1054"/>
      <c r="W450" s="1054"/>
      <c r="X450" s="1055"/>
      <c r="Y450" s="1055"/>
      <c r="Z450" s="1055"/>
      <c r="AA450" s="1055"/>
      <c r="AB450" s="1055"/>
      <c r="AC450" s="1055"/>
      <c r="AD450" s="1055"/>
      <c r="AE450" s="1055"/>
      <c r="AF450" s="1054"/>
      <c r="AG450" s="1054"/>
      <c r="AH450" s="1055"/>
      <c r="AI450" s="1055"/>
      <c r="AJ450" s="1055"/>
      <c r="AK450" s="1055"/>
      <c r="AL450" s="1055"/>
      <c r="AM450" s="1055"/>
      <c r="AN450" s="1055"/>
      <c r="AO450" s="1055"/>
      <c r="AP450" s="1054"/>
      <c r="AQ450" s="951"/>
      <c r="AR450" s="1055"/>
      <c r="AS450" s="1055"/>
      <c r="AT450" s="1055"/>
      <c r="AU450" s="1055"/>
      <c r="AV450" s="1055"/>
      <c r="AW450" s="1055"/>
      <c r="AX450" s="1055"/>
      <c r="AY450" s="1055"/>
      <c r="BB450" s="1055"/>
      <c r="BC450" s="1055"/>
      <c r="BD450" s="1055"/>
      <c r="BE450" s="1055"/>
      <c r="BF450" s="1055"/>
      <c r="BG450" s="1055"/>
      <c r="BH450" s="1055"/>
      <c r="BI450" s="1055"/>
      <c r="BU450" s="956"/>
      <c r="BV450" s="1056"/>
      <c r="BW450" s="951"/>
      <c r="BX450" s="951"/>
      <c r="BY450" s="951"/>
    </row>
    <row r="451" spans="1:77" x14ac:dyDescent="0.2">
      <c r="A451" s="951"/>
      <c r="B451" s="951"/>
      <c r="C451" s="1312"/>
      <c r="D451" s="1469"/>
      <c r="E451" s="1058"/>
      <c r="F451" s="1059"/>
      <c r="G451" s="1059"/>
      <c r="H451" s="1059"/>
      <c r="I451" s="1059"/>
      <c r="J451" s="1060"/>
      <c r="K451" s="1059"/>
      <c r="L451" s="1059"/>
      <c r="M451" s="1061"/>
      <c r="N451" s="1050"/>
      <c r="O451" s="1050"/>
      <c r="P451" s="1052"/>
      <c r="Q451" s="1051"/>
      <c r="R451" s="1045"/>
      <c r="S451" s="1046"/>
      <c r="T451" s="1058"/>
      <c r="U451" s="1059"/>
      <c r="V451" s="1059"/>
      <c r="W451" s="1059"/>
      <c r="X451" s="1060"/>
      <c r="Y451" s="1060"/>
      <c r="Z451" s="1060"/>
      <c r="AA451" s="1060"/>
      <c r="AB451" s="1060"/>
      <c r="AC451" s="1060"/>
      <c r="AD451" s="1060"/>
      <c r="AE451" s="1060"/>
      <c r="AF451" s="1059"/>
      <c r="AG451" s="1050"/>
      <c r="AH451" s="1060"/>
      <c r="AI451" s="1060"/>
      <c r="AJ451" s="1060"/>
      <c r="AK451" s="1060"/>
      <c r="AL451" s="1060"/>
      <c r="AM451" s="1060"/>
      <c r="AN451" s="1060"/>
      <c r="AO451" s="1060"/>
      <c r="AP451" s="1051"/>
      <c r="AQ451" s="951"/>
      <c r="AR451" s="1060"/>
      <c r="AS451" s="1060"/>
      <c r="AT451" s="1060"/>
      <c r="AU451" s="1060"/>
      <c r="AV451" s="1060"/>
      <c r="AW451" s="1060"/>
      <c r="AX451" s="1060"/>
      <c r="AY451" s="1060"/>
      <c r="BB451" s="1060"/>
      <c r="BC451" s="1060"/>
      <c r="BD451" s="1060"/>
      <c r="BE451" s="1060"/>
      <c r="BF451" s="1060"/>
      <c r="BG451" s="1060"/>
      <c r="BH451" s="1060"/>
      <c r="BI451" s="1060"/>
      <c r="BU451" s="956"/>
      <c r="BV451" s="1052"/>
      <c r="BW451" s="951"/>
      <c r="BX451" s="951"/>
      <c r="BY451" s="951"/>
    </row>
    <row r="452" spans="1:77" x14ac:dyDescent="0.2">
      <c r="A452" s="951"/>
      <c r="B452" s="951"/>
      <c r="C452" s="1312"/>
      <c r="D452" s="1462"/>
      <c r="E452" s="951"/>
      <c r="F452" s="951"/>
      <c r="G452" s="951"/>
      <c r="H452" s="951"/>
      <c r="I452" s="951"/>
      <c r="J452" s="959"/>
      <c r="L452" s="951"/>
      <c r="M452" s="959"/>
      <c r="N452" s="951"/>
      <c r="O452" s="951"/>
      <c r="P452" s="959"/>
      <c r="Q452" s="951"/>
      <c r="R452" s="959"/>
      <c r="S452" s="951"/>
      <c r="T452" s="951"/>
      <c r="U452" s="951"/>
      <c r="V452" s="951"/>
      <c r="W452" s="951"/>
      <c r="X452" s="959"/>
      <c r="Y452" s="959"/>
      <c r="Z452" s="959"/>
      <c r="AA452" s="959"/>
      <c r="AB452" s="959"/>
      <c r="AC452" s="959"/>
      <c r="AD452" s="959"/>
      <c r="AE452" s="959"/>
      <c r="AF452" s="951"/>
      <c r="AG452" s="951"/>
      <c r="AH452" s="959"/>
      <c r="AI452" s="959"/>
      <c r="AJ452" s="959"/>
      <c r="AK452" s="959"/>
      <c r="AL452" s="959"/>
      <c r="AM452" s="959"/>
      <c r="AN452" s="959"/>
      <c r="AO452" s="959"/>
      <c r="AP452" s="951"/>
      <c r="AQ452" s="951"/>
      <c r="AR452" s="959"/>
      <c r="AS452" s="959"/>
      <c r="AT452" s="959"/>
      <c r="AU452" s="959"/>
      <c r="AV452" s="959"/>
      <c r="AW452" s="959"/>
      <c r="AX452" s="959"/>
      <c r="AY452" s="959"/>
      <c r="BB452" s="959"/>
      <c r="BC452" s="959"/>
      <c r="BD452" s="959"/>
      <c r="BE452" s="959"/>
      <c r="BF452" s="959"/>
      <c r="BG452" s="959"/>
      <c r="BH452" s="959"/>
      <c r="BI452" s="959"/>
      <c r="BU452" s="956"/>
      <c r="BW452" s="1059"/>
      <c r="BX452" s="1059"/>
      <c r="BY452" s="951"/>
    </row>
    <row r="453" spans="1:77" x14ac:dyDescent="0.2">
      <c r="A453" s="951"/>
      <c r="B453" s="951"/>
      <c r="C453" s="1312"/>
      <c r="D453" s="1462"/>
      <c r="E453" s="951"/>
      <c r="F453" s="951"/>
      <c r="G453" s="951"/>
      <c r="H453" s="951"/>
      <c r="I453" s="951"/>
      <c r="J453" s="959"/>
      <c r="L453" s="951"/>
      <c r="M453" s="959"/>
      <c r="N453" s="951"/>
      <c r="O453" s="951"/>
      <c r="P453" s="959"/>
      <c r="Q453" s="951"/>
      <c r="R453" s="959"/>
      <c r="S453" s="951"/>
      <c r="T453" s="951"/>
      <c r="U453" s="951"/>
      <c r="V453" s="951"/>
      <c r="W453" s="951"/>
      <c r="X453" s="959"/>
      <c r="Y453" s="959"/>
      <c r="Z453" s="959"/>
      <c r="AA453" s="959"/>
      <c r="AB453" s="959"/>
      <c r="AC453" s="959"/>
      <c r="AD453" s="959"/>
      <c r="AE453" s="959"/>
      <c r="AF453" s="951"/>
      <c r="AG453" s="951"/>
      <c r="AH453" s="959"/>
      <c r="AI453" s="959"/>
      <c r="AJ453" s="959"/>
      <c r="AK453" s="959"/>
      <c r="AL453" s="959"/>
      <c r="AM453" s="959"/>
      <c r="AN453" s="959"/>
      <c r="AO453" s="959"/>
      <c r="AP453" s="951"/>
      <c r="AQ453" s="951"/>
      <c r="AR453" s="959"/>
      <c r="AS453" s="959"/>
      <c r="AT453" s="959"/>
      <c r="AU453" s="959"/>
      <c r="AV453" s="959"/>
      <c r="AW453" s="959"/>
      <c r="AX453" s="959"/>
      <c r="AY453" s="959"/>
      <c r="BB453" s="959"/>
      <c r="BC453" s="959"/>
      <c r="BD453" s="959"/>
      <c r="BE453" s="959"/>
      <c r="BF453" s="959"/>
      <c r="BG453" s="959"/>
      <c r="BH453" s="959"/>
      <c r="BI453" s="959"/>
      <c r="BU453" s="956"/>
      <c r="BW453" s="1059"/>
      <c r="BX453" s="1059"/>
      <c r="BY453" s="951"/>
    </row>
    <row r="454" spans="1:77" x14ac:dyDescent="0.2">
      <c r="AQ454" s="951"/>
    </row>
    <row r="455" spans="1:77" x14ac:dyDescent="0.2">
      <c r="AQ455" s="951"/>
    </row>
    <row r="456" spans="1:77" x14ac:dyDescent="0.2">
      <c r="AQ456" s="951"/>
    </row>
    <row r="457" spans="1:77" x14ac:dyDescent="0.2">
      <c r="AQ457" s="951"/>
    </row>
    <row r="458" spans="1:77" x14ac:dyDescent="0.2">
      <c r="AQ458" s="951"/>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s>
  <conditionalFormatting sqref="E41">
    <cfRule type="expression" dxfId="427" priority="1730" stopIfTrue="1">
      <formula>$BT40&lt;2</formula>
    </cfRule>
  </conditionalFormatting>
  <conditionalFormatting sqref="E42">
    <cfRule type="expression" dxfId="426" priority="1740" stopIfTrue="1">
      <formula>$BT40&lt;3</formula>
    </cfRule>
  </conditionalFormatting>
  <conditionalFormatting sqref="BT11:BU11">
    <cfRule type="cellIs" dxfId="425" priority="1322" operator="greaterThan">
      <formula>$BT9</formula>
    </cfRule>
  </conditionalFormatting>
  <conditionalFormatting sqref="AT40:AU40 AG40:AP40">
    <cfRule type="expression" dxfId="424" priority="1174">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423" priority="2561" stopIfTrue="1" operator="greaterThan">
      <formula>$EA10</formula>
    </cfRule>
  </conditionalFormatting>
  <conditionalFormatting sqref="BC40:BK40 AY40">
    <cfRule type="expression" dxfId="422" priority="2562">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421" priority="2567">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420" priority="2568">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419" priority="2569">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418" priority="659">
      <formula>NOT(ISNUMBER(SEARCH(BL40,BK10&amp;BL10&amp;BM10&amp;BM16&amp;BL16&amp;BK16&amp;BK22&amp;BL22&amp;BM22&amp;BK28&amp;BL28&amp;BM28&amp;BK34&amp;BL34&amp;BM34)))</formula>
    </cfRule>
  </conditionalFormatting>
  <conditionalFormatting sqref="BM40">
    <cfRule type="expression" dxfId="417" priority="658">
      <formula>NOT(ISNUMBER(SEARCH(BM40,BK10&amp;BL10&amp;BM10&amp;BM16&amp;BL16&amp;BK16&amp;BK22&amp;BL22&amp;BM22&amp;BK28&amp;BL28&amp;BM28&amp;BK34&amp;BL34&amp;BM34)))</formula>
    </cfRule>
  </conditionalFormatting>
  <conditionalFormatting sqref="AV40">
    <cfRule type="expression" dxfId="416" priority="5257">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415" priority="5259">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14" priority="5260">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413" priority="5262">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412" priority="5263">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411" priority="5265">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410" priority="419" stopIfTrue="1">
      <formula>AND($D8=1,OR(COUNTIF($L10:$L38,"Si")&gt;0,COUNTIF($O10:$O38,"Si")))</formula>
    </cfRule>
    <cfRule type="expression" dxfId="409" priority="1056" stopIfTrue="1">
      <formula>OR($D8&lt;1,$D8&gt;3)</formula>
    </cfRule>
  </conditionalFormatting>
  <conditionalFormatting sqref="E78">
    <cfRule type="expression" dxfId="408" priority="159" stopIfTrue="1">
      <formula>$BT77&lt;2</formula>
    </cfRule>
  </conditionalFormatting>
  <conditionalFormatting sqref="E79">
    <cfRule type="expression" dxfId="407" priority="160" stopIfTrue="1">
      <formula>$BT77&lt;3</formula>
    </cfRule>
  </conditionalFormatting>
  <conditionalFormatting sqref="BT48:BU48">
    <cfRule type="cellIs" dxfId="406" priority="158" operator="greaterThan">
      <formula>$BT46</formula>
    </cfRule>
  </conditionalFormatting>
  <conditionalFormatting sqref="AT77:AU77 AG77:AP77">
    <cfRule type="expression" dxfId="405" priority="157">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404" priority="161" stopIfTrue="1" operator="greaterThan">
      <formula>$EA47</formula>
    </cfRule>
  </conditionalFormatting>
  <conditionalFormatting sqref="BC77:BK77 AY77">
    <cfRule type="expression" dxfId="403" priority="162">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402" priority="163">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401" priority="164">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400" priority="165">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399" priority="155">
      <formula>NOT(ISNUMBER(SEARCH(BL77,BK47&amp;BL47&amp;BM47&amp;BM53&amp;BL53&amp;BK53&amp;BK59&amp;BL59&amp;BM59&amp;BK65&amp;BL65&amp;BM65&amp;BK71&amp;BL71&amp;BM71)))</formula>
    </cfRule>
  </conditionalFormatting>
  <conditionalFormatting sqref="BM77">
    <cfRule type="expression" dxfId="398" priority="154">
      <formula>NOT(ISNUMBER(SEARCH(BM77,BK47&amp;BL47&amp;BM47&amp;BM53&amp;BL53&amp;BK53&amp;BK59&amp;BL59&amp;BM59&amp;BK65&amp;BL65&amp;BM65&amp;BK71&amp;BL71&amp;BM71)))</formula>
    </cfRule>
  </conditionalFormatting>
  <conditionalFormatting sqref="AV77">
    <cfRule type="expression" dxfId="397" priority="166">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396" priority="167">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95" priority="168">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394" priority="169">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393" priority="170">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392" priority="171">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391" priority="153" stopIfTrue="1">
      <formula>AND($D45=1,OR(COUNTIF($L47:$L75,"Si")&gt;0,COUNTIF($O47:$O75,"Si")))</formula>
    </cfRule>
    <cfRule type="expression" dxfId="390" priority="156" stopIfTrue="1">
      <formula>OR($D45&lt;1,$D45&gt;3)</formula>
    </cfRule>
  </conditionalFormatting>
  <conditionalFormatting sqref="E115">
    <cfRule type="expression" dxfId="389" priority="140" stopIfTrue="1">
      <formula>$BT114&lt;2</formula>
    </cfRule>
  </conditionalFormatting>
  <conditionalFormatting sqref="E116">
    <cfRule type="expression" dxfId="388" priority="141" stopIfTrue="1">
      <formula>$BT114&lt;3</formula>
    </cfRule>
  </conditionalFormatting>
  <conditionalFormatting sqref="BT85:BU85">
    <cfRule type="cellIs" dxfId="387" priority="139" operator="greaterThan">
      <formula>$BT83</formula>
    </cfRule>
  </conditionalFormatting>
  <conditionalFormatting sqref="AT114:AU114 AG114:AP114">
    <cfRule type="expression" dxfId="386" priority="13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385" priority="142" stopIfTrue="1" operator="greaterThan">
      <formula>$EA84</formula>
    </cfRule>
  </conditionalFormatting>
  <conditionalFormatting sqref="BC114:BK114 AY114">
    <cfRule type="expression" dxfId="384" priority="14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383" priority="144">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82" priority="145">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81" priority="146">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80" priority="136">
      <formula>NOT(ISNUMBER(SEARCH(BL114,BK84&amp;BL84&amp;BM84&amp;BM90&amp;BL90&amp;BK90&amp;BK96&amp;BL96&amp;BM96&amp;BK102&amp;BL102&amp;BM102&amp;BK108&amp;BL108&amp;BM108)))</formula>
    </cfRule>
  </conditionalFormatting>
  <conditionalFormatting sqref="BM114">
    <cfRule type="expression" dxfId="379" priority="135">
      <formula>NOT(ISNUMBER(SEARCH(BM114,BK84&amp;BL84&amp;BM84&amp;BM90&amp;BL90&amp;BK90&amp;BK96&amp;BL96&amp;BM96&amp;BK102&amp;BL102&amp;BM102&amp;BK108&amp;BL108&amp;BM108)))</formula>
    </cfRule>
  </conditionalFormatting>
  <conditionalFormatting sqref="AV114">
    <cfRule type="expression" dxfId="378" priority="147">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377" priority="148">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76" priority="149">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375" priority="150">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374" priority="151">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373" priority="152">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372" priority="134" stopIfTrue="1">
      <formula>AND($D82=1,OR(COUNTIF($L84:$L112,"Si")&gt;0,COUNTIF($O84:$O112,"Si")))</formula>
    </cfRule>
    <cfRule type="expression" dxfId="371" priority="137" stopIfTrue="1">
      <formula>OR($D82&lt;1,$D82&gt;3)</formula>
    </cfRule>
  </conditionalFormatting>
  <conditionalFormatting sqref="E152">
    <cfRule type="expression" dxfId="370" priority="121" stopIfTrue="1">
      <formula>$BT151&lt;2</formula>
    </cfRule>
  </conditionalFormatting>
  <conditionalFormatting sqref="E153">
    <cfRule type="expression" dxfId="369" priority="122" stopIfTrue="1">
      <formula>$BT151&lt;3</formula>
    </cfRule>
  </conditionalFormatting>
  <conditionalFormatting sqref="BT122:BU122">
    <cfRule type="cellIs" dxfId="368" priority="120" operator="greaterThan">
      <formula>$BT120</formula>
    </cfRule>
  </conditionalFormatting>
  <conditionalFormatting sqref="AT151:AU151 AG151:AP151">
    <cfRule type="expression" dxfId="367" priority="119">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366" priority="123" stopIfTrue="1" operator="greaterThan">
      <formula>$EA121</formula>
    </cfRule>
  </conditionalFormatting>
  <conditionalFormatting sqref="BC151:BK151 AY151">
    <cfRule type="expression" dxfId="365" priority="124">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364" priority="125">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63" priority="126">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62" priority="127">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61" priority="117">
      <formula>NOT(ISNUMBER(SEARCH(BL151,BK121&amp;BL121&amp;BM121&amp;BM127&amp;BL127&amp;BK127&amp;BK133&amp;BL133&amp;BM133&amp;BK139&amp;BL139&amp;BM139&amp;BK145&amp;BL145&amp;BM145)))</formula>
    </cfRule>
  </conditionalFormatting>
  <conditionalFormatting sqref="BM151">
    <cfRule type="expression" dxfId="360" priority="116">
      <formula>NOT(ISNUMBER(SEARCH(BM151,BK121&amp;BL121&amp;BM121&amp;BM127&amp;BL127&amp;BK127&amp;BK133&amp;BL133&amp;BM133&amp;BK139&amp;BL139&amp;BM139&amp;BK145&amp;BL145&amp;BM145)))</formula>
    </cfRule>
  </conditionalFormatting>
  <conditionalFormatting sqref="AV151">
    <cfRule type="expression" dxfId="359" priority="128">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358" priority="129">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57" priority="130">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356" priority="131">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355" priority="132">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354" priority="133">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353" priority="115" stopIfTrue="1">
      <formula>AND($D119=1,OR(COUNTIF($L121:$L149,"Si")&gt;0,COUNTIF($O121:$O149,"Si")))</formula>
    </cfRule>
    <cfRule type="expression" dxfId="352" priority="118" stopIfTrue="1">
      <formula>OR($D119&lt;1,$D119&gt;3)</formula>
    </cfRule>
  </conditionalFormatting>
  <conditionalFormatting sqref="E189">
    <cfRule type="expression" dxfId="351" priority="102" stopIfTrue="1">
      <formula>$BT188&lt;2</formula>
    </cfRule>
  </conditionalFormatting>
  <conditionalFormatting sqref="E190">
    <cfRule type="expression" dxfId="350" priority="103" stopIfTrue="1">
      <formula>$BT188&lt;3</formula>
    </cfRule>
  </conditionalFormatting>
  <conditionalFormatting sqref="BT159:BU159">
    <cfRule type="cellIs" dxfId="349" priority="101" operator="greaterThan">
      <formula>$BT157</formula>
    </cfRule>
  </conditionalFormatting>
  <conditionalFormatting sqref="AT188:AU188 AG188:AP188">
    <cfRule type="expression" dxfId="348" priority="10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347" priority="104" stopIfTrue="1" operator="greaterThan">
      <formula>$EA158</formula>
    </cfRule>
  </conditionalFormatting>
  <conditionalFormatting sqref="BC188:BK188 AY188">
    <cfRule type="expression" dxfId="346" priority="10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345" priority="106">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44" priority="107">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43" priority="108">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42" priority="98">
      <formula>NOT(ISNUMBER(SEARCH(BL188,BK158&amp;BL158&amp;BM158&amp;BM164&amp;BL164&amp;BK164&amp;BK170&amp;BL170&amp;BM170&amp;BK176&amp;BL176&amp;BM176&amp;BK182&amp;BL182&amp;BM182)))</formula>
    </cfRule>
  </conditionalFormatting>
  <conditionalFormatting sqref="BM188">
    <cfRule type="expression" dxfId="341" priority="97">
      <formula>NOT(ISNUMBER(SEARCH(BM188,BK158&amp;BL158&amp;BM158&amp;BM164&amp;BL164&amp;BK164&amp;BK170&amp;BL170&amp;BM170&amp;BK176&amp;BL176&amp;BM176&amp;BK182&amp;BL182&amp;BM182)))</formula>
    </cfRule>
  </conditionalFormatting>
  <conditionalFormatting sqref="AV188">
    <cfRule type="expression" dxfId="340" priority="109">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339" priority="110">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38" priority="111">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337" priority="112">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336" priority="113">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335" priority="114">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334" priority="96" stopIfTrue="1">
      <formula>AND($D156=1,OR(COUNTIF($L158:$L186,"Si")&gt;0,COUNTIF($O158:$O186,"Si")))</formula>
    </cfRule>
    <cfRule type="expression" dxfId="333" priority="99" stopIfTrue="1">
      <formula>OR($D156&lt;1,$D156&gt;3)</formula>
    </cfRule>
  </conditionalFormatting>
  <conditionalFormatting sqref="E226">
    <cfRule type="expression" dxfId="332" priority="83" stopIfTrue="1">
      <formula>$BT225&lt;2</formula>
    </cfRule>
  </conditionalFormatting>
  <conditionalFormatting sqref="E227">
    <cfRule type="expression" dxfId="331" priority="84" stopIfTrue="1">
      <formula>$BT225&lt;3</formula>
    </cfRule>
  </conditionalFormatting>
  <conditionalFormatting sqref="BT196:BU196">
    <cfRule type="cellIs" dxfId="330" priority="82" operator="greaterThan">
      <formula>$BT194</formula>
    </cfRule>
  </conditionalFormatting>
  <conditionalFormatting sqref="AT225:AU225 AG225:AP225">
    <cfRule type="expression" dxfId="329" priority="81">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328" priority="85" stopIfTrue="1" operator="greaterThan">
      <formula>$EA195</formula>
    </cfRule>
  </conditionalFormatting>
  <conditionalFormatting sqref="BC225:BK225 AY225">
    <cfRule type="expression" dxfId="327" priority="86">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326" priority="87">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25" priority="88">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24" priority="89">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23" priority="79">
      <formula>NOT(ISNUMBER(SEARCH(BL225,BK195&amp;BL195&amp;BM195&amp;BM201&amp;BL201&amp;BK201&amp;BK207&amp;BL207&amp;BM207&amp;BK213&amp;BL213&amp;BM213&amp;BK219&amp;BL219&amp;BM219)))</formula>
    </cfRule>
  </conditionalFormatting>
  <conditionalFormatting sqref="BM225">
    <cfRule type="expression" dxfId="322" priority="78">
      <formula>NOT(ISNUMBER(SEARCH(BM225,BK195&amp;BL195&amp;BM195&amp;BM201&amp;BL201&amp;BK201&amp;BK207&amp;BL207&amp;BM207&amp;BK213&amp;BL213&amp;BM213&amp;BK219&amp;BL219&amp;BM219)))</formula>
    </cfRule>
  </conditionalFormatting>
  <conditionalFormatting sqref="AV225">
    <cfRule type="expression" dxfId="321" priority="90">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320" priority="91">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19" priority="92">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318" priority="93">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317" priority="94">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316" priority="95">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315" priority="77" stopIfTrue="1">
      <formula>AND($D193=1,OR(COUNTIF($L195:$L223,"Si")&gt;0,COUNTIF($O195:$O223,"Si")))</formula>
    </cfRule>
    <cfRule type="expression" dxfId="314" priority="80" stopIfTrue="1">
      <formula>OR($D193&lt;1,$D193&gt;3)</formula>
    </cfRule>
  </conditionalFormatting>
  <conditionalFormatting sqref="E263">
    <cfRule type="expression" dxfId="313" priority="64" stopIfTrue="1">
      <formula>$BT262&lt;2</formula>
    </cfRule>
  </conditionalFormatting>
  <conditionalFormatting sqref="E264">
    <cfRule type="expression" dxfId="312" priority="65" stopIfTrue="1">
      <formula>$BT262&lt;3</formula>
    </cfRule>
  </conditionalFormatting>
  <conditionalFormatting sqref="BT233:BU233">
    <cfRule type="cellIs" dxfId="311" priority="63" operator="greaterThan">
      <formula>$BT231</formula>
    </cfRule>
  </conditionalFormatting>
  <conditionalFormatting sqref="AT262:AU262 AG262:AP262">
    <cfRule type="expression" dxfId="310" priority="62">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309" priority="66" stopIfTrue="1" operator="greaterThan">
      <formula>$EA232</formula>
    </cfRule>
  </conditionalFormatting>
  <conditionalFormatting sqref="BC262:BK262 AY262">
    <cfRule type="expression" dxfId="308" priority="67">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307" priority="68">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306" priority="69">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305" priority="70">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304" priority="60">
      <formula>NOT(ISNUMBER(SEARCH(BL262,BK232&amp;BL232&amp;BM232&amp;BM238&amp;BL238&amp;BK238&amp;BK244&amp;BL244&amp;BM244&amp;BK250&amp;BL250&amp;BM250&amp;BK256&amp;BL256&amp;BM256)))</formula>
    </cfRule>
  </conditionalFormatting>
  <conditionalFormatting sqref="BM262">
    <cfRule type="expression" dxfId="303" priority="59">
      <formula>NOT(ISNUMBER(SEARCH(BM262,BK232&amp;BL232&amp;BM232&amp;BM238&amp;BL238&amp;BK238&amp;BK244&amp;BL244&amp;BM244&amp;BK250&amp;BL250&amp;BM250&amp;BK256&amp;BL256&amp;BM256)))</formula>
    </cfRule>
  </conditionalFormatting>
  <conditionalFormatting sqref="AV262">
    <cfRule type="expression" dxfId="302" priority="71">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301" priority="72">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00" priority="73">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299" priority="74">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298" priority="75">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297" priority="76">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296" priority="58" stopIfTrue="1">
      <formula>AND($D230=1,OR(COUNTIF($L232:$L260,"Si")&gt;0,COUNTIF($O232:$O260,"Si")))</formula>
    </cfRule>
    <cfRule type="expression" dxfId="295" priority="61" stopIfTrue="1">
      <formula>OR($D230&lt;1,$D230&gt;3)</formula>
    </cfRule>
  </conditionalFormatting>
  <conditionalFormatting sqref="E300">
    <cfRule type="expression" dxfId="294" priority="45" stopIfTrue="1">
      <formula>$BT299&lt;2</formula>
    </cfRule>
  </conditionalFormatting>
  <conditionalFormatting sqref="E301">
    <cfRule type="expression" dxfId="293" priority="46" stopIfTrue="1">
      <formula>$BT299&lt;3</formula>
    </cfRule>
  </conditionalFormatting>
  <conditionalFormatting sqref="BT270:BU270">
    <cfRule type="cellIs" dxfId="292" priority="44" operator="greaterThan">
      <formula>$BT268</formula>
    </cfRule>
  </conditionalFormatting>
  <conditionalFormatting sqref="AT299:AU299 AG299:AP299">
    <cfRule type="expression" dxfId="291" priority="43">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290" priority="47" stopIfTrue="1" operator="greaterThan">
      <formula>$EA269</formula>
    </cfRule>
  </conditionalFormatting>
  <conditionalFormatting sqref="BC299:BK299 AY299">
    <cfRule type="expression" dxfId="289" priority="48">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288" priority="49">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87" priority="50">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86" priority="51">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85" priority="41">
      <formula>NOT(ISNUMBER(SEARCH(BL299,BK269&amp;BL269&amp;BM269&amp;BM275&amp;BL275&amp;BK275&amp;BK281&amp;BL281&amp;BM281&amp;BK287&amp;BL287&amp;BM287&amp;BK293&amp;BL293&amp;BM293)))</formula>
    </cfRule>
  </conditionalFormatting>
  <conditionalFormatting sqref="BM299">
    <cfRule type="expression" dxfId="284" priority="40">
      <formula>NOT(ISNUMBER(SEARCH(BM299,BK269&amp;BL269&amp;BM269&amp;BM275&amp;BL275&amp;BK275&amp;BK281&amp;BL281&amp;BM281&amp;BK287&amp;BL287&amp;BM287&amp;BK293&amp;BL293&amp;BM293)))</formula>
    </cfRule>
  </conditionalFormatting>
  <conditionalFormatting sqref="AV299">
    <cfRule type="expression" dxfId="283" priority="52">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282" priority="53">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81" priority="54">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280" priority="55">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279" priority="56">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278" priority="57">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277" priority="39" stopIfTrue="1">
      <formula>AND($D267=1,OR(COUNTIF($L269:$L297,"Si")&gt;0,COUNTIF($O269:$O297,"Si")))</formula>
    </cfRule>
    <cfRule type="expression" dxfId="276" priority="42" stopIfTrue="1">
      <formula>OR($D267&lt;1,$D267&gt;3)</formula>
    </cfRule>
  </conditionalFormatting>
  <conditionalFormatting sqref="E337">
    <cfRule type="expression" dxfId="275" priority="26" stopIfTrue="1">
      <formula>$BT336&lt;2</formula>
    </cfRule>
  </conditionalFormatting>
  <conditionalFormatting sqref="E338">
    <cfRule type="expression" dxfId="274" priority="27" stopIfTrue="1">
      <formula>$BT336&lt;3</formula>
    </cfRule>
  </conditionalFormatting>
  <conditionalFormatting sqref="BT307:BU307">
    <cfRule type="cellIs" dxfId="273" priority="25" operator="greaterThan">
      <formula>$BT305</formula>
    </cfRule>
  </conditionalFormatting>
  <conditionalFormatting sqref="AT336:AU336 AG336:AP336">
    <cfRule type="expression" dxfId="272" priority="24">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271" priority="28" stopIfTrue="1" operator="greaterThan">
      <formula>$EA306</formula>
    </cfRule>
  </conditionalFormatting>
  <conditionalFormatting sqref="BC336:BK336 AY336">
    <cfRule type="expression" dxfId="270" priority="29">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269" priority="30">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68" priority="31">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67" priority="32">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66" priority="22">
      <formula>NOT(ISNUMBER(SEARCH(BL336,BK306&amp;BL306&amp;BM306&amp;BM312&amp;BL312&amp;BK312&amp;BK318&amp;BL318&amp;BM318&amp;BK324&amp;BL324&amp;BM324&amp;BK330&amp;BL330&amp;BM330)))</formula>
    </cfRule>
  </conditionalFormatting>
  <conditionalFormatting sqref="BM336">
    <cfRule type="expression" dxfId="265" priority="21">
      <formula>NOT(ISNUMBER(SEARCH(BM336,BK306&amp;BL306&amp;BM306&amp;BM312&amp;BL312&amp;BK312&amp;BK318&amp;BL318&amp;BM318&amp;BK324&amp;BL324&amp;BM324&amp;BK330&amp;BL330&amp;BM330)))</formula>
    </cfRule>
  </conditionalFormatting>
  <conditionalFormatting sqref="AV336">
    <cfRule type="expression" dxfId="264" priority="33">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263" priority="34">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62" priority="35">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261" priority="36">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260" priority="37">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259" priority="38">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258" priority="20" stopIfTrue="1">
      <formula>AND($D304=1,OR(COUNTIF($L306:$L334,"Si")&gt;0,COUNTIF($O306:$O334,"Si")))</formula>
    </cfRule>
    <cfRule type="expression" dxfId="257" priority="23" stopIfTrue="1">
      <formula>OR($D304&lt;1,$D304&gt;3)</formula>
    </cfRule>
  </conditionalFormatting>
  <conditionalFormatting sqref="E374">
    <cfRule type="expression" dxfId="256" priority="7" stopIfTrue="1">
      <formula>$BT373&lt;2</formula>
    </cfRule>
  </conditionalFormatting>
  <conditionalFormatting sqref="E375">
    <cfRule type="expression" dxfId="255" priority="8" stopIfTrue="1">
      <formula>$BT373&lt;3</formula>
    </cfRule>
  </conditionalFormatting>
  <conditionalFormatting sqref="BT344:BU344">
    <cfRule type="cellIs" dxfId="254" priority="6" operator="greaterThan">
      <formula>$BT342</formula>
    </cfRule>
  </conditionalFormatting>
  <conditionalFormatting sqref="AT373:AU373 AG373:AP373">
    <cfRule type="expression" dxfId="253" priority="5">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252" priority="9" stopIfTrue="1" operator="greaterThan">
      <formula>$EA343</formula>
    </cfRule>
  </conditionalFormatting>
  <conditionalFormatting sqref="BC373:BK373 AY373">
    <cfRule type="expression" dxfId="251" priority="10">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250" priority="11">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49" priority="12">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48" priority="13">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47" priority="3">
      <formula>NOT(ISNUMBER(SEARCH(BL373,BK343&amp;BL343&amp;BM343&amp;BM349&amp;BL349&amp;BK349&amp;BK355&amp;BL355&amp;BM355&amp;BK361&amp;BL361&amp;BM361&amp;BK367&amp;BL367&amp;BM367)))</formula>
    </cfRule>
  </conditionalFormatting>
  <conditionalFormatting sqref="BM373">
    <cfRule type="expression" dxfId="246" priority="2">
      <formula>NOT(ISNUMBER(SEARCH(BM373,BK343&amp;BL343&amp;BM343&amp;BM349&amp;BL349&amp;BK349&amp;BK355&amp;BL355&amp;BM355&amp;BK361&amp;BL361&amp;BM361&amp;BK367&amp;BL367&amp;BM367)))</formula>
    </cfRule>
  </conditionalFormatting>
  <conditionalFormatting sqref="AV373">
    <cfRule type="expression" dxfId="245" priority="14">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244" priority="15">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43" priority="16">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242" priority="17">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241" priority="18">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240" priority="19">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239" priority="1" stopIfTrue="1">
      <formula>AND($D341=1,OR(COUNTIF($L343:$L371,"Si")&gt;0,COUNTIF($O343:$O371,"Si")))</formula>
    </cfRule>
    <cfRule type="expression" dxfId="238" priority="4" stopIfTrue="1">
      <formula>OR($D341&lt;1,$D341&gt;3)</formula>
    </cfRule>
  </conditionalFormatting>
  <dataValidations count="14">
    <dataValidation type="list" allowBlank="1" showInputMessage="1" showErrorMessage="1" sqref="I10:I14 L10:L14 O10:O14 I16:I20 I22:I26 I28:I32 I34:I38 L16:L20 O16:O20 L22:L26 O22:O26 L28:L32 O28:O32 L34:L38 O34:O38 I158:I162 L158:L162 O158:O162 I164:I168 I170:I174 I47:I51 BT14:BU14 I176:I180 I269:I273 I195:I199 L195:L199 L269:L273 I121:I125 L121:L125 I182:I186 O269:O273 I275:I279 I281:I285 I287:I291 I293:I297 L275:L279 O275:O279 L281:L285 O281:O285 L287:L291 O287:O291 L293:L297 O293:O297 I306:I310 L306:L310 O195:O199 I201:I205 I207:I211 I213:I217 I219:I223 L201:L205 O201:O205 L207:L211 O207:O211 L213:L217 O213:O217 L219:L223 O219:O223 I232:I236 L232:L236 O232:O236 I238:I242 I244:I248 I250:I254 BT199:BU199 I256:I260 L238:L242 O238:O242 L244:L248 O244:O248 L250:L254 O250:O254 L256:L260 O256:O260 BT236:BU236 O306:O310 I312:I316 I318:I322 I324:I328 BT273:BU273 I330:I334 L312:L316 O312:O316 L318:L322 O318:O322 L324:L328 O324:O328 L330:L334 O330:O334 BT310:BU310 O121:O125 I127:I131 I133:I137 I139:I143 I145:I149 L127:L131 O127:O131 L133:L137 O133:O137 L139:L143 O139:O143 L145:L149 O145:O149 I84:I88 L84:L88 O84:O88 I90:I94 I96:I100 I102:I106 BT125:BU125 I108:I112 L90:L94 O90:O94 L96:L100 O96:O100 L102:L106 O102:O106 L108:L112 O108:O112 BT88:BU88 L164:L168 O164:O168 L170:L174 O170:O174 L176:L180 O176:O180 L182:L186 O182:O186 L47:L51 O47:O51 I53:I57 I59:I63 I65:I69 I71:I75 L53:L57 O53:O57 L59:L63 O59:O63 L65:L69 O65:O69 L71:L75 O71:O75 BT51:BU51 BT162:BU162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158 AG158 AQ158 BA158 AG164 AQ164 BA164 W170 AG170 AQ170 BA170 W176 AG176 AQ176 BA176 W182 AG182 AQ182 BA182 W164 W269 AG269 AQ269 BA269 AG275 AQ275 BA275 W281 AG281 AQ281 BA281 W287 AG287 AQ287 BA287 W293 AG293 AQ293 BA293 W275 W195 AG195 AQ195 BA195 AG201 AQ201 BA201 W207 AG207 AQ207 BA207 W213 AG213 AQ213 BA213 W219 AG219 AQ219 BA219 W201 W232 AG232 AQ232 BA232 AG238 AQ238 BA238 W244 AG244 AQ244 BA244 W250 AG250 AQ250 BA250 W256 AG256 AQ256 BA256 W238 W306 AG306 AQ306 BA306 AG312 AQ312 BA312 W318 AG318 AQ318 BA318 W324 AG324 AQ324 BA324 W330 AG330 AQ330 BA330 W312 W84 AG84 AQ84 BA84 AG90 AQ90 BA90 W96 AG96 AQ96 BA96 W102 AG102 AQ102 BA102 W108 AG108 AQ108 BA108 W90 W47 AG47 AQ47 BA47 AG53 AQ53 BA53 W59 AG59 AQ59 BA59 W65 AG65 AQ65 BA65 W71 AG71 AQ71 BA71 W53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89 E95 E101 E107 E83 E9 E163 E169 E175 E181 E157 E274 E280 E286 E292 E268 E200 E206 E212 E218 E194 E237 E243 E249 E255 E231 E311 E317 E323 E329 E305 E52 E58 E64 E70 E46 E348 E354 E360 E366 E342" xr:uid="{00000000-0002-0000-0A00-000004000000}">
      <formula1>EFECTOS</formula1>
    </dataValidation>
    <dataValidation type="list" allowBlank="1" showInputMessage="1" showErrorMessage="1" sqref="E41:E42 E152:E153 E115:E116 E189:E190 E300:E301 E226:E227 E263:E264 E337:E338 E78:E79 E374:E375" xr:uid="{00000000-0002-0000-0A00-000005000000}">
      <formula1 xml:space="preserve">  DESVENTAJAS_KI</formula1>
    </dataValidation>
    <dataValidation type="list" allowBlank="1" showInputMessage="1" showErrorMessage="1" sqref="E40 E151 E188 E299 E225 E262 E336 E114 E77 E373" xr:uid="{00000000-0002-0000-0A00-000006000000}">
      <formula1 xml:space="preserve"> DESVENTAJAS_KI</formula1>
    </dataValidation>
    <dataValidation type="list" allowBlank="1" showInputMessage="1" showErrorMessage="1" sqref="BT18:BU18 BT166:BU166 BT277:BU277 BT203:BU203 BT240:BU240 BT314:BU314 BT129:BU129 BT92:BU92 BT55:BU55 BT351:BU351" xr:uid="{00000000-0002-0000-0A00-000007000000}">
      <formula1>Rebajar_coste_de_Ki</formula1>
    </dataValidation>
    <dataValidation type="list" allowBlank="1" showInputMessage="1" showErrorMessage="1" sqref="BT16:BU16 BT164:BU164 BT275:BU275 BT201:BU201 BT238:BU238 BT312:BU312 BT127:BU127 BT90:BU90 BT53:BU53 BT349:BU349" xr:uid="{00000000-0002-0000-0A00-000008000000}">
      <formula1>Rebajar_coste_de_CM</formula1>
    </dataValidation>
    <dataValidation type="list" allowBlank="1" showInputMessage="1" showErrorMessage="1" sqref="E14 E20 E26 E32 E38 E162 E168 E174 E180 E186 E273 E279 E285 E291 E297 E199 E205 E211 E217 E223 E236 E242 E248 E254 E260 E310 E316 E322 E328 E334 E125 E131 E137 E143 E149 E88 E94 E100 E106 E112 E51 E57 E63 E69 E75 E347 E353 E359 E365 E371" xr:uid="{00000000-0002-0000-0A00-000009000000}">
      <formula1>INDIRECT($E9)</formula1>
    </dataValidation>
    <dataValidation type="list" allowBlank="1" showInputMessage="1" showErrorMessage="1" sqref="E13 E19 E25 E31 E37 E161 E167 E173 E179 E185 E272 E278 E284 E290 E296 E198 E204 E210 E216 E222 E235 E241 E247 E253 E259 E309 E315 E321 E327 E333 E124 E130 E136 E142 E148 E87 E93 E99 E105 E111 E50 E56 E62 E68 E74 E346 E352 E358 E364 E370" xr:uid="{00000000-0002-0000-0A00-00000A000000}">
      <formula1>INDIRECT($E9)</formula1>
    </dataValidation>
    <dataValidation type="list" allowBlank="1" showInputMessage="1" showErrorMessage="1" sqref="E12 E18 E24 E30 E36 E160 E166 E172 E178 E184 E271 E277 E283 E289 E295 E197 E203 E209 E215 E221 E234 E240 E246 E252 E258 E308 E314 E320 E326 E332 E123 E129 E135 E141 E147 E86 E92 E98 E104 E110 E49 E55 E61 E67 E73 E345 E351 E357 E363 E369" xr:uid="{00000000-0002-0000-0A00-00000B000000}">
      <formula1>INDIRECT($E9)</formula1>
    </dataValidation>
    <dataValidation type="list" allowBlank="1" showInputMessage="1" showErrorMessage="1" sqref="E11 E17 E23 E29 E35 E159 E165 E171 E177 E183 E270 E276 E282 E288 E294 E196 E202 E208 E214 E220 E233 E239 E245 E251 E257 E307 E313 E319 E325 E331 E122 E128 E134 E140 E146 E85 E91 E97 E103 E109 E48 E54 E60 E66 E72 E344 E350 E356 E362 E368" xr:uid="{00000000-0002-0000-0A00-00000C000000}">
      <formula1>INDIRECT($E9)</formula1>
    </dataValidation>
    <dataValidation type="list" allowBlank="1" showInputMessage="1" showErrorMessage="1" sqref="E10 E16 E22 E28 E34 E158 E164 E170 E176 E182 E269 E275 E281 E287 E293 E195 E201 E207 E213 E219 E232 E238 E244 E250 E256 E306 E312 E318 E324 E330 E121 E127 E133 E139 E145 E84 E90 E96 E102 E108 E47 E53 E59 E65 E71 E343 E349 E355 E361 E367" xr:uid="{00000000-0002-0000-0A00-00000D000000}">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BL225:BM225 BL114:BM114 BL188:BM188 BL262:BM262 BL299:BM299 BL336:BM336 BL77:BM77 BL373:BM373</xm:sqref>
        </x14:dataValidation>
        <x14:dataValidation type="list" allowBlank="1" showInputMessage="1" showErrorMessage="1" xr:uid="{00000000-0002-0000-0A00-00000F000000}">
          <x14:formula1>
            <xm:f>'Tablas Técnicas'!$P$6:$P$8</xm:f>
          </x14:formula1>
          <xm:sqref>D8 D267 D119 D82 D304 D156 D193 D230 D45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O122"/>
  <sheetViews>
    <sheetView zoomScaleNormal="100" workbookViewId="0">
      <selection activeCell="C13" sqref="C13:F13"/>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291" customWidth="1"/>
    <col min="21" max="21" width="7.7109375" style="2291"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2759" customWidth="1"/>
    <col min="39" max="39" width="7" style="2759" bestFit="1" customWidth="1"/>
    <col min="40" max="41" width="8.5703125" style="1695" bestFit="1" customWidth="1"/>
    <col min="42" max="42" width="5.7109375" style="1695"/>
    <col min="43" max="47" width="5.7109375" style="44"/>
    <col min="48" max="56" width="5.7109375" style="2291"/>
    <col min="57" max="16384" width="5.7109375" style="43"/>
  </cols>
  <sheetData>
    <row r="1" spans="1:46" ht="12" customHeight="1" thickBot="1" x14ac:dyDescent="0.25">
      <c r="A1" s="173"/>
      <c r="B1" s="173"/>
      <c r="C1" s="173"/>
      <c r="D1" s="173"/>
      <c r="E1" s="173"/>
      <c r="F1" s="173"/>
      <c r="G1" s="173"/>
      <c r="H1" s="173"/>
      <c r="I1" s="173"/>
      <c r="J1" s="173"/>
      <c r="K1" s="173"/>
      <c r="L1" s="173"/>
      <c r="M1" s="173"/>
      <c r="N1" s="173"/>
      <c r="O1" s="173"/>
      <c r="P1" s="173"/>
      <c r="Q1" s="173"/>
      <c r="R1" s="2785"/>
      <c r="S1" s="2785"/>
      <c r="T1" s="2785"/>
      <c r="U1" s="2785"/>
      <c r="V1" s="173"/>
      <c r="W1" s="173"/>
      <c r="X1" s="173"/>
      <c r="Y1" s="173"/>
      <c r="Z1" s="173"/>
      <c r="AA1" s="173"/>
      <c r="AB1" s="173"/>
      <c r="AC1" s="173"/>
      <c r="AD1" s="173"/>
      <c r="AE1" s="173"/>
      <c r="AF1" s="173"/>
      <c r="AG1" s="173"/>
      <c r="AH1" s="173"/>
      <c r="AI1" s="173"/>
      <c r="AJ1" s="173"/>
      <c r="AK1" s="173"/>
    </row>
    <row r="2" spans="1:46" ht="12" customHeight="1" thickBot="1" x14ac:dyDescent="0.25">
      <c r="A2" s="173"/>
      <c r="B2" s="1858"/>
      <c r="C2" s="1859"/>
      <c r="D2" s="1859"/>
      <c r="E2" s="1859"/>
      <c r="F2" s="1859"/>
      <c r="G2" s="1859"/>
      <c r="H2" s="1859"/>
      <c r="I2" s="1859"/>
      <c r="J2" s="1859"/>
      <c r="K2" s="1859"/>
      <c r="L2" s="1859"/>
      <c r="M2" s="1859"/>
      <c r="N2" s="1859"/>
      <c r="O2" s="1859"/>
      <c r="P2" s="1859"/>
      <c r="Q2" s="1859"/>
      <c r="R2" s="2786"/>
      <c r="S2" s="2786"/>
      <c r="T2" s="2786"/>
      <c r="U2" s="2786"/>
      <c r="V2" s="2786"/>
      <c r="W2" s="2786"/>
      <c r="X2" s="2786"/>
      <c r="Y2" s="2786"/>
      <c r="Z2" s="2786"/>
      <c r="AA2" s="2786"/>
      <c r="AB2" s="2786"/>
      <c r="AC2" s="2786"/>
      <c r="AD2" s="2786"/>
      <c r="AE2" s="2786"/>
      <c r="AF2" s="2786"/>
      <c r="AG2" s="2786"/>
      <c r="AH2" s="2786"/>
      <c r="AI2" s="2786"/>
      <c r="AJ2" s="2787"/>
      <c r="AK2" s="173"/>
      <c r="AQ2" s="2291"/>
      <c r="AR2" s="43"/>
      <c r="AS2" s="43"/>
      <c r="AT2" s="43"/>
    </row>
    <row r="3" spans="1:46" ht="12" customHeight="1" thickBot="1" x14ac:dyDescent="0.25">
      <c r="A3" s="173"/>
      <c r="B3" s="1691"/>
      <c r="C3" s="4546"/>
      <c r="D3" s="4547"/>
      <c r="E3" s="4547"/>
      <c r="F3" s="4547"/>
      <c r="G3" s="4547"/>
      <c r="H3" s="4547"/>
      <c r="I3" s="1575"/>
      <c r="J3" s="1575"/>
      <c r="K3" s="1575"/>
      <c r="L3" s="1575"/>
      <c r="M3" s="1575"/>
      <c r="N3" s="1575"/>
      <c r="O3" s="1575"/>
      <c r="P3" s="1575"/>
      <c r="Q3" s="2461"/>
      <c r="R3" s="2461"/>
      <c r="S3" s="2461"/>
      <c r="T3" s="2461"/>
      <c r="U3" s="2461"/>
      <c r="V3" s="2461"/>
      <c r="W3" s="2461"/>
      <c r="X3" s="2461"/>
      <c r="Y3" s="2461"/>
      <c r="Z3" s="2461"/>
      <c r="AA3" s="2461"/>
      <c r="AB3" s="2461"/>
      <c r="AC3" s="2461"/>
      <c r="AD3" s="2461"/>
      <c r="AE3" s="2461"/>
      <c r="AF3" s="2461"/>
      <c r="AG3" s="2461"/>
      <c r="AH3" s="2461"/>
      <c r="AI3" s="2455"/>
      <c r="AJ3" s="2617"/>
      <c r="AK3" s="173"/>
      <c r="AQ3" s="2291"/>
      <c r="AR3" s="43"/>
      <c r="AS3" s="43"/>
      <c r="AT3" s="43"/>
    </row>
    <row r="4" spans="1:46" ht="12" customHeight="1" thickBot="1" x14ac:dyDescent="0.25">
      <c r="A4" s="173"/>
      <c r="B4" s="1691"/>
      <c r="C4" s="4548"/>
      <c r="D4" s="3224"/>
      <c r="E4" s="3224"/>
      <c r="F4" s="3224"/>
      <c r="G4" s="3224"/>
      <c r="H4" s="3224"/>
      <c r="I4" s="12"/>
      <c r="J4" s="3143" t="s">
        <v>1625</v>
      </c>
      <c r="K4" s="3143"/>
      <c r="L4" s="3144" t="str">
        <f>IF(OR(General!$G$22="",General!$G$22=0),"",General!$G$22)</f>
        <v/>
      </c>
      <c r="M4" s="3144"/>
      <c r="N4" s="3144"/>
      <c r="O4" s="3144"/>
      <c r="P4" s="3144"/>
      <c r="Q4" s="2450"/>
      <c r="R4" s="2450"/>
      <c r="S4" s="2450"/>
      <c r="T4" s="2450"/>
      <c r="U4" s="2450"/>
      <c r="V4" s="2450"/>
      <c r="W4" s="2450"/>
      <c r="X4" s="2450"/>
      <c r="Y4" s="2450"/>
      <c r="Z4" s="2450"/>
      <c r="AA4" s="2450"/>
      <c r="AB4" s="2450"/>
      <c r="AC4" s="2450"/>
      <c r="AD4" s="2450"/>
      <c r="AE4" s="2450"/>
      <c r="AF4" s="2450"/>
      <c r="AG4" s="2450"/>
      <c r="AH4" s="2450"/>
      <c r="AI4" s="2456"/>
      <c r="AJ4" s="2617"/>
      <c r="AK4" s="173"/>
      <c r="AQ4" s="2291"/>
      <c r="AR4" s="43"/>
      <c r="AS4" s="43"/>
      <c r="AT4" s="43"/>
    </row>
    <row r="5" spans="1:46" ht="12" customHeight="1" thickBot="1" x14ac:dyDescent="0.25">
      <c r="A5" s="173"/>
      <c r="B5" s="1691"/>
      <c r="C5" s="4548"/>
      <c r="D5" s="3224"/>
      <c r="E5" s="3224"/>
      <c r="F5" s="3224"/>
      <c r="G5" s="3224"/>
      <c r="H5" s="3224"/>
      <c r="I5" s="12"/>
      <c r="J5" s="3220" t="s">
        <v>1626</v>
      </c>
      <c r="K5" s="3220"/>
      <c r="L5" s="3221" t="str">
        <f>Principal!$L$5</f>
        <v/>
      </c>
      <c r="M5" s="3221"/>
      <c r="N5" s="3221"/>
      <c r="O5" s="14" t="s">
        <v>1627</v>
      </c>
      <c r="P5" s="15" t="str">
        <f>Principal!$P$5</f>
        <v>0</v>
      </c>
      <c r="Q5" s="2449"/>
      <c r="R5" s="2449"/>
      <c r="S5" s="2449"/>
      <c r="T5" s="2449"/>
      <c r="U5" s="2449"/>
      <c r="V5" s="2449"/>
      <c r="W5" s="2449"/>
      <c r="X5" s="2449"/>
      <c r="Y5" s="2449"/>
      <c r="Z5" s="2449"/>
      <c r="AA5" s="2449"/>
      <c r="AB5" s="2449"/>
      <c r="AC5" s="2449"/>
      <c r="AD5" s="2449"/>
      <c r="AE5" s="2449"/>
      <c r="AF5" s="2449"/>
      <c r="AG5" s="2449"/>
      <c r="AH5" s="2449"/>
      <c r="AI5" s="2451"/>
      <c r="AJ5" s="2617"/>
      <c r="AK5" s="173"/>
      <c r="AQ5" s="43"/>
      <c r="AR5" s="43"/>
      <c r="AS5" s="43"/>
      <c r="AT5" s="43"/>
    </row>
    <row r="6" spans="1:46" ht="12" customHeight="1" thickBot="1" x14ac:dyDescent="0.25">
      <c r="A6" s="173"/>
      <c r="B6" s="1691"/>
      <c r="C6" s="4548"/>
      <c r="D6" s="3224"/>
      <c r="E6" s="3224"/>
      <c r="F6" s="3224"/>
      <c r="G6" s="3224"/>
      <c r="H6" s="3224"/>
      <c r="I6" s="12"/>
      <c r="J6" s="3222" t="s">
        <v>2149</v>
      </c>
      <c r="K6" s="3222"/>
      <c r="L6" s="3222"/>
      <c r="M6" s="3222"/>
      <c r="N6" s="3222"/>
      <c r="O6" s="3222"/>
      <c r="P6" s="3222"/>
      <c r="Q6" s="2449"/>
      <c r="R6" s="2449"/>
      <c r="S6" s="2449"/>
      <c r="T6" s="2449"/>
      <c r="U6" s="2449"/>
      <c r="V6" s="2449"/>
      <c r="W6" s="2449"/>
      <c r="X6" s="2449"/>
      <c r="Y6" s="2449"/>
      <c r="Z6" s="2449"/>
      <c r="AA6" s="2449"/>
      <c r="AB6" s="2449"/>
      <c r="AC6" s="2449"/>
      <c r="AD6" s="2449"/>
      <c r="AE6" s="2449"/>
      <c r="AF6" s="2449"/>
      <c r="AG6" s="2449"/>
      <c r="AH6" s="2449"/>
      <c r="AI6" s="2451"/>
      <c r="AJ6" s="2617"/>
      <c r="AK6" s="173"/>
      <c r="AQ6" s="43"/>
      <c r="AR6" s="43"/>
      <c r="AS6" s="43"/>
      <c r="AT6" s="43"/>
    </row>
    <row r="7" spans="1:46" ht="12" customHeight="1" thickBot="1" x14ac:dyDescent="0.25">
      <c r="A7" s="173"/>
      <c r="B7" s="1691"/>
      <c r="C7" s="4548"/>
      <c r="D7" s="3224"/>
      <c r="E7" s="3224"/>
      <c r="F7" s="3224"/>
      <c r="G7" s="3224"/>
      <c r="H7" s="3224"/>
      <c r="I7" s="12"/>
      <c r="J7" s="3222"/>
      <c r="K7" s="3222"/>
      <c r="L7" s="3222"/>
      <c r="M7" s="3222"/>
      <c r="N7" s="3222"/>
      <c r="O7" s="3222"/>
      <c r="P7" s="3222"/>
      <c r="Q7" s="2449"/>
      <c r="R7" s="2449"/>
      <c r="S7" s="2449"/>
      <c r="T7" s="2449"/>
      <c r="U7" s="2449"/>
      <c r="V7" s="2449"/>
      <c r="W7" s="2449"/>
      <c r="X7" s="2449"/>
      <c r="Y7" s="2449"/>
      <c r="Z7" s="2449"/>
      <c r="AA7" s="2449"/>
      <c r="AB7" s="2449"/>
      <c r="AC7" s="2449"/>
      <c r="AD7" s="2449"/>
      <c r="AE7" s="2449"/>
      <c r="AF7" s="2449"/>
      <c r="AG7" s="2449"/>
      <c r="AH7" s="2449"/>
      <c r="AI7" s="2451"/>
      <c r="AJ7" s="2617"/>
      <c r="AK7" s="173"/>
      <c r="AQ7" s="43"/>
      <c r="AR7" s="43"/>
      <c r="AS7" s="43"/>
      <c r="AT7" s="43"/>
    </row>
    <row r="8" spans="1:46" ht="12" customHeight="1" thickBot="1" x14ac:dyDescent="0.25">
      <c r="A8" s="173"/>
      <c r="B8" s="1691"/>
      <c r="C8" s="4549"/>
      <c r="D8" s="4550"/>
      <c r="E8" s="4550"/>
      <c r="F8" s="4550"/>
      <c r="G8" s="4550"/>
      <c r="H8" s="4550"/>
      <c r="I8" s="1939"/>
      <c r="J8" s="1939"/>
      <c r="K8" s="1939"/>
      <c r="L8" s="1939"/>
      <c r="M8" s="1939"/>
      <c r="N8" s="1939"/>
      <c r="O8" s="1939"/>
      <c r="P8" s="1939"/>
      <c r="Q8" s="2452"/>
      <c r="R8" s="2452"/>
      <c r="S8" s="2452"/>
      <c r="T8" s="2452"/>
      <c r="U8" s="2452"/>
      <c r="V8" s="2452"/>
      <c r="W8" s="2452"/>
      <c r="X8" s="2452"/>
      <c r="Y8" s="2452"/>
      <c r="Z8" s="2452"/>
      <c r="AA8" s="2452"/>
      <c r="AB8" s="2452"/>
      <c r="AC8" s="2452"/>
      <c r="AD8" s="2452"/>
      <c r="AE8" s="2452"/>
      <c r="AF8" s="2452"/>
      <c r="AG8" s="2452"/>
      <c r="AH8" s="2452"/>
      <c r="AI8" s="2453"/>
      <c r="AJ8" s="2617"/>
      <c r="AK8" s="173"/>
      <c r="AL8" s="2759" t="s">
        <v>8931</v>
      </c>
      <c r="AM8" s="2759" t="s">
        <v>8932</v>
      </c>
      <c r="AQ8" s="43"/>
      <c r="AR8" s="43"/>
      <c r="AS8" s="43"/>
      <c r="AT8" s="43"/>
    </row>
    <row r="9" spans="1:46" ht="12" customHeight="1" thickBot="1" x14ac:dyDescent="0.25">
      <c r="A9" s="173"/>
      <c r="B9" s="1691"/>
      <c r="C9" s="67"/>
      <c r="D9" s="67"/>
      <c r="E9" s="67"/>
      <c r="F9" s="67"/>
      <c r="G9" s="67"/>
      <c r="H9" s="67"/>
      <c r="I9" s="67"/>
      <c r="J9" s="67"/>
      <c r="K9" s="67"/>
      <c r="L9" s="67"/>
      <c r="M9" s="67"/>
      <c r="N9" s="67"/>
      <c r="O9" s="67"/>
      <c r="P9" s="67"/>
      <c r="Q9" s="67"/>
      <c r="R9" s="157"/>
      <c r="S9" s="2039"/>
      <c r="T9" s="2039"/>
      <c r="U9" s="44"/>
      <c r="V9" s="44"/>
      <c r="Z9" s="44"/>
      <c r="AA9" s="44"/>
      <c r="AB9" s="44"/>
      <c r="AC9" s="44"/>
      <c r="AD9" s="44"/>
      <c r="AE9" s="44"/>
      <c r="AF9" s="44"/>
      <c r="AJ9" s="2617"/>
      <c r="AK9" s="173"/>
      <c r="AL9" s="2759" t="str">
        <f>IF(ISNUMBER(MATCH($C$11,Lista_LuzyOscuridad,0)),$C$11,"ElanPersonalizado")</f>
        <v>ElanPersonalizado</v>
      </c>
      <c r="AM9" s="2759" t="str">
        <f>IF(ISNUMBER(MATCH($U$11,Lista_LuzyOscuridad,0)),$U$11,"ElanPersonalizado")</f>
        <v>ElanPersonalizado</v>
      </c>
      <c r="AQ9" s="43"/>
      <c r="AR9" s="43"/>
      <c r="AS9" s="43"/>
      <c r="AT9" s="43"/>
    </row>
    <row r="10" spans="1:46" ht="12" customHeight="1" thickBot="1" x14ac:dyDescent="0.25">
      <c r="A10" s="173"/>
      <c r="B10" s="1691"/>
      <c r="C10" s="4823" t="s">
        <v>2149</v>
      </c>
      <c r="D10" s="4824"/>
      <c r="E10" s="4824"/>
      <c r="F10" s="4824"/>
      <c r="G10" s="4825"/>
      <c r="H10" s="67"/>
      <c r="I10" s="3315" t="str">
        <f>"Modificadores Elan: "&amp;C11</f>
        <v xml:space="preserve">Modificadores Elan: </v>
      </c>
      <c r="J10" s="3316"/>
      <c r="K10" s="3316"/>
      <c r="L10" s="3316"/>
      <c r="M10" s="3316"/>
      <c r="N10" s="3316"/>
      <c r="O10" s="3316"/>
      <c r="P10" s="3316"/>
      <c r="Q10" s="3318"/>
      <c r="R10" s="157"/>
      <c r="S10" s="2788"/>
      <c r="T10" s="2039"/>
      <c r="U10" s="4823" t="s">
        <v>2149</v>
      </c>
      <c r="V10" s="4824"/>
      <c r="W10" s="4824"/>
      <c r="X10" s="4824"/>
      <c r="Y10" s="4825"/>
      <c r="Z10" s="67"/>
      <c r="AA10" s="3383" t="str">
        <f>"Modificadores Elan: "&amp;U11</f>
        <v xml:space="preserve">Modificadores Elan: </v>
      </c>
      <c r="AB10" s="3384"/>
      <c r="AC10" s="3384"/>
      <c r="AD10" s="3384"/>
      <c r="AE10" s="3384"/>
      <c r="AF10" s="3384"/>
      <c r="AG10" s="3384"/>
      <c r="AH10" s="3384"/>
      <c r="AI10" s="4826"/>
      <c r="AJ10" s="1698"/>
      <c r="AK10" s="173"/>
      <c r="AQ10" s="43"/>
      <c r="AR10" s="43"/>
      <c r="AS10" s="43"/>
      <c r="AT10" s="43"/>
    </row>
    <row r="11" spans="1:46" ht="12" customHeight="1" thickBot="1" x14ac:dyDescent="0.25">
      <c r="A11" s="173"/>
      <c r="B11" s="1691"/>
      <c r="C11" s="4840"/>
      <c r="D11" s="4841"/>
      <c r="E11" s="4841"/>
      <c r="F11" s="4841"/>
      <c r="G11" s="4842"/>
      <c r="H11" s="67"/>
      <c r="I11" s="4835" t="s">
        <v>8088</v>
      </c>
      <c r="J11" s="4843"/>
      <c r="K11" s="4843"/>
      <c r="L11" s="4843"/>
      <c r="M11" s="4843"/>
      <c r="N11" s="4844"/>
      <c r="O11" s="4838" t="s">
        <v>8090</v>
      </c>
      <c r="P11" s="4843"/>
      <c r="Q11" s="4839"/>
      <c r="R11" s="157"/>
      <c r="S11" s="2788"/>
      <c r="T11" s="2039"/>
      <c r="U11" s="4827"/>
      <c r="V11" s="4828"/>
      <c r="W11" s="4828"/>
      <c r="X11" s="4829"/>
      <c r="Y11" s="4833"/>
      <c r="Z11" s="67"/>
      <c r="AA11" s="4835" t="s">
        <v>8088</v>
      </c>
      <c r="AB11" s="4836"/>
      <c r="AC11" s="4836"/>
      <c r="AD11" s="4836"/>
      <c r="AE11" s="4836"/>
      <c r="AF11" s="4837"/>
      <c r="AG11" s="4838" t="s">
        <v>8090</v>
      </c>
      <c r="AH11" s="4836"/>
      <c r="AI11" s="4839"/>
      <c r="AJ11" s="1698"/>
      <c r="AK11" s="173"/>
      <c r="AL11" s="2759" t="s">
        <v>9993</v>
      </c>
      <c r="AQ11" s="43"/>
      <c r="AR11" s="43"/>
      <c r="AS11" s="43"/>
      <c r="AT11" s="43"/>
    </row>
    <row r="12" spans="1:46" ht="12" customHeight="1" x14ac:dyDescent="0.2">
      <c r="A12" s="173"/>
      <c r="B12" s="1691"/>
      <c r="C12" s="4840"/>
      <c r="D12" s="4841"/>
      <c r="E12" s="4841"/>
      <c r="F12" s="4841"/>
      <c r="G12" s="4842"/>
      <c r="H12" s="67"/>
      <c r="I12" s="4845" t="str">
        <f>IF(C$11="","",INDEX(Tabla_ModElan,MATCH(C$11,INDEX(Tabla_ModElan,,1),0)+Tablas!$A1,1))</f>
        <v/>
      </c>
      <c r="J12" s="4846"/>
      <c r="K12" s="4846"/>
      <c r="L12" s="4846"/>
      <c r="M12" s="4847"/>
      <c r="N12" s="2482" t="str">
        <f t="shared" ref="N12:N18" si="0">IF(I12="","",INDEX(Tabla_ModElan,MATCH(I12,INDEX(Tabla_ModElan,,1),0),2))</f>
        <v/>
      </c>
      <c r="O12" s="4848" t="str">
        <f>IF(C$11="","",INDEX(Tabla_ModElan,MATCH(C$11,INDEX(Tabla_ModElan,,1),0)+Tablas!$A1,5))</f>
        <v/>
      </c>
      <c r="P12" s="4849"/>
      <c r="Q12" s="4854" t="str">
        <f>IF(O12="","",INDEX(Tabla_ModElan,MATCH(O12,INDEX(Tabla_ModElan,,5),0),6))</f>
        <v/>
      </c>
      <c r="R12" s="157"/>
      <c r="S12" s="2788"/>
      <c r="T12" s="2039"/>
      <c r="U12" s="4830"/>
      <c r="V12" s="4831"/>
      <c r="W12" s="4831"/>
      <c r="X12" s="4832"/>
      <c r="Y12" s="4834"/>
      <c r="Z12" s="67"/>
      <c r="AA12" s="4845" t="str">
        <f>IF(U$11="","",INDEX(Tabla_ModElan,MATCH(U$11,INDEX(Tabla_ModElan,,1),0)+Tablas!$A1,1))</f>
        <v/>
      </c>
      <c r="AB12" s="4846"/>
      <c r="AC12" s="4846"/>
      <c r="AD12" s="4846"/>
      <c r="AE12" s="4847"/>
      <c r="AF12" s="2482" t="str">
        <f t="shared" ref="AF12:AF18" si="1">IF(AA12="","",INDEX(Tabla_ModElan,MATCH(AA12,INDEX(Tabla_ModElan,,1),0),2))</f>
        <v/>
      </c>
      <c r="AG12" s="4848" t="str">
        <f>IF(U$11="","",INDEX(Tabla_ModElan,MATCH(U$11,INDEX(Tabla_ModElan,,1),0)+Tablas!$A1,5))</f>
        <v/>
      </c>
      <c r="AH12" s="4849"/>
      <c r="AI12" s="4854" t="str">
        <f>IF(AG12="","",INDEX(Tabla_ModElan,MATCH(AG12,INDEX(Tabla_ModElan,,5),0),6))</f>
        <v/>
      </c>
      <c r="AJ12" s="1698"/>
      <c r="AK12" s="173"/>
      <c r="AL12" s="2759" t="s">
        <v>8934</v>
      </c>
      <c r="AM12" s="2759" t="s">
        <v>8935</v>
      </c>
      <c r="AQ12" s="43"/>
      <c r="AR12" s="43"/>
      <c r="AS12" s="43"/>
      <c r="AT12" s="43"/>
    </row>
    <row r="13" spans="1:46" ht="12" customHeight="1" x14ac:dyDescent="0.2">
      <c r="A13" s="173"/>
      <c r="B13" s="1691"/>
      <c r="C13" s="4226"/>
      <c r="D13" s="4227"/>
      <c r="E13" s="4227"/>
      <c r="F13" s="4227"/>
      <c r="G13" s="2030" t="str">
        <f t="shared" ref="G13:G25" si="2">IF(C13="","",VLOOKUP(C13,Tabla_Elan,5,FALSE))</f>
        <v/>
      </c>
      <c r="H13" s="67"/>
      <c r="I13" s="4860" t="str">
        <f>IF(C$11="","",INDEX(Tabla_ModElan,MATCH(C$11,INDEX(Tabla_ModElan,,1),0)+Tablas!$A2,1))</f>
        <v/>
      </c>
      <c r="J13" s="3598"/>
      <c r="K13" s="3598"/>
      <c r="L13" s="3598"/>
      <c r="M13" s="4861"/>
      <c r="N13" s="2483" t="str">
        <f t="shared" si="0"/>
        <v/>
      </c>
      <c r="O13" s="4850"/>
      <c r="P13" s="4851"/>
      <c r="Q13" s="4855"/>
      <c r="R13" s="157"/>
      <c r="S13" s="2788"/>
      <c r="T13" s="2039"/>
      <c r="U13" s="4857"/>
      <c r="V13" s="4858"/>
      <c r="W13" s="4858"/>
      <c r="X13" s="4859"/>
      <c r="Y13" s="2030" t="str">
        <f t="shared" ref="Y13:Y25" si="3">IF(U13="","",VLOOKUP(U13,Tabla_Elan,5,FALSE))</f>
        <v/>
      </c>
      <c r="Z13" s="67"/>
      <c r="AA13" s="4860" t="str">
        <f>IF(U$11="","",INDEX(Tabla_ModElan,MATCH(U$11,INDEX(Tabla_ModElan,,1),0)+Tablas!$A2,1))</f>
        <v/>
      </c>
      <c r="AB13" s="3598"/>
      <c r="AC13" s="3598"/>
      <c r="AD13" s="3598"/>
      <c r="AE13" s="4861"/>
      <c r="AF13" s="2483" t="str">
        <f t="shared" si="1"/>
        <v/>
      </c>
      <c r="AG13" s="4850"/>
      <c r="AH13" s="4851"/>
      <c r="AI13" s="4855"/>
      <c r="AJ13" s="1698"/>
      <c r="AK13" s="173"/>
      <c r="AL13" s="2759" t="b">
        <f>IF(OR($G$11="",Elan!C13=""),FALSE,$G$11&lt;VLOOKUP(C13,Tabla_Elan,3,FALSE))</f>
        <v>0</v>
      </c>
      <c r="AM13" s="2759" t="b">
        <f>IF(OR($Y$11="",Elan!U13=""),FALSE,$Y$11&lt;VLOOKUP(U13,Tabla_Elan,3,FALSE))</f>
        <v>0</v>
      </c>
      <c r="AR13" s="96"/>
      <c r="AS13" s="96"/>
      <c r="AT13" s="43"/>
    </row>
    <row r="14" spans="1:46" ht="12" customHeight="1" x14ac:dyDescent="0.2">
      <c r="A14" s="173"/>
      <c r="B14" s="1691"/>
      <c r="C14" s="4865"/>
      <c r="D14" s="4866"/>
      <c r="E14" s="4866"/>
      <c r="F14" s="4866"/>
      <c r="G14" s="2031" t="str">
        <f t="shared" si="2"/>
        <v/>
      </c>
      <c r="H14" s="2703" t="s">
        <v>3056</v>
      </c>
      <c r="I14" s="4860" t="str">
        <f>IF(C$11="","",INDEX(Tabla_ModElan,MATCH(C$11,INDEX(Tabla_ModElan,,1),0)+Tablas!$A3,1))</f>
        <v/>
      </c>
      <c r="J14" s="3598"/>
      <c r="K14" s="3598"/>
      <c r="L14" s="3598"/>
      <c r="M14" s="4861"/>
      <c r="N14" s="2483" t="str">
        <f t="shared" si="0"/>
        <v/>
      </c>
      <c r="O14" s="4852"/>
      <c r="P14" s="4853"/>
      <c r="Q14" s="4856"/>
      <c r="R14" s="157"/>
      <c r="S14" s="2788"/>
      <c r="T14" s="2039"/>
      <c r="U14" s="4862"/>
      <c r="V14" s="4863"/>
      <c r="W14" s="4863"/>
      <c r="X14" s="4864"/>
      <c r="Y14" s="2031" t="str">
        <f t="shared" si="3"/>
        <v/>
      </c>
      <c r="Z14" s="2703" t="s">
        <v>3056</v>
      </c>
      <c r="AA14" s="4860" t="str">
        <f>IF(U$11="","",INDEX(Tabla_ModElan,MATCH(U$11,INDEX(Tabla_ModElan,,1),0)+Tablas!$A3,1))</f>
        <v/>
      </c>
      <c r="AB14" s="3598"/>
      <c r="AC14" s="3598"/>
      <c r="AD14" s="3598"/>
      <c r="AE14" s="4861"/>
      <c r="AF14" s="2483" t="str">
        <f t="shared" si="1"/>
        <v/>
      </c>
      <c r="AG14" s="3513"/>
      <c r="AH14" s="4853"/>
      <c r="AI14" s="4856"/>
      <c r="AJ14" s="1698"/>
      <c r="AK14" s="173"/>
      <c r="AL14" s="2759" t="b">
        <f>IF(OR($G$11="",Elan!C14=""),FALSE,$G$11&lt;VLOOKUP(C14,Tabla_Elan,3,FALSE))</f>
        <v>0</v>
      </c>
      <c r="AM14" s="2759" t="b">
        <f>IF(OR($Y$11="",Elan!U14=""),FALSE,$Y$11&lt;VLOOKUP(U14,Tabla_Elan,3,FALSE))</f>
        <v>0</v>
      </c>
      <c r="AT14" s="43"/>
    </row>
    <row r="15" spans="1:46" ht="12" customHeight="1" x14ac:dyDescent="0.2">
      <c r="A15" s="173"/>
      <c r="B15" s="1691"/>
      <c r="C15" s="4185"/>
      <c r="D15" s="4186"/>
      <c r="E15" s="4186"/>
      <c r="F15" s="4186"/>
      <c r="G15" s="2032" t="str">
        <f t="shared" si="2"/>
        <v/>
      </c>
      <c r="H15" s="2703" t="s">
        <v>3054</v>
      </c>
      <c r="I15" s="4860" t="str">
        <f>IF(C$11="","",INDEX(Tabla_ModElan,MATCH(C$11,INDEX(Tabla_ModElan,,1),0)+Tablas!$A4,1))</f>
        <v/>
      </c>
      <c r="J15" s="3598"/>
      <c r="K15" s="3598"/>
      <c r="L15" s="3598"/>
      <c r="M15" s="4861"/>
      <c r="N15" s="2483" t="str">
        <f t="shared" si="0"/>
        <v/>
      </c>
      <c r="O15" s="4848" t="str">
        <f>IF(C$11="","",INDEX(Tabla_ModElan,MATCH(C$11,INDEX(Tabla_ModElan,,1),0)+Tablas!$A2,5))</f>
        <v/>
      </c>
      <c r="P15" s="4849"/>
      <c r="Q15" s="4854" t="str">
        <f>IF(O15="","",INDEX(Tabla_ModElan,MATCH(O15,INDEX(Tabla_ModElan,,5),0),6))</f>
        <v/>
      </c>
      <c r="R15" s="157"/>
      <c r="S15" s="2788"/>
      <c r="T15" s="2039"/>
      <c r="U15" s="4185"/>
      <c r="V15" s="4186"/>
      <c r="W15" s="4186"/>
      <c r="X15" s="4186"/>
      <c r="Y15" s="2032" t="str">
        <f t="shared" si="3"/>
        <v/>
      </c>
      <c r="Z15" s="2703" t="s">
        <v>3054</v>
      </c>
      <c r="AA15" s="4860" t="str">
        <f>IF(U$11="","",INDEX(Tabla_ModElan,MATCH(U$11,INDEX(Tabla_ModElan,,1),0)+Tablas!$A4,1))</f>
        <v/>
      </c>
      <c r="AB15" s="3598"/>
      <c r="AC15" s="3598"/>
      <c r="AD15" s="3598"/>
      <c r="AE15" s="4861"/>
      <c r="AF15" s="2483" t="str">
        <f t="shared" si="1"/>
        <v/>
      </c>
      <c r="AG15" s="4848" t="str">
        <f>IF(U$11="","",INDEX(Tabla_ModElan,MATCH(U$11,INDEX(Tabla_ModElan,,1),0)+Tablas!$A2,5))</f>
        <v/>
      </c>
      <c r="AH15" s="4849"/>
      <c r="AI15" s="4854" t="str">
        <f>IF(AG15="","",INDEX(Tabla_ModElan,MATCH(AG15,INDEX(Tabla_ModElan,,5),0),6))</f>
        <v/>
      </c>
      <c r="AJ15" s="1698"/>
      <c r="AK15" s="173"/>
      <c r="AL15" s="2759" t="b">
        <f>IF(OR($G$11="",Elan!C15=""),FALSE,$G$11&lt;VLOOKUP(C15,Tabla_Elan,3,FALSE))</f>
        <v>0</v>
      </c>
      <c r="AM15" s="2759" t="b">
        <f>IF(OR($Y$11="",Elan!U15=""),FALSE,$Y$11&lt;VLOOKUP(U15,Tabla_Elan,3,FALSE))</f>
        <v>0</v>
      </c>
      <c r="AT15" s="43"/>
    </row>
    <row r="16" spans="1:46" ht="12" customHeight="1" x14ac:dyDescent="0.2">
      <c r="A16" s="173"/>
      <c r="B16" s="1691"/>
      <c r="C16" s="4865"/>
      <c r="D16" s="4866"/>
      <c r="E16" s="4866"/>
      <c r="F16" s="4866"/>
      <c r="G16" s="2031" t="str">
        <f t="shared" si="2"/>
        <v/>
      </c>
      <c r="H16" s="67"/>
      <c r="I16" s="4860" t="str">
        <f>IF(C$11="","",INDEX(Tabla_ModElan,MATCH(C$11,INDEX(Tabla_ModElan,,1),0)+Tablas!$A5,1))</f>
        <v/>
      </c>
      <c r="J16" s="3598"/>
      <c r="K16" s="3598"/>
      <c r="L16" s="3598"/>
      <c r="M16" s="4861"/>
      <c r="N16" s="2483" t="str">
        <f t="shared" si="0"/>
        <v/>
      </c>
      <c r="O16" s="4850"/>
      <c r="P16" s="4851"/>
      <c r="Q16" s="4855"/>
      <c r="R16" s="157"/>
      <c r="S16" s="2788"/>
      <c r="T16" s="2039"/>
      <c r="U16" s="4865"/>
      <c r="V16" s="4866"/>
      <c r="W16" s="4866"/>
      <c r="X16" s="4866"/>
      <c r="Y16" s="2031" t="str">
        <f t="shared" si="3"/>
        <v/>
      </c>
      <c r="Z16" s="67"/>
      <c r="AA16" s="4860" t="str">
        <f>IF(U$11="","",INDEX(Tabla_ModElan,MATCH(U$11,INDEX(Tabla_ModElan,,1),0)+Tablas!$A5,1))</f>
        <v/>
      </c>
      <c r="AB16" s="3598"/>
      <c r="AC16" s="3598"/>
      <c r="AD16" s="3598"/>
      <c r="AE16" s="4861"/>
      <c r="AF16" s="2483" t="str">
        <f t="shared" si="1"/>
        <v/>
      </c>
      <c r="AG16" s="4850"/>
      <c r="AH16" s="4851"/>
      <c r="AI16" s="4855"/>
      <c r="AJ16" s="1698"/>
      <c r="AK16" s="173"/>
      <c r="AL16" s="2759" t="b">
        <f>IF(OR($G$11="",Elan!C16=""),FALSE,$G$11&lt;VLOOKUP(C16,Tabla_Elan,3,FALSE))</f>
        <v>0</v>
      </c>
      <c r="AM16" s="2759" t="b">
        <f>IF(OR($Y$11="",Elan!U16=""),FALSE,$Y$11&lt;VLOOKUP(U16,Tabla_Elan,3,FALSE))</f>
        <v>0</v>
      </c>
      <c r="AT16" s="43"/>
    </row>
    <row r="17" spans="1:56" ht="12" customHeight="1" x14ac:dyDescent="0.2">
      <c r="A17" s="173"/>
      <c r="B17" s="1691"/>
      <c r="C17" s="4185"/>
      <c r="D17" s="4186"/>
      <c r="E17" s="4186"/>
      <c r="F17" s="4186"/>
      <c r="G17" s="2032" t="str">
        <f t="shared" si="2"/>
        <v/>
      </c>
      <c r="H17" s="67"/>
      <c r="I17" s="4860" t="str">
        <f>IF(C$11="","",INDEX(Tabla_ModElan,MATCH(C$11,INDEX(Tabla_ModElan,,1),0)+Tablas!$A6,1))</f>
        <v/>
      </c>
      <c r="J17" s="3598"/>
      <c r="K17" s="3598"/>
      <c r="L17" s="3598"/>
      <c r="M17" s="4861"/>
      <c r="N17" s="2483" t="str">
        <f t="shared" si="0"/>
        <v/>
      </c>
      <c r="O17" s="4852"/>
      <c r="P17" s="4853"/>
      <c r="Q17" s="4856"/>
      <c r="R17" s="157"/>
      <c r="S17" s="2788"/>
      <c r="T17" s="2039"/>
      <c r="U17" s="4185"/>
      <c r="V17" s="4186"/>
      <c r="W17" s="4186"/>
      <c r="X17" s="4186"/>
      <c r="Y17" s="2032" t="str">
        <f t="shared" si="3"/>
        <v/>
      </c>
      <c r="Z17" s="67"/>
      <c r="AA17" s="4860" t="str">
        <f>IF(U$11="","",INDEX(Tabla_ModElan,MATCH(U$11,INDEX(Tabla_ModElan,,1),0)+Tablas!$A6,1))</f>
        <v/>
      </c>
      <c r="AB17" s="3598"/>
      <c r="AC17" s="3598"/>
      <c r="AD17" s="3598"/>
      <c r="AE17" s="4861"/>
      <c r="AF17" s="2483" t="str">
        <f t="shared" si="1"/>
        <v/>
      </c>
      <c r="AG17" s="4852"/>
      <c r="AH17" s="4853"/>
      <c r="AI17" s="4856"/>
      <c r="AJ17" s="1698"/>
      <c r="AK17" s="173"/>
      <c r="AL17" s="2759" t="b">
        <f>IF(OR($G$11="",Elan!C17=""),FALSE,$G$11&lt;VLOOKUP(C17,Tabla_Elan,3,FALSE))</f>
        <v>0</v>
      </c>
      <c r="AM17" s="2759" t="b">
        <f>IF(OR($Y$11="",Elan!U17=""),FALSE,$Y$11&lt;VLOOKUP(U17,Tabla_Elan,3,FALSE))</f>
        <v>0</v>
      </c>
      <c r="AT17" s="43"/>
    </row>
    <row r="18" spans="1:56" ht="12" customHeight="1" x14ac:dyDescent="0.2">
      <c r="A18" s="173"/>
      <c r="B18" s="1691"/>
      <c r="C18" s="4865"/>
      <c r="D18" s="4866"/>
      <c r="E18" s="4866"/>
      <c r="F18" s="4866"/>
      <c r="G18" s="2031" t="str">
        <f t="shared" si="2"/>
        <v/>
      </c>
      <c r="H18" s="67"/>
      <c r="I18" s="4867" t="str">
        <f>IF(C$11="","",INDEX(Tabla_ModElan,MATCH(C$11,INDEX(Tabla_ModElan,,1),0)+Tablas!$A7,1))</f>
        <v/>
      </c>
      <c r="J18" s="4868"/>
      <c r="K18" s="4868"/>
      <c r="L18" s="4868"/>
      <c r="M18" s="4869"/>
      <c r="N18" s="2483" t="str">
        <f t="shared" si="0"/>
        <v/>
      </c>
      <c r="O18" s="4848" t="str">
        <f>IF(C$11="","",INDEX(Tabla_ModElan,MATCH(C$11,INDEX(Tabla_ModElan,,1),0)+Tablas!$A3,5))</f>
        <v/>
      </c>
      <c r="P18" s="4849"/>
      <c r="Q18" s="4854" t="str">
        <f>IF(O18="","",INDEX(Tabla_ModElan,MATCH(O18,INDEX(Tabla_ModElan,,5),0),6))</f>
        <v/>
      </c>
      <c r="R18" s="157"/>
      <c r="S18" s="2788"/>
      <c r="T18" s="2039"/>
      <c r="U18" s="4865"/>
      <c r="V18" s="4866"/>
      <c r="W18" s="4866"/>
      <c r="X18" s="4866"/>
      <c r="Y18" s="2031" t="str">
        <f t="shared" si="3"/>
        <v/>
      </c>
      <c r="Z18" s="67"/>
      <c r="AA18" s="4867" t="str">
        <f>IF(U$11="","",INDEX(Tabla_ModElan,MATCH(U$11,INDEX(Tabla_ModElan,,1),0)+Tablas!$A7,1))</f>
        <v/>
      </c>
      <c r="AB18" s="4868"/>
      <c r="AC18" s="4868"/>
      <c r="AD18" s="4868"/>
      <c r="AE18" s="4869"/>
      <c r="AF18" s="2483" t="str">
        <f t="shared" si="1"/>
        <v/>
      </c>
      <c r="AG18" s="4848" t="str">
        <f>IF(U$11="","",INDEX(Tabla_ModElan,MATCH(U$11,INDEX(Tabla_ModElan,,1),0)+Tablas!$A3,5))</f>
        <v/>
      </c>
      <c r="AH18" s="4849"/>
      <c r="AI18" s="4854" t="str">
        <f>IF(AG18="","",INDEX(Tabla_ModElan,MATCH(AG18,INDEX(Tabla_ModElan,,5),0),6))</f>
        <v/>
      </c>
      <c r="AJ18" s="1698"/>
      <c r="AK18" s="173"/>
      <c r="AL18" s="2759" t="b">
        <f>IF(OR($G$11="",Elan!C18=""),FALSE,$G$11&lt;VLOOKUP(C18,Tabla_Elan,3,FALSE))</f>
        <v>0</v>
      </c>
      <c r="AM18" s="2759" t="b">
        <f>IF(OR($Y$11="",Elan!U18=""),FALSE,$Y$11&lt;VLOOKUP(U18,Tabla_Elan,3,FALSE))</f>
        <v>0</v>
      </c>
      <c r="AQ18" s="2291"/>
      <c r="AR18" s="43"/>
      <c r="AS18" s="43"/>
      <c r="AT18" s="43"/>
    </row>
    <row r="19" spans="1:56" ht="12" customHeight="1" x14ac:dyDescent="0.2">
      <c r="A19" s="173"/>
      <c r="B19" s="1691"/>
      <c r="C19" s="4185"/>
      <c r="D19" s="4186"/>
      <c r="E19" s="4186"/>
      <c r="F19" s="4186"/>
      <c r="G19" s="2032" t="str">
        <f t="shared" si="2"/>
        <v/>
      </c>
      <c r="H19" s="67"/>
      <c r="I19" s="4835" t="s">
        <v>8089</v>
      </c>
      <c r="J19" s="4843"/>
      <c r="K19" s="4843"/>
      <c r="L19" s="4843"/>
      <c r="M19" s="4843"/>
      <c r="N19" s="4844"/>
      <c r="O19" s="4850"/>
      <c r="P19" s="4851"/>
      <c r="Q19" s="4855"/>
      <c r="R19" s="157"/>
      <c r="S19" s="2788"/>
      <c r="T19" s="2039"/>
      <c r="U19" s="4185"/>
      <c r="V19" s="4186"/>
      <c r="W19" s="4186"/>
      <c r="X19" s="4186"/>
      <c r="Y19" s="2032" t="str">
        <f t="shared" si="3"/>
        <v/>
      </c>
      <c r="Z19" s="67"/>
      <c r="AA19" s="4835" t="s">
        <v>8089</v>
      </c>
      <c r="AB19" s="4843"/>
      <c r="AC19" s="4843"/>
      <c r="AD19" s="4843"/>
      <c r="AE19" s="4843"/>
      <c r="AF19" s="4844"/>
      <c r="AG19" s="4850"/>
      <c r="AH19" s="4851"/>
      <c r="AI19" s="4855"/>
      <c r="AJ19" s="1698"/>
      <c r="AK19" s="173"/>
      <c r="AL19" s="2759" t="b">
        <f>IF(OR($G$11="",Elan!C19=""),FALSE,$G$11&lt;VLOOKUP(C19,Tabla_Elan,3,FALSE))</f>
        <v>0</v>
      </c>
      <c r="AM19" s="2759" t="b">
        <f>IF(OR($Y$11="",Elan!U19=""),FALSE,$Y$11&lt;VLOOKUP(U19,Tabla_Elan,3,FALSE))</f>
        <v>0</v>
      </c>
      <c r="AQ19" s="2291"/>
      <c r="AR19" s="43"/>
      <c r="AS19" s="43"/>
      <c r="AT19" s="43"/>
    </row>
    <row r="20" spans="1:56" ht="12" customHeight="1" x14ac:dyDescent="0.2">
      <c r="A20" s="173"/>
      <c r="B20" s="1691"/>
      <c r="C20" s="4865"/>
      <c r="D20" s="4866"/>
      <c r="E20" s="4866"/>
      <c r="F20" s="4866"/>
      <c r="G20" s="2033" t="str">
        <f t="shared" si="2"/>
        <v/>
      </c>
      <c r="H20" s="67"/>
      <c r="I20" s="4845" t="str">
        <f>IF(C$11="","",INDEX(Tabla_ModElan,MATCH(C$11,INDEX(Tabla_ModElan,,1),0)+Tablas!$A1,3))</f>
        <v/>
      </c>
      <c r="J20" s="4846"/>
      <c r="K20" s="4846"/>
      <c r="L20" s="4846"/>
      <c r="M20" s="4847"/>
      <c r="N20" s="2482" t="str">
        <f t="shared" ref="N20:N26" si="4">IF(I20="","",INDEX(Tabla_ModElan,MATCH(I20,INDEX(Tabla_ModElan,,3),0),4))</f>
        <v/>
      </c>
      <c r="O20" s="4852"/>
      <c r="P20" s="4853"/>
      <c r="Q20" s="4856"/>
      <c r="R20" s="157"/>
      <c r="S20" s="2788"/>
      <c r="T20" s="2039"/>
      <c r="U20" s="4865"/>
      <c r="V20" s="4866"/>
      <c r="W20" s="4866"/>
      <c r="X20" s="4866"/>
      <c r="Y20" s="2033" t="str">
        <f t="shared" si="3"/>
        <v/>
      </c>
      <c r="Z20" s="67"/>
      <c r="AA20" s="4845" t="str">
        <f>IF(U$11="","",INDEX(Tabla_ModElan,MATCH(U$11,INDEX(Tabla_ModElan,,1),0)+Tablas!$A1,3))</f>
        <v/>
      </c>
      <c r="AB20" s="4846"/>
      <c r="AC20" s="4846"/>
      <c r="AD20" s="4846"/>
      <c r="AE20" s="4847"/>
      <c r="AF20" s="2482" t="str">
        <f t="shared" ref="AF20:AF26" si="5">IF(AA20="","",INDEX(Tabla_ModElan,MATCH(AA20,INDEX(Tabla_ModElan,,3),0),4))</f>
        <v/>
      </c>
      <c r="AG20" s="4852"/>
      <c r="AH20" s="4853"/>
      <c r="AI20" s="4856"/>
      <c r="AJ20" s="1698"/>
      <c r="AK20" s="173"/>
      <c r="AL20" s="2759" t="b">
        <f>IF(OR($G$11="",Elan!C20=""),FALSE,$G$11&lt;VLOOKUP(C20,Tabla_Elan,3,FALSE))</f>
        <v>0</v>
      </c>
      <c r="AM20" s="2759" t="b">
        <f>IF(OR($Y$11="",Elan!U20=""),FALSE,$Y$11&lt;VLOOKUP(U20,Tabla_Elan,3,FALSE))</f>
        <v>0</v>
      </c>
      <c r="AQ20" s="2291"/>
      <c r="AR20" s="43"/>
      <c r="AS20" s="43"/>
      <c r="AT20" s="43"/>
    </row>
    <row r="21" spans="1:56" ht="12" customHeight="1" x14ac:dyDescent="0.2">
      <c r="A21" s="173"/>
      <c r="B21" s="1691"/>
      <c r="C21" s="4185"/>
      <c r="D21" s="4186"/>
      <c r="E21" s="4186"/>
      <c r="F21" s="4186"/>
      <c r="G21" s="2032" t="str">
        <f t="shared" si="2"/>
        <v/>
      </c>
      <c r="H21" s="67"/>
      <c r="I21" s="4860" t="str">
        <f>IF(C$11="","",INDEX(Tabla_ModElan,MATCH(C$11,INDEX(Tabla_ModElan,,1),0)+Tablas!$A2,3))</f>
        <v/>
      </c>
      <c r="J21" s="3598"/>
      <c r="K21" s="3598"/>
      <c r="L21" s="3598"/>
      <c r="M21" s="3598"/>
      <c r="N21" s="2483" t="str">
        <f t="shared" si="4"/>
        <v/>
      </c>
      <c r="O21" s="4848" t="str">
        <f>IF(C$11="","",INDEX(Tabla_ModElan,MATCH(C$11,INDEX(Tabla_ModElan,,1),0)+Tablas!$A4,5))</f>
        <v/>
      </c>
      <c r="P21" s="4849"/>
      <c r="Q21" s="4854" t="str">
        <f>IF(O21="","",INDEX(Tabla_ModElan,MATCH(O21,INDEX(Tabla_ModElan,,5),0),6))</f>
        <v/>
      </c>
      <c r="R21" s="157"/>
      <c r="S21" s="2788"/>
      <c r="T21" s="2039"/>
      <c r="U21" s="4185"/>
      <c r="V21" s="4186"/>
      <c r="W21" s="4186"/>
      <c r="X21" s="4186"/>
      <c r="Y21" s="2032" t="str">
        <f t="shared" si="3"/>
        <v/>
      </c>
      <c r="Z21" s="67"/>
      <c r="AA21" s="4860" t="str">
        <f>IF(U$11="","",INDEX(Tabla_ModElan,MATCH(U$11,INDEX(Tabla_ModElan,,1),0)+Tablas!$A2,3))</f>
        <v/>
      </c>
      <c r="AB21" s="3598"/>
      <c r="AC21" s="3598"/>
      <c r="AD21" s="3598"/>
      <c r="AE21" s="3598"/>
      <c r="AF21" s="2483" t="str">
        <f t="shared" si="5"/>
        <v/>
      </c>
      <c r="AG21" s="4848" t="str">
        <f>IF(U$11="","",INDEX(Tabla_ModElan,MATCH(U$11,INDEX(Tabla_ModElan,,1),0)+Tablas!$A4,5))</f>
        <v/>
      </c>
      <c r="AH21" s="4849"/>
      <c r="AI21" s="4854" t="str">
        <f>IF(AG21="","",INDEX(Tabla_ModElan,MATCH(AG21,INDEX(Tabla_ModElan,,5),0),6))</f>
        <v/>
      </c>
      <c r="AJ21" s="1698"/>
      <c r="AK21" s="173"/>
      <c r="AL21" s="2759" t="b">
        <f>IF(OR($G$11="",Elan!C21=""),FALSE,$G$11&lt;VLOOKUP(C21,Tabla_Elan,3,FALSE))</f>
        <v>0</v>
      </c>
      <c r="AM21" s="2759" t="b">
        <f>IF(OR($Y$11="",Elan!U21=""),FALSE,$Y$11&lt;VLOOKUP(U21,Tabla_Elan,3,FALSE))</f>
        <v>0</v>
      </c>
      <c r="AQ21" s="2291"/>
      <c r="AR21" s="43"/>
      <c r="AS21" s="43"/>
      <c r="AT21" s="43"/>
    </row>
    <row r="22" spans="1:56" ht="12" customHeight="1" x14ac:dyDescent="0.2">
      <c r="A22" s="173"/>
      <c r="B22" s="1691"/>
      <c r="C22" s="4865"/>
      <c r="D22" s="4866"/>
      <c r="E22" s="4866"/>
      <c r="F22" s="4866"/>
      <c r="G22" s="2033" t="str">
        <f t="shared" si="2"/>
        <v/>
      </c>
      <c r="H22" s="67"/>
      <c r="I22" s="4860" t="str">
        <f>IF(C$11="","",INDEX(Tabla_ModElan,MATCH(C$11,INDEX(Tabla_ModElan,,1),0)+Tablas!$A3,3))</f>
        <v/>
      </c>
      <c r="J22" s="3598"/>
      <c r="K22" s="3598"/>
      <c r="L22" s="3598"/>
      <c r="M22" s="3598"/>
      <c r="N22" s="2483" t="str">
        <f t="shared" si="4"/>
        <v/>
      </c>
      <c r="O22" s="4850"/>
      <c r="P22" s="4851"/>
      <c r="Q22" s="4855"/>
      <c r="R22" s="157"/>
      <c r="S22" s="2788"/>
      <c r="T22" s="2039"/>
      <c r="U22" s="4865"/>
      <c r="V22" s="4866"/>
      <c r="W22" s="4866"/>
      <c r="X22" s="4866"/>
      <c r="Y22" s="2033" t="str">
        <f t="shared" si="3"/>
        <v/>
      </c>
      <c r="Z22" s="67"/>
      <c r="AA22" s="4860" t="str">
        <f>IF(U$11="","",INDEX(Tabla_ModElan,MATCH(U$11,INDEX(Tabla_ModElan,,1),0)+Tablas!$A3,3))</f>
        <v/>
      </c>
      <c r="AB22" s="3598"/>
      <c r="AC22" s="3598"/>
      <c r="AD22" s="3598"/>
      <c r="AE22" s="3598"/>
      <c r="AF22" s="2483" t="str">
        <f t="shared" si="5"/>
        <v/>
      </c>
      <c r="AG22" s="4850"/>
      <c r="AH22" s="4851"/>
      <c r="AI22" s="4855"/>
      <c r="AJ22" s="1698"/>
      <c r="AK22" s="173"/>
      <c r="AL22" s="2759" t="b">
        <f>IF(OR($G$11="",Elan!C22=""),FALSE,$G$11&lt;VLOOKUP(C22,Tabla_Elan,3,FALSE))</f>
        <v>0</v>
      </c>
      <c r="AM22" s="2759" t="b">
        <f>IF(OR($Y$11="",Elan!U22=""),FALSE,$Y$11&lt;VLOOKUP(U22,Tabla_Elan,3,FALSE))</f>
        <v>0</v>
      </c>
      <c r="AQ22" s="2291"/>
      <c r="AR22" s="43"/>
      <c r="AS22" s="43"/>
      <c r="AT22" s="43"/>
    </row>
    <row r="23" spans="1:56" ht="12" customHeight="1" x14ac:dyDescent="0.2">
      <c r="A23" s="173"/>
      <c r="B23" s="1691"/>
      <c r="C23" s="4185"/>
      <c r="D23" s="4186"/>
      <c r="E23" s="4186"/>
      <c r="F23" s="4186"/>
      <c r="G23" s="2032" t="str">
        <f t="shared" si="2"/>
        <v/>
      </c>
      <c r="H23" s="67"/>
      <c r="I23" s="4860" t="str">
        <f>IF(C$11="","",INDEX(Tabla_ModElan,MATCH(C$11,INDEX(Tabla_ModElan,,1),0)+Tablas!$A4,3))</f>
        <v/>
      </c>
      <c r="J23" s="3598"/>
      <c r="K23" s="3598"/>
      <c r="L23" s="3598"/>
      <c r="M23" s="3598"/>
      <c r="N23" s="2483" t="str">
        <f t="shared" si="4"/>
        <v/>
      </c>
      <c r="O23" s="4852"/>
      <c r="P23" s="4853"/>
      <c r="Q23" s="4856"/>
      <c r="R23" s="157"/>
      <c r="S23" s="2788"/>
      <c r="T23" s="2039"/>
      <c r="U23" s="4185"/>
      <c r="V23" s="4186"/>
      <c r="W23" s="4186"/>
      <c r="X23" s="4186"/>
      <c r="Y23" s="2032" t="str">
        <f t="shared" si="3"/>
        <v/>
      </c>
      <c r="Z23" s="67"/>
      <c r="AA23" s="4860" t="str">
        <f>IF(U$11="","",INDEX(Tabla_ModElan,MATCH(U$11,INDEX(Tabla_ModElan,,1),0)+Tablas!$A4,3))</f>
        <v/>
      </c>
      <c r="AB23" s="3598"/>
      <c r="AC23" s="3598"/>
      <c r="AD23" s="3598"/>
      <c r="AE23" s="3598"/>
      <c r="AF23" s="2483" t="str">
        <f t="shared" si="5"/>
        <v/>
      </c>
      <c r="AG23" s="4852"/>
      <c r="AH23" s="4853"/>
      <c r="AI23" s="4856"/>
      <c r="AJ23" s="1698"/>
      <c r="AK23" s="173"/>
      <c r="AL23" s="2759" t="b">
        <f>IF(OR($G$11="",Elan!C23=""),FALSE,$G$11&lt;VLOOKUP(C23,Tabla_Elan,3,FALSE))</f>
        <v>0</v>
      </c>
      <c r="AM23" s="2759" t="b">
        <f>IF(OR($Y$11="",Elan!U23=""),FALSE,$Y$11&lt;VLOOKUP(U23,Tabla_Elan,3,FALSE))</f>
        <v>0</v>
      </c>
      <c r="AQ23" s="2291"/>
      <c r="AR23" s="43"/>
      <c r="AS23" s="43"/>
      <c r="AT23" s="43"/>
    </row>
    <row r="24" spans="1:56" ht="12" customHeight="1" x14ac:dyDescent="0.2">
      <c r="A24" s="173"/>
      <c r="B24" s="1691"/>
      <c r="C24" s="4865"/>
      <c r="D24" s="4866"/>
      <c r="E24" s="4866"/>
      <c r="F24" s="4866"/>
      <c r="G24" s="2033" t="str">
        <f t="shared" si="2"/>
        <v/>
      </c>
      <c r="H24" s="67"/>
      <c r="I24" s="4860" t="str">
        <f>IF(C$11="","",INDEX(Tabla_ModElan,MATCH(C$11,INDEX(Tabla_ModElan,,1),0)+Tablas!$A5,3))</f>
        <v/>
      </c>
      <c r="J24" s="3598"/>
      <c r="K24" s="3598"/>
      <c r="L24" s="3598"/>
      <c r="M24" s="3598"/>
      <c r="N24" s="2483" t="str">
        <f t="shared" si="4"/>
        <v/>
      </c>
      <c r="O24" s="4848" t="str">
        <f>IF(C$11="","",INDEX(Tabla_ModElan,MATCH(C$11,INDEX(Tabla_ModElan,,1),0)+Tablas!$A5,5))</f>
        <v/>
      </c>
      <c r="P24" s="4849"/>
      <c r="Q24" s="4854" t="str">
        <f>IF(O24="","",INDEX(Tabla_ModElan,MATCH(O24,INDEX(Tabla_ModElan,,5),0),6))</f>
        <v/>
      </c>
      <c r="R24" s="157"/>
      <c r="S24" s="2788"/>
      <c r="T24" s="2039"/>
      <c r="U24" s="4865"/>
      <c r="V24" s="4866"/>
      <c r="W24" s="4866"/>
      <c r="X24" s="4866"/>
      <c r="Y24" s="2033" t="str">
        <f t="shared" si="3"/>
        <v/>
      </c>
      <c r="Z24" s="67"/>
      <c r="AA24" s="4860" t="str">
        <f>IF(U$11="","",INDEX(Tabla_ModElan,MATCH(U$11,INDEX(Tabla_ModElan,,1),0)+Tablas!$A5,3))</f>
        <v/>
      </c>
      <c r="AB24" s="3598"/>
      <c r="AC24" s="3598"/>
      <c r="AD24" s="3598"/>
      <c r="AE24" s="3598"/>
      <c r="AF24" s="2483" t="str">
        <f t="shared" si="5"/>
        <v/>
      </c>
      <c r="AG24" s="4848" t="str">
        <f>IF(U$11="","",INDEX(Tabla_ModElan,MATCH(U$11,INDEX(Tabla_ModElan,,1),0)+Tablas!$A5,5))</f>
        <v/>
      </c>
      <c r="AH24" s="4849"/>
      <c r="AI24" s="4854" t="str">
        <f>IF(AG24="","",INDEX(Tabla_ModElan,MATCH(AG24,INDEX(Tabla_ModElan,,5),0),6))</f>
        <v/>
      </c>
      <c r="AJ24" s="1698"/>
      <c r="AK24" s="173"/>
      <c r="AL24" s="2759" t="b">
        <f>IF(OR($G$11="",Elan!C24=""),FALSE,$G$11&lt;VLOOKUP(C24,Tabla_Elan,3,FALSE))</f>
        <v>0</v>
      </c>
      <c r="AM24" s="2759" t="b">
        <f>IF(OR($Y$11="",Elan!U24=""),FALSE,$Y$11&lt;VLOOKUP(U24,Tabla_Elan,3,FALSE))</f>
        <v>0</v>
      </c>
      <c r="AQ24" s="2291"/>
      <c r="AR24" s="43"/>
    </row>
    <row r="25" spans="1:56" ht="12" customHeight="1" x14ac:dyDescent="0.2">
      <c r="A25" s="173"/>
      <c r="B25" s="1691"/>
      <c r="C25" s="4185"/>
      <c r="D25" s="4186"/>
      <c r="E25" s="4186"/>
      <c r="F25" s="4186"/>
      <c r="G25" s="2032" t="str">
        <f t="shared" si="2"/>
        <v/>
      </c>
      <c r="H25" s="67"/>
      <c r="I25" s="4860" t="str">
        <f>IF(C$11="","",INDEX(Tabla_ModElan,MATCH(C$11,INDEX(Tabla_ModElan,,1),0)+Tablas!$A6,3))</f>
        <v/>
      </c>
      <c r="J25" s="3598"/>
      <c r="K25" s="3598"/>
      <c r="L25" s="3598"/>
      <c r="M25" s="3598"/>
      <c r="N25" s="2483" t="str">
        <f t="shared" si="4"/>
        <v/>
      </c>
      <c r="O25" s="4850"/>
      <c r="P25" s="4851"/>
      <c r="Q25" s="4855"/>
      <c r="R25" s="157"/>
      <c r="S25" s="2788"/>
      <c r="T25" s="2039"/>
      <c r="U25" s="4185"/>
      <c r="V25" s="4186"/>
      <c r="W25" s="4186"/>
      <c r="X25" s="4186"/>
      <c r="Y25" s="2032" t="str">
        <f t="shared" si="3"/>
        <v/>
      </c>
      <c r="Z25" s="67"/>
      <c r="AA25" s="4860" t="str">
        <f>IF(U$11="","",INDEX(Tabla_ModElan,MATCH(U$11,INDEX(Tabla_ModElan,,1),0)+Tablas!$A6,3))</f>
        <v/>
      </c>
      <c r="AB25" s="3598"/>
      <c r="AC25" s="3598"/>
      <c r="AD25" s="3598"/>
      <c r="AE25" s="3598"/>
      <c r="AF25" s="2483" t="str">
        <f t="shared" si="5"/>
        <v/>
      </c>
      <c r="AG25" s="4850"/>
      <c r="AH25" s="4851"/>
      <c r="AI25" s="4855"/>
      <c r="AJ25" s="1698"/>
      <c r="AK25" s="173"/>
      <c r="AL25" s="2759" t="b">
        <f>IF(OR($G$11="",Elan!C25=""),FALSE,$G$11&lt;VLOOKUP(C25,Tabla_Elan,3,FALSE))</f>
        <v>0</v>
      </c>
      <c r="AM25" s="2759" t="b">
        <f>IF(OR($Y$11="",Elan!U25=""),FALSE,$Y$11&lt;VLOOKUP(U25,Tabla_Elan,3,FALSE))</f>
        <v>0</v>
      </c>
      <c r="AQ25" s="2291"/>
      <c r="AR25" s="43"/>
      <c r="AS25" s="157"/>
      <c r="AT25" s="157"/>
      <c r="AU25" s="157"/>
      <c r="AV25" s="157"/>
    </row>
    <row r="26" spans="1:56" ht="12" customHeight="1" thickBot="1" x14ac:dyDescent="0.25">
      <c r="A26" s="173"/>
      <c r="B26" s="1691"/>
      <c r="C26" s="4870" t="str">
        <f>IF(SUM(G13:G25)&gt;G11,"Exceso de Elán utilizado","")</f>
        <v/>
      </c>
      <c r="D26" s="4871"/>
      <c r="E26" s="4871"/>
      <c r="F26" s="4871"/>
      <c r="G26" s="4872"/>
      <c r="H26" s="67"/>
      <c r="I26" s="4873" t="str">
        <f>IF(C$11="","",INDEX(Tabla_ModElan,MATCH(C$11,INDEX(Tabla_ModElan,,1),0)+Tablas!$A7,3))</f>
        <v/>
      </c>
      <c r="J26" s="4874"/>
      <c r="K26" s="4874"/>
      <c r="L26" s="4874"/>
      <c r="M26" s="4874"/>
      <c r="N26" s="2484" t="str">
        <f t="shared" si="4"/>
        <v/>
      </c>
      <c r="O26" s="4876"/>
      <c r="P26" s="4877"/>
      <c r="Q26" s="4878"/>
      <c r="R26" s="157"/>
      <c r="S26" s="2788"/>
      <c r="T26" s="2039"/>
      <c r="U26" s="4870" t="str">
        <f>IF(SUM(Y13:Y25)&gt;Y11,"Exceso de Elán utilizado","")</f>
        <v/>
      </c>
      <c r="V26" s="4871"/>
      <c r="W26" s="4871"/>
      <c r="X26" s="4871"/>
      <c r="Y26" s="4872"/>
      <c r="Z26" s="67"/>
      <c r="AA26" s="4873" t="str">
        <f>IF(U$11="","",INDEX(Tabla_ModElan,MATCH(U$11,INDEX(Tabla_ModElan,,1),0)+Tablas!$A7,3))</f>
        <v/>
      </c>
      <c r="AB26" s="4874"/>
      <c r="AC26" s="4874"/>
      <c r="AD26" s="4874"/>
      <c r="AE26" s="4874"/>
      <c r="AF26" s="2484" t="str">
        <f t="shared" si="5"/>
        <v/>
      </c>
      <c r="AG26" s="4876"/>
      <c r="AH26" s="4877"/>
      <c r="AI26" s="4878"/>
      <c r="AJ26" s="1698"/>
      <c r="AK26" s="173"/>
      <c r="AQ26" s="2291"/>
      <c r="AR26" s="43"/>
      <c r="AS26" s="157"/>
      <c r="AT26" s="157"/>
      <c r="AU26" s="157"/>
      <c r="AV26" s="157"/>
    </row>
    <row r="27" spans="1:56" ht="12" customHeight="1" thickBot="1" x14ac:dyDescent="0.25">
      <c r="A27" s="173"/>
      <c r="B27" s="1691"/>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2789"/>
      <c r="AK27" s="173"/>
      <c r="AQ27" s="2291"/>
      <c r="AR27" s="43"/>
      <c r="AS27" s="43"/>
      <c r="AT27" s="43"/>
    </row>
    <row r="28" spans="1:56" ht="12" customHeight="1" x14ac:dyDescent="0.2">
      <c r="A28" s="173"/>
      <c r="B28" s="1691"/>
      <c r="C28" s="3383" t="s">
        <v>8417</v>
      </c>
      <c r="D28" s="3384"/>
      <c r="E28" s="3384"/>
      <c r="F28" s="3384"/>
      <c r="G28" s="4879" t="s">
        <v>1861</v>
      </c>
      <c r="H28" s="4880"/>
      <c r="I28" s="4880"/>
      <c r="J28" s="4880"/>
      <c r="K28" s="4880"/>
      <c r="L28" s="4880"/>
      <c r="M28" s="4880"/>
      <c r="N28" s="4880"/>
      <c r="O28" s="4880"/>
      <c r="P28" s="4880"/>
      <c r="Q28" s="4880"/>
      <c r="R28" s="4880"/>
      <c r="S28" s="4880"/>
      <c r="T28" s="4880"/>
      <c r="U28" s="4880"/>
      <c r="V28" s="4880"/>
      <c r="W28" s="4880"/>
      <c r="X28" s="4880"/>
      <c r="Y28" s="4880"/>
      <c r="Z28" s="4880"/>
      <c r="AA28" s="4880"/>
      <c r="AB28" s="4880"/>
      <c r="AC28" s="4880"/>
      <c r="AD28" s="4880"/>
      <c r="AE28" s="4880"/>
      <c r="AF28" s="4880"/>
      <c r="AG28" s="4880"/>
      <c r="AH28" s="4880"/>
      <c r="AI28" s="4881"/>
      <c r="AJ28" s="2789"/>
      <c r="AK28" s="173"/>
      <c r="AQ28" s="43"/>
      <c r="AR28" s="43"/>
      <c r="AS28" s="43"/>
      <c r="AT28" s="43"/>
    </row>
    <row r="29" spans="1:56" ht="12" customHeight="1" x14ac:dyDescent="0.2">
      <c r="A29" s="173"/>
      <c r="B29" s="1691"/>
      <c r="C29" s="2035"/>
      <c r="D29" s="2036"/>
      <c r="E29" s="2036"/>
      <c r="F29" s="1917" t="str">
        <f>IF(ISNA(MATCH(Tablas!$A1,INDEX(Tabla_Elan,,14),0)),"",INDEX(INDEX(Tabla_Elan,,1),MATCH(Tablas!$A1,INDEX(Tabla_Elan,,14),0)))</f>
        <v/>
      </c>
      <c r="G29" s="4875" t="str">
        <f t="shared" ref="G29:G49" si="6">IF(F29="","",VLOOKUP(F29,Tabla_Elan,8,FALSE))</f>
        <v/>
      </c>
      <c r="H29" s="3398"/>
      <c r="I29" s="3398"/>
      <c r="J29" s="3398"/>
      <c r="K29" s="3398"/>
      <c r="L29" s="3398"/>
      <c r="M29" s="3398"/>
      <c r="N29" s="3398"/>
      <c r="O29" s="3398"/>
      <c r="P29" s="3398"/>
      <c r="Q29" s="3398"/>
      <c r="R29" s="3398"/>
      <c r="S29" s="3398"/>
      <c r="T29" s="3398"/>
      <c r="U29" s="3398"/>
      <c r="V29" s="3398"/>
      <c r="W29" s="3398"/>
      <c r="X29" s="3398"/>
      <c r="Y29" s="3398"/>
      <c r="Z29" s="3398"/>
      <c r="AA29" s="3398"/>
      <c r="AB29" s="3398"/>
      <c r="AC29" s="3398"/>
      <c r="AD29" s="3398"/>
      <c r="AE29" s="3398"/>
      <c r="AF29" s="3398"/>
      <c r="AG29" s="3398"/>
      <c r="AH29" s="3398"/>
      <c r="AI29" s="4191"/>
      <c r="AJ29" s="2789"/>
      <c r="AK29" s="173"/>
      <c r="AQ29" s="43"/>
      <c r="AR29" s="43"/>
      <c r="AS29" s="43"/>
      <c r="AT29" s="43"/>
      <c r="BB29" s="43"/>
      <c r="BC29" s="43"/>
      <c r="BD29" s="43"/>
    </row>
    <row r="30" spans="1:56" ht="12" customHeight="1" x14ac:dyDescent="0.2">
      <c r="A30" s="173"/>
      <c r="B30" s="1691"/>
      <c r="C30" s="1919"/>
      <c r="D30" s="325"/>
      <c r="E30" s="325"/>
      <c r="F30" s="1918" t="str">
        <f>IF(ISNA(MATCH(Tablas!$A2,INDEX(Tabla_Elan,,14),0)),"",INDEX(INDEX(Tabla_Elan,,1),MATCH(Tablas!$A2,INDEX(Tabla_Elan,,14),0)))</f>
        <v/>
      </c>
      <c r="G30" s="4875" t="str">
        <f t="shared" si="6"/>
        <v/>
      </c>
      <c r="H30" s="3398"/>
      <c r="I30" s="3398"/>
      <c r="J30" s="3398"/>
      <c r="K30" s="3398"/>
      <c r="L30" s="3398"/>
      <c r="M30" s="3398"/>
      <c r="N30" s="3398"/>
      <c r="O30" s="3398"/>
      <c r="P30" s="3398"/>
      <c r="Q30" s="3398"/>
      <c r="R30" s="3398"/>
      <c r="S30" s="3398"/>
      <c r="T30" s="3398"/>
      <c r="U30" s="3398"/>
      <c r="V30" s="3398"/>
      <c r="W30" s="3398"/>
      <c r="X30" s="3398"/>
      <c r="Y30" s="3398"/>
      <c r="Z30" s="3398"/>
      <c r="AA30" s="3398"/>
      <c r="AB30" s="3398"/>
      <c r="AC30" s="3398"/>
      <c r="AD30" s="3398"/>
      <c r="AE30" s="3398"/>
      <c r="AF30" s="3398"/>
      <c r="AG30" s="3398"/>
      <c r="AH30" s="3398"/>
      <c r="AI30" s="4191"/>
      <c r="AJ30" s="2789"/>
      <c r="AK30" s="173"/>
      <c r="BC30" s="43"/>
      <c r="BD30" s="43"/>
    </row>
    <row r="31" spans="1:56" ht="12" customHeight="1" x14ac:dyDescent="0.2">
      <c r="A31" s="173"/>
      <c r="B31" s="1691"/>
      <c r="C31" s="1919"/>
      <c r="D31" s="325"/>
      <c r="E31" s="325"/>
      <c r="F31" s="1918" t="str">
        <f>IF(ISNA(MATCH(Tablas!$A3,INDEX(Tabla_Elan,,14),0)),"",INDEX(INDEX(Tabla_Elan,,1),MATCH(Tablas!$A3,INDEX(Tabla_Elan,,14),0)))</f>
        <v/>
      </c>
      <c r="G31" s="4875" t="str">
        <f t="shared" si="6"/>
        <v/>
      </c>
      <c r="H31" s="3398"/>
      <c r="I31" s="3398"/>
      <c r="J31" s="3398"/>
      <c r="K31" s="3398"/>
      <c r="L31" s="3398"/>
      <c r="M31" s="3398"/>
      <c r="N31" s="3398"/>
      <c r="O31" s="3398"/>
      <c r="P31" s="3398"/>
      <c r="Q31" s="3398"/>
      <c r="R31" s="3398"/>
      <c r="S31" s="3398"/>
      <c r="T31" s="3398"/>
      <c r="U31" s="3398"/>
      <c r="V31" s="3398"/>
      <c r="W31" s="3398"/>
      <c r="X31" s="3398"/>
      <c r="Y31" s="3398"/>
      <c r="Z31" s="3398"/>
      <c r="AA31" s="3398"/>
      <c r="AB31" s="3398"/>
      <c r="AC31" s="3398"/>
      <c r="AD31" s="3398"/>
      <c r="AE31" s="3398"/>
      <c r="AF31" s="3398"/>
      <c r="AG31" s="3398"/>
      <c r="AH31" s="3398"/>
      <c r="AI31" s="4191"/>
      <c r="AJ31" s="1698"/>
      <c r="AK31" s="173"/>
      <c r="BC31" s="43"/>
      <c r="BD31" s="43"/>
    </row>
    <row r="32" spans="1:56" ht="12" customHeight="1" x14ac:dyDescent="0.2">
      <c r="A32" s="173"/>
      <c r="B32" s="1691"/>
      <c r="C32" s="1919"/>
      <c r="D32" s="325"/>
      <c r="E32" s="325"/>
      <c r="F32" s="1918" t="str">
        <f>IF(ISNA(MATCH(Tablas!$A4,INDEX(Tabla_Elan,,14),0)),"",INDEX(INDEX(Tabla_Elan,,1),MATCH(Tablas!$A4,INDEX(Tabla_Elan,,14),0)))</f>
        <v/>
      </c>
      <c r="G32" s="4875" t="str">
        <f t="shared" si="6"/>
        <v/>
      </c>
      <c r="H32" s="3398"/>
      <c r="I32" s="3398"/>
      <c r="J32" s="3398"/>
      <c r="K32" s="3398"/>
      <c r="L32" s="3398"/>
      <c r="M32" s="3398"/>
      <c r="N32" s="3398"/>
      <c r="O32" s="3398"/>
      <c r="P32" s="3398"/>
      <c r="Q32" s="3398"/>
      <c r="R32" s="3398"/>
      <c r="S32" s="3398"/>
      <c r="T32" s="3398"/>
      <c r="U32" s="3398"/>
      <c r="V32" s="3398"/>
      <c r="W32" s="3398"/>
      <c r="X32" s="3398"/>
      <c r="Y32" s="3398"/>
      <c r="Z32" s="3398"/>
      <c r="AA32" s="3398"/>
      <c r="AB32" s="3398"/>
      <c r="AC32" s="3398"/>
      <c r="AD32" s="3398"/>
      <c r="AE32" s="3398"/>
      <c r="AF32" s="3398"/>
      <c r="AG32" s="3398"/>
      <c r="AH32" s="3398"/>
      <c r="AI32" s="4191"/>
      <c r="AJ32" s="1698"/>
      <c r="AK32" s="173"/>
      <c r="BC32" s="43"/>
      <c r="BD32" s="43"/>
    </row>
    <row r="33" spans="1:56" ht="12" customHeight="1" x14ac:dyDescent="0.2">
      <c r="A33" s="173"/>
      <c r="B33" s="1691"/>
      <c r="C33" s="1919"/>
      <c r="D33" s="325"/>
      <c r="E33" s="325"/>
      <c r="F33" s="1918" t="str">
        <f>IF(ISNA(MATCH(Tablas!$A5,INDEX(Tabla_Elan,,14),0)),"",INDEX(INDEX(Tabla_Elan,,1),MATCH(Tablas!$A5,INDEX(Tabla_Elan,,14),0)))</f>
        <v/>
      </c>
      <c r="G33" s="4875" t="str">
        <f t="shared" si="6"/>
        <v/>
      </c>
      <c r="H33" s="3398"/>
      <c r="I33" s="3398"/>
      <c r="J33" s="3398"/>
      <c r="K33" s="3398"/>
      <c r="L33" s="3398"/>
      <c r="M33" s="3398"/>
      <c r="N33" s="3398"/>
      <c r="O33" s="3398"/>
      <c r="P33" s="3398"/>
      <c r="Q33" s="3398"/>
      <c r="R33" s="3398"/>
      <c r="S33" s="3398"/>
      <c r="T33" s="3398"/>
      <c r="U33" s="3398"/>
      <c r="V33" s="3398"/>
      <c r="W33" s="3398"/>
      <c r="X33" s="3398"/>
      <c r="Y33" s="3398"/>
      <c r="Z33" s="3398"/>
      <c r="AA33" s="3398"/>
      <c r="AB33" s="3398"/>
      <c r="AC33" s="3398"/>
      <c r="AD33" s="3398"/>
      <c r="AE33" s="3398"/>
      <c r="AF33" s="3398"/>
      <c r="AG33" s="3398"/>
      <c r="AH33" s="3398"/>
      <c r="AI33" s="4191"/>
      <c r="AJ33" s="1698"/>
      <c r="AK33" s="173"/>
      <c r="BC33" s="43"/>
      <c r="BD33" s="43"/>
    </row>
    <row r="34" spans="1:56" ht="12" customHeight="1" x14ac:dyDescent="0.2">
      <c r="A34" s="173"/>
      <c r="B34" s="1691"/>
      <c r="C34" s="1919"/>
      <c r="D34" s="325"/>
      <c r="E34" s="325"/>
      <c r="F34" s="1918" t="str">
        <f>IF(ISNA(MATCH(Tablas!$A6,INDEX(Tabla_Elan,,14),0)),"",INDEX(INDEX(Tabla_Elan,,1),MATCH(Tablas!$A6,INDEX(Tabla_Elan,,14),0)))</f>
        <v/>
      </c>
      <c r="G34" s="4875" t="str">
        <f t="shared" si="6"/>
        <v/>
      </c>
      <c r="H34" s="3398"/>
      <c r="I34" s="3398"/>
      <c r="J34" s="3398"/>
      <c r="K34" s="3398"/>
      <c r="L34" s="3398"/>
      <c r="M34" s="3398"/>
      <c r="N34" s="3398"/>
      <c r="O34" s="3398"/>
      <c r="P34" s="3398"/>
      <c r="Q34" s="3398"/>
      <c r="R34" s="3398"/>
      <c r="S34" s="3398"/>
      <c r="T34" s="3398"/>
      <c r="U34" s="3398"/>
      <c r="V34" s="3398"/>
      <c r="W34" s="3398"/>
      <c r="X34" s="3398"/>
      <c r="Y34" s="3398"/>
      <c r="Z34" s="3398"/>
      <c r="AA34" s="3398"/>
      <c r="AB34" s="3398"/>
      <c r="AC34" s="3398"/>
      <c r="AD34" s="3398"/>
      <c r="AE34" s="3398"/>
      <c r="AF34" s="3398"/>
      <c r="AG34" s="3398"/>
      <c r="AH34" s="3398"/>
      <c r="AI34" s="4191"/>
      <c r="AJ34" s="1698"/>
      <c r="AK34" s="173"/>
      <c r="BC34" s="43"/>
      <c r="BD34" s="43"/>
    </row>
    <row r="35" spans="1:56" ht="12" customHeight="1" x14ac:dyDescent="0.2">
      <c r="A35" s="173"/>
      <c r="B35" s="1691"/>
      <c r="C35" s="1919"/>
      <c r="D35" s="325"/>
      <c r="E35" s="325"/>
      <c r="F35" s="1918" t="str">
        <f>IF(ISNA(MATCH(Tablas!$A7,INDEX(Tabla_Elan,,14),0)),"",INDEX(INDEX(Tabla_Elan,,1),MATCH(Tablas!$A7,INDEX(Tabla_Elan,,14),0)))</f>
        <v/>
      </c>
      <c r="G35" s="4875" t="str">
        <f t="shared" si="6"/>
        <v/>
      </c>
      <c r="H35" s="3398"/>
      <c r="I35" s="3398"/>
      <c r="J35" s="3398"/>
      <c r="K35" s="3398"/>
      <c r="L35" s="3398"/>
      <c r="M35" s="3398"/>
      <c r="N35" s="3398"/>
      <c r="O35" s="3398"/>
      <c r="P35" s="3398"/>
      <c r="Q35" s="3398"/>
      <c r="R35" s="3398"/>
      <c r="S35" s="3398"/>
      <c r="T35" s="3398"/>
      <c r="U35" s="3398"/>
      <c r="V35" s="3398"/>
      <c r="W35" s="3398"/>
      <c r="X35" s="3398"/>
      <c r="Y35" s="3398"/>
      <c r="Z35" s="3398"/>
      <c r="AA35" s="3398"/>
      <c r="AB35" s="3398"/>
      <c r="AC35" s="3398"/>
      <c r="AD35" s="3398"/>
      <c r="AE35" s="3398"/>
      <c r="AF35" s="3398"/>
      <c r="AG35" s="3398"/>
      <c r="AH35" s="3398"/>
      <c r="AI35" s="4191"/>
      <c r="AJ35" s="1698"/>
      <c r="AK35" s="173"/>
      <c r="BC35" s="43"/>
      <c r="BD35" s="43"/>
    </row>
    <row r="36" spans="1:56" ht="12" customHeight="1" x14ac:dyDescent="0.2">
      <c r="A36" s="173"/>
      <c r="B36" s="1691"/>
      <c r="C36" s="1919"/>
      <c r="D36" s="325"/>
      <c r="E36" s="325"/>
      <c r="F36" s="1918" t="str">
        <f>IF(ISNA(MATCH(Tablas!$A8,INDEX(Tabla_Elan,,14),0)),"",INDEX(INDEX(Tabla_Elan,,1),MATCH(Tablas!$A8,INDEX(Tabla_Elan,,14),0)))</f>
        <v/>
      </c>
      <c r="G36" s="4875" t="str">
        <f t="shared" si="6"/>
        <v/>
      </c>
      <c r="H36" s="3398"/>
      <c r="I36" s="3398"/>
      <c r="J36" s="3398"/>
      <c r="K36" s="3398"/>
      <c r="L36" s="3398"/>
      <c r="M36" s="3398"/>
      <c r="N36" s="3398"/>
      <c r="O36" s="3398"/>
      <c r="P36" s="3398"/>
      <c r="Q36" s="3398"/>
      <c r="R36" s="3398"/>
      <c r="S36" s="3398"/>
      <c r="T36" s="3398"/>
      <c r="U36" s="3398"/>
      <c r="V36" s="3398"/>
      <c r="W36" s="3398"/>
      <c r="X36" s="3398"/>
      <c r="Y36" s="3398"/>
      <c r="Z36" s="3398"/>
      <c r="AA36" s="3398"/>
      <c r="AB36" s="3398"/>
      <c r="AC36" s="3398"/>
      <c r="AD36" s="3398"/>
      <c r="AE36" s="3398"/>
      <c r="AF36" s="3398"/>
      <c r="AG36" s="3398"/>
      <c r="AH36" s="3398"/>
      <c r="AI36" s="4191"/>
      <c r="AJ36" s="1698"/>
      <c r="AK36" s="173"/>
      <c r="BC36" s="43"/>
      <c r="BD36" s="43"/>
    </row>
    <row r="37" spans="1:56" ht="12" customHeight="1" x14ac:dyDescent="0.2">
      <c r="A37" s="173"/>
      <c r="B37" s="1691"/>
      <c r="C37" s="1919"/>
      <c r="D37" s="325"/>
      <c r="E37" s="325"/>
      <c r="F37" s="1918" t="str">
        <f>IF(ISNA(MATCH(Tablas!$A9,INDEX(Tabla_Elan,,14),0)),"",INDEX(INDEX(Tabla_Elan,,1),MATCH(Tablas!$A9,INDEX(Tabla_Elan,,14),0)))</f>
        <v/>
      </c>
      <c r="G37" s="4875" t="str">
        <f t="shared" si="6"/>
        <v/>
      </c>
      <c r="H37" s="3398"/>
      <c r="I37" s="3398"/>
      <c r="J37" s="3398"/>
      <c r="K37" s="3398"/>
      <c r="L37" s="3398"/>
      <c r="M37" s="3398"/>
      <c r="N37" s="3398"/>
      <c r="O37" s="3398"/>
      <c r="P37" s="3398"/>
      <c r="Q37" s="3398"/>
      <c r="R37" s="3398"/>
      <c r="S37" s="3398"/>
      <c r="T37" s="3398"/>
      <c r="U37" s="3398"/>
      <c r="V37" s="3398"/>
      <c r="W37" s="3398"/>
      <c r="X37" s="3398"/>
      <c r="Y37" s="3398"/>
      <c r="Z37" s="3398"/>
      <c r="AA37" s="3398"/>
      <c r="AB37" s="3398"/>
      <c r="AC37" s="3398"/>
      <c r="AD37" s="3398"/>
      <c r="AE37" s="3398"/>
      <c r="AF37" s="3398"/>
      <c r="AG37" s="3398"/>
      <c r="AH37" s="3398"/>
      <c r="AI37" s="4191"/>
      <c r="AJ37" s="1698"/>
      <c r="AK37" s="173"/>
      <c r="BC37" s="43"/>
      <c r="BD37" s="43"/>
    </row>
    <row r="38" spans="1:56" ht="12" customHeight="1" x14ac:dyDescent="0.2">
      <c r="A38" s="173"/>
      <c r="B38" s="1691"/>
      <c r="C38" s="1919"/>
      <c r="D38" s="325"/>
      <c r="E38" s="325"/>
      <c r="F38" s="1918" t="str">
        <f>IF(ISNA(MATCH(Tablas!$A10,INDEX(Tabla_Elan,,14),0)),"",INDEX(INDEX(Tabla_Elan,,1),MATCH(Tablas!$A10,INDEX(Tabla_Elan,,14),0)))</f>
        <v/>
      </c>
      <c r="G38" s="4875" t="str">
        <f t="shared" si="6"/>
        <v/>
      </c>
      <c r="H38" s="3398"/>
      <c r="I38" s="3398"/>
      <c r="J38" s="3398"/>
      <c r="K38" s="3398"/>
      <c r="L38" s="3398"/>
      <c r="M38" s="3398"/>
      <c r="N38" s="3398"/>
      <c r="O38" s="3398"/>
      <c r="P38" s="3398"/>
      <c r="Q38" s="3398"/>
      <c r="R38" s="3398"/>
      <c r="S38" s="3398"/>
      <c r="T38" s="3398"/>
      <c r="U38" s="3398"/>
      <c r="V38" s="3398"/>
      <c r="W38" s="3398"/>
      <c r="X38" s="3398"/>
      <c r="Y38" s="3398"/>
      <c r="Z38" s="3398"/>
      <c r="AA38" s="3398"/>
      <c r="AB38" s="3398"/>
      <c r="AC38" s="3398"/>
      <c r="AD38" s="3398"/>
      <c r="AE38" s="3398"/>
      <c r="AF38" s="3398"/>
      <c r="AG38" s="3398"/>
      <c r="AH38" s="3398"/>
      <c r="AI38" s="4191"/>
      <c r="AJ38" s="1698"/>
      <c r="AK38" s="173"/>
      <c r="BC38" s="43"/>
      <c r="BD38" s="43"/>
    </row>
    <row r="39" spans="1:56" ht="12" customHeight="1" x14ac:dyDescent="0.2">
      <c r="A39" s="173"/>
      <c r="B39" s="1691"/>
      <c r="C39" s="1919"/>
      <c r="D39" s="325"/>
      <c r="E39" s="325"/>
      <c r="F39" s="1918" t="str">
        <f>IF(ISNA(MATCH(Tablas!$A11,INDEX(Tabla_Elan,,14),0)),"",INDEX(INDEX(Tabla_Elan,,1),MATCH(Tablas!$A11,INDEX(Tabla_Elan,,14),0)))</f>
        <v/>
      </c>
      <c r="G39" s="4875" t="str">
        <f t="shared" si="6"/>
        <v/>
      </c>
      <c r="H39" s="3398"/>
      <c r="I39" s="3398"/>
      <c r="J39" s="3398"/>
      <c r="K39" s="3398"/>
      <c r="L39" s="3398"/>
      <c r="M39" s="3398"/>
      <c r="N39" s="3398"/>
      <c r="O39" s="3398"/>
      <c r="P39" s="3398"/>
      <c r="Q39" s="3398"/>
      <c r="R39" s="3398"/>
      <c r="S39" s="3398"/>
      <c r="T39" s="3398"/>
      <c r="U39" s="3398"/>
      <c r="V39" s="3398"/>
      <c r="W39" s="3398"/>
      <c r="X39" s="3398"/>
      <c r="Y39" s="3398"/>
      <c r="Z39" s="3398"/>
      <c r="AA39" s="3398"/>
      <c r="AB39" s="3398"/>
      <c r="AC39" s="3398"/>
      <c r="AD39" s="3398"/>
      <c r="AE39" s="3398"/>
      <c r="AF39" s="3398"/>
      <c r="AG39" s="3398"/>
      <c r="AH39" s="3398"/>
      <c r="AI39" s="4191"/>
      <c r="AJ39" s="1698"/>
      <c r="AK39" s="173"/>
    </row>
    <row r="40" spans="1:56" ht="12" customHeight="1" x14ac:dyDescent="0.2">
      <c r="A40" s="173"/>
      <c r="B40" s="1691"/>
      <c r="C40" s="1919"/>
      <c r="D40" s="325"/>
      <c r="E40" s="325"/>
      <c r="F40" s="1918" t="str">
        <f>IF(ISNA(MATCH(Tablas!$A12,INDEX(Tabla_Elan,,14),0)),"",INDEX(INDEX(Tabla_Elan,,1),MATCH(Tablas!$A12,INDEX(Tabla_Elan,,14),0)))</f>
        <v/>
      </c>
      <c r="G40" s="4875" t="str">
        <f t="shared" si="6"/>
        <v/>
      </c>
      <c r="H40" s="3398"/>
      <c r="I40" s="3398"/>
      <c r="J40" s="3398"/>
      <c r="K40" s="3398"/>
      <c r="L40" s="3398"/>
      <c r="M40" s="3398"/>
      <c r="N40" s="3398"/>
      <c r="O40" s="3398"/>
      <c r="P40" s="3398"/>
      <c r="Q40" s="3398"/>
      <c r="R40" s="3398"/>
      <c r="S40" s="3398"/>
      <c r="T40" s="3398"/>
      <c r="U40" s="3398"/>
      <c r="V40" s="3398"/>
      <c r="W40" s="3398"/>
      <c r="X40" s="3398"/>
      <c r="Y40" s="3398"/>
      <c r="Z40" s="3398"/>
      <c r="AA40" s="3398"/>
      <c r="AB40" s="3398"/>
      <c r="AC40" s="3398"/>
      <c r="AD40" s="3398"/>
      <c r="AE40" s="3398"/>
      <c r="AF40" s="3398"/>
      <c r="AG40" s="3398"/>
      <c r="AH40" s="3398"/>
      <c r="AI40" s="4191"/>
      <c r="AJ40" s="1698"/>
      <c r="AK40" s="173"/>
    </row>
    <row r="41" spans="1:56" ht="12" customHeight="1" x14ac:dyDescent="0.2">
      <c r="A41" s="173"/>
      <c r="B41" s="1691"/>
      <c r="C41" s="1919"/>
      <c r="D41" s="325"/>
      <c r="E41" s="325"/>
      <c r="F41" s="1918" t="str">
        <f>IF(ISNA(MATCH(Tablas!$A13,INDEX(Tabla_Elan,,14),0)),"",INDEX(INDEX(Tabla_Elan,,1),MATCH(Tablas!$A13,INDEX(Tabla_Elan,,14),0)))</f>
        <v/>
      </c>
      <c r="G41" s="4875" t="str">
        <f t="shared" si="6"/>
        <v/>
      </c>
      <c r="H41" s="3398"/>
      <c r="I41" s="3398"/>
      <c r="J41" s="3398"/>
      <c r="K41" s="3398"/>
      <c r="L41" s="3398"/>
      <c r="M41" s="3398"/>
      <c r="N41" s="3398"/>
      <c r="O41" s="3398"/>
      <c r="P41" s="3398"/>
      <c r="Q41" s="3398"/>
      <c r="R41" s="3398"/>
      <c r="S41" s="3398"/>
      <c r="T41" s="3398"/>
      <c r="U41" s="3398"/>
      <c r="V41" s="3398"/>
      <c r="W41" s="3398"/>
      <c r="X41" s="3398"/>
      <c r="Y41" s="3398"/>
      <c r="Z41" s="3398"/>
      <c r="AA41" s="3398"/>
      <c r="AB41" s="3398"/>
      <c r="AC41" s="3398"/>
      <c r="AD41" s="3398"/>
      <c r="AE41" s="3398"/>
      <c r="AF41" s="3398"/>
      <c r="AG41" s="3398"/>
      <c r="AH41" s="3398"/>
      <c r="AI41" s="4191"/>
      <c r="AJ41" s="1698"/>
      <c r="AK41" s="173"/>
    </row>
    <row r="42" spans="1:56" ht="12" customHeight="1" x14ac:dyDescent="0.2">
      <c r="A42" s="173"/>
      <c r="B42" s="1691"/>
      <c r="C42" s="1919"/>
      <c r="D42" s="325"/>
      <c r="E42" s="325"/>
      <c r="F42" s="1918" t="str">
        <f>IF(ISNA(MATCH(Tablas!$A14,INDEX(Tabla_Elan,,14),0)),"",INDEX(INDEX(Tabla_Elan,,1),MATCH(Tablas!$A14,INDEX(Tabla_Elan,,14),0)))</f>
        <v/>
      </c>
      <c r="G42" s="4875" t="str">
        <f t="shared" si="6"/>
        <v/>
      </c>
      <c r="H42" s="3398"/>
      <c r="I42" s="3398"/>
      <c r="J42" s="3398"/>
      <c r="K42" s="3398"/>
      <c r="L42" s="3398"/>
      <c r="M42" s="3398"/>
      <c r="N42" s="3398"/>
      <c r="O42" s="3398"/>
      <c r="P42" s="3398"/>
      <c r="Q42" s="3398"/>
      <c r="R42" s="3398"/>
      <c r="S42" s="3398"/>
      <c r="T42" s="3398"/>
      <c r="U42" s="3398"/>
      <c r="V42" s="3398"/>
      <c r="W42" s="3398"/>
      <c r="X42" s="3398"/>
      <c r="Y42" s="3398"/>
      <c r="Z42" s="3398"/>
      <c r="AA42" s="3398"/>
      <c r="AB42" s="3398"/>
      <c r="AC42" s="3398"/>
      <c r="AD42" s="3398"/>
      <c r="AE42" s="3398"/>
      <c r="AF42" s="3398"/>
      <c r="AG42" s="3398"/>
      <c r="AH42" s="3398"/>
      <c r="AI42" s="4191"/>
      <c r="AJ42" s="1698"/>
      <c r="AK42" s="173"/>
    </row>
    <row r="43" spans="1:56" ht="12" customHeight="1" x14ac:dyDescent="0.2">
      <c r="A43" s="173"/>
      <c r="B43" s="1691"/>
      <c r="C43" s="1919"/>
      <c r="D43" s="325"/>
      <c r="E43" s="325"/>
      <c r="F43" s="1918" t="str">
        <f>IF(ISNA(MATCH(Tablas!$A15,INDEX(Tabla_Elan,,14),0)),"",INDEX(INDEX(Tabla_Elan,,1),MATCH(Tablas!$A15,INDEX(Tabla_Elan,,14),0)))</f>
        <v/>
      </c>
      <c r="G43" s="4875" t="str">
        <f t="shared" si="6"/>
        <v/>
      </c>
      <c r="H43" s="3398"/>
      <c r="I43" s="3398"/>
      <c r="J43" s="3398"/>
      <c r="K43" s="3398"/>
      <c r="L43" s="3398"/>
      <c r="M43" s="3398"/>
      <c r="N43" s="3398"/>
      <c r="O43" s="3398"/>
      <c r="P43" s="3398"/>
      <c r="Q43" s="3398"/>
      <c r="R43" s="3398"/>
      <c r="S43" s="3398"/>
      <c r="T43" s="3398"/>
      <c r="U43" s="3398"/>
      <c r="V43" s="3398"/>
      <c r="W43" s="3398"/>
      <c r="X43" s="3398"/>
      <c r="Y43" s="3398"/>
      <c r="Z43" s="3398"/>
      <c r="AA43" s="3398"/>
      <c r="AB43" s="3398"/>
      <c r="AC43" s="3398"/>
      <c r="AD43" s="3398"/>
      <c r="AE43" s="3398"/>
      <c r="AF43" s="3398"/>
      <c r="AG43" s="3398"/>
      <c r="AH43" s="3398"/>
      <c r="AI43" s="4191"/>
      <c r="AJ43" s="1698"/>
      <c r="AK43" s="173"/>
    </row>
    <row r="44" spans="1:56" ht="12" customHeight="1" x14ac:dyDescent="0.2">
      <c r="A44" s="173"/>
      <c r="B44" s="1691"/>
      <c r="C44" s="1919"/>
      <c r="D44" s="325"/>
      <c r="E44" s="325"/>
      <c r="F44" s="1918" t="str">
        <f>IF(ISNA(MATCH(Tablas!$A16,INDEX(Tabla_Elan,,14),0)),"",INDEX(INDEX(Tabla_Elan,,1),MATCH(Tablas!$A16,INDEX(Tabla_Elan,,14),0)))</f>
        <v/>
      </c>
      <c r="G44" s="4875" t="str">
        <f t="shared" si="6"/>
        <v/>
      </c>
      <c r="H44" s="3398"/>
      <c r="I44" s="3398"/>
      <c r="J44" s="3398"/>
      <c r="K44" s="3398"/>
      <c r="L44" s="3398"/>
      <c r="M44" s="3398"/>
      <c r="N44" s="3398"/>
      <c r="O44" s="3398"/>
      <c r="P44" s="3398"/>
      <c r="Q44" s="3398"/>
      <c r="R44" s="3398"/>
      <c r="S44" s="3398"/>
      <c r="T44" s="3398"/>
      <c r="U44" s="3398"/>
      <c r="V44" s="3398"/>
      <c r="W44" s="3398"/>
      <c r="X44" s="3398"/>
      <c r="Y44" s="3398"/>
      <c r="Z44" s="3398"/>
      <c r="AA44" s="3398"/>
      <c r="AB44" s="3398"/>
      <c r="AC44" s="3398"/>
      <c r="AD44" s="3398"/>
      <c r="AE44" s="3398"/>
      <c r="AF44" s="3398"/>
      <c r="AG44" s="3398"/>
      <c r="AH44" s="3398"/>
      <c r="AI44" s="4191"/>
      <c r="AJ44" s="1698"/>
      <c r="AK44" s="173"/>
    </row>
    <row r="45" spans="1:56" ht="12" customHeight="1" x14ac:dyDescent="0.2">
      <c r="A45" s="173"/>
      <c r="B45" s="1691"/>
      <c r="C45" s="1919"/>
      <c r="D45" s="325"/>
      <c r="E45" s="325"/>
      <c r="F45" s="1918" t="str">
        <f>IF(ISNA(MATCH(Tablas!$A17,INDEX(Tabla_Elan,,14),0)),"",INDEX(INDEX(Tabla_Elan,,1),MATCH(Tablas!$A17,INDEX(Tabla_Elan,,14),0)))</f>
        <v/>
      </c>
      <c r="G45" s="2763" t="str">
        <f t="shared" si="6"/>
        <v/>
      </c>
      <c r="H45" s="2752"/>
      <c r="I45" s="2752"/>
      <c r="J45" s="2752"/>
      <c r="K45" s="2752"/>
      <c r="L45" s="2752"/>
      <c r="M45" s="2752"/>
      <c r="N45" s="2752"/>
      <c r="O45" s="2752"/>
      <c r="P45" s="2752"/>
      <c r="Q45" s="2752"/>
      <c r="R45" s="2752"/>
      <c r="S45" s="2752"/>
      <c r="T45" s="2752"/>
      <c r="U45" s="2752"/>
      <c r="V45" s="2752"/>
      <c r="W45" s="2752"/>
      <c r="X45" s="2752"/>
      <c r="Y45" s="2752"/>
      <c r="Z45" s="2752"/>
      <c r="AA45" s="2752"/>
      <c r="AB45" s="2752"/>
      <c r="AC45" s="2752"/>
      <c r="AD45" s="2752"/>
      <c r="AE45" s="2752"/>
      <c r="AF45" s="2752"/>
      <c r="AG45" s="2752"/>
      <c r="AH45" s="2752"/>
      <c r="AI45" s="2760"/>
      <c r="AJ45" s="1698"/>
      <c r="AK45" s="173"/>
    </row>
    <row r="46" spans="1:56" ht="12" customHeight="1" x14ac:dyDescent="0.2">
      <c r="A46" s="173"/>
      <c r="B46" s="1691"/>
      <c r="C46" s="1919"/>
      <c r="D46" s="325"/>
      <c r="E46" s="325"/>
      <c r="F46" s="1918" t="str">
        <f>IF(ISNA(MATCH(Tablas!$A18,INDEX(Tabla_Elan,,14),0)),"",INDEX(INDEX(Tabla_Elan,,1),MATCH(Tablas!$A18,INDEX(Tabla_Elan,,14),0)))</f>
        <v/>
      </c>
      <c r="G46" s="2763" t="str">
        <f t="shared" si="6"/>
        <v/>
      </c>
      <c r="H46" s="2752"/>
      <c r="I46" s="2752"/>
      <c r="J46" s="2752"/>
      <c r="K46" s="2752"/>
      <c r="L46" s="2752"/>
      <c r="M46" s="2752"/>
      <c r="N46" s="2752"/>
      <c r="O46" s="2752"/>
      <c r="P46" s="2752"/>
      <c r="Q46" s="2752"/>
      <c r="R46" s="2752"/>
      <c r="S46" s="2752"/>
      <c r="T46" s="2752"/>
      <c r="U46" s="2752"/>
      <c r="V46" s="2752"/>
      <c r="W46" s="2752"/>
      <c r="X46" s="2752"/>
      <c r="Y46" s="2752"/>
      <c r="Z46" s="2752"/>
      <c r="AA46" s="2752"/>
      <c r="AB46" s="2752"/>
      <c r="AC46" s="2752"/>
      <c r="AD46" s="2752"/>
      <c r="AE46" s="2752"/>
      <c r="AF46" s="2752"/>
      <c r="AG46" s="2752"/>
      <c r="AH46" s="2752"/>
      <c r="AI46" s="2760"/>
      <c r="AJ46" s="1698"/>
      <c r="AK46" s="173"/>
    </row>
    <row r="47" spans="1:56" ht="12" customHeight="1" x14ac:dyDescent="0.2">
      <c r="A47" s="173"/>
      <c r="B47" s="1691"/>
      <c r="C47" s="1919"/>
      <c r="D47" s="325"/>
      <c r="E47" s="325"/>
      <c r="F47" s="1918" t="str">
        <f>IF(ISNA(MATCH(Tablas!$A19,INDEX(Tabla_Elan,,14),0)),"",INDEX(INDEX(Tabla_Elan,,1),MATCH(Tablas!$A19,INDEX(Tabla_Elan,,14),0)))</f>
        <v/>
      </c>
      <c r="G47" s="2763" t="str">
        <f t="shared" si="6"/>
        <v/>
      </c>
      <c r="H47" s="2752"/>
      <c r="I47" s="2752"/>
      <c r="J47" s="2752"/>
      <c r="K47" s="2752"/>
      <c r="L47" s="2752"/>
      <c r="M47" s="2752"/>
      <c r="N47" s="2752"/>
      <c r="O47" s="2752"/>
      <c r="P47" s="2752"/>
      <c r="Q47" s="2752"/>
      <c r="R47" s="2752"/>
      <c r="S47" s="2752"/>
      <c r="T47" s="2752"/>
      <c r="U47" s="2752"/>
      <c r="V47" s="2752"/>
      <c r="W47" s="2752"/>
      <c r="X47" s="2752"/>
      <c r="Y47" s="2752"/>
      <c r="Z47" s="2752"/>
      <c r="AA47" s="2752"/>
      <c r="AB47" s="2752"/>
      <c r="AC47" s="2752"/>
      <c r="AD47" s="2752"/>
      <c r="AE47" s="2752"/>
      <c r="AF47" s="2752"/>
      <c r="AG47" s="2752"/>
      <c r="AH47" s="2752"/>
      <c r="AI47" s="2760"/>
      <c r="AJ47" s="1698"/>
      <c r="AK47" s="173"/>
    </row>
    <row r="48" spans="1:56" ht="12" customHeight="1" x14ac:dyDescent="0.2">
      <c r="A48" s="173"/>
      <c r="B48" s="1691"/>
      <c r="C48" s="1919"/>
      <c r="D48" s="325"/>
      <c r="E48" s="325"/>
      <c r="F48" s="1918" t="str">
        <f>IF(ISNA(MATCH(Tablas!$A20,INDEX(Tabla_Elan,,14),0)),"",INDEX(INDEX(Tabla_Elan,,1),MATCH(Tablas!$A20,INDEX(Tabla_Elan,,14),0)))</f>
        <v/>
      </c>
      <c r="G48" s="2763" t="str">
        <f t="shared" si="6"/>
        <v/>
      </c>
      <c r="H48" s="2752"/>
      <c r="I48" s="2752"/>
      <c r="J48" s="2752"/>
      <c r="K48" s="2752"/>
      <c r="L48" s="2752"/>
      <c r="M48" s="2752"/>
      <c r="N48" s="2752"/>
      <c r="O48" s="2752"/>
      <c r="P48" s="2752"/>
      <c r="Q48" s="2752"/>
      <c r="R48" s="2752"/>
      <c r="S48" s="2752"/>
      <c r="T48" s="2752"/>
      <c r="U48" s="2752"/>
      <c r="V48" s="2752"/>
      <c r="W48" s="2752"/>
      <c r="X48" s="2752"/>
      <c r="Y48" s="2752"/>
      <c r="Z48" s="2752"/>
      <c r="AA48" s="2752"/>
      <c r="AB48" s="2752"/>
      <c r="AC48" s="2752"/>
      <c r="AD48" s="2752"/>
      <c r="AE48" s="2752"/>
      <c r="AF48" s="2752"/>
      <c r="AG48" s="2752"/>
      <c r="AH48" s="2752"/>
      <c r="AI48" s="2760"/>
      <c r="AJ48" s="1698"/>
      <c r="AK48" s="173"/>
      <c r="AQ48" s="43"/>
      <c r="AR48" s="43"/>
      <c r="AS48" s="43"/>
    </row>
    <row r="49" spans="1:67" ht="12" customHeight="1" thickBot="1" x14ac:dyDescent="0.25">
      <c r="A49" s="173"/>
      <c r="B49" s="1691"/>
      <c r="C49" s="1920"/>
      <c r="D49" s="1921"/>
      <c r="E49" s="1921"/>
      <c r="F49" s="1922" t="str">
        <f>IF(ISNA(MATCH(Tablas!$A21,INDEX(Tabla_Elan,,14),0)),"",INDEX(INDEX(Tabla_Elan,,1),MATCH(Tablas!$A21,INDEX(Tabla_Elan,,14),0)))</f>
        <v/>
      </c>
      <c r="G49" s="2445" t="str">
        <f t="shared" si="6"/>
        <v/>
      </c>
      <c r="H49" s="2446"/>
      <c r="I49" s="2446"/>
      <c r="J49" s="2446"/>
      <c r="K49" s="2446"/>
      <c r="L49" s="2446"/>
      <c r="M49" s="2446"/>
      <c r="N49" s="2446"/>
      <c r="O49" s="2446"/>
      <c r="P49" s="2446"/>
      <c r="Q49" s="2446"/>
      <c r="R49" s="2446"/>
      <c r="S49" s="2446"/>
      <c r="T49" s="2446"/>
      <c r="U49" s="2446"/>
      <c r="V49" s="2446"/>
      <c r="W49" s="2446"/>
      <c r="X49" s="2446"/>
      <c r="Y49" s="2446"/>
      <c r="Z49" s="2446"/>
      <c r="AA49" s="2446"/>
      <c r="AB49" s="2446"/>
      <c r="AC49" s="2446"/>
      <c r="AD49" s="2446"/>
      <c r="AE49" s="2446"/>
      <c r="AF49" s="2446"/>
      <c r="AG49" s="2446"/>
      <c r="AH49" s="2446"/>
      <c r="AI49" s="2447"/>
      <c r="AJ49" s="1698"/>
      <c r="AK49" s="173"/>
      <c r="AQ49" s="43"/>
      <c r="AR49" s="43"/>
      <c r="AS49" s="43"/>
    </row>
    <row r="50" spans="1:67" ht="12" customHeight="1" thickBot="1" x14ac:dyDescent="0.25">
      <c r="A50" s="173"/>
      <c r="B50" s="1692"/>
      <c r="C50" s="2790"/>
      <c r="D50" s="2790"/>
      <c r="E50" s="2790"/>
      <c r="F50" s="2790"/>
      <c r="G50" s="2790"/>
      <c r="H50" s="2790"/>
      <c r="I50" s="2790"/>
      <c r="J50" s="2790"/>
      <c r="K50" s="2790"/>
      <c r="L50" s="2790"/>
      <c r="M50" s="2790"/>
      <c r="N50" s="2791"/>
      <c r="O50" s="2791"/>
      <c r="P50" s="2791"/>
      <c r="Q50" s="2791"/>
      <c r="R50" s="1693"/>
      <c r="S50" s="1693"/>
      <c r="T50" s="1693"/>
      <c r="U50" s="2790"/>
      <c r="V50" s="2790"/>
      <c r="W50" s="2790"/>
      <c r="X50" s="2790"/>
      <c r="Y50" s="2790"/>
      <c r="Z50" s="2790"/>
      <c r="AA50" s="2790"/>
      <c r="AB50" s="2790"/>
      <c r="AC50" s="2790"/>
      <c r="AD50" s="2790"/>
      <c r="AE50" s="2790"/>
      <c r="AF50" s="1693"/>
      <c r="AG50" s="1693"/>
      <c r="AH50" s="1693"/>
      <c r="AI50" s="1693"/>
      <c r="AJ50" s="1699"/>
      <c r="AK50" s="173"/>
      <c r="AL50" s="2312"/>
      <c r="AQ50" s="43"/>
      <c r="AR50" s="43"/>
      <c r="AS50" s="43"/>
    </row>
    <row r="51" spans="1:67" ht="12" customHeight="1" x14ac:dyDescent="0.2">
      <c r="A51" s="2785"/>
      <c r="B51" s="2785"/>
      <c r="C51" s="173"/>
      <c r="D51" s="173"/>
      <c r="E51" s="173"/>
      <c r="F51" s="173"/>
      <c r="G51" s="173"/>
      <c r="H51" s="2785"/>
      <c r="I51" s="2785"/>
      <c r="J51" s="2785"/>
      <c r="K51" s="2785"/>
      <c r="L51" s="2785"/>
      <c r="M51" s="2785"/>
      <c r="N51" s="2785"/>
      <c r="O51" s="2785"/>
      <c r="P51" s="2785"/>
      <c r="Q51" s="2785"/>
      <c r="R51" s="2785"/>
      <c r="S51" s="2785"/>
      <c r="T51" s="2785"/>
      <c r="U51" s="2785"/>
      <c r="V51" s="2785"/>
      <c r="W51" s="2785"/>
      <c r="X51" s="2785"/>
      <c r="Y51" s="2785"/>
      <c r="Z51" s="2785"/>
      <c r="AA51" s="2785"/>
      <c r="AB51" s="2785"/>
      <c r="AC51" s="2785"/>
      <c r="AD51" s="2785"/>
      <c r="AE51" s="2785"/>
      <c r="AF51" s="2785"/>
      <c r="AG51" s="2785"/>
      <c r="AH51" s="2785"/>
      <c r="AI51" s="2785"/>
      <c r="AJ51" s="2785"/>
      <c r="AK51" s="2785"/>
      <c r="AL51" s="2312"/>
      <c r="AQ51" s="43"/>
      <c r="AR51" s="43"/>
      <c r="AS51" s="43"/>
    </row>
    <row r="52" spans="1:67" ht="12" customHeight="1" x14ac:dyDescent="0.2">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57"/>
      <c r="AL52" s="2312"/>
      <c r="AQ52" s="43"/>
      <c r="AR52" s="43"/>
      <c r="AS52" s="43"/>
    </row>
    <row r="53" spans="1:67" ht="12" customHeight="1" x14ac:dyDescent="0.2">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57"/>
      <c r="AL53" s="2312"/>
      <c r="AQ53" s="43"/>
      <c r="AR53" s="43"/>
      <c r="AS53" s="43"/>
    </row>
    <row r="54" spans="1:67" ht="12" customHeight="1" x14ac:dyDescent="0.2">
      <c r="T54" s="157"/>
      <c r="U54" s="157"/>
      <c r="V54" s="157"/>
      <c r="W54" s="157"/>
      <c r="X54" s="157"/>
      <c r="Y54" s="157"/>
      <c r="Z54" s="157"/>
      <c r="AA54" s="157"/>
      <c r="AB54" s="157"/>
      <c r="AC54" s="157"/>
      <c r="AD54" s="157"/>
      <c r="AE54" s="157"/>
      <c r="AF54" s="157"/>
      <c r="AG54" s="157"/>
      <c r="AH54" s="157"/>
      <c r="AI54" s="157"/>
      <c r="AJ54" s="157"/>
      <c r="AL54" s="2312"/>
      <c r="AQ54" s="43"/>
      <c r="AR54" s="43"/>
      <c r="AS54" s="43"/>
    </row>
    <row r="55" spans="1:67" ht="12" customHeight="1" x14ac:dyDescent="0.2">
      <c r="T55" s="157"/>
      <c r="U55" s="157"/>
      <c r="V55" s="157"/>
      <c r="W55" s="157"/>
      <c r="X55" s="157"/>
      <c r="Y55" s="157"/>
      <c r="Z55" s="157"/>
      <c r="AA55" s="157"/>
      <c r="AB55" s="157"/>
      <c r="AC55" s="157"/>
      <c r="AD55" s="157"/>
      <c r="AE55" s="157"/>
      <c r="AF55" s="157"/>
      <c r="AG55" s="157"/>
      <c r="AH55" s="157"/>
      <c r="AI55" s="157"/>
      <c r="AJ55" s="157"/>
      <c r="AL55" s="2312"/>
      <c r="AQ55" s="43"/>
      <c r="AR55" s="43"/>
      <c r="AS55" s="43"/>
    </row>
    <row r="56" spans="1:67" ht="12" customHeight="1" x14ac:dyDescent="0.2">
      <c r="A56" s="2291"/>
      <c r="B56" s="2291"/>
      <c r="H56" s="2291"/>
      <c r="I56" s="2291"/>
      <c r="J56" s="2291"/>
      <c r="K56" s="2291"/>
      <c r="L56" s="2291"/>
      <c r="M56" s="2291"/>
      <c r="N56" s="2291"/>
      <c r="O56" s="2291"/>
      <c r="P56" s="2291"/>
      <c r="Q56" s="2291"/>
      <c r="T56" s="157"/>
      <c r="U56" s="157"/>
      <c r="V56" s="157"/>
      <c r="W56" s="157"/>
      <c r="X56" s="157"/>
      <c r="Y56" s="157"/>
      <c r="Z56" s="157"/>
      <c r="AA56" s="157"/>
      <c r="AB56" s="157"/>
      <c r="AC56" s="157"/>
      <c r="AD56" s="157"/>
      <c r="AE56" s="157"/>
      <c r="AF56" s="157"/>
      <c r="AG56" s="157"/>
      <c r="AH56" s="157"/>
      <c r="AI56" s="157"/>
      <c r="AJ56" s="157"/>
      <c r="AK56" s="2291"/>
      <c r="AL56" s="2312"/>
      <c r="AQ56" s="43"/>
      <c r="AR56" s="43"/>
      <c r="AS56" s="43"/>
    </row>
    <row r="57" spans="1:67" ht="12" customHeight="1" x14ac:dyDescent="0.2">
      <c r="H57" s="2291"/>
      <c r="I57" s="2291"/>
      <c r="J57" s="2291"/>
      <c r="K57" s="2291"/>
      <c r="L57" s="2291"/>
      <c r="M57" s="2291"/>
      <c r="N57" s="2291"/>
      <c r="O57" s="2291"/>
      <c r="P57" s="2291"/>
      <c r="Q57" s="2291"/>
      <c r="T57" s="157"/>
      <c r="U57" s="157"/>
      <c r="V57" s="157"/>
      <c r="W57" s="157"/>
      <c r="X57" s="157"/>
      <c r="Y57" s="157"/>
      <c r="Z57" s="157"/>
      <c r="AA57" s="157"/>
      <c r="AB57" s="157"/>
      <c r="AC57" s="157"/>
      <c r="AD57" s="157"/>
      <c r="AE57" s="157"/>
      <c r="AF57" s="157"/>
      <c r="AG57" s="157"/>
      <c r="AH57" s="157"/>
      <c r="AI57" s="157"/>
      <c r="AJ57" s="157"/>
      <c r="AL57" s="2312"/>
      <c r="AQ57" s="43"/>
      <c r="AR57" s="43"/>
      <c r="AS57" s="43"/>
    </row>
    <row r="58" spans="1:67" ht="12" customHeight="1" x14ac:dyDescent="0.2">
      <c r="H58" s="2291"/>
      <c r="I58" s="2291"/>
      <c r="J58" s="2291"/>
      <c r="K58" s="2291"/>
      <c r="L58" s="2291"/>
      <c r="M58" s="2291"/>
      <c r="N58" s="2291"/>
      <c r="O58" s="2291"/>
      <c r="P58" s="2291"/>
      <c r="Q58" s="2291"/>
      <c r="T58" s="157"/>
      <c r="U58" s="157"/>
      <c r="V58" s="157"/>
      <c r="W58" s="157"/>
      <c r="X58" s="157"/>
      <c r="Y58" s="157"/>
      <c r="Z58" s="157"/>
      <c r="AA58" s="157"/>
      <c r="AB58" s="157"/>
      <c r="AC58" s="157"/>
      <c r="AD58" s="157"/>
      <c r="AE58" s="157"/>
      <c r="AF58" s="157"/>
      <c r="AG58" s="157"/>
      <c r="AH58" s="157"/>
      <c r="AI58" s="157"/>
      <c r="AJ58" s="157"/>
      <c r="AL58" s="2312"/>
      <c r="AQ58" s="43"/>
      <c r="AR58" s="43"/>
      <c r="AS58" s="43"/>
    </row>
    <row r="59" spans="1:67" ht="12" customHeight="1" x14ac:dyDescent="0.2">
      <c r="T59" s="157"/>
      <c r="U59" s="157"/>
      <c r="V59" s="157"/>
      <c r="W59" s="157"/>
      <c r="X59" s="157"/>
      <c r="Y59" s="157"/>
      <c r="Z59" s="157"/>
      <c r="AA59" s="157"/>
      <c r="AB59" s="157"/>
      <c r="AC59" s="157"/>
      <c r="AD59" s="157"/>
      <c r="AE59" s="157"/>
      <c r="AF59" s="157"/>
      <c r="AG59" s="157"/>
      <c r="AH59" s="157"/>
      <c r="AI59" s="157"/>
      <c r="AJ59" s="157"/>
      <c r="AL59" s="2312"/>
      <c r="AQ59" s="43"/>
      <c r="AR59" s="43"/>
      <c r="AS59" s="43"/>
    </row>
    <row r="60" spans="1:67" ht="12" customHeight="1" x14ac:dyDescent="0.2">
      <c r="T60" s="157"/>
      <c r="U60" s="157"/>
      <c r="V60" s="157"/>
      <c r="W60" s="157"/>
      <c r="X60" s="157"/>
      <c r="Y60" s="157"/>
      <c r="Z60" s="157"/>
      <c r="AA60" s="157"/>
      <c r="AB60" s="157"/>
      <c r="AC60" s="157"/>
      <c r="AD60" s="157"/>
      <c r="AE60" s="157"/>
      <c r="AF60" s="157"/>
      <c r="AG60" s="157"/>
      <c r="AH60" s="157"/>
      <c r="AI60" s="157"/>
      <c r="AJ60" s="157"/>
      <c r="AL60" s="2312"/>
      <c r="AQ60" s="43"/>
      <c r="AR60" s="43"/>
      <c r="AS60" s="43"/>
    </row>
    <row r="61" spans="1:67" ht="12" customHeight="1" x14ac:dyDescent="0.2">
      <c r="T61" s="157"/>
      <c r="U61" s="157"/>
      <c r="V61" s="157"/>
      <c r="W61" s="157"/>
      <c r="X61" s="157"/>
      <c r="Y61" s="157"/>
      <c r="Z61" s="157"/>
      <c r="AA61" s="157"/>
      <c r="AB61" s="157"/>
      <c r="AC61" s="157"/>
      <c r="AD61" s="157"/>
      <c r="AE61" s="157"/>
      <c r="AF61" s="157"/>
      <c r="AG61" s="157"/>
      <c r="AH61" s="157"/>
      <c r="AI61" s="157"/>
      <c r="AJ61" s="157"/>
      <c r="AL61" s="2312"/>
      <c r="AQ61" s="43"/>
      <c r="AR61" s="43"/>
      <c r="AS61" s="43"/>
    </row>
    <row r="62" spans="1:67" ht="12" customHeight="1" x14ac:dyDescent="0.2">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2312"/>
      <c r="AM62" s="2312"/>
      <c r="AN62" s="1889"/>
      <c r="AO62" s="1889"/>
      <c r="AP62" s="1889"/>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x14ac:dyDescent="0.2">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57"/>
      <c r="AK63" s="157"/>
      <c r="AL63" s="2312"/>
      <c r="AM63" s="2312"/>
      <c r="AN63" s="1889"/>
      <c r="AO63" s="1889"/>
      <c r="AP63" s="1889"/>
      <c r="AQ63" s="157"/>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x14ac:dyDescent="0.2">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57"/>
      <c r="AK64" s="157"/>
      <c r="AL64" s="2312"/>
      <c r="AM64" s="2312"/>
      <c r="AN64" s="1889"/>
      <c r="AO64" s="1889"/>
      <c r="AP64" s="1889"/>
      <c r="AQ64" s="157"/>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x14ac:dyDescent="0.2">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57"/>
      <c r="AK65" s="157"/>
      <c r="AL65" s="2312"/>
      <c r="AM65" s="2312"/>
      <c r="AN65" s="1889"/>
      <c r="AO65" s="1889"/>
      <c r="AP65" s="1889"/>
      <c r="AQ65" s="157"/>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x14ac:dyDescent="0.2">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57"/>
      <c r="AK66" s="157"/>
      <c r="AL66" s="2312"/>
      <c r="AM66" s="2312"/>
      <c r="AN66" s="1889"/>
      <c r="AO66" s="1889"/>
      <c r="AP66" s="1889"/>
      <c r="AQ66" s="157"/>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x14ac:dyDescent="0.2">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57"/>
      <c r="AK67" s="157"/>
      <c r="AL67" s="2312"/>
      <c r="AM67" s="2312"/>
      <c r="AN67" s="1889"/>
      <c r="AO67" s="1889"/>
      <c r="AP67" s="1889"/>
      <c r="AQ67" s="157"/>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x14ac:dyDescent="0.2">
      <c r="Q68" s="2291"/>
      <c r="S68" s="157"/>
      <c r="T68" s="157"/>
      <c r="U68" s="157"/>
      <c r="V68" s="157"/>
      <c r="W68" s="157"/>
      <c r="X68" s="157"/>
      <c r="Y68" s="157"/>
      <c r="Z68" s="157"/>
      <c r="AA68" s="157"/>
      <c r="AB68" s="157"/>
      <c r="AC68" s="157"/>
      <c r="AD68" s="157"/>
      <c r="AE68" s="157"/>
      <c r="AF68" s="157"/>
      <c r="AG68" s="157"/>
      <c r="AQ68" s="43"/>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x14ac:dyDescent="0.2">
      <c r="Q69" s="2291"/>
      <c r="S69" s="157"/>
      <c r="T69" s="157"/>
      <c r="U69" s="157"/>
      <c r="V69" s="157"/>
      <c r="W69" s="157"/>
      <c r="X69" s="157"/>
      <c r="Y69" s="157"/>
      <c r="Z69" s="157"/>
      <c r="AA69" s="157"/>
      <c r="AB69" s="157"/>
      <c r="AC69" s="157"/>
      <c r="AD69" s="157"/>
      <c r="AE69" s="157"/>
      <c r="AF69" s="157"/>
      <c r="AG69" s="157"/>
      <c r="AQ69" s="43"/>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x14ac:dyDescent="0.2">
      <c r="A70" s="2291"/>
      <c r="G70" s="2291"/>
      <c r="H70" s="2291"/>
      <c r="I70" s="2291"/>
      <c r="J70" s="2291"/>
      <c r="K70" s="2291"/>
      <c r="L70" s="2291"/>
      <c r="M70" s="2291"/>
      <c r="N70" s="2291"/>
      <c r="O70" s="2291"/>
      <c r="P70" s="2291"/>
      <c r="Q70" s="2291"/>
      <c r="S70" s="157"/>
      <c r="T70" s="157"/>
      <c r="U70" s="157"/>
      <c r="V70" s="157"/>
      <c r="W70" s="157"/>
      <c r="X70" s="157"/>
      <c r="Y70" s="157"/>
      <c r="Z70" s="157"/>
      <c r="AA70" s="157"/>
      <c r="AB70" s="157"/>
      <c r="AC70" s="157"/>
      <c r="AD70" s="157"/>
      <c r="AE70" s="157"/>
      <c r="AF70" s="157"/>
      <c r="AG70" s="157"/>
      <c r="AH70" s="157"/>
      <c r="AI70" s="157"/>
      <c r="AJ70" s="157"/>
      <c r="AK70" s="157"/>
      <c r="AL70" s="2312"/>
      <c r="AM70" s="2312"/>
      <c r="AN70" s="1889"/>
      <c r="AO70" s="1889"/>
      <c r="AP70" s="1889"/>
      <c r="AQ70" s="157"/>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x14ac:dyDescent="0.2">
      <c r="G71" s="2291"/>
      <c r="H71" s="2291"/>
      <c r="I71" s="2291"/>
      <c r="J71" s="2291"/>
      <c r="K71" s="2291"/>
      <c r="L71" s="2291"/>
      <c r="M71" s="2291"/>
      <c r="N71" s="2291"/>
      <c r="O71" s="2291"/>
      <c r="P71" s="2291"/>
      <c r="Q71" s="2291"/>
      <c r="S71" s="157"/>
      <c r="T71" s="157"/>
      <c r="U71" s="157"/>
      <c r="V71" s="157"/>
      <c r="W71" s="157"/>
      <c r="X71" s="157"/>
      <c r="Y71" s="157"/>
      <c r="Z71" s="157"/>
      <c r="AA71" s="157"/>
      <c r="AB71" s="157"/>
      <c r="AC71" s="157"/>
      <c r="AD71" s="157"/>
      <c r="AE71" s="157"/>
      <c r="AF71" s="157"/>
      <c r="AG71" s="157"/>
      <c r="AH71" s="157"/>
      <c r="AI71" s="157"/>
      <c r="AJ71" s="157"/>
      <c r="AK71" s="157"/>
      <c r="AL71" s="2312"/>
      <c r="AM71" s="2312"/>
      <c r="AN71" s="1889"/>
      <c r="AO71" s="1889"/>
      <c r="AP71" s="1889"/>
      <c r="AQ71" s="157"/>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x14ac:dyDescent="0.2">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57"/>
      <c r="AK72" s="157"/>
      <c r="AL72" s="2312"/>
      <c r="AM72" s="2312"/>
      <c r="AN72" s="1889"/>
      <c r="AO72" s="1889"/>
      <c r="AP72" s="1889"/>
      <c r="AQ72" s="157"/>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x14ac:dyDescent="0.2">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57"/>
      <c r="AK73" s="157"/>
      <c r="AL73" s="2312"/>
      <c r="AM73" s="2312"/>
      <c r="AN73" s="1889"/>
      <c r="AO73" s="1889"/>
      <c r="AP73" s="1889"/>
      <c r="AQ73" s="157"/>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x14ac:dyDescent="0.2">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57"/>
      <c r="AK74" s="157"/>
      <c r="AL74" s="2312"/>
      <c r="AM74" s="2312"/>
      <c r="AN74" s="1889"/>
      <c r="AO74" s="1889"/>
      <c r="AP74" s="1889"/>
      <c r="AQ74" s="157"/>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x14ac:dyDescent="0.2">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57"/>
      <c r="AK75" s="157"/>
      <c r="AL75" s="2312"/>
      <c r="AM75" s="2312"/>
      <c r="AN75" s="1889"/>
      <c r="AO75" s="1889"/>
      <c r="AP75" s="1889"/>
      <c r="AQ75" s="157"/>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x14ac:dyDescent="0.2">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Q76" s="43"/>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x14ac:dyDescent="0.2">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Q77" s="43"/>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x14ac:dyDescent="0.2">
      <c r="Q78" s="2291"/>
      <c r="S78" s="157"/>
      <c r="T78" s="157"/>
      <c r="U78" s="157"/>
      <c r="V78" s="157"/>
      <c r="W78" s="157"/>
      <c r="X78" s="157"/>
      <c r="Y78" s="157"/>
      <c r="Z78" s="157"/>
      <c r="AA78" s="157"/>
      <c r="AB78" s="157"/>
      <c r="AC78" s="157"/>
      <c r="AD78" s="157"/>
      <c r="AE78" s="157"/>
      <c r="AF78" s="157"/>
      <c r="AG78" s="157"/>
      <c r="AH78" s="2291"/>
      <c r="AQ78" s="2291"/>
      <c r="AR78" s="2291"/>
      <c r="AS78" s="2291"/>
      <c r="AT78" s="2291"/>
      <c r="AU78" s="2291"/>
      <c r="AZ78" s="157"/>
      <c r="BA78" s="157"/>
      <c r="BB78" s="157"/>
      <c r="BC78" s="157"/>
      <c r="BD78" s="157"/>
      <c r="BE78" s="157"/>
      <c r="BF78" s="157"/>
      <c r="BG78" s="157"/>
      <c r="BH78" s="157"/>
      <c r="BI78" s="157"/>
      <c r="BJ78" s="157"/>
      <c r="BK78" s="157"/>
      <c r="BL78" s="157"/>
      <c r="BM78" s="157"/>
      <c r="BN78" s="157"/>
      <c r="BO78" s="157"/>
    </row>
    <row r="79" spans="1:67" ht="12" customHeight="1" x14ac:dyDescent="0.2">
      <c r="Q79" s="2291"/>
      <c r="S79" s="157"/>
      <c r="T79" s="157"/>
      <c r="U79" s="157"/>
      <c r="V79" s="157"/>
      <c r="W79" s="157"/>
      <c r="X79" s="157"/>
      <c r="Y79" s="157"/>
      <c r="Z79" s="157"/>
      <c r="AA79" s="157"/>
      <c r="AB79" s="157"/>
      <c r="AC79" s="157"/>
      <c r="AD79" s="157"/>
      <c r="AE79" s="157"/>
      <c r="AF79" s="157"/>
      <c r="AG79" s="157"/>
      <c r="AQ79" s="2291"/>
      <c r="AR79" s="2291"/>
      <c r="AS79" s="2291"/>
      <c r="AT79" s="2291"/>
      <c r="AU79" s="2291"/>
      <c r="AZ79" s="157"/>
      <c r="BA79" s="157"/>
      <c r="BB79" s="157"/>
      <c r="BC79" s="157"/>
      <c r="BD79" s="157"/>
      <c r="BE79" s="157"/>
      <c r="BF79" s="157"/>
      <c r="BG79" s="157"/>
      <c r="BH79" s="157"/>
      <c r="BI79" s="157"/>
      <c r="BJ79" s="157"/>
      <c r="BK79" s="157"/>
      <c r="BL79" s="157"/>
      <c r="BM79" s="157"/>
      <c r="BN79" s="157"/>
      <c r="BO79" s="157"/>
    </row>
    <row r="80" spans="1:67" ht="12" customHeight="1" x14ac:dyDescent="0.2">
      <c r="A80" s="2291"/>
      <c r="G80" s="2291"/>
      <c r="H80" s="2291"/>
      <c r="I80" s="2291"/>
      <c r="J80" s="2291"/>
      <c r="K80" s="2291"/>
      <c r="L80" s="2291"/>
      <c r="M80" s="2291"/>
      <c r="N80" s="2291"/>
      <c r="O80" s="2291"/>
      <c r="P80" s="2291"/>
      <c r="Q80" s="2291"/>
      <c r="S80" s="157"/>
      <c r="T80" s="157"/>
      <c r="U80" s="157"/>
      <c r="V80" s="157"/>
      <c r="W80" s="157"/>
      <c r="X80" s="157"/>
      <c r="Y80" s="157"/>
      <c r="Z80" s="157"/>
      <c r="AA80" s="157"/>
      <c r="AB80" s="157"/>
      <c r="AC80" s="157"/>
      <c r="AD80" s="157"/>
      <c r="AE80" s="157"/>
      <c r="AF80" s="157"/>
      <c r="AG80" s="157"/>
      <c r="AH80" s="157"/>
      <c r="AQ80" s="2291"/>
      <c r="AR80" s="2291"/>
      <c r="AS80" s="2291"/>
      <c r="AT80" s="43"/>
    </row>
    <row r="81" spans="7:47" ht="12" customHeight="1" x14ac:dyDescent="0.2">
      <c r="G81" s="2291"/>
      <c r="H81" s="2291"/>
      <c r="I81" s="2291"/>
      <c r="J81" s="2291"/>
      <c r="K81" s="2291"/>
      <c r="L81" s="2291"/>
      <c r="M81" s="2291"/>
      <c r="N81" s="2291"/>
      <c r="O81" s="2291"/>
      <c r="P81" s="2291"/>
      <c r="Q81" s="2291"/>
      <c r="S81" s="157"/>
      <c r="T81" s="157"/>
      <c r="U81" s="157"/>
      <c r="V81" s="157"/>
      <c r="W81" s="157"/>
      <c r="X81" s="157"/>
      <c r="Y81" s="157"/>
      <c r="Z81" s="157"/>
      <c r="AA81" s="157"/>
      <c r="AB81" s="157"/>
      <c r="AC81" s="157"/>
      <c r="AD81" s="157"/>
      <c r="AE81" s="157"/>
      <c r="AF81" s="157"/>
      <c r="AG81" s="157"/>
      <c r="AH81" s="157"/>
      <c r="AQ81" s="2291"/>
      <c r="AR81" s="2291"/>
      <c r="AS81" s="2291"/>
      <c r="AT81" s="43"/>
      <c r="AU81" s="43"/>
    </row>
    <row r="82" spans="7:47" ht="12" customHeight="1" x14ac:dyDescent="0.2">
      <c r="AQ82" s="2291"/>
      <c r="AR82" s="2291"/>
      <c r="AS82" s="2291"/>
      <c r="AT82" s="43"/>
      <c r="AU82" s="43"/>
    </row>
    <row r="83" spans="7:47" ht="12" customHeight="1" x14ac:dyDescent="0.2">
      <c r="AQ83" s="2291"/>
      <c r="AR83" s="2291"/>
      <c r="AS83" s="2291"/>
      <c r="AT83" s="43"/>
      <c r="AU83" s="43"/>
    </row>
    <row r="84" spans="7:47" ht="12" customHeight="1" x14ac:dyDescent="0.2">
      <c r="AQ84" s="2291"/>
      <c r="AR84" s="2291"/>
      <c r="AS84" s="2291"/>
      <c r="AT84" s="43"/>
      <c r="AU84" s="43"/>
    </row>
    <row r="85" spans="7:47" ht="12" customHeight="1" x14ac:dyDescent="0.2">
      <c r="AQ85" s="2291"/>
      <c r="AR85" s="2291"/>
      <c r="AS85" s="2291"/>
      <c r="AT85" s="43"/>
      <c r="AU85" s="43"/>
    </row>
    <row r="86" spans="7:47" ht="12" customHeight="1" x14ac:dyDescent="0.2">
      <c r="AQ86" s="2291"/>
      <c r="AR86" s="2291"/>
      <c r="AS86" s="2291"/>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57"/>
      <c r="U91" s="157"/>
      <c r="V91" s="157"/>
      <c r="W91" s="157"/>
      <c r="X91" s="157"/>
      <c r="Y91" s="157"/>
      <c r="Z91" s="157"/>
      <c r="AA91" s="157"/>
      <c r="AB91" s="157"/>
      <c r="AC91" s="157"/>
      <c r="AD91" s="157"/>
      <c r="AE91" s="157"/>
      <c r="AF91" s="157"/>
      <c r="AG91" s="157"/>
      <c r="AH91" s="157"/>
      <c r="AI91" s="157"/>
      <c r="AJ91" s="157"/>
      <c r="AL91" s="2312"/>
      <c r="AQ91" s="43"/>
      <c r="AR91" s="43"/>
      <c r="AS91" s="43"/>
      <c r="AT91" s="43"/>
      <c r="AU91" s="43"/>
    </row>
    <row r="92" spans="7:47" ht="12" customHeight="1" x14ac:dyDescent="0.2">
      <c r="T92" s="157"/>
      <c r="U92" s="157"/>
      <c r="V92" s="157"/>
      <c r="W92" s="157"/>
      <c r="X92" s="157"/>
      <c r="Y92" s="157"/>
      <c r="Z92" s="157"/>
      <c r="AA92" s="157"/>
      <c r="AB92" s="157"/>
      <c r="AC92" s="157"/>
      <c r="AD92" s="157"/>
      <c r="AE92" s="157"/>
      <c r="AF92" s="157"/>
      <c r="AG92" s="157"/>
      <c r="AH92" s="157"/>
      <c r="AI92" s="157"/>
      <c r="AJ92" s="157"/>
      <c r="AL92" s="2312"/>
      <c r="AQ92" s="43"/>
      <c r="AR92" s="43"/>
      <c r="AS92" s="43"/>
      <c r="AT92" s="43"/>
      <c r="AU92" s="43"/>
    </row>
    <row r="93" spans="7:47" ht="12" customHeight="1" x14ac:dyDescent="0.2">
      <c r="T93" s="157"/>
      <c r="U93" s="157"/>
      <c r="V93" s="157"/>
      <c r="W93" s="157"/>
      <c r="X93" s="157"/>
      <c r="Y93" s="157"/>
      <c r="Z93" s="157"/>
      <c r="AA93" s="157"/>
      <c r="AB93" s="157"/>
      <c r="AC93" s="157"/>
      <c r="AD93" s="157"/>
      <c r="AE93" s="157"/>
      <c r="AF93" s="157"/>
      <c r="AG93" s="157"/>
      <c r="AH93" s="157"/>
      <c r="AI93" s="157"/>
      <c r="AJ93" s="157"/>
      <c r="AL93" s="2312"/>
      <c r="AQ93" s="43"/>
      <c r="AR93" s="43"/>
      <c r="AS93" s="43"/>
      <c r="AT93" s="43"/>
      <c r="AU93" s="43"/>
    </row>
    <row r="94" spans="7:47" ht="12" customHeight="1" x14ac:dyDescent="0.2">
      <c r="T94" s="157"/>
      <c r="U94" s="157"/>
      <c r="V94" s="157"/>
      <c r="W94" s="157"/>
      <c r="X94" s="157"/>
      <c r="Y94" s="157"/>
      <c r="Z94" s="157"/>
      <c r="AA94" s="157"/>
      <c r="AB94" s="157"/>
      <c r="AC94" s="157"/>
      <c r="AD94" s="157"/>
      <c r="AE94" s="157"/>
      <c r="AF94" s="157"/>
      <c r="AG94" s="157"/>
      <c r="AH94" s="157"/>
      <c r="AI94" s="157"/>
      <c r="AJ94" s="157"/>
      <c r="AL94" s="2312"/>
      <c r="AQ94" s="43"/>
      <c r="AR94" s="43"/>
      <c r="AS94" s="43"/>
      <c r="AT94" s="43"/>
      <c r="AU94" s="43"/>
    </row>
    <row r="95" spans="7:47" ht="12" customHeight="1" x14ac:dyDescent="0.2">
      <c r="T95" s="157"/>
      <c r="U95" s="157"/>
      <c r="V95" s="157"/>
      <c r="W95" s="157"/>
      <c r="X95" s="157"/>
      <c r="Y95" s="157"/>
      <c r="Z95" s="157"/>
      <c r="AA95" s="157"/>
      <c r="AB95" s="157"/>
      <c r="AC95" s="157"/>
      <c r="AD95" s="157"/>
      <c r="AE95" s="157"/>
      <c r="AF95" s="157"/>
      <c r="AG95" s="157"/>
      <c r="AH95" s="157"/>
      <c r="AI95" s="157"/>
      <c r="AJ95" s="157"/>
      <c r="AL95" s="2312"/>
      <c r="AQ95" s="43"/>
      <c r="AR95" s="43"/>
      <c r="AS95" s="43"/>
      <c r="AT95" s="43"/>
      <c r="AU95" s="43"/>
    </row>
    <row r="96" spans="7:47" ht="12" customHeight="1" x14ac:dyDescent="0.2">
      <c r="T96" s="157"/>
      <c r="U96" s="157"/>
      <c r="V96" s="157"/>
      <c r="W96" s="157"/>
      <c r="X96" s="157"/>
      <c r="Y96" s="157"/>
      <c r="Z96" s="157"/>
      <c r="AA96" s="157"/>
      <c r="AB96" s="157"/>
      <c r="AC96" s="157"/>
      <c r="AD96" s="157"/>
      <c r="AE96" s="157"/>
      <c r="AF96" s="157"/>
      <c r="AG96" s="157"/>
      <c r="AH96" s="157"/>
      <c r="AI96" s="157"/>
      <c r="AJ96" s="157"/>
      <c r="AL96" s="2312"/>
      <c r="AQ96" s="43"/>
      <c r="AR96" s="43"/>
      <c r="AS96" s="43"/>
      <c r="AT96" s="43"/>
      <c r="AU96" s="43"/>
    </row>
    <row r="97" spans="20:47" ht="12" customHeight="1" x14ac:dyDescent="0.2">
      <c r="T97" s="157"/>
      <c r="U97" s="157"/>
      <c r="V97" s="157"/>
      <c r="W97" s="157"/>
      <c r="X97" s="157"/>
      <c r="Y97" s="157"/>
      <c r="Z97" s="157"/>
      <c r="AA97" s="157"/>
      <c r="AB97" s="157"/>
      <c r="AC97" s="157"/>
      <c r="AD97" s="157"/>
      <c r="AE97" s="157"/>
      <c r="AF97" s="157"/>
      <c r="AG97" s="157"/>
      <c r="AH97" s="157"/>
      <c r="AI97" s="157"/>
      <c r="AJ97" s="157"/>
      <c r="AL97" s="2312"/>
      <c r="AQ97" s="2291"/>
      <c r="AR97" s="2291"/>
      <c r="AS97" s="2291"/>
      <c r="AT97" s="43"/>
      <c r="AU97" s="43"/>
    </row>
    <row r="98" spans="20:47" ht="12" customHeight="1" x14ac:dyDescent="0.2">
      <c r="T98" s="157"/>
      <c r="U98" s="157"/>
      <c r="V98" s="157"/>
      <c r="W98" s="157"/>
      <c r="X98" s="157"/>
      <c r="Y98" s="157"/>
      <c r="Z98" s="157"/>
      <c r="AA98" s="157"/>
      <c r="AB98" s="157"/>
      <c r="AC98" s="157"/>
      <c r="AD98" s="157"/>
      <c r="AE98" s="157"/>
      <c r="AF98" s="157"/>
      <c r="AG98" s="157"/>
      <c r="AH98" s="157"/>
      <c r="AI98" s="157"/>
      <c r="AJ98" s="157"/>
      <c r="AL98" s="2312"/>
      <c r="AQ98" s="2291"/>
      <c r="AR98" s="2291"/>
      <c r="AS98" s="2291"/>
      <c r="AT98" s="43"/>
      <c r="AU98" s="43"/>
    </row>
    <row r="99" spans="20:47" ht="12" customHeight="1" x14ac:dyDescent="0.2">
      <c r="T99" s="157"/>
      <c r="U99" s="157"/>
      <c r="V99" s="157"/>
      <c r="W99" s="157"/>
      <c r="X99" s="157"/>
      <c r="Y99" s="157"/>
      <c r="Z99" s="157"/>
      <c r="AA99" s="157"/>
      <c r="AB99" s="157"/>
      <c r="AC99" s="157"/>
      <c r="AD99" s="157"/>
      <c r="AE99" s="157"/>
      <c r="AF99" s="157"/>
      <c r="AG99" s="157"/>
      <c r="AH99" s="157"/>
      <c r="AI99" s="157"/>
      <c r="AJ99" s="157"/>
      <c r="AL99" s="2312"/>
      <c r="AQ99" s="2291"/>
      <c r="AR99" s="2291"/>
      <c r="AS99" s="2291"/>
      <c r="AT99" s="43"/>
      <c r="AU99" s="43"/>
    </row>
    <row r="100" spans="20:47" ht="12" customHeight="1" x14ac:dyDescent="0.2">
      <c r="T100" s="157"/>
      <c r="U100" s="157"/>
      <c r="V100" s="157"/>
      <c r="W100" s="157"/>
      <c r="X100" s="157"/>
      <c r="Y100" s="157"/>
      <c r="Z100" s="157"/>
      <c r="AA100" s="157"/>
      <c r="AB100" s="157"/>
      <c r="AC100" s="157"/>
      <c r="AD100" s="157"/>
      <c r="AE100" s="157"/>
      <c r="AF100" s="157"/>
      <c r="AG100" s="157"/>
      <c r="AH100" s="157"/>
      <c r="AI100" s="157"/>
      <c r="AJ100" s="157"/>
      <c r="AL100" s="2312"/>
      <c r="AQ100" s="2291"/>
      <c r="AR100" s="2291"/>
      <c r="AS100" s="2291"/>
      <c r="AT100" s="43"/>
      <c r="AU100" s="43"/>
    </row>
    <row r="101" spans="20:47" ht="12" customHeight="1" x14ac:dyDescent="0.2">
      <c r="T101" s="157"/>
      <c r="U101" s="157"/>
      <c r="V101" s="157"/>
      <c r="W101" s="157"/>
      <c r="X101" s="157"/>
      <c r="Y101" s="157"/>
      <c r="Z101" s="157"/>
      <c r="AA101" s="157"/>
      <c r="AB101" s="157"/>
      <c r="AC101" s="157"/>
      <c r="AD101" s="157"/>
      <c r="AE101" s="157"/>
      <c r="AF101" s="157"/>
      <c r="AG101" s="157"/>
      <c r="AH101" s="157"/>
      <c r="AI101" s="157"/>
      <c r="AJ101" s="157"/>
      <c r="AL101" s="2312"/>
      <c r="AQ101" s="2291"/>
      <c r="AR101" s="2291"/>
      <c r="AS101" s="2291"/>
      <c r="AT101" s="43"/>
      <c r="AU101" s="43"/>
    </row>
    <row r="102" spans="20:47" ht="12" customHeight="1" x14ac:dyDescent="0.2">
      <c r="U102" s="157"/>
      <c r="V102" s="157"/>
      <c r="W102" s="157"/>
      <c r="X102" s="157"/>
      <c r="Y102" s="157"/>
      <c r="Z102" s="157"/>
      <c r="AA102" s="157"/>
      <c r="AB102" s="157"/>
      <c r="AC102" s="157"/>
      <c r="AD102" s="157"/>
      <c r="AE102" s="157"/>
      <c r="AF102" s="157"/>
      <c r="AG102" s="157"/>
      <c r="AH102" s="157"/>
      <c r="AI102" s="157"/>
      <c r="AJ102" s="157"/>
      <c r="AL102" s="2312"/>
      <c r="AM102" s="2312"/>
      <c r="AQ102" s="2291"/>
      <c r="AR102" s="2291"/>
      <c r="AS102" s="2291"/>
      <c r="AT102" s="2291"/>
      <c r="AU102" s="43"/>
    </row>
    <row r="103" spans="20:47" ht="12" customHeight="1" x14ac:dyDescent="0.2">
      <c r="U103" s="157"/>
      <c r="V103" s="157"/>
      <c r="W103" s="157"/>
      <c r="X103" s="157"/>
      <c r="Y103" s="157"/>
      <c r="Z103" s="157"/>
      <c r="AA103" s="157"/>
      <c r="AB103" s="157"/>
      <c r="AC103" s="157"/>
      <c r="AD103" s="157"/>
      <c r="AE103" s="157"/>
      <c r="AF103" s="157"/>
      <c r="AG103" s="157"/>
      <c r="AH103" s="157"/>
      <c r="AI103" s="157"/>
      <c r="AJ103" s="157"/>
      <c r="AL103" s="2312"/>
      <c r="AM103" s="2312"/>
      <c r="AQ103" s="2291"/>
      <c r="AR103" s="2291"/>
      <c r="AS103" s="2291"/>
      <c r="AT103" s="2291"/>
      <c r="AU103" s="43"/>
    </row>
    <row r="121" spans="44:44" ht="12" customHeight="1" x14ac:dyDescent="0.2">
      <c r="AR121" s="96"/>
    </row>
    <row r="122" spans="44:44" ht="12" customHeight="1" thickBot="1" x14ac:dyDescent="0.25">
      <c r="AR122" s="2127"/>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237" priority="7" operator="equal">
      <formula>0</formula>
    </cfRule>
  </conditionalFormatting>
  <conditionalFormatting sqref="C13:F25">
    <cfRule type="expression" dxfId="236" priority="5">
      <formula>$AL13</formula>
    </cfRule>
  </conditionalFormatting>
  <conditionalFormatting sqref="U13:X25">
    <cfRule type="expression" dxfId="235" priority="4">
      <formula>$AM13</formula>
    </cfRule>
  </conditionalFormatting>
  <conditionalFormatting sqref="AA10:AI26">
    <cfRule type="cellIs" dxfId="234"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22"/>
  <sheetViews>
    <sheetView zoomScaleNormal="100" workbookViewId="0">
      <selection activeCell="C11" sqref="C11:G11"/>
    </sheetView>
  </sheetViews>
  <sheetFormatPr defaultColWidth="5.7109375" defaultRowHeight="12" customHeight="1" x14ac:dyDescent="0.2"/>
  <cols>
    <col min="1" max="1" width="1.7109375" style="241" customWidth="1"/>
    <col min="2" max="17" width="5.7109375" style="241" customWidth="1"/>
    <col min="18" max="18" width="5.7109375" style="2203" customWidth="1"/>
    <col min="19" max="19" width="1.7109375" style="2203" customWidth="1"/>
    <col min="20" max="20" width="1.85546875" style="2203" customWidth="1"/>
    <col min="21" max="21" width="5.7109375" style="2203" customWidth="1"/>
    <col min="22" max="36" width="5.7109375" style="241" customWidth="1"/>
    <col min="37" max="37" width="5.7109375" style="2956" customWidth="1"/>
    <col min="38" max="38" width="1.7109375" style="2956" customWidth="1"/>
    <col min="39" max="39" width="5.7109375" style="2956"/>
    <col min="40" max="40" width="8.5703125" style="2956" bestFit="1" customWidth="1"/>
    <col min="41" max="45" width="5.7109375" style="2956"/>
    <col min="46" max="56" width="5.7109375" style="2203"/>
    <col min="57" max="16384" width="5.7109375" style="241"/>
  </cols>
  <sheetData>
    <row r="1" spans="1:38" ht="12" customHeight="1" thickBot="1" x14ac:dyDescent="0.25">
      <c r="A1" s="2198"/>
      <c r="B1" s="2198"/>
      <c r="C1" s="336"/>
      <c r="D1" s="336"/>
      <c r="E1" s="336"/>
      <c r="F1" s="336"/>
      <c r="G1" s="336"/>
      <c r="H1" s="336"/>
      <c r="I1" s="336"/>
      <c r="J1" s="336"/>
      <c r="K1" s="336"/>
      <c r="L1" s="336"/>
      <c r="M1" s="336"/>
      <c r="N1" s="336"/>
      <c r="O1" s="336"/>
      <c r="P1" s="336"/>
      <c r="Q1" s="336"/>
      <c r="R1" s="2442"/>
      <c r="S1" s="2442"/>
      <c r="T1" s="2198"/>
      <c r="U1" s="2198"/>
      <c r="V1" s="336"/>
      <c r="W1" s="336"/>
      <c r="X1" s="336"/>
      <c r="Y1" s="336"/>
      <c r="Z1" s="336"/>
      <c r="AA1" s="336"/>
      <c r="AB1" s="336"/>
      <c r="AC1" s="336"/>
      <c r="AD1" s="336"/>
      <c r="AE1" s="336"/>
      <c r="AF1" s="336"/>
      <c r="AG1" s="336"/>
      <c r="AH1" s="336"/>
      <c r="AI1" s="336"/>
      <c r="AJ1" s="336"/>
      <c r="AK1" s="2955"/>
      <c r="AL1" s="2955"/>
    </row>
    <row r="2" spans="1:38" ht="12" customHeight="1" thickBot="1" x14ac:dyDescent="0.25">
      <c r="A2" s="2198"/>
      <c r="B2" s="2500"/>
      <c r="C2" s="1924"/>
      <c r="D2" s="1924"/>
      <c r="E2" s="1924"/>
      <c r="F2" s="1924"/>
      <c r="G2" s="1924"/>
      <c r="H2" s="1924"/>
      <c r="I2" s="1924"/>
      <c r="J2" s="1924"/>
      <c r="K2" s="1924"/>
      <c r="L2" s="1924"/>
      <c r="M2" s="1924"/>
      <c r="N2" s="1924"/>
      <c r="O2" s="1924"/>
      <c r="P2" s="1924"/>
      <c r="Q2" s="1924"/>
      <c r="R2" s="2501"/>
      <c r="S2" s="2442"/>
      <c r="T2" s="2198"/>
      <c r="U2" s="2199"/>
      <c r="V2" s="337"/>
      <c r="W2" s="337"/>
      <c r="X2" s="337"/>
      <c r="Y2" s="337"/>
      <c r="Z2" s="337"/>
      <c r="AA2" s="337"/>
      <c r="AB2" s="337"/>
      <c r="AC2" s="337"/>
      <c r="AD2" s="337"/>
      <c r="AE2" s="337"/>
      <c r="AF2" s="337"/>
      <c r="AG2" s="337"/>
      <c r="AH2" s="337"/>
      <c r="AI2" s="337"/>
      <c r="AJ2" s="337"/>
      <c r="AK2" s="2957"/>
      <c r="AL2" s="2955"/>
    </row>
    <row r="3" spans="1:38" ht="12" customHeight="1" x14ac:dyDescent="0.2">
      <c r="A3" s="2198"/>
      <c r="B3" s="2502"/>
      <c r="C3" s="4989" t="s">
        <v>8717</v>
      </c>
      <c r="D3" s="4990"/>
      <c r="E3" s="4990"/>
      <c r="F3" s="4990"/>
      <c r="G3" s="4990"/>
      <c r="H3" s="4990"/>
      <c r="I3" s="4990"/>
      <c r="J3" s="4990"/>
      <c r="K3" s="4990"/>
      <c r="L3" s="4990"/>
      <c r="M3" s="4990"/>
      <c r="N3" s="4990"/>
      <c r="O3" s="4990"/>
      <c r="P3" s="4990"/>
      <c r="Q3" s="4991"/>
      <c r="R3" s="2503"/>
      <c r="S3" s="2442"/>
      <c r="T3" s="2198"/>
      <c r="U3" s="2200"/>
      <c r="V3" s="4989" t="s">
        <v>8721</v>
      </c>
      <c r="W3" s="4990"/>
      <c r="X3" s="4990"/>
      <c r="Y3" s="4990"/>
      <c r="Z3" s="4990"/>
      <c r="AA3" s="4990"/>
      <c r="AB3" s="4990"/>
      <c r="AC3" s="4990"/>
      <c r="AD3" s="4990"/>
      <c r="AE3" s="4990"/>
      <c r="AF3" s="4990"/>
      <c r="AG3" s="4990"/>
      <c r="AH3" s="4990"/>
      <c r="AI3" s="4990"/>
      <c r="AJ3" s="4991"/>
      <c r="AK3" s="2958"/>
      <c r="AL3" s="2955"/>
    </row>
    <row r="4" spans="1:38" ht="12" customHeight="1" thickBot="1" x14ac:dyDescent="0.25">
      <c r="A4" s="2198"/>
      <c r="B4" s="2502"/>
      <c r="C4" s="3829"/>
      <c r="D4" s="3830"/>
      <c r="E4" s="3830"/>
      <c r="F4" s="3830"/>
      <c r="G4" s="3830"/>
      <c r="H4" s="3830"/>
      <c r="I4" s="3830"/>
      <c r="J4" s="3830"/>
      <c r="K4" s="3830"/>
      <c r="L4" s="3830"/>
      <c r="M4" s="3830"/>
      <c r="N4" s="3830"/>
      <c r="O4" s="3830"/>
      <c r="P4" s="3830"/>
      <c r="Q4" s="3831"/>
      <c r="R4" s="2503"/>
      <c r="S4" s="2442"/>
      <c r="T4" s="2198"/>
      <c r="U4" s="2200"/>
      <c r="V4" s="3829"/>
      <c r="W4" s="3830"/>
      <c r="X4" s="3830"/>
      <c r="Y4" s="3830"/>
      <c r="Z4" s="3830"/>
      <c r="AA4" s="3830"/>
      <c r="AB4" s="3830"/>
      <c r="AC4" s="3830"/>
      <c r="AD4" s="3830"/>
      <c r="AE4" s="3830"/>
      <c r="AF4" s="3830"/>
      <c r="AG4" s="3830"/>
      <c r="AH4" s="3830"/>
      <c r="AI4" s="3830"/>
      <c r="AJ4" s="3831"/>
      <c r="AK4" s="2958"/>
      <c r="AL4" s="2955"/>
    </row>
    <row r="5" spans="1:38" ht="12" customHeight="1" thickBot="1" x14ac:dyDescent="0.25">
      <c r="A5" s="2198"/>
      <c r="B5" s="2502"/>
      <c r="C5" s="2195"/>
      <c r="D5" s="2195"/>
      <c r="E5" s="2195"/>
      <c r="F5" s="2195"/>
      <c r="G5" s="2195"/>
      <c r="H5" s="2195"/>
      <c r="I5" s="2195"/>
      <c r="J5" s="2195"/>
      <c r="K5" s="2195"/>
      <c r="L5" s="2195"/>
      <c r="M5" s="2195"/>
      <c r="N5" s="2195"/>
      <c r="O5" s="2195"/>
      <c r="P5" s="2195"/>
      <c r="Q5" s="2195"/>
      <c r="R5" s="2503"/>
      <c r="S5" s="2442"/>
      <c r="T5" s="2198"/>
      <c r="U5" s="2200"/>
      <c r="AK5" s="2958"/>
      <c r="AL5" s="2955"/>
    </row>
    <row r="6" spans="1:38" ht="12" customHeight="1" thickBot="1" x14ac:dyDescent="0.25">
      <c r="A6" s="2198"/>
      <c r="B6" s="2502"/>
      <c r="C6" s="4393" t="s">
        <v>8077</v>
      </c>
      <c r="D6" s="4394"/>
      <c r="E6" s="4394"/>
      <c r="F6" s="5023" t="s">
        <v>8674</v>
      </c>
      <c r="G6" s="5024"/>
      <c r="H6" s="2195"/>
      <c r="I6" s="4992" t="s">
        <v>2151</v>
      </c>
      <c r="J6" s="4993"/>
      <c r="K6" s="4993"/>
      <c r="L6" s="4993"/>
      <c r="M6" s="4993"/>
      <c r="N6" s="4993"/>
      <c r="O6" s="4993"/>
      <c r="P6" s="4993"/>
      <c r="Q6" s="4994"/>
      <c r="R6" s="2503"/>
      <c r="S6" s="2442"/>
      <c r="T6" s="2198"/>
      <c r="U6" s="2200"/>
      <c r="V6" s="5001" t="s">
        <v>10041</v>
      </c>
      <c r="W6" s="5132" t="s">
        <v>10045</v>
      </c>
      <c r="X6" s="5132"/>
      <c r="Y6" s="5120" t="s">
        <v>10037</v>
      </c>
      <c r="Z6" s="5120"/>
      <c r="AA6" s="5120" t="s">
        <v>10036</v>
      </c>
      <c r="AB6" s="5120"/>
      <c r="AC6" s="5120" t="s">
        <v>10046</v>
      </c>
      <c r="AD6" s="5120"/>
      <c r="AE6" s="5120" t="s">
        <v>10038</v>
      </c>
      <c r="AF6" s="5120"/>
      <c r="AG6" s="5120" t="s">
        <v>10040</v>
      </c>
      <c r="AH6" s="5120"/>
      <c r="AI6" s="5120" t="s">
        <v>10046</v>
      </c>
      <c r="AJ6" s="5121"/>
      <c r="AK6" s="2958"/>
      <c r="AL6" s="2955"/>
    </row>
    <row r="7" spans="1:38" ht="12" customHeight="1" thickBot="1" x14ac:dyDescent="0.25">
      <c r="A7" s="2198"/>
      <c r="B7" s="2502"/>
      <c r="C7" s="5021"/>
      <c r="D7" s="5022"/>
      <c r="E7" s="5022"/>
      <c r="F7" s="5025"/>
      <c r="G7" s="5026"/>
      <c r="H7" s="2195"/>
      <c r="I7" s="4571" t="s">
        <v>1684</v>
      </c>
      <c r="J7" s="4995"/>
      <c r="K7" s="4995"/>
      <c r="L7" s="4995"/>
      <c r="M7" s="4995"/>
      <c r="N7" s="4995"/>
      <c r="O7" s="3207"/>
      <c r="P7" s="2504" t="s">
        <v>1685</v>
      </c>
      <c r="Q7" s="2505" t="s">
        <v>1686</v>
      </c>
      <c r="R7" s="2503"/>
      <c r="S7" s="2442"/>
      <c r="T7" s="2198"/>
      <c r="U7" s="2200"/>
      <c r="V7" s="5002"/>
      <c r="W7" s="5133" t="s">
        <v>1702</v>
      </c>
      <c r="X7" s="5134"/>
      <c r="Y7" s="5111"/>
      <c r="Z7" s="5115"/>
      <c r="AA7" s="5111"/>
      <c r="AB7" s="5112"/>
      <c r="AC7" s="5117" t="s">
        <v>1896</v>
      </c>
      <c r="AD7" s="5118"/>
      <c r="AE7" s="5111"/>
      <c r="AF7" s="5115"/>
      <c r="AG7" s="5111"/>
      <c r="AH7" s="5112"/>
      <c r="AI7" s="5117" t="s">
        <v>1896</v>
      </c>
      <c r="AJ7" s="5122"/>
      <c r="AK7" s="2958"/>
      <c r="AL7" s="2955"/>
    </row>
    <row r="8" spans="1:38" ht="12" customHeight="1" thickBot="1" x14ac:dyDescent="0.25">
      <c r="A8" s="2198"/>
      <c r="B8" s="2502"/>
      <c r="C8" s="2195"/>
      <c r="D8" s="2195"/>
      <c r="E8" s="2195"/>
      <c r="F8" s="2195"/>
      <c r="G8" s="2195"/>
      <c r="H8" s="2195"/>
      <c r="I8" s="5004"/>
      <c r="J8" s="5005"/>
      <c r="K8" s="5005"/>
      <c r="L8" s="5005"/>
      <c r="M8" s="5005"/>
      <c r="N8" s="5005"/>
      <c r="O8" s="5006"/>
      <c r="P8" s="338"/>
      <c r="Q8" s="22"/>
      <c r="R8" s="2503"/>
      <c r="S8" s="2442"/>
      <c r="T8" s="2198"/>
      <c r="U8" s="2200"/>
      <c r="V8" s="5002"/>
      <c r="W8" s="5133" t="s">
        <v>8850</v>
      </c>
      <c r="X8" s="5134"/>
      <c r="Y8" s="5111"/>
      <c r="Z8" s="5115"/>
      <c r="AA8" s="5111"/>
      <c r="AB8" s="5112"/>
      <c r="AC8" s="5112"/>
      <c r="AD8" s="5115"/>
      <c r="AE8" s="5111"/>
      <c r="AF8" s="5115"/>
      <c r="AG8" s="5111"/>
      <c r="AH8" s="5112"/>
      <c r="AI8" s="5112"/>
      <c r="AJ8" s="5123"/>
      <c r="AK8" s="2958"/>
      <c r="AL8" s="2955"/>
    </row>
    <row r="9" spans="1:38" ht="12" customHeight="1" x14ac:dyDescent="0.2">
      <c r="A9" s="2198"/>
      <c r="B9" s="2502"/>
      <c r="C9" s="3168" t="s">
        <v>2152</v>
      </c>
      <c r="D9" s="3169"/>
      <c r="E9" s="3169"/>
      <c r="F9" s="3169"/>
      <c r="G9" s="3170"/>
      <c r="H9" s="2195"/>
      <c r="I9" s="4928"/>
      <c r="J9" s="4929"/>
      <c r="K9" s="4929"/>
      <c r="L9" s="4929"/>
      <c r="M9" s="4929"/>
      <c r="N9" s="4929"/>
      <c r="O9" s="4930"/>
      <c r="P9" s="338"/>
      <c r="Q9" s="22"/>
      <c r="R9" s="2503"/>
      <c r="S9" s="2442"/>
      <c r="T9" s="2198"/>
      <c r="U9" s="2200"/>
      <c r="V9" s="5002"/>
      <c r="W9" s="5133" t="s">
        <v>10034</v>
      </c>
      <c r="X9" s="5134"/>
      <c r="Y9" s="5111"/>
      <c r="Z9" s="5115"/>
      <c r="AA9" s="5111"/>
      <c r="AB9" s="5112"/>
      <c r="AC9" s="5112"/>
      <c r="AD9" s="5115"/>
      <c r="AE9" s="5111"/>
      <c r="AF9" s="5115"/>
      <c r="AG9" s="5111"/>
      <c r="AH9" s="5112"/>
      <c r="AI9" s="5112"/>
      <c r="AJ9" s="5123"/>
      <c r="AK9" s="2958"/>
      <c r="AL9" s="2955"/>
    </row>
    <row r="10" spans="1:38" ht="12" customHeight="1" x14ac:dyDescent="0.2">
      <c r="A10" s="2198"/>
      <c r="B10" s="2502"/>
      <c r="C10" s="4931" t="s">
        <v>2269</v>
      </c>
      <c r="D10" s="4932"/>
      <c r="E10" s="4932"/>
      <c r="F10" s="4932"/>
      <c r="G10" s="4933"/>
      <c r="H10" s="2195"/>
      <c r="I10" s="4928"/>
      <c r="J10" s="4929"/>
      <c r="K10" s="4929"/>
      <c r="L10" s="4929"/>
      <c r="M10" s="4929"/>
      <c r="N10" s="4929"/>
      <c r="O10" s="4930"/>
      <c r="P10" s="338"/>
      <c r="Q10" s="22"/>
      <c r="R10" s="2503"/>
      <c r="S10" s="2442"/>
      <c r="T10" s="2198"/>
      <c r="U10" s="2200"/>
      <c r="V10" s="5002"/>
      <c r="W10" s="5133" t="s">
        <v>1882</v>
      </c>
      <c r="X10" s="5134"/>
      <c r="Y10" s="5111"/>
      <c r="Z10" s="5115"/>
      <c r="AA10" s="5111"/>
      <c r="AB10" s="5112"/>
      <c r="AC10" s="5112"/>
      <c r="AD10" s="5115"/>
      <c r="AE10" s="5111"/>
      <c r="AF10" s="5115"/>
      <c r="AG10" s="5111"/>
      <c r="AH10" s="5112"/>
      <c r="AI10" s="5112"/>
      <c r="AJ10" s="5123"/>
      <c r="AK10" s="2958"/>
      <c r="AL10" s="2955"/>
    </row>
    <row r="11" spans="1:38" ht="12" customHeight="1" x14ac:dyDescent="0.2">
      <c r="A11" s="2198"/>
      <c r="B11" s="2502"/>
      <c r="C11" s="4934" t="s">
        <v>2267</v>
      </c>
      <c r="D11" s="4935"/>
      <c r="E11" s="4935"/>
      <c r="F11" s="4935"/>
      <c r="G11" s="4936"/>
      <c r="H11" s="2195"/>
      <c r="I11" s="4928"/>
      <c r="J11" s="4929"/>
      <c r="K11" s="4929"/>
      <c r="L11" s="4929"/>
      <c r="M11" s="4929"/>
      <c r="N11" s="4929"/>
      <c r="O11" s="4930"/>
      <c r="P11" s="338"/>
      <c r="Q11" s="22"/>
      <c r="R11" s="2503"/>
      <c r="S11" s="2442"/>
      <c r="T11" s="2198"/>
      <c r="U11" s="2200"/>
      <c r="V11" s="5002"/>
      <c r="W11" s="5135" t="s">
        <v>10045</v>
      </c>
      <c r="X11" s="5135"/>
      <c r="Y11" s="5126"/>
      <c r="Z11" s="5127"/>
      <c r="AA11" s="5116" t="s">
        <v>10039</v>
      </c>
      <c r="AB11" s="5116"/>
      <c r="AC11" s="5116" t="s">
        <v>10046</v>
      </c>
      <c r="AD11" s="5116"/>
      <c r="AE11" s="5116" t="s">
        <v>10038</v>
      </c>
      <c r="AF11" s="5116"/>
      <c r="AG11" s="5116" t="s">
        <v>10040</v>
      </c>
      <c r="AH11" s="5116"/>
      <c r="AI11" s="5116" t="s">
        <v>10046</v>
      </c>
      <c r="AJ11" s="5125"/>
      <c r="AK11" s="2958"/>
      <c r="AL11" s="2955"/>
    </row>
    <row r="12" spans="1:38" ht="12" customHeight="1" thickBot="1" x14ac:dyDescent="0.25">
      <c r="A12" s="2198"/>
      <c r="B12" s="2502"/>
      <c r="C12" s="4937" t="s">
        <v>2272</v>
      </c>
      <c r="D12" s="4938"/>
      <c r="E12" s="4938"/>
      <c r="F12" s="4938"/>
      <c r="G12" s="4939"/>
      <c r="H12" s="2195"/>
      <c r="I12" s="4947"/>
      <c r="J12" s="4948"/>
      <c r="K12" s="4948"/>
      <c r="L12" s="4948"/>
      <c r="M12" s="4948"/>
      <c r="N12" s="4948"/>
      <c r="O12" s="4949"/>
      <c r="P12" s="339"/>
      <c r="Q12" s="24"/>
      <c r="R12" s="2506"/>
      <c r="S12" s="1868"/>
      <c r="T12" s="2198"/>
      <c r="U12" s="2200"/>
      <c r="V12" s="5002"/>
      <c r="W12" s="5133" t="s">
        <v>1702</v>
      </c>
      <c r="X12" s="5134"/>
      <c r="Y12" s="5128"/>
      <c r="Z12" s="5129"/>
      <c r="AA12" s="5111"/>
      <c r="AB12" s="5112"/>
      <c r="AC12" s="5117" t="s">
        <v>1896</v>
      </c>
      <c r="AD12" s="5118"/>
      <c r="AE12" s="5111"/>
      <c r="AF12" s="5115"/>
      <c r="AG12" s="5111"/>
      <c r="AH12" s="5112"/>
      <c r="AI12" s="5117" t="s">
        <v>1896</v>
      </c>
      <c r="AJ12" s="5122"/>
      <c r="AK12" s="2942"/>
      <c r="AL12" s="1694"/>
    </row>
    <row r="13" spans="1:38" ht="12" customHeight="1" thickBot="1" x14ac:dyDescent="0.25">
      <c r="A13" s="2198"/>
      <c r="B13" s="2507"/>
      <c r="C13" s="2195"/>
      <c r="D13" s="2195"/>
      <c r="E13" s="2195"/>
      <c r="F13" s="2195"/>
      <c r="G13" s="2195"/>
      <c r="H13" s="2195"/>
      <c r="I13" s="2195"/>
      <c r="J13" s="2195"/>
      <c r="K13" s="2195"/>
      <c r="L13" s="2195"/>
      <c r="M13" s="2195"/>
      <c r="N13" s="2195"/>
      <c r="O13" s="2195"/>
      <c r="P13" s="2195"/>
      <c r="Q13" s="2195"/>
      <c r="R13" s="2506"/>
      <c r="S13" s="1869"/>
      <c r="T13" s="2198"/>
      <c r="U13" s="2201"/>
      <c r="V13" s="5002"/>
      <c r="W13" s="5133" t="s">
        <v>8850</v>
      </c>
      <c r="X13" s="5134"/>
      <c r="Y13" s="5128"/>
      <c r="Z13" s="5129"/>
      <c r="AA13" s="5111"/>
      <c r="AB13" s="5112"/>
      <c r="AC13" s="5112"/>
      <c r="AD13" s="5115"/>
      <c r="AE13" s="5111"/>
      <c r="AF13" s="5115"/>
      <c r="AG13" s="5111"/>
      <c r="AH13" s="5112"/>
      <c r="AI13" s="5112"/>
      <c r="AJ13" s="5123"/>
      <c r="AK13" s="2942"/>
      <c r="AL13" s="2946"/>
    </row>
    <row r="14" spans="1:38" ht="12" customHeight="1" thickBot="1" x14ac:dyDescent="0.25">
      <c r="A14" s="2198"/>
      <c r="B14" s="2502"/>
      <c r="C14" s="3957" t="s">
        <v>2150</v>
      </c>
      <c r="D14" s="3961"/>
      <c r="E14" s="3961"/>
      <c r="F14" s="3961"/>
      <c r="G14" s="3962"/>
      <c r="H14" s="2195"/>
      <c r="I14" s="2195"/>
      <c r="J14" s="2195"/>
      <c r="K14" s="2195"/>
      <c r="L14" s="2195"/>
      <c r="M14" s="2195"/>
      <c r="N14" s="2195"/>
      <c r="O14" s="2195"/>
      <c r="P14" s="2195"/>
      <c r="Q14" s="2195"/>
      <c r="R14" s="2503"/>
      <c r="S14" s="2442"/>
      <c r="T14" s="2198"/>
      <c r="U14" s="2200"/>
      <c r="V14" s="5002"/>
      <c r="W14" s="5133" t="s">
        <v>10034</v>
      </c>
      <c r="X14" s="5134"/>
      <c r="Y14" s="5128"/>
      <c r="Z14" s="5129"/>
      <c r="AA14" s="5111"/>
      <c r="AB14" s="5112"/>
      <c r="AC14" s="5112"/>
      <c r="AD14" s="5115"/>
      <c r="AE14" s="5111"/>
      <c r="AF14" s="5115"/>
      <c r="AG14" s="5111"/>
      <c r="AH14" s="5112"/>
      <c r="AI14" s="5112"/>
      <c r="AJ14" s="5123"/>
      <c r="AK14" s="2958"/>
      <c r="AL14" s="2955"/>
    </row>
    <row r="15" spans="1:38" ht="12" customHeight="1" thickBot="1" x14ac:dyDescent="0.25">
      <c r="A15" s="2198"/>
      <c r="B15" s="2502"/>
      <c r="C15" s="4940" t="s">
        <v>1838</v>
      </c>
      <c r="D15" s="4941"/>
      <c r="E15" s="4941"/>
      <c r="F15" s="4942"/>
      <c r="G15" s="2431" t="s">
        <v>1801</v>
      </c>
      <c r="H15" s="2195"/>
      <c r="I15" s="4992" t="s">
        <v>2153</v>
      </c>
      <c r="J15" s="4993"/>
      <c r="K15" s="4993"/>
      <c r="L15" s="4993"/>
      <c r="M15" s="4993"/>
      <c r="N15" s="4993"/>
      <c r="O15" s="4993"/>
      <c r="P15" s="4993"/>
      <c r="Q15" s="4994"/>
      <c r="R15" s="2503"/>
      <c r="S15" s="2442"/>
      <c r="T15" s="2198"/>
      <c r="U15" s="2200"/>
      <c r="V15" s="5003"/>
      <c r="W15" s="5136" t="s">
        <v>1882</v>
      </c>
      <c r="X15" s="5137"/>
      <c r="Y15" s="5130"/>
      <c r="Z15" s="5131"/>
      <c r="AA15" s="5113"/>
      <c r="AB15" s="5114"/>
      <c r="AC15" s="5114"/>
      <c r="AD15" s="5119"/>
      <c r="AE15" s="5113"/>
      <c r="AF15" s="5119"/>
      <c r="AG15" s="5113"/>
      <c r="AH15" s="5114"/>
      <c r="AI15" s="5114"/>
      <c r="AJ15" s="5124"/>
      <c r="AK15" s="2958"/>
      <c r="AL15" s="2955"/>
    </row>
    <row r="16" spans="1:38" ht="12" customHeight="1" thickBot="1" x14ac:dyDescent="0.25">
      <c r="A16" s="2198"/>
      <c r="B16" s="2502"/>
      <c r="C16" s="5036"/>
      <c r="D16" s="5037"/>
      <c r="E16" s="5037"/>
      <c r="F16" s="5038"/>
      <c r="G16" s="2206"/>
      <c r="H16" s="2195"/>
      <c r="I16" s="4571" t="s">
        <v>1752</v>
      </c>
      <c r="J16" s="4995"/>
      <c r="K16" s="4995"/>
      <c r="L16" s="4995"/>
      <c r="M16" s="4995"/>
      <c r="N16" s="4995"/>
      <c r="O16" s="3207"/>
      <c r="P16" s="74" t="s">
        <v>1685</v>
      </c>
      <c r="Q16" s="21" t="s">
        <v>1686</v>
      </c>
      <c r="R16" s="2503"/>
      <c r="S16" s="2442"/>
      <c r="T16" s="2198"/>
      <c r="U16" s="2200"/>
      <c r="AK16" s="2958"/>
      <c r="AL16" s="2955"/>
    </row>
    <row r="17" spans="1:40" ht="12" customHeight="1" thickBot="1" x14ac:dyDescent="0.25">
      <c r="A17" s="2198"/>
      <c r="B17" s="2502"/>
      <c r="C17" s="4945"/>
      <c r="D17" s="4105"/>
      <c r="E17" s="4105"/>
      <c r="F17" s="4946"/>
      <c r="G17" s="2207"/>
      <c r="H17" s="2195"/>
      <c r="I17" s="4928"/>
      <c r="J17" s="4929"/>
      <c r="K17" s="4929"/>
      <c r="L17" s="4929"/>
      <c r="M17" s="4929"/>
      <c r="N17" s="4929"/>
      <c r="O17" s="4930"/>
      <c r="P17" s="220"/>
      <c r="Q17" s="22"/>
      <c r="R17" s="2503"/>
      <c r="S17" s="2442"/>
      <c r="T17" s="2198"/>
      <c r="U17" s="2200"/>
      <c r="V17" s="5001" t="s">
        <v>2940</v>
      </c>
      <c r="W17" s="5000" t="s">
        <v>8714</v>
      </c>
      <c r="X17" s="5000"/>
      <c r="Y17" s="4925" t="s">
        <v>1766</v>
      </c>
      <c r="Z17" s="4926"/>
      <c r="AB17" s="5007" t="s">
        <v>8718</v>
      </c>
      <c r="AC17" s="5008"/>
      <c r="AD17" s="5008"/>
      <c r="AE17" s="5009"/>
      <c r="AG17" s="5007" t="s">
        <v>8720</v>
      </c>
      <c r="AH17" s="5008"/>
      <c r="AI17" s="5008"/>
      <c r="AJ17" s="5009"/>
      <c r="AK17" s="2958"/>
      <c r="AL17" s="2955"/>
    </row>
    <row r="18" spans="1:40" ht="12" customHeight="1" thickBot="1" x14ac:dyDescent="0.25">
      <c r="A18" s="2198"/>
      <c r="B18" s="2502"/>
      <c r="C18" s="4943"/>
      <c r="D18" s="4104"/>
      <c r="E18" s="4104"/>
      <c r="F18" s="4944"/>
      <c r="G18" s="2208"/>
      <c r="H18" s="2195"/>
      <c r="I18" s="4928"/>
      <c r="J18" s="4929"/>
      <c r="K18" s="4929"/>
      <c r="L18" s="4929"/>
      <c r="M18" s="4929"/>
      <c r="N18" s="4929"/>
      <c r="O18" s="4930"/>
      <c r="P18" s="2426"/>
      <c r="Q18" s="22"/>
      <c r="R18" s="2503"/>
      <c r="S18" s="2442"/>
      <c r="T18" s="2198"/>
      <c r="U18" s="2200"/>
      <c r="V18" s="5002"/>
      <c r="W18" s="4999" t="s">
        <v>8715</v>
      </c>
      <c r="X18" s="4999"/>
      <c r="Y18" s="4927" t="s">
        <v>1766</v>
      </c>
      <c r="Z18" s="4927"/>
      <c r="AB18" s="5019" t="s">
        <v>8719</v>
      </c>
      <c r="AC18" s="5020"/>
      <c r="AD18" s="5020"/>
      <c r="AE18" s="2241" t="s">
        <v>1690</v>
      </c>
      <c r="AG18" s="5016"/>
      <c r="AH18" s="5017"/>
      <c r="AI18" s="5017"/>
      <c r="AJ18" s="5018"/>
      <c r="AK18" s="2958"/>
      <c r="AL18" s="2955"/>
    </row>
    <row r="19" spans="1:40" ht="15" customHeight="1" thickBot="1" x14ac:dyDescent="0.25">
      <c r="A19" s="2198"/>
      <c r="B19" s="2502"/>
      <c r="C19" s="4962"/>
      <c r="D19" s="4963"/>
      <c r="E19" s="4963"/>
      <c r="F19" s="4964"/>
      <c r="G19" s="2217"/>
      <c r="H19" s="2195"/>
      <c r="I19" s="4928"/>
      <c r="J19" s="4929"/>
      <c r="K19" s="4929"/>
      <c r="L19" s="4929"/>
      <c r="M19" s="4929"/>
      <c r="N19" s="4929"/>
      <c r="O19" s="4930"/>
      <c r="P19" s="2426"/>
      <c r="Q19" s="22"/>
      <c r="R19" s="2503"/>
      <c r="S19" s="2442"/>
      <c r="T19" s="2198"/>
      <c r="U19" s="2200"/>
      <c r="V19" s="5002"/>
      <c r="W19" s="4916" t="s">
        <v>8716</v>
      </c>
      <c r="X19" s="4917"/>
      <c r="Y19" s="4917"/>
      <c r="Z19" s="4918"/>
      <c r="AB19" s="5016"/>
      <c r="AC19" s="5017"/>
      <c r="AD19" s="5017"/>
      <c r="AE19" s="5018"/>
      <c r="AG19" s="5010"/>
      <c r="AH19" s="5011"/>
      <c r="AI19" s="5011"/>
      <c r="AJ19" s="5012"/>
      <c r="AK19" s="2958"/>
      <c r="AL19" s="2955"/>
    </row>
    <row r="20" spans="1:40" ht="12" customHeight="1" thickBot="1" x14ac:dyDescent="0.25">
      <c r="A20" s="2198"/>
      <c r="B20" s="2502"/>
      <c r="C20" s="2195"/>
      <c r="D20" s="2195"/>
      <c r="E20" s="2195"/>
      <c r="F20" s="2195"/>
      <c r="G20" s="2195"/>
      <c r="H20" s="2195"/>
      <c r="I20" s="4928"/>
      <c r="J20" s="4929"/>
      <c r="K20" s="4929"/>
      <c r="L20" s="4929"/>
      <c r="M20" s="4929"/>
      <c r="N20" s="4929"/>
      <c r="O20" s="4930"/>
      <c r="P20" s="2426"/>
      <c r="Q20" s="22"/>
      <c r="R20" s="2503"/>
      <c r="S20" s="2442"/>
      <c r="T20" s="2198"/>
      <c r="U20" s="2200"/>
      <c r="V20" s="5002"/>
      <c r="W20" s="4919" t="s">
        <v>1956</v>
      </c>
      <c r="X20" s="4920"/>
      <c r="Y20" s="4920"/>
      <c r="Z20" s="4921"/>
      <c r="AB20" s="5010"/>
      <c r="AC20" s="5011"/>
      <c r="AD20" s="5011"/>
      <c r="AE20" s="5012"/>
      <c r="AG20" s="5013"/>
      <c r="AH20" s="5014"/>
      <c r="AI20" s="5014"/>
      <c r="AJ20" s="5015"/>
      <c r="AK20" s="2958"/>
      <c r="AL20" s="2955"/>
    </row>
    <row r="21" spans="1:40" ht="12" customHeight="1" thickBot="1" x14ac:dyDescent="0.25">
      <c r="A21" s="2198"/>
      <c r="B21" s="2502"/>
      <c r="C21" s="4965" t="s">
        <v>8065</v>
      </c>
      <c r="D21" s="4966"/>
      <c r="E21" s="4966"/>
      <c r="F21" s="4966"/>
      <c r="G21" s="4967"/>
      <c r="H21" s="2195"/>
      <c r="I21" s="4928"/>
      <c r="J21" s="4929"/>
      <c r="K21" s="4929"/>
      <c r="L21" s="4929"/>
      <c r="M21" s="4929"/>
      <c r="N21" s="4929"/>
      <c r="O21" s="4930"/>
      <c r="P21" s="2426"/>
      <c r="Q21" s="22"/>
      <c r="R21" s="2503"/>
      <c r="S21" s="2442"/>
      <c r="T21" s="2198"/>
      <c r="U21" s="2200"/>
      <c r="V21" s="5003"/>
      <c r="W21" s="4922" t="s">
        <v>1956</v>
      </c>
      <c r="X21" s="4923"/>
      <c r="Y21" s="4923"/>
      <c r="Z21" s="4924"/>
      <c r="AB21" s="4996"/>
      <c r="AC21" s="4997"/>
      <c r="AD21" s="4997"/>
      <c r="AE21" s="4998"/>
      <c r="AK21" s="2958"/>
      <c r="AL21" s="2955"/>
      <c r="AM21" s="2701" t="s">
        <v>8061</v>
      </c>
      <c r="AN21" s="2702" t="b">
        <f>OR(IF(Personalización!E25="",,COUNTIF(Tablas!$L$136:$L$137,Personalización!$E$25)=0),IF(Personalización!E26="",,COUNTIF(Tablas!$N$136:$N$137,Personalización!$E$26)=0))</f>
        <v>0</v>
      </c>
    </row>
    <row r="22" spans="1:40" ht="12" customHeight="1" thickBot="1" x14ac:dyDescent="0.25">
      <c r="A22" s="2198"/>
      <c r="B22" s="2502"/>
      <c r="C22" s="4980" t="str">
        <f>IF(Tablas!G480&gt;0,"Ventaja elegida","")</f>
        <v/>
      </c>
      <c r="D22" s="4981"/>
      <c r="E22" s="4971" t="str">
        <f>IF(C22="","Aplicar bonos:","")</f>
        <v>Aplicar bonos:</v>
      </c>
      <c r="F22" s="4971"/>
      <c r="G22" s="1867" t="s">
        <v>1690</v>
      </c>
      <c r="H22" s="2195"/>
      <c r="I22" s="4928"/>
      <c r="J22" s="4929"/>
      <c r="K22" s="4929"/>
      <c r="L22" s="4929"/>
      <c r="M22" s="4929"/>
      <c r="N22" s="4929"/>
      <c r="O22" s="4930"/>
      <c r="P22" s="2426"/>
      <c r="Q22" s="22"/>
      <c r="R22" s="2506"/>
      <c r="S22" s="1869"/>
      <c r="T22" s="2198"/>
      <c r="U22" s="2200"/>
      <c r="AK22" s="2942"/>
      <c r="AL22" s="2946"/>
    </row>
    <row r="23" spans="1:40" ht="12" customHeight="1" thickBot="1" x14ac:dyDescent="0.25">
      <c r="A23" s="2198"/>
      <c r="B23" s="2502"/>
      <c r="C23" s="4972" t="str">
        <f>IF(Region="","Región no definida",Region)</f>
        <v>Región no definida</v>
      </c>
      <c r="D23" s="4973"/>
      <c r="E23" s="4973" t="str">
        <f>IF(Region="","Clase social no definida",ClaseSocial)</f>
        <v>Clase social no definida</v>
      </c>
      <c r="F23" s="4973"/>
      <c r="G23" s="4974"/>
      <c r="H23" s="2195"/>
      <c r="I23" s="4928"/>
      <c r="J23" s="4929"/>
      <c r="K23" s="4929"/>
      <c r="L23" s="4929"/>
      <c r="M23" s="4929"/>
      <c r="N23" s="4929"/>
      <c r="O23" s="4930"/>
      <c r="P23" s="2426"/>
      <c r="Q23" s="22"/>
      <c r="R23" s="2503"/>
      <c r="S23" s="2442"/>
      <c r="T23" s="2198"/>
      <c r="U23" s="2200"/>
      <c r="V23" s="3201" t="s">
        <v>2154</v>
      </c>
      <c r="W23" s="3201"/>
      <c r="X23" s="3201"/>
      <c r="Y23" s="3201"/>
      <c r="Z23" s="3201"/>
      <c r="AA23" s="3201"/>
      <c r="AB23" s="3201"/>
      <c r="AC23" s="3201"/>
      <c r="AD23" s="3201"/>
      <c r="AE23" s="3201"/>
      <c r="AF23" s="3201"/>
      <c r="AG23" s="3201"/>
      <c r="AH23" s="3201"/>
      <c r="AI23" s="3201"/>
      <c r="AJ23" s="3201"/>
      <c r="AK23" s="2958"/>
      <c r="AL23" s="2955"/>
      <c r="AM23" s="2701" t="s">
        <v>8062</v>
      </c>
      <c r="AN23" s="2900" t="str">
        <f>IF(Tablas!L136="","",IF(AND(Region="Elcia",OR(ClaseSocial=Tablas!CK140,ClaseSocial=Tablas!CL140,ClaseSocial=Tablas!CM140)),"Habilidades_Secundarias","Tablas!$K$33:$K$34"))</f>
        <v/>
      </c>
    </row>
    <row r="24" spans="1:40" ht="12" customHeight="1" x14ac:dyDescent="0.2">
      <c r="A24" s="2198"/>
      <c r="B24" s="2502"/>
      <c r="C24" s="4972"/>
      <c r="D24" s="4973"/>
      <c r="E24" s="4973"/>
      <c r="F24" s="4973"/>
      <c r="G24" s="4974"/>
      <c r="H24" s="2195"/>
      <c r="I24" s="4928"/>
      <c r="J24" s="4929"/>
      <c r="K24" s="4929"/>
      <c r="L24" s="4929"/>
      <c r="M24" s="4929"/>
      <c r="N24" s="4929"/>
      <c r="O24" s="4930"/>
      <c r="P24" s="2426"/>
      <c r="Q24" s="22"/>
      <c r="R24" s="2503"/>
      <c r="S24" s="2442"/>
      <c r="T24" s="2198"/>
      <c r="U24" s="2200"/>
      <c r="V24" s="3266" t="s">
        <v>1625</v>
      </c>
      <c r="W24" s="3266"/>
      <c r="X24" s="5027"/>
      <c r="Y24" s="5027"/>
      <c r="Z24" s="5027"/>
      <c r="AA24" s="5027"/>
      <c r="AB24" s="5028"/>
      <c r="AC24" s="5028"/>
      <c r="AD24" s="5028"/>
      <c r="AE24" s="5028"/>
      <c r="AF24" s="5028"/>
      <c r="AG24" s="5028"/>
      <c r="AH24" s="5028"/>
      <c r="AI24" s="5028"/>
      <c r="AJ24" s="5028"/>
      <c r="AK24" s="2958"/>
      <c r="AL24" s="2955"/>
      <c r="AM24" s="2701" t="s">
        <v>8063</v>
      </c>
      <c r="AN24" s="2900" t="str">
        <f>IF(Tablas!N136="","","Tablas!$M$33:$M$34")</f>
        <v/>
      </c>
    </row>
    <row r="25" spans="1:40" ht="12" customHeight="1" x14ac:dyDescent="0.2">
      <c r="A25" s="2198"/>
      <c r="B25" s="2502"/>
      <c r="C25" s="4982" t="str">
        <f>IF(Tablas!L136="","","Bono Especial:")</f>
        <v/>
      </c>
      <c r="D25" s="4983"/>
      <c r="E25" s="4968"/>
      <c r="F25" s="4969"/>
      <c r="G25" s="4970"/>
      <c r="H25" s="2195"/>
      <c r="I25" s="4928"/>
      <c r="J25" s="4929"/>
      <c r="K25" s="4929"/>
      <c r="L25" s="4929"/>
      <c r="M25" s="4929"/>
      <c r="N25" s="4929"/>
      <c r="O25" s="4930"/>
      <c r="P25" s="2426"/>
      <c r="Q25" s="22"/>
      <c r="R25" s="2503"/>
      <c r="S25" s="2442"/>
      <c r="T25" s="2198"/>
      <c r="U25" s="2200"/>
      <c r="V25" s="3266" t="s">
        <v>2155</v>
      </c>
      <c r="W25" s="3266"/>
      <c r="X25" s="81" t="s">
        <v>1690</v>
      </c>
      <c r="Y25" s="340" t="s">
        <v>1702</v>
      </c>
      <c r="Z25" s="154" t="s">
        <v>1882</v>
      </c>
      <c r="AA25" s="4204" t="s">
        <v>2156</v>
      </c>
      <c r="AB25" s="4204"/>
      <c r="AC25" s="81"/>
      <c r="AD25" s="238" t="s">
        <v>2157</v>
      </c>
      <c r="AE25" s="149"/>
      <c r="AF25" s="143" t="s">
        <v>1702</v>
      </c>
      <c r="AG25" s="5034" t="str">
        <f>IF(W26="Escudo","Bono de Parada:",IF(W26="Proyectiles","FUE del arma:",""))</f>
        <v/>
      </c>
      <c r="AH25" s="5035"/>
      <c r="AI25" s="5035"/>
      <c r="AJ25" s="112"/>
      <c r="AK25" s="2958"/>
      <c r="AL25" s="2955"/>
    </row>
    <row r="26" spans="1:40" ht="12" customHeight="1" thickBot="1" x14ac:dyDescent="0.25">
      <c r="A26" s="2198"/>
      <c r="B26" s="2502"/>
      <c r="C26" s="4975" t="str">
        <f>IF(Tablas!N136="","","Bono Especial:")</f>
        <v/>
      </c>
      <c r="D26" s="4976"/>
      <c r="E26" s="4977"/>
      <c r="F26" s="4978"/>
      <c r="G26" s="4979"/>
      <c r="H26" s="2195"/>
      <c r="I26" s="4947"/>
      <c r="J26" s="4948"/>
      <c r="K26" s="4948"/>
      <c r="L26" s="4948"/>
      <c r="M26" s="4948"/>
      <c r="N26" s="4948"/>
      <c r="O26" s="4949"/>
      <c r="P26" s="2428"/>
      <c r="Q26" s="24"/>
      <c r="R26" s="2503"/>
      <c r="S26" s="2442"/>
      <c r="T26" s="2198"/>
      <c r="U26" s="2200"/>
      <c r="V26" s="341" t="s">
        <v>2158</v>
      </c>
      <c r="W26" s="3735"/>
      <c r="X26" s="3735"/>
      <c r="Y26" s="5029"/>
      <c r="Z26" s="5029"/>
      <c r="AA26" s="129" t="s">
        <v>1884</v>
      </c>
      <c r="AB26" s="129" t="s">
        <v>1885</v>
      </c>
      <c r="AC26" s="129" t="s">
        <v>1869</v>
      </c>
      <c r="AD26" s="129" t="s">
        <v>1886</v>
      </c>
      <c r="AE26" s="342" t="s">
        <v>1870</v>
      </c>
      <c r="AF26" s="136" t="s">
        <v>2996</v>
      </c>
      <c r="AG26" s="5039" t="str">
        <f>IF(W26="Escudo","Bono de Esquiva:",IF(W26="Proyectiles","Turnos de recarga:",""))</f>
        <v/>
      </c>
      <c r="AH26" s="5040"/>
      <c r="AI26" s="5040"/>
      <c r="AJ26" s="112"/>
      <c r="AK26" s="2958"/>
      <c r="AL26" s="2955"/>
    </row>
    <row r="27" spans="1:40" ht="12" customHeight="1" thickBot="1" x14ac:dyDescent="0.25">
      <c r="A27" s="2198"/>
      <c r="B27" s="2502"/>
      <c r="C27" s="2195"/>
      <c r="D27" s="2195"/>
      <c r="E27" s="2195"/>
      <c r="F27" s="2195"/>
      <c r="G27" s="2195"/>
      <c r="H27" s="2195"/>
      <c r="I27" s="2195"/>
      <c r="J27" s="2195"/>
      <c r="K27" s="2195"/>
      <c r="L27" s="2195"/>
      <c r="M27" s="2195"/>
      <c r="N27" s="2195"/>
      <c r="O27" s="2195"/>
      <c r="P27" s="2195"/>
      <c r="Q27" s="2444"/>
      <c r="R27" s="2503"/>
      <c r="S27" s="2442"/>
      <c r="T27" s="2198"/>
      <c r="U27" s="2200"/>
      <c r="V27" s="89" t="s">
        <v>2159</v>
      </c>
      <c r="W27" s="3744"/>
      <c r="X27" s="3744"/>
      <c r="Y27" s="5029"/>
      <c r="Z27" s="5029"/>
      <c r="AA27" s="85"/>
      <c r="AB27" s="85"/>
      <c r="AC27" s="85"/>
      <c r="AD27" s="85"/>
      <c r="AE27" s="85"/>
      <c r="AF27" s="529"/>
      <c r="AG27" s="5041" t="str">
        <f>IF(W26="Proyectiles","Alcance:","")</f>
        <v/>
      </c>
      <c r="AH27" s="5041"/>
      <c r="AI27" s="5041"/>
      <c r="AJ27" s="114"/>
      <c r="AK27" s="2958"/>
      <c r="AL27" s="2955"/>
    </row>
    <row r="28" spans="1:40" ht="12" customHeight="1" x14ac:dyDescent="0.2">
      <c r="A28" s="2198"/>
      <c r="B28" s="2502"/>
      <c r="C28" s="2195"/>
      <c r="D28" s="2195"/>
      <c r="E28" s="5080" t="s">
        <v>1837</v>
      </c>
      <c r="F28" s="4879" t="s">
        <v>1838</v>
      </c>
      <c r="G28" s="4880"/>
      <c r="H28" s="4957"/>
      <c r="I28" s="2218" t="s">
        <v>1839</v>
      </c>
      <c r="J28" s="4956" t="s">
        <v>1840</v>
      </c>
      <c r="K28" s="4957"/>
      <c r="L28" s="4956" t="s">
        <v>1841</v>
      </c>
      <c r="M28" s="4880"/>
      <c r="N28" s="4950" t="str">
        <f>IF(SUM(I29:I31)+SUM(I32:I34)&gt;0,"Selecciona la/s Habilidad/es asociadas a las Ventajas",IF(SUM(I29:I31)+SUM(I32:I34)&lt;0,"Exceso de Habilidad/es seleccionadas",""))</f>
        <v/>
      </c>
      <c r="O28" s="4951"/>
      <c r="P28" s="2195"/>
      <c r="Q28" s="2195"/>
      <c r="R28" s="2503"/>
      <c r="S28" s="2442"/>
      <c r="T28" s="2198"/>
      <c r="U28" s="2200"/>
      <c r="V28" s="3266" t="s">
        <v>1625</v>
      </c>
      <c r="W28" s="3266"/>
      <c r="X28" s="5027"/>
      <c r="Y28" s="5027"/>
      <c r="Z28" s="5027"/>
      <c r="AA28" s="5027"/>
      <c r="AB28" s="5033"/>
      <c r="AC28" s="5033"/>
      <c r="AD28" s="5033"/>
      <c r="AE28" s="5033"/>
      <c r="AF28" s="5033"/>
      <c r="AG28" s="5033"/>
      <c r="AH28" s="5033"/>
      <c r="AI28" s="5033"/>
      <c r="AJ28" s="5033"/>
      <c r="AK28" s="2958"/>
      <c r="AL28" s="2955"/>
    </row>
    <row r="29" spans="1:40" ht="12" customHeight="1" x14ac:dyDescent="0.2">
      <c r="A29" s="2198"/>
      <c r="B29" s="2502"/>
      <c r="C29" s="2195"/>
      <c r="D29" s="2195"/>
      <c r="E29" s="5081"/>
      <c r="F29" s="2433" t="s">
        <v>1842</v>
      </c>
      <c r="G29" s="2430"/>
      <c r="H29" s="2430"/>
      <c r="I29" s="97">
        <f>Tablas!$G$276-IF(J29=0,0,1)-IF(L29=0,0,1)</f>
        <v>0</v>
      </c>
      <c r="J29" s="4958"/>
      <c r="K29" s="3737"/>
      <c r="L29" s="4984"/>
      <c r="M29" s="4309"/>
      <c r="N29" s="4952"/>
      <c r="O29" s="4953"/>
      <c r="P29" s="2195"/>
      <c r="Q29" s="2195"/>
      <c r="R29" s="2503"/>
      <c r="S29" s="2442"/>
      <c r="T29" s="2198"/>
      <c r="U29" s="2200"/>
      <c r="V29" s="3266" t="s">
        <v>2155</v>
      </c>
      <c r="W29" s="3266"/>
      <c r="X29" s="81" t="s">
        <v>1690</v>
      </c>
      <c r="Y29" s="340" t="s">
        <v>1702</v>
      </c>
      <c r="Z29" s="154" t="s">
        <v>1882</v>
      </c>
      <c r="AA29" s="4204" t="s">
        <v>2156</v>
      </c>
      <c r="AB29" s="4204"/>
      <c r="AC29" s="81"/>
      <c r="AD29" s="238" t="s">
        <v>2157</v>
      </c>
      <c r="AE29" s="149"/>
      <c r="AF29" s="143" t="s">
        <v>1702</v>
      </c>
      <c r="AG29" s="5034" t="str">
        <f>IF(W30="Escudo","Bono de Parada:",IF(W30="Proyectiles","FUE del arma:",""))</f>
        <v/>
      </c>
      <c r="AH29" s="5035"/>
      <c r="AI29" s="5035"/>
      <c r="AJ29" s="112"/>
      <c r="AK29" s="2958"/>
      <c r="AL29" s="2955"/>
    </row>
    <row r="30" spans="1:40" ht="12" customHeight="1" thickBot="1" x14ac:dyDescent="0.25">
      <c r="A30" s="2198"/>
      <c r="B30" s="2502"/>
      <c r="C30" s="2195"/>
      <c r="D30" s="2195"/>
      <c r="E30" s="5081"/>
      <c r="F30" s="2432" t="s">
        <v>1844</v>
      </c>
      <c r="G30" s="2429"/>
      <c r="H30" s="2429"/>
      <c r="I30" s="181">
        <f>Tablas!$G$277-IF(J30=0,0,1)-IF(L30=0,0,1)</f>
        <v>0</v>
      </c>
      <c r="J30" s="4987"/>
      <c r="K30" s="3740"/>
      <c r="L30" s="4985"/>
      <c r="M30" s="4986"/>
      <c r="N30" s="4952"/>
      <c r="O30" s="4953"/>
      <c r="P30" s="2195"/>
      <c r="Q30" s="2195"/>
      <c r="R30" s="2503"/>
      <c r="S30" s="2442"/>
      <c r="T30" s="2198"/>
      <c r="U30" s="2200"/>
      <c r="V30" s="341" t="s">
        <v>2158</v>
      </c>
      <c r="W30" s="3735"/>
      <c r="X30" s="3735"/>
      <c r="Y30" s="5029"/>
      <c r="Z30" s="5029"/>
      <c r="AA30" s="129" t="s">
        <v>1884</v>
      </c>
      <c r="AB30" s="129" t="s">
        <v>1885</v>
      </c>
      <c r="AC30" s="129" t="s">
        <v>1869</v>
      </c>
      <c r="AD30" s="129" t="s">
        <v>1886</v>
      </c>
      <c r="AE30" s="342" t="s">
        <v>1870</v>
      </c>
      <c r="AF30" s="136" t="s">
        <v>2996</v>
      </c>
      <c r="AG30" s="5039" t="str">
        <f>IF(W30="Escudo","Bono de Esquiva:",IF(W30="Proyectiles","Turnos de recarga:",""))</f>
        <v/>
      </c>
      <c r="AH30" s="5040"/>
      <c r="AI30" s="5040"/>
      <c r="AJ30" s="112"/>
      <c r="AK30" s="2958"/>
      <c r="AL30" s="2955"/>
    </row>
    <row r="31" spans="1:40" ht="12" customHeight="1" thickBot="1" x14ac:dyDescent="0.25">
      <c r="A31" s="2198"/>
      <c r="B31" s="2502"/>
      <c r="C31" s="2195"/>
      <c r="D31" s="2195"/>
      <c r="E31" s="5081"/>
      <c r="F31" s="2434" t="s">
        <v>1846</v>
      </c>
      <c r="G31" s="2435"/>
      <c r="H31" s="2435"/>
      <c r="I31" s="1628">
        <f>Tablas!$G$278-IF(J31=0,0,1)-IF(L31=0,0,1)</f>
        <v>0</v>
      </c>
      <c r="J31" s="4988"/>
      <c r="K31" s="4189"/>
      <c r="L31" s="4266"/>
      <c r="M31" s="4296"/>
      <c r="N31" s="4952"/>
      <c r="O31" s="4953"/>
      <c r="P31" s="2195"/>
      <c r="Q31" s="2195"/>
      <c r="R31" s="2503"/>
      <c r="S31" s="2442"/>
      <c r="T31" s="2198"/>
      <c r="U31" s="2200"/>
      <c r="V31" s="89" t="s">
        <v>2159</v>
      </c>
      <c r="W31" s="3744"/>
      <c r="X31" s="3744"/>
      <c r="Y31" s="5029"/>
      <c r="Z31" s="5029"/>
      <c r="AA31" s="85"/>
      <c r="AB31" s="85"/>
      <c r="AC31" s="85"/>
      <c r="AD31" s="85"/>
      <c r="AE31" s="85"/>
      <c r="AF31" s="529"/>
      <c r="AG31" s="5041" t="str">
        <f>IF(W30="Proyectiles","Alcance:","")</f>
        <v/>
      </c>
      <c r="AH31" s="5041"/>
      <c r="AI31" s="5041"/>
      <c r="AJ31" s="114"/>
      <c r="AK31" s="2958"/>
      <c r="AL31" s="2955"/>
    </row>
    <row r="32" spans="1:40" ht="12" customHeight="1" x14ac:dyDescent="0.2">
      <c r="A32" s="2198"/>
      <c r="B32" s="2502"/>
      <c r="C32" s="2195"/>
      <c r="D32" s="2195"/>
      <c r="E32" s="5081"/>
      <c r="F32" s="5095" t="s">
        <v>1843</v>
      </c>
      <c r="G32" s="3703"/>
      <c r="H32" s="5096"/>
      <c r="I32" s="97">
        <f>Tablas!$G$286-IF(J32=0,0,1)-IF(L32=0,0,1)</f>
        <v>0</v>
      </c>
      <c r="J32" s="4958"/>
      <c r="K32" s="3738"/>
      <c r="L32" s="4958"/>
      <c r="M32" s="4305"/>
      <c r="N32" s="4952"/>
      <c r="O32" s="4953"/>
      <c r="P32" s="2195"/>
      <c r="Q32" s="2195"/>
      <c r="R32" s="2506"/>
      <c r="S32" s="1869"/>
      <c r="T32" s="2198"/>
      <c r="U32" s="2200"/>
      <c r="V32" s="3266" t="s">
        <v>1625</v>
      </c>
      <c r="W32" s="3266"/>
      <c r="X32" s="5027"/>
      <c r="Y32" s="5027"/>
      <c r="Z32" s="5027"/>
      <c r="AA32" s="5027"/>
      <c r="AB32" s="5033"/>
      <c r="AC32" s="5033"/>
      <c r="AD32" s="5033"/>
      <c r="AE32" s="5033"/>
      <c r="AF32" s="5033"/>
      <c r="AG32" s="5033"/>
      <c r="AH32" s="5033"/>
      <c r="AI32" s="5033"/>
      <c r="AJ32" s="5033"/>
      <c r="AK32" s="2942"/>
      <c r="AL32" s="2946"/>
    </row>
    <row r="33" spans="1:56" ht="12" customHeight="1" x14ac:dyDescent="0.2">
      <c r="A33" s="2198"/>
      <c r="B33" s="2502"/>
      <c r="C33" s="2195"/>
      <c r="D33" s="2195"/>
      <c r="E33" s="5081"/>
      <c r="F33" s="5093" t="s">
        <v>1845</v>
      </c>
      <c r="G33" s="3701"/>
      <c r="H33" s="5094"/>
      <c r="I33" s="181">
        <f>Tablas!$G$287-IF(J33=0,0,1)-IF(L33=0,0,1)</f>
        <v>0</v>
      </c>
      <c r="J33" s="4987"/>
      <c r="K33" s="3741"/>
      <c r="L33" s="4987"/>
      <c r="M33" s="4986"/>
      <c r="N33" s="4952"/>
      <c r="O33" s="4953"/>
      <c r="P33" s="2195"/>
      <c r="Q33" s="2195"/>
      <c r="R33" s="2503"/>
      <c r="S33" s="2442"/>
      <c r="T33" s="2198"/>
      <c r="U33" s="2200"/>
      <c r="V33" s="3266" t="s">
        <v>2155</v>
      </c>
      <c r="W33" s="3266"/>
      <c r="X33" s="81" t="s">
        <v>1690</v>
      </c>
      <c r="Y33" s="340" t="s">
        <v>1702</v>
      </c>
      <c r="Z33" s="154" t="s">
        <v>1882</v>
      </c>
      <c r="AA33" s="4204" t="s">
        <v>2156</v>
      </c>
      <c r="AB33" s="4204"/>
      <c r="AC33" s="81"/>
      <c r="AD33" s="238" t="s">
        <v>2157</v>
      </c>
      <c r="AE33" s="149"/>
      <c r="AF33" s="143" t="s">
        <v>1702</v>
      </c>
      <c r="AG33" s="5034" t="str">
        <f>IF(W34="Escudo","Bono de Parada:",IF(W34="Proyectiles","FUE del arma:",""))</f>
        <v/>
      </c>
      <c r="AH33" s="5035"/>
      <c r="AI33" s="5035"/>
      <c r="AJ33" s="112"/>
      <c r="AK33" s="2958"/>
      <c r="AL33" s="2955"/>
    </row>
    <row r="34" spans="1:56" ht="12" customHeight="1" thickBot="1" x14ac:dyDescent="0.25">
      <c r="A34" s="2198"/>
      <c r="B34" s="2502"/>
      <c r="C34" s="2195"/>
      <c r="D34" s="2195"/>
      <c r="E34" s="5082"/>
      <c r="F34" s="5090" t="s">
        <v>1847</v>
      </c>
      <c r="G34" s="5091"/>
      <c r="H34" s="5092"/>
      <c r="I34" s="1628">
        <f>Tablas!$G$288-IF(J34=0,0,1)-IF(L34=0,0,1)</f>
        <v>0</v>
      </c>
      <c r="J34" s="4988"/>
      <c r="K34" s="5079"/>
      <c r="L34" s="4988"/>
      <c r="M34" s="4296"/>
      <c r="N34" s="4954"/>
      <c r="O34" s="4955"/>
      <c r="P34" s="2195"/>
      <c r="Q34" s="2195"/>
      <c r="R34" s="2503"/>
      <c r="S34" s="2442"/>
      <c r="T34" s="2198"/>
      <c r="U34" s="2200"/>
      <c r="V34" s="341" t="s">
        <v>2158</v>
      </c>
      <c r="W34" s="3735"/>
      <c r="X34" s="3735"/>
      <c r="Y34" s="5029"/>
      <c r="Z34" s="5029"/>
      <c r="AA34" s="129" t="s">
        <v>1884</v>
      </c>
      <c r="AB34" s="129" t="s">
        <v>1885</v>
      </c>
      <c r="AC34" s="129" t="s">
        <v>1869</v>
      </c>
      <c r="AD34" s="129" t="s">
        <v>1886</v>
      </c>
      <c r="AE34" s="342" t="s">
        <v>1870</v>
      </c>
      <c r="AF34" s="136" t="s">
        <v>2996</v>
      </c>
      <c r="AG34" s="5039" t="str">
        <f>IF(W34="Escudo","Bono de Esquiva:",IF(W34="Proyectiles","Turnos de recarga:",""))</f>
        <v/>
      </c>
      <c r="AH34" s="5040"/>
      <c r="AI34" s="5040"/>
      <c r="AJ34" s="112"/>
      <c r="AK34" s="2958"/>
      <c r="AL34" s="2955"/>
    </row>
    <row r="35" spans="1:56" ht="12" customHeight="1" thickBot="1" x14ac:dyDescent="0.25">
      <c r="A35" s="2198"/>
      <c r="B35" s="2502"/>
      <c r="C35" s="2195"/>
      <c r="D35" s="2195"/>
      <c r="E35" s="2195"/>
      <c r="F35" s="2195"/>
      <c r="G35" s="2195"/>
      <c r="H35" s="2195"/>
      <c r="I35" s="2195"/>
      <c r="J35" s="2195"/>
      <c r="K35" s="2195"/>
      <c r="L35" s="2195"/>
      <c r="M35" s="2195"/>
      <c r="N35" s="2195"/>
      <c r="O35" s="2195"/>
      <c r="P35" s="2195"/>
      <c r="Q35" s="2444"/>
      <c r="R35" s="2503"/>
      <c r="S35" s="2442"/>
      <c r="T35" s="2198"/>
      <c r="U35" s="2200"/>
      <c r="V35" s="89" t="s">
        <v>2159</v>
      </c>
      <c r="W35" s="3744"/>
      <c r="X35" s="3744"/>
      <c r="Y35" s="5029"/>
      <c r="Z35" s="5029"/>
      <c r="AA35" s="85"/>
      <c r="AB35" s="85"/>
      <c r="AC35" s="85"/>
      <c r="AD35" s="85"/>
      <c r="AE35" s="85"/>
      <c r="AF35" s="529"/>
      <c r="AG35" s="5041" t="str">
        <f>IF(W34="Proyectiles","Alcance:","")</f>
        <v/>
      </c>
      <c r="AH35" s="5041"/>
      <c r="AI35" s="5041"/>
      <c r="AJ35" s="114"/>
      <c r="AK35" s="2958"/>
      <c r="AL35" s="2955"/>
    </row>
    <row r="36" spans="1:56" ht="12" customHeight="1" thickBot="1" x14ac:dyDescent="0.25">
      <c r="A36" s="2198"/>
      <c r="B36" s="2502"/>
      <c r="C36" s="4989" t="s">
        <v>8922</v>
      </c>
      <c r="D36" s="4990"/>
      <c r="E36" s="4990"/>
      <c r="F36" s="4990"/>
      <c r="G36" s="4990"/>
      <c r="H36" s="4990"/>
      <c r="I36" s="4990"/>
      <c r="J36" s="4990"/>
      <c r="K36" s="4990"/>
      <c r="L36" s="4990"/>
      <c r="M36" s="4990"/>
      <c r="N36" s="4990"/>
      <c r="O36" s="4990"/>
      <c r="P36" s="4990"/>
      <c r="Q36" s="4991"/>
      <c r="R36" s="2503"/>
      <c r="S36" s="2442"/>
      <c r="T36" s="2198"/>
      <c r="U36" s="2200"/>
      <c r="AK36" s="2958"/>
      <c r="AL36" s="2955"/>
    </row>
    <row r="37" spans="1:56" ht="12" customHeight="1" thickBot="1" x14ac:dyDescent="0.25">
      <c r="A37" s="2198"/>
      <c r="B37" s="2502"/>
      <c r="C37" s="3829"/>
      <c r="D37" s="3830"/>
      <c r="E37" s="3830"/>
      <c r="F37" s="3830"/>
      <c r="G37" s="3830"/>
      <c r="H37" s="3830"/>
      <c r="I37" s="3830"/>
      <c r="J37" s="3830"/>
      <c r="K37" s="3830"/>
      <c r="L37" s="3830"/>
      <c r="M37" s="3830"/>
      <c r="N37" s="3830"/>
      <c r="O37" s="3830"/>
      <c r="P37" s="3830"/>
      <c r="Q37" s="3831"/>
      <c r="R37" s="2503"/>
      <c r="S37" s="2442"/>
      <c r="T37" s="2198"/>
      <c r="U37" s="2200"/>
      <c r="V37" s="5043" t="s">
        <v>2162</v>
      </c>
      <c r="W37" s="5032" t="s">
        <v>1625</v>
      </c>
      <c r="X37" s="5032"/>
      <c r="Y37" s="5055"/>
      <c r="Z37" s="5055"/>
      <c r="AA37" s="5055"/>
      <c r="AB37" s="5055"/>
      <c r="AC37" s="5055"/>
      <c r="AD37" s="5032" t="s">
        <v>1625</v>
      </c>
      <c r="AE37" s="5032"/>
      <c r="AF37" s="5055"/>
      <c r="AG37" s="5055"/>
      <c r="AH37" s="5055"/>
      <c r="AI37" s="5055"/>
      <c r="AJ37" s="5055"/>
      <c r="AK37" s="2958"/>
      <c r="AL37" s="2955"/>
    </row>
    <row r="38" spans="1:56" ht="12" customHeight="1" thickBot="1" x14ac:dyDescent="0.25">
      <c r="A38" s="2198"/>
      <c r="B38" s="2502"/>
      <c r="C38" s="2444"/>
      <c r="D38" s="2444"/>
      <c r="E38" s="2444"/>
      <c r="F38" s="2444"/>
      <c r="G38" s="2444"/>
      <c r="H38" s="2444"/>
      <c r="I38" s="2444"/>
      <c r="J38" s="2444"/>
      <c r="K38" s="2204"/>
      <c r="L38" s="2204"/>
      <c r="M38" s="2204"/>
      <c r="N38" s="2204"/>
      <c r="O38" s="2204"/>
      <c r="P38" s="2204"/>
      <c r="Q38" s="2204"/>
      <c r="R38" s="2503"/>
      <c r="S38" s="2442"/>
      <c r="T38" s="2198"/>
      <c r="U38" s="2200"/>
      <c r="V38" s="5043"/>
      <c r="W38" s="5042" t="s">
        <v>2163</v>
      </c>
      <c r="X38" s="5042"/>
      <c r="Y38" s="5030" t="str">
        <f>IF($Y$44="Cabeza","Pen.Percepción","Pen. Natural")</f>
        <v>Pen. Natural</v>
      </c>
      <c r="Z38" s="5030"/>
      <c r="AA38" s="5031" t="s">
        <v>2164</v>
      </c>
      <c r="AB38" s="5031"/>
      <c r="AC38" s="5031"/>
      <c r="AD38" s="5042" t="s">
        <v>2163</v>
      </c>
      <c r="AE38" s="5042"/>
      <c r="AF38" s="5030" t="str">
        <f>IF($AF$44="Cabeza","Pen.Percepción","Pen. Natural")</f>
        <v>Pen. Natural</v>
      </c>
      <c r="AG38" s="5030"/>
      <c r="AH38" s="5031" t="s">
        <v>2164</v>
      </c>
      <c r="AI38" s="5031"/>
      <c r="AJ38" s="5031"/>
      <c r="AK38" s="2958"/>
      <c r="AL38" s="2955"/>
    </row>
    <row r="39" spans="1:56" ht="12" customHeight="1" thickBot="1" x14ac:dyDescent="0.25">
      <c r="A39" s="2198"/>
      <c r="B39" s="2502"/>
      <c r="C39" s="67"/>
      <c r="D39" s="3168" t="s">
        <v>8936</v>
      </c>
      <c r="E39" s="5073"/>
      <c r="F39" s="5077" t="str">
        <f>"Poderes adquiridos: "&amp;IF(Tablas!$J$1801&gt;0,"Influjo Sobrenatural"&amp;IF(Tablas!$J$1806&gt;0,", Demiurgo",""),IF(Tablas!$J$1806&gt;0,"Demiurgo","Ninguno"))</f>
        <v>Poderes adquiridos: Ninguno</v>
      </c>
      <c r="G39" s="4981"/>
      <c r="H39" s="4981"/>
      <c r="I39" s="4981"/>
      <c r="J39" s="4981"/>
      <c r="K39" s="4981"/>
      <c r="L39" s="4981"/>
      <c r="M39" s="5078"/>
      <c r="N39" s="5099" t="s">
        <v>8923</v>
      </c>
      <c r="O39" s="5100"/>
      <c r="P39" s="5101"/>
      <c r="Q39" s="2204"/>
      <c r="R39" s="2503"/>
      <c r="S39" s="2442"/>
      <c r="T39" s="2198"/>
      <c r="U39" s="2200"/>
      <c r="V39" s="5043"/>
      <c r="W39" s="5058"/>
      <c r="X39" s="5058"/>
      <c r="Y39" s="5054"/>
      <c r="Z39" s="5054"/>
      <c r="AA39" s="5059"/>
      <c r="AB39" s="5059"/>
      <c r="AC39" s="5059"/>
      <c r="AD39" s="5058"/>
      <c r="AE39" s="5058"/>
      <c r="AF39" s="5054"/>
      <c r="AG39" s="5054"/>
      <c r="AH39" s="5059"/>
      <c r="AI39" s="5059"/>
      <c r="AJ39" s="5059"/>
      <c r="AK39" s="2958"/>
      <c r="AL39" s="2955"/>
      <c r="AM39" s="1695" t="s">
        <v>8543</v>
      </c>
      <c r="AN39" s="1775"/>
    </row>
    <row r="40" spans="1:56" ht="12" customHeight="1" thickBot="1" x14ac:dyDescent="0.25">
      <c r="A40" s="2198"/>
      <c r="B40" s="2502"/>
      <c r="C40" s="67"/>
      <c r="D40" s="5074"/>
      <c r="E40" s="5075"/>
      <c r="F40" s="2477"/>
      <c r="G40" s="2454" t="s">
        <v>8921</v>
      </c>
      <c r="H40" s="2448" t="s">
        <v>3050</v>
      </c>
      <c r="I40" s="2448" t="s">
        <v>3050</v>
      </c>
      <c r="J40" s="2448" t="s">
        <v>3056</v>
      </c>
      <c r="K40" s="2448" t="s">
        <v>3054</v>
      </c>
      <c r="L40" s="2448" t="s">
        <v>3054</v>
      </c>
      <c r="M40" s="2508"/>
      <c r="N40" s="2509" t="s">
        <v>1695</v>
      </c>
      <c r="O40" s="2457" t="s">
        <v>1700</v>
      </c>
      <c r="P40" s="2458" t="s">
        <v>1701</v>
      </c>
      <c r="Q40" s="2204"/>
      <c r="R40" s="2503"/>
      <c r="S40" s="2442"/>
      <c r="T40" s="2198"/>
      <c r="U40" s="2200"/>
      <c r="V40" s="5043"/>
      <c r="W40" s="349" t="s">
        <v>1863</v>
      </c>
      <c r="X40" s="349" t="s">
        <v>1809</v>
      </c>
      <c r="Y40" s="349" t="s">
        <v>1864</v>
      </c>
      <c r="Z40" s="349" t="s">
        <v>1865</v>
      </c>
      <c r="AA40" s="349" t="s">
        <v>1866</v>
      </c>
      <c r="AB40" s="349" t="s">
        <v>1867</v>
      </c>
      <c r="AC40" s="350" t="s">
        <v>1868</v>
      </c>
      <c r="AD40" s="349" t="s">
        <v>1863</v>
      </c>
      <c r="AE40" s="349" t="s">
        <v>1809</v>
      </c>
      <c r="AF40" s="349" t="s">
        <v>1864</v>
      </c>
      <c r="AG40" s="349" t="s">
        <v>1865</v>
      </c>
      <c r="AH40" s="349" t="s">
        <v>1866</v>
      </c>
      <c r="AI40" s="349" t="s">
        <v>1867</v>
      </c>
      <c r="AJ40" s="350" t="s">
        <v>1868</v>
      </c>
      <c r="AK40" s="2958"/>
      <c r="AL40" s="2955"/>
      <c r="AM40" s="2956" t="s">
        <v>8544</v>
      </c>
      <c r="AN40" s="2956" t="s">
        <v>7988</v>
      </c>
    </row>
    <row r="41" spans="1:56" ht="12" customHeight="1" thickBot="1" x14ac:dyDescent="0.25">
      <c r="A41" s="2198"/>
      <c r="B41" s="2502"/>
      <c r="C41" s="96"/>
      <c r="D41" s="3171"/>
      <c r="E41" s="5076"/>
      <c r="F41" s="2478"/>
      <c r="G41" s="2459" t="s">
        <v>8924</v>
      </c>
      <c r="H41" s="2460" t="s">
        <v>8546</v>
      </c>
      <c r="I41" s="2452"/>
      <c r="J41" s="2452"/>
      <c r="K41" s="2452"/>
      <c r="L41" s="2452"/>
      <c r="M41" s="2452"/>
      <c r="N41" s="2479">
        <f>IF(Tablas!$J$1801&gt;0,2*SUMPRODUCT(--ISNUMBER(SEARCH(Personalización!N$40,Personalización!$H$41))))+IF(Tablas!$J$1806&gt;0,SUMPRODUCT(--ISNUMBER(SEARCH(Personalización!N$40,Personalización!$H$40:$L$40))))</f>
        <v>0</v>
      </c>
      <c r="O41" s="2480">
        <f>IF(Tablas!$J$1801&gt;0,2*SUMPRODUCT(--ISNUMBER(SEARCH(Personalización!O$40,Personalización!$H$41))))+IF(Tablas!$J$1806&gt;0,SUMPRODUCT(--ISNUMBER(SEARCH(Personalización!O$40,Personalización!$H$40:$L$40))))</f>
        <v>0</v>
      </c>
      <c r="P41" s="2481">
        <f>IF(Tablas!$J$1801&gt;0,2*SUMPRODUCT(--ISNUMBER(SEARCH(Personalización!P$40,Personalización!$H$41))))+IF(Tablas!$J$1806&gt;0,SUMPRODUCT(--ISNUMBER(SEARCH(Personalización!P$40,Personalización!$H$40:$L$40))))</f>
        <v>0</v>
      </c>
      <c r="Q41" s="2204"/>
      <c r="R41" s="2503"/>
      <c r="S41" s="2442"/>
      <c r="T41" s="2198"/>
      <c r="U41" s="2200"/>
      <c r="V41" s="5043"/>
      <c r="W41" s="5047"/>
      <c r="X41" s="5047"/>
      <c r="Y41" s="5047"/>
      <c r="Z41" s="5047"/>
      <c r="AA41" s="5047"/>
      <c r="AB41" s="5049"/>
      <c r="AC41" s="5056"/>
      <c r="AD41" s="5045"/>
      <c r="AE41" s="5047"/>
      <c r="AF41" s="5047"/>
      <c r="AG41" s="5047"/>
      <c r="AH41" s="5047"/>
      <c r="AI41" s="5049"/>
      <c r="AJ41" s="5056"/>
      <c r="AK41" s="2958"/>
      <c r="AL41" s="2955"/>
      <c r="AM41" s="2959" t="s">
        <v>8545</v>
      </c>
      <c r="AN41" s="2959" t="s">
        <v>3050</v>
      </c>
      <c r="AV41" s="241"/>
      <c r="AW41" s="241"/>
      <c r="AX41" s="241"/>
      <c r="AY41" s="241"/>
      <c r="AZ41" s="241"/>
      <c r="BA41" s="241"/>
      <c r="BB41" s="241"/>
      <c r="BC41" s="241"/>
      <c r="BD41" s="241"/>
    </row>
    <row r="42" spans="1:56" ht="12" customHeight="1" thickBot="1" x14ac:dyDescent="0.25">
      <c r="A42" s="2198"/>
      <c r="B42" s="2502"/>
      <c r="C42" s="2444"/>
      <c r="D42" s="2444"/>
      <c r="E42" s="2444"/>
      <c r="F42" s="2444"/>
      <c r="G42" s="2444"/>
      <c r="H42" s="2444"/>
      <c r="I42" s="2444"/>
      <c r="J42" s="2444"/>
      <c r="K42" s="2204"/>
      <c r="L42" s="2204"/>
      <c r="M42" s="2204"/>
      <c r="N42" s="2204"/>
      <c r="O42" s="2204"/>
      <c r="P42" s="2204"/>
      <c r="Q42" s="2204"/>
      <c r="R42" s="2503"/>
      <c r="S42" s="2442"/>
      <c r="T42" s="2198"/>
      <c r="U42" s="2200"/>
      <c r="V42" s="5043"/>
      <c r="W42" s="5047"/>
      <c r="X42" s="5048"/>
      <c r="Y42" s="5048"/>
      <c r="Z42" s="5048"/>
      <c r="AA42" s="5048"/>
      <c r="AB42" s="5053"/>
      <c r="AC42" s="5057"/>
      <c r="AD42" s="5046"/>
      <c r="AE42" s="5048"/>
      <c r="AF42" s="5048"/>
      <c r="AG42" s="5048"/>
      <c r="AH42" s="5048"/>
      <c r="AI42" s="5050"/>
      <c r="AJ42" s="5057"/>
      <c r="AK42" s="2958"/>
      <c r="AL42" s="2955"/>
      <c r="AM42" s="2959" t="s">
        <v>8546</v>
      </c>
      <c r="AN42" s="2959" t="s">
        <v>3054</v>
      </c>
    </row>
    <row r="43" spans="1:56" ht="12" customHeight="1" thickBot="1" x14ac:dyDescent="0.25">
      <c r="A43" s="2198"/>
      <c r="B43" s="2502"/>
      <c r="C43" s="4959" t="s">
        <v>8925</v>
      </c>
      <c r="D43" s="4906" t="s">
        <v>1625</v>
      </c>
      <c r="E43" s="4907"/>
      <c r="F43" s="4912"/>
      <c r="G43" s="4912"/>
      <c r="H43" s="4912"/>
      <c r="I43" s="4912"/>
      <c r="J43" s="4912"/>
      <c r="K43" s="4912"/>
      <c r="L43" s="4912"/>
      <c r="M43" s="4912"/>
      <c r="N43" s="4912"/>
      <c r="O43" s="4912"/>
      <c r="P43" s="4912"/>
      <c r="Q43" s="4913"/>
      <c r="R43" s="2503"/>
      <c r="S43" s="2442"/>
      <c r="T43" s="2198"/>
      <c r="U43" s="2200"/>
      <c r="V43" s="5043"/>
      <c r="W43" s="3276" t="s">
        <v>2165</v>
      </c>
      <c r="X43" s="3276"/>
      <c r="Y43" s="4104"/>
      <c r="Z43" s="4104"/>
      <c r="AA43" s="3276" t="s">
        <v>2166</v>
      </c>
      <c r="AB43" s="3276"/>
      <c r="AC43" s="1880"/>
      <c r="AD43" s="3276" t="s">
        <v>2165</v>
      </c>
      <c r="AE43" s="3276"/>
      <c r="AF43" s="4104"/>
      <c r="AG43" s="4104"/>
      <c r="AH43" s="3276" t="s">
        <v>2166</v>
      </c>
      <c r="AI43" s="3276"/>
      <c r="AJ43" s="1880"/>
      <c r="AK43" s="2958"/>
      <c r="AL43" s="2955"/>
      <c r="AN43" s="2959" t="s">
        <v>3056</v>
      </c>
    </row>
    <row r="44" spans="1:56" ht="12" customHeight="1" thickBot="1" x14ac:dyDescent="0.25">
      <c r="A44" s="2198"/>
      <c r="B44" s="2502"/>
      <c r="C44" s="4960"/>
      <c r="D44" s="3229" t="s">
        <v>8933</v>
      </c>
      <c r="E44" s="3229"/>
      <c r="F44" s="3229"/>
      <c r="G44" s="2436" t="s">
        <v>2149</v>
      </c>
      <c r="H44" s="2427" t="s">
        <v>1801</v>
      </c>
      <c r="I44" s="3225" t="s">
        <v>1861</v>
      </c>
      <c r="J44" s="3229"/>
      <c r="K44" s="3229"/>
      <c r="L44" s="3229"/>
      <c r="M44" s="3229"/>
      <c r="N44" s="3229"/>
      <c r="O44" s="3229"/>
      <c r="P44" s="3229"/>
      <c r="Q44" s="3226"/>
      <c r="R44" s="2503"/>
      <c r="S44" s="2442"/>
      <c r="T44" s="2198"/>
      <c r="U44" s="2200"/>
      <c r="V44" s="5043"/>
      <c r="W44" s="4572" t="s">
        <v>2167</v>
      </c>
      <c r="X44" s="4572"/>
      <c r="Y44" s="5084"/>
      <c r="Z44" s="5084"/>
      <c r="AA44" s="5044" t="s">
        <v>2168</v>
      </c>
      <c r="AB44" s="5044"/>
      <c r="AC44" s="352"/>
      <c r="AD44" s="4572" t="s">
        <v>2167</v>
      </c>
      <c r="AE44" s="4572"/>
      <c r="AF44" s="5084"/>
      <c r="AG44" s="5084"/>
      <c r="AH44" s="5044" t="s">
        <v>2168</v>
      </c>
      <c r="AI44" s="5044"/>
      <c r="AJ44" s="353"/>
      <c r="AK44" s="2958"/>
      <c r="AL44" s="2955"/>
    </row>
    <row r="45" spans="1:56" ht="12" customHeight="1" thickBot="1" x14ac:dyDescent="0.25">
      <c r="A45" s="2198"/>
      <c r="B45" s="2502"/>
      <c r="C45" s="4960"/>
      <c r="D45" s="4908"/>
      <c r="E45" s="4909"/>
      <c r="F45" s="4910"/>
      <c r="G45" s="2498"/>
      <c r="H45" s="2499"/>
      <c r="I45" s="4914"/>
      <c r="J45" s="4914"/>
      <c r="K45" s="4914"/>
      <c r="L45" s="4914"/>
      <c r="M45" s="4914"/>
      <c r="N45" s="4914"/>
      <c r="O45" s="4914"/>
      <c r="P45" s="4914"/>
      <c r="Q45" s="4915"/>
      <c r="R45" s="2503"/>
      <c r="S45" s="2442"/>
      <c r="T45" s="2198"/>
      <c r="U45" s="2200"/>
      <c r="AK45" s="2958"/>
      <c r="AL45" s="2955"/>
    </row>
    <row r="46" spans="1:56" ht="12" customHeight="1" thickBot="1" x14ac:dyDescent="0.25">
      <c r="A46" s="2198"/>
      <c r="B46" s="2502"/>
      <c r="C46" s="4960"/>
      <c r="D46" s="4908"/>
      <c r="E46" s="4909"/>
      <c r="F46" s="4910"/>
      <c r="G46" s="2498"/>
      <c r="H46" s="2499"/>
      <c r="I46" s="4884"/>
      <c r="J46" s="4884"/>
      <c r="K46" s="4884"/>
      <c r="L46" s="4884"/>
      <c r="M46" s="4884"/>
      <c r="N46" s="4884"/>
      <c r="O46" s="4884"/>
      <c r="P46" s="4884"/>
      <c r="Q46" s="4885"/>
      <c r="R46" s="2503"/>
      <c r="S46" s="2442"/>
      <c r="T46" s="2198"/>
      <c r="U46" s="2200"/>
      <c r="V46" s="3201" t="s">
        <v>2172</v>
      </c>
      <c r="W46" s="3201"/>
      <c r="X46" s="3201"/>
      <c r="Y46" s="3201"/>
      <c r="Z46" s="3201"/>
      <c r="AA46" s="3201"/>
      <c r="AB46" s="3201"/>
      <c r="AC46" s="3201"/>
      <c r="AD46" s="3201"/>
      <c r="AE46" s="3201"/>
      <c r="AF46" s="3201"/>
      <c r="AG46" s="3201"/>
      <c r="AH46" s="3201"/>
      <c r="AI46" s="3201"/>
      <c r="AJ46" s="3201"/>
      <c r="AK46" s="2958"/>
      <c r="AL46" s="2955"/>
    </row>
    <row r="47" spans="1:56" ht="12" customHeight="1" thickBot="1" x14ac:dyDescent="0.25">
      <c r="A47" s="2198"/>
      <c r="B47" s="2502"/>
      <c r="C47" s="4960"/>
      <c r="D47" s="4908"/>
      <c r="E47" s="4909"/>
      <c r="F47" s="4910"/>
      <c r="G47" s="2498"/>
      <c r="H47" s="2499"/>
      <c r="I47" s="4884"/>
      <c r="J47" s="4884"/>
      <c r="K47" s="4884"/>
      <c r="L47" s="4884"/>
      <c r="M47" s="4884"/>
      <c r="N47" s="4884"/>
      <c r="O47" s="4884"/>
      <c r="P47" s="4884"/>
      <c r="Q47" s="4885"/>
      <c r="R47" s="2503"/>
      <c r="S47" s="2442"/>
      <c r="T47" s="2198"/>
      <c r="U47" s="2200"/>
      <c r="V47" s="5106" t="s">
        <v>2173</v>
      </c>
      <c r="W47" s="5106"/>
      <c r="X47" s="5106"/>
      <c r="Y47" s="5107"/>
      <c r="Z47" s="5107"/>
      <c r="AA47" s="5107"/>
      <c r="AB47" s="5108"/>
      <c r="AC47" s="5108"/>
      <c r="AD47" s="5108"/>
      <c r="AE47" s="5108"/>
      <c r="AF47" s="5108"/>
      <c r="AG47" s="5108"/>
      <c r="AH47" s="5109"/>
      <c r="AI47" s="5109"/>
      <c r="AJ47" s="5109"/>
      <c r="AK47" s="2958"/>
      <c r="AL47" s="2955"/>
    </row>
    <row r="48" spans="1:56" ht="12" customHeight="1" x14ac:dyDescent="0.2">
      <c r="A48" s="2198"/>
      <c r="B48" s="2502"/>
      <c r="C48" s="4960"/>
      <c r="D48" s="4908"/>
      <c r="E48" s="4909"/>
      <c r="F48" s="4910"/>
      <c r="G48" s="2498"/>
      <c r="H48" s="2499"/>
      <c r="I48" s="4884"/>
      <c r="J48" s="4884"/>
      <c r="K48" s="4884"/>
      <c r="L48" s="4884"/>
      <c r="M48" s="4884"/>
      <c r="N48" s="4884"/>
      <c r="O48" s="4884"/>
      <c r="P48" s="4884"/>
      <c r="Q48" s="4885"/>
      <c r="R48" s="2503"/>
      <c r="S48" s="2442"/>
      <c r="T48" s="2198"/>
      <c r="U48" s="2200"/>
      <c r="V48" s="5106"/>
      <c r="W48" s="5106"/>
      <c r="X48" s="5106"/>
      <c r="Y48" s="5107"/>
      <c r="Z48" s="5107"/>
      <c r="AA48" s="5107"/>
      <c r="AB48" s="5108"/>
      <c r="AC48" s="5108"/>
      <c r="AD48" s="5108"/>
      <c r="AE48" s="5108"/>
      <c r="AF48" s="5108"/>
      <c r="AG48" s="5108"/>
      <c r="AH48" s="5109"/>
      <c r="AI48" s="5109"/>
      <c r="AJ48" s="5109"/>
      <c r="AK48" s="2958"/>
      <c r="AL48" s="2955"/>
    </row>
    <row r="49" spans="1:38" ht="12" customHeight="1" x14ac:dyDescent="0.2">
      <c r="A49" s="2198"/>
      <c r="B49" s="2502"/>
      <c r="C49" s="4960"/>
      <c r="D49" s="4908"/>
      <c r="E49" s="4909"/>
      <c r="F49" s="4910"/>
      <c r="G49" s="2498"/>
      <c r="H49" s="2499"/>
      <c r="I49" s="4884"/>
      <c r="J49" s="4884"/>
      <c r="K49" s="4884"/>
      <c r="L49" s="4884"/>
      <c r="M49" s="4884"/>
      <c r="N49" s="4884"/>
      <c r="O49" s="4884"/>
      <c r="P49" s="4884"/>
      <c r="Q49" s="4885"/>
      <c r="R49" s="2503"/>
      <c r="S49" s="2442"/>
      <c r="T49" s="2198"/>
      <c r="U49" s="2200"/>
      <c r="V49" s="3273" t="s">
        <v>2176</v>
      </c>
      <c r="W49" s="3273"/>
      <c r="X49" s="3273"/>
      <c r="Y49" s="5060"/>
      <c r="Z49" s="5060"/>
      <c r="AA49" s="5060"/>
      <c r="AB49" s="5051"/>
      <c r="AC49" s="5051"/>
      <c r="AD49" s="5051"/>
      <c r="AE49" s="5051"/>
      <c r="AF49" s="5051"/>
      <c r="AG49" s="5051"/>
      <c r="AH49" s="5098"/>
      <c r="AI49" s="5098"/>
      <c r="AJ49" s="5098"/>
      <c r="AK49" s="2958"/>
      <c r="AL49" s="2955"/>
    </row>
    <row r="50" spans="1:38" ht="12" customHeight="1" x14ac:dyDescent="0.2">
      <c r="A50" s="2198"/>
      <c r="B50" s="2502"/>
      <c r="C50" s="4960"/>
      <c r="D50" s="4908"/>
      <c r="E50" s="4909"/>
      <c r="F50" s="4910"/>
      <c r="G50" s="2498"/>
      <c r="H50" s="2499"/>
      <c r="I50" s="4884"/>
      <c r="J50" s="4884"/>
      <c r="K50" s="4884"/>
      <c r="L50" s="4884"/>
      <c r="M50" s="4884"/>
      <c r="N50" s="4884"/>
      <c r="O50" s="4884"/>
      <c r="P50" s="4884"/>
      <c r="Q50" s="4885"/>
      <c r="R50" s="2503"/>
      <c r="S50" s="2442"/>
      <c r="T50" s="2198"/>
      <c r="U50" s="2200"/>
      <c r="V50" s="5052" t="s">
        <v>2177</v>
      </c>
      <c r="W50" s="5052"/>
      <c r="X50" s="5052"/>
      <c r="Y50" s="5102"/>
      <c r="Z50" s="5102"/>
      <c r="AA50" s="5102"/>
      <c r="AB50" s="5103"/>
      <c r="AC50" s="5103"/>
      <c r="AD50" s="5103"/>
      <c r="AE50" s="5103"/>
      <c r="AF50" s="5103"/>
      <c r="AG50" s="5103"/>
      <c r="AH50" s="5105"/>
      <c r="AI50" s="5105"/>
      <c r="AJ50" s="5105"/>
      <c r="AK50" s="2958"/>
      <c r="AL50" s="2955"/>
    </row>
    <row r="51" spans="1:38" ht="12" customHeight="1" x14ac:dyDescent="0.2">
      <c r="A51" s="2198"/>
      <c r="B51" s="2502"/>
      <c r="C51" s="4960"/>
      <c r="D51" s="4908"/>
      <c r="E51" s="4909"/>
      <c r="F51" s="4910"/>
      <c r="G51" s="2498"/>
      <c r="H51" s="2499"/>
      <c r="I51" s="4884"/>
      <c r="J51" s="4884"/>
      <c r="K51" s="4884"/>
      <c r="L51" s="4884"/>
      <c r="M51" s="4884"/>
      <c r="N51" s="4884"/>
      <c r="O51" s="4884"/>
      <c r="P51" s="4884"/>
      <c r="Q51" s="4885"/>
      <c r="R51" s="2503"/>
      <c r="S51" s="2442"/>
      <c r="T51" s="2198"/>
      <c r="U51" s="2200"/>
      <c r="V51" s="5089" t="s">
        <v>2178</v>
      </c>
      <c r="W51" s="5089"/>
      <c r="X51" s="5089"/>
      <c r="Y51" s="5110"/>
      <c r="Z51" s="5110"/>
      <c r="AA51" s="5110"/>
      <c r="AB51" s="5104"/>
      <c r="AC51" s="5104"/>
      <c r="AD51" s="5104"/>
      <c r="AE51" s="5104"/>
      <c r="AF51" s="5104"/>
      <c r="AG51" s="5104"/>
      <c r="AH51" s="5097"/>
      <c r="AI51" s="5097"/>
      <c r="AJ51" s="5097"/>
      <c r="AK51" s="2958"/>
      <c r="AL51" s="2955"/>
    </row>
    <row r="52" spans="1:38" ht="12" customHeight="1" x14ac:dyDescent="0.2">
      <c r="A52" s="2198"/>
      <c r="B52" s="2502"/>
      <c r="C52" s="4960"/>
      <c r="D52" s="4908"/>
      <c r="E52" s="4909"/>
      <c r="F52" s="4910"/>
      <c r="G52" s="2498"/>
      <c r="H52" s="2499"/>
      <c r="I52" s="4884"/>
      <c r="J52" s="4884"/>
      <c r="K52" s="4884"/>
      <c r="L52" s="4884"/>
      <c r="M52" s="4884"/>
      <c r="N52" s="4884"/>
      <c r="O52" s="4884"/>
      <c r="P52" s="4884"/>
      <c r="Q52" s="4885"/>
      <c r="R52" s="2503"/>
      <c r="S52" s="2442"/>
      <c r="T52" s="2198"/>
      <c r="U52" s="2200"/>
      <c r="V52" s="5052" t="s">
        <v>2179</v>
      </c>
      <c r="W52" s="5052"/>
      <c r="X52" s="5052"/>
      <c r="Y52" s="5102"/>
      <c r="Z52" s="5102"/>
      <c r="AA52" s="5102"/>
      <c r="AB52" s="5103"/>
      <c r="AC52" s="5103"/>
      <c r="AD52" s="5103"/>
      <c r="AE52" s="5103"/>
      <c r="AF52" s="5103"/>
      <c r="AG52" s="5103"/>
      <c r="AH52" s="5105"/>
      <c r="AI52" s="5105"/>
      <c r="AJ52" s="5105"/>
      <c r="AK52" s="2958"/>
      <c r="AL52" s="2955"/>
    </row>
    <row r="53" spans="1:38" ht="12" customHeight="1" thickBot="1" x14ac:dyDescent="0.25">
      <c r="A53" s="2198"/>
      <c r="B53" s="2502"/>
      <c r="C53" s="4960"/>
      <c r="D53" s="4908"/>
      <c r="E53" s="4909"/>
      <c r="F53" s="4910"/>
      <c r="G53" s="2498"/>
      <c r="H53" s="2499"/>
      <c r="I53" s="4884"/>
      <c r="J53" s="4884"/>
      <c r="K53" s="4884"/>
      <c r="L53" s="4884"/>
      <c r="M53" s="4884"/>
      <c r="N53" s="4884"/>
      <c r="O53" s="4884"/>
      <c r="P53" s="4884"/>
      <c r="Q53" s="4885"/>
      <c r="R53" s="2503"/>
      <c r="S53" s="2442"/>
      <c r="T53" s="2198"/>
      <c r="U53" s="2200"/>
      <c r="V53" s="4224" t="s">
        <v>2180</v>
      </c>
      <c r="W53" s="5064"/>
      <c r="X53" s="5065"/>
      <c r="Y53" s="5061"/>
      <c r="Z53" s="5062"/>
      <c r="AA53" s="5083"/>
      <c r="AB53" s="5061"/>
      <c r="AC53" s="5062"/>
      <c r="AD53" s="5083"/>
      <c r="AE53" s="5061"/>
      <c r="AF53" s="5062"/>
      <c r="AG53" s="5083"/>
      <c r="AH53" s="5061"/>
      <c r="AI53" s="5062"/>
      <c r="AJ53" s="5063"/>
      <c r="AK53" s="2958"/>
      <c r="AL53" s="2955"/>
    </row>
    <row r="54" spans="1:38" ht="12" customHeight="1" thickBot="1" x14ac:dyDescent="0.25">
      <c r="A54" s="2198"/>
      <c r="B54" s="2502"/>
      <c r="C54" s="4961"/>
      <c r="D54" s="4911"/>
      <c r="E54" s="4909"/>
      <c r="F54" s="4910"/>
      <c r="G54" s="2498"/>
      <c r="H54" s="2499"/>
      <c r="I54" s="4884"/>
      <c r="J54" s="4884"/>
      <c r="K54" s="4884"/>
      <c r="L54" s="4884"/>
      <c r="M54" s="4884"/>
      <c r="N54" s="4884"/>
      <c r="O54" s="4884"/>
      <c r="P54" s="4899"/>
      <c r="Q54" s="4900"/>
      <c r="R54" s="2503"/>
      <c r="S54" s="2442"/>
      <c r="T54" s="2198"/>
      <c r="U54" s="2200"/>
      <c r="AK54" s="2958"/>
      <c r="AL54" s="2955"/>
    </row>
    <row r="55" spans="1:38" ht="12" customHeight="1" x14ac:dyDescent="0.2">
      <c r="A55" s="2198"/>
      <c r="B55" s="2502"/>
      <c r="C55" s="2444"/>
      <c r="D55" s="2444"/>
      <c r="E55" s="4901" t="s">
        <v>8088</v>
      </c>
      <c r="F55" s="4902"/>
      <c r="G55" s="4902"/>
      <c r="H55" s="4902"/>
      <c r="I55" s="4902"/>
      <c r="J55" s="4902"/>
      <c r="K55" s="4903"/>
      <c r="L55" s="4904" t="s">
        <v>8090</v>
      </c>
      <c r="M55" s="4904"/>
      <c r="N55" s="4904"/>
      <c r="O55" s="4905"/>
      <c r="P55" s="2195"/>
      <c r="Q55" s="2195"/>
      <c r="R55" s="2503"/>
      <c r="S55" s="2442"/>
      <c r="T55" s="2198"/>
      <c r="U55" s="2200"/>
      <c r="V55" s="4989" t="s">
        <v>8722</v>
      </c>
      <c r="W55" s="4990"/>
      <c r="X55" s="4990"/>
      <c r="Y55" s="4990"/>
      <c r="Z55" s="4990"/>
      <c r="AA55" s="4990"/>
      <c r="AB55" s="4990"/>
      <c r="AC55" s="4990"/>
      <c r="AD55" s="4990"/>
      <c r="AE55" s="4990"/>
      <c r="AF55" s="4990"/>
      <c r="AG55" s="4990"/>
      <c r="AH55" s="4990"/>
      <c r="AI55" s="4990"/>
      <c r="AJ55" s="4991"/>
      <c r="AK55" s="2958"/>
      <c r="AL55" s="2955"/>
    </row>
    <row r="56" spans="1:38" ht="12" customHeight="1" thickBot="1" x14ac:dyDescent="0.25">
      <c r="A56" s="2198"/>
      <c r="B56" s="2502"/>
      <c r="C56" s="2444"/>
      <c r="D56" s="2444"/>
      <c r="E56" s="4888"/>
      <c r="F56" s="4889"/>
      <c r="G56" s="4889"/>
      <c r="H56" s="4889"/>
      <c r="I56" s="4889"/>
      <c r="J56" s="4890"/>
      <c r="K56" s="2748"/>
      <c r="L56" s="4886"/>
      <c r="M56" s="4886"/>
      <c r="N56" s="4886"/>
      <c r="O56" s="4882"/>
      <c r="P56" s="2195"/>
      <c r="Q56" s="2195"/>
      <c r="R56" s="2503"/>
      <c r="S56" s="2442"/>
      <c r="T56" s="2198"/>
      <c r="U56" s="2200"/>
      <c r="V56" s="3829"/>
      <c r="W56" s="3830"/>
      <c r="X56" s="3830"/>
      <c r="Y56" s="3830"/>
      <c r="Z56" s="3830"/>
      <c r="AA56" s="3830"/>
      <c r="AB56" s="3830"/>
      <c r="AC56" s="3830"/>
      <c r="AD56" s="3830"/>
      <c r="AE56" s="3830"/>
      <c r="AF56" s="3830"/>
      <c r="AG56" s="3830"/>
      <c r="AH56" s="3830"/>
      <c r="AI56" s="3830"/>
      <c r="AJ56" s="3831"/>
      <c r="AK56" s="2958"/>
      <c r="AL56" s="2955"/>
    </row>
    <row r="57" spans="1:38" ht="12" customHeight="1" thickBot="1" x14ac:dyDescent="0.25">
      <c r="A57" s="2198"/>
      <c r="B57" s="2502"/>
      <c r="C57" s="2444"/>
      <c r="D57" s="2444"/>
      <c r="E57" s="4891"/>
      <c r="F57" s="4892"/>
      <c r="G57" s="4892"/>
      <c r="H57" s="4892"/>
      <c r="I57" s="4892"/>
      <c r="J57" s="4893"/>
      <c r="K57" s="2749"/>
      <c r="L57" s="4886"/>
      <c r="M57" s="4886"/>
      <c r="N57" s="4886"/>
      <c r="O57" s="4882"/>
      <c r="P57" s="2195"/>
      <c r="Q57" s="2195"/>
      <c r="R57" s="2503"/>
      <c r="S57" s="2442"/>
      <c r="T57" s="2198"/>
      <c r="U57" s="2200"/>
      <c r="AK57" s="2958"/>
      <c r="AL57" s="2955"/>
    </row>
    <row r="58" spans="1:38" ht="12" customHeight="1" thickBot="1" x14ac:dyDescent="0.25">
      <c r="A58" s="2198"/>
      <c r="B58" s="2502"/>
      <c r="C58" s="2444"/>
      <c r="D58" s="2444"/>
      <c r="E58" s="4891"/>
      <c r="F58" s="4892"/>
      <c r="G58" s="4892"/>
      <c r="H58" s="4892"/>
      <c r="I58" s="4892"/>
      <c r="J58" s="4893"/>
      <c r="K58" s="2749"/>
      <c r="L58" s="4886"/>
      <c r="M58" s="4886"/>
      <c r="N58" s="4886"/>
      <c r="O58" s="4882"/>
      <c r="P58" s="2195"/>
      <c r="Q58" s="2195"/>
      <c r="R58" s="2503"/>
      <c r="S58" s="2442"/>
      <c r="T58" s="2198"/>
      <c r="U58" s="2200"/>
      <c r="V58" s="3201" t="s">
        <v>2160</v>
      </c>
      <c r="W58" s="3201"/>
      <c r="X58" s="3201"/>
      <c r="Y58" s="3201"/>
      <c r="Z58" s="3201"/>
      <c r="AA58" s="3201"/>
      <c r="AB58" s="3201"/>
      <c r="AC58" s="3201"/>
      <c r="AE58" s="3201" t="s">
        <v>2161</v>
      </c>
      <c r="AF58" s="3201"/>
      <c r="AG58" s="3201"/>
      <c r="AH58" s="3201"/>
      <c r="AI58" s="3201"/>
      <c r="AJ58" s="3201"/>
      <c r="AK58" s="2958"/>
      <c r="AL58" s="2955"/>
    </row>
    <row r="59" spans="1:38" ht="12" customHeight="1" x14ac:dyDescent="0.2">
      <c r="A59" s="2198"/>
      <c r="B59" s="2502"/>
      <c r="C59" s="2195"/>
      <c r="D59" s="2444"/>
      <c r="E59" s="4891"/>
      <c r="F59" s="4892"/>
      <c r="G59" s="4892"/>
      <c r="H59" s="4892"/>
      <c r="I59" s="4892"/>
      <c r="J59" s="4893"/>
      <c r="K59" s="2749"/>
      <c r="L59" s="4886"/>
      <c r="M59" s="4886"/>
      <c r="N59" s="4886"/>
      <c r="O59" s="4882"/>
      <c r="P59" s="2195"/>
      <c r="Q59" s="2195"/>
      <c r="R59" s="2503"/>
      <c r="S59" s="2442"/>
      <c r="T59" s="2198"/>
      <c r="U59" s="2200"/>
      <c r="V59" s="4168" t="s">
        <v>1751</v>
      </c>
      <c r="W59" s="4168"/>
      <c r="X59" s="4168"/>
      <c r="Y59" s="4168"/>
      <c r="Z59" s="4168"/>
      <c r="AA59" s="4168"/>
      <c r="AB59" s="20" t="s">
        <v>2038</v>
      </c>
      <c r="AC59" s="25" t="s">
        <v>1820</v>
      </c>
      <c r="AE59" s="343" t="s">
        <v>1957</v>
      </c>
      <c r="AF59" s="3374" t="s">
        <v>2013</v>
      </c>
      <c r="AG59" s="3374"/>
      <c r="AH59" s="3374"/>
      <c r="AI59" s="3374"/>
      <c r="AJ59" s="1" t="s">
        <v>1712</v>
      </c>
      <c r="AK59" s="2958"/>
      <c r="AL59" s="2955"/>
    </row>
    <row r="60" spans="1:38" ht="12" customHeight="1" x14ac:dyDescent="0.2">
      <c r="A60" s="2198"/>
      <c r="B60" s="2502"/>
      <c r="C60" s="2195"/>
      <c r="D60" s="2444"/>
      <c r="E60" s="4891"/>
      <c r="F60" s="4892"/>
      <c r="G60" s="4892"/>
      <c r="H60" s="4892"/>
      <c r="I60" s="4892"/>
      <c r="J60" s="4893"/>
      <c r="K60" s="2749"/>
      <c r="L60" s="4886"/>
      <c r="M60" s="4886"/>
      <c r="N60" s="4886"/>
      <c r="O60" s="4882"/>
      <c r="P60" s="2195"/>
      <c r="Q60" s="2195"/>
      <c r="R60" s="2503"/>
      <c r="S60" s="2442"/>
      <c r="T60" s="2198"/>
      <c r="U60" s="2200"/>
      <c r="V60" s="4227"/>
      <c r="W60" s="4227"/>
      <c r="X60" s="4227"/>
      <c r="Y60" s="4227"/>
      <c r="Z60" s="4227"/>
      <c r="AA60" s="4227"/>
      <c r="AB60" s="130"/>
      <c r="AC60" s="27"/>
      <c r="AE60" s="344">
        <f>IF(Metamagia!X15=1,30,0)</f>
        <v>0</v>
      </c>
      <c r="AF60" s="5085"/>
      <c r="AG60" s="5085"/>
      <c r="AH60" s="5085"/>
      <c r="AI60" s="5085"/>
      <c r="AJ60" s="73" t="str">
        <f>IF(AF60=0,"",VLOOKUP(AF60,Tablas!$F$1129:$G$1183,2,FALSE))</f>
        <v/>
      </c>
      <c r="AK60" s="2958"/>
      <c r="AL60" s="2955"/>
    </row>
    <row r="61" spans="1:38" ht="12" customHeight="1" x14ac:dyDescent="0.2">
      <c r="A61" s="2198"/>
      <c r="B61" s="2502"/>
      <c r="C61" s="2195"/>
      <c r="D61" s="2444"/>
      <c r="E61" s="4891"/>
      <c r="F61" s="4892"/>
      <c r="G61" s="4892"/>
      <c r="H61" s="4892"/>
      <c r="I61" s="4892"/>
      <c r="J61" s="4893"/>
      <c r="K61" s="2749"/>
      <c r="L61" s="4886"/>
      <c r="M61" s="4886"/>
      <c r="N61" s="4886"/>
      <c r="O61" s="4882"/>
      <c r="P61" s="2195"/>
      <c r="Q61" s="2195"/>
      <c r="R61" s="2503"/>
      <c r="S61" s="2442"/>
      <c r="T61" s="2198"/>
      <c r="U61" s="2200"/>
      <c r="V61" s="4866"/>
      <c r="W61" s="4866"/>
      <c r="X61" s="4866"/>
      <c r="Y61" s="4866"/>
      <c r="Z61" s="4866"/>
      <c r="AA61" s="4866"/>
      <c r="AB61" s="345"/>
      <c r="AC61" s="346"/>
      <c r="AE61" s="347">
        <f>IF(Metamagia!AD15=1,30,0)</f>
        <v>0</v>
      </c>
      <c r="AF61" s="4946"/>
      <c r="AG61" s="4946"/>
      <c r="AH61" s="4946"/>
      <c r="AI61" s="4946"/>
      <c r="AJ61" s="160" t="str">
        <f>IF(AF61=0,"",VLOOKUP(AF61,Tablas!$F$1129:$G$1183,2,FALSE))</f>
        <v/>
      </c>
      <c r="AK61" s="2958"/>
      <c r="AL61" s="2955"/>
    </row>
    <row r="62" spans="1:38" ht="12" customHeight="1" x14ac:dyDescent="0.2">
      <c r="A62" s="2198"/>
      <c r="B62" s="2502"/>
      <c r="C62" s="2444"/>
      <c r="D62" s="2444"/>
      <c r="E62" s="4891"/>
      <c r="F62" s="4892"/>
      <c r="G62" s="4892"/>
      <c r="H62" s="4892"/>
      <c r="I62" s="4892"/>
      <c r="J62" s="4893"/>
      <c r="K62" s="2749"/>
      <c r="L62" s="4886"/>
      <c r="M62" s="4886"/>
      <c r="N62" s="4886"/>
      <c r="O62" s="4882"/>
      <c r="P62" s="2195"/>
      <c r="Q62" s="2195"/>
      <c r="R62" s="2503"/>
      <c r="S62" s="2442"/>
      <c r="T62" s="2198"/>
      <c r="U62" s="2200"/>
      <c r="V62" s="4186"/>
      <c r="W62" s="4186"/>
      <c r="X62" s="4186"/>
      <c r="Y62" s="4186"/>
      <c r="Z62" s="4186"/>
      <c r="AA62" s="4186"/>
      <c r="AB62" s="130"/>
      <c r="AC62" s="27"/>
      <c r="AE62" s="348">
        <f>IF(Metamagia!R29=1,50,0)</f>
        <v>0</v>
      </c>
      <c r="AF62" s="4944"/>
      <c r="AG62" s="4944"/>
      <c r="AH62" s="4944"/>
      <c r="AI62" s="4944"/>
      <c r="AJ62" s="73" t="str">
        <f>IF(AF62=0,"",VLOOKUP(AF62,Tablas!$F$1129:$G$1183,2,FALSE))</f>
        <v/>
      </c>
      <c r="AK62" s="2958"/>
      <c r="AL62" s="2955"/>
    </row>
    <row r="63" spans="1:38" ht="12" customHeight="1" x14ac:dyDescent="0.2">
      <c r="A63" s="2198"/>
      <c r="B63" s="2502"/>
      <c r="C63" s="2444"/>
      <c r="D63" s="2444"/>
      <c r="E63" s="4897" t="s">
        <v>8089</v>
      </c>
      <c r="F63" s="4898"/>
      <c r="G63" s="4898"/>
      <c r="H63" s="4898"/>
      <c r="I63" s="4898"/>
      <c r="J63" s="4898"/>
      <c r="K63" s="4898"/>
      <c r="L63" s="4886"/>
      <c r="M63" s="4886"/>
      <c r="N63" s="4886"/>
      <c r="O63" s="4882"/>
      <c r="P63" s="2195"/>
      <c r="Q63" s="2195"/>
      <c r="R63" s="2503"/>
      <c r="S63" s="2442"/>
      <c r="T63" s="2198"/>
      <c r="U63" s="2200"/>
      <c r="V63" s="4866"/>
      <c r="W63" s="4866"/>
      <c r="X63" s="4866"/>
      <c r="Y63" s="4866"/>
      <c r="Z63" s="4866"/>
      <c r="AA63" s="4866"/>
      <c r="AB63" s="345"/>
      <c r="AC63" s="346"/>
      <c r="AE63" s="347">
        <f>IF(Metamagia!AG24=1,60,0)</f>
        <v>0</v>
      </c>
      <c r="AF63" s="4946"/>
      <c r="AG63" s="4946"/>
      <c r="AH63" s="4946"/>
      <c r="AI63" s="4946"/>
      <c r="AJ63" s="160" t="str">
        <f>IF(AF63=0,"",VLOOKUP(AF63,Tablas!$F$1129:$G$1183,2,FALSE))</f>
        <v/>
      </c>
      <c r="AK63" s="2958"/>
      <c r="AL63" s="2955"/>
    </row>
    <row r="64" spans="1:38" ht="12" customHeight="1" x14ac:dyDescent="0.2">
      <c r="A64" s="2198"/>
      <c r="B64" s="2502"/>
      <c r="C64" s="2444"/>
      <c r="D64" s="2444"/>
      <c r="E64" s="4888"/>
      <c r="F64" s="4889"/>
      <c r="G64" s="4889"/>
      <c r="H64" s="4889"/>
      <c r="I64" s="4889"/>
      <c r="J64" s="4890"/>
      <c r="K64" s="2748"/>
      <c r="L64" s="4886"/>
      <c r="M64" s="4886"/>
      <c r="N64" s="4886"/>
      <c r="O64" s="4882"/>
      <c r="P64" s="2195"/>
      <c r="Q64" s="2195"/>
      <c r="R64" s="2503"/>
      <c r="S64" s="2442"/>
      <c r="T64" s="2198"/>
      <c r="U64" s="2200"/>
      <c r="V64" s="4186"/>
      <c r="W64" s="4186"/>
      <c r="X64" s="4186"/>
      <c r="Y64" s="4186"/>
      <c r="Z64" s="4186"/>
      <c r="AA64" s="4186"/>
      <c r="AB64" s="130"/>
      <c r="AC64" s="27"/>
      <c r="AE64" s="348">
        <f>IF(Metamagia!X24=1,60,0)</f>
        <v>0</v>
      </c>
      <c r="AF64" s="4944"/>
      <c r="AG64" s="4944"/>
      <c r="AH64" s="4944"/>
      <c r="AI64" s="4944"/>
      <c r="AJ64" s="73" t="str">
        <f>IF(AF64=0,"",VLOOKUP(AF64,Tablas!$F$1129:$G$1183,2,FALSE))</f>
        <v/>
      </c>
      <c r="AK64" s="2958"/>
      <c r="AL64" s="2955"/>
    </row>
    <row r="65" spans="1:38" ht="12" customHeight="1" x14ac:dyDescent="0.2">
      <c r="A65" s="2198"/>
      <c r="B65" s="2502"/>
      <c r="C65" s="2444"/>
      <c r="D65" s="2444"/>
      <c r="E65" s="4891"/>
      <c r="F65" s="4892"/>
      <c r="G65" s="4892"/>
      <c r="H65" s="4892"/>
      <c r="I65" s="4892"/>
      <c r="J65" s="4893"/>
      <c r="K65" s="2749"/>
      <c r="L65" s="4886"/>
      <c r="M65" s="4886"/>
      <c r="N65" s="4886"/>
      <c r="O65" s="4882"/>
      <c r="P65" s="2195"/>
      <c r="Q65" s="2195"/>
      <c r="R65" s="2503"/>
      <c r="S65" s="2442"/>
      <c r="T65" s="2198"/>
      <c r="U65" s="2200"/>
      <c r="V65" s="4866"/>
      <c r="W65" s="4866"/>
      <c r="X65" s="4866"/>
      <c r="Y65" s="4866"/>
      <c r="Z65" s="4866"/>
      <c r="AA65" s="4866"/>
      <c r="AB65" s="345"/>
      <c r="AC65" s="346"/>
      <c r="AE65" s="347">
        <f>IF(Metamagia!AG39=1,70,0)</f>
        <v>0</v>
      </c>
      <c r="AF65" s="4946"/>
      <c r="AG65" s="4946"/>
      <c r="AH65" s="4946"/>
      <c r="AI65" s="4946"/>
      <c r="AJ65" s="160" t="str">
        <f>IF(AF65=0,"",VLOOKUP(AF65,Tablas!$F$1129:$G$1183,2,FALSE))</f>
        <v/>
      </c>
      <c r="AK65" s="2958"/>
      <c r="AL65" s="2955"/>
    </row>
    <row r="66" spans="1:38" ht="12" customHeight="1" thickBot="1" x14ac:dyDescent="0.25">
      <c r="A66" s="2198"/>
      <c r="B66" s="2502"/>
      <c r="C66" s="2444"/>
      <c r="D66" s="2444"/>
      <c r="E66" s="4891"/>
      <c r="F66" s="4892"/>
      <c r="G66" s="4892"/>
      <c r="H66" s="4892"/>
      <c r="I66" s="4892"/>
      <c r="J66" s="4893"/>
      <c r="K66" s="2749"/>
      <c r="L66" s="4886"/>
      <c r="M66" s="4886"/>
      <c r="N66" s="4886"/>
      <c r="O66" s="4882"/>
      <c r="P66" s="2195"/>
      <c r="Q66" s="2195"/>
      <c r="R66" s="2503"/>
      <c r="S66" s="2442"/>
      <c r="T66" s="2198"/>
      <c r="U66" s="2200"/>
      <c r="V66" s="5066"/>
      <c r="W66" s="5066"/>
      <c r="X66" s="5066"/>
      <c r="Y66" s="5066"/>
      <c r="Z66" s="5066"/>
      <c r="AA66" s="5066"/>
      <c r="AB66" s="172"/>
      <c r="AC66" s="28"/>
      <c r="AE66" s="351">
        <f>IF(Metamagia!AA29=1,80,0)</f>
        <v>0</v>
      </c>
      <c r="AF66" s="5072"/>
      <c r="AG66" s="5072"/>
      <c r="AH66" s="5072"/>
      <c r="AI66" s="5072"/>
      <c r="AJ66" s="88" t="str">
        <f>IF(AF66=0,"",VLOOKUP(AF66,Tablas!$F$1129:$G$1183,2,FALSE))</f>
        <v/>
      </c>
      <c r="AK66" s="2958"/>
      <c r="AL66" s="2955"/>
    </row>
    <row r="67" spans="1:38" ht="12" customHeight="1" thickBot="1" x14ac:dyDescent="0.25">
      <c r="A67" s="2198"/>
      <c r="B67" s="2502"/>
      <c r="C67" s="2444"/>
      <c r="D67" s="2444"/>
      <c r="E67" s="4891"/>
      <c r="F67" s="4892"/>
      <c r="G67" s="4892"/>
      <c r="H67" s="4892"/>
      <c r="I67" s="4892"/>
      <c r="J67" s="4893"/>
      <c r="K67" s="2749"/>
      <c r="L67" s="4886"/>
      <c r="M67" s="4886"/>
      <c r="N67" s="4886"/>
      <c r="O67" s="4882"/>
      <c r="P67" s="2195"/>
      <c r="Q67" s="2195"/>
      <c r="R67" s="2503"/>
      <c r="S67" s="2442"/>
      <c r="T67" s="2198"/>
      <c r="U67" s="2200"/>
      <c r="AK67" s="2958"/>
      <c r="AL67" s="2955"/>
    </row>
    <row r="68" spans="1:38" ht="12" customHeight="1" x14ac:dyDescent="0.2">
      <c r="A68" s="2198"/>
      <c r="B68" s="2502"/>
      <c r="C68" s="2444"/>
      <c r="D68" s="2444"/>
      <c r="E68" s="4891"/>
      <c r="F68" s="4892"/>
      <c r="G68" s="4892"/>
      <c r="H68" s="4892"/>
      <c r="I68" s="4892"/>
      <c r="J68" s="4893"/>
      <c r="K68" s="2749"/>
      <c r="L68" s="4886"/>
      <c r="M68" s="4886"/>
      <c r="N68" s="4886"/>
      <c r="O68" s="4882"/>
      <c r="P68" s="2195"/>
      <c r="Q68" s="2195"/>
      <c r="R68" s="2503"/>
      <c r="S68" s="2442"/>
      <c r="T68" s="2198"/>
      <c r="U68" s="2200"/>
      <c r="V68" s="5086" t="s">
        <v>2169</v>
      </c>
      <c r="W68" s="4571" t="s">
        <v>2170</v>
      </c>
      <c r="X68" s="4571"/>
      <c r="Y68" s="4571"/>
      <c r="Z68" s="4571"/>
      <c r="AA68" s="4571"/>
      <c r="AB68" s="93" t="s">
        <v>1801</v>
      </c>
      <c r="AC68" s="212" t="s">
        <v>2171</v>
      </c>
      <c r="AD68" s="4313" t="s">
        <v>1861</v>
      </c>
      <c r="AE68" s="4313"/>
      <c r="AF68" s="4313"/>
      <c r="AG68" s="4313"/>
      <c r="AH68" s="4313"/>
      <c r="AI68" s="4313"/>
      <c r="AJ68" s="4313"/>
      <c r="AK68" s="2958"/>
      <c r="AL68" s="2955"/>
    </row>
    <row r="69" spans="1:38" ht="12" customHeight="1" x14ac:dyDescent="0.2">
      <c r="A69" s="2198"/>
      <c r="B69" s="2502"/>
      <c r="C69" s="2444"/>
      <c r="D69" s="2444"/>
      <c r="E69" s="4891"/>
      <c r="F69" s="4892"/>
      <c r="G69" s="4892"/>
      <c r="H69" s="4892"/>
      <c r="I69" s="4892"/>
      <c r="J69" s="4893"/>
      <c r="K69" s="2749"/>
      <c r="L69" s="4886"/>
      <c r="M69" s="4886"/>
      <c r="N69" s="4886"/>
      <c r="O69" s="4882"/>
      <c r="P69" s="2195"/>
      <c r="Q69" s="2195"/>
      <c r="R69" s="2503"/>
      <c r="S69" s="2442"/>
      <c r="T69" s="2198"/>
      <c r="U69" s="2200"/>
      <c r="V69" s="5087"/>
      <c r="W69" s="5070"/>
      <c r="X69" s="5070"/>
      <c r="Y69" s="5070"/>
      <c r="Z69" s="5070"/>
      <c r="AA69" s="5070"/>
      <c r="AB69" s="354"/>
      <c r="AC69" s="354"/>
      <c r="AD69" s="5071"/>
      <c r="AE69" s="5071"/>
      <c r="AF69" s="5071"/>
      <c r="AG69" s="5071"/>
      <c r="AH69" s="5071"/>
      <c r="AI69" s="5071"/>
      <c r="AJ69" s="5071"/>
      <c r="AK69" s="2958"/>
      <c r="AL69" s="2955"/>
    </row>
    <row r="70" spans="1:38" ht="12" customHeight="1" thickBot="1" x14ac:dyDescent="0.25">
      <c r="A70" s="2198"/>
      <c r="B70" s="2502"/>
      <c r="C70" s="2444"/>
      <c r="D70" s="2444"/>
      <c r="E70" s="4894"/>
      <c r="F70" s="4895"/>
      <c r="G70" s="4895"/>
      <c r="H70" s="4895"/>
      <c r="I70" s="4895"/>
      <c r="J70" s="4896"/>
      <c r="K70" s="2750"/>
      <c r="L70" s="4887"/>
      <c r="M70" s="4887"/>
      <c r="N70" s="4887"/>
      <c r="O70" s="4883"/>
      <c r="P70" s="2195"/>
      <c r="Q70" s="2195"/>
      <c r="R70" s="2503"/>
      <c r="S70" s="2442"/>
      <c r="T70" s="2198"/>
      <c r="U70" s="2200"/>
      <c r="V70" s="5087"/>
      <c r="W70" s="5067" t="s">
        <v>2174</v>
      </c>
      <c r="X70" s="5067"/>
      <c r="Y70" s="5068"/>
      <c r="Z70" s="5068"/>
      <c r="AA70" s="5068"/>
      <c r="AB70" s="5068"/>
      <c r="AC70" s="5068"/>
      <c r="AD70" s="5068"/>
      <c r="AE70" s="5068"/>
      <c r="AF70" s="5068"/>
      <c r="AG70" s="5068"/>
      <c r="AH70" s="5068"/>
      <c r="AI70" s="5068"/>
      <c r="AJ70" s="5068"/>
      <c r="AK70" s="2958"/>
      <c r="AL70" s="2955"/>
    </row>
    <row r="71" spans="1:38" ht="12" customHeight="1" thickBot="1" x14ac:dyDescent="0.25">
      <c r="A71" s="2198"/>
      <c r="B71" s="2502"/>
      <c r="R71" s="2503"/>
      <c r="S71" s="2442"/>
      <c r="T71" s="2198"/>
      <c r="U71" s="2200"/>
      <c r="V71" s="5087"/>
      <c r="W71" s="4103" t="s">
        <v>2175</v>
      </c>
      <c r="X71" s="4103"/>
      <c r="Y71" s="5069"/>
      <c r="Z71" s="5069"/>
      <c r="AA71" s="5069"/>
      <c r="AB71" s="5069"/>
      <c r="AC71" s="5069"/>
      <c r="AD71" s="5069"/>
      <c r="AE71" s="5069"/>
      <c r="AF71" s="5069"/>
      <c r="AG71" s="5069"/>
      <c r="AH71" s="5069"/>
      <c r="AI71" s="5069"/>
      <c r="AJ71" s="5069"/>
      <c r="AK71" s="2958"/>
      <c r="AL71" s="2955"/>
    </row>
    <row r="72" spans="1:38" ht="12" customHeight="1" x14ac:dyDescent="0.2">
      <c r="A72" s="2198"/>
      <c r="B72" s="2502"/>
      <c r="R72" s="2503"/>
      <c r="S72" s="2442"/>
      <c r="T72" s="2198"/>
      <c r="U72" s="2200"/>
      <c r="V72" s="5087"/>
      <c r="W72" s="4571" t="s">
        <v>2170</v>
      </c>
      <c r="X72" s="4571"/>
      <c r="Y72" s="4571"/>
      <c r="Z72" s="4571"/>
      <c r="AA72" s="4571"/>
      <c r="AB72" s="93" t="s">
        <v>1801</v>
      </c>
      <c r="AC72" s="212" t="s">
        <v>2171</v>
      </c>
      <c r="AD72" s="4313" t="s">
        <v>1861</v>
      </c>
      <c r="AE72" s="4313"/>
      <c r="AF72" s="4313"/>
      <c r="AG72" s="4313"/>
      <c r="AH72" s="4313"/>
      <c r="AI72" s="4313"/>
      <c r="AJ72" s="4313"/>
      <c r="AK72" s="2958"/>
      <c r="AL72" s="2955"/>
    </row>
    <row r="73" spans="1:38" ht="12" customHeight="1" x14ac:dyDescent="0.2">
      <c r="A73" s="2198"/>
      <c r="B73" s="2502"/>
      <c r="C73" s="2034"/>
      <c r="D73" s="2034"/>
      <c r="E73" s="2034"/>
      <c r="F73" s="2034"/>
      <c r="G73" s="2034"/>
      <c r="H73" s="2034"/>
      <c r="I73" s="2034"/>
      <c r="J73" s="2034"/>
      <c r="K73" s="2034"/>
      <c r="L73" s="2034"/>
      <c r="M73" s="2034"/>
      <c r="N73" s="2034"/>
      <c r="O73" s="2034"/>
      <c r="P73" s="2034"/>
      <c r="Q73" s="2034"/>
      <c r="R73" s="2503"/>
      <c r="S73" s="2442"/>
      <c r="T73" s="2198"/>
      <c r="U73" s="2200"/>
      <c r="V73" s="5087"/>
      <c r="W73" s="5070"/>
      <c r="X73" s="5070"/>
      <c r="Y73" s="5070"/>
      <c r="Z73" s="5070"/>
      <c r="AA73" s="5070"/>
      <c r="AB73" s="354"/>
      <c r="AC73" s="354"/>
      <c r="AD73" s="5071"/>
      <c r="AE73" s="5071"/>
      <c r="AF73" s="5071"/>
      <c r="AG73" s="5071"/>
      <c r="AH73" s="5071"/>
      <c r="AI73" s="5071"/>
      <c r="AJ73" s="5071"/>
      <c r="AK73" s="2958"/>
      <c r="AL73" s="2955"/>
    </row>
    <row r="74" spans="1:38" ht="12" customHeight="1" x14ac:dyDescent="0.2">
      <c r="A74" s="2198"/>
      <c r="B74" s="2502"/>
      <c r="C74" s="2034"/>
      <c r="D74" s="2034"/>
      <c r="E74" s="2034"/>
      <c r="F74" s="2034"/>
      <c r="G74" s="2034"/>
      <c r="H74" s="2034"/>
      <c r="I74" s="2034"/>
      <c r="J74" s="2034"/>
      <c r="K74" s="2034"/>
      <c r="L74" s="2034"/>
      <c r="M74" s="2034"/>
      <c r="N74" s="2034"/>
      <c r="O74" s="2034"/>
      <c r="P74" s="2034"/>
      <c r="Q74" s="2034"/>
      <c r="R74" s="2503"/>
      <c r="S74" s="2442"/>
      <c r="T74" s="2198"/>
      <c r="U74" s="2200"/>
      <c r="V74" s="5087"/>
      <c r="W74" s="5067" t="s">
        <v>2174</v>
      </c>
      <c r="X74" s="5067"/>
      <c r="Y74" s="5068"/>
      <c r="Z74" s="5068"/>
      <c r="AA74" s="5068"/>
      <c r="AB74" s="5068"/>
      <c r="AC74" s="5068"/>
      <c r="AD74" s="5068"/>
      <c r="AE74" s="5068"/>
      <c r="AF74" s="5068"/>
      <c r="AG74" s="5068"/>
      <c r="AH74" s="5068"/>
      <c r="AI74" s="5068"/>
      <c r="AJ74" s="5068"/>
      <c r="AK74" s="2958"/>
      <c r="AL74" s="2955"/>
    </row>
    <row r="75" spans="1:38" ht="12" customHeight="1" thickBot="1" x14ac:dyDescent="0.25">
      <c r="A75" s="2198"/>
      <c r="B75" s="2502"/>
      <c r="C75" s="2034"/>
      <c r="D75" s="2034"/>
      <c r="E75" s="2034"/>
      <c r="F75" s="2034"/>
      <c r="G75" s="2034"/>
      <c r="H75" s="2034"/>
      <c r="I75" s="2034"/>
      <c r="J75" s="2034"/>
      <c r="K75" s="2034"/>
      <c r="L75" s="2034"/>
      <c r="M75" s="2034"/>
      <c r="N75" s="2034"/>
      <c r="O75" s="2034"/>
      <c r="P75" s="2034"/>
      <c r="Q75" s="2034"/>
      <c r="R75" s="2503"/>
      <c r="S75" s="2442"/>
      <c r="T75" s="2198"/>
      <c r="U75" s="2200"/>
      <c r="V75" s="5088"/>
      <c r="W75" s="4103" t="s">
        <v>2175</v>
      </c>
      <c r="X75" s="4103"/>
      <c r="Y75" s="5069"/>
      <c r="Z75" s="5069"/>
      <c r="AA75" s="5069"/>
      <c r="AB75" s="5069"/>
      <c r="AC75" s="5069"/>
      <c r="AD75" s="5069"/>
      <c r="AE75" s="5069"/>
      <c r="AF75" s="5069"/>
      <c r="AG75" s="5069"/>
      <c r="AH75" s="5069"/>
      <c r="AI75" s="5069"/>
      <c r="AJ75" s="5069"/>
      <c r="AK75" s="2958"/>
      <c r="AL75" s="2955"/>
    </row>
    <row r="76" spans="1:38" ht="12" customHeight="1" thickBot="1" x14ac:dyDescent="0.25">
      <c r="A76" s="2198"/>
      <c r="B76" s="2202"/>
      <c r="C76" s="2205"/>
      <c r="D76" s="2205"/>
      <c r="E76" s="2205"/>
      <c r="F76" s="2205"/>
      <c r="G76" s="2205"/>
      <c r="H76" s="2205"/>
      <c r="I76" s="2205"/>
      <c r="J76" s="2205"/>
      <c r="K76" s="2205"/>
      <c r="L76" s="2205"/>
      <c r="M76" s="2205"/>
      <c r="N76" s="2205"/>
      <c r="O76" s="2205"/>
      <c r="P76" s="2205"/>
      <c r="Q76" s="2205"/>
      <c r="R76" s="2443"/>
      <c r="S76" s="2442"/>
      <c r="T76" s="2198"/>
      <c r="U76" s="2202"/>
      <c r="V76" s="2205"/>
      <c r="W76" s="2205"/>
      <c r="X76" s="2205"/>
      <c r="Y76" s="2205"/>
      <c r="Z76" s="2205"/>
      <c r="AA76" s="2205"/>
      <c r="AB76" s="2205"/>
      <c r="AC76" s="2205"/>
      <c r="AD76" s="2205"/>
      <c r="AE76" s="2205"/>
      <c r="AF76" s="2205"/>
      <c r="AG76" s="2205"/>
      <c r="AH76" s="2205"/>
      <c r="AI76" s="2205"/>
      <c r="AJ76" s="2205"/>
      <c r="AK76" s="2960"/>
      <c r="AL76" s="2955"/>
    </row>
    <row r="77" spans="1:38" ht="12" customHeight="1" x14ac:dyDescent="0.2">
      <c r="A77" s="2198"/>
      <c r="B77" s="2198"/>
      <c r="C77" s="2198"/>
      <c r="D77" s="2198"/>
      <c r="E77" s="2198"/>
      <c r="F77" s="2198"/>
      <c r="G77" s="2198"/>
      <c r="H77" s="2198"/>
      <c r="I77" s="2198"/>
      <c r="J77" s="2198"/>
      <c r="K77" s="2198"/>
      <c r="L77" s="2198"/>
      <c r="M77" s="2198"/>
      <c r="N77" s="2198"/>
      <c r="O77" s="2198"/>
      <c r="P77" s="2198"/>
      <c r="Q77" s="2198"/>
      <c r="R77" s="2442"/>
      <c r="S77" s="2442"/>
      <c r="T77" s="2198"/>
      <c r="U77" s="2198"/>
      <c r="V77" s="2198"/>
      <c r="W77" s="2198"/>
      <c r="X77" s="2198"/>
      <c r="Y77" s="2198"/>
      <c r="Z77" s="2198"/>
      <c r="AA77" s="2198"/>
      <c r="AB77" s="2198"/>
      <c r="AC77" s="2198"/>
      <c r="AD77" s="2198"/>
      <c r="AE77" s="2198"/>
      <c r="AF77" s="2198"/>
      <c r="AG77" s="2198"/>
      <c r="AH77" s="2198"/>
      <c r="AI77" s="2198"/>
      <c r="AJ77" s="2198"/>
      <c r="AK77" s="2955"/>
      <c r="AL77" s="2955"/>
    </row>
    <row r="78" spans="1:38" ht="12" customHeight="1" x14ac:dyDescent="0.2">
      <c r="A78" s="2034"/>
      <c r="B78" s="2034"/>
      <c r="C78" s="2034"/>
      <c r="D78" s="2034"/>
      <c r="E78" s="2034"/>
      <c r="F78" s="2034"/>
      <c r="G78" s="2034"/>
      <c r="H78" s="2034"/>
      <c r="I78" s="2034"/>
      <c r="J78" s="2034"/>
      <c r="K78" s="2034"/>
      <c r="L78" s="2034"/>
      <c r="M78" s="2034"/>
      <c r="N78" s="2034"/>
      <c r="O78" s="2034"/>
      <c r="P78" s="2034"/>
      <c r="Q78" s="2034"/>
      <c r="R78" s="2034"/>
      <c r="S78" s="2034"/>
      <c r="T78" s="2034"/>
      <c r="U78" s="2034"/>
    </row>
    <row r="81" spans="1:57" ht="12" customHeight="1" x14ac:dyDescent="0.2">
      <c r="A81" s="2034"/>
      <c r="B81" s="2034"/>
      <c r="C81" s="2034"/>
      <c r="D81" s="2034"/>
      <c r="E81" s="2034"/>
      <c r="F81" s="2034"/>
      <c r="G81" s="2034"/>
      <c r="H81" s="2034"/>
      <c r="I81" s="2034"/>
      <c r="J81" s="2034"/>
      <c r="K81" s="2034"/>
      <c r="L81" s="2034"/>
      <c r="M81" s="2034"/>
      <c r="N81" s="2034"/>
      <c r="O81" s="2034"/>
      <c r="P81" s="2034"/>
      <c r="Q81" s="2034"/>
      <c r="R81" s="2034"/>
      <c r="S81" s="2034"/>
      <c r="T81" s="2034"/>
      <c r="U81" s="2034"/>
      <c r="V81" s="2034"/>
      <c r="W81" s="2034"/>
      <c r="X81" s="2034"/>
      <c r="Y81" s="2034"/>
      <c r="Z81" s="2034"/>
      <c r="AA81" s="2034"/>
      <c r="AB81" s="2034"/>
      <c r="AC81" s="2034"/>
      <c r="AD81" s="2034"/>
      <c r="AE81" s="2034"/>
      <c r="AF81" s="2034"/>
      <c r="AG81" s="2034"/>
      <c r="AH81" s="2034"/>
      <c r="AI81" s="2034"/>
      <c r="AJ81" s="2034"/>
    </row>
    <row r="84" spans="1:57" ht="12" customHeight="1" x14ac:dyDescent="0.2">
      <c r="A84" s="2034"/>
      <c r="B84" s="2034"/>
      <c r="C84" s="2034"/>
      <c r="D84" s="2034"/>
      <c r="E84" s="2034"/>
      <c r="F84" s="2034"/>
      <c r="G84" s="2034"/>
      <c r="H84" s="2034"/>
      <c r="I84" s="2034"/>
      <c r="J84" s="2034"/>
      <c r="K84" s="2034"/>
      <c r="L84" s="2034"/>
      <c r="M84" s="2034"/>
      <c r="N84" s="2034"/>
      <c r="O84" s="2034"/>
      <c r="P84" s="2034"/>
      <c r="Q84" s="2034"/>
      <c r="R84" s="2034"/>
      <c r="S84" s="2034"/>
      <c r="T84" s="2034"/>
      <c r="U84" s="2034"/>
      <c r="V84" s="2034"/>
      <c r="W84" s="2034"/>
      <c r="X84" s="2034"/>
      <c r="Y84" s="2034"/>
      <c r="Z84" s="2034"/>
      <c r="AA84" s="2034"/>
      <c r="AB84" s="2034"/>
      <c r="AC84" s="2034"/>
      <c r="AD84" s="2034"/>
      <c r="AE84" s="2034"/>
      <c r="AF84" s="2034"/>
      <c r="AG84" s="2034"/>
      <c r="AH84" s="2034"/>
      <c r="AI84" s="2034"/>
      <c r="AJ84" s="2034"/>
    </row>
    <row r="85" spans="1:57" ht="12" customHeight="1" x14ac:dyDescent="0.2">
      <c r="A85" s="2034"/>
      <c r="B85" s="2034"/>
      <c r="C85" s="2034"/>
      <c r="D85" s="2034"/>
      <c r="E85" s="2034"/>
      <c r="F85" s="2034"/>
      <c r="G85" s="2034"/>
      <c r="H85" s="2034"/>
      <c r="I85" s="2034"/>
      <c r="J85" s="2034"/>
      <c r="K85" s="2034"/>
      <c r="L85" s="2034"/>
      <c r="M85" s="2034"/>
      <c r="N85" s="2034"/>
      <c r="O85" s="2034"/>
      <c r="P85" s="2034"/>
      <c r="Q85" s="2034"/>
      <c r="R85" s="2034"/>
      <c r="S85" s="2034"/>
      <c r="T85" s="2034"/>
      <c r="U85" s="2034"/>
      <c r="V85" s="2034"/>
      <c r="W85" s="2034"/>
      <c r="X85" s="2034"/>
      <c r="Y85" s="2034"/>
      <c r="Z85" s="2034"/>
      <c r="AA85" s="2034"/>
      <c r="AB85" s="2034"/>
      <c r="AC85" s="2034"/>
      <c r="AD85" s="2034"/>
      <c r="AE85" s="2034"/>
      <c r="AF85" s="2034"/>
      <c r="AG85" s="2034"/>
      <c r="AH85" s="2034"/>
      <c r="AI85" s="2034"/>
      <c r="AJ85" s="2034"/>
    </row>
    <row r="86" spans="1:57" ht="12" customHeight="1" x14ac:dyDescent="0.2">
      <c r="A86" s="2034"/>
      <c r="B86" s="2034"/>
      <c r="C86" s="2034"/>
      <c r="D86" s="2034"/>
      <c r="E86" s="2034"/>
      <c r="F86" s="2034"/>
      <c r="G86" s="2034"/>
      <c r="H86" s="2034"/>
      <c r="I86" s="2034"/>
      <c r="J86" s="2034"/>
      <c r="K86" s="2034"/>
      <c r="L86" s="2034"/>
      <c r="M86" s="2034"/>
      <c r="N86" s="2034"/>
      <c r="O86" s="2034"/>
      <c r="P86" s="2034"/>
      <c r="Q86" s="2034"/>
      <c r="R86" s="2034"/>
      <c r="S86" s="2034"/>
      <c r="T86" s="2034"/>
      <c r="U86" s="2034"/>
      <c r="V86" s="2034"/>
      <c r="W86" s="2034"/>
      <c r="X86" s="2034"/>
      <c r="Y86" s="2034"/>
      <c r="Z86" s="2034"/>
      <c r="AA86" s="2034"/>
      <c r="AB86" s="2034"/>
      <c r="AC86" s="2034"/>
      <c r="AD86" s="2034"/>
      <c r="AE86" s="2034"/>
      <c r="AF86" s="2034"/>
      <c r="AG86" s="2034"/>
      <c r="AH86" s="2034"/>
      <c r="AI86" s="2034"/>
      <c r="AJ86" s="2034"/>
    </row>
    <row r="87" spans="1:57" ht="12" customHeight="1" x14ac:dyDescent="0.2">
      <c r="A87" s="2034"/>
      <c r="B87" s="2034"/>
      <c r="C87" s="2034"/>
      <c r="D87" s="2034"/>
      <c r="E87" s="2034"/>
      <c r="F87" s="2034"/>
      <c r="G87" s="2034"/>
      <c r="H87" s="2034"/>
      <c r="I87" s="2034"/>
      <c r="J87" s="2034"/>
      <c r="K87" s="2034"/>
      <c r="L87" s="2034"/>
      <c r="M87" s="2034"/>
      <c r="N87" s="2034"/>
      <c r="O87" s="2034"/>
      <c r="P87" s="2034"/>
      <c r="Q87" s="2034"/>
      <c r="R87" s="2034"/>
      <c r="S87" s="2034"/>
      <c r="T87" s="2034"/>
      <c r="U87" s="2034"/>
      <c r="V87" s="2034"/>
      <c r="W87" s="2034"/>
      <c r="X87" s="2034"/>
      <c r="Y87" s="2034"/>
      <c r="Z87" s="2034"/>
      <c r="AA87" s="2034"/>
      <c r="AB87" s="2034"/>
      <c r="AC87" s="2034"/>
      <c r="AD87" s="2034"/>
      <c r="AE87" s="2034"/>
      <c r="AF87" s="2034"/>
      <c r="AG87" s="2034"/>
      <c r="AH87" s="2034"/>
      <c r="AI87" s="2034"/>
      <c r="AJ87" s="2034"/>
    </row>
    <row r="88" spans="1:57" ht="12" customHeight="1" x14ac:dyDescent="0.2">
      <c r="A88" s="2034"/>
      <c r="B88" s="2034"/>
      <c r="C88" s="2034"/>
      <c r="D88" s="2034"/>
      <c r="E88" s="2034"/>
      <c r="F88" s="2034"/>
      <c r="G88" s="2034"/>
      <c r="H88" s="2034"/>
      <c r="I88" s="2034"/>
      <c r="J88" s="2034"/>
      <c r="K88" s="2034"/>
      <c r="L88" s="2034"/>
      <c r="M88" s="2034"/>
      <c r="N88" s="2034"/>
      <c r="O88" s="2034"/>
      <c r="P88" s="2034"/>
      <c r="Q88" s="2034"/>
      <c r="R88" s="2034"/>
      <c r="S88" s="2034"/>
      <c r="T88" s="2034"/>
      <c r="U88" s="2034"/>
      <c r="V88" s="2034"/>
      <c r="W88" s="2034"/>
      <c r="X88" s="2034"/>
      <c r="Y88" s="2034"/>
      <c r="Z88" s="2034"/>
      <c r="AA88" s="2034"/>
      <c r="AB88" s="2034"/>
      <c r="AC88" s="2034"/>
      <c r="AD88" s="2034"/>
      <c r="AE88" s="2034"/>
      <c r="AF88" s="2034"/>
      <c r="AG88" s="2034"/>
      <c r="AH88" s="2034"/>
      <c r="AI88" s="2034"/>
      <c r="AJ88" s="2034"/>
    </row>
    <row r="89" spans="1:57" ht="12" customHeight="1" x14ac:dyDescent="0.2">
      <c r="A89" s="2034"/>
      <c r="B89" s="2034"/>
      <c r="C89" s="2034"/>
      <c r="D89" s="2034"/>
      <c r="E89" s="2034"/>
      <c r="F89" s="2034"/>
      <c r="G89" s="2034"/>
      <c r="H89" s="2034"/>
      <c r="I89" s="2034"/>
      <c r="J89" s="2034"/>
      <c r="K89" s="2034"/>
      <c r="L89" s="2034"/>
      <c r="M89" s="2034"/>
      <c r="N89" s="2034"/>
      <c r="O89" s="2034"/>
      <c r="P89" s="2034"/>
      <c r="Q89" s="2034"/>
      <c r="R89" s="2034"/>
      <c r="S89" s="2034"/>
      <c r="T89" s="2034"/>
      <c r="U89" s="2034"/>
      <c r="V89" s="2034"/>
      <c r="W89" s="2034"/>
      <c r="X89" s="2034"/>
      <c r="Y89" s="2034"/>
      <c r="Z89" s="2034"/>
      <c r="AA89" s="2034"/>
      <c r="AB89" s="2034"/>
      <c r="AC89" s="2034"/>
      <c r="AD89" s="2034"/>
      <c r="AE89" s="2034"/>
      <c r="AF89" s="2034"/>
      <c r="AG89" s="2034"/>
      <c r="AH89" s="2034"/>
      <c r="AI89" s="2034"/>
      <c r="AJ89" s="2034"/>
    </row>
    <row r="90" spans="1:57" ht="12" customHeight="1" x14ac:dyDescent="0.2">
      <c r="A90" s="2034"/>
      <c r="B90" s="2034"/>
      <c r="C90" s="2034"/>
      <c r="D90" s="2034"/>
      <c r="E90" s="2034"/>
      <c r="F90" s="2034"/>
      <c r="G90" s="2034"/>
      <c r="H90" s="2034"/>
      <c r="I90" s="2034"/>
      <c r="J90" s="2034"/>
      <c r="K90" s="2034"/>
      <c r="L90" s="2034"/>
      <c r="M90" s="2034"/>
      <c r="N90" s="2034"/>
      <c r="O90" s="2034"/>
      <c r="P90" s="2034"/>
      <c r="Q90" s="2034"/>
      <c r="R90" s="2034"/>
      <c r="S90" s="2034"/>
      <c r="T90" s="2034"/>
      <c r="U90" s="2034"/>
      <c r="V90" s="2034"/>
      <c r="W90" s="2034"/>
      <c r="X90" s="2034"/>
      <c r="Y90" s="2034"/>
      <c r="Z90" s="2034"/>
      <c r="AA90" s="2034"/>
      <c r="AB90" s="2034"/>
      <c r="AC90" s="2034"/>
      <c r="AD90" s="2034"/>
      <c r="AE90" s="2034"/>
      <c r="AF90" s="2034"/>
      <c r="AG90" s="2034"/>
      <c r="AH90" s="2034"/>
      <c r="AI90" s="2034"/>
      <c r="AJ90" s="2034"/>
    </row>
    <row r="91" spans="1:57" ht="12" customHeight="1" x14ac:dyDescent="0.2">
      <c r="A91" s="2034"/>
      <c r="B91" s="2034"/>
      <c r="C91" s="2034"/>
      <c r="D91" s="2034"/>
      <c r="E91" s="2034"/>
      <c r="F91" s="2034"/>
      <c r="G91" s="2034"/>
      <c r="H91" s="2034"/>
      <c r="I91" s="2034"/>
      <c r="J91" s="2034"/>
      <c r="K91" s="2034"/>
      <c r="L91" s="2034"/>
      <c r="M91" s="2034"/>
      <c r="N91" s="2034"/>
      <c r="O91" s="2034"/>
      <c r="P91" s="2034"/>
      <c r="Q91" s="2034"/>
      <c r="R91" s="2034"/>
      <c r="S91" s="2034"/>
      <c r="T91" s="2034"/>
      <c r="U91" s="2034"/>
      <c r="V91" s="2034"/>
      <c r="W91" s="2034"/>
      <c r="X91" s="2034"/>
      <c r="Y91" s="2034"/>
      <c r="Z91" s="2034"/>
      <c r="AA91" s="2034"/>
      <c r="AB91" s="2034"/>
      <c r="AC91" s="2034"/>
      <c r="AD91" s="2034"/>
      <c r="AE91" s="2034"/>
      <c r="AF91" s="2034"/>
      <c r="AG91" s="2034"/>
      <c r="AH91" s="2034"/>
      <c r="AI91" s="2034"/>
      <c r="AJ91" s="2034"/>
    </row>
    <row r="92" spans="1:57" ht="12" customHeight="1" x14ac:dyDescent="0.2">
      <c r="A92" s="2034"/>
      <c r="B92" s="2034"/>
      <c r="C92" s="2034"/>
      <c r="D92" s="2034"/>
      <c r="E92" s="2034"/>
      <c r="F92" s="2034"/>
      <c r="G92" s="2034"/>
      <c r="H92" s="2034"/>
      <c r="I92" s="2034"/>
      <c r="J92" s="2034"/>
      <c r="K92" s="2034"/>
      <c r="L92" s="2034"/>
      <c r="M92" s="2034"/>
      <c r="N92" s="2034"/>
      <c r="O92" s="2034"/>
      <c r="P92" s="2034"/>
      <c r="Q92" s="2034"/>
      <c r="R92" s="2034"/>
      <c r="S92" s="2034"/>
      <c r="T92" s="2034"/>
      <c r="U92" s="2034"/>
      <c r="V92" s="2034"/>
      <c r="W92" s="2034"/>
      <c r="X92" s="2034"/>
      <c r="Y92" s="2034"/>
      <c r="Z92" s="2034"/>
      <c r="AA92" s="2034"/>
      <c r="AB92" s="2034"/>
      <c r="AC92" s="2034"/>
      <c r="AD92" s="2034"/>
      <c r="AE92" s="2034"/>
      <c r="AF92" s="2034"/>
      <c r="AG92" s="2034"/>
      <c r="AH92" s="2034"/>
      <c r="AI92" s="2034"/>
      <c r="AJ92" s="2034"/>
      <c r="BE92" s="2203"/>
    </row>
    <row r="93" spans="1:57" ht="12" customHeight="1" x14ac:dyDescent="0.2">
      <c r="A93" s="2034"/>
      <c r="B93" s="2034"/>
      <c r="C93" s="2034"/>
      <c r="D93" s="2034"/>
      <c r="E93" s="2034"/>
      <c r="F93" s="2034"/>
      <c r="G93" s="2034"/>
      <c r="H93" s="2034"/>
      <c r="I93" s="2034"/>
      <c r="J93" s="2034"/>
      <c r="K93" s="2034"/>
      <c r="L93" s="2034"/>
      <c r="M93" s="2034"/>
      <c r="N93" s="2034"/>
      <c r="O93" s="2034"/>
      <c r="P93" s="2034"/>
      <c r="Q93" s="2034"/>
      <c r="R93" s="2034"/>
      <c r="S93" s="2034"/>
      <c r="T93" s="2034"/>
      <c r="U93" s="2034"/>
      <c r="V93" s="2034"/>
      <c r="W93" s="2034"/>
      <c r="X93" s="2034"/>
      <c r="Y93" s="2034"/>
      <c r="Z93" s="2034"/>
      <c r="AA93" s="2034"/>
      <c r="AB93" s="2034"/>
      <c r="AC93" s="2034"/>
      <c r="AD93" s="2034"/>
      <c r="AE93" s="2034"/>
      <c r="AF93" s="2034"/>
      <c r="AG93" s="2034"/>
      <c r="AH93" s="2034"/>
      <c r="AI93" s="2034"/>
      <c r="AJ93" s="2034"/>
      <c r="BE93" s="2203"/>
    </row>
    <row r="94" spans="1:57" ht="12" customHeight="1" x14ac:dyDescent="0.2">
      <c r="A94" s="2034"/>
      <c r="B94" s="2034"/>
      <c r="C94" s="2034"/>
      <c r="D94" s="2034"/>
      <c r="E94" s="2034"/>
      <c r="F94" s="2034"/>
      <c r="G94" s="2034"/>
      <c r="H94" s="2034"/>
      <c r="I94" s="2034"/>
      <c r="J94" s="2034"/>
      <c r="K94" s="2034"/>
      <c r="L94" s="2034"/>
      <c r="M94" s="2034"/>
      <c r="N94" s="2034"/>
      <c r="O94" s="2034"/>
      <c r="P94" s="2034"/>
      <c r="Q94" s="2034"/>
      <c r="R94" s="2034"/>
      <c r="S94" s="2034"/>
      <c r="T94" s="2034"/>
      <c r="U94" s="2034"/>
      <c r="V94" s="2034"/>
      <c r="W94" s="2034"/>
      <c r="X94" s="2034"/>
      <c r="Y94" s="2034"/>
      <c r="Z94" s="2034"/>
      <c r="AA94" s="2034"/>
      <c r="AB94" s="2034"/>
      <c r="AC94" s="2034"/>
      <c r="AD94" s="2034"/>
      <c r="AE94" s="2034"/>
      <c r="AF94" s="2034"/>
      <c r="AG94" s="2034"/>
      <c r="AH94" s="2034"/>
      <c r="AI94" s="2034"/>
      <c r="AJ94" s="2034"/>
      <c r="BE94" s="2203"/>
    </row>
    <row r="95" spans="1:57" ht="12" customHeight="1" x14ac:dyDescent="0.2">
      <c r="A95" s="2034"/>
      <c r="B95" s="2034"/>
      <c r="C95" s="2034"/>
      <c r="D95" s="2034"/>
      <c r="E95" s="2034"/>
      <c r="F95" s="2034"/>
      <c r="G95" s="2034"/>
      <c r="H95" s="2034"/>
      <c r="I95" s="2034"/>
      <c r="J95" s="2034"/>
      <c r="K95" s="2034"/>
      <c r="L95" s="2034"/>
      <c r="M95" s="2034"/>
      <c r="N95" s="2034"/>
      <c r="O95" s="2034"/>
      <c r="P95" s="2034"/>
      <c r="Q95" s="2034"/>
      <c r="R95" s="2034"/>
      <c r="S95" s="2034"/>
      <c r="T95" s="2034"/>
      <c r="U95" s="2034"/>
      <c r="V95" s="2034"/>
      <c r="W95" s="2034"/>
      <c r="X95" s="2034"/>
      <c r="Y95" s="2034"/>
      <c r="Z95" s="2034"/>
      <c r="AA95" s="2034"/>
      <c r="AB95" s="2034"/>
      <c r="AC95" s="2034"/>
      <c r="AD95" s="2034"/>
      <c r="AE95" s="2034"/>
      <c r="AF95" s="2034"/>
      <c r="AG95" s="2034"/>
      <c r="AH95" s="2034"/>
      <c r="AI95" s="2034"/>
      <c r="AJ95" s="2034"/>
    </row>
    <row r="96" spans="1:57" ht="12" customHeight="1" x14ac:dyDescent="0.2">
      <c r="A96" s="2034"/>
      <c r="B96" s="2034"/>
      <c r="C96" s="2034"/>
      <c r="D96" s="2034"/>
      <c r="E96" s="2034"/>
      <c r="F96" s="2034"/>
      <c r="G96" s="2034"/>
      <c r="H96" s="2034"/>
      <c r="I96" s="2034"/>
      <c r="J96" s="2034"/>
      <c r="K96" s="2034"/>
      <c r="L96" s="2034"/>
      <c r="M96" s="2034"/>
      <c r="N96" s="2034"/>
      <c r="O96" s="2034"/>
      <c r="P96" s="2034"/>
      <c r="Q96" s="2034"/>
      <c r="R96" s="2034"/>
      <c r="S96" s="2034"/>
      <c r="T96" s="2034"/>
      <c r="U96" s="2034"/>
      <c r="V96" s="2034"/>
      <c r="W96" s="2034"/>
      <c r="X96" s="2034"/>
      <c r="Y96" s="2034"/>
      <c r="Z96" s="2034"/>
      <c r="AA96" s="2034"/>
      <c r="AB96" s="2034"/>
      <c r="AC96" s="2034"/>
      <c r="AD96" s="2034"/>
      <c r="AE96" s="2034"/>
      <c r="AF96" s="2034"/>
      <c r="AG96" s="2034"/>
      <c r="AH96" s="2034"/>
      <c r="AI96" s="2034"/>
      <c r="AJ96" s="2034"/>
    </row>
    <row r="97" spans="1:36" ht="12" customHeight="1" x14ac:dyDescent="0.2">
      <c r="A97" s="2034"/>
      <c r="B97" s="2034"/>
      <c r="C97" s="2034"/>
      <c r="D97" s="2034"/>
      <c r="E97" s="2034"/>
      <c r="F97" s="2034"/>
      <c r="G97" s="2034"/>
      <c r="H97" s="2034"/>
      <c r="I97" s="2034"/>
      <c r="J97" s="2034"/>
      <c r="K97" s="2034"/>
      <c r="L97" s="2034"/>
      <c r="M97" s="2034"/>
      <c r="N97" s="2034"/>
      <c r="O97" s="2034"/>
      <c r="P97" s="2034"/>
      <c r="Q97" s="2034"/>
      <c r="R97" s="2034"/>
      <c r="S97" s="2034"/>
      <c r="T97" s="2034"/>
      <c r="U97" s="2034"/>
      <c r="V97" s="2034"/>
      <c r="W97" s="2034"/>
      <c r="X97" s="2034"/>
      <c r="Y97" s="2034"/>
      <c r="Z97" s="2034"/>
      <c r="AA97" s="2034"/>
      <c r="AB97" s="2034"/>
      <c r="AC97" s="2034"/>
      <c r="AD97" s="2034"/>
      <c r="AE97" s="2034"/>
      <c r="AF97" s="2034"/>
      <c r="AG97" s="2034"/>
      <c r="AH97" s="2034"/>
      <c r="AI97" s="2034"/>
      <c r="AJ97" s="2034"/>
    </row>
    <row r="98" spans="1:36" ht="12" customHeight="1" x14ac:dyDescent="0.2">
      <c r="A98" s="2034"/>
      <c r="B98" s="2034"/>
      <c r="C98" s="2034"/>
      <c r="D98" s="2034"/>
      <c r="E98" s="2034"/>
      <c r="F98" s="2034"/>
      <c r="G98" s="2034"/>
      <c r="H98" s="2034"/>
      <c r="I98" s="2034"/>
      <c r="J98" s="2034"/>
      <c r="K98" s="2034"/>
      <c r="L98" s="2034"/>
      <c r="M98" s="2034"/>
      <c r="N98" s="2034"/>
      <c r="O98" s="2034"/>
      <c r="P98" s="2034"/>
      <c r="Q98" s="2034"/>
      <c r="R98" s="2034"/>
      <c r="S98" s="2034"/>
      <c r="T98" s="2034"/>
      <c r="U98" s="2034"/>
      <c r="V98" s="2034"/>
      <c r="W98" s="2034"/>
      <c r="X98" s="2034"/>
      <c r="Y98" s="2034"/>
      <c r="Z98" s="2034"/>
      <c r="AA98" s="2034"/>
      <c r="AB98" s="2034"/>
      <c r="AC98" s="2034"/>
      <c r="AD98" s="2034"/>
      <c r="AE98" s="2034"/>
      <c r="AF98" s="2034"/>
      <c r="AG98" s="2034"/>
      <c r="AH98" s="2034"/>
      <c r="AI98" s="2034"/>
      <c r="AJ98" s="2034"/>
    </row>
    <row r="99" spans="1:36" ht="12" customHeight="1" x14ac:dyDescent="0.2">
      <c r="A99" s="2034"/>
      <c r="B99" s="2034"/>
      <c r="C99" s="2034"/>
    </row>
    <row r="100" spans="1:36" ht="12" customHeight="1" x14ac:dyDescent="0.2">
      <c r="A100" s="2034"/>
      <c r="B100" s="2034"/>
      <c r="C100" s="2034"/>
      <c r="R100" s="2034"/>
      <c r="S100" s="2034"/>
      <c r="T100" s="2034"/>
      <c r="U100" s="2034"/>
      <c r="V100" s="2034"/>
      <c r="W100" s="2034"/>
      <c r="X100" s="2034"/>
      <c r="Y100" s="2034"/>
      <c r="Z100" s="2034"/>
      <c r="AA100" s="2034"/>
      <c r="AB100" s="2034"/>
      <c r="AC100" s="2203"/>
      <c r="AD100" s="2203"/>
      <c r="AE100" s="2203"/>
      <c r="AF100" s="2203"/>
      <c r="AG100" s="2203"/>
    </row>
    <row r="101" spans="1:36" ht="12" customHeight="1" x14ac:dyDescent="0.2">
      <c r="A101" s="2034"/>
      <c r="B101" s="2034"/>
      <c r="C101" s="2034"/>
      <c r="R101" s="2034"/>
      <c r="S101" s="2034"/>
      <c r="T101" s="2034"/>
      <c r="U101" s="2034"/>
      <c r="V101" s="2034"/>
      <c r="W101" s="2034"/>
      <c r="X101" s="2034"/>
      <c r="Y101" s="2034"/>
      <c r="Z101" s="2034"/>
      <c r="AA101" s="2034"/>
      <c r="AB101" s="2034"/>
      <c r="AC101" s="2203"/>
      <c r="AD101" s="2203"/>
      <c r="AE101" s="2203"/>
      <c r="AF101" s="2203"/>
      <c r="AG101" s="2203"/>
    </row>
    <row r="102" spans="1:36" ht="12" customHeight="1" x14ac:dyDescent="0.2">
      <c r="A102" s="2203"/>
      <c r="B102" s="2203"/>
      <c r="R102" s="2034"/>
      <c r="S102" s="2034"/>
      <c r="T102" s="2034"/>
      <c r="U102" s="2034"/>
      <c r="V102" s="2034"/>
      <c r="W102" s="2034"/>
      <c r="X102" s="2034"/>
      <c r="Y102" s="2034"/>
      <c r="Z102" s="2034"/>
      <c r="AA102" s="2034"/>
      <c r="AB102" s="2034"/>
      <c r="AC102" s="2203"/>
      <c r="AD102" s="2203"/>
      <c r="AE102" s="2203"/>
      <c r="AF102" s="2203"/>
      <c r="AG102" s="2203"/>
    </row>
    <row r="103" spans="1:36" ht="12" customHeight="1" x14ac:dyDescent="0.2">
      <c r="A103" s="2203"/>
      <c r="B103" s="2203"/>
      <c r="R103" s="2034"/>
      <c r="S103" s="2034"/>
      <c r="T103" s="2034"/>
      <c r="U103" s="2034"/>
      <c r="V103" s="2034"/>
      <c r="W103" s="2034"/>
      <c r="X103" s="2034"/>
      <c r="Y103" s="2034"/>
      <c r="Z103" s="2034"/>
      <c r="AA103" s="2034"/>
      <c r="AB103" s="2034"/>
      <c r="AC103" s="2203"/>
      <c r="AD103" s="2203"/>
      <c r="AE103" s="2203"/>
      <c r="AF103" s="2203"/>
      <c r="AG103" s="2203"/>
    </row>
    <row r="110" spans="1:36" ht="12" customHeight="1" x14ac:dyDescent="0.2">
      <c r="M110" s="96"/>
      <c r="N110" s="96"/>
      <c r="O110" s="96"/>
      <c r="P110" s="96"/>
      <c r="Q110" s="2034"/>
    </row>
    <row r="111" spans="1:36" ht="12" customHeight="1" x14ac:dyDescent="0.2">
      <c r="Q111" s="2034"/>
    </row>
    <row r="112" spans="1:36" ht="12" customHeight="1" x14ac:dyDescent="0.2">
      <c r="Q112" s="2034"/>
    </row>
    <row r="113" spans="13:44" ht="12" customHeight="1" x14ac:dyDescent="0.2">
      <c r="Q113" s="2034"/>
    </row>
    <row r="114" spans="13:44" ht="12" customHeight="1" x14ac:dyDescent="0.2">
      <c r="Q114" s="2034"/>
    </row>
    <row r="115" spans="13:44" ht="12" customHeight="1" x14ac:dyDescent="0.2">
      <c r="M115" s="2034"/>
      <c r="N115" s="2034"/>
      <c r="O115" s="2034"/>
      <c r="P115" s="2034"/>
      <c r="Q115" s="2034"/>
    </row>
    <row r="116" spans="13:44" ht="12" customHeight="1" x14ac:dyDescent="0.2">
      <c r="M116" s="2034"/>
      <c r="N116" s="2034"/>
      <c r="O116" s="2034"/>
      <c r="P116" s="2034"/>
      <c r="Q116" s="2034"/>
    </row>
    <row r="117" spans="13:44" ht="12" customHeight="1" x14ac:dyDescent="0.2">
      <c r="M117" s="2034"/>
      <c r="N117" s="2034"/>
      <c r="O117" s="2034"/>
      <c r="P117" s="2034"/>
      <c r="Q117" s="2034"/>
    </row>
    <row r="118" spans="13:44" ht="12" customHeight="1" x14ac:dyDescent="0.2">
      <c r="M118" s="2034"/>
      <c r="N118" s="2034"/>
      <c r="O118" s="2034"/>
      <c r="P118" s="2034"/>
      <c r="Q118" s="2034"/>
    </row>
    <row r="121" spans="13:44" ht="12" customHeight="1" x14ac:dyDescent="0.2">
      <c r="AR121" s="2961"/>
    </row>
    <row r="122" spans="13:44" ht="12" customHeight="1" thickBot="1" x14ac:dyDescent="0.25">
      <c r="AR122" s="2962"/>
    </row>
  </sheetData>
  <sheetProtection selectLockedCells="1"/>
  <mergeCells count="349">
    <mergeCell ref="Y11:Z15"/>
    <mergeCell ref="W6:X6"/>
    <mergeCell ref="W7:X7"/>
    <mergeCell ref="W8:X8"/>
    <mergeCell ref="W9:X9"/>
    <mergeCell ref="W10:X10"/>
    <mergeCell ref="W11:X11"/>
    <mergeCell ref="W12:X12"/>
    <mergeCell ref="W13:X13"/>
    <mergeCell ref="W14:X14"/>
    <mergeCell ref="W15:X15"/>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AA6:AB6"/>
    <mergeCell ref="Y6:Z6"/>
    <mergeCell ref="Y7:Z7"/>
    <mergeCell ref="Y8:Z8"/>
    <mergeCell ref="Y9:Z9"/>
    <mergeCell ref="Y10:Z10"/>
    <mergeCell ref="AA7:AB7"/>
    <mergeCell ref="AA8:AB8"/>
    <mergeCell ref="AA9:AB9"/>
    <mergeCell ref="AA10:AB10"/>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C12:AD12"/>
    <mergeCell ref="AC13:AD13"/>
    <mergeCell ref="AC14:AD14"/>
    <mergeCell ref="AC15:AD15"/>
    <mergeCell ref="AE11:AF11"/>
    <mergeCell ref="AG11:AH11"/>
    <mergeCell ref="AE15:AF15"/>
    <mergeCell ref="AG15:AH15"/>
    <mergeCell ref="AC8:AD8"/>
    <mergeCell ref="AC9:AD9"/>
    <mergeCell ref="V6:V15"/>
    <mergeCell ref="N39:P39"/>
    <mergeCell ref="I6:Q6"/>
    <mergeCell ref="I21:O21"/>
    <mergeCell ref="AG30:AI30"/>
    <mergeCell ref="AG31:AI31"/>
    <mergeCell ref="V52:X52"/>
    <mergeCell ref="Y52:AA52"/>
    <mergeCell ref="AB52:AD52"/>
    <mergeCell ref="AE52:AG52"/>
    <mergeCell ref="AE51:AG51"/>
    <mergeCell ref="AH52:AJ52"/>
    <mergeCell ref="Y50:AA50"/>
    <mergeCell ref="AB50:AD50"/>
    <mergeCell ref="AE50:AG50"/>
    <mergeCell ref="AH50:AJ50"/>
    <mergeCell ref="V47:X48"/>
    <mergeCell ref="Y47:AA48"/>
    <mergeCell ref="AB47:AD48"/>
    <mergeCell ref="AE47:AG48"/>
    <mergeCell ref="AH47:AJ48"/>
    <mergeCell ref="AA39:AC39"/>
    <mergeCell ref="Y51:AA51"/>
    <mergeCell ref="AB51:AD51"/>
    <mergeCell ref="AH41:AH42"/>
    <mergeCell ref="V51:X51"/>
    <mergeCell ref="F34:H34"/>
    <mergeCell ref="F33:H33"/>
    <mergeCell ref="F32:H32"/>
    <mergeCell ref="V46:AJ46"/>
    <mergeCell ref="W44:X44"/>
    <mergeCell ref="Y44:Z44"/>
    <mergeCell ref="AA43:AB43"/>
    <mergeCell ref="AD43:AE43"/>
    <mergeCell ref="W43:X43"/>
    <mergeCell ref="Y43:Z43"/>
    <mergeCell ref="AD44:AE44"/>
    <mergeCell ref="AH51:AJ51"/>
    <mergeCell ref="I46:Q46"/>
    <mergeCell ref="I48:Q48"/>
    <mergeCell ref="I49:Q49"/>
    <mergeCell ref="AH49:AJ49"/>
    <mergeCell ref="Y37:AC37"/>
    <mergeCell ref="AA33:AB33"/>
    <mergeCell ref="V32:W32"/>
    <mergeCell ref="L34:M34"/>
    <mergeCell ref="J32:K32"/>
    <mergeCell ref="J33:K33"/>
    <mergeCell ref="C36:Q37"/>
    <mergeCell ref="D39:E41"/>
    <mergeCell ref="F39:M39"/>
    <mergeCell ref="J34:K34"/>
    <mergeCell ref="E28:E34"/>
    <mergeCell ref="F28:H28"/>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F63:AI63"/>
    <mergeCell ref="V64:AA64"/>
    <mergeCell ref="AF64:AI64"/>
    <mergeCell ref="V61:AA61"/>
    <mergeCell ref="AH53:AJ53"/>
    <mergeCell ref="V58:AC58"/>
    <mergeCell ref="AE58:AJ58"/>
    <mergeCell ref="V59:AA59"/>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B49:AD49"/>
    <mergeCell ref="AE49:AG49"/>
    <mergeCell ref="V50:X50"/>
    <mergeCell ref="Y41:Y42"/>
    <mergeCell ref="Z41:Z42"/>
    <mergeCell ref="AA41:AA42"/>
    <mergeCell ref="AB41:AB42"/>
    <mergeCell ref="AA44:AB44"/>
    <mergeCell ref="AG35:AI35"/>
    <mergeCell ref="Y39:Z39"/>
    <mergeCell ref="AD37:AE37"/>
    <mergeCell ref="AF37:AJ37"/>
    <mergeCell ref="AF38:AG38"/>
    <mergeCell ref="AJ41:AJ42"/>
    <mergeCell ref="AC41:AC42"/>
    <mergeCell ref="AD39:AE39"/>
    <mergeCell ref="AF39:AG39"/>
    <mergeCell ref="AH39:AJ39"/>
    <mergeCell ref="W41:W42"/>
    <mergeCell ref="X41:X42"/>
    <mergeCell ref="W39:X39"/>
    <mergeCell ref="V49:X49"/>
    <mergeCell ref="Y49:AA49"/>
    <mergeCell ref="AG41:AG42"/>
    <mergeCell ref="C16:F16"/>
    <mergeCell ref="V25:W25"/>
    <mergeCell ref="AA25:AB25"/>
    <mergeCell ref="V28:W28"/>
    <mergeCell ref="X28:AA28"/>
    <mergeCell ref="AB28:AJ28"/>
    <mergeCell ref="AF43:AG43"/>
    <mergeCell ref="AH43:AI43"/>
    <mergeCell ref="AG25:AI25"/>
    <mergeCell ref="AG26:AI26"/>
    <mergeCell ref="AG27:AI27"/>
    <mergeCell ref="AG29:AI29"/>
    <mergeCell ref="AD38:AE38"/>
    <mergeCell ref="V37:V44"/>
    <mergeCell ref="AH44:AI44"/>
    <mergeCell ref="W30:X30"/>
    <mergeCell ref="Y30:Y31"/>
    <mergeCell ref="Z30:Z31"/>
    <mergeCell ref="AD41:AD42"/>
    <mergeCell ref="AE41:AE42"/>
    <mergeCell ref="AF41:AF42"/>
    <mergeCell ref="AG34:AI34"/>
    <mergeCell ref="AI41:AI42"/>
    <mergeCell ref="W38:X38"/>
    <mergeCell ref="V23:AJ23"/>
    <mergeCell ref="V24:W24"/>
    <mergeCell ref="X24:AA24"/>
    <mergeCell ref="AB24:AJ24"/>
    <mergeCell ref="W26:X26"/>
    <mergeCell ref="Y26:Y27"/>
    <mergeCell ref="Z26:Z27"/>
    <mergeCell ref="W27:X27"/>
    <mergeCell ref="Y38:Z38"/>
    <mergeCell ref="AA38:AC38"/>
    <mergeCell ref="X32:AA32"/>
    <mergeCell ref="W37:X37"/>
    <mergeCell ref="AH38:AJ38"/>
    <mergeCell ref="V29:W29"/>
    <mergeCell ref="AA29:AB29"/>
    <mergeCell ref="W34:X34"/>
    <mergeCell ref="Y34:Y35"/>
    <mergeCell ref="Z34:Z35"/>
    <mergeCell ref="W35:X35"/>
    <mergeCell ref="V33:W33"/>
    <mergeCell ref="AB32:AJ32"/>
    <mergeCell ref="W31:X31"/>
    <mergeCell ref="AG33:AI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J30:K30"/>
    <mergeCell ref="J31:K31"/>
    <mergeCell ref="L32:M32"/>
    <mergeCell ref="L33:M33"/>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C43:C54"/>
    <mergeCell ref="I44:Q44"/>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I45:Q45"/>
    <mergeCell ref="D45:F45"/>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s>
  <phoneticPr fontId="9" type="noConversion"/>
  <conditionalFormatting sqref="V60:AA60">
    <cfRule type="cellIs" dxfId="233" priority="43" stopIfTrue="1" operator="equal">
      <formula>"Armas naturales"</formula>
    </cfRule>
  </conditionalFormatting>
  <conditionalFormatting sqref="Y39:Z39 AF39:AG39">
    <cfRule type="cellIs" dxfId="232" priority="47" stopIfTrue="1" operator="greaterThan">
      <formula>0</formula>
    </cfRule>
  </conditionalFormatting>
  <conditionalFormatting sqref="AE60 AE62 AE64 AE66">
    <cfRule type="cellIs" dxfId="231" priority="48" stopIfTrue="1" operator="equal">
      <formula>0</formula>
    </cfRule>
  </conditionalFormatting>
  <conditionalFormatting sqref="AE61 AE63 AE65">
    <cfRule type="cellIs" dxfId="230" priority="49" stopIfTrue="1" operator="equal">
      <formula>0</formula>
    </cfRule>
  </conditionalFormatting>
  <conditionalFormatting sqref="V61">
    <cfRule type="cellIs" dxfId="229" priority="56" stopIfTrue="1" operator="equal">
      <formula>"Armas naturales"</formula>
    </cfRule>
  </conditionalFormatting>
  <conditionalFormatting sqref="V62">
    <cfRule type="cellIs" dxfId="228" priority="57" stopIfTrue="1" operator="equal">
      <formula>"Armas naturales"</formula>
    </cfRule>
  </conditionalFormatting>
  <conditionalFormatting sqref="V63">
    <cfRule type="cellIs" dxfId="227" priority="58" stopIfTrue="1" operator="equal">
      <formula>"Armas naturales"</formula>
    </cfRule>
  </conditionalFormatting>
  <conditionalFormatting sqref="V64">
    <cfRule type="cellIs" dxfId="226" priority="59" stopIfTrue="1" operator="equal">
      <formula>"Armas naturales"</formula>
    </cfRule>
  </conditionalFormatting>
  <conditionalFormatting sqref="V65">
    <cfRule type="cellIs" dxfId="225" priority="60" stopIfTrue="1" operator="equal">
      <formula>"Armas naturales"</formula>
    </cfRule>
  </conditionalFormatting>
  <conditionalFormatting sqref="AB21:AE21">
    <cfRule type="expression" dxfId="224" priority="25">
      <formula>$AE$18="No"</formula>
    </cfRule>
  </conditionalFormatting>
  <conditionalFormatting sqref="G22">
    <cfRule type="expression" dxfId="223" priority="22" stopIfTrue="1">
      <formula>NOT(#REF!="")</formula>
    </cfRule>
  </conditionalFormatting>
  <conditionalFormatting sqref="E25:G26">
    <cfRule type="expression" dxfId="222" priority="4689">
      <formula>$C25=""</formula>
    </cfRule>
  </conditionalFormatting>
  <conditionalFormatting sqref="AC27:AE27 AC31:AE31 AC35:AE35">
    <cfRule type="cellIs" dxfId="221" priority="4723" stopIfTrue="1" operator="greaterThan">
      <formula>$K$40</formula>
    </cfRule>
  </conditionalFormatting>
  <dataValidations count="19">
    <dataValidation operator="equal" allowBlank="1" showErrorMessage="1" sqref="X24:AA24 X28:AA28 X32:AA32 Y37:AC37 AF37:AJ37" xr:uid="{00000000-0002-0000-0C00-000000000000}">
      <formula1>0</formula1>
      <formula2>0</formula2>
    </dataValidation>
    <dataValidation type="list" operator="equal" allowBlank="1" showErrorMessage="1" sqref="W61:AA61 W63:AA63 W65:AA65" xr:uid="{00000000-0002-0000-0C00-000001000000}">
      <formula1>Invocaciones</formula1>
      <formula2>0</formula2>
    </dataValidation>
    <dataValidation type="list" operator="equal" allowBlank="1" showErrorMessage="1" sqref="W64:AA64 W62:AA62" xr:uid="{00000000-0002-0000-0C00-000002000000}">
      <formula1>VentajasyDesventajas_Lista</formula1>
      <formula2>0</formula2>
    </dataValidation>
    <dataValidation type="list" operator="equal" allowBlank="1" showErrorMessage="1" sqref="X25 X29 X33" xr:uid="{00000000-0002-0000-0C00-000003000000}">
      <formula1>Tabla_SiNo</formula1>
      <formula2>0</formula2>
    </dataValidation>
    <dataValidation type="list" operator="equal" allowBlank="1" showErrorMessage="1" sqref="X30:X31 X34:X35 Z44 AG44" xr:uid="{00000000-0002-0000-0C00-000004000000}">
      <formula1>#NAME?</formula1>
      <formula2>0</formula2>
    </dataValidation>
    <dataValidation type="list" operator="equal" allowBlank="1" showErrorMessage="1" sqref="AA27:AB27 AA31:AB31 AA35:AB35" xr:uid="{00000000-0002-0000-0C00-000005000000}">
      <formula1>Crítico</formula1>
      <formula2>0</formula2>
    </dataValidation>
    <dataValidation type="list" operator="equal" allowBlank="1" showErrorMessage="1" sqref="AF60:AI66" xr:uid="{00000000-0002-0000-0C00-000006000000}">
      <formula1>Conjuros</formula1>
      <formula2>0</formula2>
    </dataValidation>
    <dataValidation type="list" operator="equal" allowBlank="1" showErrorMessage="1" sqref="Y43:Z43 AF43:AG43" xr:uid="{00000000-0002-0000-0C00-000007000000}">
      <formula1>Tipo_Armadura</formula1>
      <formula2>0</formula2>
    </dataValidation>
    <dataValidation type="list" operator="equal" allowBlank="1" showErrorMessage="1" sqref="Y49:AH53 AI50:AJ53" xr:uid="{00000000-0002-0000-0C00-000008000000}">
      <formula1>Lista_Armas</formula1>
      <formula2>0</formula2>
    </dataValidation>
    <dataValidation type="list" operator="equal" allowBlank="1" showErrorMessage="1" sqref="C10:C12" xr:uid="{00000000-0002-0000-0C00-000009000000}">
      <formula1>Tabla_Cercanía_Dragón</formula1>
      <formula2>0</formula2>
    </dataValidation>
    <dataValidation type="list" operator="equal" allowBlank="1" showErrorMessage="1" sqref="W26:X27 W30:W31 W34:W35" xr:uid="{00000000-0002-0000-0C00-00000A000000}">
      <formula1>Tipologías</formula1>
      <formula2>0</formula2>
    </dataValidation>
    <dataValidation type="list" operator="equal" allowBlank="1" showErrorMessage="1" sqref="Y44 AF44" xr:uid="{00000000-0002-0000-0C00-00000B000000}">
      <formula1>Localización</formula1>
      <formula2>0</formula2>
    </dataValidation>
    <dataValidation type="list" allowBlank="1" showInputMessage="1" showErrorMessage="1" sqref="AE18" xr:uid="{00000000-0002-0000-0C00-00000C000000}">
      <formula1>Si_o_No</formula1>
    </dataValidation>
    <dataValidation type="list" allowBlank="1" showInputMessage="1" showErrorMessage="1" sqref="G22" xr:uid="{00000000-0002-0000-0C00-00000D000000}">
      <formula1>Tabla_SiNo</formula1>
    </dataValidation>
    <dataValidation type="list" operator="equal" allowBlank="1" showErrorMessage="1" sqref="J29:M34" xr:uid="{00000000-0002-0000-0C00-00000E000000}">
      <formula1>Habilidades_Secundarias</formula1>
    </dataValidation>
    <dataValidation type="list" allowBlank="1" showInputMessage="1" showErrorMessage="1" sqref="E26:G26" xr:uid="{00000000-0002-0000-0C00-00000F000000}">
      <formula1>INDIRECT($AN$24)</formula1>
    </dataValidation>
    <dataValidation type="list" allowBlank="1" showInputMessage="1" showErrorMessage="1" sqref="E25:G25" xr:uid="{00000000-0002-0000-0C00-000010000000}">
      <formula1>INDIRECT($AN$23)</formula1>
    </dataValidation>
    <dataValidation type="list" allowBlank="1" showInputMessage="1" showErrorMessage="1" sqref="H40:L40" xr:uid="{00000000-0002-0000-0C00-000011000000}">
      <formula1>$AN$41:$AN$43</formula1>
    </dataValidation>
    <dataValidation type="list" allowBlank="1" showInputMessage="1" showErrorMessage="1" sqref="H41" xr:uid="{00000000-0002-0000-0C00-000012000000}">
      <formula1>$AM$41:$AM$42</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C00-000013000000}">
          <x14:formula1>
            <xm:f>Tablas!$S$9:$S$12</xm:f>
          </x14:formula1>
          <xm:sqref>F6:G7</xm:sqref>
        </x14:dataValidation>
        <x14:dataValidation type="list" allowBlank="1" showInputMessage="1" showErrorMessage="1" xr:uid="{00000000-0002-0000-0C00-000014000000}">
          <x14:formula1>
            <xm:f>Tablas!$T$582:$T$590</xm:f>
          </x14:formula1>
          <xm:sqref>W20:W21</xm:sqref>
        </x14:dataValidation>
        <x14:dataValidation type="list" operator="equal" allowBlank="1" showErrorMessage="1" xr:uid="{00000000-0002-0000-0C00-000015000000}">
          <x14:formula1>
            <xm:f>Tablas!$T$593:$T$598</xm:f>
          </x14:formula1>
          <xm:sqref>AB19:AE21</xm:sqref>
        </x14:dataValidation>
        <x14:dataValidation type="list" operator="equal" allowBlank="1" showErrorMessage="1" xr:uid="{00000000-0002-0000-0C00-000016000000}">
          <x14:formula1>
            <xm:f>Tablas!$T$601:$T$606</xm:f>
          </x14:formula1>
          <xm:sqref>AG18:AJ20</xm:sqref>
        </x14:dataValidation>
        <x14:dataValidation type="list" allowBlank="1" showInputMessage="1" showErrorMessage="1" xr:uid="{00000000-0002-0000-0C00-000017000000}">
          <x14:formula1>
            <xm:f>Tablas!$Q$49:$Q$52</xm:f>
          </x14:formula1>
          <xm:sqref>Y17:Y18</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RA3626"/>
  <sheetViews>
    <sheetView tabSelected="1" topLeftCell="A673" zoomScale="85" zoomScaleNormal="85" workbookViewId="0">
      <selection activeCell="P692" sqref="P692"/>
    </sheetView>
  </sheetViews>
  <sheetFormatPr defaultColWidth="9.140625" defaultRowHeight="12.75" customHeight="1" x14ac:dyDescent="0.2"/>
  <cols>
    <col min="1" max="1" width="3.5703125" style="1915" customWidth="1"/>
    <col min="2" max="2" width="2.140625" style="363" customWidth="1"/>
    <col min="3" max="3" width="5.7109375" style="363" customWidth="1"/>
    <col min="4" max="4" width="7.28515625" style="363" customWidth="1"/>
    <col min="5" max="5" width="7.7109375" style="363" customWidth="1"/>
    <col min="6" max="6" width="5.7109375" style="363" customWidth="1"/>
    <col min="7" max="7" width="8" style="363" customWidth="1"/>
    <col min="8" max="8" width="8" style="1653" customWidth="1"/>
    <col min="9" max="10" width="7.85546875" style="363" customWidth="1"/>
    <col min="11" max="11" width="25.140625" style="363" customWidth="1"/>
    <col min="12" max="13" width="8.140625" style="363" customWidth="1"/>
    <col min="14" max="14" width="8.140625" style="1999" customWidth="1"/>
    <col min="15" max="15" width="8.140625" style="363" customWidth="1"/>
    <col min="16" max="22" width="12.7109375" style="363" customWidth="1"/>
    <col min="23" max="24" width="13.42578125" style="363" customWidth="1"/>
    <col min="25" max="25" width="6.28515625" style="363" customWidth="1"/>
    <col min="26" max="26" width="8.42578125" style="363" customWidth="1"/>
    <col min="27" max="27" width="5.7109375" style="363" customWidth="1"/>
    <col min="28" max="28" width="5.7109375" style="2563" customWidth="1"/>
    <col min="29" max="35" width="9.5703125" style="363" customWidth="1"/>
    <col min="36" max="100" width="5.7109375" style="363" customWidth="1"/>
    <col min="101" max="16384" width="9.140625" style="363"/>
  </cols>
  <sheetData>
    <row r="1" spans="1:263" ht="12" customHeight="1" x14ac:dyDescent="0.2">
      <c r="A1" s="1915">
        <v>1</v>
      </c>
      <c r="B1" s="1915">
        <v>2</v>
      </c>
      <c r="C1" s="1915">
        <v>3</v>
      </c>
      <c r="D1" s="1915">
        <v>4</v>
      </c>
      <c r="E1" s="1915">
        <v>5</v>
      </c>
      <c r="F1" s="1915">
        <v>6</v>
      </c>
      <c r="G1" s="1915">
        <v>7</v>
      </c>
      <c r="H1" s="1915">
        <v>8</v>
      </c>
      <c r="I1" s="1915">
        <v>9</v>
      </c>
      <c r="J1" s="1915">
        <v>10</v>
      </c>
      <c r="K1" s="1915">
        <v>11</v>
      </c>
      <c r="L1" s="1915">
        <v>12</v>
      </c>
      <c r="M1" s="1915">
        <v>13</v>
      </c>
      <c r="N1" s="1915">
        <v>14</v>
      </c>
      <c r="O1" s="1915">
        <v>15</v>
      </c>
      <c r="P1" s="1915">
        <v>16</v>
      </c>
      <c r="Q1" s="1915">
        <v>17</v>
      </c>
      <c r="R1" s="1915">
        <v>18</v>
      </c>
      <c r="S1" s="1915">
        <v>19</v>
      </c>
      <c r="T1" s="1915">
        <v>20</v>
      </c>
      <c r="U1" s="1915">
        <v>21</v>
      </c>
      <c r="V1" s="1915">
        <v>22</v>
      </c>
      <c r="W1" s="1915">
        <v>23</v>
      </c>
      <c r="X1" s="1915">
        <v>24</v>
      </c>
      <c r="Y1" s="1915">
        <v>25</v>
      </c>
      <c r="Z1" s="1915">
        <v>26</v>
      </c>
      <c r="AA1" s="1915">
        <v>27</v>
      </c>
      <c r="AB1" s="1915">
        <v>28</v>
      </c>
      <c r="AC1" s="1915">
        <v>29</v>
      </c>
      <c r="AD1" s="1915">
        <v>30</v>
      </c>
      <c r="AE1" s="1915">
        <v>31</v>
      </c>
      <c r="AF1" s="1915">
        <v>32</v>
      </c>
      <c r="AG1" s="1915">
        <v>33</v>
      </c>
      <c r="AH1" s="1915">
        <v>34</v>
      </c>
      <c r="AI1" s="1915">
        <v>35</v>
      </c>
      <c r="AJ1" s="1915">
        <v>36</v>
      </c>
      <c r="AK1" s="1915">
        <v>37</v>
      </c>
      <c r="AL1" s="1915">
        <v>38</v>
      </c>
      <c r="AM1" s="1915">
        <v>39</v>
      </c>
      <c r="AN1" s="1915">
        <v>40</v>
      </c>
      <c r="AO1" s="1915">
        <v>41</v>
      </c>
      <c r="AP1" s="1915">
        <v>42</v>
      </c>
      <c r="AQ1" s="1915">
        <v>43</v>
      </c>
      <c r="AR1" s="1915">
        <v>44</v>
      </c>
      <c r="AS1" s="1915">
        <v>45</v>
      </c>
      <c r="AT1" s="1915">
        <v>46</v>
      </c>
      <c r="AU1" s="1915">
        <v>47</v>
      </c>
      <c r="AV1" s="1915">
        <v>48</v>
      </c>
      <c r="AW1" s="1915">
        <v>49</v>
      </c>
      <c r="AX1" s="1915">
        <v>50</v>
      </c>
      <c r="AY1" s="1915">
        <v>51</v>
      </c>
      <c r="AZ1" s="1915">
        <v>52</v>
      </c>
      <c r="BA1" s="1915">
        <v>53</v>
      </c>
      <c r="BB1" s="1915">
        <v>54</v>
      </c>
      <c r="BC1" s="1915">
        <v>55</v>
      </c>
      <c r="BD1" s="1915">
        <v>56</v>
      </c>
      <c r="BE1" s="1915">
        <v>57</v>
      </c>
      <c r="BF1" s="1915">
        <v>58</v>
      </c>
      <c r="BG1" s="1915">
        <v>59</v>
      </c>
      <c r="BH1" s="1915">
        <v>60</v>
      </c>
      <c r="BI1" s="1915">
        <v>61</v>
      </c>
      <c r="BJ1" s="1915">
        <v>62</v>
      </c>
      <c r="BK1" s="1915">
        <v>63</v>
      </c>
      <c r="BL1" s="1915">
        <v>64</v>
      </c>
      <c r="BM1" s="1915">
        <v>65</v>
      </c>
      <c r="BN1" s="1915">
        <v>66</v>
      </c>
      <c r="BO1" s="1915">
        <v>67</v>
      </c>
      <c r="BP1" s="1915">
        <v>68</v>
      </c>
      <c r="BQ1" s="1915">
        <v>69</v>
      </c>
      <c r="BR1" s="1915">
        <v>70</v>
      </c>
      <c r="BS1" s="1915">
        <v>71</v>
      </c>
      <c r="BT1" s="1915">
        <v>72</v>
      </c>
      <c r="BU1" s="1915">
        <v>73</v>
      </c>
      <c r="BV1" s="1915">
        <v>74</v>
      </c>
      <c r="BW1" s="1915">
        <v>75</v>
      </c>
      <c r="BX1" s="1915">
        <v>76</v>
      </c>
      <c r="BY1" s="1915">
        <v>77</v>
      </c>
      <c r="BZ1" s="1915">
        <v>78</v>
      </c>
      <c r="CA1" s="1915">
        <v>79</v>
      </c>
      <c r="CB1" s="1915">
        <v>80</v>
      </c>
      <c r="CC1" s="1915">
        <v>81</v>
      </c>
      <c r="CD1" s="1915">
        <v>82</v>
      </c>
      <c r="CE1" s="1915">
        <v>83</v>
      </c>
      <c r="CF1" s="1915">
        <v>84</v>
      </c>
      <c r="CG1" s="1915">
        <v>85</v>
      </c>
      <c r="CH1" s="1915">
        <v>86</v>
      </c>
      <c r="CI1" s="1915">
        <v>87</v>
      </c>
      <c r="CJ1" s="1915">
        <v>88</v>
      </c>
      <c r="CK1" s="1915">
        <v>89</v>
      </c>
      <c r="CL1" s="1915">
        <v>90</v>
      </c>
      <c r="CM1" s="1915">
        <v>91</v>
      </c>
      <c r="CN1" s="1915">
        <v>92</v>
      </c>
      <c r="CO1" s="1915">
        <v>93</v>
      </c>
      <c r="CP1" s="1915">
        <v>94</v>
      </c>
      <c r="CQ1" s="1915">
        <v>95</v>
      </c>
      <c r="CR1" s="1915">
        <v>96</v>
      </c>
      <c r="CS1" s="1915">
        <v>97</v>
      </c>
      <c r="CT1" s="1915">
        <v>98</v>
      </c>
      <c r="CU1" s="1915">
        <v>99</v>
      </c>
      <c r="CV1" s="1915">
        <v>100</v>
      </c>
      <c r="CW1" s="1915">
        <v>101</v>
      </c>
      <c r="CX1" s="1915">
        <v>102</v>
      </c>
      <c r="CY1" s="1915">
        <v>103</v>
      </c>
      <c r="CZ1" s="1915">
        <v>104</v>
      </c>
      <c r="DA1" s="1915">
        <v>105</v>
      </c>
      <c r="DB1" s="1915">
        <v>106</v>
      </c>
      <c r="DC1" s="1915">
        <v>107</v>
      </c>
      <c r="DD1" s="1915">
        <v>108</v>
      </c>
      <c r="DE1" s="1915">
        <v>109</v>
      </c>
      <c r="DF1" s="1915">
        <v>110</v>
      </c>
      <c r="DG1" s="1915">
        <v>111</v>
      </c>
      <c r="DH1" s="1915">
        <v>112</v>
      </c>
      <c r="DI1" s="1915">
        <v>113</v>
      </c>
      <c r="DJ1" s="1915">
        <v>114</v>
      </c>
      <c r="DK1" s="1915">
        <v>115</v>
      </c>
      <c r="DL1" s="1915">
        <v>116</v>
      </c>
      <c r="DM1" s="1915">
        <v>117</v>
      </c>
      <c r="DN1" s="1915">
        <v>118</v>
      </c>
      <c r="DO1" s="1915">
        <v>119</v>
      </c>
      <c r="DP1" s="1915">
        <v>120</v>
      </c>
      <c r="DQ1" s="1915">
        <v>121</v>
      </c>
      <c r="DR1" s="1915">
        <v>122</v>
      </c>
      <c r="DS1" s="1915">
        <v>123</v>
      </c>
      <c r="DT1" s="1915">
        <v>124</v>
      </c>
      <c r="DU1" s="1915">
        <v>125</v>
      </c>
      <c r="DV1" s="1915">
        <v>126</v>
      </c>
      <c r="DW1" s="1915">
        <v>127</v>
      </c>
      <c r="DX1" s="1915">
        <v>128</v>
      </c>
      <c r="DY1" s="1915">
        <v>129</v>
      </c>
      <c r="DZ1" s="1915">
        <v>130</v>
      </c>
      <c r="EA1" s="1915">
        <v>131</v>
      </c>
      <c r="EB1" s="1915">
        <v>132</v>
      </c>
      <c r="EC1" s="1915">
        <v>133</v>
      </c>
      <c r="ED1" s="1915">
        <v>134</v>
      </c>
      <c r="EE1" s="1915">
        <v>135</v>
      </c>
      <c r="EF1" s="1915">
        <v>136</v>
      </c>
      <c r="EG1" s="1915">
        <v>137</v>
      </c>
      <c r="EH1" s="1915">
        <v>138</v>
      </c>
      <c r="EI1" s="1915">
        <v>139</v>
      </c>
      <c r="EJ1" s="1915">
        <v>140</v>
      </c>
      <c r="EK1" s="1915">
        <v>141</v>
      </c>
      <c r="EL1" s="1915">
        <v>142</v>
      </c>
      <c r="EM1" s="1915">
        <v>143</v>
      </c>
      <c r="EN1" s="1915">
        <v>144</v>
      </c>
      <c r="EO1" s="1915">
        <v>145</v>
      </c>
      <c r="EP1" s="1915">
        <v>146</v>
      </c>
      <c r="EQ1" s="1915">
        <v>147</v>
      </c>
      <c r="ER1" s="1915">
        <v>148</v>
      </c>
      <c r="ES1" s="1915">
        <v>149</v>
      </c>
      <c r="ET1" s="1915">
        <v>150</v>
      </c>
      <c r="EU1" s="1915">
        <v>151</v>
      </c>
      <c r="EV1" s="1915">
        <v>152</v>
      </c>
      <c r="EW1" s="1915">
        <v>153</v>
      </c>
      <c r="EX1" s="1915">
        <v>154</v>
      </c>
      <c r="EY1" s="1915">
        <v>155</v>
      </c>
      <c r="EZ1" s="1915">
        <v>156</v>
      </c>
      <c r="FA1" s="1915">
        <v>157</v>
      </c>
      <c r="FB1" s="1915">
        <v>158</v>
      </c>
      <c r="FC1" s="1915">
        <v>159</v>
      </c>
      <c r="FD1" s="1915">
        <v>160</v>
      </c>
      <c r="FE1" s="1915">
        <v>161</v>
      </c>
      <c r="FF1" s="1915">
        <v>162</v>
      </c>
      <c r="FG1" s="1915">
        <v>163</v>
      </c>
      <c r="FH1" s="1915">
        <v>164</v>
      </c>
      <c r="FI1" s="1915">
        <v>165</v>
      </c>
      <c r="FJ1" s="1915">
        <v>166</v>
      </c>
      <c r="FK1" s="1915">
        <v>167</v>
      </c>
      <c r="FL1" s="1915">
        <v>168</v>
      </c>
      <c r="FM1" s="1915">
        <v>169</v>
      </c>
      <c r="FN1" s="1915">
        <v>170</v>
      </c>
      <c r="FO1" s="1915">
        <v>171</v>
      </c>
      <c r="FP1" s="1915">
        <v>172</v>
      </c>
      <c r="FQ1" s="1915">
        <v>173</v>
      </c>
      <c r="FR1" s="1915">
        <v>174</v>
      </c>
      <c r="FS1" s="1915">
        <v>175</v>
      </c>
      <c r="FT1" s="1915">
        <v>176</v>
      </c>
      <c r="FU1" s="1915">
        <v>177</v>
      </c>
      <c r="FV1" s="1915">
        <v>178</v>
      </c>
      <c r="FW1" s="1915">
        <v>179</v>
      </c>
      <c r="FX1" s="1915">
        <v>180</v>
      </c>
      <c r="FY1" s="1915">
        <v>181</v>
      </c>
      <c r="FZ1" s="1915">
        <v>182</v>
      </c>
      <c r="GA1" s="1915">
        <v>183</v>
      </c>
      <c r="GB1" s="1915">
        <v>184</v>
      </c>
      <c r="GC1" s="1915">
        <v>185</v>
      </c>
      <c r="GD1" s="1915">
        <v>186</v>
      </c>
      <c r="GE1" s="1915">
        <v>187</v>
      </c>
      <c r="GF1" s="1915">
        <v>188</v>
      </c>
      <c r="GG1" s="1915">
        <v>189</v>
      </c>
      <c r="GH1" s="1915">
        <v>190</v>
      </c>
      <c r="GI1" s="1915">
        <v>191</v>
      </c>
      <c r="GJ1" s="1915">
        <v>192</v>
      </c>
      <c r="GK1" s="1915">
        <v>193</v>
      </c>
      <c r="GL1" s="1915">
        <v>194</v>
      </c>
      <c r="GM1" s="1915">
        <v>195</v>
      </c>
      <c r="GN1" s="1915">
        <v>196</v>
      </c>
      <c r="GO1" s="1915">
        <v>197</v>
      </c>
      <c r="GP1" s="1915">
        <v>198</v>
      </c>
      <c r="GQ1" s="1915">
        <v>199</v>
      </c>
      <c r="GR1" s="1915">
        <v>200</v>
      </c>
      <c r="GS1" s="1915">
        <v>201</v>
      </c>
      <c r="GT1" s="1915">
        <v>202</v>
      </c>
      <c r="GU1" s="1915">
        <v>203</v>
      </c>
      <c r="GV1" s="1915">
        <v>204</v>
      </c>
      <c r="GW1" s="1915">
        <v>205</v>
      </c>
      <c r="GX1" s="1915">
        <v>206</v>
      </c>
      <c r="GY1" s="1915">
        <v>207</v>
      </c>
      <c r="GZ1" s="1915">
        <v>208</v>
      </c>
      <c r="HA1" s="1915">
        <v>209</v>
      </c>
      <c r="HB1" s="1915">
        <v>210</v>
      </c>
      <c r="HC1" s="1915">
        <v>211</v>
      </c>
      <c r="HD1" s="1915">
        <v>212</v>
      </c>
      <c r="HE1" s="1915">
        <v>213</v>
      </c>
      <c r="HF1" s="1915">
        <v>214</v>
      </c>
      <c r="HG1" s="1915">
        <v>215</v>
      </c>
      <c r="HH1" s="1915">
        <v>216</v>
      </c>
      <c r="HI1" s="1915">
        <v>217</v>
      </c>
      <c r="HJ1" s="1915">
        <v>218</v>
      </c>
      <c r="HK1" s="1915">
        <v>219</v>
      </c>
      <c r="HL1" s="1915">
        <v>220</v>
      </c>
      <c r="HM1" s="1915">
        <v>221</v>
      </c>
      <c r="HN1" s="1915">
        <v>222</v>
      </c>
      <c r="HO1" s="1915">
        <v>223</v>
      </c>
      <c r="HP1" s="1915">
        <v>224</v>
      </c>
      <c r="HQ1" s="1915">
        <v>225</v>
      </c>
      <c r="HR1" s="1915">
        <v>226</v>
      </c>
      <c r="HS1" s="1915">
        <v>227</v>
      </c>
      <c r="HT1" s="1915">
        <v>228</v>
      </c>
      <c r="HU1" s="1915">
        <v>229</v>
      </c>
      <c r="HV1" s="1915">
        <v>230</v>
      </c>
      <c r="HW1" s="1915">
        <v>231</v>
      </c>
      <c r="HX1" s="1915">
        <v>232</v>
      </c>
      <c r="HY1" s="1915">
        <v>233</v>
      </c>
      <c r="HZ1" s="1915">
        <v>234</v>
      </c>
      <c r="IA1" s="1915">
        <v>235</v>
      </c>
      <c r="IB1" s="1915">
        <v>236</v>
      </c>
      <c r="IC1" s="1915">
        <v>237</v>
      </c>
      <c r="ID1" s="1915">
        <v>238</v>
      </c>
      <c r="IE1" s="1915">
        <v>239</v>
      </c>
      <c r="IF1" s="1915">
        <v>240</v>
      </c>
      <c r="IG1" s="1915">
        <v>241</v>
      </c>
      <c r="IH1" s="1915">
        <v>242</v>
      </c>
      <c r="II1" s="1915">
        <v>243</v>
      </c>
      <c r="IJ1" s="1915">
        <v>244</v>
      </c>
      <c r="IK1" s="1915">
        <v>245</v>
      </c>
      <c r="IL1" s="1915">
        <v>246</v>
      </c>
      <c r="IM1" s="1915">
        <v>247</v>
      </c>
      <c r="IN1" s="1915">
        <v>248</v>
      </c>
      <c r="IO1" s="1915">
        <v>249</v>
      </c>
      <c r="IP1" s="1915">
        <v>250</v>
      </c>
      <c r="IQ1" s="1915">
        <v>251</v>
      </c>
      <c r="IR1" s="1915">
        <v>252</v>
      </c>
      <c r="IS1" s="1915">
        <v>253</v>
      </c>
      <c r="IT1" s="1915">
        <v>254</v>
      </c>
      <c r="IU1" s="1915">
        <v>255</v>
      </c>
      <c r="IV1" s="1915">
        <v>256</v>
      </c>
      <c r="IW1" s="1915">
        <v>257</v>
      </c>
      <c r="IX1" s="1915">
        <v>258</v>
      </c>
      <c r="IY1" s="1915">
        <v>259</v>
      </c>
      <c r="IZ1" s="1915">
        <v>260</v>
      </c>
      <c r="JA1" s="1915">
        <v>261</v>
      </c>
      <c r="JB1" s="1915">
        <v>262</v>
      </c>
      <c r="JC1" s="1915">
        <v>263</v>
      </c>
    </row>
    <row r="2" spans="1:263" ht="12.75" customHeight="1" x14ac:dyDescent="0.2">
      <c r="A2" s="1915">
        <v>2</v>
      </c>
      <c r="B2" s="5148"/>
      <c r="C2" s="5143" t="s">
        <v>8945</v>
      </c>
      <c r="D2" s="5143"/>
      <c r="E2" s="5143"/>
      <c r="F2" s="5143"/>
      <c r="G2" s="5143"/>
      <c r="H2" s="5143"/>
      <c r="I2" s="5143"/>
      <c r="J2" s="5143"/>
      <c r="K2" s="5143"/>
      <c r="L2" s="5143"/>
      <c r="M2" s="5143"/>
      <c r="N2" s="5143"/>
      <c r="O2" s="5143"/>
      <c r="P2" s="5143"/>
      <c r="Q2" s="5143"/>
      <c r="R2" s="5143"/>
      <c r="S2" s="5143"/>
      <c r="T2" s="5143"/>
      <c r="U2" s="5143"/>
      <c r="V2" s="5143"/>
      <c r="W2" s="5143"/>
      <c r="X2" s="5143"/>
      <c r="Y2" s="5143"/>
      <c r="Z2" s="5143"/>
      <c r="AA2" s="5143"/>
      <c r="AB2" s="5143"/>
      <c r="AC2" s="5143"/>
      <c r="AD2" s="5143"/>
      <c r="AE2" s="5143"/>
      <c r="AF2" s="5143"/>
      <c r="AG2" s="5143"/>
      <c r="AH2" s="5143"/>
      <c r="AI2" s="5143"/>
    </row>
    <row r="3" spans="1:263" ht="12.75" customHeight="1" x14ac:dyDescent="0.2">
      <c r="A3" s="1915">
        <v>3</v>
      </c>
      <c r="B3" s="5148"/>
      <c r="C3" s="5143"/>
      <c r="D3" s="5143"/>
      <c r="E3" s="5143"/>
      <c r="F3" s="5143"/>
      <c r="G3" s="5143"/>
      <c r="H3" s="5143"/>
      <c r="I3" s="5143"/>
      <c r="J3" s="5143"/>
      <c r="K3" s="5143"/>
      <c r="L3" s="5143"/>
      <c r="M3" s="5143"/>
      <c r="N3" s="5143"/>
      <c r="O3" s="5143"/>
      <c r="P3" s="5143"/>
      <c r="Q3" s="5143"/>
      <c r="R3" s="5143"/>
      <c r="S3" s="5143"/>
      <c r="T3" s="5143"/>
      <c r="U3" s="5143"/>
      <c r="V3" s="5143"/>
      <c r="W3" s="5143"/>
      <c r="X3" s="5143"/>
      <c r="Y3" s="5143"/>
      <c r="Z3" s="5143"/>
      <c r="AA3" s="5143"/>
      <c r="AB3" s="5143"/>
      <c r="AC3" s="5143"/>
      <c r="AD3" s="5143"/>
      <c r="AE3" s="5143"/>
      <c r="AF3" s="5143"/>
      <c r="AG3" s="5143"/>
      <c r="AH3" s="5143"/>
      <c r="AI3" s="5143"/>
    </row>
    <row r="4" spans="1:263" ht="12.75" customHeight="1" x14ac:dyDescent="0.2">
      <c r="A4" s="1916">
        <v>4</v>
      </c>
      <c r="B4" s="5148"/>
      <c r="C4" s="5143"/>
      <c r="D4" s="5143"/>
      <c r="E4" s="5143"/>
      <c r="F4" s="5143"/>
      <c r="G4" s="5143"/>
      <c r="H4" s="5143"/>
      <c r="I4" s="5143"/>
      <c r="J4" s="5143"/>
      <c r="K4" s="5143"/>
      <c r="L4" s="5143"/>
      <c r="M4" s="5143"/>
      <c r="N4" s="5143"/>
      <c r="O4" s="5143"/>
      <c r="P4" s="5143"/>
      <c r="Q4" s="5143"/>
      <c r="R4" s="5143"/>
      <c r="S4" s="5143"/>
      <c r="T4" s="5143"/>
      <c r="U4" s="5143"/>
      <c r="V4" s="5143"/>
      <c r="W4" s="5143"/>
      <c r="X4" s="5143"/>
      <c r="Y4" s="5143"/>
      <c r="Z4" s="5143"/>
      <c r="AA4" s="5143"/>
      <c r="AB4" s="5143"/>
      <c r="AC4" s="5143"/>
      <c r="AD4" s="5143"/>
      <c r="AE4" s="5143"/>
      <c r="AF4" s="5143"/>
      <c r="AG4" s="5143"/>
      <c r="AH4" s="5143"/>
      <c r="AI4" s="5143"/>
    </row>
    <row r="5" spans="1:263" ht="13.5" customHeight="1" thickBot="1" x14ac:dyDescent="0.25">
      <c r="A5" s="1916">
        <v>5</v>
      </c>
      <c r="B5" s="5148"/>
      <c r="H5" s="363"/>
      <c r="I5" s="1653"/>
      <c r="N5" s="363"/>
      <c r="O5" s="1999"/>
    </row>
    <row r="6" spans="1:263" ht="12.75" customHeight="1" thickBot="1" x14ac:dyDescent="0.25">
      <c r="A6" s="1916">
        <v>6</v>
      </c>
      <c r="B6" s="5148"/>
      <c r="C6" s="3201" t="s">
        <v>2445</v>
      </c>
      <c r="E6" s="3201" t="s">
        <v>1605</v>
      </c>
      <c r="G6" s="3201" t="s">
        <v>1079</v>
      </c>
      <c r="H6" s="3201"/>
      <c r="I6" s="1653"/>
      <c r="N6" s="363"/>
      <c r="O6" s="1999"/>
      <c r="S6" s="5274" t="s">
        <v>8077</v>
      </c>
      <c r="T6" s="5275"/>
      <c r="U6" s="5275"/>
      <c r="V6" s="5275"/>
      <c r="W6" s="5275"/>
      <c r="X6" s="5276"/>
      <c r="Y6" s="1080"/>
      <c r="Z6" s="1080"/>
    </row>
    <row r="7" spans="1:263" ht="12.75" customHeight="1" thickBot="1" x14ac:dyDescent="0.25">
      <c r="A7" s="1916">
        <v>7</v>
      </c>
      <c r="B7" s="5148"/>
      <c r="C7" s="3201"/>
      <c r="E7" s="3201"/>
      <c r="G7" s="3201"/>
      <c r="H7" s="3201"/>
      <c r="I7" s="1653"/>
      <c r="N7" s="363"/>
      <c r="O7" s="1999"/>
      <c r="S7" s="5277"/>
      <c r="T7" s="5278"/>
      <c r="U7" s="5278"/>
      <c r="V7" s="5278"/>
      <c r="W7" s="5278"/>
      <c r="X7" s="5279"/>
      <c r="Y7" s="1080"/>
      <c r="Z7" s="1080"/>
    </row>
    <row r="8" spans="1:263" ht="12.75" customHeight="1" thickBot="1" x14ac:dyDescent="0.25">
      <c r="A8" s="1916">
        <v>8</v>
      </c>
      <c r="B8" s="5148"/>
      <c r="C8" s="421" t="s">
        <v>2446</v>
      </c>
      <c r="E8" s="445" t="s">
        <v>1606</v>
      </c>
      <c r="G8" s="377" t="s">
        <v>1080</v>
      </c>
      <c r="H8" s="68"/>
      <c r="I8" s="1653"/>
      <c r="N8" s="363"/>
      <c r="O8" s="1999"/>
      <c r="S8" s="1891"/>
      <c r="T8" s="2323" t="s">
        <v>8087</v>
      </c>
      <c r="U8" s="2322" t="s">
        <v>8086</v>
      </c>
      <c r="V8" s="2322" t="s">
        <v>8081</v>
      </c>
      <c r="W8" s="2322" t="s">
        <v>8082</v>
      </c>
      <c r="X8" s="1892" t="s">
        <v>915</v>
      </c>
    </row>
    <row r="9" spans="1:263" ht="12.75" customHeight="1" thickBot="1" x14ac:dyDescent="0.25">
      <c r="A9" s="1916">
        <v>9</v>
      </c>
      <c r="B9" s="5148"/>
      <c r="C9" s="423" t="s">
        <v>1690</v>
      </c>
      <c r="E9" s="446" t="s">
        <v>1607</v>
      </c>
      <c r="G9" s="378" t="s">
        <v>1081</v>
      </c>
      <c r="H9" s="180"/>
      <c r="I9" s="1653"/>
      <c r="N9" s="363"/>
      <c r="O9" s="1999"/>
      <c r="S9" s="1764" t="s">
        <v>8078</v>
      </c>
      <c r="T9" s="213">
        <f>VLOOKUP($S9&amp;$X$15,$U$14:$W$22,2,FALSE)</f>
        <v>0</v>
      </c>
      <c r="U9" s="213">
        <f>VLOOKUP($S9&amp;$X$15,$U$14:$W$22,3,FALSE)</f>
        <v>0</v>
      </c>
      <c r="V9" s="213">
        <f>1/4</f>
        <v>0.25</v>
      </c>
      <c r="W9" s="213"/>
      <c r="X9" s="1865">
        <v>0</v>
      </c>
    </row>
    <row r="10" spans="1:263" ht="12.75" customHeight="1" thickBot="1" x14ac:dyDescent="0.25">
      <c r="A10" s="1915">
        <v>10</v>
      </c>
      <c r="B10" s="5148"/>
      <c r="H10" s="363"/>
      <c r="I10" s="1653"/>
      <c r="N10" s="363"/>
      <c r="O10" s="1999"/>
      <c r="P10" s="5172" t="s">
        <v>1503</v>
      </c>
      <c r="Q10" s="5172"/>
      <c r="S10" s="1764" t="s">
        <v>2052</v>
      </c>
      <c r="T10" s="213">
        <f>VLOOKUP($S10&amp;$X$15,$U$14:$W$22,2,FALSE)</f>
        <v>10</v>
      </c>
      <c r="U10" s="213">
        <f>VLOOKUP($S10&amp;$X$15,$U$14:$W$22,3,FALSE)</f>
        <v>0.1</v>
      </c>
      <c r="V10" s="213">
        <v>0.5</v>
      </c>
      <c r="W10" s="213"/>
      <c r="X10" s="1865">
        <v>1</v>
      </c>
    </row>
    <row r="11" spans="1:263" ht="12.75" customHeight="1" thickBot="1" x14ac:dyDescent="0.25">
      <c r="A11" s="1915">
        <v>11</v>
      </c>
      <c r="B11" s="5148"/>
      <c r="C11" s="5259" t="s">
        <v>2318</v>
      </c>
      <c r="D11" s="5259"/>
      <c r="E11" s="5259"/>
      <c r="G11" s="5271" t="s">
        <v>2360</v>
      </c>
      <c r="H11" s="5271"/>
      <c r="I11" s="5271"/>
      <c r="J11" s="5271"/>
      <c r="L11" s="5259" t="s">
        <v>1445</v>
      </c>
      <c r="M11" s="5259"/>
      <c r="N11" s="363"/>
      <c r="O11" s="1999"/>
      <c r="P11" s="5172"/>
      <c r="Q11" s="5172"/>
      <c r="S11" s="1764" t="s">
        <v>8079</v>
      </c>
      <c r="T11" s="213">
        <f>VLOOKUP($S11&amp;$X$15,$U$14:$W$22,2,FALSE)</f>
        <v>20</v>
      </c>
      <c r="U11" s="213">
        <f>VLOOKUP($S11&amp;$X$15,$U$14:$W$22,3,FALSE)</f>
        <v>0.25</v>
      </c>
      <c r="V11" s="213">
        <v>1</v>
      </c>
      <c r="W11" s="213"/>
      <c r="X11" s="1865">
        <v>1</v>
      </c>
    </row>
    <row r="12" spans="1:263" ht="12.75" customHeight="1" thickBot="1" x14ac:dyDescent="0.25">
      <c r="A12" s="1915">
        <v>12</v>
      </c>
      <c r="B12" s="5148"/>
      <c r="C12" s="5259"/>
      <c r="D12" s="5259"/>
      <c r="E12" s="5259"/>
      <c r="G12" s="5271"/>
      <c r="H12" s="5271"/>
      <c r="I12" s="5271"/>
      <c r="J12" s="5271"/>
      <c r="L12" s="5259"/>
      <c r="M12" s="5259"/>
      <c r="N12" s="363"/>
      <c r="O12" s="1999"/>
      <c r="P12" s="398" t="s">
        <v>1504</v>
      </c>
      <c r="Q12" s="400" t="s">
        <v>1505</v>
      </c>
      <c r="S12" s="2002" t="s">
        <v>8674</v>
      </c>
      <c r="T12" s="1765" t="s">
        <v>1766</v>
      </c>
      <c r="U12" s="1765" t="s">
        <v>1766</v>
      </c>
      <c r="V12" s="1765" t="s">
        <v>1766</v>
      </c>
      <c r="W12" s="1765" t="s">
        <v>1766</v>
      </c>
      <c r="X12" s="1893" t="s">
        <v>1766</v>
      </c>
    </row>
    <row r="13" spans="1:263" ht="12.75" customHeight="1" thickBot="1" x14ac:dyDescent="0.25">
      <c r="A13" s="1916">
        <v>13</v>
      </c>
      <c r="B13" s="5148"/>
      <c r="C13" s="1739" t="s">
        <v>2319</v>
      </c>
      <c r="D13" s="367" t="s">
        <v>1676</v>
      </c>
      <c r="E13" s="368" t="s">
        <v>1801</v>
      </c>
      <c r="G13" s="366" t="s">
        <v>1692</v>
      </c>
      <c r="H13" s="367" t="s">
        <v>2361</v>
      </c>
      <c r="I13" s="367" t="s">
        <v>2362</v>
      </c>
      <c r="J13" s="368" t="s">
        <v>2363</v>
      </c>
      <c r="L13" s="398" t="s">
        <v>1692</v>
      </c>
      <c r="M13" s="400" t="s">
        <v>1446</v>
      </c>
      <c r="N13" s="363"/>
      <c r="O13" s="1999"/>
      <c r="P13" s="185">
        <v>1</v>
      </c>
      <c r="Q13" s="454">
        <v>1</v>
      </c>
      <c r="S13" s="1897"/>
      <c r="T13" s="1900" t="s">
        <v>2405</v>
      </c>
      <c r="U13" s="2006" t="s">
        <v>8085</v>
      </c>
      <c r="V13" s="1901" t="s">
        <v>8080</v>
      </c>
      <c r="W13" s="1902" t="s">
        <v>3272</v>
      </c>
      <c r="X13" s="1894" t="s">
        <v>8084</v>
      </c>
    </row>
    <row r="14" spans="1:263" ht="12.75" customHeight="1" x14ac:dyDescent="0.2">
      <c r="A14" s="1916">
        <v>14</v>
      </c>
      <c r="B14" s="5148"/>
      <c r="C14" s="1740">
        <v>1</v>
      </c>
      <c r="D14" s="386">
        <v>-30</v>
      </c>
      <c r="E14" s="387">
        <v>1</v>
      </c>
      <c r="G14" s="388">
        <v>1</v>
      </c>
      <c r="H14" s="213">
        <v>0</v>
      </c>
      <c r="I14" s="213">
        <v>0.5</v>
      </c>
      <c r="J14" s="234">
        <v>1</v>
      </c>
      <c r="L14" s="418">
        <v>3</v>
      </c>
      <c r="M14" s="387">
        <v>-30</v>
      </c>
      <c r="N14" s="363"/>
      <c r="O14" s="1999"/>
      <c r="P14" s="185">
        <v>2</v>
      </c>
      <c r="Q14" s="454">
        <v>1</v>
      </c>
      <c r="S14" s="1897" t="s">
        <v>8078</v>
      </c>
      <c r="T14" s="2573" t="s">
        <v>2422</v>
      </c>
      <c r="U14" s="2007" t="str">
        <f>S14&amp;T14</f>
        <v>BajoMístico</v>
      </c>
      <c r="V14" s="213">
        <v>40</v>
      </c>
      <c r="W14" s="1903">
        <f>0.3</f>
        <v>0.3</v>
      </c>
      <c r="X14" s="1895" t="str">
        <f>IF(PDs!P5="","",VLOOKUP(PDs!P5,$D$202:$CH$223,83,FALSE))</f>
        <v/>
      </c>
    </row>
    <row r="15" spans="1:263" ht="12.75" customHeight="1" thickBot="1" x14ac:dyDescent="0.25">
      <c r="A15" s="1916">
        <v>15</v>
      </c>
      <c r="B15" s="5148"/>
      <c r="C15" s="1741">
        <v>2</v>
      </c>
      <c r="D15" s="213">
        <v>-20</v>
      </c>
      <c r="E15" s="234">
        <v>2</v>
      </c>
      <c r="G15" s="388">
        <v>2</v>
      </c>
      <c r="H15" s="213">
        <v>0</v>
      </c>
      <c r="I15" s="213">
        <v>5</v>
      </c>
      <c r="J15" s="234">
        <v>10</v>
      </c>
      <c r="L15" s="216">
        <v>4</v>
      </c>
      <c r="M15" s="234">
        <v>-10</v>
      </c>
      <c r="N15" s="363"/>
      <c r="O15" s="1999"/>
      <c r="P15" s="185">
        <v>3</v>
      </c>
      <c r="Q15" s="454">
        <v>1</v>
      </c>
      <c r="S15" s="1898" t="s">
        <v>8078</v>
      </c>
      <c r="T15" s="2573" t="s">
        <v>8083</v>
      </c>
      <c r="U15" s="2007" t="str">
        <f t="shared" ref="U15:U22" si="0">S15&amp;T15</f>
        <v>BajoMixto</v>
      </c>
      <c r="V15" s="213">
        <v>20</v>
      </c>
      <c r="W15" s="1903">
        <f>0.2</f>
        <v>0.2</v>
      </c>
      <c r="X15" s="1896" t="str">
        <f>IF(X14="MísticoSin","Místico",IF(ISNUMBER(SEARCH("Místico",X14)),"Mixto","Otros"))</f>
        <v>Otros</v>
      </c>
    </row>
    <row r="16" spans="1:263" ht="12.75" customHeight="1" x14ac:dyDescent="0.2">
      <c r="A16" s="1915">
        <v>16</v>
      </c>
      <c r="B16" s="5148"/>
      <c r="C16" s="1741">
        <v>3</v>
      </c>
      <c r="D16" s="213">
        <v>-10</v>
      </c>
      <c r="E16" s="234">
        <v>3</v>
      </c>
      <c r="G16" s="388">
        <v>3</v>
      </c>
      <c r="H16" s="213">
        <v>0</v>
      </c>
      <c r="I16" s="213">
        <v>10</v>
      </c>
      <c r="J16" s="234">
        <v>20</v>
      </c>
      <c r="L16" s="216">
        <v>5</v>
      </c>
      <c r="M16" s="234">
        <v>0</v>
      </c>
      <c r="N16" s="363"/>
      <c r="O16" s="1999"/>
      <c r="P16" s="185">
        <v>4</v>
      </c>
      <c r="Q16" s="454">
        <v>1</v>
      </c>
      <c r="S16" s="1898" t="s">
        <v>8078</v>
      </c>
      <c r="T16" s="2573" t="s">
        <v>7882</v>
      </c>
      <c r="U16" s="2007" t="str">
        <f t="shared" si="0"/>
        <v>BajoOtros</v>
      </c>
      <c r="V16" s="213">
        <v>0</v>
      </c>
      <c r="W16" s="1903">
        <v>0</v>
      </c>
    </row>
    <row r="17" spans="1:113" ht="12.75" customHeight="1" x14ac:dyDescent="0.2">
      <c r="A17" s="1915">
        <v>17</v>
      </c>
      <c r="B17" s="5148"/>
      <c r="C17" s="1741">
        <v>4</v>
      </c>
      <c r="D17" s="213">
        <v>-5</v>
      </c>
      <c r="E17" s="234">
        <v>4</v>
      </c>
      <c r="G17" s="388">
        <v>4</v>
      </c>
      <c r="H17" s="213">
        <v>0</v>
      </c>
      <c r="I17" s="213">
        <v>15</v>
      </c>
      <c r="J17" s="234">
        <v>40</v>
      </c>
      <c r="L17" s="216">
        <v>7</v>
      </c>
      <c r="M17" s="234">
        <v>10</v>
      </c>
      <c r="N17" s="363"/>
      <c r="O17" s="1999"/>
      <c r="P17" s="185">
        <v>5</v>
      </c>
      <c r="Q17" s="454">
        <v>1</v>
      </c>
      <c r="S17" s="1897" t="s">
        <v>2052</v>
      </c>
      <c r="T17" s="2574" t="s">
        <v>2422</v>
      </c>
      <c r="U17" s="2008" t="str">
        <f t="shared" si="0"/>
        <v>MedioMístico</v>
      </c>
      <c r="V17" s="1905">
        <v>50</v>
      </c>
      <c r="W17" s="1906">
        <v>0.5</v>
      </c>
    </row>
    <row r="18" spans="1:113" ht="12.75" customHeight="1" thickBot="1" x14ac:dyDescent="0.25">
      <c r="A18" s="1915">
        <v>18</v>
      </c>
      <c r="B18" s="5148"/>
      <c r="C18" s="1741">
        <v>5</v>
      </c>
      <c r="D18" s="213">
        <v>0</v>
      </c>
      <c r="E18" s="234">
        <v>5</v>
      </c>
      <c r="G18" s="388">
        <v>5</v>
      </c>
      <c r="H18" s="213">
        <v>0</v>
      </c>
      <c r="I18" s="213">
        <v>25</v>
      </c>
      <c r="J18" s="234">
        <v>60</v>
      </c>
      <c r="L18" s="216">
        <v>8</v>
      </c>
      <c r="M18" s="234">
        <v>20</v>
      </c>
      <c r="N18" s="363"/>
      <c r="O18" s="1999"/>
      <c r="P18" s="185">
        <v>6</v>
      </c>
      <c r="Q18" s="454">
        <v>1</v>
      </c>
      <c r="S18" s="1898" t="s">
        <v>2052</v>
      </c>
      <c r="T18" s="2573" t="s">
        <v>8083</v>
      </c>
      <c r="U18" s="2007" t="str">
        <f t="shared" si="0"/>
        <v>MedioMixto</v>
      </c>
      <c r="V18" s="213">
        <v>40</v>
      </c>
      <c r="W18" s="1903">
        <v>0.4</v>
      </c>
    </row>
    <row r="19" spans="1:113" ht="12.75" customHeight="1" x14ac:dyDescent="0.2">
      <c r="A19" s="1916">
        <v>19</v>
      </c>
      <c r="B19" s="5148"/>
      <c r="C19" s="1742">
        <v>6</v>
      </c>
      <c r="D19" s="213">
        <v>5</v>
      </c>
      <c r="E19" s="234">
        <v>6</v>
      </c>
      <c r="G19" s="389">
        <v>6</v>
      </c>
      <c r="H19" s="213">
        <v>0</v>
      </c>
      <c r="I19" s="213">
        <v>40</v>
      </c>
      <c r="J19" s="234">
        <v>120</v>
      </c>
      <c r="L19" s="216">
        <v>9</v>
      </c>
      <c r="M19" s="234">
        <v>30</v>
      </c>
      <c r="N19" s="363"/>
      <c r="O19" s="1999"/>
      <c r="P19" s="185">
        <v>7</v>
      </c>
      <c r="Q19" s="454">
        <v>1</v>
      </c>
      <c r="S19" s="1899" t="s">
        <v>2052</v>
      </c>
      <c r="T19" s="2575" t="s">
        <v>7882</v>
      </c>
      <c r="U19" s="2009" t="str">
        <f t="shared" si="0"/>
        <v>MedioOtros</v>
      </c>
      <c r="V19" s="1904">
        <v>10</v>
      </c>
      <c r="W19" s="1904">
        <v>0.1</v>
      </c>
      <c r="X19" s="5285" t="s">
        <v>8763</v>
      </c>
    </row>
    <row r="20" spans="1:113" ht="12.75" customHeight="1" x14ac:dyDescent="0.2">
      <c r="A20" s="1916">
        <v>20</v>
      </c>
      <c r="B20" s="5148"/>
      <c r="C20" s="1742">
        <v>7</v>
      </c>
      <c r="D20" s="213">
        <v>5</v>
      </c>
      <c r="E20" s="234">
        <v>7</v>
      </c>
      <c r="G20" s="389">
        <v>7</v>
      </c>
      <c r="H20" s="213">
        <v>0</v>
      </c>
      <c r="I20" s="213">
        <v>60</v>
      </c>
      <c r="J20" s="234">
        <v>180</v>
      </c>
      <c r="L20" s="216">
        <v>10</v>
      </c>
      <c r="M20" s="234">
        <v>50</v>
      </c>
      <c r="N20" s="363"/>
      <c r="O20" s="1999"/>
      <c r="P20" s="185">
        <v>8</v>
      </c>
      <c r="Q20" s="454">
        <v>1</v>
      </c>
      <c r="S20" s="1898" t="s">
        <v>8079</v>
      </c>
      <c r="T20" s="2573" t="s">
        <v>2422</v>
      </c>
      <c r="U20" s="2007" t="str">
        <f t="shared" si="0"/>
        <v>AltoMístico</v>
      </c>
      <c r="V20" s="213">
        <v>60</v>
      </c>
      <c r="W20" s="213">
        <v>0.8</v>
      </c>
      <c r="X20" s="5286"/>
    </row>
    <row r="21" spans="1:113" ht="12.75" customHeight="1" x14ac:dyDescent="0.2">
      <c r="A21" s="1916">
        <v>21</v>
      </c>
      <c r="B21" s="5148"/>
      <c r="C21" s="1742">
        <v>8</v>
      </c>
      <c r="D21" s="213">
        <v>10</v>
      </c>
      <c r="E21" s="234">
        <v>8</v>
      </c>
      <c r="G21" s="389">
        <v>8</v>
      </c>
      <c r="H21" s="213">
        <v>1</v>
      </c>
      <c r="I21" s="213">
        <v>80</v>
      </c>
      <c r="J21" s="234">
        <v>260</v>
      </c>
      <c r="L21" s="216">
        <v>11</v>
      </c>
      <c r="M21" s="234">
        <v>100</v>
      </c>
      <c r="N21" s="363"/>
      <c r="O21" s="1999"/>
      <c r="P21" s="185">
        <v>9</v>
      </c>
      <c r="Q21" s="454">
        <v>1</v>
      </c>
      <c r="S21" s="1898" t="s">
        <v>8079</v>
      </c>
      <c r="T21" s="2573" t="s">
        <v>8083</v>
      </c>
      <c r="U21" s="2007" t="str">
        <f t="shared" si="0"/>
        <v>AltoMixto</v>
      </c>
      <c r="V21" s="213">
        <v>50</v>
      </c>
      <c r="W21" s="213">
        <v>0.6</v>
      </c>
      <c r="X21" s="5287" t="b">
        <f>AND(Nivel_Sobrenatural&lt;&gt;Tablas!S12,General!$V$12="")</f>
        <v>0</v>
      </c>
    </row>
    <row r="22" spans="1:113" ht="12.75" customHeight="1" thickBot="1" x14ac:dyDescent="0.25">
      <c r="A22" s="1916">
        <v>22</v>
      </c>
      <c r="B22" s="5148"/>
      <c r="C22" s="1742">
        <v>9</v>
      </c>
      <c r="D22" s="213">
        <v>10</v>
      </c>
      <c r="E22" s="234">
        <v>10</v>
      </c>
      <c r="G22" s="389">
        <v>9</v>
      </c>
      <c r="H22" s="213">
        <v>1</v>
      </c>
      <c r="I22" s="213">
        <v>100</v>
      </c>
      <c r="J22" s="234">
        <v>350</v>
      </c>
      <c r="L22" s="216">
        <v>12</v>
      </c>
      <c r="M22" s="234">
        <v>250</v>
      </c>
      <c r="N22" s="363"/>
      <c r="O22" s="1999"/>
      <c r="P22" s="185">
        <v>10</v>
      </c>
      <c r="Q22" s="454">
        <v>2</v>
      </c>
      <c r="S22" s="1899" t="s">
        <v>8079</v>
      </c>
      <c r="T22" s="2575" t="s">
        <v>7882</v>
      </c>
      <c r="U22" s="2009" t="str">
        <f t="shared" si="0"/>
        <v>AltoOtros</v>
      </c>
      <c r="V22" s="1904">
        <v>20</v>
      </c>
      <c r="W22" s="1904">
        <v>0.25</v>
      </c>
      <c r="X22" s="5288"/>
    </row>
    <row r="23" spans="1:113" ht="12.75" customHeight="1" thickBot="1" x14ac:dyDescent="0.25">
      <c r="A23" s="1916">
        <v>23</v>
      </c>
      <c r="B23" s="5148"/>
      <c r="C23" s="1741">
        <v>10</v>
      </c>
      <c r="D23" s="213">
        <v>15</v>
      </c>
      <c r="E23" s="234">
        <v>15</v>
      </c>
      <c r="G23" s="388">
        <v>10</v>
      </c>
      <c r="H23" s="213">
        <v>2</v>
      </c>
      <c r="I23" s="213">
        <v>150</v>
      </c>
      <c r="J23" s="234">
        <v>420</v>
      </c>
      <c r="L23" s="216">
        <v>13</v>
      </c>
      <c r="M23" s="234">
        <v>500</v>
      </c>
      <c r="N23" s="363"/>
      <c r="O23" s="1999"/>
      <c r="P23" s="185">
        <v>11</v>
      </c>
      <c r="Q23" s="454">
        <v>2</v>
      </c>
      <c r="S23" s="1999"/>
    </row>
    <row r="24" spans="1:113" ht="12.75" customHeight="1" x14ac:dyDescent="0.2">
      <c r="A24" s="1916">
        <v>24</v>
      </c>
      <c r="B24" s="5148"/>
      <c r="C24" s="1742">
        <v>11</v>
      </c>
      <c r="D24" s="213">
        <v>20</v>
      </c>
      <c r="E24" s="234">
        <v>20</v>
      </c>
      <c r="G24" s="389">
        <v>11</v>
      </c>
      <c r="H24" s="213">
        <v>3</v>
      </c>
      <c r="I24" s="213">
        <v>200</v>
      </c>
      <c r="J24" s="234">
        <v>600</v>
      </c>
      <c r="L24" s="216">
        <v>14</v>
      </c>
      <c r="M24" s="234">
        <v>1000</v>
      </c>
      <c r="N24" s="363"/>
      <c r="O24" s="1999"/>
      <c r="P24" s="185">
        <v>12</v>
      </c>
      <c r="Q24" s="454">
        <v>2</v>
      </c>
      <c r="T24" s="5374" t="s">
        <v>8786</v>
      </c>
      <c r="U24" s="5375"/>
      <c r="W24" s="4252" t="s">
        <v>1443</v>
      </c>
      <c r="X24" s="4093"/>
      <c r="Y24" s="4248"/>
      <c r="AA24" s="4252" t="s">
        <v>2431</v>
      </c>
      <c r="AB24" s="4093"/>
      <c r="AC24" s="4248"/>
      <c r="AE24" s="4252" t="s">
        <v>2434</v>
      </c>
      <c r="AF24" s="4093"/>
      <c r="AG24" s="4248"/>
      <c r="AI24" s="5274" t="s">
        <v>1785</v>
      </c>
      <c r="AJ24" s="5276"/>
    </row>
    <row r="25" spans="1:113" ht="12.75" customHeight="1" x14ac:dyDescent="0.2">
      <c r="A25" s="1915">
        <v>25</v>
      </c>
      <c r="B25" s="5148"/>
      <c r="C25" s="1742">
        <v>12</v>
      </c>
      <c r="D25" s="213">
        <v>20</v>
      </c>
      <c r="E25" s="234">
        <v>30</v>
      </c>
      <c r="G25" s="389">
        <v>12</v>
      </c>
      <c r="H25" s="213">
        <v>3</v>
      </c>
      <c r="I25" s="213">
        <v>350</v>
      </c>
      <c r="J25" s="234">
        <v>1000</v>
      </c>
      <c r="L25" s="216">
        <v>15</v>
      </c>
      <c r="M25" s="234">
        <v>5000</v>
      </c>
      <c r="N25" s="363"/>
      <c r="O25" s="1999"/>
      <c r="P25" s="185">
        <v>13</v>
      </c>
      <c r="Q25" s="454">
        <v>3</v>
      </c>
      <c r="T25" s="5376"/>
      <c r="U25" s="5377"/>
      <c r="W25" s="5211"/>
      <c r="X25" s="5172"/>
      <c r="Y25" s="5212"/>
      <c r="AA25" s="5211"/>
      <c r="AB25" s="5172"/>
      <c r="AC25" s="5212"/>
      <c r="AE25" s="5211"/>
      <c r="AF25" s="5172"/>
      <c r="AG25" s="5212"/>
      <c r="AI25" s="5277"/>
      <c r="AJ25" s="5279"/>
    </row>
    <row r="26" spans="1:113" ht="13.5" customHeight="1" thickBot="1" x14ac:dyDescent="0.25">
      <c r="A26" s="1915">
        <v>26</v>
      </c>
      <c r="B26" s="5148"/>
      <c r="C26" s="1742">
        <v>13</v>
      </c>
      <c r="D26" s="213">
        <v>25</v>
      </c>
      <c r="E26" s="234">
        <v>40</v>
      </c>
      <c r="G26" s="389">
        <v>13</v>
      </c>
      <c r="H26" s="213">
        <v>4</v>
      </c>
      <c r="I26" s="213">
        <v>1000</v>
      </c>
      <c r="J26" s="234">
        <v>3000</v>
      </c>
      <c r="L26" s="383">
        <v>16</v>
      </c>
      <c r="M26" s="376">
        <v>10000</v>
      </c>
      <c r="N26" s="363"/>
      <c r="O26" s="1999"/>
      <c r="P26" s="185">
        <v>14</v>
      </c>
      <c r="Q26" s="454">
        <v>3</v>
      </c>
      <c r="T26" s="1943">
        <v>0</v>
      </c>
      <c r="U26" s="1865" t="s">
        <v>1766</v>
      </c>
      <c r="W26" s="3124" t="s">
        <v>1685</v>
      </c>
      <c r="X26" s="3125" t="s">
        <v>1686</v>
      </c>
      <c r="Y26" s="3126" t="s">
        <v>1444</v>
      </c>
      <c r="AA26" s="3121" t="s">
        <v>2432</v>
      </c>
      <c r="AB26" s="3109" t="s">
        <v>1667</v>
      </c>
      <c r="AC26" s="3123" t="s">
        <v>2433</v>
      </c>
      <c r="AE26" s="3121" t="s">
        <v>2435</v>
      </c>
      <c r="AF26" s="3122" t="s">
        <v>2436</v>
      </c>
      <c r="AG26" s="3123" t="s">
        <v>2433</v>
      </c>
      <c r="AI26" s="3107" t="s">
        <v>1695</v>
      </c>
      <c r="AJ26" s="3127" t="s">
        <v>1442</v>
      </c>
    </row>
    <row r="27" spans="1:113" ht="12.75" customHeight="1" x14ac:dyDescent="0.2">
      <c r="A27" s="1915">
        <v>27</v>
      </c>
      <c r="B27" s="5148"/>
      <c r="C27" s="1742">
        <v>14</v>
      </c>
      <c r="D27" s="213">
        <v>25</v>
      </c>
      <c r="E27" s="234">
        <v>50</v>
      </c>
      <c r="G27" s="389">
        <v>14</v>
      </c>
      <c r="H27" s="213">
        <v>4</v>
      </c>
      <c r="I27" s="213">
        <v>5000</v>
      </c>
      <c r="J27" s="234">
        <v>25000</v>
      </c>
      <c r="N27" s="363"/>
      <c r="O27" s="1999"/>
      <c r="P27" s="185">
        <v>15</v>
      </c>
      <c r="Q27" s="454">
        <v>3</v>
      </c>
      <c r="T27" s="1943">
        <v>20</v>
      </c>
      <c r="U27" s="1865" t="s">
        <v>8787</v>
      </c>
      <c r="W27" s="216">
        <v>0</v>
      </c>
      <c r="X27" s="213">
        <v>0</v>
      </c>
      <c r="Y27" s="454"/>
      <c r="AA27" s="216">
        <v>0</v>
      </c>
      <c r="AB27" s="213" t="s">
        <v>1766</v>
      </c>
      <c r="AC27" s="454" t="s">
        <v>1766</v>
      </c>
      <c r="AE27" s="216">
        <v>0</v>
      </c>
      <c r="AF27" s="3103" t="s">
        <v>2437</v>
      </c>
      <c r="AG27" s="454">
        <v>0</v>
      </c>
      <c r="AI27" s="465">
        <v>1</v>
      </c>
      <c r="AJ27" s="193">
        <v>1</v>
      </c>
    </row>
    <row r="28" spans="1:113" ht="12.75" customHeight="1" x14ac:dyDescent="0.2">
      <c r="A28" s="1916">
        <v>28</v>
      </c>
      <c r="B28" s="5148"/>
      <c r="C28" s="1741">
        <v>15</v>
      </c>
      <c r="D28" s="213">
        <v>30</v>
      </c>
      <c r="E28" s="234">
        <v>60</v>
      </c>
      <c r="G28" s="388">
        <v>15</v>
      </c>
      <c r="H28" s="213">
        <v>5</v>
      </c>
      <c r="I28" s="213">
        <v>15000</v>
      </c>
      <c r="J28" s="234">
        <v>100000</v>
      </c>
      <c r="N28" s="363"/>
      <c r="O28" s="1999"/>
      <c r="P28" s="185">
        <v>16</v>
      </c>
      <c r="Q28" s="454">
        <v>4</v>
      </c>
      <c r="T28" s="1943">
        <v>40</v>
      </c>
      <c r="U28" s="1865" t="s">
        <v>8788</v>
      </c>
      <c r="W28" s="216">
        <v>5</v>
      </c>
      <c r="X28" s="213">
        <v>0</v>
      </c>
      <c r="Y28" s="454"/>
      <c r="AA28" s="216">
        <v>9</v>
      </c>
      <c r="AB28" s="213">
        <v>20</v>
      </c>
      <c r="AC28" s="234">
        <v>5</v>
      </c>
      <c r="AE28" s="216">
        <v>10</v>
      </c>
      <c r="AF28" s="305" t="s">
        <v>2438</v>
      </c>
      <c r="AG28" s="234">
        <v>-1</v>
      </c>
      <c r="AI28" s="465">
        <v>2</v>
      </c>
      <c r="AJ28" s="193">
        <v>1</v>
      </c>
    </row>
    <row r="29" spans="1:113" ht="12.75" customHeight="1" x14ac:dyDescent="0.2">
      <c r="A29" s="1916">
        <v>29</v>
      </c>
      <c r="B29" s="5148"/>
      <c r="C29" s="1741">
        <v>16</v>
      </c>
      <c r="D29" s="213">
        <v>35</v>
      </c>
      <c r="E29" s="234">
        <v>70</v>
      </c>
      <c r="G29" s="388">
        <v>16</v>
      </c>
      <c r="H29" s="213">
        <v>5</v>
      </c>
      <c r="I29" s="213">
        <v>100000</v>
      </c>
      <c r="J29" s="234">
        <v>500000</v>
      </c>
      <c r="N29" s="363"/>
      <c r="O29" s="1999"/>
      <c r="P29" s="185">
        <v>17</v>
      </c>
      <c r="Q29" s="454">
        <v>4</v>
      </c>
      <c r="T29" s="2295">
        <v>80</v>
      </c>
      <c r="U29" s="1865" t="s">
        <v>8789</v>
      </c>
      <c r="W29" s="216">
        <v>10</v>
      </c>
      <c r="X29" s="213">
        <v>0</v>
      </c>
      <c r="Y29" s="454"/>
      <c r="AA29" s="216">
        <v>13</v>
      </c>
      <c r="AB29" s="213">
        <v>30</v>
      </c>
      <c r="AC29" s="234">
        <v>10</v>
      </c>
      <c r="AE29" s="216">
        <v>20</v>
      </c>
      <c r="AF29" s="305" t="s">
        <v>2439</v>
      </c>
      <c r="AG29" s="234">
        <v>-3</v>
      </c>
      <c r="AI29" s="465">
        <v>3</v>
      </c>
      <c r="AJ29" s="193">
        <v>1</v>
      </c>
    </row>
    <row r="30" spans="1:113" ht="12.75" customHeight="1" x14ac:dyDescent="0.2">
      <c r="A30" s="1916">
        <v>30</v>
      </c>
      <c r="B30" s="5148"/>
      <c r="C30" s="1742">
        <v>17</v>
      </c>
      <c r="D30" s="213">
        <v>35</v>
      </c>
      <c r="E30" s="234">
        <v>80</v>
      </c>
      <c r="G30" s="389">
        <v>17</v>
      </c>
      <c r="H30" s="213">
        <v>5</v>
      </c>
      <c r="I30" s="213">
        <v>500000</v>
      </c>
      <c r="J30" s="234">
        <v>2500000</v>
      </c>
      <c r="N30" s="363"/>
      <c r="O30" s="1999"/>
      <c r="P30" s="185">
        <v>18</v>
      </c>
      <c r="Q30" s="454">
        <v>4</v>
      </c>
      <c r="T30" s="2295">
        <v>120</v>
      </c>
      <c r="U30" s="1865" t="s">
        <v>8798</v>
      </c>
      <c r="W30" s="216">
        <v>15</v>
      </c>
      <c r="X30" s="213">
        <v>0</v>
      </c>
      <c r="Y30" s="454"/>
      <c r="AA30" s="216">
        <v>16</v>
      </c>
      <c r="AB30" s="213">
        <v>50</v>
      </c>
      <c r="AC30" s="234">
        <v>15</v>
      </c>
      <c r="AE30" s="216">
        <v>30</v>
      </c>
      <c r="AF30" s="305" t="s">
        <v>2440</v>
      </c>
      <c r="AG30" s="234">
        <v>-5</v>
      </c>
      <c r="AI30" s="465">
        <v>4</v>
      </c>
      <c r="AJ30" s="193">
        <v>1</v>
      </c>
    </row>
    <row r="31" spans="1:113" s="1653" customFormat="1" ht="14.85" customHeight="1" x14ac:dyDescent="0.2">
      <c r="A31" s="1915">
        <v>31</v>
      </c>
      <c r="B31" s="5148"/>
      <c r="C31" s="1742">
        <v>18</v>
      </c>
      <c r="D31" s="213">
        <v>40</v>
      </c>
      <c r="E31" s="234">
        <v>90</v>
      </c>
      <c r="F31" s="363"/>
      <c r="G31" s="389">
        <v>18</v>
      </c>
      <c r="H31" s="213">
        <v>5</v>
      </c>
      <c r="I31" s="213">
        <v>1000000</v>
      </c>
      <c r="J31" s="234">
        <v>10000000</v>
      </c>
      <c r="K31" s="363"/>
      <c r="L31" s="363"/>
      <c r="M31" s="363"/>
      <c r="N31" s="363"/>
      <c r="O31" s="1999"/>
      <c r="P31" s="185">
        <v>19</v>
      </c>
      <c r="Q31" s="454">
        <v>4</v>
      </c>
      <c r="R31" s="363"/>
      <c r="T31" s="2295">
        <v>140</v>
      </c>
      <c r="U31" s="1865" t="s">
        <v>8790</v>
      </c>
      <c r="W31" s="216">
        <v>20</v>
      </c>
      <c r="X31" s="213">
        <v>0</v>
      </c>
      <c r="Y31" s="454"/>
      <c r="AA31" s="216">
        <v>19</v>
      </c>
      <c r="AB31" s="213">
        <v>80</v>
      </c>
      <c r="AC31" s="234">
        <v>20</v>
      </c>
      <c r="AE31" s="216">
        <v>40</v>
      </c>
      <c r="AF31" s="305" t="s">
        <v>2441</v>
      </c>
      <c r="AG31" s="234">
        <v>-10</v>
      </c>
      <c r="AI31" s="465">
        <v>5</v>
      </c>
      <c r="AJ31" s="193">
        <v>1</v>
      </c>
      <c r="DI31" s="1653" t="str">
        <f>IFERROR(VLOOKUP(SMALL($DH$31:$DH$34,DF31),$DF$31:$DG$34,2,FALSE),"")</f>
        <v/>
      </c>
    </row>
    <row r="32" spans="1:113" s="1653" customFormat="1" ht="12.75" customHeight="1" thickBot="1" x14ac:dyDescent="0.25">
      <c r="A32" s="1915">
        <v>32</v>
      </c>
      <c r="B32" s="5148"/>
      <c r="C32" s="1743">
        <v>19</v>
      </c>
      <c r="D32" s="213">
        <v>40</v>
      </c>
      <c r="E32" s="234">
        <v>100</v>
      </c>
      <c r="F32" s="363"/>
      <c r="G32" s="390">
        <v>19</v>
      </c>
      <c r="H32" s="213">
        <v>5</v>
      </c>
      <c r="I32" s="213">
        <v>10000000</v>
      </c>
      <c r="J32" s="234">
        <v>150000000</v>
      </c>
      <c r="K32" s="363"/>
      <c r="L32" s="363"/>
      <c r="M32" s="363"/>
      <c r="N32" s="363"/>
      <c r="O32" s="1999"/>
      <c r="P32" s="481">
        <v>20</v>
      </c>
      <c r="Q32" s="455">
        <v>4</v>
      </c>
      <c r="R32" s="363"/>
      <c r="T32" s="2295">
        <v>180</v>
      </c>
      <c r="U32" s="1865" t="s">
        <v>8791</v>
      </c>
      <c r="W32" s="216">
        <v>25</v>
      </c>
      <c r="X32" s="213">
        <v>0</v>
      </c>
      <c r="Y32" s="454"/>
      <c r="AA32" s="216">
        <v>22</v>
      </c>
      <c r="AB32" s="213">
        <v>120</v>
      </c>
      <c r="AC32" s="234">
        <v>25</v>
      </c>
      <c r="AE32" s="216">
        <v>50</v>
      </c>
      <c r="AF32" s="305" t="s">
        <v>2442</v>
      </c>
      <c r="AG32" s="234">
        <v>-15</v>
      </c>
      <c r="AI32" s="465">
        <v>6</v>
      </c>
      <c r="AJ32" s="193">
        <v>2</v>
      </c>
      <c r="DG32" s="2126"/>
      <c r="DH32" s="2126"/>
      <c r="DI32" s="2126" t="str">
        <f t="shared" ref="DI32:DI34" si="1">IFERROR(VLOOKUP(SMALL($DH$31:$DH$34,DF32),$DF$31:$DG$34,2,FALSE),"")</f>
        <v/>
      </c>
    </row>
    <row r="33" spans="1:113" s="1652" customFormat="1" ht="14.85" customHeight="1" thickBot="1" x14ac:dyDescent="0.25">
      <c r="A33" s="1915">
        <v>33</v>
      </c>
      <c r="B33" s="5148"/>
      <c r="C33" s="1744">
        <v>20</v>
      </c>
      <c r="D33" s="384">
        <v>45</v>
      </c>
      <c r="E33" s="376">
        <v>150</v>
      </c>
      <c r="F33" s="363"/>
      <c r="G33" s="391">
        <v>20</v>
      </c>
      <c r="H33" s="384">
        <v>5</v>
      </c>
      <c r="I33" s="394">
        <v>1E+100</v>
      </c>
      <c r="J33" s="395">
        <v>1E+100</v>
      </c>
      <c r="K33" s="363"/>
      <c r="L33" s="363"/>
      <c r="M33" s="363"/>
      <c r="N33" s="363"/>
      <c r="O33" s="1999"/>
      <c r="P33" s="363"/>
      <c r="Q33" s="363"/>
      <c r="R33" s="363"/>
      <c r="T33" s="2295">
        <v>240</v>
      </c>
      <c r="U33" s="1865" t="s">
        <v>8792</v>
      </c>
      <c r="W33" s="216">
        <v>30</v>
      </c>
      <c r="X33" s="213">
        <v>50</v>
      </c>
      <c r="Y33" s="454">
        <v>1</v>
      </c>
      <c r="AA33" s="216">
        <v>25</v>
      </c>
      <c r="AB33" s="213">
        <v>150</v>
      </c>
      <c r="AC33" s="234">
        <v>30</v>
      </c>
      <c r="AE33" s="216">
        <v>70</v>
      </c>
      <c r="AF33" s="305" t="s">
        <v>2443</v>
      </c>
      <c r="AG33" s="234">
        <v>-25</v>
      </c>
      <c r="AI33" s="465">
        <v>7</v>
      </c>
      <c r="AJ33" s="193">
        <v>3</v>
      </c>
      <c r="DG33" s="2126"/>
      <c r="DH33" s="2126"/>
      <c r="DI33" s="2126" t="str">
        <f t="shared" si="1"/>
        <v/>
      </c>
    </row>
    <row r="34" spans="1:113" s="1653" customFormat="1" ht="14.85" customHeight="1" thickBot="1" x14ac:dyDescent="0.25">
      <c r="A34" s="1916">
        <v>34</v>
      </c>
      <c r="B34" s="5148"/>
      <c r="C34" s="363"/>
      <c r="D34" s="363"/>
      <c r="E34" s="363"/>
      <c r="F34" s="363"/>
      <c r="G34" s="363"/>
      <c r="H34" s="363"/>
      <c r="J34" s="363"/>
      <c r="K34" s="363"/>
      <c r="L34" s="363"/>
      <c r="M34" s="363"/>
      <c r="N34" s="363"/>
      <c r="O34" s="1999"/>
      <c r="P34" s="363"/>
      <c r="Q34" s="363"/>
      <c r="R34" s="363"/>
      <c r="T34" s="2295">
        <v>280</v>
      </c>
      <c r="U34" s="1865" t="s">
        <v>8793</v>
      </c>
      <c r="W34" s="216">
        <v>35</v>
      </c>
      <c r="X34" s="213">
        <v>150</v>
      </c>
      <c r="Y34" s="454">
        <v>3</v>
      </c>
      <c r="AA34" s="216">
        <v>29</v>
      </c>
      <c r="AB34" s="213">
        <v>200</v>
      </c>
      <c r="AC34" s="234">
        <v>40</v>
      </c>
      <c r="AE34" s="383">
        <v>100</v>
      </c>
      <c r="AF34" s="384" t="s">
        <v>2444</v>
      </c>
      <c r="AG34" s="420" t="s">
        <v>1766</v>
      </c>
      <c r="AI34" s="465">
        <v>8</v>
      </c>
      <c r="AJ34" s="193">
        <v>4</v>
      </c>
      <c r="DG34" s="2126"/>
      <c r="DH34" s="2126"/>
      <c r="DI34" s="2126" t="str">
        <f t="shared" si="1"/>
        <v/>
      </c>
    </row>
    <row r="35" spans="1:113" ht="14.85" customHeight="1" x14ac:dyDescent="0.2">
      <c r="A35" s="1916">
        <v>35</v>
      </c>
      <c r="B35" s="5148"/>
      <c r="C35" s="3168" t="s">
        <v>2320</v>
      </c>
      <c r="D35" s="3169"/>
      <c r="E35" s="3169"/>
      <c r="F35" s="3169"/>
      <c r="G35" s="3169"/>
      <c r="H35" s="3170"/>
      <c r="J35" s="5283" t="s">
        <v>2364</v>
      </c>
      <c r="K35" s="5284"/>
      <c r="M35" s="5274" t="s">
        <v>2450</v>
      </c>
      <c r="N35" s="5275"/>
      <c r="O35" s="5276"/>
      <c r="Q35" s="3168" t="s">
        <v>2447</v>
      </c>
      <c r="R35" s="3170"/>
      <c r="T35" s="2295">
        <v>320</v>
      </c>
      <c r="U35" s="1865" t="s">
        <v>8794</v>
      </c>
      <c r="W35" s="216">
        <v>40</v>
      </c>
      <c r="X35" s="213">
        <v>300</v>
      </c>
      <c r="Y35" s="454">
        <v>6</v>
      </c>
      <c r="AA35" s="216">
        <v>32</v>
      </c>
      <c r="AB35" s="213">
        <v>350</v>
      </c>
      <c r="AC35" s="234">
        <v>50</v>
      </c>
      <c r="AI35" s="465">
        <v>9</v>
      </c>
      <c r="AJ35" s="193">
        <v>4</v>
      </c>
    </row>
    <row r="36" spans="1:113" ht="14.85" customHeight="1" thickBot="1" x14ac:dyDescent="0.25">
      <c r="A36" s="1916">
        <v>36</v>
      </c>
      <c r="B36" s="5148"/>
      <c r="C36" s="5074"/>
      <c r="D36" s="5252"/>
      <c r="E36" s="5252"/>
      <c r="F36" s="5252"/>
      <c r="G36" s="5252"/>
      <c r="H36" s="5282"/>
      <c r="J36" s="5283"/>
      <c r="K36" s="5284"/>
      <c r="M36" s="3115" t="s">
        <v>2451</v>
      </c>
      <c r="N36" s="3102" t="s">
        <v>2452</v>
      </c>
      <c r="O36" s="3104" t="s">
        <v>2453</v>
      </c>
      <c r="Q36" s="5074"/>
      <c r="R36" s="5282"/>
      <c r="T36" s="2295">
        <v>440</v>
      </c>
      <c r="U36" s="1865" t="s">
        <v>8795</v>
      </c>
      <c r="W36" s="216">
        <v>45</v>
      </c>
      <c r="X36" s="213">
        <v>500</v>
      </c>
      <c r="Y36" s="454">
        <v>10</v>
      </c>
      <c r="AA36" s="383">
        <v>35</v>
      </c>
      <c r="AB36" s="384">
        <v>500</v>
      </c>
      <c r="AC36" s="376">
        <v>60</v>
      </c>
      <c r="AI36" s="465">
        <v>10</v>
      </c>
      <c r="AJ36" s="193">
        <v>5</v>
      </c>
    </row>
    <row r="37" spans="1:113" ht="14.85" customHeight="1" thickBot="1" x14ac:dyDescent="0.25">
      <c r="A37" s="1916">
        <v>37</v>
      </c>
      <c r="B37" s="5148"/>
      <c r="C37" s="3107" t="s">
        <v>1809</v>
      </c>
      <c r="D37" s="3108" t="s">
        <v>1677</v>
      </c>
      <c r="E37" s="5379" t="s">
        <v>2321</v>
      </c>
      <c r="F37" s="5379"/>
      <c r="G37" s="3109" t="s">
        <v>2322</v>
      </c>
      <c r="H37" s="3110" t="s">
        <v>1788</v>
      </c>
      <c r="J37" s="366" t="s">
        <v>2365</v>
      </c>
      <c r="K37" s="382" t="s">
        <v>1696</v>
      </c>
      <c r="M37" s="3116">
        <v>1</v>
      </c>
      <c r="N37" s="3103">
        <v>5</v>
      </c>
      <c r="O37" s="3117">
        <v>0</v>
      </c>
      <c r="Q37" s="1891" t="s">
        <v>2448</v>
      </c>
      <c r="R37" s="1892" t="s">
        <v>2449</v>
      </c>
      <c r="T37" s="2295" t="s">
        <v>8796</v>
      </c>
      <c r="U37" s="1865" t="s">
        <v>8795</v>
      </c>
      <c r="W37" s="383">
        <v>50</v>
      </c>
      <c r="X37" s="384">
        <v>750</v>
      </c>
      <c r="Y37" s="467">
        <v>15</v>
      </c>
      <c r="AB37" s="363"/>
      <c r="AI37" s="465">
        <v>11</v>
      </c>
      <c r="AJ37" s="193">
        <v>6</v>
      </c>
    </row>
    <row r="38" spans="1:113" ht="14.85" customHeight="1" thickBot="1" x14ac:dyDescent="0.25">
      <c r="A38" s="1916">
        <v>38</v>
      </c>
      <c r="B38" s="5148"/>
      <c r="C38" s="1764">
        <v>1</v>
      </c>
      <c r="D38" s="255">
        <v>0</v>
      </c>
      <c r="E38" s="5141" t="s">
        <v>2323</v>
      </c>
      <c r="F38" s="5141"/>
      <c r="G38" s="511" t="s">
        <v>2323</v>
      </c>
      <c r="H38" s="3111" t="str">
        <f>""</f>
        <v/>
      </c>
      <c r="J38" s="216">
        <v>1</v>
      </c>
      <c r="K38" s="392" t="s">
        <v>2366</v>
      </c>
      <c r="M38" s="3116">
        <v>2</v>
      </c>
      <c r="N38" s="3103">
        <v>20</v>
      </c>
      <c r="O38" s="3117">
        <v>0</v>
      </c>
      <c r="Q38" s="1764">
        <v>0</v>
      </c>
      <c r="R38" s="1865">
        <v>1</v>
      </c>
      <c r="T38" s="2296" t="s">
        <v>8797</v>
      </c>
      <c r="U38" s="1893" t="s">
        <v>8795</v>
      </c>
      <c r="AB38" s="363"/>
      <c r="AI38" s="465">
        <v>12</v>
      </c>
      <c r="AJ38" s="193">
        <v>7</v>
      </c>
    </row>
    <row r="39" spans="1:113" ht="12.75" customHeight="1" thickBot="1" x14ac:dyDescent="0.25">
      <c r="A39" s="1916">
        <v>39</v>
      </c>
      <c r="B39" s="5148"/>
      <c r="C39" s="1764">
        <v>2</v>
      </c>
      <c r="D39" s="255">
        <v>0</v>
      </c>
      <c r="E39" s="5141" t="s">
        <v>2323</v>
      </c>
      <c r="F39" s="5141"/>
      <c r="G39" s="511" t="s">
        <v>2323</v>
      </c>
      <c r="H39" s="3015" t="str">
        <f>""</f>
        <v/>
      </c>
      <c r="J39" s="216">
        <v>2</v>
      </c>
      <c r="K39" s="392" t="s">
        <v>2367</v>
      </c>
      <c r="M39" s="3116">
        <v>3</v>
      </c>
      <c r="N39" s="3103">
        <v>40</v>
      </c>
      <c r="O39" s="3117">
        <v>0</v>
      </c>
      <c r="Q39" s="1764">
        <v>11</v>
      </c>
      <c r="R39" s="1865">
        <v>2</v>
      </c>
      <c r="W39" s="4252" t="s">
        <v>8667</v>
      </c>
      <c r="X39" s="4248"/>
      <c r="AB39" s="363"/>
      <c r="AI39" s="465">
        <v>13</v>
      </c>
      <c r="AJ39" s="193">
        <v>8</v>
      </c>
    </row>
    <row r="40" spans="1:113" ht="12.75" customHeight="1" thickBot="1" x14ac:dyDescent="0.25">
      <c r="A40" s="1915">
        <v>40</v>
      </c>
      <c r="B40" s="5148"/>
      <c r="C40" s="1764">
        <v>3</v>
      </c>
      <c r="D40" s="255">
        <v>1</v>
      </c>
      <c r="E40" s="5141" t="s">
        <v>2324</v>
      </c>
      <c r="F40" s="5141"/>
      <c r="G40" s="3112" t="s">
        <v>2325</v>
      </c>
      <c r="H40" s="3015" t="str">
        <f>""</f>
        <v/>
      </c>
      <c r="J40" s="216">
        <v>3</v>
      </c>
      <c r="K40" s="392" t="s">
        <v>2368</v>
      </c>
      <c r="M40" s="3116">
        <v>4</v>
      </c>
      <c r="N40" s="3103">
        <v>55</v>
      </c>
      <c r="O40" s="3117">
        <v>0</v>
      </c>
      <c r="Q40" s="1764">
        <v>15</v>
      </c>
      <c r="R40" s="1865">
        <v>3</v>
      </c>
      <c r="T40" s="3168" t="s">
        <v>1548</v>
      </c>
      <c r="U40" s="3170"/>
      <c r="W40" s="5334"/>
      <c r="X40" s="5378"/>
      <c r="AB40" s="363"/>
      <c r="AI40" s="465">
        <v>14</v>
      </c>
      <c r="AJ40" s="193">
        <v>9</v>
      </c>
    </row>
    <row r="41" spans="1:113" ht="12.75" customHeight="1" x14ac:dyDescent="0.2">
      <c r="A41" s="1915">
        <v>41</v>
      </c>
      <c r="B41" s="5148"/>
      <c r="C41" s="1764">
        <v>4</v>
      </c>
      <c r="D41" s="255">
        <v>1</v>
      </c>
      <c r="E41" s="5141" t="s">
        <v>2324</v>
      </c>
      <c r="F41" s="5141"/>
      <c r="G41" s="3112" t="s">
        <v>2325</v>
      </c>
      <c r="H41" s="3015" t="str">
        <f>""</f>
        <v/>
      </c>
      <c r="J41" s="216">
        <v>4</v>
      </c>
      <c r="K41" s="392" t="s">
        <v>2369</v>
      </c>
      <c r="M41" s="3116">
        <v>5</v>
      </c>
      <c r="N41" s="3103">
        <v>70</v>
      </c>
      <c r="O41" s="3117">
        <v>5</v>
      </c>
      <c r="Q41" s="1764">
        <v>20</v>
      </c>
      <c r="R41" s="1865">
        <v>4</v>
      </c>
      <c r="T41" s="5074"/>
      <c r="U41" s="5282"/>
      <c r="W41" s="1847" t="s">
        <v>1686</v>
      </c>
      <c r="X41" s="1768"/>
      <c r="AB41" s="363"/>
      <c r="AI41" s="465">
        <v>15</v>
      </c>
      <c r="AJ41" s="193">
        <v>10</v>
      </c>
    </row>
    <row r="42" spans="1:113" ht="12.75" customHeight="1" thickBot="1" x14ac:dyDescent="0.25">
      <c r="A42" s="1915">
        <v>42</v>
      </c>
      <c r="B42" s="5148"/>
      <c r="C42" s="1764">
        <v>5</v>
      </c>
      <c r="D42" s="255">
        <v>1</v>
      </c>
      <c r="E42" s="5141" t="s">
        <v>2324</v>
      </c>
      <c r="F42" s="5141"/>
      <c r="G42" s="3112" t="s">
        <v>2325</v>
      </c>
      <c r="H42" s="3015" t="str">
        <f>""</f>
        <v/>
      </c>
      <c r="J42" s="216">
        <v>5</v>
      </c>
      <c r="K42" s="392" t="s">
        <v>2370</v>
      </c>
      <c r="M42" s="3116">
        <v>6</v>
      </c>
      <c r="N42" s="3103">
        <v>85</v>
      </c>
      <c r="O42" s="3117">
        <v>5</v>
      </c>
      <c r="Q42" s="1764">
        <v>23</v>
      </c>
      <c r="R42" s="1865">
        <v>5</v>
      </c>
      <c r="T42" s="3128">
        <v>0</v>
      </c>
      <c r="U42" s="1865">
        <v>200</v>
      </c>
      <c r="W42" s="1848" t="s">
        <v>1444</v>
      </c>
      <c r="X42" s="1769"/>
      <c r="AB42" s="363"/>
      <c r="AI42" s="465">
        <v>16</v>
      </c>
      <c r="AJ42" s="193">
        <v>10</v>
      </c>
    </row>
    <row r="43" spans="1:113" ht="12.75" customHeight="1" thickBot="1" x14ac:dyDescent="0.25">
      <c r="A43" s="1916">
        <v>43</v>
      </c>
      <c r="B43" s="5148"/>
      <c r="C43" s="1764">
        <v>6</v>
      </c>
      <c r="D43" s="255">
        <v>1</v>
      </c>
      <c r="E43" s="5141" t="s">
        <v>2324</v>
      </c>
      <c r="F43" s="5141"/>
      <c r="G43" s="3112" t="s">
        <v>2325</v>
      </c>
      <c r="H43" s="3015" t="str">
        <f>""</f>
        <v/>
      </c>
      <c r="J43" s="216">
        <v>6</v>
      </c>
      <c r="K43" s="392" t="s">
        <v>2371</v>
      </c>
      <c r="M43" s="3116">
        <v>7</v>
      </c>
      <c r="N43" s="3103">
        <v>95</v>
      </c>
      <c r="O43" s="3117">
        <v>5</v>
      </c>
      <c r="Q43" s="1764">
        <v>26</v>
      </c>
      <c r="R43" s="1865">
        <v>6</v>
      </c>
      <c r="T43" s="3128">
        <v>4</v>
      </c>
      <c r="U43" s="1865">
        <v>280</v>
      </c>
      <c r="AB43" s="363"/>
      <c r="AI43" s="465">
        <v>17</v>
      </c>
      <c r="AJ43" s="193">
        <v>10</v>
      </c>
    </row>
    <row r="44" spans="1:113" ht="14.85" customHeight="1" x14ac:dyDescent="0.2">
      <c r="A44" s="1916">
        <v>44</v>
      </c>
      <c r="B44" s="5148"/>
      <c r="C44" s="1764">
        <v>7</v>
      </c>
      <c r="D44" s="255">
        <v>1</v>
      </c>
      <c r="E44" s="5141" t="s">
        <v>2324</v>
      </c>
      <c r="F44" s="5141"/>
      <c r="G44" s="3112" t="s">
        <v>2325</v>
      </c>
      <c r="H44" s="3015" t="str">
        <f>""</f>
        <v/>
      </c>
      <c r="J44" s="216">
        <v>7</v>
      </c>
      <c r="K44" s="392" t="s">
        <v>2372</v>
      </c>
      <c r="M44" s="3116">
        <v>8</v>
      </c>
      <c r="N44" s="3103">
        <v>110</v>
      </c>
      <c r="O44" s="3117">
        <v>10</v>
      </c>
      <c r="Q44" s="1764">
        <v>29</v>
      </c>
      <c r="R44" s="1865">
        <v>8</v>
      </c>
      <c r="T44" s="3128">
        <v>7</v>
      </c>
      <c r="U44" s="1865">
        <v>320</v>
      </c>
      <c r="W44" s="4252" t="s">
        <v>2294</v>
      </c>
      <c r="X44" s="4093"/>
      <c r="Y44" s="4093"/>
      <c r="Z44" s="4093"/>
      <c r="AA44" s="4093"/>
      <c r="AB44" s="4093"/>
      <c r="AC44" s="4093"/>
      <c r="AD44" s="4093"/>
      <c r="AE44" s="4093"/>
      <c r="AF44" s="4248"/>
      <c r="AI44" s="465">
        <v>18</v>
      </c>
      <c r="AJ44" s="193">
        <v>10</v>
      </c>
    </row>
    <row r="45" spans="1:113" ht="14.85" customHeight="1" thickBot="1" x14ac:dyDescent="0.25">
      <c r="A45" s="1916">
        <v>45</v>
      </c>
      <c r="B45" s="5148"/>
      <c r="C45" s="1764">
        <v>8</v>
      </c>
      <c r="D45" s="255">
        <v>2</v>
      </c>
      <c r="E45" s="5141" t="s">
        <v>2326</v>
      </c>
      <c r="F45" s="5141"/>
      <c r="G45" s="3112" t="s">
        <v>2325</v>
      </c>
      <c r="H45" s="3015" t="str">
        <f>""</f>
        <v/>
      </c>
      <c r="J45" s="216">
        <v>8</v>
      </c>
      <c r="K45" s="392" t="s">
        <v>2373</v>
      </c>
      <c r="M45" s="3116">
        <v>9</v>
      </c>
      <c r="N45" s="3103">
        <v>120</v>
      </c>
      <c r="O45" s="3117">
        <v>10</v>
      </c>
      <c r="Q45" s="3120">
        <v>32</v>
      </c>
      <c r="R45" s="1893">
        <v>10</v>
      </c>
      <c r="T45" s="3129">
        <v>10</v>
      </c>
      <c r="U45" s="1893">
        <v>1000</v>
      </c>
      <c r="W45" s="5334"/>
      <c r="X45" s="5335"/>
      <c r="Y45" s="5335"/>
      <c r="Z45" s="5335"/>
      <c r="AA45" s="5335"/>
      <c r="AB45" s="5335"/>
      <c r="AC45" s="5335"/>
      <c r="AD45" s="5335"/>
      <c r="AE45" s="5335"/>
      <c r="AF45" s="5378"/>
      <c r="AI45" s="465">
        <v>19</v>
      </c>
      <c r="AJ45" s="193">
        <v>10</v>
      </c>
    </row>
    <row r="46" spans="1:113" ht="14.85" customHeight="1" thickBot="1" x14ac:dyDescent="0.25">
      <c r="A46" s="1915">
        <v>46</v>
      </c>
      <c r="B46" s="5148"/>
      <c r="C46" s="1764">
        <v>9</v>
      </c>
      <c r="D46" s="255">
        <v>2</v>
      </c>
      <c r="E46" s="5141" t="s">
        <v>2326</v>
      </c>
      <c r="F46" s="5141"/>
      <c r="G46" s="3112" t="s">
        <v>2325</v>
      </c>
      <c r="H46" s="3015" t="str">
        <f>""</f>
        <v/>
      </c>
      <c r="J46" s="216">
        <v>9</v>
      </c>
      <c r="K46" s="392" t="s">
        <v>2374</v>
      </c>
      <c r="M46" s="3116">
        <v>10</v>
      </c>
      <c r="N46" s="3103">
        <v>135</v>
      </c>
      <c r="O46" s="3117">
        <v>10</v>
      </c>
      <c r="W46" s="380" t="s">
        <v>2295</v>
      </c>
      <c r="X46" s="381" t="s">
        <v>2236</v>
      </c>
      <c r="Y46" s="381" t="s">
        <v>2296</v>
      </c>
      <c r="Z46" s="381" t="s">
        <v>2297</v>
      </c>
      <c r="AA46" s="381" t="s">
        <v>2298</v>
      </c>
      <c r="AB46" s="381" t="s">
        <v>1860</v>
      </c>
      <c r="AC46" s="1745" t="s">
        <v>2299</v>
      </c>
      <c r="AD46" s="2357" t="s">
        <v>2300</v>
      </c>
      <c r="AE46" s="381" t="s">
        <v>1886</v>
      </c>
      <c r="AF46" s="382" t="s">
        <v>2301</v>
      </c>
      <c r="AI46" s="466">
        <v>20</v>
      </c>
      <c r="AJ46" s="424">
        <v>10</v>
      </c>
    </row>
    <row r="47" spans="1:113" ht="14.85" customHeight="1" thickBot="1" x14ac:dyDescent="0.25">
      <c r="A47" s="1915">
        <v>47</v>
      </c>
      <c r="B47" s="5148"/>
      <c r="C47" s="1764">
        <v>10</v>
      </c>
      <c r="D47" s="255">
        <v>3</v>
      </c>
      <c r="E47" s="5141" t="s">
        <v>2327</v>
      </c>
      <c r="F47" s="5141"/>
      <c r="G47" s="3112" t="s">
        <v>2325</v>
      </c>
      <c r="H47" s="3015" t="str">
        <f>""</f>
        <v/>
      </c>
      <c r="J47" s="216">
        <v>10</v>
      </c>
      <c r="K47" s="392" t="s">
        <v>2375</v>
      </c>
      <c r="M47" s="3116">
        <v>11</v>
      </c>
      <c r="N47" s="3103">
        <v>150</v>
      </c>
      <c r="O47" s="3117">
        <v>10</v>
      </c>
      <c r="Q47" s="3201" t="s">
        <v>1131</v>
      </c>
      <c r="W47" s="216">
        <v>-5</v>
      </c>
      <c r="X47" s="213" t="s">
        <v>2302</v>
      </c>
      <c r="Y47" s="213">
        <v>40</v>
      </c>
      <c r="Z47" s="213">
        <v>-4</v>
      </c>
      <c r="AA47" s="213">
        <v>1</v>
      </c>
      <c r="AB47" s="213">
        <v>1</v>
      </c>
      <c r="AC47" s="255">
        <f>5</f>
        <v>5</v>
      </c>
      <c r="AD47" s="213">
        <f>20-IF(Raza="Daimah",10,0)</f>
        <v>20</v>
      </c>
      <c r="AE47" s="213">
        <v>-4</v>
      </c>
      <c r="AF47" s="234">
        <v>4</v>
      </c>
    </row>
    <row r="48" spans="1:113" ht="14.85" customHeight="1" thickBot="1" x14ac:dyDescent="0.25">
      <c r="A48" s="1915">
        <v>48</v>
      </c>
      <c r="B48" s="5148"/>
      <c r="C48" s="1764">
        <v>11</v>
      </c>
      <c r="D48" s="255">
        <v>4</v>
      </c>
      <c r="E48" s="5141" t="s">
        <v>2328</v>
      </c>
      <c r="F48" s="5141"/>
      <c r="G48" s="3112" t="s">
        <v>2329</v>
      </c>
      <c r="H48" s="3015" t="str">
        <f>""</f>
        <v/>
      </c>
      <c r="J48" s="216">
        <v>11</v>
      </c>
      <c r="K48" s="392" t="s">
        <v>2376</v>
      </c>
      <c r="M48" s="3116">
        <v>12</v>
      </c>
      <c r="N48" s="3103">
        <v>160</v>
      </c>
      <c r="O48" s="3117">
        <v>15</v>
      </c>
      <c r="Q48" s="3201"/>
      <c r="W48" s="216">
        <v>1</v>
      </c>
      <c r="X48" s="213" t="s">
        <v>2302</v>
      </c>
      <c r="Y48" s="213">
        <v>40</v>
      </c>
      <c r="Z48" s="213">
        <v>-4</v>
      </c>
      <c r="AA48" s="213">
        <v>1</v>
      </c>
      <c r="AB48" s="213">
        <v>1</v>
      </c>
      <c r="AC48" s="255">
        <f>5</f>
        <v>5</v>
      </c>
      <c r="AD48" s="213">
        <f>20-IF(Raza="Daimah",10,0)</f>
        <v>20</v>
      </c>
      <c r="AE48" s="213">
        <v>-4</v>
      </c>
      <c r="AF48" s="234">
        <v>4</v>
      </c>
    </row>
    <row r="49" spans="1:32" ht="14.85" customHeight="1" x14ac:dyDescent="0.2">
      <c r="A49" s="1916">
        <v>49</v>
      </c>
      <c r="B49" s="5148"/>
      <c r="C49" s="1764">
        <v>12</v>
      </c>
      <c r="D49" s="255">
        <v>5</v>
      </c>
      <c r="E49" s="5141" t="s">
        <v>2330</v>
      </c>
      <c r="F49" s="5141"/>
      <c r="G49" s="3112" t="s">
        <v>2329</v>
      </c>
      <c r="H49" s="3015" t="s">
        <v>10140</v>
      </c>
      <c r="J49" s="216">
        <v>12</v>
      </c>
      <c r="K49" s="392" t="s">
        <v>2377</v>
      </c>
      <c r="M49" s="3116">
        <v>13</v>
      </c>
      <c r="N49" s="3103">
        <v>175</v>
      </c>
      <c r="O49" s="3117">
        <v>15</v>
      </c>
      <c r="Q49" s="493" t="s">
        <v>1766</v>
      </c>
      <c r="W49" s="216">
        <v>4</v>
      </c>
      <c r="X49" s="213" t="s">
        <v>2303</v>
      </c>
      <c r="Y49" s="213">
        <v>30</v>
      </c>
      <c r="Z49" s="213">
        <v>-2</v>
      </c>
      <c r="AA49" s="213">
        <v>2</v>
      </c>
      <c r="AB49" s="213">
        <v>2</v>
      </c>
      <c r="AC49" s="255">
        <f>10</f>
        <v>10</v>
      </c>
      <c r="AD49" s="213">
        <f>30-IF(Raza="Daimah",10,0)</f>
        <v>30</v>
      </c>
      <c r="AE49" s="213">
        <v>-2</v>
      </c>
      <c r="AF49" s="234">
        <v>8</v>
      </c>
    </row>
    <row r="50" spans="1:32" ht="14.85" customHeight="1" x14ac:dyDescent="0.2">
      <c r="A50" s="1916">
        <v>50</v>
      </c>
      <c r="B50" s="5148"/>
      <c r="C50" s="1764">
        <v>13</v>
      </c>
      <c r="D50" s="255">
        <v>6</v>
      </c>
      <c r="E50" s="5141" t="s">
        <v>2331</v>
      </c>
      <c r="F50" s="5141"/>
      <c r="G50" s="3112" t="s">
        <v>2329</v>
      </c>
      <c r="H50" s="3015" t="s">
        <v>10141</v>
      </c>
      <c r="J50" s="216">
        <v>13</v>
      </c>
      <c r="K50" s="392" t="s">
        <v>2378</v>
      </c>
      <c r="M50" s="3116">
        <v>14</v>
      </c>
      <c r="N50" s="3103">
        <v>185</v>
      </c>
      <c r="O50" s="3117">
        <v>15</v>
      </c>
      <c r="Q50" s="493" t="s">
        <v>1863</v>
      </c>
      <c r="W50" s="216">
        <v>9</v>
      </c>
      <c r="X50" s="213" t="s">
        <v>2052</v>
      </c>
      <c r="Y50" s="213">
        <v>20</v>
      </c>
      <c r="Z50" s="213">
        <v>0</v>
      </c>
      <c r="AA50" s="213">
        <v>5</v>
      </c>
      <c r="AB50" s="213">
        <v>3</v>
      </c>
      <c r="AC50" s="255">
        <f>15</f>
        <v>15</v>
      </c>
      <c r="AD50" s="213">
        <f>40-IF(Raza="Daimah",10,0)</f>
        <v>40</v>
      </c>
      <c r="AE50" s="213">
        <v>0</v>
      </c>
      <c r="AF50" s="234">
        <v>12</v>
      </c>
    </row>
    <row r="51" spans="1:32" ht="12.75" customHeight="1" x14ac:dyDescent="0.2">
      <c r="A51" s="1916">
        <v>51</v>
      </c>
      <c r="B51" s="5148"/>
      <c r="C51" s="1764">
        <v>14</v>
      </c>
      <c r="D51" s="255">
        <v>7</v>
      </c>
      <c r="E51" s="5141" t="s">
        <v>2332</v>
      </c>
      <c r="F51" s="5141"/>
      <c r="G51" s="3112" t="s">
        <v>2333</v>
      </c>
      <c r="H51" s="3015" t="s">
        <v>10142</v>
      </c>
      <c r="J51" s="216">
        <v>14</v>
      </c>
      <c r="K51" s="392" t="s">
        <v>2379</v>
      </c>
      <c r="M51" s="3116">
        <v>15</v>
      </c>
      <c r="N51" s="3103">
        <v>200</v>
      </c>
      <c r="O51" s="3117">
        <v>20</v>
      </c>
      <c r="Q51" s="493" t="s">
        <v>1809</v>
      </c>
      <c r="W51" s="216">
        <v>23</v>
      </c>
      <c r="X51" s="213" t="s">
        <v>2304</v>
      </c>
      <c r="Y51" s="213">
        <v>10</v>
      </c>
      <c r="Z51" s="213">
        <v>0</v>
      </c>
      <c r="AA51" s="213">
        <v>5</v>
      </c>
      <c r="AB51" s="213">
        <v>4</v>
      </c>
      <c r="AC51" s="255">
        <f>20</f>
        <v>20</v>
      </c>
      <c r="AD51" s="213">
        <f>60-IF(Raza="Daimah",10,0)</f>
        <v>60</v>
      </c>
      <c r="AE51" s="213">
        <v>4</v>
      </c>
      <c r="AF51" s="234">
        <v>16</v>
      </c>
    </row>
    <row r="52" spans="1:32" ht="12.75" customHeight="1" x14ac:dyDescent="0.2">
      <c r="A52" s="1916">
        <v>52</v>
      </c>
      <c r="B52" s="5148"/>
      <c r="C52" s="1764">
        <v>15</v>
      </c>
      <c r="D52" s="255">
        <v>8</v>
      </c>
      <c r="E52" s="5141" t="s">
        <v>2334</v>
      </c>
      <c r="F52" s="5141"/>
      <c r="G52" s="3112" t="s">
        <v>2335</v>
      </c>
      <c r="H52" s="3015" t="s">
        <v>10143</v>
      </c>
      <c r="J52" s="216">
        <v>15</v>
      </c>
      <c r="K52" s="392" t="s">
        <v>2380</v>
      </c>
      <c r="M52" s="3116">
        <v>16</v>
      </c>
      <c r="N52" s="3103">
        <v>215</v>
      </c>
      <c r="O52" s="3117">
        <v>25</v>
      </c>
      <c r="Q52" s="493" t="s">
        <v>1864</v>
      </c>
      <c r="W52" s="216">
        <v>25</v>
      </c>
      <c r="X52" s="213" t="s">
        <v>2305</v>
      </c>
      <c r="Y52" s="213">
        <v>0</v>
      </c>
      <c r="Z52" s="213">
        <v>1</v>
      </c>
      <c r="AA52" s="213">
        <v>10</v>
      </c>
      <c r="AB52" s="213">
        <v>6</v>
      </c>
      <c r="AC52" s="255">
        <f>30</f>
        <v>30</v>
      </c>
      <c r="AD52" s="213">
        <f>100-IF(Raza="Daimah",10,0)</f>
        <v>100</v>
      </c>
      <c r="AE52" s="213">
        <v>8</v>
      </c>
      <c r="AF52" s="234">
        <v>20</v>
      </c>
    </row>
    <row r="53" spans="1:32" ht="12.75" customHeight="1" x14ac:dyDescent="0.2">
      <c r="A53" s="1916">
        <v>53</v>
      </c>
      <c r="B53" s="5148"/>
      <c r="C53" s="1764">
        <v>16</v>
      </c>
      <c r="D53" s="255">
        <v>9</v>
      </c>
      <c r="E53" s="5141" t="s">
        <v>2336</v>
      </c>
      <c r="F53" s="5141"/>
      <c r="G53" s="3112" t="s">
        <v>2337</v>
      </c>
      <c r="H53" s="3015" t="s">
        <v>10144</v>
      </c>
      <c r="J53" s="216">
        <v>16</v>
      </c>
      <c r="K53" s="392" t="s">
        <v>2381</v>
      </c>
      <c r="M53" s="3116">
        <v>17</v>
      </c>
      <c r="N53" s="3103">
        <v>225</v>
      </c>
      <c r="O53" s="3117">
        <v>25</v>
      </c>
      <c r="Q53" s="493" t="s">
        <v>1865</v>
      </c>
      <c r="W53" s="216">
        <v>29</v>
      </c>
      <c r="X53" s="213" t="s">
        <v>2306</v>
      </c>
      <c r="Y53" s="213">
        <v>-10</v>
      </c>
      <c r="Z53" s="213">
        <v>2</v>
      </c>
      <c r="AA53" s="213">
        <v>15</v>
      </c>
      <c r="AB53" s="213">
        <v>8</v>
      </c>
      <c r="AC53" s="255">
        <f>40</f>
        <v>40</v>
      </c>
      <c r="AD53" s="213">
        <f>120-IF(Raza="Daimah",10,0)</f>
        <v>120</v>
      </c>
      <c r="AE53" s="213">
        <v>12</v>
      </c>
      <c r="AF53" s="234">
        <v>28</v>
      </c>
    </row>
    <row r="54" spans="1:32" ht="12.75" customHeight="1" thickBot="1" x14ac:dyDescent="0.25">
      <c r="A54" s="1916">
        <v>54</v>
      </c>
      <c r="B54" s="5148"/>
      <c r="C54" s="1764">
        <v>17</v>
      </c>
      <c r="D54" s="255">
        <v>10</v>
      </c>
      <c r="E54" s="5141" t="s">
        <v>2338</v>
      </c>
      <c r="F54" s="5141"/>
      <c r="G54" s="3112" t="s">
        <v>2339</v>
      </c>
      <c r="H54" s="3015" t="s">
        <v>10145</v>
      </c>
      <c r="J54" s="216">
        <v>17</v>
      </c>
      <c r="K54" s="392" t="s">
        <v>2382</v>
      </c>
      <c r="M54" s="3116">
        <v>18</v>
      </c>
      <c r="N54" s="3103">
        <v>240</v>
      </c>
      <c r="O54" s="3117">
        <v>30</v>
      </c>
      <c r="Q54" s="493" t="s">
        <v>1866</v>
      </c>
      <c r="W54" s="383">
        <v>34</v>
      </c>
      <c r="X54" s="384" t="s">
        <v>2307</v>
      </c>
      <c r="Y54" s="384">
        <v>-20</v>
      </c>
      <c r="Z54" s="384">
        <v>3</v>
      </c>
      <c r="AA54" s="384">
        <v>20</v>
      </c>
      <c r="AB54" s="384">
        <v>10</v>
      </c>
      <c r="AC54" s="1746">
        <f>60</f>
        <v>60</v>
      </c>
      <c r="AD54" s="384">
        <f>140-IF(Raza="Daimah",10,0)</f>
        <v>140</v>
      </c>
      <c r="AE54" s="384">
        <v>16</v>
      </c>
      <c r="AF54" s="376">
        <v>34</v>
      </c>
    </row>
    <row r="55" spans="1:32" ht="12.75" customHeight="1" x14ac:dyDescent="0.2">
      <c r="A55" s="1915">
        <v>55</v>
      </c>
      <c r="B55" s="5148"/>
      <c r="C55" s="1764">
        <v>18</v>
      </c>
      <c r="D55" s="255">
        <v>11</v>
      </c>
      <c r="E55" s="5141" t="s">
        <v>2340</v>
      </c>
      <c r="F55" s="5141"/>
      <c r="G55" s="3112" t="s">
        <v>2341</v>
      </c>
      <c r="H55" s="3015" t="s">
        <v>10146</v>
      </c>
      <c r="J55" s="216">
        <v>18</v>
      </c>
      <c r="K55" s="392" t="s">
        <v>2383</v>
      </c>
      <c r="M55" s="3116">
        <v>19</v>
      </c>
      <c r="N55" s="3103">
        <v>250</v>
      </c>
      <c r="O55" s="3117">
        <v>30</v>
      </c>
      <c r="Q55" s="493" t="s">
        <v>1867</v>
      </c>
    </row>
    <row r="56" spans="1:32" ht="12.75" customHeight="1" thickBot="1" x14ac:dyDescent="0.25">
      <c r="A56" s="1915">
        <v>56</v>
      </c>
      <c r="B56" s="5148"/>
      <c r="C56" s="1764">
        <v>19</v>
      </c>
      <c r="D56" s="255">
        <v>12</v>
      </c>
      <c r="E56" s="5141" t="s">
        <v>2342</v>
      </c>
      <c r="F56" s="5141"/>
      <c r="G56" s="3112" t="s">
        <v>2343</v>
      </c>
      <c r="H56" s="3015" t="s">
        <v>10147</v>
      </c>
      <c r="J56" s="216">
        <v>19</v>
      </c>
      <c r="K56" s="392" t="s">
        <v>2384</v>
      </c>
      <c r="M56" s="3118">
        <v>20</v>
      </c>
      <c r="N56" s="1491">
        <v>265</v>
      </c>
      <c r="O56" s="3119">
        <v>35</v>
      </c>
      <c r="Q56" s="509" t="s">
        <v>1868</v>
      </c>
    </row>
    <row r="57" spans="1:32" ht="12.75" customHeight="1" thickBot="1" x14ac:dyDescent="0.25">
      <c r="A57" s="1915">
        <v>57</v>
      </c>
      <c r="B57" s="5148"/>
      <c r="C57" s="1764">
        <v>20</v>
      </c>
      <c r="D57" s="255">
        <v>12</v>
      </c>
      <c r="E57" s="5141" t="s">
        <v>2342</v>
      </c>
      <c r="F57" s="5141"/>
      <c r="G57" s="3112" t="s">
        <v>2344</v>
      </c>
      <c r="H57" s="3015" t="s">
        <v>10147</v>
      </c>
      <c r="J57" s="383">
        <v>20</v>
      </c>
      <c r="K57" s="396" t="s">
        <v>2385</v>
      </c>
      <c r="N57" s="363"/>
      <c r="O57" s="1999"/>
    </row>
    <row r="58" spans="1:32" ht="12.75" customHeight="1" x14ac:dyDescent="0.2">
      <c r="A58" s="1916">
        <v>58</v>
      </c>
      <c r="B58" s="5148"/>
      <c r="C58" s="1691"/>
      <c r="D58" s="255">
        <v>13</v>
      </c>
      <c r="E58" s="5141" t="s">
        <v>2345</v>
      </c>
      <c r="F58" s="5141"/>
      <c r="G58" s="3112" t="s">
        <v>2346</v>
      </c>
      <c r="H58" s="3015" t="s">
        <v>10148</v>
      </c>
      <c r="I58" s="1653"/>
      <c r="N58" s="363"/>
      <c r="O58" s="1999"/>
    </row>
    <row r="59" spans="1:32" ht="12.75" customHeight="1" x14ac:dyDescent="0.2">
      <c r="A59" s="1916">
        <v>59</v>
      </c>
      <c r="B59" s="5148"/>
      <c r="C59" s="1691"/>
      <c r="D59" s="255">
        <v>14</v>
      </c>
      <c r="E59" s="5141" t="s">
        <v>2347</v>
      </c>
      <c r="F59" s="5141"/>
      <c r="G59" s="3112" t="s">
        <v>2348</v>
      </c>
      <c r="H59" s="3015" t="s">
        <v>10149</v>
      </c>
      <c r="I59" s="1653"/>
      <c r="N59" s="363"/>
      <c r="O59" s="1999"/>
    </row>
    <row r="60" spans="1:32" ht="12.75" customHeight="1" x14ac:dyDescent="0.2">
      <c r="A60" s="1916">
        <v>60</v>
      </c>
      <c r="B60" s="5148"/>
      <c r="C60" s="1691"/>
      <c r="D60" s="255">
        <v>15</v>
      </c>
      <c r="E60" s="5141" t="s">
        <v>2349</v>
      </c>
      <c r="F60" s="5141"/>
      <c r="G60" s="3112" t="s">
        <v>2350</v>
      </c>
      <c r="H60" s="3015" t="s">
        <v>10150</v>
      </c>
      <c r="I60" s="1653"/>
      <c r="N60" s="363"/>
      <c r="O60" s="1999"/>
    </row>
    <row r="61" spans="1:32" ht="12.75" customHeight="1" x14ac:dyDescent="0.2">
      <c r="A61" s="1915">
        <v>61</v>
      </c>
      <c r="B61" s="5148"/>
      <c r="C61" s="1691"/>
      <c r="D61" s="255">
        <v>16</v>
      </c>
      <c r="E61" s="5141" t="s">
        <v>2351</v>
      </c>
      <c r="F61" s="5141"/>
      <c r="G61" s="3112" t="s">
        <v>2352</v>
      </c>
      <c r="H61" s="3015" t="s">
        <v>10151</v>
      </c>
      <c r="I61" s="1653"/>
      <c r="N61" s="363"/>
      <c r="O61" s="1999"/>
    </row>
    <row r="62" spans="1:32" ht="12.75" customHeight="1" x14ac:dyDescent="0.2">
      <c r="A62" s="1915">
        <v>62</v>
      </c>
      <c r="B62" s="5148"/>
      <c r="C62" s="1691"/>
      <c r="D62" s="255">
        <v>17</v>
      </c>
      <c r="E62" s="5141" t="s">
        <v>2353</v>
      </c>
      <c r="F62" s="5141"/>
      <c r="G62" s="3112" t="s">
        <v>2354</v>
      </c>
      <c r="H62" s="3015" t="s">
        <v>10152</v>
      </c>
      <c r="I62" s="1653"/>
      <c r="N62" s="363"/>
      <c r="O62" s="1999"/>
    </row>
    <row r="63" spans="1:32" ht="12.75" customHeight="1" x14ac:dyDescent="0.2">
      <c r="A63" s="1915">
        <v>63</v>
      </c>
      <c r="B63" s="5148"/>
      <c r="C63" s="1691"/>
      <c r="D63" s="255">
        <v>18</v>
      </c>
      <c r="E63" s="5141" t="s">
        <v>2355</v>
      </c>
      <c r="F63" s="5141"/>
      <c r="G63" s="3112" t="s">
        <v>2356</v>
      </c>
      <c r="H63" s="3015" t="s">
        <v>10153</v>
      </c>
      <c r="I63" s="1653"/>
      <c r="N63" s="363"/>
      <c r="O63" s="1999"/>
    </row>
    <row r="64" spans="1:32" ht="12.75" customHeight="1" x14ac:dyDescent="0.2">
      <c r="A64" s="1916">
        <v>64</v>
      </c>
      <c r="B64" s="5148"/>
      <c r="C64" s="1691"/>
      <c r="D64" s="255">
        <v>19</v>
      </c>
      <c r="E64" s="5141" t="s">
        <v>2357</v>
      </c>
      <c r="F64" s="5141"/>
      <c r="G64" s="3112" t="s">
        <v>2358</v>
      </c>
      <c r="H64" s="3015" t="s">
        <v>10154</v>
      </c>
      <c r="I64" s="1653"/>
      <c r="N64" s="363"/>
      <c r="O64" s="1999"/>
    </row>
    <row r="65" spans="1:27" ht="12.75" customHeight="1" thickBot="1" x14ac:dyDescent="0.25">
      <c r="A65" s="1916">
        <v>65</v>
      </c>
      <c r="B65" s="5148"/>
      <c r="C65" s="1692"/>
      <c r="D65" s="1753">
        <v>20</v>
      </c>
      <c r="E65" s="5281" t="s">
        <v>2359</v>
      </c>
      <c r="F65" s="5281"/>
      <c r="G65" s="3113" t="s">
        <v>2358</v>
      </c>
      <c r="H65" s="3114" t="s">
        <v>10155</v>
      </c>
      <c r="I65" s="1653"/>
      <c r="N65" s="363"/>
      <c r="O65" s="1999"/>
    </row>
    <row r="66" spans="1:27" ht="12.75" customHeight="1" thickBot="1" x14ac:dyDescent="0.25">
      <c r="A66" s="1916">
        <v>66</v>
      </c>
      <c r="B66" s="5148"/>
      <c r="H66" s="363"/>
      <c r="I66" s="1653"/>
      <c r="N66" s="363"/>
      <c r="O66" s="1999"/>
    </row>
    <row r="67" spans="1:27" ht="12.75" customHeight="1" x14ac:dyDescent="0.2">
      <c r="A67" s="1916">
        <v>67</v>
      </c>
      <c r="B67" s="5148"/>
      <c r="C67" s="5145" t="s">
        <v>10031</v>
      </c>
      <c r="D67" s="5146"/>
      <c r="E67" s="5146"/>
      <c r="F67" s="5146"/>
      <c r="G67" s="5146"/>
      <c r="H67" s="5146"/>
      <c r="I67" s="5146"/>
      <c r="J67" s="5146"/>
      <c r="K67" s="5146"/>
      <c r="L67" s="5146"/>
      <c r="M67" s="5146"/>
      <c r="N67" s="5147"/>
      <c r="P67" s="5145" t="s">
        <v>10030</v>
      </c>
      <c r="Q67" s="5146"/>
      <c r="R67" s="5146"/>
      <c r="S67" s="5146"/>
      <c r="T67" s="5146"/>
      <c r="U67" s="5146"/>
      <c r="V67" s="5146"/>
      <c r="W67" s="5146"/>
      <c r="X67" s="5146"/>
      <c r="Y67" s="5146"/>
      <c r="Z67" s="5146"/>
      <c r="AA67" s="5147"/>
    </row>
    <row r="68" spans="1:27" ht="12.75" customHeight="1" x14ac:dyDescent="0.2">
      <c r="A68" s="1916">
        <v>68</v>
      </c>
      <c r="B68" s="5148"/>
      <c r="C68" s="2822" t="s">
        <v>1712</v>
      </c>
      <c r="D68" s="2815" t="s">
        <v>10019</v>
      </c>
      <c r="E68" s="2815" t="s">
        <v>10020</v>
      </c>
      <c r="F68" s="2815" t="s">
        <v>10021</v>
      </c>
      <c r="G68" s="2815" t="s">
        <v>10022</v>
      </c>
      <c r="H68" s="2815" t="s">
        <v>10023</v>
      </c>
      <c r="I68" s="2815" t="s">
        <v>10024</v>
      </c>
      <c r="J68" s="2815" t="s">
        <v>10025</v>
      </c>
      <c r="K68" s="2815" t="s">
        <v>10026</v>
      </c>
      <c r="L68" s="2815" t="s">
        <v>10027</v>
      </c>
      <c r="M68" s="2815" t="s">
        <v>10028</v>
      </c>
      <c r="N68" s="2821" t="s">
        <v>10029</v>
      </c>
      <c r="P68" s="2822" t="s">
        <v>1712</v>
      </c>
      <c r="Q68" s="2815" t="s">
        <v>10019</v>
      </c>
      <c r="R68" s="2815" t="s">
        <v>10020</v>
      </c>
      <c r="S68" s="2815" t="s">
        <v>10021</v>
      </c>
      <c r="T68" s="2815" t="s">
        <v>10022</v>
      </c>
      <c r="U68" s="2815" t="s">
        <v>10023</v>
      </c>
      <c r="V68" s="2815" t="s">
        <v>10024</v>
      </c>
      <c r="W68" s="2815" t="s">
        <v>10025</v>
      </c>
      <c r="X68" s="2815" t="s">
        <v>10026</v>
      </c>
      <c r="Y68" s="2815" t="s">
        <v>10027</v>
      </c>
      <c r="Z68" s="2815" t="s">
        <v>10028</v>
      </c>
      <c r="AA68" s="2821" t="s">
        <v>10029</v>
      </c>
    </row>
    <row r="69" spans="1:27" ht="12.75" customHeight="1" x14ac:dyDescent="0.2">
      <c r="A69" s="1916">
        <v>69</v>
      </c>
      <c r="B69" s="5148"/>
      <c r="C69" s="2823">
        <v>0</v>
      </c>
      <c r="D69" s="2816">
        <v>0</v>
      </c>
      <c r="E69" s="2816">
        <v>0</v>
      </c>
      <c r="F69" s="2816">
        <v>0</v>
      </c>
      <c r="G69" s="2816">
        <v>0</v>
      </c>
      <c r="H69" s="2816">
        <v>0</v>
      </c>
      <c r="I69" s="2816">
        <v>0</v>
      </c>
      <c r="J69" s="2816">
        <v>0</v>
      </c>
      <c r="K69" s="2816">
        <v>0</v>
      </c>
      <c r="L69" s="2816">
        <v>0</v>
      </c>
      <c r="M69" s="2816">
        <v>0</v>
      </c>
      <c r="N69" s="2817">
        <v>0</v>
      </c>
      <c r="P69" s="2823">
        <v>0</v>
      </c>
      <c r="Q69" s="2816">
        <v>0</v>
      </c>
      <c r="R69" s="2816">
        <v>0</v>
      </c>
      <c r="S69" s="2816">
        <v>0</v>
      </c>
      <c r="T69" s="2816">
        <v>0</v>
      </c>
      <c r="U69" s="2816">
        <v>0</v>
      </c>
      <c r="V69" s="2816">
        <v>0</v>
      </c>
      <c r="W69" s="2816">
        <v>0</v>
      </c>
      <c r="X69" s="2816">
        <v>0</v>
      </c>
      <c r="Y69" s="2816">
        <v>0</v>
      </c>
      <c r="Z69" s="2816">
        <v>0</v>
      </c>
      <c r="AA69" s="2817">
        <v>0</v>
      </c>
    </row>
    <row r="70" spans="1:27" ht="12.75" customHeight="1" x14ac:dyDescent="0.2">
      <c r="A70" s="1915">
        <v>70</v>
      </c>
      <c r="B70" s="5148"/>
      <c r="C70" s="2823">
        <v>1</v>
      </c>
      <c r="D70" s="2816">
        <f>SUM(Q$69:Q69)</f>
        <v>0</v>
      </c>
      <c r="E70" s="2816">
        <f>SUM(R$69:R69)</f>
        <v>0</v>
      </c>
      <c r="F70" s="2816">
        <f>SUM(S$69:S69)</f>
        <v>0</v>
      </c>
      <c r="G70" s="2816">
        <f>SUM(T$69:T69)</f>
        <v>0</v>
      </c>
      <c r="H70" s="2816">
        <f>SUM(U$69:U69)</f>
        <v>0</v>
      </c>
      <c r="I70" s="2816">
        <f>SUM(V$69:V69)</f>
        <v>0</v>
      </c>
      <c r="J70" s="2816">
        <f>SUM(W$69:W69)</f>
        <v>0</v>
      </c>
      <c r="K70" s="2816">
        <f>SUM(X$69:X69)</f>
        <v>0</v>
      </c>
      <c r="L70" s="2816">
        <f>SUM(Y$69:Y69)</f>
        <v>0</v>
      </c>
      <c r="M70" s="2816">
        <f>SUM(Z$69:Z69)</f>
        <v>0</v>
      </c>
      <c r="N70" s="2817">
        <f>SUM(AA$69:AA69)</f>
        <v>0</v>
      </c>
      <c r="O70" s="2818"/>
      <c r="P70" s="2823">
        <v>1</v>
      </c>
      <c r="Q70" s="2816">
        <v>100</v>
      </c>
      <c r="R70" s="2816">
        <f>Q70+25</f>
        <v>125</v>
      </c>
      <c r="S70" s="2816">
        <f t="shared" ref="S70:AA70" si="2">R70+25</f>
        <v>150</v>
      </c>
      <c r="T70" s="2816">
        <f t="shared" si="2"/>
        <v>175</v>
      </c>
      <c r="U70" s="2816">
        <f t="shared" si="2"/>
        <v>200</v>
      </c>
      <c r="V70" s="2816">
        <f t="shared" si="2"/>
        <v>225</v>
      </c>
      <c r="W70" s="2816">
        <f t="shared" si="2"/>
        <v>250</v>
      </c>
      <c r="X70" s="2816">
        <f t="shared" si="2"/>
        <v>275</v>
      </c>
      <c r="Y70" s="2816">
        <f t="shared" si="2"/>
        <v>300</v>
      </c>
      <c r="Z70" s="2816">
        <f t="shared" si="2"/>
        <v>325</v>
      </c>
      <c r="AA70" s="2817">
        <f t="shared" si="2"/>
        <v>350</v>
      </c>
    </row>
    <row r="71" spans="1:27" ht="12.75" customHeight="1" x14ac:dyDescent="0.2">
      <c r="A71" s="1915">
        <v>71</v>
      </c>
      <c r="B71" s="5148"/>
      <c r="C71" s="2823">
        <v>2</v>
      </c>
      <c r="D71" s="2816">
        <f>SUM(Q$69:Q70)</f>
        <v>100</v>
      </c>
      <c r="E71" s="2816">
        <f>SUM(R$69:R70)</f>
        <v>125</v>
      </c>
      <c r="F71" s="2816">
        <f>SUM(S$69:S70)</f>
        <v>150</v>
      </c>
      <c r="G71" s="2816">
        <f>SUM(T$69:T70)</f>
        <v>175</v>
      </c>
      <c r="H71" s="2816">
        <f>SUM(U$69:U70)</f>
        <v>200</v>
      </c>
      <c r="I71" s="2816">
        <f>SUM(V$69:V70)</f>
        <v>225</v>
      </c>
      <c r="J71" s="2816">
        <f>SUM(W$69:W70)</f>
        <v>250</v>
      </c>
      <c r="K71" s="2816">
        <f>SUM(X$69:X70)</f>
        <v>275</v>
      </c>
      <c r="L71" s="2816">
        <f>SUM(Y$69:Y70)</f>
        <v>300</v>
      </c>
      <c r="M71" s="2816">
        <f>SUM(Z$69:Z70)</f>
        <v>325</v>
      </c>
      <c r="N71" s="2817">
        <f>SUM(AA$69:AA70)</f>
        <v>350</v>
      </c>
      <c r="O71" s="2818"/>
      <c r="P71" s="2823">
        <v>2</v>
      </c>
      <c r="Q71" s="2816">
        <f>Q70+25</f>
        <v>125</v>
      </c>
      <c r="R71" s="2816">
        <f>R70+25</f>
        <v>150</v>
      </c>
      <c r="S71" s="2816">
        <f t="shared" ref="S71:AA71" si="3">S70+25</f>
        <v>175</v>
      </c>
      <c r="T71" s="2816">
        <f t="shared" si="3"/>
        <v>200</v>
      </c>
      <c r="U71" s="2816">
        <f t="shared" si="3"/>
        <v>225</v>
      </c>
      <c r="V71" s="2816">
        <f t="shared" si="3"/>
        <v>250</v>
      </c>
      <c r="W71" s="2816">
        <f t="shared" si="3"/>
        <v>275</v>
      </c>
      <c r="X71" s="2816">
        <f t="shared" si="3"/>
        <v>300</v>
      </c>
      <c r="Y71" s="2816">
        <f t="shared" si="3"/>
        <v>325</v>
      </c>
      <c r="Z71" s="2816">
        <f t="shared" si="3"/>
        <v>350</v>
      </c>
      <c r="AA71" s="2817">
        <f t="shared" si="3"/>
        <v>375</v>
      </c>
    </row>
    <row r="72" spans="1:27" ht="12.75" customHeight="1" x14ac:dyDescent="0.2">
      <c r="A72" s="1915">
        <v>72</v>
      </c>
      <c r="B72" s="5148"/>
      <c r="C72" s="2823">
        <v>3</v>
      </c>
      <c r="D72" s="2816">
        <f>SUM(Q$69:Q71)</f>
        <v>225</v>
      </c>
      <c r="E72" s="2816">
        <f>SUM(R$69:R71)</f>
        <v>275</v>
      </c>
      <c r="F72" s="2816">
        <f>SUM(S$69:S71)</f>
        <v>325</v>
      </c>
      <c r="G72" s="2816">
        <f>SUM(T$69:T71)</f>
        <v>375</v>
      </c>
      <c r="H72" s="2816">
        <f>SUM(U$69:U71)</f>
        <v>425</v>
      </c>
      <c r="I72" s="2816">
        <f>SUM(V$69:V71)</f>
        <v>475</v>
      </c>
      <c r="J72" s="2816">
        <f>SUM(W$69:W71)</f>
        <v>525</v>
      </c>
      <c r="K72" s="2816">
        <f>SUM(X$69:X71)</f>
        <v>575</v>
      </c>
      <c r="L72" s="2816">
        <f>SUM(Y$69:Y71)</f>
        <v>625</v>
      </c>
      <c r="M72" s="2816">
        <f>SUM(Z$69:Z71)</f>
        <v>675</v>
      </c>
      <c r="N72" s="2817">
        <f>SUM(AA$69:AA71)</f>
        <v>725</v>
      </c>
      <c r="O72" s="2818"/>
      <c r="P72" s="2823">
        <v>3</v>
      </c>
      <c r="Q72" s="2816">
        <f t="shared" ref="Q72:Q99" si="4">Q71+25</f>
        <v>150</v>
      </c>
      <c r="R72" s="2816">
        <f t="shared" ref="R72:R99" si="5">R71+25</f>
        <v>175</v>
      </c>
      <c r="S72" s="2816">
        <f t="shared" ref="S72:S99" si="6">S71+25</f>
        <v>200</v>
      </c>
      <c r="T72" s="2816">
        <f t="shared" ref="T72:T99" si="7">T71+25</f>
        <v>225</v>
      </c>
      <c r="U72" s="2816">
        <f t="shared" ref="U72:U99" si="8">U71+25</f>
        <v>250</v>
      </c>
      <c r="V72" s="2816">
        <f t="shared" ref="V72:V99" si="9">V71+25</f>
        <v>275</v>
      </c>
      <c r="W72" s="2816">
        <f t="shared" ref="W72:W99" si="10">W71+25</f>
        <v>300</v>
      </c>
      <c r="X72" s="2816">
        <f t="shared" ref="X72:X99" si="11">X71+25</f>
        <v>325</v>
      </c>
      <c r="Y72" s="2816">
        <f t="shared" ref="Y72:Y99" si="12">Y71+25</f>
        <v>350</v>
      </c>
      <c r="Z72" s="2816">
        <f t="shared" ref="Z72:Z99" si="13">Z71+25</f>
        <v>375</v>
      </c>
      <c r="AA72" s="2817">
        <f t="shared" ref="AA72:AA99" si="14">AA71+25</f>
        <v>400</v>
      </c>
    </row>
    <row r="73" spans="1:27" ht="12.75" customHeight="1" x14ac:dyDescent="0.2">
      <c r="A73" s="1916">
        <v>73</v>
      </c>
      <c r="B73" s="5148"/>
      <c r="C73" s="2823">
        <v>4</v>
      </c>
      <c r="D73" s="2816">
        <f>SUM(Q$69:Q72)</f>
        <v>375</v>
      </c>
      <c r="E73" s="2816">
        <f>SUM(R$69:R72)</f>
        <v>450</v>
      </c>
      <c r="F73" s="2816">
        <f>SUM(S$69:S72)</f>
        <v>525</v>
      </c>
      <c r="G73" s="2816">
        <f>SUM(T$69:T72)</f>
        <v>600</v>
      </c>
      <c r="H73" s="2816">
        <f>SUM(U$69:U72)</f>
        <v>675</v>
      </c>
      <c r="I73" s="2816">
        <f>SUM(V$69:V72)</f>
        <v>750</v>
      </c>
      <c r="J73" s="2816">
        <f>SUM(W$69:W72)</f>
        <v>825</v>
      </c>
      <c r="K73" s="2816">
        <f>SUM(X$69:X72)</f>
        <v>900</v>
      </c>
      <c r="L73" s="2816">
        <f>SUM(Y$69:Y72)</f>
        <v>975</v>
      </c>
      <c r="M73" s="2816">
        <f>SUM(Z$69:Z72)</f>
        <v>1050</v>
      </c>
      <c r="N73" s="2817">
        <f>SUM(AA$69:AA72)</f>
        <v>1125</v>
      </c>
      <c r="O73" s="2818"/>
      <c r="P73" s="2823">
        <v>4</v>
      </c>
      <c r="Q73" s="2816">
        <f t="shared" si="4"/>
        <v>175</v>
      </c>
      <c r="R73" s="2816">
        <f t="shared" si="5"/>
        <v>200</v>
      </c>
      <c r="S73" s="2816">
        <f t="shared" si="6"/>
        <v>225</v>
      </c>
      <c r="T73" s="2816">
        <f t="shared" si="7"/>
        <v>250</v>
      </c>
      <c r="U73" s="2816">
        <f t="shared" si="8"/>
        <v>275</v>
      </c>
      <c r="V73" s="2816">
        <f t="shared" si="9"/>
        <v>300</v>
      </c>
      <c r="W73" s="2816">
        <f t="shared" si="10"/>
        <v>325</v>
      </c>
      <c r="X73" s="2816">
        <f t="shared" si="11"/>
        <v>350</v>
      </c>
      <c r="Y73" s="2816">
        <f t="shared" si="12"/>
        <v>375</v>
      </c>
      <c r="Z73" s="2816">
        <f t="shared" si="13"/>
        <v>400</v>
      </c>
      <c r="AA73" s="2817">
        <f t="shared" si="14"/>
        <v>425</v>
      </c>
    </row>
    <row r="74" spans="1:27" ht="12.75" customHeight="1" x14ac:dyDescent="0.2">
      <c r="A74" s="1916">
        <v>74</v>
      </c>
      <c r="B74" s="5148"/>
      <c r="C74" s="2823">
        <v>5</v>
      </c>
      <c r="D74" s="2816">
        <f>SUM(Q$69:Q73)</f>
        <v>550</v>
      </c>
      <c r="E74" s="2816">
        <f>SUM(R$69:R73)</f>
        <v>650</v>
      </c>
      <c r="F74" s="2816">
        <f>SUM(S$69:S73)</f>
        <v>750</v>
      </c>
      <c r="G74" s="2816">
        <f>SUM(T$69:T73)</f>
        <v>850</v>
      </c>
      <c r="H74" s="2816">
        <f>SUM(U$69:U73)</f>
        <v>950</v>
      </c>
      <c r="I74" s="2816">
        <f>SUM(V$69:V73)</f>
        <v>1050</v>
      </c>
      <c r="J74" s="2816">
        <f>SUM(W$69:W73)</f>
        <v>1150</v>
      </c>
      <c r="K74" s="2816">
        <f>SUM(X$69:X73)</f>
        <v>1250</v>
      </c>
      <c r="L74" s="2816">
        <f>SUM(Y$69:Y73)</f>
        <v>1350</v>
      </c>
      <c r="M74" s="2816">
        <f>SUM(Z$69:Z73)</f>
        <v>1450</v>
      </c>
      <c r="N74" s="2817">
        <f>SUM(AA$69:AA73)</f>
        <v>1550</v>
      </c>
      <c r="O74" s="2818"/>
      <c r="P74" s="2823">
        <v>5</v>
      </c>
      <c r="Q74" s="2816">
        <f t="shared" si="4"/>
        <v>200</v>
      </c>
      <c r="R74" s="2816">
        <f t="shared" si="5"/>
        <v>225</v>
      </c>
      <c r="S74" s="2816">
        <f t="shared" si="6"/>
        <v>250</v>
      </c>
      <c r="T74" s="2816">
        <f t="shared" si="7"/>
        <v>275</v>
      </c>
      <c r="U74" s="2816">
        <f t="shared" si="8"/>
        <v>300</v>
      </c>
      <c r="V74" s="2816">
        <f t="shared" si="9"/>
        <v>325</v>
      </c>
      <c r="W74" s="2816">
        <f t="shared" si="10"/>
        <v>350</v>
      </c>
      <c r="X74" s="2816">
        <f t="shared" si="11"/>
        <v>375</v>
      </c>
      <c r="Y74" s="2816">
        <f t="shared" si="12"/>
        <v>400</v>
      </c>
      <c r="Z74" s="2816">
        <f t="shared" si="13"/>
        <v>425</v>
      </c>
      <c r="AA74" s="2817">
        <f t="shared" si="14"/>
        <v>450</v>
      </c>
    </row>
    <row r="75" spans="1:27" ht="12.75" customHeight="1" x14ac:dyDescent="0.2">
      <c r="A75" s="1916">
        <v>75</v>
      </c>
      <c r="B75" s="5148"/>
      <c r="C75" s="2823">
        <v>6</v>
      </c>
      <c r="D75" s="2816">
        <f>SUM(Q$69:Q74)</f>
        <v>750</v>
      </c>
      <c r="E75" s="2816">
        <f>SUM(R$69:R74)</f>
        <v>875</v>
      </c>
      <c r="F75" s="2816">
        <f>SUM(S$69:S74)</f>
        <v>1000</v>
      </c>
      <c r="G75" s="2816">
        <f>SUM(T$69:T74)</f>
        <v>1125</v>
      </c>
      <c r="H75" s="2816">
        <f>SUM(U$69:U74)</f>
        <v>1250</v>
      </c>
      <c r="I75" s="2816">
        <f>SUM(V$69:V74)</f>
        <v>1375</v>
      </c>
      <c r="J75" s="2816">
        <f>SUM(W$69:W74)</f>
        <v>1500</v>
      </c>
      <c r="K75" s="2816">
        <f>SUM(X$69:X74)</f>
        <v>1625</v>
      </c>
      <c r="L75" s="2816">
        <f>SUM(Y$69:Y74)</f>
        <v>1750</v>
      </c>
      <c r="M75" s="2816">
        <f>SUM(Z$69:Z74)</f>
        <v>1875</v>
      </c>
      <c r="N75" s="2817">
        <f>SUM(AA$69:AA74)</f>
        <v>2000</v>
      </c>
      <c r="O75" s="2818"/>
      <c r="P75" s="2823">
        <v>6</v>
      </c>
      <c r="Q75" s="2816">
        <f t="shared" si="4"/>
        <v>225</v>
      </c>
      <c r="R75" s="2816">
        <f t="shared" si="5"/>
        <v>250</v>
      </c>
      <c r="S75" s="2816">
        <f t="shared" si="6"/>
        <v>275</v>
      </c>
      <c r="T75" s="2816">
        <f t="shared" si="7"/>
        <v>300</v>
      </c>
      <c r="U75" s="2816">
        <f t="shared" si="8"/>
        <v>325</v>
      </c>
      <c r="V75" s="2816">
        <f t="shared" si="9"/>
        <v>350</v>
      </c>
      <c r="W75" s="2816">
        <f t="shared" si="10"/>
        <v>375</v>
      </c>
      <c r="X75" s="2816">
        <f t="shared" si="11"/>
        <v>400</v>
      </c>
      <c r="Y75" s="2816">
        <f t="shared" si="12"/>
        <v>425</v>
      </c>
      <c r="Z75" s="2816">
        <f t="shared" si="13"/>
        <v>450</v>
      </c>
      <c r="AA75" s="2817">
        <f t="shared" si="14"/>
        <v>475</v>
      </c>
    </row>
    <row r="76" spans="1:27" ht="12.75" customHeight="1" x14ac:dyDescent="0.2">
      <c r="A76" s="1915">
        <v>76</v>
      </c>
      <c r="B76" s="5148"/>
      <c r="C76" s="2823">
        <v>7</v>
      </c>
      <c r="D76" s="2816">
        <f>SUM(Q$69:Q75)</f>
        <v>975</v>
      </c>
      <c r="E76" s="2816">
        <f>SUM(R$69:R75)</f>
        <v>1125</v>
      </c>
      <c r="F76" s="2816">
        <f>SUM(S$69:S75)</f>
        <v>1275</v>
      </c>
      <c r="G76" s="2816">
        <f>SUM(T$69:T75)</f>
        <v>1425</v>
      </c>
      <c r="H76" s="2816">
        <f>SUM(U$69:U75)</f>
        <v>1575</v>
      </c>
      <c r="I76" s="2816">
        <f>SUM(V$69:V75)</f>
        <v>1725</v>
      </c>
      <c r="J76" s="2816">
        <f>SUM(W$69:W75)</f>
        <v>1875</v>
      </c>
      <c r="K76" s="2816">
        <f>SUM(X$69:X75)</f>
        <v>2025</v>
      </c>
      <c r="L76" s="2816">
        <f>SUM(Y$69:Y75)</f>
        <v>2175</v>
      </c>
      <c r="M76" s="2816">
        <f>SUM(Z$69:Z75)</f>
        <v>2325</v>
      </c>
      <c r="N76" s="2817">
        <f>SUM(AA$69:AA75)</f>
        <v>2475</v>
      </c>
      <c r="O76" s="2818"/>
      <c r="P76" s="2823">
        <v>7</v>
      </c>
      <c r="Q76" s="2816">
        <f t="shared" si="4"/>
        <v>250</v>
      </c>
      <c r="R76" s="2816">
        <f t="shared" si="5"/>
        <v>275</v>
      </c>
      <c r="S76" s="2816">
        <f t="shared" si="6"/>
        <v>300</v>
      </c>
      <c r="T76" s="2816">
        <f t="shared" si="7"/>
        <v>325</v>
      </c>
      <c r="U76" s="2816">
        <f t="shared" si="8"/>
        <v>350</v>
      </c>
      <c r="V76" s="2816">
        <f t="shared" si="9"/>
        <v>375</v>
      </c>
      <c r="W76" s="2816">
        <f t="shared" si="10"/>
        <v>400</v>
      </c>
      <c r="X76" s="2816">
        <f t="shared" si="11"/>
        <v>425</v>
      </c>
      <c r="Y76" s="2816">
        <f t="shared" si="12"/>
        <v>450</v>
      </c>
      <c r="Z76" s="2816">
        <f t="shared" si="13"/>
        <v>475</v>
      </c>
      <c r="AA76" s="2817">
        <f t="shared" si="14"/>
        <v>500</v>
      </c>
    </row>
    <row r="77" spans="1:27" ht="12.75" customHeight="1" x14ac:dyDescent="0.2">
      <c r="A77" s="1915">
        <v>77</v>
      </c>
      <c r="B77" s="5148"/>
      <c r="C77" s="2823">
        <v>8</v>
      </c>
      <c r="D77" s="2816">
        <f>SUM(Q$69:Q76)</f>
        <v>1225</v>
      </c>
      <c r="E77" s="2816">
        <f>SUM(R$69:R76)</f>
        <v>1400</v>
      </c>
      <c r="F77" s="2816">
        <f>SUM(S$69:S76)</f>
        <v>1575</v>
      </c>
      <c r="G77" s="2816">
        <f>SUM(T$69:T76)</f>
        <v>1750</v>
      </c>
      <c r="H77" s="2816">
        <f>SUM(U$69:U76)</f>
        <v>1925</v>
      </c>
      <c r="I77" s="2816">
        <f>SUM(V$69:V76)</f>
        <v>2100</v>
      </c>
      <c r="J77" s="2816">
        <f>SUM(W$69:W76)</f>
        <v>2275</v>
      </c>
      <c r="K77" s="2816">
        <f>SUM(X$69:X76)</f>
        <v>2450</v>
      </c>
      <c r="L77" s="2816">
        <f>SUM(Y$69:Y76)</f>
        <v>2625</v>
      </c>
      <c r="M77" s="2816">
        <f>SUM(Z$69:Z76)</f>
        <v>2800</v>
      </c>
      <c r="N77" s="2817">
        <f>SUM(AA$69:AA76)</f>
        <v>2975</v>
      </c>
      <c r="O77" s="2818"/>
      <c r="P77" s="2823">
        <v>8</v>
      </c>
      <c r="Q77" s="2816">
        <f t="shared" si="4"/>
        <v>275</v>
      </c>
      <c r="R77" s="2816">
        <f t="shared" si="5"/>
        <v>300</v>
      </c>
      <c r="S77" s="2816">
        <f t="shared" si="6"/>
        <v>325</v>
      </c>
      <c r="T77" s="2816">
        <f t="shared" si="7"/>
        <v>350</v>
      </c>
      <c r="U77" s="2816">
        <f t="shared" si="8"/>
        <v>375</v>
      </c>
      <c r="V77" s="2816">
        <f t="shared" si="9"/>
        <v>400</v>
      </c>
      <c r="W77" s="2816">
        <f t="shared" si="10"/>
        <v>425</v>
      </c>
      <c r="X77" s="2816">
        <f t="shared" si="11"/>
        <v>450</v>
      </c>
      <c r="Y77" s="2816">
        <f t="shared" si="12"/>
        <v>475</v>
      </c>
      <c r="Z77" s="2816">
        <f t="shared" si="13"/>
        <v>500</v>
      </c>
      <c r="AA77" s="2817">
        <f t="shared" si="14"/>
        <v>525</v>
      </c>
    </row>
    <row r="78" spans="1:27" ht="12.75" customHeight="1" x14ac:dyDescent="0.2">
      <c r="A78" s="1915">
        <v>78</v>
      </c>
      <c r="B78" s="5148"/>
      <c r="C78" s="2823">
        <v>9</v>
      </c>
      <c r="D78" s="2816">
        <f>SUM(Q$69:Q77)</f>
        <v>1500</v>
      </c>
      <c r="E78" s="2816">
        <f>SUM(R$69:R77)</f>
        <v>1700</v>
      </c>
      <c r="F78" s="2816">
        <f>SUM(S$69:S77)</f>
        <v>1900</v>
      </c>
      <c r="G78" s="2816">
        <f>SUM(T$69:T77)</f>
        <v>2100</v>
      </c>
      <c r="H78" s="2816">
        <f>SUM(U$69:U77)</f>
        <v>2300</v>
      </c>
      <c r="I78" s="2816">
        <f>SUM(V$69:V77)</f>
        <v>2500</v>
      </c>
      <c r="J78" s="2816">
        <f>SUM(W$69:W77)</f>
        <v>2700</v>
      </c>
      <c r="K78" s="2816">
        <f>SUM(X$69:X77)</f>
        <v>2900</v>
      </c>
      <c r="L78" s="2816">
        <f>SUM(Y$69:Y77)</f>
        <v>3100</v>
      </c>
      <c r="M78" s="2816">
        <f>SUM(Z$69:Z77)</f>
        <v>3300</v>
      </c>
      <c r="N78" s="2817">
        <f>SUM(AA$69:AA77)</f>
        <v>3500</v>
      </c>
      <c r="O78" s="2818"/>
      <c r="P78" s="2823">
        <v>9</v>
      </c>
      <c r="Q78" s="2816">
        <f t="shared" si="4"/>
        <v>300</v>
      </c>
      <c r="R78" s="2816">
        <f t="shared" si="5"/>
        <v>325</v>
      </c>
      <c r="S78" s="2816">
        <f t="shared" si="6"/>
        <v>350</v>
      </c>
      <c r="T78" s="2816">
        <f t="shared" si="7"/>
        <v>375</v>
      </c>
      <c r="U78" s="2816">
        <f t="shared" si="8"/>
        <v>400</v>
      </c>
      <c r="V78" s="2816">
        <f t="shared" si="9"/>
        <v>425</v>
      </c>
      <c r="W78" s="2816">
        <f t="shared" si="10"/>
        <v>450</v>
      </c>
      <c r="X78" s="2816">
        <f t="shared" si="11"/>
        <v>475</v>
      </c>
      <c r="Y78" s="2816">
        <f t="shared" si="12"/>
        <v>500</v>
      </c>
      <c r="Z78" s="2816">
        <f t="shared" si="13"/>
        <v>525</v>
      </c>
      <c r="AA78" s="2817">
        <f t="shared" si="14"/>
        <v>550</v>
      </c>
    </row>
    <row r="79" spans="1:27" ht="12.75" customHeight="1" x14ac:dyDescent="0.2">
      <c r="A79" s="1916">
        <v>79</v>
      </c>
      <c r="B79" s="5148"/>
      <c r="C79" s="2823">
        <v>10</v>
      </c>
      <c r="D79" s="2816">
        <f>SUM(Q$69:Q78)</f>
        <v>1800</v>
      </c>
      <c r="E79" s="2816">
        <f>SUM(R$69:R78)</f>
        <v>2025</v>
      </c>
      <c r="F79" s="2816">
        <f>SUM(S$69:S78)</f>
        <v>2250</v>
      </c>
      <c r="G79" s="2816">
        <f>SUM(T$69:T78)</f>
        <v>2475</v>
      </c>
      <c r="H79" s="2816">
        <f>SUM(U$69:U78)</f>
        <v>2700</v>
      </c>
      <c r="I79" s="2816">
        <f>SUM(V$69:V78)</f>
        <v>2925</v>
      </c>
      <c r="J79" s="2816">
        <f>SUM(W$69:W78)</f>
        <v>3150</v>
      </c>
      <c r="K79" s="2816">
        <f>SUM(X$69:X78)</f>
        <v>3375</v>
      </c>
      <c r="L79" s="2816">
        <f>SUM(Y$69:Y78)</f>
        <v>3600</v>
      </c>
      <c r="M79" s="2816">
        <f>SUM(Z$69:Z78)</f>
        <v>3825</v>
      </c>
      <c r="N79" s="2817">
        <f>SUM(AA$69:AA78)</f>
        <v>4050</v>
      </c>
      <c r="O79" s="2818"/>
      <c r="P79" s="2823">
        <v>10</v>
      </c>
      <c r="Q79" s="2816">
        <f t="shared" si="4"/>
        <v>325</v>
      </c>
      <c r="R79" s="2816">
        <f t="shared" si="5"/>
        <v>350</v>
      </c>
      <c r="S79" s="2816">
        <f t="shared" si="6"/>
        <v>375</v>
      </c>
      <c r="T79" s="2816">
        <f t="shared" si="7"/>
        <v>400</v>
      </c>
      <c r="U79" s="2816">
        <f t="shared" si="8"/>
        <v>425</v>
      </c>
      <c r="V79" s="2816">
        <f t="shared" si="9"/>
        <v>450</v>
      </c>
      <c r="W79" s="2816">
        <f t="shared" si="10"/>
        <v>475</v>
      </c>
      <c r="X79" s="2816">
        <f t="shared" si="11"/>
        <v>500</v>
      </c>
      <c r="Y79" s="2816">
        <f t="shared" si="12"/>
        <v>525</v>
      </c>
      <c r="Z79" s="2816">
        <f t="shared" si="13"/>
        <v>550</v>
      </c>
      <c r="AA79" s="2817">
        <f t="shared" si="14"/>
        <v>575</v>
      </c>
    </row>
    <row r="80" spans="1:27" ht="12.75" customHeight="1" x14ac:dyDescent="0.2">
      <c r="A80" s="1916">
        <v>80</v>
      </c>
      <c r="B80" s="5148"/>
      <c r="C80" s="2823">
        <v>11</v>
      </c>
      <c r="D80" s="2816">
        <f>SUM(Q$69:Q79)</f>
        <v>2125</v>
      </c>
      <c r="E80" s="2816">
        <f>SUM(R$69:R79)</f>
        <v>2375</v>
      </c>
      <c r="F80" s="2816">
        <f>SUM(S$69:S79)</f>
        <v>2625</v>
      </c>
      <c r="G80" s="2816">
        <f>SUM(T$69:T79)</f>
        <v>2875</v>
      </c>
      <c r="H80" s="2816">
        <f>SUM(U$69:U79)</f>
        <v>3125</v>
      </c>
      <c r="I80" s="2816">
        <f>SUM(V$69:V79)</f>
        <v>3375</v>
      </c>
      <c r="J80" s="2816">
        <f>SUM(W$69:W79)</f>
        <v>3625</v>
      </c>
      <c r="K80" s="2816">
        <f>SUM(X$69:X79)</f>
        <v>3875</v>
      </c>
      <c r="L80" s="2816">
        <f>SUM(Y$69:Y79)</f>
        <v>4125</v>
      </c>
      <c r="M80" s="2816">
        <f>SUM(Z$69:Z79)</f>
        <v>4375</v>
      </c>
      <c r="N80" s="2817">
        <f>SUM(AA$69:AA79)</f>
        <v>4625</v>
      </c>
      <c r="O80" s="2818"/>
      <c r="P80" s="2823">
        <v>11</v>
      </c>
      <c r="Q80" s="2816">
        <f t="shared" si="4"/>
        <v>350</v>
      </c>
      <c r="R80" s="2816">
        <f t="shared" si="5"/>
        <v>375</v>
      </c>
      <c r="S80" s="2816">
        <f t="shared" si="6"/>
        <v>400</v>
      </c>
      <c r="T80" s="2816">
        <f t="shared" si="7"/>
        <v>425</v>
      </c>
      <c r="U80" s="2816">
        <f t="shared" si="8"/>
        <v>450</v>
      </c>
      <c r="V80" s="2816">
        <f t="shared" si="9"/>
        <v>475</v>
      </c>
      <c r="W80" s="2816">
        <f t="shared" si="10"/>
        <v>500</v>
      </c>
      <c r="X80" s="2816">
        <f t="shared" si="11"/>
        <v>525</v>
      </c>
      <c r="Y80" s="2816">
        <f t="shared" si="12"/>
        <v>550</v>
      </c>
      <c r="Z80" s="2816">
        <f t="shared" si="13"/>
        <v>575</v>
      </c>
      <c r="AA80" s="2817">
        <f t="shared" si="14"/>
        <v>600</v>
      </c>
    </row>
    <row r="81" spans="1:27" ht="12.75" customHeight="1" x14ac:dyDescent="0.2">
      <c r="A81" s="1916">
        <v>81</v>
      </c>
      <c r="B81" s="5148"/>
      <c r="C81" s="2823">
        <v>12</v>
      </c>
      <c r="D81" s="2816">
        <f>SUM(Q$69:Q80)</f>
        <v>2475</v>
      </c>
      <c r="E81" s="2816">
        <f>SUM(R$69:R80)</f>
        <v>2750</v>
      </c>
      <c r="F81" s="2816">
        <f>SUM(S$69:S80)</f>
        <v>3025</v>
      </c>
      <c r="G81" s="2816">
        <f>SUM(T$69:T80)</f>
        <v>3300</v>
      </c>
      <c r="H81" s="2816">
        <f>SUM(U$69:U80)</f>
        <v>3575</v>
      </c>
      <c r="I81" s="2816">
        <f>SUM(V$69:V80)</f>
        <v>3850</v>
      </c>
      <c r="J81" s="2816">
        <f>SUM(W$69:W80)</f>
        <v>4125</v>
      </c>
      <c r="K81" s="2816">
        <f>SUM(X$69:X80)</f>
        <v>4400</v>
      </c>
      <c r="L81" s="2816">
        <f>SUM(Y$69:Y80)</f>
        <v>4675</v>
      </c>
      <c r="M81" s="2816">
        <f>SUM(Z$69:Z80)</f>
        <v>4950</v>
      </c>
      <c r="N81" s="2817">
        <f>SUM(AA$69:AA80)</f>
        <v>5225</v>
      </c>
      <c r="O81" s="2818"/>
      <c r="P81" s="2823">
        <v>12</v>
      </c>
      <c r="Q81" s="2816">
        <f t="shared" si="4"/>
        <v>375</v>
      </c>
      <c r="R81" s="2816">
        <f t="shared" si="5"/>
        <v>400</v>
      </c>
      <c r="S81" s="2816">
        <f t="shared" si="6"/>
        <v>425</v>
      </c>
      <c r="T81" s="2816">
        <f t="shared" si="7"/>
        <v>450</v>
      </c>
      <c r="U81" s="2816">
        <f t="shared" si="8"/>
        <v>475</v>
      </c>
      <c r="V81" s="2816">
        <f t="shared" si="9"/>
        <v>500</v>
      </c>
      <c r="W81" s="2816">
        <f t="shared" si="10"/>
        <v>525</v>
      </c>
      <c r="X81" s="2816">
        <f t="shared" si="11"/>
        <v>550</v>
      </c>
      <c r="Y81" s="2816">
        <f t="shared" si="12"/>
        <v>575</v>
      </c>
      <c r="Z81" s="2816">
        <f t="shared" si="13"/>
        <v>600</v>
      </c>
      <c r="AA81" s="2817">
        <f t="shared" si="14"/>
        <v>625</v>
      </c>
    </row>
    <row r="82" spans="1:27" ht="12.75" customHeight="1" x14ac:dyDescent="0.2">
      <c r="A82" s="1916">
        <v>82</v>
      </c>
      <c r="B82" s="5148"/>
      <c r="C82" s="2823">
        <v>13</v>
      </c>
      <c r="D82" s="2816">
        <f>SUM(Q$69:Q81)</f>
        <v>2850</v>
      </c>
      <c r="E82" s="2816">
        <f>SUM(R$69:R81)</f>
        <v>3150</v>
      </c>
      <c r="F82" s="2816">
        <f>SUM(S$69:S81)</f>
        <v>3450</v>
      </c>
      <c r="G82" s="2816">
        <f>SUM(T$69:T81)</f>
        <v>3750</v>
      </c>
      <c r="H82" s="2816">
        <f>SUM(U$69:U81)</f>
        <v>4050</v>
      </c>
      <c r="I82" s="2816">
        <f>SUM(V$69:V81)</f>
        <v>4350</v>
      </c>
      <c r="J82" s="2816">
        <f>SUM(W$69:W81)</f>
        <v>4650</v>
      </c>
      <c r="K82" s="2816">
        <f>SUM(X$69:X81)</f>
        <v>4950</v>
      </c>
      <c r="L82" s="2816">
        <f>SUM(Y$69:Y81)</f>
        <v>5250</v>
      </c>
      <c r="M82" s="2816">
        <f>SUM(Z$69:Z81)</f>
        <v>5550</v>
      </c>
      <c r="N82" s="2817">
        <f>SUM(AA$69:AA81)</f>
        <v>5850</v>
      </c>
      <c r="O82" s="2818"/>
      <c r="P82" s="2823">
        <v>13</v>
      </c>
      <c r="Q82" s="2816">
        <f t="shared" si="4"/>
        <v>400</v>
      </c>
      <c r="R82" s="2816">
        <f t="shared" si="5"/>
        <v>425</v>
      </c>
      <c r="S82" s="2816">
        <f t="shared" si="6"/>
        <v>450</v>
      </c>
      <c r="T82" s="2816">
        <f t="shared" si="7"/>
        <v>475</v>
      </c>
      <c r="U82" s="2816">
        <f t="shared" si="8"/>
        <v>500</v>
      </c>
      <c r="V82" s="2816">
        <f t="shared" si="9"/>
        <v>525</v>
      </c>
      <c r="W82" s="2816">
        <f t="shared" si="10"/>
        <v>550</v>
      </c>
      <c r="X82" s="2816">
        <f t="shared" si="11"/>
        <v>575</v>
      </c>
      <c r="Y82" s="2816">
        <f t="shared" si="12"/>
        <v>600</v>
      </c>
      <c r="Z82" s="2816">
        <f t="shared" si="13"/>
        <v>625</v>
      </c>
      <c r="AA82" s="2817">
        <f t="shared" si="14"/>
        <v>650</v>
      </c>
    </row>
    <row r="83" spans="1:27" ht="12.75" customHeight="1" x14ac:dyDescent="0.2">
      <c r="A83" s="1916">
        <v>83</v>
      </c>
      <c r="B83" s="5148"/>
      <c r="C83" s="2823">
        <v>14</v>
      </c>
      <c r="D83" s="2816">
        <f>SUM(Q$69:Q82)</f>
        <v>3250</v>
      </c>
      <c r="E83" s="2816">
        <f>SUM(R$69:R82)</f>
        <v>3575</v>
      </c>
      <c r="F83" s="2816">
        <f>SUM(S$69:S82)</f>
        <v>3900</v>
      </c>
      <c r="G83" s="2816">
        <f>SUM(T$69:T82)</f>
        <v>4225</v>
      </c>
      <c r="H83" s="2816">
        <f>SUM(U$69:U82)</f>
        <v>4550</v>
      </c>
      <c r="I83" s="2816">
        <f>SUM(V$69:V82)</f>
        <v>4875</v>
      </c>
      <c r="J83" s="2816">
        <f>SUM(W$69:W82)</f>
        <v>5200</v>
      </c>
      <c r="K83" s="2816">
        <f>SUM(X$69:X82)</f>
        <v>5525</v>
      </c>
      <c r="L83" s="2816">
        <f>SUM(Y$69:Y82)</f>
        <v>5850</v>
      </c>
      <c r="M83" s="2816">
        <f>SUM(Z$69:Z82)</f>
        <v>6175</v>
      </c>
      <c r="N83" s="2817">
        <f>SUM(AA$69:AA82)</f>
        <v>6500</v>
      </c>
      <c r="O83" s="2818"/>
      <c r="P83" s="2823">
        <v>14</v>
      </c>
      <c r="Q83" s="2816">
        <f t="shared" si="4"/>
        <v>425</v>
      </c>
      <c r="R83" s="2816">
        <f t="shared" si="5"/>
        <v>450</v>
      </c>
      <c r="S83" s="2816">
        <f t="shared" si="6"/>
        <v>475</v>
      </c>
      <c r="T83" s="2816">
        <f t="shared" si="7"/>
        <v>500</v>
      </c>
      <c r="U83" s="2816">
        <f t="shared" si="8"/>
        <v>525</v>
      </c>
      <c r="V83" s="2816">
        <f t="shared" si="9"/>
        <v>550</v>
      </c>
      <c r="W83" s="2816">
        <f t="shared" si="10"/>
        <v>575</v>
      </c>
      <c r="X83" s="2816">
        <f t="shared" si="11"/>
        <v>600</v>
      </c>
      <c r="Y83" s="2816">
        <f t="shared" si="12"/>
        <v>625</v>
      </c>
      <c r="Z83" s="2816">
        <f t="shared" si="13"/>
        <v>650</v>
      </c>
      <c r="AA83" s="2817">
        <f t="shared" si="14"/>
        <v>675</v>
      </c>
    </row>
    <row r="84" spans="1:27" ht="12.75" customHeight="1" x14ac:dyDescent="0.2">
      <c r="A84" s="1916">
        <v>84</v>
      </c>
      <c r="B84" s="5148"/>
      <c r="C84" s="2823">
        <v>15</v>
      </c>
      <c r="D84" s="2816">
        <f>SUM(Q$69:Q83)</f>
        <v>3675</v>
      </c>
      <c r="E84" s="2816">
        <f>SUM(R$69:R83)</f>
        <v>4025</v>
      </c>
      <c r="F84" s="2816">
        <f>SUM(S$69:S83)</f>
        <v>4375</v>
      </c>
      <c r="G84" s="2816">
        <f>SUM(T$69:T83)</f>
        <v>4725</v>
      </c>
      <c r="H84" s="2816">
        <f>SUM(U$69:U83)</f>
        <v>5075</v>
      </c>
      <c r="I84" s="2816">
        <f>SUM(V$69:V83)</f>
        <v>5425</v>
      </c>
      <c r="J84" s="2816">
        <f>SUM(W$69:W83)</f>
        <v>5775</v>
      </c>
      <c r="K84" s="2816">
        <f>SUM(X$69:X83)</f>
        <v>6125</v>
      </c>
      <c r="L84" s="2816">
        <f>SUM(Y$69:Y83)</f>
        <v>6475</v>
      </c>
      <c r="M84" s="2816">
        <f>SUM(Z$69:Z83)</f>
        <v>6825</v>
      </c>
      <c r="N84" s="2817">
        <f>SUM(AA$69:AA83)</f>
        <v>7175</v>
      </c>
      <c r="O84" s="2818"/>
      <c r="P84" s="2823">
        <v>15</v>
      </c>
      <c r="Q84" s="2816">
        <f t="shared" si="4"/>
        <v>450</v>
      </c>
      <c r="R84" s="2816">
        <f t="shared" si="5"/>
        <v>475</v>
      </c>
      <c r="S84" s="2816">
        <f t="shared" si="6"/>
        <v>500</v>
      </c>
      <c r="T84" s="2816">
        <f t="shared" si="7"/>
        <v>525</v>
      </c>
      <c r="U84" s="2816">
        <f t="shared" si="8"/>
        <v>550</v>
      </c>
      <c r="V84" s="2816">
        <f t="shared" si="9"/>
        <v>575</v>
      </c>
      <c r="W84" s="2816">
        <f t="shared" si="10"/>
        <v>600</v>
      </c>
      <c r="X84" s="2816">
        <f t="shared" si="11"/>
        <v>625</v>
      </c>
      <c r="Y84" s="2816">
        <f t="shared" si="12"/>
        <v>650</v>
      </c>
      <c r="Z84" s="2816">
        <f t="shared" si="13"/>
        <v>675</v>
      </c>
      <c r="AA84" s="2817">
        <f t="shared" si="14"/>
        <v>700</v>
      </c>
    </row>
    <row r="85" spans="1:27" ht="12.75" customHeight="1" x14ac:dyDescent="0.2">
      <c r="A85" s="1915">
        <v>85</v>
      </c>
      <c r="B85" s="5148"/>
      <c r="C85" s="2823">
        <v>16</v>
      </c>
      <c r="D85" s="2816">
        <f>SUM(Q$69:Q84)</f>
        <v>4125</v>
      </c>
      <c r="E85" s="2816">
        <f>SUM(R$69:R84)</f>
        <v>4500</v>
      </c>
      <c r="F85" s="2816">
        <f>SUM(S$69:S84)</f>
        <v>4875</v>
      </c>
      <c r="G85" s="2816">
        <f>SUM(T$69:T84)</f>
        <v>5250</v>
      </c>
      <c r="H85" s="2816">
        <f>SUM(U$69:U84)</f>
        <v>5625</v>
      </c>
      <c r="I85" s="2816">
        <f>SUM(V$69:V84)</f>
        <v>6000</v>
      </c>
      <c r="J85" s="2816">
        <f>SUM(W$69:W84)</f>
        <v>6375</v>
      </c>
      <c r="K85" s="2816">
        <f>SUM(X$69:X84)</f>
        <v>6750</v>
      </c>
      <c r="L85" s="2816">
        <f>SUM(Y$69:Y84)</f>
        <v>7125</v>
      </c>
      <c r="M85" s="2816">
        <f>SUM(Z$69:Z84)</f>
        <v>7500</v>
      </c>
      <c r="N85" s="2817">
        <f>SUM(AA$69:AA84)</f>
        <v>7875</v>
      </c>
      <c r="O85" s="2818"/>
      <c r="P85" s="2823">
        <v>16</v>
      </c>
      <c r="Q85" s="2816">
        <f t="shared" si="4"/>
        <v>475</v>
      </c>
      <c r="R85" s="2816">
        <f t="shared" si="5"/>
        <v>500</v>
      </c>
      <c r="S85" s="2816">
        <f t="shared" si="6"/>
        <v>525</v>
      </c>
      <c r="T85" s="2816">
        <f t="shared" si="7"/>
        <v>550</v>
      </c>
      <c r="U85" s="2816">
        <f t="shared" si="8"/>
        <v>575</v>
      </c>
      <c r="V85" s="2816">
        <f t="shared" si="9"/>
        <v>600</v>
      </c>
      <c r="W85" s="2816">
        <f t="shared" si="10"/>
        <v>625</v>
      </c>
      <c r="X85" s="2816">
        <f t="shared" si="11"/>
        <v>650</v>
      </c>
      <c r="Y85" s="2816">
        <f t="shared" si="12"/>
        <v>675</v>
      </c>
      <c r="Z85" s="2816">
        <f t="shared" si="13"/>
        <v>700</v>
      </c>
      <c r="AA85" s="2817">
        <f t="shared" si="14"/>
        <v>725</v>
      </c>
    </row>
    <row r="86" spans="1:27" ht="12.75" customHeight="1" x14ac:dyDescent="0.2">
      <c r="A86" s="1915">
        <v>86</v>
      </c>
      <c r="B86" s="5148"/>
      <c r="C86" s="2823">
        <v>17</v>
      </c>
      <c r="D86" s="2816">
        <f>SUM(Q$69:Q85)</f>
        <v>4600</v>
      </c>
      <c r="E86" s="2816">
        <f>SUM(R$69:R85)</f>
        <v>5000</v>
      </c>
      <c r="F86" s="2816">
        <f>SUM(S$69:S85)</f>
        <v>5400</v>
      </c>
      <c r="G86" s="2816">
        <f>SUM(T$69:T85)</f>
        <v>5800</v>
      </c>
      <c r="H86" s="2816">
        <f>SUM(U$69:U85)</f>
        <v>6200</v>
      </c>
      <c r="I86" s="2816">
        <f>SUM(V$69:V85)</f>
        <v>6600</v>
      </c>
      <c r="J86" s="2816">
        <f>SUM(W$69:W85)</f>
        <v>7000</v>
      </c>
      <c r="K86" s="2816">
        <f>SUM(X$69:X85)</f>
        <v>7400</v>
      </c>
      <c r="L86" s="2816">
        <f>SUM(Y$69:Y85)</f>
        <v>7800</v>
      </c>
      <c r="M86" s="2816">
        <f>SUM(Z$69:Z85)</f>
        <v>8200</v>
      </c>
      <c r="N86" s="2817">
        <f>SUM(AA$69:AA85)</f>
        <v>8600</v>
      </c>
      <c r="O86" s="2818"/>
      <c r="P86" s="2823">
        <v>17</v>
      </c>
      <c r="Q86" s="2816">
        <f t="shared" si="4"/>
        <v>500</v>
      </c>
      <c r="R86" s="2816">
        <f t="shared" si="5"/>
        <v>525</v>
      </c>
      <c r="S86" s="2816">
        <f t="shared" si="6"/>
        <v>550</v>
      </c>
      <c r="T86" s="2816">
        <f t="shared" si="7"/>
        <v>575</v>
      </c>
      <c r="U86" s="2816">
        <f t="shared" si="8"/>
        <v>600</v>
      </c>
      <c r="V86" s="2816">
        <f t="shared" si="9"/>
        <v>625</v>
      </c>
      <c r="W86" s="2816">
        <f t="shared" si="10"/>
        <v>650</v>
      </c>
      <c r="X86" s="2816">
        <f t="shared" si="11"/>
        <v>675</v>
      </c>
      <c r="Y86" s="2816">
        <f t="shared" si="12"/>
        <v>700</v>
      </c>
      <c r="Z86" s="2816">
        <f t="shared" si="13"/>
        <v>725</v>
      </c>
      <c r="AA86" s="2817">
        <f t="shared" si="14"/>
        <v>750</v>
      </c>
    </row>
    <row r="87" spans="1:27" ht="12.75" customHeight="1" x14ac:dyDescent="0.2">
      <c r="A87" s="1915">
        <v>87</v>
      </c>
      <c r="B87" s="5148"/>
      <c r="C87" s="2823">
        <v>18</v>
      </c>
      <c r="D87" s="2816">
        <f>SUM(Q$69:Q86)</f>
        <v>5100</v>
      </c>
      <c r="E87" s="2816">
        <f>SUM(R$69:R86)</f>
        <v>5525</v>
      </c>
      <c r="F87" s="2816">
        <f>SUM(S$69:S86)</f>
        <v>5950</v>
      </c>
      <c r="G87" s="2816">
        <f>SUM(T$69:T86)</f>
        <v>6375</v>
      </c>
      <c r="H87" s="2816">
        <f>SUM(U$69:U86)</f>
        <v>6800</v>
      </c>
      <c r="I87" s="2816">
        <f>SUM(V$69:V86)</f>
        <v>7225</v>
      </c>
      <c r="J87" s="2816">
        <f>SUM(W$69:W86)</f>
        <v>7650</v>
      </c>
      <c r="K87" s="2816">
        <f>SUM(X$69:X86)</f>
        <v>8075</v>
      </c>
      <c r="L87" s="2816">
        <f>SUM(Y$69:Y86)</f>
        <v>8500</v>
      </c>
      <c r="M87" s="2816">
        <f>SUM(Z$69:Z86)</f>
        <v>8925</v>
      </c>
      <c r="N87" s="2817">
        <f>SUM(AA$69:AA86)</f>
        <v>9350</v>
      </c>
      <c r="O87" s="2818"/>
      <c r="P87" s="2823">
        <v>18</v>
      </c>
      <c r="Q87" s="2816">
        <f t="shared" si="4"/>
        <v>525</v>
      </c>
      <c r="R87" s="2816">
        <f t="shared" si="5"/>
        <v>550</v>
      </c>
      <c r="S87" s="2816">
        <f t="shared" si="6"/>
        <v>575</v>
      </c>
      <c r="T87" s="2816">
        <f t="shared" si="7"/>
        <v>600</v>
      </c>
      <c r="U87" s="2816">
        <f t="shared" si="8"/>
        <v>625</v>
      </c>
      <c r="V87" s="2816">
        <f t="shared" si="9"/>
        <v>650</v>
      </c>
      <c r="W87" s="2816">
        <f t="shared" si="10"/>
        <v>675</v>
      </c>
      <c r="X87" s="2816">
        <f t="shared" si="11"/>
        <v>700</v>
      </c>
      <c r="Y87" s="2816">
        <f t="shared" si="12"/>
        <v>725</v>
      </c>
      <c r="Z87" s="2816">
        <f t="shared" si="13"/>
        <v>750</v>
      </c>
      <c r="AA87" s="2817">
        <f t="shared" si="14"/>
        <v>775</v>
      </c>
    </row>
    <row r="88" spans="1:27" ht="12.75" customHeight="1" x14ac:dyDescent="0.2">
      <c r="A88" s="1916">
        <v>88</v>
      </c>
      <c r="B88" s="5148"/>
      <c r="C88" s="2823">
        <v>19</v>
      </c>
      <c r="D88" s="2816">
        <f>SUM(Q$69:Q87)</f>
        <v>5625</v>
      </c>
      <c r="E88" s="2816">
        <f>SUM(R$69:R87)</f>
        <v>6075</v>
      </c>
      <c r="F88" s="2816">
        <f>SUM(S$69:S87)</f>
        <v>6525</v>
      </c>
      <c r="G88" s="2816">
        <f>SUM(T$69:T87)</f>
        <v>6975</v>
      </c>
      <c r="H88" s="2816">
        <f>SUM(U$69:U87)</f>
        <v>7425</v>
      </c>
      <c r="I88" s="2816">
        <f>SUM(V$69:V87)</f>
        <v>7875</v>
      </c>
      <c r="J88" s="2816">
        <f>SUM(W$69:W87)</f>
        <v>8325</v>
      </c>
      <c r="K88" s="2816">
        <f>SUM(X$69:X87)</f>
        <v>8775</v>
      </c>
      <c r="L88" s="2816">
        <f>SUM(Y$69:Y87)</f>
        <v>9225</v>
      </c>
      <c r="M88" s="2816">
        <f>SUM(Z$69:Z87)</f>
        <v>9675</v>
      </c>
      <c r="N88" s="2817">
        <f>SUM(AA$69:AA87)</f>
        <v>10125</v>
      </c>
      <c r="O88" s="2818"/>
      <c r="P88" s="2823">
        <v>19</v>
      </c>
      <c r="Q88" s="2816">
        <f t="shared" si="4"/>
        <v>550</v>
      </c>
      <c r="R88" s="2816">
        <f t="shared" si="5"/>
        <v>575</v>
      </c>
      <c r="S88" s="2816">
        <f t="shared" si="6"/>
        <v>600</v>
      </c>
      <c r="T88" s="2816">
        <f t="shared" si="7"/>
        <v>625</v>
      </c>
      <c r="U88" s="2816">
        <f t="shared" si="8"/>
        <v>650</v>
      </c>
      <c r="V88" s="2816">
        <f t="shared" si="9"/>
        <v>675</v>
      </c>
      <c r="W88" s="2816">
        <f t="shared" si="10"/>
        <v>700</v>
      </c>
      <c r="X88" s="2816">
        <f t="shared" si="11"/>
        <v>725</v>
      </c>
      <c r="Y88" s="2816">
        <f t="shared" si="12"/>
        <v>750</v>
      </c>
      <c r="Z88" s="2816">
        <f t="shared" si="13"/>
        <v>775</v>
      </c>
      <c r="AA88" s="2817">
        <f t="shared" si="14"/>
        <v>800</v>
      </c>
    </row>
    <row r="89" spans="1:27" ht="12.75" customHeight="1" x14ac:dyDescent="0.2">
      <c r="A89" s="1916">
        <v>89</v>
      </c>
      <c r="B89" s="5148"/>
      <c r="C89" s="2823">
        <v>20</v>
      </c>
      <c r="D89" s="2816">
        <f>SUM(Q$69:Q88)</f>
        <v>6175</v>
      </c>
      <c r="E89" s="2816">
        <f>SUM(R$69:R88)</f>
        <v>6650</v>
      </c>
      <c r="F89" s="2816">
        <f>SUM(S$69:S88)</f>
        <v>7125</v>
      </c>
      <c r="G89" s="2816">
        <f>SUM(T$69:T88)</f>
        <v>7600</v>
      </c>
      <c r="H89" s="2816">
        <f>SUM(U$69:U88)</f>
        <v>8075</v>
      </c>
      <c r="I89" s="2816">
        <f>SUM(V$69:V88)</f>
        <v>8550</v>
      </c>
      <c r="J89" s="2816">
        <f>SUM(W$69:W88)</f>
        <v>9025</v>
      </c>
      <c r="K89" s="2816">
        <f>SUM(X$69:X88)</f>
        <v>9500</v>
      </c>
      <c r="L89" s="2816">
        <f>SUM(Y$69:Y88)</f>
        <v>9975</v>
      </c>
      <c r="M89" s="2816">
        <f>SUM(Z$69:Z88)</f>
        <v>10450</v>
      </c>
      <c r="N89" s="2817">
        <f>SUM(AA$69:AA88)</f>
        <v>10925</v>
      </c>
      <c r="O89" s="2818"/>
      <c r="P89" s="2823">
        <v>20</v>
      </c>
      <c r="Q89" s="2816">
        <f t="shared" si="4"/>
        <v>575</v>
      </c>
      <c r="R89" s="2816">
        <f t="shared" si="5"/>
        <v>600</v>
      </c>
      <c r="S89" s="2816">
        <f t="shared" si="6"/>
        <v>625</v>
      </c>
      <c r="T89" s="2816">
        <f t="shared" si="7"/>
        <v>650</v>
      </c>
      <c r="U89" s="2816">
        <f t="shared" si="8"/>
        <v>675</v>
      </c>
      <c r="V89" s="2816">
        <f t="shared" si="9"/>
        <v>700</v>
      </c>
      <c r="W89" s="2816">
        <f t="shared" si="10"/>
        <v>725</v>
      </c>
      <c r="X89" s="2816">
        <f t="shared" si="11"/>
        <v>750</v>
      </c>
      <c r="Y89" s="2816">
        <f t="shared" si="12"/>
        <v>775</v>
      </c>
      <c r="Z89" s="2816">
        <f t="shared" si="13"/>
        <v>800</v>
      </c>
      <c r="AA89" s="2817">
        <f t="shared" si="14"/>
        <v>825</v>
      </c>
    </row>
    <row r="90" spans="1:27" ht="12.75" customHeight="1" x14ac:dyDescent="0.2">
      <c r="A90" s="1916">
        <v>90</v>
      </c>
      <c r="B90" s="5148"/>
      <c r="C90" s="2823">
        <v>21</v>
      </c>
      <c r="D90" s="2816">
        <f>SUM(Q$69:Q89)</f>
        <v>6750</v>
      </c>
      <c r="E90" s="2816">
        <f>SUM(R$69:R89)</f>
        <v>7250</v>
      </c>
      <c r="F90" s="2816">
        <f>SUM(S$69:S89)</f>
        <v>7750</v>
      </c>
      <c r="G90" s="2816">
        <f>SUM(T$69:T89)</f>
        <v>8250</v>
      </c>
      <c r="H90" s="2816">
        <f>SUM(U$69:U89)</f>
        <v>8750</v>
      </c>
      <c r="I90" s="2816">
        <f>SUM(V$69:V89)</f>
        <v>9250</v>
      </c>
      <c r="J90" s="2816">
        <f>SUM(W$69:W89)</f>
        <v>9750</v>
      </c>
      <c r="K90" s="2816">
        <f>SUM(X$69:X89)</f>
        <v>10250</v>
      </c>
      <c r="L90" s="2816">
        <f>SUM(Y$69:Y89)</f>
        <v>10750</v>
      </c>
      <c r="M90" s="2816">
        <f>SUM(Z$69:Z89)</f>
        <v>11250</v>
      </c>
      <c r="N90" s="2817">
        <f>SUM(AA$69:AA89)</f>
        <v>11750</v>
      </c>
      <c r="O90" s="2818"/>
      <c r="P90" s="2823">
        <v>21</v>
      </c>
      <c r="Q90" s="2816">
        <f t="shared" si="4"/>
        <v>600</v>
      </c>
      <c r="R90" s="2816">
        <f t="shared" si="5"/>
        <v>625</v>
      </c>
      <c r="S90" s="2816">
        <f t="shared" si="6"/>
        <v>650</v>
      </c>
      <c r="T90" s="2816">
        <f t="shared" si="7"/>
        <v>675</v>
      </c>
      <c r="U90" s="2816">
        <f t="shared" si="8"/>
        <v>700</v>
      </c>
      <c r="V90" s="2816">
        <f t="shared" si="9"/>
        <v>725</v>
      </c>
      <c r="W90" s="2816">
        <f t="shared" si="10"/>
        <v>750</v>
      </c>
      <c r="X90" s="2816">
        <f t="shared" si="11"/>
        <v>775</v>
      </c>
      <c r="Y90" s="2816">
        <f t="shared" si="12"/>
        <v>800</v>
      </c>
      <c r="Z90" s="2816">
        <f t="shared" si="13"/>
        <v>825</v>
      </c>
      <c r="AA90" s="2817">
        <f t="shared" si="14"/>
        <v>850</v>
      </c>
    </row>
    <row r="91" spans="1:27" ht="12.75" customHeight="1" x14ac:dyDescent="0.2">
      <c r="A91" s="1915">
        <v>91</v>
      </c>
      <c r="B91" s="5148"/>
      <c r="C91" s="2823">
        <v>22</v>
      </c>
      <c r="D91" s="2816">
        <f>SUM(Q$69:Q90)</f>
        <v>7350</v>
      </c>
      <c r="E91" s="2816">
        <f>SUM(R$69:R90)</f>
        <v>7875</v>
      </c>
      <c r="F91" s="2816">
        <f>SUM(S$69:S90)</f>
        <v>8400</v>
      </c>
      <c r="G91" s="2816">
        <f>SUM(T$69:T90)</f>
        <v>8925</v>
      </c>
      <c r="H91" s="2816">
        <f>SUM(U$69:U90)</f>
        <v>9450</v>
      </c>
      <c r="I91" s="2816">
        <f>SUM(V$69:V90)</f>
        <v>9975</v>
      </c>
      <c r="J91" s="2816">
        <f>SUM(W$69:W90)</f>
        <v>10500</v>
      </c>
      <c r="K91" s="2816">
        <f>SUM(X$69:X90)</f>
        <v>11025</v>
      </c>
      <c r="L91" s="2816">
        <f>SUM(Y$69:Y90)</f>
        <v>11550</v>
      </c>
      <c r="M91" s="2816">
        <f>SUM(Z$69:Z90)</f>
        <v>12075</v>
      </c>
      <c r="N91" s="2817">
        <f>SUM(AA$69:AA90)</f>
        <v>12600</v>
      </c>
      <c r="O91" s="2818"/>
      <c r="P91" s="2823">
        <v>22</v>
      </c>
      <c r="Q91" s="2816">
        <f t="shared" si="4"/>
        <v>625</v>
      </c>
      <c r="R91" s="2816">
        <f t="shared" si="5"/>
        <v>650</v>
      </c>
      <c r="S91" s="2816">
        <f t="shared" si="6"/>
        <v>675</v>
      </c>
      <c r="T91" s="2816">
        <f t="shared" si="7"/>
        <v>700</v>
      </c>
      <c r="U91" s="2816">
        <f t="shared" si="8"/>
        <v>725</v>
      </c>
      <c r="V91" s="2816">
        <f t="shared" si="9"/>
        <v>750</v>
      </c>
      <c r="W91" s="2816">
        <f t="shared" si="10"/>
        <v>775</v>
      </c>
      <c r="X91" s="2816">
        <f t="shared" si="11"/>
        <v>800</v>
      </c>
      <c r="Y91" s="2816">
        <f t="shared" si="12"/>
        <v>825</v>
      </c>
      <c r="Z91" s="2816">
        <f t="shared" si="13"/>
        <v>850</v>
      </c>
      <c r="AA91" s="2817">
        <f t="shared" si="14"/>
        <v>875</v>
      </c>
    </row>
    <row r="92" spans="1:27" ht="12.75" customHeight="1" x14ac:dyDescent="0.2">
      <c r="A92" s="1915">
        <v>92</v>
      </c>
      <c r="B92" s="5148"/>
      <c r="C92" s="2823">
        <v>23</v>
      </c>
      <c r="D92" s="2816">
        <f>SUM(Q$69:Q91)</f>
        <v>7975</v>
      </c>
      <c r="E92" s="2816">
        <f>SUM(R$69:R91)</f>
        <v>8525</v>
      </c>
      <c r="F92" s="2816">
        <f>SUM(S$69:S91)</f>
        <v>9075</v>
      </c>
      <c r="G92" s="2816">
        <f>SUM(T$69:T91)</f>
        <v>9625</v>
      </c>
      <c r="H92" s="2816">
        <f>SUM(U$69:U91)</f>
        <v>10175</v>
      </c>
      <c r="I92" s="2816">
        <f>SUM(V$69:V91)</f>
        <v>10725</v>
      </c>
      <c r="J92" s="2816">
        <f>SUM(W$69:W91)</f>
        <v>11275</v>
      </c>
      <c r="K92" s="2816">
        <f>SUM(X$69:X91)</f>
        <v>11825</v>
      </c>
      <c r="L92" s="2816">
        <f>SUM(Y$69:Y91)</f>
        <v>12375</v>
      </c>
      <c r="M92" s="2816">
        <f>SUM(Z$69:Z91)</f>
        <v>12925</v>
      </c>
      <c r="N92" s="2817">
        <f>SUM(AA$69:AA91)</f>
        <v>13475</v>
      </c>
      <c r="O92" s="2818"/>
      <c r="P92" s="2823">
        <v>23</v>
      </c>
      <c r="Q92" s="2816">
        <f t="shared" si="4"/>
        <v>650</v>
      </c>
      <c r="R92" s="2816">
        <f t="shared" si="5"/>
        <v>675</v>
      </c>
      <c r="S92" s="2816">
        <f t="shared" si="6"/>
        <v>700</v>
      </c>
      <c r="T92" s="2816">
        <f t="shared" si="7"/>
        <v>725</v>
      </c>
      <c r="U92" s="2816">
        <f t="shared" si="8"/>
        <v>750</v>
      </c>
      <c r="V92" s="2816">
        <f t="shared" si="9"/>
        <v>775</v>
      </c>
      <c r="W92" s="2816">
        <f t="shared" si="10"/>
        <v>800</v>
      </c>
      <c r="X92" s="2816">
        <f t="shared" si="11"/>
        <v>825</v>
      </c>
      <c r="Y92" s="2816">
        <f t="shared" si="12"/>
        <v>850</v>
      </c>
      <c r="Z92" s="2816">
        <f t="shared" si="13"/>
        <v>875</v>
      </c>
      <c r="AA92" s="2817">
        <f t="shared" si="14"/>
        <v>900</v>
      </c>
    </row>
    <row r="93" spans="1:27" ht="12.75" customHeight="1" x14ac:dyDescent="0.2">
      <c r="A93" s="1915">
        <v>93</v>
      </c>
      <c r="B93" s="5148"/>
      <c r="C93" s="2823">
        <v>24</v>
      </c>
      <c r="D93" s="2816">
        <f>SUM(Q$69:Q92)</f>
        <v>8625</v>
      </c>
      <c r="E93" s="2816">
        <f>SUM(R$69:R92)</f>
        <v>9200</v>
      </c>
      <c r="F93" s="2816">
        <f>SUM(S$69:S92)</f>
        <v>9775</v>
      </c>
      <c r="G93" s="2816">
        <f>SUM(T$69:T92)</f>
        <v>10350</v>
      </c>
      <c r="H93" s="2816">
        <f>SUM(U$69:U92)</f>
        <v>10925</v>
      </c>
      <c r="I93" s="2816">
        <f>SUM(V$69:V92)</f>
        <v>11500</v>
      </c>
      <c r="J93" s="2816">
        <f>SUM(W$69:W92)</f>
        <v>12075</v>
      </c>
      <c r="K93" s="2816">
        <f>SUM(X$69:X92)</f>
        <v>12650</v>
      </c>
      <c r="L93" s="2816">
        <f>SUM(Y$69:Y92)</f>
        <v>13225</v>
      </c>
      <c r="M93" s="2816">
        <f>SUM(Z$69:Z92)</f>
        <v>13800</v>
      </c>
      <c r="N93" s="2817">
        <f>SUM(AA$69:AA92)</f>
        <v>14375</v>
      </c>
      <c r="O93" s="2818"/>
      <c r="P93" s="2823">
        <v>24</v>
      </c>
      <c r="Q93" s="2816">
        <f t="shared" si="4"/>
        <v>675</v>
      </c>
      <c r="R93" s="2816">
        <f t="shared" si="5"/>
        <v>700</v>
      </c>
      <c r="S93" s="2816">
        <f t="shared" si="6"/>
        <v>725</v>
      </c>
      <c r="T93" s="2816">
        <f t="shared" si="7"/>
        <v>750</v>
      </c>
      <c r="U93" s="2816">
        <f t="shared" si="8"/>
        <v>775</v>
      </c>
      <c r="V93" s="2816">
        <f t="shared" si="9"/>
        <v>800</v>
      </c>
      <c r="W93" s="2816">
        <f t="shared" si="10"/>
        <v>825</v>
      </c>
      <c r="X93" s="2816">
        <f t="shared" si="11"/>
        <v>850</v>
      </c>
      <c r="Y93" s="2816">
        <f t="shared" si="12"/>
        <v>875</v>
      </c>
      <c r="Z93" s="2816">
        <f t="shared" si="13"/>
        <v>900</v>
      </c>
      <c r="AA93" s="2817">
        <f t="shared" si="14"/>
        <v>925</v>
      </c>
    </row>
    <row r="94" spans="1:27" ht="12.75" customHeight="1" x14ac:dyDescent="0.2">
      <c r="A94" s="1916">
        <v>94</v>
      </c>
      <c r="B94" s="5148"/>
      <c r="C94" s="2823">
        <v>25</v>
      </c>
      <c r="D94" s="2816">
        <f>SUM(Q$69:Q93)</f>
        <v>9300</v>
      </c>
      <c r="E94" s="2816">
        <f>SUM(R$69:R93)</f>
        <v>9900</v>
      </c>
      <c r="F94" s="2816">
        <f>SUM(S$69:S93)</f>
        <v>10500</v>
      </c>
      <c r="G94" s="2816">
        <f>SUM(T$69:T93)</f>
        <v>11100</v>
      </c>
      <c r="H94" s="2816">
        <f>SUM(U$69:U93)</f>
        <v>11700</v>
      </c>
      <c r="I94" s="2816">
        <f>SUM(V$69:V93)</f>
        <v>12300</v>
      </c>
      <c r="J94" s="2816">
        <f>SUM(W$69:W93)</f>
        <v>12900</v>
      </c>
      <c r="K94" s="2816">
        <f>SUM(X$69:X93)</f>
        <v>13500</v>
      </c>
      <c r="L94" s="2816">
        <f>SUM(Y$69:Y93)</f>
        <v>14100</v>
      </c>
      <c r="M94" s="2816">
        <f>SUM(Z$69:Z93)</f>
        <v>14700</v>
      </c>
      <c r="N94" s="2817">
        <f>SUM(AA$69:AA93)</f>
        <v>15300</v>
      </c>
      <c r="O94" s="2818"/>
      <c r="P94" s="2823">
        <v>25</v>
      </c>
      <c r="Q94" s="2816">
        <f t="shared" si="4"/>
        <v>700</v>
      </c>
      <c r="R94" s="2816">
        <f t="shared" si="5"/>
        <v>725</v>
      </c>
      <c r="S94" s="2816">
        <f t="shared" si="6"/>
        <v>750</v>
      </c>
      <c r="T94" s="2816">
        <f t="shared" si="7"/>
        <v>775</v>
      </c>
      <c r="U94" s="2816">
        <f t="shared" si="8"/>
        <v>800</v>
      </c>
      <c r="V94" s="2816">
        <f t="shared" si="9"/>
        <v>825</v>
      </c>
      <c r="W94" s="2816">
        <f t="shared" si="10"/>
        <v>850</v>
      </c>
      <c r="X94" s="2816">
        <f t="shared" si="11"/>
        <v>875</v>
      </c>
      <c r="Y94" s="2816">
        <f t="shared" si="12"/>
        <v>900</v>
      </c>
      <c r="Z94" s="2816">
        <f t="shared" si="13"/>
        <v>925</v>
      </c>
      <c r="AA94" s="2817">
        <f t="shared" si="14"/>
        <v>950</v>
      </c>
    </row>
    <row r="95" spans="1:27" ht="12.75" customHeight="1" x14ac:dyDescent="0.2">
      <c r="A95" s="1916">
        <v>95</v>
      </c>
      <c r="B95" s="5148"/>
      <c r="C95" s="2823">
        <v>26</v>
      </c>
      <c r="D95" s="2816">
        <f>SUM(Q$69:Q94)</f>
        <v>10000</v>
      </c>
      <c r="E95" s="2816">
        <f>SUM(R$69:R94)</f>
        <v>10625</v>
      </c>
      <c r="F95" s="2816">
        <f>SUM(S$69:S94)</f>
        <v>11250</v>
      </c>
      <c r="G95" s="2816">
        <f>SUM(T$69:T94)</f>
        <v>11875</v>
      </c>
      <c r="H95" s="2816">
        <f>SUM(U$69:U94)</f>
        <v>12500</v>
      </c>
      <c r="I95" s="2816">
        <f>SUM(V$69:V94)</f>
        <v>13125</v>
      </c>
      <c r="J95" s="2816">
        <f>SUM(W$69:W94)</f>
        <v>13750</v>
      </c>
      <c r="K95" s="2816">
        <f>SUM(X$69:X94)</f>
        <v>14375</v>
      </c>
      <c r="L95" s="2816">
        <f>SUM(Y$69:Y94)</f>
        <v>15000</v>
      </c>
      <c r="M95" s="2816">
        <f>SUM(Z$69:Z94)</f>
        <v>15625</v>
      </c>
      <c r="N95" s="2817">
        <f>SUM(AA$69:AA94)</f>
        <v>16250</v>
      </c>
      <c r="O95" s="2818"/>
      <c r="P95" s="2823">
        <v>26</v>
      </c>
      <c r="Q95" s="2816">
        <f t="shared" si="4"/>
        <v>725</v>
      </c>
      <c r="R95" s="2816">
        <f t="shared" si="5"/>
        <v>750</v>
      </c>
      <c r="S95" s="2816">
        <f t="shared" si="6"/>
        <v>775</v>
      </c>
      <c r="T95" s="2816">
        <f t="shared" si="7"/>
        <v>800</v>
      </c>
      <c r="U95" s="2816">
        <f t="shared" si="8"/>
        <v>825</v>
      </c>
      <c r="V95" s="2816">
        <f t="shared" si="9"/>
        <v>850</v>
      </c>
      <c r="W95" s="2816">
        <f t="shared" si="10"/>
        <v>875</v>
      </c>
      <c r="X95" s="2816">
        <f t="shared" si="11"/>
        <v>900</v>
      </c>
      <c r="Y95" s="2816">
        <f t="shared" si="12"/>
        <v>925</v>
      </c>
      <c r="Z95" s="2816">
        <f t="shared" si="13"/>
        <v>950</v>
      </c>
      <c r="AA95" s="2817">
        <f t="shared" si="14"/>
        <v>975</v>
      </c>
    </row>
    <row r="96" spans="1:27" ht="12.75" customHeight="1" x14ac:dyDescent="0.2">
      <c r="A96" s="1916">
        <v>96</v>
      </c>
      <c r="B96" s="5148"/>
      <c r="C96" s="2823">
        <v>27</v>
      </c>
      <c r="D96" s="2816">
        <f>SUM(Q$69:Q95)</f>
        <v>10725</v>
      </c>
      <c r="E96" s="2816">
        <f>SUM(R$69:R95)</f>
        <v>11375</v>
      </c>
      <c r="F96" s="2816">
        <f>SUM(S$69:S95)</f>
        <v>12025</v>
      </c>
      <c r="G96" s="2816">
        <f>SUM(T$69:T95)</f>
        <v>12675</v>
      </c>
      <c r="H96" s="2816">
        <f>SUM(U$69:U95)</f>
        <v>13325</v>
      </c>
      <c r="I96" s="2816">
        <f>SUM(V$69:V95)</f>
        <v>13975</v>
      </c>
      <c r="J96" s="2816">
        <f>SUM(W$69:W95)</f>
        <v>14625</v>
      </c>
      <c r="K96" s="2816">
        <f>SUM(X$69:X95)</f>
        <v>15275</v>
      </c>
      <c r="L96" s="2816">
        <f>SUM(Y$69:Y95)</f>
        <v>15925</v>
      </c>
      <c r="M96" s="2816">
        <f>SUM(Z$69:Z95)</f>
        <v>16575</v>
      </c>
      <c r="N96" s="2817">
        <f>SUM(AA$69:AA95)</f>
        <v>17225</v>
      </c>
      <c r="O96" s="2818"/>
      <c r="P96" s="2823">
        <v>27</v>
      </c>
      <c r="Q96" s="2816">
        <f t="shared" si="4"/>
        <v>750</v>
      </c>
      <c r="R96" s="2816">
        <f t="shared" si="5"/>
        <v>775</v>
      </c>
      <c r="S96" s="2816">
        <f t="shared" si="6"/>
        <v>800</v>
      </c>
      <c r="T96" s="2816">
        <f t="shared" si="7"/>
        <v>825</v>
      </c>
      <c r="U96" s="2816">
        <f t="shared" si="8"/>
        <v>850</v>
      </c>
      <c r="V96" s="2816">
        <f t="shared" si="9"/>
        <v>875</v>
      </c>
      <c r="W96" s="2816">
        <f t="shared" si="10"/>
        <v>900</v>
      </c>
      <c r="X96" s="2816">
        <f t="shared" si="11"/>
        <v>925</v>
      </c>
      <c r="Y96" s="2816">
        <f t="shared" si="12"/>
        <v>950</v>
      </c>
      <c r="Z96" s="2816">
        <f t="shared" si="13"/>
        <v>975</v>
      </c>
      <c r="AA96" s="2817">
        <f t="shared" si="14"/>
        <v>1000</v>
      </c>
    </row>
    <row r="97" spans="1:109" ht="12.75" customHeight="1" x14ac:dyDescent="0.2">
      <c r="A97" s="1916">
        <v>97</v>
      </c>
      <c r="B97" s="5148"/>
      <c r="C97" s="2823">
        <v>28</v>
      </c>
      <c r="D97" s="2816">
        <f>SUM(Q$69:Q96)</f>
        <v>11475</v>
      </c>
      <c r="E97" s="2816">
        <f>SUM(R$69:R96)</f>
        <v>12150</v>
      </c>
      <c r="F97" s="2816">
        <f>SUM(S$69:S96)</f>
        <v>12825</v>
      </c>
      <c r="G97" s="2816">
        <f>SUM(T$69:T96)</f>
        <v>13500</v>
      </c>
      <c r="H97" s="2816">
        <f>SUM(U$69:U96)</f>
        <v>14175</v>
      </c>
      <c r="I97" s="2816">
        <f>SUM(V$69:V96)</f>
        <v>14850</v>
      </c>
      <c r="J97" s="2816">
        <f>SUM(W$69:W96)</f>
        <v>15525</v>
      </c>
      <c r="K97" s="2816">
        <f>SUM(X$69:X96)</f>
        <v>16200</v>
      </c>
      <c r="L97" s="2816">
        <f>SUM(Y$69:Y96)</f>
        <v>16875</v>
      </c>
      <c r="M97" s="2816">
        <f>SUM(Z$69:Z96)</f>
        <v>17550</v>
      </c>
      <c r="N97" s="2817">
        <f>SUM(AA$69:AA96)</f>
        <v>18225</v>
      </c>
      <c r="O97" s="2818"/>
      <c r="P97" s="2823">
        <v>28</v>
      </c>
      <c r="Q97" s="2816">
        <f t="shared" si="4"/>
        <v>775</v>
      </c>
      <c r="R97" s="2816">
        <f t="shared" si="5"/>
        <v>800</v>
      </c>
      <c r="S97" s="2816">
        <f t="shared" si="6"/>
        <v>825</v>
      </c>
      <c r="T97" s="2816">
        <f t="shared" si="7"/>
        <v>850</v>
      </c>
      <c r="U97" s="2816">
        <f t="shared" si="8"/>
        <v>875</v>
      </c>
      <c r="V97" s="2816">
        <f t="shared" si="9"/>
        <v>900</v>
      </c>
      <c r="W97" s="2816">
        <f t="shared" si="10"/>
        <v>925</v>
      </c>
      <c r="X97" s="2816">
        <f t="shared" si="11"/>
        <v>950</v>
      </c>
      <c r="Y97" s="2816">
        <f t="shared" si="12"/>
        <v>975</v>
      </c>
      <c r="Z97" s="2816">
        <f t="shared" si="13"/>
        <v>1000</v>
      </c>
      <c r="AA97" s="2817">
        <f t="shared" si="14"/>
        <v>1025</v>
      </c>
    </row>
    <row r="98" spans="1:109" ht="12.75" customHeight="1" x14ac:dyDescent="0.2">
      <c r="A98" s="1916">
        <v>98</v>
      </c>
      <c r="B98" s="5148"/>
      <c r="C98" s="2823">
        <v>29</v>
      </c>
      <c r="D98" s="2816">
        <f>SUM(Q$69:Q97)</f>
        <v>12250</v>
      </c>
      <c r="E98" s="2816">
        <f>SUM(R$69:R97)</f>
        <v>12950</v>
      </c>
      <c r="F98" s="2816">
        <f>SUM(S$69:S97)</f>
        <v>13650</v>
      </c>
      <c r="G98" s="2816">
        <f>SUM(T$69:T97)</f>
        <v>14350</v>
      </c>
      <c r="H98" s="2816">
        <f>SUM(U$69:U97)</f>
        <v>15050</v>
      </c>
      <c r="I98" s="2816">
        <f>SUM(V$69:V97)</f>
        <v>15750</v>
      </c>
      <c r="J98" s="2816">
        <f>SUM(W$69:W97)</f>
        <v>16450</v>
      </c>
      <c r="K98" s="2816">
        <f>SUM(X$69:X97)</f>
        <v>17150</v>
      </c>
      <c r="L98" s="2816">
        <f>SUM(Y$69:Y97)</f>
        <v>17850</v>
      </c>
      <c r="M98" s="2816">
        <f>SUM(Z$69:Z97)</f>
        <v>18550</v>
      </c>
      <c r="N98" s="2817">
        <f>SUM(AA$69:AA97)</f>
        <v>19250</v>
      </c>
      <c r="O98" s="2818"/>
      <c r="P98" s="2823">
        <v>29</v>
      </c>
      <c r="Q98" s="2816">
        <f t="shared" si="4"/>
        <v>800</v>
      </c>
      <c r="R98" s="2816">
        <f t="shared" si="5"/>
        <v>825</v>
      </c>
      <c r="S98" s="2816">
        <f t="shared" si="6"/>
        <v>850</v>
      </c>
      <c r="T98" s="2816">
        <f t="shared" si="7"/>
        <v>875</v>
      </c>
      <c r="U98" s="2816">
        <f t="shared" si="8"/>
        <v>900</v>
      </c>
      <c r="V98" s="2816">
        <f t="shared" si="9"/>
        <v>925</v>
      </c>
      <c r="W98" s="2816">
        <f t="shared" si="10"/>
        <v>950</v>
      </c>
      <c r="X98" s="2816">
        <f t="shared" si="11"/>
        <v>975</v>
      </c>
      <c r="Y98" s="2816">
        <f t="shared" si="12"/>
        <v>1000</v>
      </c>
      <c r="Z98" s="2816">
        <f t="shared" si="13"/>
        <v>1025</v>
      </c>
      <c r="AA98" s="2817">
        <f t="shared" si="14"/>
        <v>1050</v>
      </c>
    </row>
    <row r="99" spans="1:109" ht="12.75" customHeight="1" thickBot="1" x14ac:dyDescent="0.25">
      <c r="A99" s="1916">
        <v>99</v>
      </c>
      <c r="B99" s="5148"/>
      <c r="C99" s="2824">
        <v>30</v>
      </c>
      <c r="D99" s="2819">
        <f>SUM(Q$69:Q98)</f>
        <v>13050</v>
      </c>
      <c r="E99" s="2819">
        <f>SUM(R$69:R98)</f>
        <v>13775</v>
      </c>
      <c r="F99" s="2819">
        <f>SUM(S$69:S98)</f>
        <v>14500</v>
      </c>
      <c r="G99" s="2819">
        <f>SUM(T$69:T98)</f>
        <v>15225</v>
      </c>
      <c r="H99" s="2819">
        <f>SUM(U$69:U98)</f>
        <v>15950</v>
      </c>
      <c r="I99" s="2819">
        <f>SUM(V$69:V98)</f>
        <v>16675</v>
      </c>
      <c r="J99" s="2819">
        <f>SUM(W$69:W98)</f>
        <v>17400</v>
      </c>
      <c r="K99" s="2819">
        <f>SUM(X$69:X98)</f>
        <v>18125</v>
      </c>
      <c r="L99" s="2819">
        <f>SUM(Y$69:Y98)</f>
        <v>18850</v>
      </c>
      <c r="M99" s="2819">
        <f>SUM(Z$69:Z98)</f>
        <v>19575</v>
      </c>
      <c r="N99" s="2820">
        <f>SUM(AA$69:AA98)</f>
        <v>20300</v>
      </c>
      <c r="O99" s="2818"/>
      <c r="P99" s="2824">
        <v>30</v>
      </c>
      <c r="Q99" s="2819">
        <f t="shared" si="4"/>
        <v>825</v>
      </c>
      <c r="R99" s="2819">
        <f t="shared" si="5"/>
        <v>850</v>
      </c>
      <c r="S99" s="2819">
        <f t="shared" si="6"/>
        <v>875</v>
      </c>
      <c r="T99" s="2819">
        <f t="shared" si="7"/>
        <v>900</v>
      </c>
      <c r="U99" s="2819">
        <f t="shared" si="8"/>
        <v>925</v>
      </c>
      <c r="V99" s="2819">
        <f t="shared" si="9"/>
        <v>950</v>
      </c>
      <c r="W99" s="2819">
        <f t="shared" si="10"/>
        <v>975</v>
      </c>
      <c r="X99" s="2819">
        <f t="shared" si="11"/>
        <v>1000</v>
      </c>
      <c r="Y99" s="2819">
        <f t="shared" si="12"/>
        <v>1025</v>
      </c>
      <c r="Z99" s="2819">
        <f t="shared" si="13"/>
        <v>1050</v>
      </c>
      <c r="AA99" s="2820">
        <f t="shared" si="14"/>
        <v>1075</v>
      </c>
    </row>
    <row r="100" spans="1:109" ht="12.75" customHeight="1" x14ac:dyDescent="0.2">
      <c r="A100" s="1916">
        <v>100</v>
      </c>
      <c r="B100" s="5148"/>
    </row>
    <row r="101" spans="1:109" ht="12.75" customHeight="1" x14ac:dyDescent="0.2">
      <c r="A101" s="1916">
        <v>101</v>
      </c>
      <c r="B101" s="5148"/>
      <c r="C101" s="5143" t="s">
        <v>8944</v>
      </c>
      <c r="D101" s="5143"/>
      <c r="E101" s="5143"/>
      <c r="F101" s="5143"/>
      <c r="G101" s="5143"/>
      <c r="H101" s="5143"/>
      <c r="I101" s="5143"/>
      <c r="J101" s="5143"/>
      <c r="K101" s="5143"/>
      <c r="L101" s="5143"/>
      <c r="M101" s="5143"/>
      <c r="N101" s="5143"/>
      <c r="O101" s="5143"/>
      <c r="P101" s="5143"/>
      <c r="Q101" s="5143"/>
      <c r="R101" s="5143"/>
      <c r="S101" s="5143"/>
      <c r="T101" s="5143"/>
      <c r="U101" s="5143"/>
      <c r="V101" s="5143"/>
      <c r="W101" s="5143"/>
      <c r="X101" s="5143"/>
      <c r="Y101" s="5143"/>
      <c r="Z101" s="5143"/>
      <c r="AA101" s="5143"/>
      <c r="AB101" s="5143"/>
      <c r="AC101" s="5143"/>
      <c r="AD101" s="5143"/>
      <c r="AE101" s="5143"/>
      <c r="AF101" s="5143"/>
      <c r="AG101" s="5143"/>
      <c r="AH101" s="5143"/>
      <c r="AI101" s="5143"/>
      <c r="AJ101" s="5143"/>
      <c r="AK101" s="5143"/>
      <c r="AL101" s="5143"/>
      <c r="AM101" s="5143"/>
      <c r="AN101" s="5143"/>
      <c r="AO101" s="5143"/>
      <c r="AP101" s="5143"/>
      <c r="AQ101" s="5143"/>
      <c r="AR101" s="5143"/>
      <c r="AS101" s="5143"/>
      <c r="AT101" s="5143"/>
      <c r="AU101" s="5143"/>
      <c r="AV101" s="5143"/>
      <c r="AW101" s="5143"/>
      <c r="AX101" s="5143"/>
      <c r="AY101" s="5143"/>
      <c r="AZ101" s="5143"/>
      <c r="BA101" s="5143"/>
      <c r="BB101" s="5143"/>
      <c r="BC101" s="5143"/>
      <c r="BD101" s="5143"/>
      <c r="BE101" s="5143"/>
      <c r="BF101" s="5143"/>
      <c r="BG101" s="5143"/>
      <c r="BH101" s="5143"/>
      <c r="BI101" s="5143"/>
      <c r="BJ101" s="5143"/>
      <c r="BK101" s="5143"/>
      <c r="BL101" s="5143"/>
      <c r="BM101" s="5143"/>
      <c r="BN101" s="5143"/>
      <c r="BO101" s="5143"/>
      <c r="BP101" s="5143"/>
      <c r="BQ101" s="5143"/>
      <c r="BR101" s="5143"/>
      <c r="BS101" s="5143"/>
      <c r="BT101" s="5143"/>
      <c r="BU101" s="5143"/>
      <c r="BV101" s="5143"/>
      <c r="BW101" s="5143"/>
      <c r="BX101" s="5143"/>
      <c r="BY101" s="5143"/>
      <c r="BZ101" s="5143"/>
      <c r="CA101" s="5143"/>
      <c r="CB101" s="5143"/>
      <c r="CC101" s="5143"/>
      <c r="CD101" s="5143"/>
      <c r="CE101" s="5143"/>
      <c r="CF101" s="5143"/>
      <c r="CG101" s="5143"/>
      <c r="CH101" s="5143"/>
      <c r="CI101" s="5143"/>
      <c r="CJ101" s="5143"/>
      <c r="CK101" s="5143"/>
      <c r="CL101" s="5143"/>
      <c r="CM101" s="5143"/>
      <c r="CN101" s="5143"/>
      <c r="CO101" s="5143"/>
      <c r="CP101" s="5143"/>
      <c r="CQ101" s="5143"/>
      <c r="CR101" s="5143"/>
      <c r="CS101" s="5143"/>
      <c r="CT101" s="5143"/>
      <c r="CU101" s="5143"/>
      <c r="CV101" s="5143"/>
      <c r="CW101" s="5143"/>
      <c r="CX101" s="5143"/>
      <c r="CY101" s="5143"/>
      <c r="CZ101" s="5143"/>
      <c r="DA101" s="5143"/>
      <c r="DB101" s="5143"/>
      <c r="DC101" s="5143"/>
      <c r="DD101" s="5143"/>
      <c r="DE101" s="5143"/>
    </row>
    <row r="102" spans="1:109" ht="12.75" customHeight="1" x14ac:dyDescent="0.2">
      <c r="A102" s="1916">
        <v>102</v>
      </c>
      <c r="B102" s="5148"/>
      <c r="C102" s="5143"/>
      <c r="D102" s="5143"/>
      <c r="E102" s="5143"/>
      <c r="F102" s="5143"/>
      <c r="G102" s="5143"/>
      <c r="H102" s="5143"/>
      <c r="I102" s="5143"/>
      <c r="J102" s="5143"/>
      <c r="K102" s="5143"/>
      <c r="L102" s="5143"/>
      <c r="M102" s="5143"/>
      <c r="N102" s="5143"/>
      <c r="O102" s="5143"/>
      <c r="P102" s="5143"/>
      <c r="Q102" s="5143"/>
      <c r="R102" s="5143"/>
      <c r="S102" s="5143"/>
      <c r="T102" s="5143"/>
      <c r="U102" s="5143"/>
      <c r="V102" s="5143"/>
      <c r="W102" s="5143"/>
      <c r="X102" s="5143"/>
      <c r="Y102" s="5143"/>
      <c r="Z102" s="5143"/>
      <c r="AA102" s="5143"/>
      <c r="AB102" s="5143"/>
      <c r="AC102" s="5143"/>
      <c r="AD102" s="5143"/>
      <c r="AE102" s="5143"/>
      <c r="AF102" s="5143"/>
      <c r="AG102" s="5143"/>
      <c r="AH102" s="5143"/>
      <c r="AI102" s="5143"/>
      <c r="AJ102" s="5143"/>
      <c r="AK102" s="5143"/>
      <c r="AL102" s="5143"/>
      <c r="AM102" s="5143"/>
      <c r="AN102" s="5143"/>
      <c r="AO102" s="5143"/>
      <c r="AP102" s="5143"/>
      <c r="AQ102" s="5143"/>
      <c r="AR102" s="5143"/>
      <c r="AS102" s="5143"/>
      <c r="AT102" s="5143"/>
      <c r="AU102" s="5143"/>
      <c r="AV102" s="5143"/>
      <c r="AW102" s="5143"/>
      <c r="AX102" s="5143"/>
      <c r="AY102" s="5143"/>
      <c r="AZ102" s="5143"/>
      <c r="BA102" s="5143"/>
      <c r="BB102" s="5143"/>
      <c r="BC102" s="5143"/>
      <c r="BD102" s="5143"/>
      <c r="BE102" s="5143"/>
      <c r="BF102" s="5143"/>
      <c r="BG102" s="5143"/>
      <c r="BH102" s="5143"/>
      <c r="BI102" s="5143"/>
      <c r="BJ102" s="5143"/>
      <c r="BK102" s="5143"/>
      <c r="BL102" s="5143"/>
      <c r="BM102" s="5143"/>
      <c r="BN102" s="5143"/>
      <c r="BO102" s="5143"/>
      <c r="BP102" s="5143"/>
      <c r="BQ102" s="5143"/>
      <c r="BR102" s="5143"/>
      <c r="BS102" s="5143"/>
      <c r="BT102" s="5143"/>
      <c r="BU102" s="5143"/>
      <c r="BV102" s="5143"/>
      <c r="BW102" s="5143"/>
      <c r="BX102" s="5143"/>
      <c r="BY102" s="5143"/>
      <c r="BZ102" s="5143"/>
      <c r="CA102" s="5143"/>
      <c r="CB102" s="5143"/>
      <c r="CC102" s="5143"/>
      <c r="CD102" s="5143"/>
      <c r="CE102" s="5143"/>
      <c r="CF102" s="5143"/>
      <c r="CG102" s="5143"/>
      <c r="CH102" s="5143"/>
      <c r="CI102" s="5143"/>
      <c r="CJ102" s="5143"/>
      <c r="CK102" s="5143"/>
      <c r="CL102" s="5143"/>
      <c r="CM102" s="5143"/>
      <c r="CN102" s="5143"/>
      <c r="CO102" s="5143"/>
      <c r="CP102" s="5143"/>
      <c r="CQ102" s="5143"/>
      <c r="CR102" s="5143"/>
      <c r="CS102" s="5143"/>
      <c r="CT102" s="5143"/>
      <c r="CU102" s="5143"/>
      <c r="CV102" s="5143"/>
      <c r="CW102" s="5143"/>
      <c r="CX102" s="5143"/>
      <c r="CY102" s="5143"/>
      <c r="CZ102" s="5143"/>
      <c r="DA102" s="5143"/>
      <c r="DB102" s="5143"/>
      <c r="DC102" s="5143"/>
      <c r="DD102" s="5143"/>
      <c r="DE102" s="5143"/>
    </row>
    <row r="103" spans="1:109" ht="12.75" customHeight="1" x14ac:dyDescent="0.2">
      <c r="A103" s="1916">
        <v>103</v>
      </c>
      <c r="B103" s="5148"/>
      <c r="C103" s="5143"/>
      <c r="D103" s="5143"/>
      <c r="E103" s="5143"/>
      <c r="F103" s="5143"/>
      <c r="G103" s="5143"/>
      <c r="H103" s="5143"/>
      <c r="I103" s="5143"/>
      <c r="J103" s="5143"/>
      <c r="K103" s="5143"/>
      <c r="L103" s="5143"/>
      <c r="M103" s="5143"/>
      <c r="N103" s="5143"/>
      <c r="O103" s="5143"/>
      <c r="P103" s="5143"/>
      <c r="Q103" s="5143"/>
      <c r="R103" s="5143"/>
      <c r="S103" s="5143"/>
      <c r="T103" s="5143"/>
      <c r="U103" s="5143"/>
      <c r="V103" s="5143"/>
      <c r="W103" s="5143"/>
      <c r="X103" s="5143"/>
      <c r="Y103" s="5143"/>
      <c r="Z103" s="5143"/>
      <c r="AA103" s="5143"/>
      <c r="AB103" s="5143"/>
      <c r="AC103" s="5143"/>
      <c r="AD103" s="5143"/>
      <c r="AE103" s="5143"/>
      <c r="AF103" s="5143"/>
      <c r="AG103" s="5143"/>
      <c r="AH103" s="5143"/>
      <c r="AI103" s="5143"/>
      <c r="AJ103" s="5143"/>
      <c r="AK103" s="5143"/>
      <c r="AL103" s="5143"/>
      <c r="AM103" s="5143"/>
      <c r="AN103" s="5143"/>
      <c r="AO103" s="5143"/>
      <c r="AP103" s="5143"/>
      <c r="AQ103" s="5143"/>
      <c r="AR103" s="5143"/>
      <c r="AS103" s="5143"/>
      <c r="AT103" s="5143"/>
      <c r="AU103" s="5143"/>
      <c r="AV103" s="5143"/>
      <c r="AW103" s="5143"/>
      <c r="AX103" s="5143"/>
      <c r="AY103" s="5143"/>
      <c r="AZ103" s="5143"/>
      <c r="BA103" s="5143"/>
      <c r="BB103" s="5143"/>
      <c r="BC103" s="5143"/>
      <c r="BD103" s="5143"/>
      <c r="BE103" s="5143"/>
      <c r="BF103" s="5143"/>
      <c r="BG103" s="5143"/>
      <c r="BH103" s="5143"/>
      <c r="BI103" s="5143"/>
      <c r="BJ103" s="5143"/>
      <c r="BK103" s="5143"/>
      <c r="BL103" s="5143"/>
      <c r="BM103" s="5143"/>
      <c r="BN103" s="5143"/>
      <c r="BO103" s="5143"/>
      <c r="BP103" s="5143"/>
      <c r="BQ103" s="5143"/>
      <c r="BR103" s="5143"/>
      <c r="BS103" s="5143"/>
      <c r="BT103" s="5143"/>
      <c r="BU103" s="5143"/>
      <c r="BV103" s="5143"/>
      <c r="BW103" s="5143"/>
      <c r="BX103" s="5143"/>
      <c r="BY103" s="5143"/>
      <c r="BZ103" s="5143"/>
      <c r="CA103" s="5143"/>
      <c r="CB103" s="5143"/>
      <c r="CC103" s="5143"/>
      <c r="CD103" s="5143"/>
      <c r="CE103" s="5143"/>
      <c r="CF103" s="5143"/>
      <c r="CG103" s="5143"/>
      <c r="CH103" s="5143"/>
      <c r="CI103" s="5143"/>
      <c r="CJ103" s="5143"/>
      <c r="CK103" s="5143"/>
      <c r="CL103" s="5143"/>
      <c r="CM103" s="5143"/>
      <c r="CN103" s="5143"/>
      <c r="CO103" s="5143"/>
      <c r="CP103" s="5143"/>
      <c r="CQ103" s="5143"/>
      <c r="CR103" s="5143"/>
      <c r="CS103" s="5143"/>
      <c r="CT103" s="5143"/>
      <c r="CU103" s="5143"/>
      <c r="CV103" s="5143"/>
      <c r="CW103" s="5143"/>
      <c r="CX103" s="5143"/>
      <c r="CY103" s="5143"/>
      <c r="CZ103" s="5143"/>
      <c r="DA103" s="5143"/>
      <c r="DB103" s="5143"/>
      <c r="DC103" s="5143"/>
      <c r="DD103" s="5143"/>
      <c r="DE103" s="5143"/>
    </row>
    <row r="104" spans="1:109" ht="12.75" customHeight="1" thickBot="1" x14ac:dyDescent="0.25">
      <c r="A104" s="1916">
        <v>104</v>
      </c>
      <c r="B104" s="5148"/>
      <c r="H104" s="363"/>
      <c r="N104" s="363"/>
    </row>
    <row r="105" spans="1:109" ht="12.75" customHeight="1" thickBot="1" x14ac:dyDescent="0.25">
      <c r="A105" s="1916">
        <v>105</v>
      </c>
      <c r="B105" s="5148"/>
      <c r="C105" s="3248" t="s">
        <v>2265</v>
      </c>
      <c r="D105" s="3248"/>
      <c r="F105" s="3248" t="s">
        <v>2291</v>
      </c>
      <c r="G105" s="3248"/>
      <c r="H105" s="363"/>
      <c r="I105" s="5219" t="s">
        <v>2234</v>
      </c>
      <c r="J105" s="5220"/>
      <c r="K105" s="5220"/>
      <c r="L105" s="5220"/>
      <c r="M105" s="5220"/>
      <c r="N105" s="5220"/>
      <c r="O105" s="5220"/>
      <c r="P105" s="5220"/>
      <c r="Q105" s="5220"/>
      <c r="R105" s="5220"/>
      <c r="S105" s="5220"/>
      <c r="T105" s="5220"/>
      <c r="U105" s="5220"/>
      <c r="V105" s="5220"/>
      <c r="W105" s="5220"/>
      <c r="X105" s="5220"/>
      <c r="Y105" s="5220"/>
      <c r="Z105" s="5220"/>
      <c r="AA105" s="5220"/>
      <c r="AB105" s="5220"/>
      <c r="AC105" s="5220"/>
      <c r="AD105" s="5220"/>
      <c r="AE105" s="5220"/>
      <c r="AF105" s="5220"/>
      <c r="AG105" s="5220"/>
      <c r="AH105" s="5220"/>
      <c r="AI105" s="5220"/>
      <c r="AJ105" s="5220"/>
      <c r="AK105" s="5220"/>
      <c r="AL105" s="5220"/>
      <c r="AM105" s="5220"/>
      <c r="AN105" s="5220"/>
      <c r="AO105" s="5220"/>
      <c r="AP105" s="5220"/>
      <c r="AQ105" s="5220"/>
      <c r="AR105" s="5220"/>
      <c r="AS105" s="5220"/>
      <c r="AT105" s="5220"/>
      <c r="AU105" s="5220"/>
      <c r="AV105" s="5220"/>
      <c r="AW105" s="5220"/>
      <c r="AX105" s="5220"/>
      <c r="AY105" s="5220"/>
      <c r="AZ105" s="5220"/>
      <c r="BA105" s="5220"/>
      <c r="BB105" s="5220"/>
      <c r="BC105" s="5220"/>
      <c r="BD105" s="5220"/>
      <c r="BE105" s="5220"/>
      <c r="BF105" s="5220"/>
      <c r="BG105" s="5220"/>
      <c r="BH105" s="5220"/>
      <c r="BI105" s="5220"/>
      <c r="BJ105" s="5220"/>
      <c r="BK105" s="5220"/>
      <c r="BL105" s="5221"/>
    </row>
    <row r="106" spans="1:109" ht="12.75" customHeight="1" thickBot="1" x14ac:dyDescent="0.25">
      <c r="A106" s="1916">
        <v>106</v>
      </c>
      <c r="B106" s="5148"/>
      <c r="C106" s="3248"/>
      <c r="D106" s="3248"/>
      <c r="F106" s="3248"/>
      <c r="G106" s="3248"/>
      <c r="H106" s="363"/>
      <c r="I106" s="5222"/>
      <c r="J106" s="5216"/>
      <c r="K106" s="5216"/>
      <c r="L106" s="5216"/>
      <c r="M106" s="5216"/>
      <c r="N106" s="5216"/>
      <c r="O106" s="5216"/>
      <c r="P106" s="5216"/>
      <c r="Q106" s="5216"/>
      <c r="R106" s="5216"/>
      <c r="S106" s="5216"/>
      <c r="T106" s="5216"/>
      <c r="U106" s="5216"/>
      <c r="V106" s="5216"/>
      <c r="W106" s="5216"/>
      <c r="X106" s="5216"/>
      <c r="Y106" s="5216"/>
      <c r="Z106" s="5216"/>
      <c r="AA106" s="5216"/>
      <c r="AB106" s="5216"/>
      <c r="AC106" s="5216"/>
      <c r="AD106" s="5216"/>
      <c r="AE106" s="5216"/>
      <c r="AF106" s="5216"/>
      <c r="AG106" s="5216"/>
      <c r="AH106" s="5216"/>
      <c r="AI106" s="5216"/>
      <c r="AJ106" s="5216"/>
      <c r="AK106" s="5216"/>
      <c r="AL106" s="5216"/>
      <c r="AM106" s="5216"/>
      <c r="AN106" s="5216"/>
      <c r="AO106" s="5216"/>
      <c r="AP106" s="5216"/>
      <c r="AQ106" s="5216"/>
      <c r="AR106" s="5216"/>
      <c r="AS106" s="5216"/>
      <c r="AT106" s="5216"/>
      <c r="AU106" s="5216"/>
      <c r="AV106" s="5216"/>
      <c r="AW106" s="5216"/>
      <c r="AX106" s="5216"/>
      <c r="AY106" s="5216"/>
      <c r="AZ106" s="5216"/>
      <c r="BA106" s="5216"/>
      <c r="BB106" s="5216"/>
      <c r="BC106" s="5216"/>
      <c r="BD106" s="5216"/>
      <c r="BE106" s="5216"/>
      <c r="BF106" s="5216"/>
      <c r="BG106" s="5216"/>
      <c r="BH106" s="5216"/>
      <c r="BI106" s="5216"/>
      <c r="BJ106" s="5216"/>
      <c r="BK106" s="5216"/>
      <c r="BL106" s="5223"/>
    </row>
    <row r="107" spans="1:109" ht="13.5" customHeight="1" x14ac:dyDescent="0.2">
      <c r="A107" s="1916">
        <v>107</v>
      </c>
      <c r="B107" s="5148"/>
      <c r="C107" s="377" t="s">
        <v>2266</v>
      </c>
      <c r="D107" s="68"/>
      <c r="F107" s="379" t="s">
        <v>2292</v>
      </c>
      <c r="G107" s="234">
        <f>IF(General!$N$23=Tablas!F107,1,0)</f>
        <v>0</v>
      </c>
      <c r="H107" s="363"/>
      <c r="I107" s="3038"/>
      <c r="J107" s="3039">
        <v>1</v>
      </c>
      <c r="K107" s="3039">
        <v>2</v>
      </c>
      <c r="L107" s="3039">
        <v>3</v>
      </c>
      <c r="M107" s="3039">
        <v>4</v>
      </c>
      <c r="N107" s="3039">
        <v>5</v>
      </c>
      <c r="O107" s="3042">
        <v>6</v>
      </c>
      <c r="P107" s="3039">
        <v>7</v>
      </c>
      <c r="Q107" s="3039">
        <v>8</v>
      </c>
      <c r="R107" s="3043">
        <v>9</v>
      </c>
      <c r="S107" s="3043">
        <v>10</v>
      </c>
      <c r="T107" s="3043">
        <v>11</v>
      </c>
      <c r="U107" s="2003">
        <v>12</v>
      </c>
      <c r="V107" s="3043">
        <v>13</v>
      </c>
      <c r="W107" s="3043">
        <v>14</v>
      </c>
      <c r="X107" s="3043">
        <v>15</v>
      </c>
      <c r="Y107" s="3043">
        <v>16</v>
      </c>
      <c r="Z107" s="3043">
        <v>17</v>
      </c>
      <c r="AA107" s="3043">
        <v>18</v>
      </c>
      <c r="AB107" s="3043">
        <v>19</v>
      </c>
      <c r="AC107" s="5224">
        <v>20</v>
      </c>
      <c r="AD107" s="5224"/>
      <c r="AE107" s="3043"/>
      <c r="AF107" s="5224"/>
      <c r="AG107" s="5224"/>
      <c r="AH107" s="3043"/>
      <c r="AI107" s="5224"/>
      <c r="AJ107" s="5224"/>
      <c r="AK107" s="3043"/>
      <c r="AL107" s="5224"/>
      <c r="AM107" s="5224"/>
      <c r="AN107" s="3043"/>
      <c r="AO107" s="5224"/>
      <c r="AP107" s="5224"/>
      <c r="AQ107" s="3043"/>
      <c r="AR107" s="5224"/>
      <c r="AS107" s="5224"/>
      <c r="AT107" s="3043"/>
      <c r="AU107" s="5224"/>
      <c r="AV107" s="5224"/>
      <c r="AW107" s="3043"/>
      <c r="AX107" s="5224"/>
      <c r="AY107" s="5224"/>
      <c r="AZ107" s="3043"/>
      <c r="BA107" s="5224"/>
      <c r="BB107" s="5224"/>
      <c r="BC107" s="3043"/>
      <c r="BD107" s="5224"/>
      <c r="BE107" s="5224"/>
      <c r="BF107" s="3043"/>
      <c r="BG107" s="5224"/>
      <c r="BH107" s="5224"/>
      <c r="BI107" s="3043"/>
      <c r="BJ107" s="5224"/>
      <c r="BK107" s="5224"/>
      <c r="BL107" s="2877"/>
    </row>
    <row r="108" spans="1:109" ht="12.75" customHeight="1" thickBot="1" x14ac:dyDescent="0.25">
      <c r="A108" s="1916">
        <v>108</v>
      </c>
      <c r="B108" s="5148"/>
      <c r="C108" s="378" t="s">
        <v>2268</v>
      </c>
      <c r="D108" s="180"/>
      <c r="F108" s="378" t="s">
        <v>2293</v>
      </c>
      <c r="G108" s="180"/>
      <c r="H108" s="363"/>
      <c r="I108" s="3044" t="s">
        <v>8817</v>
      </c>
      <c r="J108" s="3040" t="s">
        <v>1763</v>
      </c>
      <c r="K108" s="3040" t="s">
        <v>1769</v>
      </c>
      <c r="L108" s="3040" t="s">
        <v>1771</v>
      </c>
      <c r="M108" s="3040" t="s">
        <v>1773</v>
      </c>
      <c r="N108" s="3040" t="s">
        <v>1775</v>
      </c>
      <c r="O108" s="1737" t="s">
        <v>1777</v>
      </c>
      <c r="P108" s="3040" t="s">
        <v>2235</v>
      </c>
      <c r="Q108" s="3040" t="s">
        <v>1682</v>
      </c>
      <c r="R108" s="3040" t="s">
        <v>1809</v>
      </c>
      <c r="S108" s="3040" t="s">
        <v>1687</v>
      </c>
      <c r="T108" s="3040" t="s">
        <v>1692</v>
      </c>
      <c r="U108" s="1737" t="s">
        <v>1695</v>
      </c>
      <c r="V108" s="3040" t="s">
        <v>1698</v>
      </c>
      <c r="W108" s="3040" t="s">
        <v>1700</v>
      </c>
      <c r="X108" s="3040" t="s">
        <v>1701</v>
      </c>
      <c r="Y108" s="3040" t="s">
        <v>2236</v>
      </c>
      <c r="Z108" s="3040" t="s">
        <v>1677</v>
      </c>
      <c r="AA108" s="3040" t="s">
        <v>1697</v>
      </c>
      <c r="AB108" s="3040" t="s">
        <v>2237</v>
      </c>
      <c r="AC108" s="5156" t="s">
        <v>10137</v>
      </c>
      <c r="AD108" s="5156"/>
      <c r="AE108" s="3040"/>
      <c r="AF108" s="5156"/>
      <c r="AG108" s="5156"/>
      <c r="AH108" s="3040"/>
      <c r="AI108" s="5156"/>
      <c r="AJ108" s="5156"/>
      <c r="AK108" s="3040"/>
      <c r="AL108" s="5156"/>
      <c r="AM108" s="5156"/>
      <c r="AN108" s="3040"/>
      <c r="AO108" s="5156"/>
      <c r="AP108" s="5156"/>
      <c r="AQ108" s="3040"/>
      <c r="AR108" s="5156"/>
      <c r="AS108" s="5156"/>
      <c r="AT108" s="3040"/>
      <c r="AU108" s="5156"/>
      <c r="AV108" s="5156"/>
      <c r="AW108" s="3040"/>
      <c r="AX108" s="5156"/>
      <c r="AY108" s="5156"/>
      <c r="AZ108" s="3040"/>
      <c r="BA108" s="5156"/>
      <c r="BB108" s="5156"/>
      <c r="BC108" s="3040"/>
      <c r="BD108" s="5156"/>
      <c r="BE108" s="5156"/>
      <c r="BF108" s="3040"/>
      <c r="BG108" s="5156"/>
      <c r="BH108" s="5156"/>
      <c r="BI108" s="3040"/>
      <c r="BJ108" s="5156"/>
      <c r="BK108" s="5156"/>
      <c r="BL108" s="3045"/>
    </row>
    <row r="109" spans="1:109" ht="12.75" customHeight="1" thickBot="1" x14ac:dyDescent="0.25">
      <c r="A109" s="1916">
        <v>109</v>
      </c>
      <c r="B109" s="5148"/>
      <c r="H109" s="363"/>
      <c r="I109" s="3058" t="str">
        <f t="shared" ref="I109:I129" si="15">IF(OR(Nephilim=J109,Raza=J109),1,"")</f>
        <v/>
      </c>
      <c r="J109" s="2380" t="s">
        <v>2240</v>
      </c>
      <c r="K109" s="371">
        <v>5</v>
      </c>
      <c r="L109" s="371">
        <v>20</v>
      </c>
      <c r="M109" s="371">
        <v>5</v>
      </c>
      <c r="N109" s="371">
        <v>10</v>
      </c>
      <c r="O109" s="372">
        <v>10</v>
      </c>
      <c r="P109" s="373"/>
      <c r="Q109" s="3041">
        <v>0</v>
      </c>
      <c r="R109" s="370">
        <v>0</v>
      </c>
      <c r="S109" s="3041">
        <v>0</v>
      </c>
      <c r="T109" s="370">
        <v>0</v>
      </c>
      <c r="U109" s="3041">
        <v>0</v>
      </c>
      <c r="V109" s="3041">
        <v>0</v>
      </c>
      <c r="W109" s="3041">
        <v>0</v>
      </c>
      <c r="X109" s="374">
        <v>0</v>
      </c>
      <c r="Y109" s="3041">
        <v>0</v>
      </c>
      <c r="Z109" s="3041">
        <v>1</v>
      </c>
      <c r="AA109" s="3041"/>
      <c r="AB109" s="370"/>
      <c r="AC109" s="3056" t="s">
        <v>10119</v>
      </c>
      <c r="AD109" s="3057"/>
      <c r="AE109" s="3057"/>
      <c r="AF109" s="3057"/>
      <c r="AG109" s="3057"/>
      <c r="AH109" s="3057"/>
      <c r="AI109" s="3057"/>
      <c r="AJ109" s="3057"/>
      <c r="AK109" s="3057"/>
      <c r="AL109" s="3057"/>
      <c r="AM109" s="3057"/>
      <c r="AN109" s="3057"/>
      <c r="AO109" s="3057"/>
      <c r="AP109" s="3057"/>
      <c r="AQ109" s="3057"/>
      <c r="AR109" s="3057"/>
      <c r="AS109" s="3057"/>
      <c r="AT109" s="3057"/>
      <c r="AU109" s="3057"/>
      <c r="AV109" s="3057"/>
      <c r="AW109" s="3057"/>
      <c r="AX109" s="3057"/>
      <c r="AY109" s="3057"/>
      <c r="AZ109" s="3057"/>
      <c r="BA109" s="3057"/>
      <c r="BB109" s="3057"/>
      <c r="BC109" s="3057"/>
      <c r="BD109" s="3057"/>
      <c r="BE109" s="3057"/>
      <c r="BF109" s="3057"/>
      <c r="BG109" s="3057"/>
      <c r="BH109" s="3057"/>
      <c r="BI109" s="3057"/>
      <c r="BJ109" s="3057"/>
      <c r="BK109" s="3057"/>
      <c r="BL109" s="3059"/>
    </row>
    <row r="110" spans="1:109" ht="12.75" customHeight="1" thickBot="1" x14ac:dyDescent="0.25">
      <c r="A110" s="1916">
        <v>110</v>
      </c>
      <c r="B110" s="5148"/>
      <c r="C110" s="3248" t="s">
        <v>2271</v>
      </c>
      <c r="D110" s="3248"/>
      <c r="F110" s="3201" t="s">
        <v>2152</v>
      </c>
      <c r="G110" s="3201"/>
      <c r="H110" s="363"/>
      <c r="I110" s="3060" t="str">
        <f t="shared" si="15"/>
        <v/>
      </c>
      <c r="J110" s="2380" t="s">
        <v>2241</v>
      </c>
      <c r="K110" s="371">
        <v>15</v>
      </c>
      <c r="L110" s="371"/>
      <c r="M110" s="371"/>
      <c r="N110" s="371">
        <v>-10</v>
      </c>
      <c r="O110" s="372"/>
      <c r="P110" s="373"/>
      <c r="Q110" s="371">
        <v>0</v>
      </c>
      <c r="R110" s="370">
        <v>0</v>
      </c>
      <c r="S110" s="3041">
        <v>0</v>
      </c>
      <c r="T110" s="371">
        <v>1</v>
      </c>
      <c r="U110" s="371">
        <v>0</v>
      </c>
      <c r="V110" s="371">
        <v>0</v>
      </c>
      <c r="W110" s="371">
        <v>0</v>
      </c>
      <c r="X110" s="372">
        <v>0</v>
      </c>
      <c r="Y110" s="371">
        <v>2</v>
      </c>
      <c r="Z110" s="371"/>
      <c r="AA110" s="371">
        <v>1</v>
      </c>
      <c r="AB110" s="370"/>
      <c r="AC110" s="2623" t="s">
        <v>10120</v>
      </c>
      <c r="AD110" s="1767"/>
      <c r="AE110" s="1767"/>
      <c r="AF110" s="1767"/>
      <c r="AG110" s="1767"/>
      <c r="AH110" s="1767"/>
      <c r="AI110" s="1767"/>
      <c r="AJ110" s="1767"/>
      <c r="AK110" s="1767"/>
      <c r="AL110" s="1767"/>
      <c r="AM110" s="1767"/>
      <c r="AN110" s="1767"/>
      <c r="AO110" s="1767"/>
      <c r="AP110" s="1767"/>
      <c r="AQ110" s="1767"/>
      <c r="AR110" s="1767"/>
      <c r="AS110" s="1767"/>
      <c r="AT110" s="1767"/>
      <c r="AU110" s="1767"/>
      <c r="AV110" s="1767"/>
      <c r="AW110" s="1767"/>
      <c r="AX110" s="1767"/>
      <c r="AY110" s="1767"/>
      <c r="AZ110" s="1767"/>
      <c r="BA110" s="1767"/>
      <c r="BB110" s="1767"/>
      <c r="BC110" s="1767"/>
      <c r="BD110" s="1767"/>
      <c r="BE110" s="1767"/>
      <c r="BF110" s="1767"/>
      <c r="BG110" s="1767"/>
      <c r="BH110" s="1767"/>
      <c r="BI110" s="1767"/>
      <c r="BJ110" s="1767"/>
      <c r="BK110" s="1767"/>
      <c r="BL110" s="1768"/>
    </row>
    <row r="111" spans="1:109" ht="12.75" customHeight="1" thickBot="1" x14ac:dyDescent="0.25">
      <c r="A111" s="1916">
        <v>111</v>
      </c>
      <c r="B111" s="5148"/>
      <c r="C111" s="3248"/>
      <c r="D111" s="3248"/>
      <c r="F111" s="3201"/>
      <c r="G111" s="3201"/>
      <c r="H111" s="363"/>
      <c r="I111" s="3060" t="str">
        <f t="shared" si="15"/>
        <v/>
      </c>
      <c r="J111" s="2380" t="s">
        <v>2242</v>
      </c>
      <c r="K111" s="371"/>
      <c r="L111" s="371"/>
      <c r="M111" s="371"/>
      <c r="N111" s="371"/>
      <c r="O111" s="372"/>
      <c r="P111" s="373"/>
      <c r="Q111" s="371">
        <v>0</v>
      </c>
      <c r="R111" s="370">
        <v>0</v>
      </c>
      <c r="S111" s="3041">
        <v>0</v>
      </c>
      <c r="T111" s="371">
        <v>0</v>
      </c>
      <c r="U111" s="371">
        <v>0</v>
      </c>
      <c r="V111" s="371">
        <v>0</v>
      </c>
      <c r="W111" s="371">
        <v>0</v>
      </c>
      <c r="X111" s="372">
        <v>0</v>
      </c>
      <c r="Y111" s="371">
        <v>0</v>
      </c>
      <c r="Z111" s="371"/>
      <c r="AA111" s="371"/>
      <c r="AB111" s="370"/>
      <c r="AC111" s="2623" t="s">
        <v>10121</v>
      </c>
      <c r="AD111" s="1767"/>
      <c r="AE111" s="1767"/>
      <c r="AF111" s="1767"/>
      <c r="AG111" s="1767"/>
      <c r="AH111" s="1767"/>
      <c r="AI111" s="1767"/>
      <c r="AJ111" s="1767"/>
      <c r="AK111" s="1767"/>
      <c r="AL111" s="1767"/>
      <c r="AM111" s="1767"/>
      <c r="AN111" s="1767"/>
      <c r="AO111" s="1767"/>
      <c r="AP111" s="1767"/>
      <c r="AQ111" s="1767"/>
      <c r="AR111" s="1767"/>
      <c r="AS111" s="1767"/>
      <c r="AT111" s="1767"/>
      <c r="AU111" s="1767"/>
      <c r="AV111" s="1767"/>
      <c r="AW111" s="1767"/>
      <c r="AX111" s="1767"/>
      <c r="AY111" s="1767"/>
      <c r="AZ111" s="1767"/>
      <c r="BA111" s="1767"/>
      <c r="BB111" s="1767"/>
      <c r="BC111" s="1767"/>
      <c r="BD111" s="1767"/>
      <c r="BE111" s="1767"/>
      <c r="BF111" s="1767"/>
      <c r="BG111" s="1767"/>
      <c r="BH111" s="1767"/>
      <c r="BI111" s="1767"/>
      <c r="BJ111" s="1767"/>
      <c r="BK111" s="1767"/>
      <c r="BL111" s="1768"/>
    </row>
    <row r="112" spans="1:109" ht="12.75" customHeight="1" x14ac:dyDescent="0.2">
      <c r="A112" s="1916">
        <v>112</v>
      </c>
      <c r="B112" s="5148"/>
      <c r="C112" s="379" t="s">
        <v>2274</v>
      </c>
      <c r="D112" s="68"/>
      <c r="F112" s="5280" t="s">
        <v>2267</v>
      </c>
      <c r="G112" s="5280"/>
      <c r="H112" s="363"/>
      <c r="I112" s="3060" t="str">
        <f t="shared" si="15"/>
        <v/>
      </c>
      <c r="J112" s="2380" t="s">
        <v>2244</v>
      </c>
      <c r="K112" s="2381"/>
      <c r="L112" s="2381"/>
      <c r="M112" s="2381"/>
      <c r="N112" s="2381"/>
      <c r="O112" s="2382"/>
      <c r="P112" s="2383"/>
      <c r="Q112" s="371">
        <v>0</v>
      </c>
      <c r="R112" s="370">
        <v>0</v>
      </c>
      <c r="S112" s="3041">
        <v>0</v>
      </c>
      <c r="T112" s="371">
        <v>0</v>
      </c>
      <c r="U112" s="371">
        <v>0</v>
      </c>
      <c r="V112" s="371">
        <v>0</v>
      </c>
      <c r="W112" s="371">
        <v>0</v>
      </c>
      <c r="X112" s="372">
        <v>0</v>
      </c>
      <c r="Y112" s="371">
        <v>0</v>
      </c>
      <c r="Z112" s="371"/>
      <c r="AA112" s="371"/>
      <c r="AB112" s="370"/>
      <c r="AC112" s="2623" t="s">
        <v>10122</v>
      </c>
      <c r="AD112" s="1767"/>
      <c r="AE112" s="1767"/>
      <c r="AF112" s="1767"/>
      <c r="AG112" s="1767"/>
      <c r="AH112" s="1767"/>
      <c r="AI112" s="1767"/>
      <c r="AJ112" s="1767"/>
      <c r="AK112" s="1767"/>
      <c r="AL112" s="1767"/>
      <c r="AM112" s="1767"/>
      <c r="AN112" s="1767"/>
      <c r="AO112" s="1767"/>
      <c r="AP112" s="1767"/>
      <c r="AQ112" s="1767"/>
      <c r="AR112" s="1767"/>
      <c r="AS112" s="1767"/>
      <c r="AT112" s="1767"/>
      <c r="AU112" s="1767"/>
      <c r="AV112" s="1767"/>
      <c r="AW112" s="1767"/>
      <c r="AX112" s="1767"/>
      <c r="AY112" s="1767"/>
      <c r="AZ112" s="1767"/>
      <c r="BA112" s="1767"/>
      <c r="BB112" s="1767"/>
      <c r="BC112" s="1767"/>
      <c r="BD112" s="1767"/>
      <c r="BE112" s="1767"/>
      <c r="BF112" s="1767"/>
      <c r="BG112" s="1767"/>
      <c r="BH112" s="1767"/>
      <c r="BI112" s="1767"/>
      <c r="BJ112" s="1767"/>
      <c r="BK112" s="1767"/>
      <c r="BL112" s="1768"/>
    </row>
    <row r="113" spans="1:64" ht="12.75" customHeight="1" x14ac:dyDescent="0.2">
      <c r="A113" s="1916">
        <v>113</v>
      </c>
      <c r="B113" s="5148"/>
      <c r="C113" s="379" t="s">
        <v>2276</v>
      </c>
      <c r="D113" s="68"/>
      <c r="F113" s="5280" t="s">
        <v>2269</v>
      </c>
      <c r="G113" s="5280"/>
      <c r="H113" s="363"/>
      <c r="I113" s="3060" t="str">
        <f t="shared" si="15"/>
        <v/>
      </c>
      <c r="J113" s="2380" t="s">
        <v>2245</v>
      </c>
      <c r="K113" s="371"/>
      <c r="L113" s="371"/>
      <c r="M113" s="371"/>
      <c r="N113" s="371"/>
      <c r="O113" s="372"/>
      <c r="P113" s="373"/>
      <c r="Q113" s="371">
        <v>0</v>
      </c>
      <c r="R113" s="370">
        <v>0</v>
      </c>
      <c r="S113" s="3041">
        <v>0</v>
      </c>
      <c r="T113" s="371">
        <v>0</v>
      </c>
      <c r="U113" s="371">
        <v>0</v>
      </c>
      <c r="V113" s="371">
        <v>0</v>
      </c>
      <c r="W113" s="371">
        <v>0</v>
      </c>
      <c r="X113" s="372">
        <v>0</v>
      </c>
      <c r="Y113" s="371">
        <v>-1</v>
      </c>
      <c r="Z113" s="371"/>
      <c r="AA113" s="371"/>
      <c r="AB113" s="370"/>
      <c r="AC113" s="2623" t="s">
        <v>10123</v>
      </c>
      <c r="AD113" s="1767"/>
      <c r="AE113" s="1767"/>
      <c r="AF113" s="1767"/>
      <c r="AG113" s="1767"/>
      <c r="AH113" s="1767"/>
      <c r="AI113" s="1767"/>
      <c r="AJ113" s="1767"/>
      <c r="AK113" s="1767"/>
      <c r="AL113" s="1767"/>
      <c r="AM113" s="1767"/>
      <c r="AN113" s="1767"/>
      <c r="AO113" s="1767"/>
      <c r="AP113" s="1767"/>
      <c r="AQ113" s="1767"/>
      <c r="AR113" s="1767"/>
      <c r="AS113" s="1767"/>
      <c r="AT113" s="1767"/>
      <c r="AU113" s="1767"/>
      <c r="AV113" s="1767"/>
      <c r="AW113" s="1767"/>
      <c r="AX113" s="1767"/>
      <c r="AY113" s="1767"/>
      <c r="AZ113" s="1767"/>
      <c r="BA113" s="1767"/>
      <c r="BB113" s="1767"/>
      <c r="BC113" s="1767"/>
      <c r="BD113" s="1767"/>
      <c r="BE113" s="1767"/>
      <c r="BF113" s="1767"/>
      <c r="BG113" s="1767"/>
      <c r="BH113" s="1767"/>
      <c r="BI113" s="1767"/>
      <c r="BJ113" s="1767"/>
      <c r="BK113" s="1767"/>
      <c r="BL113" s="1768"/>
    </row>
    <row r="114" spans="1:64" ht="12.75" customHeight="1" x14ac:dyDescent="0.2">
      <c r="A114" s="1916">
        <v>114</v>
      </c>
      <c r="B114" s="5148"/>
      <c r="C114" s="379" t="s">
        <v>2277</v>
      </c>
      <c r="D114" s="68"/>
      <c r="F114" s="5280" t="s">
        <v>2270</v>
      </c>
      <c r="G114" s="5280"/>
      <c r="H114" s="363"/>
      <c r="I114" s="3060" t="str">
        <f t="shared" si="15"/>
        <v/>
      </c>
      <c r="J114" s="2380" t="s">
        <v>2246</v>
      </c>
      <c r="K114" s="371">
        <v>20</v>
      </c>
      <c r="L114" s="371">
        <v>15</v>
      </c>
      <c r="M114" s="371">
        <v>15</v>
      </c>
      <c r="N114" s="371">
        <v>15</v>
      </c>
      <c r="O114" s="372">
        <v>15</v>
      </c>
      <c r="P114" s="373"/>
      <c r="Q114" s="371">
        <v>0</v>
      </c>
      <c r="R114" s="370">
        <v>0</v>
      </c>
      <c r="S114" s="3041">
        <v>0</v>
      </c>
      <c r="T114" s="371">
        <v>0</v>
      </c>
      <c r="U114" s="371">
        <v>0</v>
      </c>
      <c r="V114" s="371">
        <v>0</v>
      </c>
      <c r="W114" s="371">
        <v>0</v>
      </c>
      <c r="X114" s="372">
        <v>0</v>
      </c>
      <c r="Y114" s="371">
        <v>0</v>
      </c>
      <c r="Z114" s="371">
        <v>1</v>
      </c>
      <c r="AA114" s="371"/>
      <c r="AB114" s="370"/>
      <c r="AC114" s="2623" t="s">
        <v>10124</v>
      </c>
      <c r="AD114" s="1767"/>
      <c r="AE114" s="1767"/>
      <c r="AF114" s="1767"/>
      <c r="AG114" s="1767"/>
      <c r="AH114" s="1767"/>
      <c r="AI114" s="1767"/>
      <c r="AJ114" s="1767"/>
      <c r="AK114" s="1767"/>
      <c r="AL114" s="1767"/>
      <c r="AM114" s="1767"/>
      <c r="AN114" s="1767"/>
      <c r="AO114" s="1767"/>
      <c r="AP114" s="1767"/>
      <c r="AQ114" s="1767"/>
      <c r="AR114" s="1767"/>
      <c r="AS114" s="1767"/>
      <c r="AT114" s="1767"/>
      <c r="AU114" s="1767"/>
      <c r="AV114" s="1767"/>
      <c r="AW114" s="1767"/>
      <c r="AX114" s="1767"/>
      <c r="AY114" s="1767"/>
      <c r="AZ114" s="1767"/>
      <c r="BA114" s="1767"/>
      <c r="BB114" s="1767"/>
      <c r="BC114" s="1767"/>
      <c r="BD114" s="1767"/>
      <c r="BE114" s="1767"/>
      <c r="BF114" s="1767"/>
      <c r="BG114" s="1767"/>
      <c r="BH114" s="1767"/>
      <c r="BI114" s="1767"/>
      <c r="BJ114" s="1767"/>
      <c r="BK114" s="1767"/>
      <c r="BL114" s="1768"/>
    </row>
    <row r="115" spans="1:64" ht="12.75" customHeight="1" x14ac:dyDescent="0.2">
      <c r="A115" s="1916">
        <v>115</v>
      </c>
      <c r="B115" s="5148"/>
      <c r="C115" s="379" t="s">
        <v>2278</v>
      </c>
      <c r="D115" s="68"/>
      <c r="F115" s="5280" t="s">
        <v>2272</v>
      </c>
      <c r="G115" s="5280"/>
      <c r="H115" s="363"/>
      <c r="I115" s="3060" t="str">
        <f t="shared" si="15"/>
        <v/>
      </c>
      <c r="J115" s="2380" t="s">
        <v>8808</v>
      </c>
      <c r="K115" s="371">
        <v>-10</v>
      </c>
      <c r="L115" s="371">
        <v>-10</v>
      </c>
      <c r="M115" s="371"/>
      <c r="N115" s="371"/>
      <c r="O115" s="372"/>
      <c r="P115" s="373"/>
      <c r="Q115" s="371">
        <v>0</v>
      </c>
      <c r="R115" s="370">
        <v>0</v>
      </c>
      <c r="S115" s="3041">
        <v>0</v>
      </c>
      <c r="T115" s="371">
        <v>0</v>
      </c>
      <c r="U115" s="371">
        <v>0</v>
      </c>
      <c r="V115" s="371">
        <v>0</v>
      </c>
      <c r="W115" s="371">
        <v>0</v>
      </c>
      <c r="X115" s="372">
        <v>0</v>
      </c>
      <c r="Y115" s="371">
        <v>0</v>
      </c>
      <c r="Z115" s="371"/>
      <c r="AA115" s="371"/>
      <c r="AB115" s="370"/>
      <c r="AC115" s="2623" t="s">
        <v>10125</v>
      </c>
      <c r="AD115" s="1767"/>
      <c r="AE115" s="1767"/>
      <c r="AF115" s="1767"/>
      <c r="AG115" s="1767"/>
      <c r="AH115" s="1767"/>
      <c r="AI115" s="1767"/>
      <c r="AJ115" s="1767"/>
      <c r="AK115" s="1767"/>
      <c r="AL115" s="1767"/>
      <c r="AM115" s="1767"/>
      <c r="AN115" s="1767"/>
      <c r="AO115" s="1767"/>
      <c r="AP115" s="1767"/>
      <c r="AQ115" s="1767"/>
      <c r="AR115" s="1767"/>
      <c r="AS115" s="1767"/>
      <c r="AT115" s="1767"/>
      <c r="AU115" s="1767"/>
      <c r="AV115" s="1767"/>
      <c r="AW115" s="1767"/>
      <c r="AX115" s="1767"/>
      <c r="AY115" s="1767"/>
      <c r="AZ115" s="1767"/>
      <c r="BA115" s="1767"/>
      <c r="BB115" s="1767"/>
      <c r="BC115" s="1767"/>
      <c r="BD115" s="1767"/>
      <c r="BE115" s="1767"/>
      <c r="BF115" s="1767"/>
      <c r="BG115" s="1767"/>
      <c r="BH115" s="1767"/>
      <c r="BI115" s="1767"/>
      <c r="BJ115" s="1767"/>
      <c r="BK115" s="1767"/>
      <c r="BL115" s="1768"/>
    </row>
    <row r="116" spans="1:64" ht="12.75" customHeight="1" x14ac:dyDescent="0.2">
      <c r="A116" s="1916">
        <v>116</v>
      </c>
      <c r="B116" s="5148"/>
      <c r="C116" s="379" t="s">
        <v>2279</v>
      </c>
      <c r="D116" s="68"/>
      <c r="F116" s="5280" t="s">
        <v>2273</v>
      </c>
      <c r="G116" s="5280"/>
      <c r="H116" s="363"/>
      <c r="I116" s="3060" t="str">
        <f t="shared" si="15"/>
        <v/>
      </c>
      <c r="J116" s="2380" t="s">
        <v>2248</v>
      </c>
      <c r="K116" s="371"/>
      <c r="L116" s="371">
        <v>-20</v>
      </c>
      <c r="M116" s="371"/>
      <c r="N116" s="371"/>
      <c r="O116" s="372"/>
      <c r="P116" s="373"/>
      <c r="Q116" s="371">
        <v>0</v>
      </c>
      <c r="R116" s="370">
        <v>0</v>
      </c>
      <c r="S116" s="3041">
        <v>0</v>
      </c>
      <c r="T116" s="371">
        <v>0</v>
      </c>
      <c r="U116" s="371">
        <v>0</v>
      </c>
      <c r="V116" s="371">
        <v>0</v>
      </c>
      <c r="W116" s="371">
        <v>0</v>
      </c>
      <c r="X116" s="372">
        <v>0</v>
      </c>
      <c r="Y116" s="371">
        <v>0</v>
      </c>
      <c r="Z116" s="371"/>
      <c r="AA116" s="371"/>
      <c r="AB116" s="370"/>
      <c r="AC116" s="2623" t="s">
        <v>10126</v>
      </c>
      <c r="AD116" s="1767"/>
      <c r="AE116" s="1767"/>
      <c r="AF116" s="1767"/>
      <c r="AG116" s="1767"/>
      <c r="AH116" s="1767"/>
      <c r="AI116" s="1767"/>
      <c r="AJ116" s="1767"/>
      <c r="AK116" s="1767"/>
      <c r="AL116" s="1767"/>
      <c r="AM116" s="1767"/>
      <c r="AN116" s="1767"/>
      <c r="AO116" s="1767"/>
      <c r="AP116" s="1767"/>
      <c r="AQ116" s="1767"/>
      <c r="AR116" s="1767"/>
      <c r="AS116" s="1767"/>
      <c r="AT116" s="1767"/>
      <c r="AU116" s="1767"/>
      <c r="AV116" s="1767"/>
      <c r="AW116" s="1767"/>
      <c r="AX116" s="1767"/>
      <c r="AY116" s="1767"/>
      <c r="AZ116" s="1767"/>
      <c r="BA116" s="1767"/>
      <c r="BB116" s="1767"/>
      <c r="BC116" s="1767"/>
      <c r="BD116" s="1767"/>
      <c r="BE116" s="1767"/>
      <c r="BF116" s="1767"/>
      <c r="BG116" s="1767"/>
      <c r="BH116" s="1767"/>
      <c r="BI116" s="1767"/>
      <c r="BJ116" s="1767"/>
      <c r="BK116" s="1767"/>
      <c r="BL116" s="1768"/>
    </row>
    <row r="117" spans="1:64" ht="12.75" customHeight="1" thickBot="1" x14ac:dyDescent="0.25">
      <c r="A117" s="1916">
        <v>117</v>
      </c>
      <c r="B117" s="5148"/>
      <c r="C117" s="379" t="s">
        <v>2280</v>
      </c>
      <c r="D117" s="68"/>
      <c r="F117" s="5361" t="s">
        <v>2275</v>
      </c>
      <c r="G117" s="5361"/>
      <c r="H117" s="363"/>
      <c r="I117" s="3060" t="str">
        <f t="shared" si="15"/>
        <v/>
      </c>
      <c r="J117" s="2380" t="s">
        <v>2250</v>
      </c>
      <c r="K117" s="371"/>
      <c r="L117" s="371"/>
      <c r="M117" s="371"/>
      <c r="N117" s="371"/>
      <c r="O117" s="372"/>
      <c r="P117" s="373"/>
      <c r="Q117" s="371">
        <v>0</v>
      </c>
      <c r="R117" s="370">
        <v>0</v>
      </c>
      <c r="S117" s="3041">
        <v>0</v>
      </c>
      <c r="T117" s="371">
        <v>0</v>
      </c>
      <c r="U117" s="371">
        <v>0</v>
      </c>
      <c r="V117" s="371">
        <v>0</v>
      </c>
      <c r="W117" s="371">
        <v>0</v>
      </c>
      <c r="X117" s="372">
        <v>0</v>
      </c>
      <c r="Y117" s="371">
        <v>0</v>
      </c>
      <c r="Z117" s="371"/>
      <c r="AA117" s="371"/>
      <c r="AB117" s="370"/>
      <c r="AC117" s="2623" t="s">
        <v>10127</v>
      </c>
      <c r="AD117" s="1767"/>
      <c r="AE117" s="1767"/>
      <c r="AF117" s="1767"/>
      <c r="AG117" s="1767"/>
      <c r="AH117" s="1767"/>
      <c r="AI117" s="1767"/>
      <c r="AJ117" s="1767"/>
      <c r="AK117" s="1767"/>
      <c r="AL117" s="1767"/>
      <c r="AM117" s="1767"/>
      <c r="AN117" s="1767"/>
      <c r="AO117" s="1767"/>
      <c r="AP117" s="1767"/>
      <c r="AQ117" s="1767"/>
      <c r="AR117" s="1767"/>
      <c r="AS117" s="1767"/>
      <c r="AT117" s="1767"/>
      <c r="AU117" s="1767"/>
      <c r="AV117" s="1767"/>
      <c r="AW117" s="1767"/>
      <c r="AX117" s="1767"/>
      <c r="AY117" s="1767"/>
      <c r="AZ117" s="1767"/>
      <c r="BA117" s="1767"/>
      <c r="BB117" s="1767"/>
      <c r="BC117" s="1767"/>
      <c r="BD117" s="1767"/>
      <c r="BE117" s="1767"/>
      <c r="BF117" s="1767"/>
      <c r="BG117" s="1767"/>
      <c r="BH117" s="1767"/>
      <c r="BI117" s="1767"/>
      <c r="BJ117" s="1767"/>
      <c r="BK117" s="1767"/>
      <c r="BL117" s="1768"/>
    </row>
    <row r="118" spans="1:64" ht="12.75" customHeight="1" thickBot="1" x14ac:dyDescent="0.25">
      <c r="A118" s="1916">
        <v>118</v>
      </c>
      <c r="B118" s="5148"/>
      <c r="C118" s="379" t="s">
        <v>2281</v>
      </c>
      <c r="D118" s="68"/>
      <c r="H118" s="363"/>
      <c r="I118" s="3060">
        <f t="shared" si="15"/>
        <v>1</v>
      </c>
      <c r="J118" s="2380" t="s">
        <v>2239</v>
      </c>
      <c r="K118" s="371"/>
      <c r="L118" s="371"/>
      <c r="M118" s="371"/>
      <c r="N118" s="371"/>
      <c r="O118" s="372"/>
      <c r="P118" s="373"/>
      <c r="Q118" s="371">
        <v>0</v>
      </c>
      <c r="R118" s="370">
        <v>0</v>
      </c>
      <c r="S118" s="3041">
        <v>0</v>
      </c>
      <c r="T118" s="371">
        <v>0</v>
      </c>
      <c r="U118" s="371">
        <v>0</v>
      </c>
      <c r="V118" s="371">
        <v>0</v>
      </c>
      <c r="W118" s="371">
        <v>0</v>
      </c>
      <c r="X118" s="372">
        <v>0</v>
      </c>
      <c r="Y118" s="371">
        <v>0</v>
      </c>
      <c r="Z118" s="371"/>
      <c r="AA118" s="371"/>
      <c r="AB118" s="370"/>
      <c r="AC118" s="2623" t="s">
        <v>8500</v>
      </c>
      <c r="AD118" s="1767"/>
      <c r="AE118" s="1767"/>
      <c r="AF118" s="1767"/>
      <c r="AG118" s="1767"/>
      <c r="AH118" s="1767"/>
      <c r="AI118" s="1767"/>
      <c r="AJ118" s="1767"/>
      <c r="AK118" s="1767"/>
      <c r="AL118" s="1767"/>
      <c r="AM118" s="1767"/>
      <c r="AN118" s="1767"/>
      <c r="AO118" s="1767"/>
      <c r="AP118" s="1767"/>
      <c r="AQ118" s="1767"/>
      <c r="AR118" s="1767"/>
      <c r="AS118" s="1767"/>
      <c r="AT118" s="1767"/>
      <c r="AU118" s="1767"/>
      <c r="AV118" s="1767"/>
      <c r="AW118" s="1767"/>
      <c r="AX118" s="1767"/>
      <c r="AY118" s="1767"/>
      <c r="AZ118" s="1767"/>
      <c r="BA118" s="1767"/>
      <c r="BB118" s="1767"/>
      <c r="BC118" s="1767"/>
      <c r="BD118" s="1767"/>
      <c r="BE118" s="1767"/>
      <c r="BF118" s="1767"/>
      <c r="BG118" s="1767"/>
      <c r="BH118" s="1767"/>
      <c r="BI118" s="1767"/>
      <c r="BJ118" s="1767"/>
      <c r="BK118" s="1767"/>
      <c r="BL118" s="1768"/>
    </row>
    <row r="119" spans="1:64" ht="12.75" customHeight="1" thickBot="1" x14ac:dyDescent="0.25">
      <c r="A119" s="1916">
        <v>119</v>
      </c>
      <c r="B119" s="5148"/>
      <c r="C119" s="379" t="s">
        <v>2282</v>
      </c>
      <c r="D119" s="68"/>
      <c r="F119" s="3248" t="s">
        <v>2308</v>
      </c>
      <c r="G119" s="3248"/>
      <c r="H119" s="363"/>
      <c r="I119" s="3060" t="str">
        <f t="shared" si="15"/>
        <v/>
      </c>
      <c r="J119" s="2380" t="s">
        <v>2253</v>
      </c>
      <c r="K119" s="371"/>
      <c r="L119" s="371">
        <v>20</v>
      </c>
      <c r="M119" s="371">
        <v>10</v>
      </c>
      <c r="N119" s="371">
        <v>30</v>
      </c>
      <c r="O119" s="372">
        <v>30</v>
      </c>
      <c r="P119" s="375">
        <v>2</v>
      </c>
      <c r="Q119" s="371">
        <v>1</v>
      </c>
      <c r="R119" s="371">
        <v>-1</v>
      </c>
      <c r="S119" s="371">
        <v>1</v>
      </c>
      <c r="T119" s="371">
        <v>-1</v>
      </c>
      <c r="U119" s="371">
        <v>1</v>
      </c>
      <c r="V119" s="371">
        <v>0</v>
      </c>
      <c r="W119" s="371">
        <v>1</v>
      </c>
      <c r="X119" s="372">
        <v>0</v>
      </c>
      <c r="Y119" s="371">
        <v>0</v>
      </c>
      <c r="Z119" s="371">
        <v>3</v>
      </c>
      <c r="AA119" s="371"/>
      <c r="AB119" s="370">
        <v>5</v>
      </c>
      <c r="AC119" s="2623" t="s">
        <v>10128</v>
      </c>
      <c r="AD119" s="1767"/>
      <c r="AE119" s="1767"/>
      <c r="AF119" s="1767"/>
      <c r="AG119" s="1767"/>
      <c r="AH119" s="1767"/>
      <c r="AI119" s="1767"/>
      <c r="AJ119" s="1767"/>
      <c r="AK119" s="1767"/>
      <c r="AL119" s="1767"/>
      <c r="AM119" s="1767"/>
      <c r="AN119" s="1767"/>
      <c r="AO119" s="1767"/>
      <c r="AP119" s="1767"/>
      <c r="AQ119" s="1767"/>
      <c r="AR119" s="1767"/>
      <c r="AS119" s="1767"/>
      <c r="AT119" s="1767"/>
      <c r="AU119" s="1767"/>
      <c r="AV119" s="1767"/>
      <c r="AW119" s="1767"/>
      <c r="AX119" s="1767"/>
      <c r="AY119" s="1767"/>
      <c r="AZ119" s="1767"/>
      <c r="BA119" s="1767"/>
      <c r="BB119" s="1767"/>
      <c r="BC119" s="1767"/>
      <c r="BD119" s="1767"/>
      <c r="BE119" s="1767"/>
      <c r="BF119" s="1767"/>
      <c r="BG119" s="1767"/>
      <c r="BH119" s="1767"/>
      <c r="BI119" s="1767"/>
      <c r="BJ119" s="1767"/>
      <c r="BK119" s="1767"/>
      <c r="BL119" s="1768"/>
    </row>
    <row r="120" spans="1:64" ht="12.75" customHeight="1" thickBot="1" x14ac:dyDescent="0.25">
      <c r="A120" s="1916">
        <v>120</v>
      </c>
      <c r="B120" s="5148"/>
      <c r="C120" s="379" t="s">
        <v>2283</v>
      </c>
      <c r="D120" s="68"/>
      <c r="F120" s="3248"/>
      <c r="G120" s="3248"/>
      <c r="H120" s="363"/>
      <c r="I120" s="3060" t="str">
        <f t="shared" si="15"/>
        <v/>
      </c>
      <c r="J120" s="2380" t="s">
        <v>2254</v>
      </c>
      <c r="K120" s="371">
        <v>20</v>
      </c>
      <c r="L120" s="371"/>
      <c r="M120" s="371"/>
      <c r="N120" s="371">
        <v>-20</v>
      </c>
      <c r="O120" s="372"/>
      <c r="P120" s="375">
        <v>1</v>
      </c>
      <c r="Q120" s="371">
        <v>0</v>
      </c>
      <c r="R120" s="371">
        <v>1</v>
      </c>
      <c r="S120" s="371">
        <v>0</v>
      </c>
      <c r="T120" s="371">
        <v>2</v>
      </c>
      <c r="U120" s="371">
        <v>0</v>
      </c>
      <c r="V120" s="371">
        <v>0</v>
      </c>
      <c r="W120" s="371">
        <v>-1</v>
      </c>
      <c r="X120" s="372">
        <v>0</v>
      </c>
      <c r="Y120" s="371">
        <v>2</v>
      </c>
      <c r="Z120" s="371"/>
      <c r="AA120" s="371">
        <v>3</v>
      </c>
      <c r="AB120" s="370">
        <v>5</v>
      </c>
      <c r="AC120" s="2623" t="s">
        <v>10129</v>
      </c>
      <c r="AD120" s="1767"/>
      <c r="AE120" s="1767"/>
      <c r="AF120" s="1767"/>
      <c r="AG120" s="1767"/>
      <c r="AH120" s="1767"/>
      <c r="AI120" s="1767"/>
      <c r="AJ120" s="1767"/>
      <c r="AK120" s="1767"/>
      <c r="AL120" s="1767"/>
      <c r="AM120" s="1767"/>
      <c r="AN120" s="1767"/>
      <c r="AO120" s="1767"/>
      <c r="AP120" s="1767"/>
      <c r="AQ120" s="1767"/>
      <c r="AR120" s="1767"/>
      <c r="AS120" s="1767"/>
      <c r="AT120" s="1767"/>
      <c r="AU120" s="1767"/>
      <c r="AV120" s="1767"/>
      <c r="AW120" s="1767"/>
      <c r="AX120" s="1767"/>
      <c r="AY120" s="1767"/>
      <c r="AZ120" s="1767"/>
      <c r="BA120" s="1767"/>
      <c r="BB120" s="1767"/>
      <c r="BC120" s="1767"/>
      <c r="BD120" s="1767"/>
      <c r="BE120" s="1767"/>
      <c r="BF120" s="1767"/>
      <c r="BG120" s="1767"/>
      <c r="BH120" s="1767"/>
      <c r="BI120" s="1767"/>
      <c r="BJ120" s="1767"/>
      <c r="BK120" s="1767"/>
      <c r="BL120" s="1768"/>
    </row>
    <row r="121" spans="1:64" ht="12.75" customHeight="1" x14ac:dyDescent="0.2">
      <c r="A121" s="1916">
        <v>121</v>
      </c>
      <c r="B121" s="5148"/>
      <c r="C121" s="379" t="s">
        <v>2284</v>
      </c>
      <c r="D121" s="68"/>
      <c r="F121" s="379" t="s">
        <v>2309</v>
      </c>
      <c r="G121" s="295"/>
      <c r="H121" s="363"/>
      <c r="I121" s="3060" t="str">
        <f t="shared" si="15"/>
        <v/>
      </c>
      <c r="J121" s="2380" t="s">
        <v>2255</v>
      </c>
      <c r="K121" s="371"/>
      <c r="L121" s="371"/>
      <c r="M121" s="371"/>
      <c r="N121" s="371"/>
      <c r="O121" s="372"/>
      <c r="P121" s="375">
        <v>1</v>
      </c>
      <c r="Q121" s="371">
        <v>0</v>
      </c>
      <c r="R121" s="371">
        <v>0</v>
      </c>
      <c r="S121" s="371">
        <v>0</v>
      </c>
      <c r="T121" s="371">
        <v>0</v>
      </c>
      <c r="U121" s="371">
        <v>0</v>
      </c>
      <c r="V121" s="371">
        <v>0</v>
      </c>
      <c r="W121" s="371">
        <v>0</v>
      </c>
      <c r="X121" s="372">
        <v>0</v>
      </c>
      <c r="Y121" s="371">
        <v>0</v>
      </c>
      <c r="Z121" s="371"/>
      <c r="AA121" s="371"/>
      <c r="AB121" s="370">
        <v>5</v>
      </c>
      <c r="AC121" s="2623" t="s">
        <v>10130</v>
      </c>
      <c r="AD121" s="1767"/>
      <c r="AE121" s="1767"/>
      <c r="AF121" s="1767"/>
      <c r="AG121" s="1767"/>
      <c r="AH121" s="1767"/>
      <c r="AI121" s="1767"/>
      <c r="AJ121" s="1767"/>
      <c r="AK121" s="1767"/>
      <c r="AL121" s="1767"/>
      <c r="AM121" s="1767"/>
      <c r="AN121" s="1767"/>
      <c r="AO121" s="1767"/>
      <c r="AP121" s="1767"/>
      <c r="AQ121" s="1767"/>
      <c r="AR121" s="1767"/>
      <c r="AS121" s="1767"/>
      <c r="AT121" s="1767"/>
      <c r="AU121" s="1767"/>
      <c r="AV121" s="1767"/>
      <c r="AW121" s="1767"/>
      <c r="AX121" s="1767"/>
      <c r="AY121" s="1767"/>
      <c r="AZ121" s="1767"/>
      <c r="BA121" s="1767"/>
      <c r="BB121" s="1767"/>
      <c r="BC121" s="1767"/>
      <c r="BD121" s="1767"/>
      <c r="BE121" s="1767"/>
      <c r="BF121" s="1767"/>
      <c r="BG121" s="1767"/>
      <c r="BH121" s="1767"/>
      <c r="BI121" s="1767"/>
      <c r="BJ121" s="1767"/>
      <c r="BK121" s="1767"/>
      <c r="BL121" s="1768"/>
    </row>
    <row r="122" spans="1:64" ht="12.75" customHeight="1" x14ac:dyDescent="0.2">
      <c r="A122" s="1916">
        <v>122</v>
      </c>
      <c r="B122" s="5148"/>
      <c r="C122" s="379" t="s">
        <v>2285</v>
      </c>
      <c r="D122" s="68"/>
      <c r="F122" s="379" t="s">
        <v>2310</v>
      </c>
      <c r="G122" s="295"/>
      <c r="H122" s="363"/>
      <c r="I122" s="3060" t="str">
        <f t="shared" si="15"/>
        <v/>
      </c>
      <c r="J122" s="2380" t="s">
        <v>2256</v>
      </c>
      <c r="K122" s="371"/>
      <c r="L122" s="371"/>
      <c r="M122" s="371"/>
      <c r="N122" s="371"/>
      <c r="O122" s="372"/>
      <c r="P122" s="375">
        <v>1</v>
      </c>
      <c r="Q122" s="371">
        <v>0</v>
      </c>
      <c r="R122" s="371">
        <v>0</v>
      </c>
      <c r="S122" s="371">
        <v>0</v>
      </c>
      <c r="T122" s="371">
        <v>0</v>
      </c>
      <c r="U122" s="371">
        <v>0</v>
      </c>
      <c r="V122" s="371">
        <v>0</v>
      </c>
      <c r="W122" s="371">
        <v>0</v>
      </c>
      <c r="X122" s="372">
        <v>0</v>
      </c>
      <c r="Y122" s="371">
        <v>0</v>
      </c>
      <c r="Z122" s="371"/>
      <c r="AA122" s="371"/>
      <c r="AB122" s="370">
        <f>IF(General!$N$23="Conseguido",30,10)</f>
        <v>10</v>
      </c>
      <c r="AC122" s="2623" t="s">
        <v>10131</v>
      </c>
      <c r="AD122" s="1767"/>
      <c r="AE122" s="1767"/>
      <c r="AF122" s="1767"/>
      <c r="AG122" s="1767"/>
      <c r="AH122" s="1767"/>
      <c r="AI122" s="1767"/>
      <c r="AJ122" s="1767"/>
      <c r="AK122" s="1767"/>
      <c r="AL122" s="1767"/>
      <c r="AM122" s="1767"/>
      <c r="AN122" s="1767"/>
      <c r="AO122" s="1767"/>
      <c r="AP122" s="1767"/>
      <c r="AQ122" s="1767"/>
      <c r="AR122" s="1767"/>
      <c r="AS122" s="1767"/>
      <c r="AT122" s="1767"/>
      <c r="AU122" s="1767"/>
      <c r="AV122" s="1767"/>
      <c r="AW122" s="1767"/>
      <c r="AX122" s="1767"/>
      <c r="AY122" s="1767"/>
      <c r="AZ122" s="1767"/>
      <c r="BA122" s="1767"/>
      <c r="BB122" s="1767"/>
      <c r="BC122" s="1767"/>
      <c r="BD122" s="1767"/>
      <c r="BE122" s="1767"/>
      <c r="BF122" s="1767"/>
      <c r="BG122" s="1767"/>
      <c r="BH122" s="1767"/>
      <c r="BI122" s="1767"/>
      <c r="BJ122" s="1767"/>
      <c r="BK122" s="1767"/>
      <c r="BL122" s="1768"/>
    </row>
    <row r="123" spans="1:64" ht="12.75" customHeight="1" x14ac:dyDescent="0.2">
      <c r="A123" s="1916">
        <v>123</v>
      </c>
      <c r="B123" s="5148"/>
      <c r="C123" s="379" t="s">
        <v>2286</v>
      </c>
      <c r="D123" s="68"/>
      <c r="F123" s="379" t="s">
        <v>2311</v>
      </c>
      <c r="G123" s="295"/>
      <c r="H123" s="363"/>
      <c r="I123" s="3060" t="str">
        <f t="shared" si="15"/>
        <v/>
      </c>
      <c r="J123" s="2380" t="s">
        <v>2257</v>
      </c>
      <c r="K123" s="371"/>
      <c r="L123" s="371"/>
      <c r="M123" s="371"/>
      <c r="N123" s="371"/>
      <c r="O123" s="372"/>
      <c r="P123" s="375">
        <v>1</v>
      </c>
      <c r="Q123" s="371">
        <v>1</v>
      </c>
      <c r="R123" s="371">
        <v>-1</v>
      </c>
      <c r="S123" s="371">
        <v>1</v>
      </c>
      <c r="T123" s="371">
        <v>0</v>
      </c>
      <c r="U123" s="371">
        <v>0</v>
      </c>
      <c r="V123" s="371">
        <v>0</v>
      </c>
      <c r="W123" s="371">
        <v>0</v>
      </c>
      <c r="X123" s="372">
        <v>-1</v>
      </c>
      <c r="Y123" s="371">
        <v>-1</v>
      </c>
      <c r="Z123" s="371"/>
      <c r="AA123" s="371"/>
      <c r="AB123" s="370">
        <v>5</v>
      </c>
      <c r="AC123" s="2623" t="s">
        <v>10132</v>
      </c>
      <c r="AD123" s="1767"/>
      <c r="AE123" s="1767"/>
      <c r="AF123" s="1767"/>
      <c r="AG123" s="1767"/>
      <c r="AH123" s="1767"/>
      <c r="AI123" s="1767"/>
      <c r="AJ123" s="1767"/>
      <c r="AK123" s="1767"/>
      <c r="AL123" s="1767"/>
      <c r="AM123" s="1767"/>
      <c r="AN123" s="1767"/>
      <c r="AO123" s="1767"/>
      <c r="AP123" s="1767"/>
      <c r="AQ123" s="1767"/>
      <c r="AR123" s="1767"/>
      <c r="AS123" s="1767"/>
      <c r="AT123" s="1767"/>
      <c r="AU123" s="1767"/>
      <c r="AV123" s="1767"/>
      <c r="AW123" s="1767"/>
      <c r="AX123" s="1767"/>
      <c r="AY123" s="1767"/>
      <c r="AZ123" s="1767"/>
      <c r="BA123" s="1767"/>
      <c r="BB123" s="1767"/>
      <c r="BC123" s="1767"/>
      <c r="BD123" s="1767"/>
      <c r="BE123" s="1767"/>
      <c r="BF123" s="1767"/>
      <c r="BG123" s="1767"/>
      <c r="BH123" s="1767"/>
      <c r="BI123" s="1767"/>
      <c r="BJ123" s="1767"/>
      <c r="BK123" s="1767"/>
      <c r="BL123" s="1768"/>
    </row>
    <row r="124" spans="1:64" ht="12.75" customHeight="1" x14ac:dyDescent="0.2">
      <c r="A124" s="1916">
        <v>124</v>
      </c>
      <c r="B124" s="5148"/>
      <c r="C124" s="379" t="s">
        <v>2287</v>
      </c>
      <c r="D124" s="68"/>
      <c r="F124" s="379" t="s">
        <v>2312</v>
      </c>
      <c r="G124" s="295"/>
      <c r="H124" s="363"/>
      <c r="I124" s="3060" t="str">
        <f t="shared" si="15"/>
        <v/>
      </c>
      <c r="J124" s="2380" t="s">
        <v>2258</v>
      </c>
      <c r="K124" s="371">
        <v>20</v>
      </c>
      <c r="L124" s="371">
        <v>15</v>
      </c>
      <c r="M124" s="371">
        <v>15</v>
      </c>
      <c r="N124" s="371">
        <v>15</v>
      </c>
      <c r="O124" s="372">
        <v>15</v>
      </c>
      <c r="P124" s="375">
        <v>3</v>
      </c>
      <c r="Q124" s="371">
        <v>1</v>
      </c>
      <c r="R124" s="371">
        <v>1</v>
      </c>
      <c r="S124" s="371">
        <v>1</v>
      </c>
      <c r="T124" s="371">
        <v>1</v>
      </c>
      <c r="U124" s="371">
        <v>1</v>
      </c>
      <c r="V124" s="371">
        <v>1</v>
      </c>
      <c r="W124" s="371">
        <v>1</v>
      </c>
      <c r="X124" s="372">
        <v>1</v>
      </c>
      <c r="Y124" s="371">
        <v>0</v>
      </c>
      <c r="Z124" s="371">
        <v>5</v>
      </c>
      <c r="AA124" s="371"/>
      <c r="AB124" s="370">
        <v>5</v>
      </c>
      <c r="AC124" s="2623" t="s">
        <v>10133</v>
      </c>
      <c r="AD124" s="1767"/>
      <c r="AE124" s="1767"/>
      <c r="AF124" s="1767"/>
      <c r="AG124" s="1767"/>
      <c r="AH124" s="1767"/>
      <c r="AI124" s="1767"/>
      <c r="AJ124" s="1767"/>
      <c r="AK124" s="1767"/>
      <c r="AL124" s="1767"/>
      <c r="AM124" s="1767"/>
      <c r="AN124" s="1767"/>
      <c r="AO124" s="1767"/>
      <c r="AP124" s="1767"/>
      <c r="AQ124" s="1767"/>
      <c r="AR124" s="1767"/>
      <c r="AS124" s="1767"/>
      <c r="AT124" s="1767"/>
      <c r="AU124" s="1767"/>
      <c r="AV124" s="1767"/>
      <c r="AW124" s="1767"/>
      <c r="AX124" s="1767"/>
      <c r="AY124" s="1767"/>
      <c r="AZ124" s="1767"/>
      <c r="BA124" s="1767"/>
      <c r="BB124" s="1767"/>
      <c r="BC124" s="1767"/>
      <c r="BD124" s="1767"/>
      <c r="BE124" s="1767"/>
      <c r="BF124" s="1767"/>
      <c r="BG124" s="1767"/>
      <c r="BH124" s="1767"/>
      <c r="BI124" s="1767"/>
      <c r="BJ124" s="1767"/>
      <c r="BK124" s="1767"/>
      <c r="BL124" s="1768"/>
    </row>
    <row r="125" spans="1:64" ht="12.75" customHeight="1" x14ac:dyDescent="0.2">
      <c r="A125" s="1916">
        <v>125</v>
      </c>
      <c r="B125" s="5148"/>
      <c r="C125" s="379" t="s">
        <v>2288</v>
      </c>
      <c r="D125" s="68"/>
      <c r="F125" s="379" t="s">
        <v>2313</v>
      </c>
      <c r="G125" s="295"/>
      <c r="H125" s="363"/>
      <c r="I125" s="3060" t="str">
        <f t="shared" si="15"/>
        <v/>
      </c>
      <c r="J125" s="2380" t="s">
        <v>2259</v>
      </c>
      <c r="K125" s="371">
        <v>-10</v>
      </c>
      <c r="L125" s="371">
        <v>-10</v>
      </c>
      <c r="M125" s="371"/>
      <c r="N125" s="371"/>
      <c r="O125" s="372"/>
      <c r="P125" s="375">
        <v>2</v>
      </c>
      <c r="Q125" s="371">
        <v>0</v>
      </c>
      <c r="R125" s="371">
        <v>-2</v>
      </c>
      <c r="S125" s="371">
        <v>0</v>
      </c>
      <c r="T125" s="371">
        <v>-1</v>
      </c>
      <c r="U125" s="371">
        <v>1</v>
      </c>
      <c r="V125" s="371">
        <v>0</v>
      </c>
      <c r="W125" s="371">
        <v>1</v>
      </c>
      <c r="X125" s="372">
        <v>1</v>
      </c>
      <c r="Y125" s="371">
        <v>-1</v>
      </c>
      <c r="Z125" s="371"/>
      <c r="AA125" s="371"/>
      <c r="AB125" s="370">
        <v>5</v>
      </c>
      <c r="AC125" s="2623" t="s">
        <v>10134</v>
      </c>
      <c r="AD125" s="1767"/>
      <c r="AE125" s="1767"/>
      <c r="AF125" s="1767"/>
      <c r="AG125" s="1767"/>
      <c r="AH125" s="1767"/>
      <c r="AI125" s="1767"/>
      <c r="AJ125" s="1767"/>
      <c r="AK125" s="1767"/>
      <c r="AL125" s="1767"/>
      <c r="AM125" s="1767"/>
      <c r="AN125" s="1767"/>
      <c r="AO125" s="1767"/>
      <c r="AP125" s="1767"/>
      <c r="AQ125" s="1767"/>
      <c r="AR125" s="1767"/>
      <c r="AS125" s="1767"/>
      <c r="AT125" s="1767"/>
      <c r="AU125" s="1767"/>
      <c r="AV125" s="1767"/>
      <c r="AW125" s="1767"/>
      <c r="AX125" s="1767"/>
      <c r="AY125" s="1767"/>
      <c r="AZ125" s="1767"/>
      <c r="BA125" s="1767"/>
      <c r="BB125" s="1767"/>
      <c r="BC125" s="1767"/>
      <c r="BD125" s="1767"/>
      <c r="BE125" s="1767"/>
      <c r="BF125" s="1767"/>
      <c r="BG125" s="1767"/>
      <c r="BH125" s="1767"/>
      <c r="BI125" s="1767"/>
      <c r="BJ125" s="1767"/>
      <c r="BK125" s="1767"/>
      <c r="BL125" s="1768"/>
    </row>
    <row r="126" spans="1:64" ht="12.75" customHeight="1" x14ac:dyDescent="0.2">
      <c r="A126" s="1916">
        <v>126</v>
      </c>
      <c r="B126" s="5148"/>
      <c r="C126" s="379" t="s">
        <v>2289</v>
      </c>
      <c r="D126" s="68"/>
      <c r="F126" s="379" t="s">
        <v>2314</v>
      </c>
      <c r="G126" s="295"/>
      <c r="H126" s="363"/>
      <c r="I126" s="3060" t="str">
        <f t="shared" si="15"/>
        <v/>
      </c>
      <c r="J126" s="2380" t="s">
        <v>2260</v>
      </c>
      <c r="K126" s="371"/>
      <c r="L126" s="371"/>
      <c r="M126" s="371"/>
      <c r="N126" s="371"/>
      <c r="O126" s="372"/>
      <c r="P126" s="375">
        <v>2</v>
      </c>
      <c r="Q126" s="371">
        <v>0</v>
      </c>
      <c r="R126" s="371">
        <v>0</v>
      </c>
      <c r="S126" s="371">
        <v>0</v>
      </c>
      <c r="T126" s="371">
        <v>0</v>
      </c>
      <c r="U126" s="371">
        <v>0</v>
      </c>
      <c r="V126" s="371">
        <v>0</v>
      </c>
      <c r="W126" s="371">
        <v>0</v>
      </c>
      <c r="X126" s="372">
        <v>0</v>
      </c>
      <c r="Y126" s="371">
        <v>0</v>
      </c>
      <c r="Z126" s="371"/>
      <c r="AA126" s="371"/>
      <c r="AB126" s="370">
        <v>5</v>
      </c>
      <c r="AC126" s="2623" t="s">
        <v>10135</v>
      </c>
      <c r="AD126" s="1767"/>
      <c r="AE126" s="1767"/>
      <c r="AF126" s="1767"/>
      <c r="AG126" s="1767"/>
      <c r="AH126" s="1767"/>
      <c r="AI126" s="1767"/>
      <c r="AJ126" s="1767"/>
      <c r="AK126" s="1767"/>
      <c r="AL126" s="1767"/>
      <c r="AM126" s="1767"/>
      <c r="AN126" s="1767"/>
      <c r="AO126" s="1767"/>
      <c r="AP126" s="1767"/>
      <c r="AQ126" s="1767"/>
      <c r="AR126" s="1767"/>
      <c r="AS126" s="1767"/>
      <c r="AT126" s="1767"/>
      <c r="AU126" s="1767"/>
      <c r="AV126" s="1767"/>
      <c r="AW126" s="1767"/>
      <c r="AX126" s="1767"/>
      <c r="AY126" s="1767"/>
      <c r="AZ126" s="1767"/>
      <c r="BA126" s="1767"/>
      <c r="BB126" s="1767"/>
      <c r="BC126" s="1767"/>
      <c r="BD126" s="1767"/>
      <c r="BE126" s="1767"/>
      <c r="BF126" s="1767"/>
      <c r="BG126" s="1767"/>
      <c r="BH126" s="1767"/>
      <c r="BI126" s="1767"/>
      <c r="BJ126" s="1767"/>
      <c r="BK126" s="1767"/>
      <c r="BL126" s="1768"/>
    </row>
    <row r="127" spans="1:64" ht="12.75" customHeight="1" thickBot="1" x14ac:dyDescent="0.25">
      <c r="A127" s="1916">
        <v>127</v>
      </c>
      <c r="B127" s="5148"/>
      <c r="C127" s="378" t="s">
        <v>2290</v>
      </c>
      <c r="D127" s="180"/>
      <c r="F127" s="379" t="s">
        <v>2315</v>
      </c>
      <c r="G127" s="295"/>
      <c r="H127" s="363"/>
      <c r="I127" s="3060" t="str">
        <f t="shared" si="15"/>
        <v/>
      </c>
      <c r="J127" s="2380" t="s">
        <v>2261</v>
      </c>
      <c r="K127" s="371"/>
      <c r="L127" s="371"/>
      <c r="M127" s="371"/>
      <c r="N127" s="371"/>
      <c r="O127" s="372"/>
      <c r="P127" s="375">
        <v>2</v>
      </c>
      <c r="Q127" s="371">
        <v>0</v>
      </c>
      <c r="R127" s="371">
        <v>0</v>
      </c>
      <c r="S127" s="371">
        <v>0</v>
      </c>
      <c r="T127" s="371">
        <v>0</v>
      </c>
      <c r="U127" s="371">
        <v>0</v>
      </c>
      <c r="V127" s="371">
        <v>1</v>
      </c>
      <c r="W127" s="371">
        <v>0</v>
      </c>
      <c r="X127" s="372">
        <v>0</v>
      </c>
      <c r="Y127" s="371">
        <v>0</v>
      </c>
      <c r="Z127" s="371"/>
      <c r="AA127" s="371"/>
      <c r="AB127" s="370">
        <v>5</v>
      </c>
      <c r="AC127" s="2623" t="s">
        <v>10136</v>
      </c>
      <c r="AD127" s="1767"/>
      <c r="AE127" s="1767"/>
      <c r="AF127" s="1767"/>
      <c r="AG127" s="1767"/>
      <c r="AH127" s="1767"/>
      <c r="AI127" s="1767"/>
      <c r="AJ127" s="1767"/>
      <c r="AK127" s="1767"/>
      <c r="AL127" s="1767"/>
      <c r="AM127" s="1767"/>
      <c r="AN127" s="1767"/>
      <c r="AO127" s="1767"/>
      <c r="AP127" s="1767"/>
      <c r="AQ127" s="1767"/>
      <c r="AR127" s="1767"/>
      <c r="AS127" s="1767"/>
      <c r="AT127" s="1767"/>
      <c r="AU127" s="1767"/>
      <c r="AV127" s="1767"/>
      <c r="AW127" s="1767"/>
      <c r="AX127" s="1767"/>
      <c r="AY127" s="1767"/>
      <c r="AZ127" s="1767"/>
      <c r="BA127" s="1767"/>
      <c r="BB127" s="1767"/>
      <c r="BC127" s="1767"/>
      <c r="BD127" s="1767"/>
      <c r="BE127" s="1767"/>
      <c r="BF127" s="1767"/>
      <c r="BG127" s="1767"/>
      <c r="BH127" s="1767"/>
      <c r="BI127" s="1767"/>
      <c r="BJ127" s="1767"/>
      <c r="BK127" s="1767"/>
      <c r="BL127" s="1768"/>
    </row>
    <row r="128" spans="1:64" ht="12.75" customHeight="1" x14ac:dyDescent="0.2">
      <c r="A128" s="1916">
        <v>128</v>
      </c>
      <c r="B128" s="5148"/>
      <c r="F128" s="379" t="s">
        <v>2316</v>
      </c>
      <c r="G128" s="295"/>
      <c r="H128" s="363"/>
      <c r="I128" s="3060" t="str">
        <f t="shared" si="15"/>
        <v/>
      </c>
      <c r="J128" s="2380" t="s">
        <v>2263</v>
      </c>
      <c r="K128" s="371"/>
      <c r="L128" s="371"/>
      <c r="M128" s="371"/>
      <c r="N128" s="371"/>
      <c r="O128" s="372"/>
      <c r="P128" s="375">
        <f>IF(COUNTA(Cercanía_Dragón)&gt;1,2,1)</f>
        <v>2</v>
      </c>
      <c r="Q128" s="371">
        <f>IF(COUNTIF(Cercanía_Dragón,"Descomunales")&gt;0,-1,0)</f>
        <v>-1</v>
      </c>
      <c r="R128" s="371">
        <f>1+IF(COUNTIF(Cercanía_Dragón,"Descomunales")&gt;0,1,0)</f>
        <v>2</v>
      </c>
      <c r="S128" s="371">
        <v>1</v>
      </c>
      <c r="T128" s="371">
        <f>1+IF(COUNTIF(Cercanía_Dragón,"Descomunales")&gt;0,1,0)</f>
        <v>2</v>
      </c>
      <c r="U128" s="371">
        <f>IF(COUNTA(Cercanía_Dragón)&gt;2,0,-1)</f>
        <v>0</v>
      </c>
      <c r="V128" s="371">
        <v>0</v>
      </c>
      <c r="W128" s="371">
        <v>0</v>
      </c>
      <c r="X128" s="372">
        <v>0</v>
      </c>
      <c r="Y128" s="371">
        <f>IF(COUNTIF(Cercanía_Dragón,"Descomunales")&gt;0,2,0)</f>
        <v>2</v>
      </c>
      <c r="Z128" s="371">
        <v>1</v>
      </c>
      <c r="AA128" s="371"/>
      <c r="AB128" s="370">
        <v>5</v>
      </c>
      <c r="AC128" s="2623" t="s">
        <v>10138</v>
      </c>
      <c r="AD128" s="1767"/>
      <c r="AE128" s="1767"/>
      <c r="AF128" s="1767"/>
      <c r="AG128" s="1767"/>
      <c r="AH128" s="1767"/>
      <c r="AI128" s="1767"/>
      <c r="AJ128" s="1767"/>
      <c r="AK128" s="1767"/>
      <c r="AL128" s="1767"/>
      <c r="AM128" s="1767"/>
      <c r="AN128" s="1767"/>
      <c r="AO128" s="1767"/>
      <c r="AP128" s="1767"/>
      <c r="AQ128" s="1767"/>
      <c r="AR128" s="1767"/>
      <c r="AS128" s="1767"/>
      <c r="AT128" s="1767"/>
      <c r="AU128" s="1767"/>
      <c r="AV128" s="1767"/>
      <c r="AW128" s="1767"/>
      <c r="AX128" s="1767"/>
      <c r="AY128" s="1767"/>
      <c r="AZ128" s="1767"/>
      <c r="BA128" s="1767"/>
      <c r="BB128" s="1767"/>
      <c r="BC128" s="1767"/>
      <c r="BD128" s="1767"/>
      <c r="BE128" s="1767"/>
      <c r="BF128" s="1767"/>
      <c r="BG128" s="1767"/>
      <c r="BH128" s="1767"/>
      <c r="BI128" s="1767"/>
      <c r="BJ128" s="1767"/>
      <c r="BK128" s="1767"/>
      <c r="BL128" s="1768"/>
    </row>
    <row r="129" spans="1:109" ht="12.75" customHeight="1" thickBot="1" x14ac:dyDescent="0.25">
      <c r="A129" s="1916">
        <v>129</v>
      </c>
      <c r="B129" s="5148"/>
      <c r="F129" s="378" t="s">
        <v>2317</v>
      </c>
      <c r="G129" s="1752"/>
      <c r="H129" s="363"/>
      <c r="I129" s="3061" t="str">
        <f t="shared" si="15"/>
        <v/>
      </c>
      <c r="J129" s="3062" t="s">
        <v>1912</v>
      </c>
      <c r="K129" s="2128"/>
      <c r="L129" s="2128"/>
      <c r="M129" s="2128"/>
      <c r="N129" s="2128"/>
      <c r="O129" s="3063"/>
      <c r="P129" s="3064"/>
      <c r="Q129" s="3065"/>
      <c r="R129" s="3065"/>
      <c r="S129" s="3065"/>
      <c r="T129" s="3065"/>
      <c r="U129" s="3065"/>
      <c r="V129" s="3065"/>
      <c r="W129" s="3065"/>
      <c r="X129" s="3066"/>
      <c r="Y129" s="3065"/>
      <c r="Z129" s="3065"/>
      <c r="AA129" s="3065"/>
      <c r="AB129" s="3065"/>
      <c r="AC129" s="3067" t="s">
        <v>8500</v>
      </c>
      <c r="AD129" s="3068"/>
      <c r="AE129" s="3068"/>
      <c r="AF129" s="3068"/>
      <c r="AG129" s="3068"/>
      <c r="AH129" s="3068"/>
      <c r="AI129" s="3068"/>
      <c r="AJ129" s="3068"/>
      <c r="AK129" s="3068"/>
      <c r="AL129" s="3068"/>
      <c r="AM129" s="3068"/>
      <c r="AN129" s="3068"/>
      <c r="AO129" s="3068"/>
      <c r="AP129" s="3068"/>
      <c r="AQ129" s="3068"/>
      <c r="AR129" s="3068"/>
      <c r="AS129" s="3068"/>
      <c r="AT129" s="3068"/>
      <c r="AU129" s="3068"/>
      <c r="AV129" s="3068"/>
      <c r="AW129" s="3068"/>
      <c r="AX129" s="3068"/>
      <c r="AY129" s="3068"/>
      <c r="AZ129" s="3068"/>
      <c r="BA129" s="3068"/>
      <c r="BB129" s="3068"/>
      <c r="BC129" s="3068"/>
      <c r="BD129" s="3068"/>
      <c r="BE129" s="3068"/>
      <c r="BF129" s="3068"/>
      <c r="BG129" s="3068"/>
      <c r="BH129" s="3068"/>
      <c r="BI129" s="3068"/>
      <c r="BJ129" s="3068"/>
      <c r="BK129" s="3068"/>
      <c r="BL129" s="1769"/>
    </row>
    <row r="130" spans="1:109" ht="12.75" customHeight="1" thickBot="1" x14ac:dyDescent="0.25">
      <c r="A130" s="1916">
        <v>130</v>
      </c>
      <c r="B130" s="5148"/>
      <c r="H130" s="363"/>
      <c r="J130" s="5358" t="s">
        <v>8937</v>
      </c>
      <c r="K130" s="2360" t="str">
        <f>K108</f>
        <v>RF</v>
      </c>
      <c r="L130" s="2360" t="str">
        <f>L108</f>
        <v>RE</v>
      </c>
      <c r="M130" s="2360" t="str">
        <f>M108</f>
        <v>RV</v>
      </c>
      <c r="N130" s="2360" t="str">
        <f>N108</f>
        <v>RM</v>
      </c>
      <c r="O130" s="2360" t="str">
        <f>O108</f>
        <v>RP</v>
      </c>
      <c r="P130" s="2360" t="s">
        <v>1766</v>
      </c>
      <c r="Q130" s="2360" t="str">
        <f t="shared" ref="Q130:AB130" si="16">Q108</f>
        <v>AGI</v>
      </c>
      <c r="R130" s="2360" t="str">
        <f t="shared" si="16"/>
        <v>CON</v>
      </c>
      <c r="S130" s="2360" t="str">
        <f t="shared" si="16"/>
        <v>DES</v>
      </c>
      <c r="T130" s="2360" t="str">
        <f t="shared" si="16"/>
        <v>FUE</v>
      </c>
      <c r="U130" s="2360" t="str">
        <f t="shared" si="16"/>
        <v>INT</v>
      </c>
      <c r="V130" s="2360" t="str">
        <f t="shared" si="16"/>
        <v>PER</v>
      </c>
      <c r="W130" s="2360" t="str">
        <f t="shared" si="16"/>
        <v>POD</v>
      </c>
      <c r="X130" s="2360" t="str">
        <f t="shared" si="16"/>
        <v>VOL</v>
      </c>
      <c r="Y130" s="2360" t="str">
        <f t="shared" si="16"/>
        <v>Tamaño</v>
      </c>
      <c r="Z130" s="2360" t="str">
        <f t="shared" si="16"/>
        <v>Regeneración</v>
      </c>
      <c r="AA130" s="2360" t="str">
        <f t="shared" si="16"/>
        <v>Cansancio</v>
      </c>
      <c r="AB130" s="2469" t="str">
        <f t="shared" si="16"/>
        <v>Natura</v>
      </c>
    </row>
    <row r="131" spans="1:109" ht="12.75" customHeight="1" x14ac:dyDescent="0.2">
      <c r="A131" s="1916">
        <v>131</v>
      </c>
      <c r="B131" s="5148"/>
      <c r="H131" s="363"/>
      <c r="J131" s="5359"/>
      <c r="K131" s="2369">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369">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369">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369">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369">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369" t="s">
        <v>1766</v>
      </c>
      <c r="Q131" s="2369">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369">
        <f t="shared" si="17"/>
        <v>0</v>
      </c>
      <c r="S131" s="2369">
        <f t="shared" si="17"/>
        <v>0</v>
      </c>
      <c r="T131" s="2369">
        <f t="shared" si="17"/>
        <v>0</v>
      </c>
      <c r="U131" s="2369">
        <f t="shared" si="17"/>
        <v>0</v>
      </c>
      <c r="V131" s="2369">
        <f t="shared" si="17"/>
        <v>0</v>
      </c>
      <c r="W131" s="2369">
        <f t="shared" si="17"/>
        <v>0</v>
      </c>
      <c r="X131" s="2369">
        <f t="shared" si="17"/>
        <v>0</v>
      </c>
      <c r="Y131" s="2369">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369">
        <f t="shared" si="17"/>
        <v>0</v>
      </c>
      <c r="AA131" s="2369">
        <f t="shared" si="17"/>
        <v>0</v>
      </c>
      <c r="AB131" s="2384">
        <f t="shared" si="17"/>
        <v>0</v>
      </c>
    </row>
    <row r="132" spans="1:109" ht="12.75" customHeight="1" x14ac:dyDescent="0.2">
      <c r="A132" s="1916">
        <v>132</v>
      </c>
      <c r="B132" s="5148"/>
      <c r="F132" s="1653"/>
      <c r="H132" s="363"/>
      <c r="L132" s="1999"/>
      <c r="N132" s="363"/>
    </row>
    <row r="133" spans="1:109" ht="12.75" customHeight="1" x14ac:dyDescent="0.2">
      <c r="A133" s="1916">
        <v>133</v>
      </c>
      <c r="B133" s="5148"/>
      <c r="F133" s="5299" t="s">
        <v>7832</v>
      </c>
      <c r="G133" s="5299"/>
      <c r="H133" s="5299"/>
      <c r="I133" s="5299"/>
      <c r="J133" s="5299"/>
      <c r="K133" s="5299"/>
      <c r="L133" s="5299"/>
      <c r="M133" s="5299"/>
      <c r="N133" s="5299"/>
      <c r="O133" s="5299"/>
      <c r="P133" s="5299"/>
      <c r="Q133" s="5299"/>
      <c r="R133" s="5299"/>
      <c r="S133" s="5299"/>
      <c r="T133" s="5299"/>
      <c r="U133" s="5299"/>
      <c r="V133" s="5299"/>
      <c r="W133" s="5299"/>
      <c r="X133" s="5299"/>
      <c r="Y133" s="5299"/>
      <c r="Z133" s="5299"/>
      <c r="AA133" s="5299"/>
      <c r="AB133" s="5299"/>
      <c r="AC133" s="5299"/>
      <c r="AD133" s="5299"/>
      <c r="AE133" s="5299"/>
      <c r="AF133" s="5299"/>
      <c r="AG133" s="5299"/>
      <c r="AH133" s="5299"/>
      <c r="AI133" s="5299"/>
      <c r="AJ133" s="5299"/>
      <c r="AK133" s="5299"/>
      <c r="AL133" s="5299"/>
      <c r="AM133" s="5299"/>
      <c r="AN133" s="5299"/>
      <c r="AO133" s="5299"/>
      <c r="AP133" s="5299"/>
      <c r="AQ133" s="5299"/>
      <c r="AR133" s="5299"/>
      <c r="AS133" s="5299"/>
      <c r="AT133" s="5299"/>
      <c r="AU133" s="5299"/>
      <c r="AV133" s="5299"/>
      <c r="AW133" s="5299"/>
      <c r="AX133" s="5299"/>
      <c r="AY133" s="5299"/>
      <c r="AZ133" s="5299"/>
      <c r="BA133" s="5299"/>
      <c r="BB133" s="5299"/>
      <c r="BC133" s="5299"/>
      <c r="BD133" s="5299"/>
      <c r="BE133" s="5299"/>
      <c r="BF133" s="5299"/>
      <c r="BG133" s="5299"/>
      <c r="BH133" s="5299"/>
      <c r="BI133" s="5299"/>
      <c r="BJ133" s="5299"/>
      <c r="BK133" s="5299"/>
      <c r="BL133" s="5299"/>
      <c r="BM133" s="5299"/>
      <c r="BN133" s="5299"/>
      <c r="BO133" s="5299"/>
      <c r="BP133" s="5299"/>
      <c r="BQ133" s="5299"/>
      <c r="BR133" s="5299"/>
      <c r="BS133" s="5299"/>
      <c r="BT133" s="5299"/>
      <c r="BU133" s="5299"/>
      <c r="BV133" s="5299"/>
      <c r="BW133" s="5299"/>
      <c r="BX133" s="5299"/>
      <c r="BY133" s="5299"/>
      <c r="BZ133" s="5299"/>
      <c r="CA133" s="5299"/>
      <c r="CB133" s="5299"/>
      <c r="CC133" s="5299"/>
      <c r="CD133" s="5299"/>
      <c r="CE133" s="5299"/>
      <c r="CF133" s="5299"/>
      <c r="CG133" s="5299"/>
      <c r="CH133" s="5299"/>
      <c r="CI133" s="5299"/>
      <c r="CJ133" s="5299"/>
      <c r="CK133" s="5299"/>
      <c r="CL133" s="5299"/>
      <c r="CM133" s="5299"/>
      <c r="CN133" s="5299"/>
      <c r="CO133" s="5299"/>
      <c r="CP133" s="5299"/>
      <c r="CQ133" s="5299"/>
      <c r="CR133" s="5299"/>
      <c r="CS133" s="5299"/>
      <c r="CT133" s="5299"/>
      <c r="CU133" s="5299"/>
      <c r="CV133" s="5299"/>
      <c r="CW133" s="5299"/>
      <c r="CX133" s="5299"/>
      <c r="CY133" s="5299"/>
      <c r="CZ133" s="5299"/>
      <c r="DA133" s="5299"/>
      <c r="DB133" s="5299"/>
      <c r="DC133" s="5299"/>
      <c r="DD133" s="5299"/>
      <c r="DE133" s="5300"/>
    </row>
    <row r="134" spans="1:109" ht="12.75" customHeight="1" x14ac:dyDescent="0.2">
      <c r="A134" s="1916">
        <v>134</v>
      </c>
      <c r="B134" s="5148"/>
      <c r="F134" s="5299"/>
      <c r="G134" s="5299"/>
      <c r="H134" s="5299"/>
      <c r="I134" s="5299"/>
      <c r="J134" s="5299"/>
      <c r="K134" s="5299"/>
      <c r="L134" s="5299"/>
      <c r="M134" s="5299"/>
      <c r="N134" s="5299"/>
      <c r="O134" s="5299"/>
      <c r="P134" s="5299"/>
      <c r="Q134" s="5299"/>
      <c r="R134" s="5299"/>
      <c r="S134" s="5299"/>
      <c r="T134" s="5299"/>
      <c r="U134" s="5299"/>
      <c r="V134" s="5299"/>
      <c r="W134" s="5299"/>
      <c r="X134" s="5299"/>
      <c r="Y134" s="5299"/>
      <c r="Z134" s="5299"/>
      <c r="AA134" s="5299"/>
      <c r="AB134" s="5299"/>
      <c r="AC134" s="5299"/>
      <c r="AD134" s="5299"/>
      <c r="AE134" s="5299"/>
      <c r="AF134" s="5299"/>
      <c r="AG134" s="5299"/>
      <c r="AH134" s="5299"/>
      <c r="AI134" s="5299"/>
      <c r="AJ134" s="5299"/>
      <c r="AK134" s="5299"/>
      <c r="AL134" s="5299"/>
      <c r="AM134" s="5299"/>
      <c r="AN134" s="5299"/>
      <c r="AO134" s="5299"/>
      <c r="AP134" s="5299"/>
      <c r="AQ134" s="5299"/>
      <c r="AR134" s="5299"/>
      <c r="AS134" s="5299"/>
      <c r="AT134" s="5299"/>
      <c r="AU134" s="5299"/>
      <c r="AV134" s="5299"/>
      <c r="AW134" s="5299"/>
      <c r="AX134" s="5299"/>
      <c r="AY134" s="5299"/>
      <c r="AZ134" s="5299"/>
      <c r="BA134" s="5299"/>
      <c r="BB134" s="5299"/>
      <c r="BC134" s="5299"/>
      <c r="BD134" s="5299"/>
      <c r="BE134" s="5299"/>
      <c r="BF134" s="5299"/>
      <c r="BG134" s="5299"/>
      <c r="BH134" s="5299"/>
      <c r="BI134" s="5299"/>
      <c r="BJ134" s="5299"/>
      <c r="BK134" s="5299"/>
      <c r="BL134" s="5299"/>
      <c r="BM134" s="5299"/>
      <c r="BN134" s="5299"/>
      <c r="BO134" s="5299"/>
      <c r="BP134" s="5299"/>
      <c r="BQ134" s="5299"/>
      <c r="BR134" s="5299"/>
      <c r="BS134" s="5299"/>
      <c r="BT134" s="5299"/>
      <c r="BU134" s="5299"/>
      <c r="BV134" s="5299"/>
      <c r="BW134" s="5299"/>
      <c r="BX134" s="5299"/>
      <c r="BY134" s="5299"/>
      <c r="BZ134" s="5299"/>
      <c r="CA134" s="5299"/>
      <c r="CB134" s="5299"/>
      <c r="CC134" s="5299"/>
      <c r="CD134" s="5299"/>
      <c r="CE134" s="5299"/>
      <c r="CF134" s="5299"/>
      <c r="CG134" s="5299"/>
      <c r="CH134" s="5299"/>
      <c r="CI134" s="5299"/>
      <c r="CJ134" s="5299"/>
      <c r="CK134" s="5299"/>
      <c r="CL134" s="5299"/>
      <c r="CM134" s="5299"/>
      <c r="CN134" s="5299"/>
      <c r="CO134" s="5299"/>
      <c r="CP134" s="5299"/>
      <c r="CQ134" s="5299"/>
      <c r="CR134" s="5299"/>
      <c r="CS134" s="5299"/>
      <c r="CT134" s="5299"/>
      <c r="CU134" s="5299"/>
      <c r="CV134" s="5299"/>
      <c r="CW134" s="5299"/>
      <c r="CX134" s="5299"/>
      <c r="CY134" s="5299"/>
      <c r="CZ134" s="5299"/>
      <c r="DA134" s="5299"/>
      <c r="DB134" s="5299"/>
      <c r="DC134" s="5299"/>
      <c r="DD134" s="5299"/>
      <c r="DE134" s="5300"/>
    </row>
    <row r="135" spans="1:109" ht="12.75" customHeight="1" thickBot="1" x14ac:dyDescent="0.25">
      <c r="A135" s="1916">
        <v>135</v>
      </c>
      <c r="B135" s="5148"/>
      <c r="F135" s="5301" t="s">
        <v>7840</v>
      </c>
      <c r="G135" s="5302"/>
      <c r="H135" s="2437">
        <v>1</v>
      </c>
      <c r="I135" s="2437">
        <v>2</v>
      </c>
      <c r="J135" s="2437">
        <v>3</v>
      </c>
      <c r="K135" s="2437">
        <v>4</v>
      </c>
      <c r="L135" s="2437">
        <v>5</v>
      </c>
      <c r="M135" s="2437">
        <v>6</v>
      </c>
      <c r="N135" s="2437">
        <v>7</v>
      </c>
      <c r="O135" s="2437">
        <v>8</v>
      </c>
      <c r="P135" s="2437">
        <v>9</v>
      </c>
      <c r="Q135" s="2437">
        <v>10</v>
      </c>
      <c r="R135" s="2437">
        <v>11</v>
      </c>
      <c r="S135" s="2437">
        <v>12</v>
      </c>
      <c r="T135" s="2437">
        <v>13</v>
      </c>
      <c r="U135" s="2437">
        <v>14</v>
      </c>
      <c r="V135" s="2437">
        <v>15</v>
      </c>
      <c r="W135" s="2437">
        <v>16</v>
      </c>
      <c r="X135" s="2437">
        <v>17</v>
      </c>
      <c r="Y135" s="2437">
        <v>18</v>
      </c>
      <c r="Z135" s="2437">
        <v>19</v>
      </c>
      <c r="AA135" s="2437">
        <v>20</v>
      </c>
      <c r="AB135" s="2611">
        <v>21</v>
      </c>
      <c r="AC135" s="2437">
        <v>22</v>
      </c>
      <c r="AD135" s="2437">
        <v>23</v>
      </c>
      <c r="AE135" s="2437">
        <v>24</v>
      </c>
      <c r="AF135" s="2437">
        <v>25</v>
      </c>
      <c r="AG135" s="2437">
        <v>26</v>
      </c>
      <c r="AH135" s="2437">
        <v>27</v>
      </c>
      <c r="AI135" s="2437">
        <v>28</v>
      </c>
      <c r="AJ135" s="2437">
        <v>29</v>
      </c>
      <c r="AK135" s="2437">
        <v>30</v>
      </c>
      <c r="AL135" s="2437">
        <v>31</v>
      </c>
      <c r="AM135" s="2437">
        <v>32</v>
      </c>
      <c r="AN135" s="2437">
        <v>33</v>
      </c>
      <c r="AO135" s="2437">
        <v>34</v>
      </c>
      <c r="AP135" s="2437">
        <v>35</v>
      </c>
      <c r="AQ135" s="2437">
        <v>36</v>
      </c>
      <c r="AR135" s="2437">
        <v>37</v>
      </c>
      <c r="AS135" s="2437">
        <v>38</v>
      </c>
      <c r="AT135" s="2437">
        <v>39</v>
      </c>
      <c r="AU135" s="2437">
        <v>40</v>
      </c>
      <c r="AV135" s="2437">
        <v>41</v>
      </c>
      <c r="AW135" s="2437">
        <v>42</v>
      </c>
      <c r="AX135" s="2437">
        <v>43</v>
      </c>
      <c r="AY135" s="2437">
        <v>44</v>
      </c>
      <c r="AZ135" s="2437">
        <v>45</v>
      </c>
      <c r="BA135" s="2437">
        <v>46</v>
      </c>
      <c r="BB135" s="2437">
        <v>47</v>
      </c>
      <c r="BC135" s="2437">
        <v>48</v>
      </c>
      <c r="BD135" s="2437">
        <v>49</v>
      </c>
      <c r="BE135" s="2437">
        <v>50</v>
      </c>
      <c r="BF135" s="2437">
        <v>51</v>
      </c>
      <c r="BG135" s="2437">
        <v>52</v>
      </c>
      <c r="BH135" s="2437">
        <v>53</v>
      </c>
      <c r="BI135" s="2437">
        <v>54</v>
      </c>
      <c r="BJ135" s="2437">
        <v>55</v>
      </c>
      <c r="BK135" s="2437">
        <v>56</v>
      </c>
      <c r="BL135" s="2437">
        <v>57</v>
      </c>
      <c r="BM135" s="2437">
        <v>58</v>
      </c>
      <c r="BN135" s="2437">
        <v>59</v>
      </c>
      <c r="BO135" s="2437">
        <v>60</v>
      </c>
      <c r="BP135" s="2437">
        <v>61</v>
      </c>
      <c r="BQ135" s="2437">
        <v>62</v>
      </c>
      <c r="BR135" s="2437">
        <v>63</v>
      </c>
      <c r="BS135" s="2437">
        <v>64</v>
      </c>
      <c r="BT135" s="2437">
        <v>65</v>
      </c>
      <c r="BU135" s="2437">
        <v>66</v>
      </c>
      <c r="BV135" s="2437">
        <v>67</v>
      </c>
      <c r="BW135" s="2437">
        <v>68</v>
      </c>
      <c r="BX135" s="2437">
        <v>69</v>
      </c>
      <c r="BY135" s="2437">
        <v>70</v>
      </c>
      <c r="BZ135" s="2437">
        <v>71</v>
      </c>
      <c r="CA135" s="2437">
        <v>72</v>
      </c>
      <c r="CB135" s="2437">
        <v>73</v>
      </c>
      <c r="CC135" s="2437">
        <v>74</v>
      </c>
      <c r="CD135" s="2437">
        <v>75</v>
      </c>
      <c r="CE135" s="2437">
        <v>76</v>
      </c>
      <c r="CF135" s="2437">
        <v>77</v>
      </c>
      <c r="CG135" s="2437">
        <v>78</v>
      </c>
      <c r="CH135" s="2437">
        <v>79</v>
      </c>
      <c r="CI135" s="2437">
        <v>80</v>
      </c>
      <c r="CJ135" s="2437">
        <v>81</v>
      </c>
      <c r="CK135" s="2437">
        <v>82</v>
      </c>
      <c r="CL135" s="2437">
        <v>83</v>
      </c>
      <c r="CM135" s="2437">
        <v>84</v>
      </c>
      <c r="CN135" s="2437">
        <v>85</v>
      </c>
      <c r="CO135" s="2437">
        <v>86</v>
      </c>
      <c r="CP135" s="2437">
        <v>87</v>
      </c>
      <c r="CQ135" s="2437">
        <v>88</v>
      </c>
      <c r="CR135" s="2437">
        <v>89</v>
      </c>
      <c r="CS135" s="2437">
        <v>90</v>
      </c>
      <c r="CT135" s="2437">
        <v>91</v>
      </c>
      <c r="CU135" s="2437">
        <v>92</v>
      </c>
      <c r="CV135" s="2437">
        <v>93</v>
      </c>
      <c r="CW135" s="2437">
        <v>94</v>
      </c>
      <c r="CX135" s="2437">
        <v>95</v>
      </c>
      <c r="CY135" s="2437">
        <v>96</v>
      </c>
      <c r="CZ135" s="2437">
        <v>97</v>
      </c>
      <c r="DA135" s="2437">
        <v>98</v>
      </c>
      <c r="DB135" s="2437">
        <v>99</v>
      </c>
      <c r="DC135" s="2437">
        <v>100</v>
      </c>
      <c r="DD135" s="2437">
        <v>101</v>
      </c>
      <c r="DE135" s="2437">
        <v>102</v>
      </c>
    </row>
    <row r="136" spans="1:109" ht="12.75" customHeight="1" x14ac:dyDescent="0.2">
      <c r="A136" s="1916">
        <v>136</v>
      </c>
      <c r="B136" s="5148"/>
      <c r="C136" s="5138" t="s">
        <v>7825</v>
      </c>
      <c r="D136" s="5140"/>
      <c r="F136" s="2541" t="str">
        <f>IF(ISNA(HLOOKUP($I$136&amp;$A1,$H$139:$DE$140,2,FALSE))," ",HLOOKUP($I$136&amp;$A1,$H$139:$DE$140,2,FALSE))</f>
        <v xml:space="preserve"> </v>
      </c>
      <c r="G136" s="2542"/>
      <c r="H136" s="2438" t="s">
        <v>7839</v>
      </c>
      <c r="I136" s="5289" t="str">
        <f>IF(Region="","",Region)</f>
        <v/>
      </c>
      <c r="J136" s="5290"/>
      <c r="K136" s="2414" t="s">
        <v>8917</v>
      </c>
      <c r="L136" s="1690" t="str">
        <f>IF(OR(I136="",I137=""),"",IF(AND(I136="Elcia",OR(I137=F137,I137=F138,I137=F139)),Personalización!$E$25,MID(HLOOKUP($I$136&amp;$I$137,Tabla_RaicesCulturales,53,FALSE),4,10)))</f>
        <v/>
      </c>
      <c r="M136" s="2415" t="e">
        <f>LEFT(HLOOKUP($I$136&amp;$I$137,Tabla_RaicesCulturales,53,FALSE),2)</f>
        <v>#N/A</v>
      </c>
      <c r="N136" s="1690" t="str">
        <f>IF(OR(I136="",I137=""),"",MID(HLOOKUP($I$136&amp;$I$137,Tabla_RaicesCulturales,55,FALSE),4,25))</f>
        <v/>
      </c>
      <c r="O136" s="2004" t="e">
        <f>LEFT(HLOOKUP($I$136&amp;$I$137,Tabla_RaicesCulturales,55,FALSE),2)</f>
        <v>#N/A</v>
      </c>
      <c r="P136" s="1673"/>
      <c r="Q136" s="1673"/>
      <c r="R136" s="1673"/>
      <c r="S136" s="1673"/>
      <c r="T136" s="1673"/>
      <c r="U136" s="1673"/>
      <c r="V136" s="1673"/>
      <c r="W136" s="1673"/>
      <c r="X136" s="1673"/>
      <c r="Y136" s="1673"/>
      <c r="Z136" s="1673"/>
      <c r="AA136" s="1673"/>
      <c r="AB136" s="1673"/>
      <c r="AC136" s="1673"/>
      <c r="AD136" s="1673"/>
      <c r="AE136" s="1673"/>
      <c r="AF136" s="1673"/>
      <c r="AG136" s="1673"/>
      <c r="AH136" s="1673"/>
      <c r="AI136" s="1673"/>
      <c r="AJ136" s="1673"/>
      <c r="AK136" s="1673"/>
      <c r="AL136" s="1673"/>
      <c r="AM136" s="1673"/>
      <c r="AN136" s="1673"/>
      <c r="AO136" s="1673"/>
      <c r="AP136" s="1673"/>
      <c r="AQ136" s="1673"/>
      <c r="AR136" s="1673"/>
      <c r="AS136" s="1673"/>
      <c r="AT136" s="1673"/>
      <c r="AU136" s="1673"/>
      <c r="AV136" s="1673"/>
      <c r="AW136" s="1673"/>
      <c r="AX136" s="1673"/>
      <c r="AY136" s="1673"/>
      <c r="AZ136" s="1673"/>
      <c r="BA136" s="1673"/>
      <c r="BB136" s="1673"/>
      <c r="BC136" s="1673"/>
      <c r="BD136" s="1673"/>
      <c r="BE136" s="1673"/>
      <c r="BF136" s="1673"/>
      <c r="BG136" s="1673"/>
      <c r="BH136" s="1673"/>
      <c r="BI136" s="1673"/>
      <c r="BJ136" s="1673"/>
      <c r="BK136" s="1673"/>
      <c r="BL136" s="1673"/>
      <c r="BM136" s="1673"/>
      <c r="BN136" s="1673"/>
      <c r="BO136" s="1673"/>
      <c r="BP136" s="1673"/>
      <c r="BQ136" s="1673"/>
      <c r="BR136" s="1673"/>
      <c r="BS136" s="1673"/>
      <c r="BT136" s="1673"/>
      <c r="BU136" s="1673"/>
      <c r="BV136" s="1673"/>
      <c r="BW136" s="1673"/>
      <c r="BX136" s="1673"/>
      <c r="BY136" s="1673"/>
      <c r="BZ136" s="1673"/>
      <c r="CA136" s="1673"/>
      <c r="CB136" s="1673"/>
      <c r="CC136" s="1673"/>
      <c r="CD136" s="1673"/>
      <c r="CE136" s="1673"/>
      <c r="CF136" s="1673"/>
      <c r="CG136" s="1673"/>
      <c r="CH136" s="1673"/>
      <c r="CI136" s="1673"/>
      <c r="CJ136" s="1673"/>
      <c r="CK136" s="1673"/>
      <c r="CL136" s="1673"/>
      <c r="CM136" s="1673"/>
      <c r="CN136" s="1673"/>
      <c r="CO136" s="1673"/>
      <c r="CP136" s="1673"/>
      <c r="CQ136" s="1673"/>
      <c r="CR136" s="1673"/>
      <c r="CS136" s="1673"/>
      <c r="CT136" s="1673"/>
      <c r="CU136" s="1673"/>
      <c r="CV136" s="1673"/>
      <c r="CW136" s="1673"/>
      <c r="CX136" s="1673"/>
      <c r="CY136" s="1673"/>
      <c r="CZ136" s="1673"/>
      <c r="DA136" s="1673"/>
      <c r="DB136" s="1673"/>
      <c r="DC136" s="1673"/>
      <c r="DD136" s="1673"/>
      <c r="DE136" s="1674"/>
    </row>
    <row r="137" spans="1:109" ht="12.75" customHeight="1" x14ac:dyDescent="0.2">
      <c r="A137" s="1916">
        <v>137</v>
      </c>
      <c r="B137" s="5148"/>
      <c r="C137" s="5269"/>
      <c r="D137" s="5270"/>
      <c r="F137" s="2541" t="str">
        <f>IF(ISNA(HLOOKUP($I$136&amp;$A2,$H$139:$DE$140,2,FALSE))," ",HLOOKUP($I$136&amp;$A2,$H$139:$DE$140,2,FALSE))</f>
        <v xml:space="preserve"> </v>
      </c>
      <c r="G137" s="2542"/>
      <c r="H137" s="2545" t="s">
        <v>1672</v>
      </c>
      <c r="I137" s="5291" t="str">
        <f>IF(ClaseSocial="","",ClaseSocial)</f>
        <v/>
      </c>
      <c r="J137" s="5292"/>
      <c r="K137" s="2546"/>
      <c r="L137" s="2547" t="str">
        <f>IF(L136="","",MID(HLOOKUP($I$136&amp;$I$137,Tabla_RaicesCulturales,54,FALSE),4,10))</f>
        <v/>
      </c>
      <c r="M137" s="2548" t="e">
        <f>LEFT(HLOOKUP($I$136&amp;$I$137,Tabla_RaicesCulturales,54,FALSE),2)</f>
        <v>#N/A</v>
      </c>
      <c r="N137" s="2547" t="str">
        <f>IF(N136="","",MID(HLOOKUP($I$136&amp;$I$137,Tabla_RaicesCulturales,56,FALSE),4,25))</f>
        <v/>
      </c>
      <c r="O137" s="2549" t="e">
        <f>LEFT(HLOOKUP($I$136&amp;$I$137,Tabla_RaicesCulturales,56,FALSE),2)</f>
        <v>#N/A</v>
      </c>
      <c r="P137" s="1673"/>
      <c r="Q137" s="1673"/>
      <c r="R137" s="1673"/>
      <c r="S137" s="1673"/>
      <c r="T137" s="1673"/>
      <c r="U137" s="1673"/>
      <c r="V137" s="1673"/>
      <c r="W137" s="1673"/>
      <c r="X137" s="1673"/>
      <c r="Y137" s="1673"/>
      <c r="Z137" s="1673"/>
      <c r="AA137" s="1673"/>
      <c r="AB137" s="1673"/>
      <c r="AC137" s="1673"/>
      <c r="AD137" s="1673"/>
      <c r="AE137" s="1673"/>
      <c r="AF137" s="1673"/>
      <c r="AG137" s="1673"/>
      <c r="AH137" s="1673"/>
      <c r="AI137" s="1673"/>
      <c r="AJ137" s="1673"/>
      <c r="AK137" s="1673"/>
      <c r="AL137" s="1673"/>
      <c r="AM137" s="1673"/>
      <c r="AN137" s="1673"/>
      <c r="AO137" s="1673"/>
      <c r="AP137" s="1673"/>
      <c r="AQ137" s="1673"/>
      <c r="AR137" s="1673"/>
      <c r="AS137" s="1673"/>
      <c r="AT137" s="1673"/>
      <c r="AU137" s="1673"/>
      <c r="AV137" s="1673"/>
      <c r="AW137" s="1673"/>
      <c r="AX137" s="1673"/>
      <c r="AY137" s="1673"/>
      <c r="AZ137" s="1673"/>
      <c r="BA137" s="1673"/>
      <c r="BB137" s="1673"/>
      <c r="BC137" s="1673"/>
      <c r="BD137" s="1673"/>
      <c r="BE137" s="1673"/>
      <c r="BF137" s="1673"/>
      <c r="BG137" s="1673"/>
      <c r="BH137" s="1673"/>
      <c r="BI137" s="1673"/>
      <c r="BJ137" s="1673"/>
      <c r="BK137" s="1673"/>
      <c r="BL137" s="1673"/>
      <c r="BM137" s="1673"/>
      <c r="BN137" s="1673"/>
      <c r="BO137" s="1673"/>
      <c r="BP137" s="1673"/>
      <c r="BQ137" s="1673"/>
      <c r="BR137" s="1673"/>
      <c r="BS137" s="1673"/>
      <c r="BT137" s="1673"/>
      <c r="BU137" s="1673"/>
      <c r="BV137" s="1673"/>
      <c r="BW137" s="1673"/>
      <c r="BX137" s="1673"/>
      <c r="BY137" s="1673"/>
      <c r="BZ137" s="1673"/>
      <c r="CA137" s="1673"/>
      <c r="CB137" s="1673"/>
      <c r="CC137" s="1673"/>
      <c r="CD137" s="1673"/>
      <c r="CE137" s="1673"/>
      <c r="CF137" s="1673"/>
      <c r="CG137" s="1673"/>
      <c r="CH137" s="1673"/>
      <c r="CI137" s="1673"/>
      <c r="CJ137" s="1673"/>
      <c r="CK137" s="1673"/>
      <c r="CL137" s="1673"/>
      <c r="CM137" s="1673"/>
      <c r="CN137" s="1673"/>
      <c r="CO137" s="1673"/>
      <c r="CP137" s="1673"/>
      <c r="CQ137" s="1673"/>
      <c r="CR137" s="1673"/>
      <c r="CS137" s="1673"/>
      <c r="CT137" s="1673"/>
      <c r="CU137" s="1673"/>
      <c r="CV137" s="1673"/>
      <c r="CW137" s="1673"/>
      <c r="CX137" s="1673"/>
      <c r="CY137" s="1673"/>
      <c r="CZ137" s="1673"/>
      <c r="DA137" s="1673"/>
      <c r="DB137" s="1673"/>
      <c r="DC137" s="1673"/>
      <c r="DD137" s="1673"/>
      <c r="DE137" s="1674"/>
    </row>
    <row r="138" spans="1:109" ht="12.75" customHeight="1" x14ac:dyDescent="0.2">
      <c r="A138" s="1916">
        <v>138</v>
      </c>
      <c r="B138" s="5148"/>
      <c r="C138" s="1658" t="s">
        <v>7833</v>
      </c>
      <c r="D138" s="1655"/>
      <c r="F138" s="2541" t="str">
        <f>IF(ISNA(HLOOKUP($I$136&amp;$A3,$H$139:$DE$140,2,FALSE))," ",HLOOKUP($I$136&amp;$A3,$H$139:$DE$140,2,FALSE))</f>
        <v xml:space="preserve"> </v>
      </c>
      <c r="G138" s="2542"/>
      <c r="H138" s="5296" t="s">
        <v>7777</v>
      </c>
      <c r="I138" s="5296"/>
      <c r="J138" s="5296"/>
      <c r="K138" s="5296" t="s">
        <v>7778</v>
      </c>
      <c r="L138" s="5296"/>
      <c r="M138" s="5296" t="s">
        <v>7779</v>
      </c>
      <c r="N138" s="5296"/>
      <c r="O138" s="5296"/>
      <c r="P138" s="5296" t="s">
        <v>7780</v>
      </c>
      <c r="Q138" s="5296"/>
      <c r="R138" s="5296" t="s">
        <v>7781</v>
      </c>
      <c r="S138" s="5296"/>
      <c r="T138" s="2413" t="s">
        <v>7782</v>
      </c>
      <c r="U138" s="5296" t="s">
        <v>7783</v>
      </c>
      <c r="V138" s="5296"/>
      <c r="W138" s="5202" t="s">
        <v>7784</v>
      </c>
      <c r="X138" s="5203"/>
      <c r="Y138" s="5202" t="s">
        <v>7785</v>
      </c>
      <c r="Z138" s="5204"/>
      <c r="AA138" s="5203"/>
      <c r="AB138" s="5202" t="s">
        <v>7786</v>
      </c>
      <c r="AC138" s="5203"/>
      <c r="AD138" s="5202" t="s">
        <v>7787</v>
      </c>
      <c r="AE138" s="5203"/>
      <c r="AF138" s="5202" t="s">
        <v>7788</v>
      </c>
      <c r="AG138" s="5204"/>
      <c r="AH138" s="5203"/>
      <c r="AI138" s="5202" t="s">
        <v>7789</v>
      </c>
      <c r="AJ138" s="5204"/>
      <c r="AK138" s="5203"/>
      <c r="AL138" s="5202" t="s">
        <v>7790</v>
      </c>
      <c r="AM138" s="5204"/>
      <c r="AN138" s="5204"/>
      <c r="AO138" s="5203"/>
      <c r="AP138" s="5202" t="s">
        <v>7791</v>
      </c>
      <c r="AQ138" s="5204"/>
      <c r="AR138" s="5203"/>
      <c r="AS138" s="5202" t="s">
        <v>7792</v>
      </c>
      <c r="AT138" s="5203"/>
      <c r="AU138" s="5202" t="s">
        <v>7793</v>
      </c>
      <c r="AV138" s="5204"/>
      <c r="AW138" s="5203"/>
      <c r="AX138" s="5202" t="s">
        <v>7794</v>
      </c>
      <c r="AY138" s="5203"/>
      <c r="AZ138" s="5202" t="s">
        <v>7795</v>
      </c>
      <c r="BA138" s="5203"/>
      <c r="BB138" s="5202" t="s">
        <v>7796</v>
      </c>
      <c r="BC138" s="5203"/>
      <c r="BD138" s="5202" t="s">
        <v>7797</v>
      </c>
      <c r="BE138" s="5203"/>
      <c r="BF138" s="5202" t="s">
        <v>7798</v>
      </c>
      <c r="BG138" s="5203"/>
      <c r="BH138" s="2413" t="s">
        <v>7799</v>
      </c>
      <c r="BI138" s="5202" t="s">
        <v>7760</v>
      </c>
      <c r="BJ138" s="5203"/>
      <c r="BK138" s="2075" t="s">
        <v>7761</v>
      </c>
      <c r="BL138" s="2076"/>
      <c r="BM138" s="2413" t="s">
        <v>7762</v>
      </c>
      <c r="BN138" s="5202" t="s">
        <v>7763</v>
      </c>
      <c r="BO138" s="5203"/>
      <c r="BP138" s="5202" t="s">
        <v>7800</v>
      </c>
      <c r="BQ138" s="5204"/>
      <c r="BR138" s="5203"/>
      <c r="BS138" s="5202" t="s">
        <v>7801</v>
      </c>
      <c r="BT138" s="5203"/>
      <c r="BU138" s="5202" t="s">
        <v>7764</v>
      </c>
      <c r="BV138" s="5204"/>
      <c r="BW138" s="5204"/>
      <c r="BX138" s="5203"/>
      <c r="BY138" s="5202" t="s">
        <v>7765</v>
      </c>
      <c r="BZ138" s="5204"/>
      <c r="CA138" s="5203"/>
      <c r="CB138" s="5202" t="s">
        <v>7766</v>
      </c>
      <c r="CC138" s="5204"/>
      <c r="CD138" s="5203"/>
      <c r="CE138" s="5202" t="s">
        <v>7767</v>
      </c>
      <c r="CF138" s="5203"/>
      <c r="CG138" s="5202" t="s">
        <v>7768</v>
      </c>
      <c r="CH138" s="5204"/>
      <c r="CI138" s="5203"/>
      <c r="CJ138" s="5202" t="s">
        <v>10032</v>
      </c>
      <c r="CK138" s="5204"/>
      <c r="CL138" s="5204"/>
      <c r="CM138" s="5203"/>
      <c r="CN138" s="5202" t="s">
        <v>7769</v>
      </c>
      <c r="CO138" s="5203"/>
      <c r="CP138" s="5202" t="s">
        <v>7770</v>
      </c>
      <c r="CQ138" s="5203"/>
      <c r="CR138" s="5202" t="s">
        <v>7771</v>
      </c>
      <c r="CS138" s="5204"/>
      <c r="CT138" s="5203"/>
      <c r="CU138" s="5202" t="s">
        <v>7772</v>
      </c>
      <c r="CV138" s="5203"/>
      <c r="CW138" s="5202" t="s">
        <v>7773</v>
      </c>
      <c r="CX138" s="5204"/>
      <c r="CY138" s="5203"/>
      <c r="CZ138" s="1682" t="s">
        <v>7774</v>
      </c>
      <c r="DA138" s="5202" t="s">
        <v>7775</v>
      </c>
      <c r="DB138" s="5204"/>
      <c r="DC138" s="5203"/>
      <c r="DD138" s="5202" t="s">
        <v>7776</v>
      </c>
      <c r="DE138" s="5303"/>
    </row>
    <row r="139" spans="1:109" ht="12.75" customHeight="1" x14ac:dyDescent="0.2">
      <c r="A139" s="1916">
        <v>139</v>
      </c>
      <c r="B139" s="5148"/>
      <c r="C139" s="1658" t="s">
        <v>7834</v>
      </c>
      <c r="D139" s="1655"/>
      <c r="F139" s="2543" t="str">
        <f>IF(ISNA(HLOOKUP($I$136&amp;$A4,$H$139:$DE$140,2,FALSE)),"",HLOOKUP($I$136&amp;$A4,$H$139:$DE$140,2,FALSE))</f>
        <v/>
      </c>
      <c r="G139" s="2544"/>
      <c r="H139" s="1676" t="str">
        <f>H138&amp;1</f>
        <v>Abel1</v>
      </c>
      <c r="I139" s="1676" t="str">
        <f>H138&amp;2</f>
        <v>Abel2</v>
      </c>
      <c r="J139" s="1680" t="str">
        <f>H138&amp;3</f>
        <v>Abel3</v>
      </c>
      <c r="K139" s="1676" t="str">
        <f>K138&amp;1</f>
        <v>Ilmora1</v>
      </c>
      <c r="L139" s="1676" t="str">
        <f>K138&amp;2</f>
        <v>Ilmora2</v>
      </c>
      <c r="M139" s="1679" t="str">
        <f>M138&amp;1</f>
        <v>Helenia1</v>
      </c>
      <c r="N139" s="1676" t="str">
        <f>M138&amp;2</f>
        <v>Helenia2</v>
      </c>
      <c r="O139" s="1680" t="str">
        <f>M138&amp;3</f>
        <v>Helenia3</v>
      </c>
      <c r="P139" s="1676" t="str">
        <f>P138&amp;1</f>
        <v>Dalaborn1</v>
      </c>
      <c r="Q139" s="1676" t="str">
        <f>P138&amp;2</f>
        <v>Dalaborn2</v>
      </c>
      <c r="R139" s="1679" t="str">
        <f>R138&amp;1</f>
        <v>Alberia1</v>
      </c>
      <c r="S139" s="1680" t="str">
        <f>R138&amp;2</f>
        <v>Alberia2</v>
      </c>
      <c r="T139" s="1676" t="str">
        <f>T138&amp;1</f>
        <v>Galgados1</v>
      </c>
      <c r="U139" s="1679" t="str">
        <f>U138&amp;1</f>
        <v>Arlan1</v>
      </c>
      <c r="V139" s="1680" t="str">
        <f>U138&amp;2</f>
        <v>Arlan2</v>
      </c>
      <c r="W139" s="1676" t="str">
        <f>W138&amp;1</f>
        <v>Kanon1</v>
      </c>
      <c r="X139" s="1676" t="str">
        <f>W138&amp;2</f>
        <v>Kanon2</v>
      </c>
      <c r="Y139" s="1679" t="str">
        <f>Y138&amp;1</f>
        <v>Togarini1</v>
      </c>
      <c r="Z139" s="1676" t="str">
        <f>Y138&amp;2</f>
        <v>Togarini2</v>
      </c>
      <c r="AA139" s="1680" t="str">
        <f>Y138&amp;3</f>
        <v>Togarini3</v>
      </c>
      <c r="AB139" s="1676" t="str">
        <f>AB138&amp;1</f>
        <v>Remo1</v>
      </c>
      <c r="AC139" s="1676" t="str">
        <f>AB138&amp;2</f>
        <v>Remo2</v>
      </c>
      <c r="AD139" s="1679" t="str">
        <f>AD138&amp;1</f>
        <v>Bellafonte1</v>
      </c>
      <c r="AE139" s="1680" t="str">
        <f>AD138&amp;2</f>
        <v>Bellafonte2</v>
      </c>
      <c r="AF139" s="1676" t="str">
        <f>AF138&amp;1</f>
        <v>Goldar1</v>
      </c>
      <c r="AG139" s="1676" t="str">
        <f>AF138&amp;2</f>
        <v>Goldar2</v>
      </c>
      <c r="AH139" s="1676" t="str">
        <f>AF138&amp;3</f>
        <v>Goldar3</v>
      </c>
      <c r="AI139" s="1679" t="str">
        <f>AI138&amp;1</f>
        <v>Haufman1</v>
      </c>
      <c r="AJ139" s="1676" t="str">
        <f>AI138&amp;2</f>
        <v>Haufman2</v>
      </c>
      <c r="AK139" s="1680" t="str">
        <f>AI138&amp;3</f>
        <v>Haufman3</v>
      </c>
      <c r="AL139" s="1676" t="str">
        <f>AL138&amp;1</f>
        <v>Hendell1</v>
      </c>
      <c r="AM139" s="1676" t="str">
        <f>AL138&amp;2</f>
        <v>Hendell2</v>
      </c>
      <c r="AN139" s="1676" t="str">
        <f>AL138&amp;3</f>
        <v>Hendell3</v>
      </c>
      <c r="AO139" s="1676" t="str">
        <f>AL138&amp;4</f>
        <v>Hendell4</v>
      </c>
      <c r="AP139" s="1679" t="str">
        <f>AP138&amp;1</f>
        <v>Moth1</v>
      </c>
      <c r="AQ139" s="1676" t="str">
        <f>AP138&amp;2</f>
        <v>Moth2</v>
      </c>
      <c r="AR139" s="1680" t="str">
        <f>AP138&amp;3</f>
        <v>Moth3</v>
      </c>
      <c r="AS139" s="1676" t="str">
        <f>AS138&amp;1</f>
        <v>Dwänholf1</v>
      </c>
      <c r="AT139" s="1676" t="str">
        <f>AS138&amp;2</f>
        <v>Dwänholf2</v>
      </c>
      <c r="AU139" s="1679" t="str">
        <f>AU138&amp;1</f>
        <v>Gabriel1</v>
      </c>
      <c r="AV139" s="1676" t="str">
        <f>AU138&amp;2</f>
        <v>Gabriel2</v>
      </c>
      <c r="AW139" s="1680" t="str">
        <f>AU138&amp;3</f>
        <v>Gabriel3</v>
      </c>
      <c r="AX139" s="1676" t="str">
        <f>AX138&amp;1</f>
        <v>Phaion Eien Seimon1</v>
      </c>
      <c r="AY139" s="1676" t="str">
        <f>AX138&amp;2</f>
        <v>Phaion Eien Seimon2</v>
      </c>
      <c r="AZ139" s="1679" t="str">
        <f>AZ138&amp;1</f>
        <v>El Dominio1</v>
      </c>
      <c r="BA139" s="1680" t="str">
        <f>AZ138&amp;2</f>
        <v>El Dominio2</v>
      </c>
      <c r="BB139" s="1676" t="str">
        <f>BB138&amp;1</f>
        <v>Argos1</v>
      </c>
      <c r="BC139" s="1676" t="str">
        <f>BB138&amp;2</f>
        <v>Argos2</v>
      </c>
      <c r="BD139" s="1679" t="str">
        <f>BD138&amp;1</f>
        <v>Kushistán1</v>
      </c>
      <c r="BE139" s="1680" t="str">
        <f>BD138&amp;2</f>
        <v>Kushistán2</v>
      </c>
      <c r="BF139" s="1676" t="str">
        <f>BF138&amp;1</f>
        <v>Estigia1</v>
      </c>
      <c r="BG139" s="1676" t="str">
        <f>BF138&amp;2</f>
        <v>Estigia2</v>
      </c>
      <c r="BH139" s="1681" t="str">
        <f>BH138&amp;1</f>
        <v>Salazar1</v>
      </c>
      <c r="BI139" s="1679" t="str">
        <f>BI138&amp;1</f>
        <v>Nanwe1</v>
      </c>
      <c r="BJ139" s="1680" t="str">
        <f>BI138&amp;2</f>
        <v>Nanwe2</v>
      </c>
      <c r="BK139" s="1676" t="str">
        <f>BK138&amp;1</f>
        <v>Lucrecio1</v>
      </c>
      <c r="BL139" s="1676" t="str">
        <f>BK138&amp;2</f>
        <v>Lucrecio2</v>
      </c>
      <c r="BM139" s="1681" t="str">
        <f>BM138&amp;1</f>
        <v>Kashimir1</v>
      </c>
      <c r="BN139" s="1676" t="str">
        <f>BN138&amp;1</f>
        <v>Baho1</v>
      </c>
      <c r="BO139" s="1676" t="str">
        <f>BN138&amp;2</f>
        <v>Baho2</v>
      </c>
      <c r="BP139" s="1679" t="str">
        <f>BP138&amp;1</f>
        <v>Lannet1</v>
      </c>
      <c r="BQ139" s="1676" t="str">
        <f>BP138&amp;2</f>
        <v>Lannet2</v>
      </c>
      <c r="BR139" s="1680" t="str">
        <f>BP138&amp;3</f>
        <v>Lannet3</v>
      </c>
      <c r="BS139" s="1676" t="str">
        <f>BS138&amp;1</f>
        <v>Shivat1</v>
      </c>
      <c r="BT139" s="1676" t="str">
        <f>BS138&amp;2</f>
        <v>Shivat2</v>
      </c>
      <c r="BU139" s="1679" t="str">
        <f>BU138&amp;1</f>
        <v>Manterra1</v>
      </c>
      <c r="BV139" s="1676" t="str">
        <f>BU138&amp;2</f>
        <v>Manterra2</v>
      </c>
      <c r="BW139" s="1676" t="str">
        <f>BU138&amp;3</f>
        <v>Manterra3</v>
      </c>
      <c r="BX139" s="1680" t="str">
        <f>BU138&amp;4</f>
        <v>Manterra4</v>
      </c>
      <c r="BY139" s="1676" t="str">
        <f>BY138&amp;1</f>
        <v>Corinia1</v>
      </c>
      <c r="BZ139" s="1676" t="str">
        <f>BY138&amp;2</f>
        <v>Corinia2</v>
      </c>
      <c r="CA139" s="1676" t="str">
        <f>BY138&amp;3</f>
        <v>Corinia3</v>
      </c>
      <c r="CB139" s="1679" t="str">
        <f>CB138&amp;1</f>
        <v>Arabal1</v>
      </c>
      <c r="CC139" s="1676" t="str">
        <f>CB138&amp;2</f>
        <v>Arabal2</v>
      </c>
      <c r="CD139" s="1680" t="str">
        <f>CB138&amp;3</f>
        <v>Arabal3</v>
      </c>
      <c r="CE139" s="1676" t="str">
        <f>CE138&amp;1</f>
        <v>Pristina1</v>
      </c>
      <c r="CF139" s="1676" t="str">
        <f>CE138&amp;2</f>
        <v>Pristina2</v>
      </c>
      <c r="CG139" s="1679" t="str">
        <f>CG138&amp;1</f>
        <v>Ygdramar1</v>
      </c>
      <c r="CH139" s="1676" t="str">
        <f>CG138&amp;2</f>
        <v>Ygdramar2</v>
      </c>
      <c r="CI139" s="1680" t="str">
        <f>CG138&amp;3</f>
        <v>Ygdramar3</v>
      </c>
      <c r="CJ139" s="1676" t="str">
        <f>CJ138&amp;1</f>
        <v>Elcia1</v>
      </c>
      <c r="CK139" s="1676" t="str">
        <f>CJ138&amp;2</f>
        <v>Elcia2</v>
      </c>
      <c r="CL139" s="1676" t="str">
        <f>CJ138&amp;3</f>
        <v>Elcia3</v>
      </c>
      <c r="CM139" s="1676" t="str">
        <f>CJ138&amp;4</f>
        <v>Elcia4</v>
      </c>
      <c r="CN139" s="1679" t="str">
        <f>CN138&amp;1</f>
        <v>Espheria1</v>
      </c>
      <c r="CO139" s="1680" t="str">
        <f>CN138&amp;2</f>
        <v>Espheria2</v>
      </c>
      <c r="CP139" s="1676" t="str">
        <f>CP138&amp;1</f>
        <v>Itzi1</v>
      </c>
      <c r="CQ139" s="1676" t="str">
        <f>CP138&amp;2</f>
        <v>Itzi2</v>
      </c>
      <c r="CR139" s="1679" t="str">
        <f>CR138&amp;1</f>
        <v>Dafne1</v>
      </c>
      <c r="CS139" s="1676" t="str">
        <f>CR138&amp;2</f>
        <v>Dafne2</v>
      </c>
      <c r="CT139" s="1680" t="str">
        <f>CR138&amp;3</f>
        <v>Dafne3</v>
      </c>
      <c r="CU139" s="1676" t="str">
        <f>CU138&amp;1</f>
        <v>Bekent1</v>
      </c>
      <c r="CV139" s="1676" t="str">
        <f>CU138&amp;2</f>
        <v>Bekent2</v>
      </c>
      <c r="CW139" s="1679" t="str">
        <f>CW138&amp;1</f>
        <v>Heinlein1</v>
      </c>
      <c r="CX139" s="1676" t="str">
        <f>CW138&amp;2</f>
        <v>Heinlein2</v>
      </c>
      <c r="CY139" s="1680" t="str">
        <f>CW138&amp;3</f>
        <v>Heinlein3</v>
      </c>
      <c r="CZ139" s="1676" t="str">
        <f>CZ138&amp;1</f>
        <v>Dravenor1</v>
      </c>
      <c r="DA139" s="1679" t="str">
        <f>DA138&amp;1</f>
        <v>Theresia1</v>
      </c>
      <c r="DB139" s="1676" t="str">
        <f>DA138&amp;2</f>
        <v>Theresia2</v>
      </c>
      <c r="DC139" s="1680" t="str">
        <f>DA138&amp;3</f>
        <v>Theresia3</v>
      </c>
      <c r="DD139" s="1676" t="str">
        <f>DD138&amp;1</f>
        <v>Deloran1</v>
      </c>
      <c r="DE139" s="1677" t="str">
        <f>DD138&amp;2</f>
        <v>Deloran2</v>
      </c>
    </row>
    <row r="140" spans="1:109" ht="12.75" customHeight="1" x14ac:dyDescent="0.2">
      <c r="A140" s="1916">
        <v>140</v>
      </c>
      <c r="B140" s="5148"/>
      <c r="C140" s="1654" t="s">
        <v>7777</v>
      </c>
      <c r="D140" s="1655"/>
      <c r="F140" s="2437"/>
      <c r="G140" s="1684" t="s">
        <v>1679</v>
      </c>
      <c r="H140" s="1685" t="s">
        <v>7841</v>
      </c>
      <c r="I140" s="1738" t="s">
        <v>7802</v>
      </c>
      <c r="J140" s="1687" t="s">
        <v>86</v>
      </c>
      <c r="K140" s="1686" t="s">
        <v>7841</v>
      </c>
      <c r="L140" s="1686" t="s">
        <v>86</v>
      </c>
      <c r="M140" s="1685" t="s">
        <v>7841</v>
      </c>
      <c r="N140" s="1686" t="s">
        <v>2964</v>
      </c>
      <c r="O140" s="2005" t="s">
        <v>86</v>
      </c>
      <c r="P140" s="1686" t="s">
        <v>7841</v>
      </c>
      <c r="Q140" s="1686" t="s">
        <v>86</v>
      </c>
      <c r="R140" s="1685" t="s">
        <v>7841</v>
      </c>
      <c r="S140" s="1687" t="s">
        <v>86</v>
      </c>
      <c r="T140" s="1686" t="s">
        <v>7842</v>
      </c>
      <c r="U140" s="1685" t="s">
        <v>7841</v>
      </c>
      <c r="V140" s="1687" t="s">
        <v>7802</v>
      </c>
      <c r="W140" s="1686" t="s">
        <v>7841</v>
      </c>
      <c r="X140" s="1686" t="s">
        <v>86</v>
      </c>
      <c r="Y140" s="1685" t="s">
        <v>7841</v>
      </c>
      <c r="Z140" s="1686" t="s">
        <v>7802</v>
      </c>
      <c r="AA140" s="1687" t="s">
        <v>86</v>
      </c>
      <c r="AB140" s="1686" t="s">
        <v>8918</v>
      </c>
      <c r="AC140" s="1686" t="s">
        <v>7843</v>
      </c>
      <c r="AD140" s="1685" t="s">
        <v>7841</v>
      </c>
      <c r="AE140" s="1687" t="s">
        <v>86</v>
      </c>
      <c r="AF140" s="1686" t="s">
        <v>7844</v>
      </c>
      <c r="AG140" s="1686" t="s">
        <v>7803</v>
      </c>
      <c r="AH140" s="1686" t="s">
        <v>7845</v>
      </c>
      <c r="AI140" s="1685" t="s">
        <v>7803</v>
      </c>
      <c r="AJ140" s="1686" t="s">
        <v>7804</v>
      </c>
      <c r="AK140" s="1687" t="s">
        <v>7805</v>
      </c>
      <c r="AL140" s="1686" t="s">
        <v>7806</v>
      </c>
      <c r="AM140" s="1686" t="s">
        <v>7803</v>
      </c>
      <c r="AN140" s="1686" t="s">
        <v>7807</v>
      </c>
      <c r="AO140" s="1686" t="s">
        <v>8919</v>
      </c>
      <c r="AP140" s="1685" t="s">
        <v>7841</v>
      </c>
      <c r="AQ140" s="1686" t="s">
        <v>7808</v>
      </c>
      <c r="AR140" s="1687" t="s">
        <v>86</v>
      </c>
      <c r="AS140" s="1686" t="s">
        <v>7846</v>
      </c>
      <c r="AT140" s="1686" t="s">
        <v>7809</v>
      </c>
      <c r="AU140" s="1685" t="s">
        <v>7847</v>
      </c>
      <c r="AV140" s="1686" t="s">
        <v>7802</v>
      </c>
      <c r="AW140" s="1687" t="s">
        <v>86</v>
      </c>
      <c r="AX140" s="1686" t="s">
        <v>7841</v>
      </c>
      <c r="AY140" s="1686" t="s">
        <v>7843</v>
      </c>
      <c r="AZ140" s="1685" t="s">
        <v>7841</v>
      </c>
      <c r="BA140" s="1687" t="s">
        <v>7848</v>
      </c>
      <c r="BB140" s="1686" t="s">
        <v>7841</v>
      </c>
      <c r="BC140" s="1686" t="s">
        <v>86</v>
      </c>
      <c r="BD140" s="1685" t="s">
        <v>7841</v>
      </c>
      <c r="BE140" s="1687" t="s">
        <v>7843</v>
      </c>
      <c r="BF140" s="1686" t="s">
        <v>7841</v>
      </c>
      <c r="BG140" s="1686" t="s">
        <v>7849</v>
      </c>
      <c r="BH140" s="1688" t="s">
        <v>7810</v>
      </c>
      <c r="BI140" s="1685" t="s">
        <v>7811</v>
      </c>
      <c r="BJ140" s="1687" t="s">
        <v>7850</v>
      </c>
      <c r="BK140" s="1686" t="s">
        <v>7841</v>
      </c>
      <c r="BL140" s="1686" t="s">
        <v>7851</v>
      </c>
      <c r="BM140" s="1688" t="s">
        <v>7812</v>
      </c>
      <c r="BN140" s="1686" t="s">
        <v>7813</v>
      </c>
      <c r="BO140" s="1686" t="s">
        <v>7814</v>
      </c>
      <c r="BP140" s="1685" t="s">
        <v>7815</v>
      </c>
      <c r="BQ140" s="1686" t="s">
        <v>7852</v>
      </c>
      <c r="BR140" s="1687" t="s">
        <v>7816</v>
      </c>
      <c r="BS140" s="1686" t="s">
        <v>7841</v>
      </c>
      <c r="BT140" s="1686" t="s">
        <v>7853</v>
      </c>
      <c r="BU140" s="1685" t="s">
        <v>7854</v>
      </c>
      <c r="BV140" s="1686" t="s">
        <v>7817</v>
      </c>
      <c r="BW140" s="1686" t="s">
        <v>7802</v>
      </c>
      <c r="BX140" s="1687" t="s">
        <v>86</v>
      </c>
      <c r="BY140" s="1686" t="s">
        <v>2960</v>
      </c>
      <c r="BZ140" s="1686" t="s">
        <v>7818</v>
      </c>
      <c r="CA140" s="1686" t="s">
        <v>7819</v>
      </c>
      <c r="CB140" s="1685" t="s">
        <v>7841</v>
      </c>
      <c r="CC140" s="1686" t="s">
        <v>7802</v>
      </c>
      <c r="CD140" s="1687" t="s">
        <v>86</v>
      </c>
      <c r="CE140" s="1686" t="s">
        <v>7841</v>
      </c>
      <c r="CF140" s="1686" t="s">
        <v>7809</v>
      </c>
      <c r="CG140" s="1685" t="s">
        <v>7820</v>
      </c>
      <c r="CH140" s="1686" t="s">
        <v>2962</v>
      </c>
      <c r="CI140" s="1687" t="s">
        <v>86</v>
      </c>
      <c r="CJ140" s="1686" t="s">
        <v>7815</v>
      </c>
      <c r="CK140" s="1686" t="s">
        <v>7821</v>
      </c>
      <c r="CL140" s="1686" t="s">
        <v>7802</v>
      </c>
      <c r="CM140" s="1686" t="s">
        <v>7822</v>
      </c>
      <c r="CN140" s="1685" t="s">
        <v>7841</v>
      </c>
      <c r="CO140" s="1687" t="s">
        <v>7802</v>
      </c>
      <c r="CP140" s="1686" t="s">
        <v>7841</v>
      </c>
      <c r="CQ140" s="1686" t="s">
        <v>7823</v>
      </c>
      <c r="CR140" s="1685" t="s">
        <v>7841</v>
      </c>
      <c r="CS140" s="1686" t="s">
        <v>7802</v>
      </c>
      <c r="CT140" s="1687" t="s">
        <v>86</v>
      </c>
      <c r="CU140" s="1686" t="s">
        <v>2964</v>
      </c>
      <c r="CV140" s="1686" t="s">
        <v>7819</v>
      </c>
      <c r="CW140" s="1685" t="s">
        <v>7841</v>
      </c>
      <c r="CX140" s="1686" t="s">
        <v>7802</v>
      </c>
      <c r="CY140" s="1687" t="s">
        <v>86</v>
      </c>
      <c r="CZ140" s="1686" t="s">
        <v>7855</v>
      </c>
      <c r="DA140" s="1685" t="s">
        <v>7841</v>
      </c>
      <c r="DB140" s="1686" t="s">
        <v>7802</v>
      </c>
      <c r="DC140" s="1687" t="s">
        <v>86</v>
      </c>
      <c r="DD140" s="1686" t="s">
        <v>7841</v>
      </c>
      <c r="DE140" s="1689" t="s">
        <v>7802</v>
      </c>
    </row>
    <row r="141" spans="1:109" ht="12.75" customHeight="1" x14ac:dyDescent="0.2">
      <c r="A141" s="1916">
        <v>141</v>
      </c>
      <c r="B141" s="5148"/>
      <c r="C141" s="1654" t="s">
        <v>7778</v>
      </c>
      <c r="D141" s="1487"/>
      <c r="F141" s="2437">
        <v>1</v>
      </c>
      <c r="G141" s="1675"/>
      <c r="H141" s="1679" t="str">
        <f>H138&amp;H140</f>
        <v>AbelMedia / Baja</v>
      </c>
      <c r="I141" s="1676" t="str">
        <f>H138&amp;I140</f>
        <v>AbelBurgués</v>
      </c>
      <c r="J141" s="1680" t="str">
        <f>H138&amp;J140</f>
        <v>AbelNobleza</v>
      </c>
      <c r="K141" s="1676" t="str">
        <f>K138&amp;K140</f>
        <v>IlmoraMedia / Baja</v>
      </c>
      <c r="L141" s="1676" t="str">
        <f>K138&amp;L140</f>
        <v>IlmoraNobleza</v>
      </c>
      <c r="M141" s="1679" t="str">
        <f>M138&amp;M140</f>
        <v>HeleniaMedia / Baja</v>
      </c>
      <c r="N141" s="1676" t="str">
        <f>M138&amp;N140</f>
        <v>HeleniaNómada</v>
      </c>
      <c r="O141" s="1680" t="str">
        <f>M138&amp;O140</f>
        <v>HeleniaNobleza</v>
      </c>
      <c r="P141" s="1676" t="str">
        <f>P138&amp;P140</f>
        <v>DalabornMedia / Baja</v>
      </c>
      <c r="Q141" s="1676" t="str">
        <f>P138&amp;Q140</f>
        <v>DalabornNobleza</v>
      </c>
      <c r="R141" s="1679" t="str">
        <f>R138&amp;R140</f>
        <v>AlberiaMedia / Baja</v>
      </c>
      <c r="S141" s="1680" t="str">
        <f>R138&amp;S140</f>
        <v>AlberiaNobleza</v>
      </c>
      <c r="T141" s="1676" t="str">
        <f>T138&amp;T140</f>
        <v>GalgadosMedia / Baja / Nobleza</v>
      </c>
      <c r="U141" s="1679" t="str">
        <f>U138&amp;U140</f>
        <v>ArlanMedia / Baja</v>
      </c>
      <c r="V141" s="1680" t="str">
        <f>U138&amp;V140</f>
        <v>ArlanBurgués</v>
      </c>
      <c r="W141" s="1676" t="str">
        <f>W138&amp;W140</f>
        <v>KanonMedia / Baja</v>
      </c>
      <c r="X141" s="1676" t="str">
        <f>W138&amp;X140</f>
        <v>KanonNobleza</v>
      </c>
      <c r="Y141" s="1679" t="str">
        <f>Y138&amp;Y140</f>
        <v>TogariniMedia / Baja</v>
      </c>
      <c r="Z141" s="1676" t="str">
        <f>Y138&amp;Z140</f>
        <v>TogariniBurgués</v>
      </c>
      <c r="AA141" s="1680" t="str">
        <f>Y138&amp;AA140</f>
        <v>TogariniNobleza</v>
      </c>
      <c r="AB141" s="1676" t="str">
        <f>AB138&amp;AB140</f>
        <v>RemoBaja / Media</v>
      </c>
      <c r="AC141" s="1676" t="str">
        <f>AB138&amp;AC140</f>
        <v>RemoBurgués / Nobleza</v>
      </c>
      <c r="AD141" s="1679" t="str">
        <f>AD138&amp;AD140</f>
        <v>BellafonteMedia / Baja</v>
      </c>
      <c r="AE141" s="1680" t="str">
        <f>AD138&amp;AE140</f>
        <v>BellafonteNobleza</v>
      </c>
      <c r="AF141" s="1676" t="str">
        <f>AF138&amp;AF140</f>
        <v>GoldarCampesino / Desterrado</v>
      </c>
      <c r="AG141" s="1676" t="str">
        <f>AF138&amp;AG140</f>
        <v>GoldarNorteño</v>
      </c>
      <c r="AH141" s="1676" t="str">
        <f>AF138&amp;AH140</f>
        <v>GoldarErling / Skalmo / Escaldo Honorable</v>
      </c>
      <c r="AI141" s="1679" t="str">
        <f>AI138&amp;AI140</f>
        <v>HaufmanNorteño</v>
      </c>
      <c r="AJ141" s="1676" t="str">
        <f>AI138&amp;AJ140</f>
        <v>HaufmanSaerinmir</v>
      </c>
      <c r="AK141" s="1680" t="str">
        <f>AI138&amp;AK140</f>
        <v>HaufmanNoble</v>
      </c>
      <c r="AL141" s="1676" t="str">
        <f>AL138&amp;AL140</f>
        <v>HendellCampesino</v>
      </c>
      <c r="AM141" s="1676" t="str">
        <f>AL138&amp;AM140</f>
        <v>HendellNorteño</v>
      </c>
      <c r="AN141" s="1676" t="str">
        <f>AL138&amp;AN140</f>
        <v>HendellLochgjest</v>
      </c>
      <c r="AO141" s="1676" t="str">
        <f>AL138&amp;AO140</f>
        <v>HendellPrimera Casta</v>
      </c>
      <c r="AP141" s="1679" t="str">
        <f>AP138&amp;AP140</f>
        <v>MothMedia / Baja</v>
      </c>
      <c r="AQ141" s="1676" t="str">
        <f>AP138&amp;AQ140</f>
        <v>MothZigeuner</v>
      </c>
      <c r="AR141" s="1680" t="str">
        <f>AP138&amp;AR140</f>
        <v>MothNobleza</v>
      </c>
      <c r="AS141" s="1676" t="str">
        <f>AS138&amp;AS140</f>
        <v>DwänholfMedia / Pobre</v>
      </c>
      <c r="AT141" s="1676" t="str">
        <f>AS138&amp;AT140</f>
        <v>DwänholfAdinerada</v>
      </c>
      <c r="AU141" s="1679" t="str">
        <f>AU138&amp;AU140</f>
        <v>GabrielMedia / Indigente</v>
      </c>
      <c r="AV141" s="1676" t="str">
        <f>AU138&amp;AV140</f>
        <v>GabrielBurgués</v>
      </c>
      <c r="AW141" s="1680" t="str">
        <f>AU138&amp;AW140</f>
        <v>GabrielNobleza</v>
      </c>
      <c r="AX141" s="1676" t="str">
        <f>AX138&amp;AX140</f>
        <v>Phaion Eien SeimonMedia / Baja</v>
      </c>
      <c r="AY141" s="1676" t="str">
        <f>AX138&amp;AY140</f>
        <v>Phaion Eien SeimonBurgués / Nobleza</v>
      </c>
      <c r="AZ141" s="1679" t="str">
        <f>AZ138&amp;AZ140</f>
        <v>El DominioMedia / Baja</v>
      </c>
      <c r="BA141" s="1680" t="str">
        <f>AZ138&amp;BA140</f>
        <v>El DominioNobleza / Clero</v>
      </c>
      <c r="BB141" s="1676" t="str">
        <f>BB138&amp;BB140</f>
        <v>ArgosMedia / Baja</v>
      </c>
      <c r="BC141" s="1676" t="str">
        <f>BB138&amp;BC140</f>
        <v>ArgosNobleza</v>
      </c>
      <c r="BD141" s="1679" t="str">
        <f>BD138&amp;BD140</f>
        <v>KushistánMedia / Baja</v>
      </c>
      <c r="BE141" s="1680" t="str">
        <f>BD138&amp;BE140</f>
        <v>KushistánBurgués / Nobleza</v>
      </c>
      <c r="BF141" s="1676" t="str">
        <f>BF138&amp;BF140</f>
        <v>EstigiaMedia / Baja</v>
      </c>
      <c r="BG141" s="1676" t="str">
        <f>BF138&amp;BG140</f>
        <v>EstigiaBurócrata / Burgués / Nobleza</v>
      </c>
      <c r="BH141" s="1681" t="str">
        <f>BH138&amp;BH140</f>
        <v>SalazarNómadas</v>
      </c>
      <c r="BI141" s="1679" t="str">
        <f>BI138&amp;BI140</f>
        <v>NanweMiembro de tribu</v>
      </c>
      <c r="BJ141" s="1680" t="str">
        <f>BI138&amp;BJ140</f>
        <v>NanweMedia / Burgués</v>
      </c>
      <c r="BK141" s="1676" t="str">
        <f>BK138&amp;BK140</f>
        <v>LucrecioMedia / Baja</v>
      </c>
      <c r="BL141" s="1676" t="str">
        <f>BK138&amp;BL140</f>
        <v>LucrecioAlta / Burguesía</v>
      </c>
      <c r="BM141" s="1681" t="str">
        <f>BM138&amp;BM140</f>
        <v>KashimirHabitante de la sabana</v>
      </c>
      <c r="BN141" s="1676" t="str">
        <f>BN138&amp;BN140</f>
        <v>BahoCasta de los sabios</v>
      </c>
      <c r="BO141" s="1676" t="str">
        <f>BN138&amp;BO140</f>
        <v>BahoCasta de los guerreros</v>
      </c>
      <c r="BP141" s="1679" t="str">
        <f>BP138&amp;BP140</f>
        <v>LannetBaja</v>
      </c>
      <c r="BQ141" s="1676" t="str">
        <f>BP138&amp;BQ140</f>
        <v>LannetBurgués / Samurái (cortesano)</v>
      </c>
      <c r="BR141" s="1680" t="str">
        <f>BP138&amp;BR140</f>
        <v>LannetSamurái (guerrero)</v>
      </c>
      <c r="BS141" s="1676" t="str">
        <f>BS138&amp;BS140</f>
        <v>ShivatMedia / Baja</v>
      </c>
      <c r="BT141" s="1676" t="str">
        <f>BS138&amp;BT140</f>
        <v>ShivatNobleza / Burguesía / Burócrata</v>
      </c>
      <c r="BU141" s="1679" t="str">
        <f>BU138&amp;BU140</f>
        <v>ManterraMedia /  Baja</v>
      </c>
      <c r="BV141" s="1676" t="str">
        <f>BU138&amp;BV140</f>
        <v>ManterraNativo</v>
      </c>
      <c r="BW141" s="1676" t="str">
        <f>BU138&amp;BW140</f>
        <v>ManterraBurgués</v>
      </c>
      <c r="BX141" s="1680" t="str">
        <f>BU138&amp;BX140</f>
        <v>ManterraNobleza</v>
      </c>
      <c r="BY141" s="1676" t="str">
        <f>BY138&amp;BY140</f>
        <v>CoriniaBárbaro</v>
      </c>
      <c r="BZ141" s="1676" t="str">
        <f>BY138&amp;BZ140</f>
        <v>CoriniaColono</v>
      </c>
      <c r="CA141" s="1676" t="str">
        <f>BY138&amp;CA140</f>
        <v>CoriniaPrivilegiado</v>
      </c>
      <c r="CB141" s="1679" t="str">
        <f>CB138&amp;CB140</f>
        <v>ArabalMedia / Baja</v>
      </c>
      <c r="CC141" s="1676" t="str">
        <f>CB138&amp;CC140</f>
        <v>ArabalBurgués</v>
      </c>
      <c r="CD141" s="1680" t="str">
        <f>CB138&amp;CD140</f>
        <v>ArabalNobleza</v>
      </c>
      <c r="CE141" s="1676" t="str">
        <f>CE138&amp;CE140</f>
        <v>PristinaMedia / Baja</v>
      </c>
      <c r="CF141" s="1676" t="str">
        <f>CE138&amp;CF140</f>
        <v>PristinaAdinerada</v>
      </c>
      <c r="CG141" s="1679" t="str">
        <f>CG138&amp;CG140</f>
        <v>YgdramarPlebeyo</v>
      </c>
      <c r="CH141" s="1676" t="str">
        <f>CG138&amp;CH140</f>
        <v>YgdramarCaballero</v>
      </c>
      <c r="CI141" s="1680" t="str">
        <f>CG138&amp;CI140</f>
        <v>YgdramarNobleza</v>
      </c>
      <c r="CJ141" s="1676" t="str">
        <f>CJ138&amp;CJ140</f>
        <v>ElciaBaja</v>
      </c>
      <c r="CK141" s="1676" t="str">
        <f>CJ138&amp;CK140</f>
        <v>ElciaGremio</v>
      </c>
      <c r="CL141" s="1676" t="str">
        <f>CJ138&amp;CL140</f>
        <v>ElciaBurgués</v>
      </c>
      <c r="CM141" s="1676" t="str">
        <f>CJ138&amp;CM140</f>
        <v>ElciaNobleza gremial</v>
      </c>
      <c r="CN141" s="1679" t="str">
        <f>CN138&amp;CN140</f>
        <v>EspheriaMedia / Baja</v>
      </c>
      <c r="CO141" s="1680" t="str">
        <f>CN138&amp;CO140</f>
        <v>EspheriaBurgués</v>
      </c>
      <c r="CP141" s="1676" t="str">
        <f>CP138&amp;CP140</f>
        <v>ItziMedia / Baja</v>
      </c>
      <c r="CQ141" s="1676" t="str">
        <f>CP138&amp;CQ140</f>
        <v>ItziAlta</v>
      </c>
      <c r="CR141" s="1679" t="str">
        <f>CR138&amp;CR140</f>
        <v>DafneMedia / Baja</v>
      </c>
      <c r="CS141" s="1676" t="str">
        <f>CR138&amp;CS140</f>
        <v>DafneBurgués</v>
      </c>
      <c r="CT141" s="1680" t="str">
        <f>CR138&amp;CT140</f>
        <v>DafneNobleza</v>
      </c>
      <c r="CU141" s="1676" t="str">
        <f>CU138&amp;CU140</f>
        <v>BekentNómada</v>
      </c>
      <c r="CV141" s="1676" t="str">
        <f>CU138&amp;CV140</f>
        <v>BekentPrivilegiado</v>
      </c>
      <c r="CW141" s="1679" t="str">
        <f>CW138&amp;CW140</f>
        <v>HeinleinMedia / Baja</v>
      </c>
      <c r="CX141" s="1676" t="str">
        <f>CW138&amp;CX140</f>
        <v>HeinleinBurgués</v>
      </c>
      <c r="CY141" s="1680" t="str">
        <f>CW138&amp;CY140</f>
        <v>HeinleinNobleza</v>
      </c>
      <c r="CZ141" s="1676" t="str">
        <f>CZ138&amp;CZ140</f>
        <v>DravenorSoldado / Refugiado</v>
      </c>
      <c r="DA141" s="1679" t="str">
        <f>DA138&amp;DA140</f>
        <v>TheresiaMedia / Baja</v>
      </c>
      <c r="DB141" s="1676" t="str">
        <f>DA138&amp;DB140</f>
        <v>TheresiaBurgués</v>
      </c>
      <c r="DC141" s="1680" t="str">
        <f>DA138&amp;DC140</f>
        <v>TheresiaNobleza</v>
      </c>
      <c r="DD141" s="1676" t="str">
        <f>DD138&amp;DD140</f>
        <v>DeloranMedia / Baja</v>
      </c>
      <c r="DE141" s="1677" t="str">
        <f>DD138&amp;DE140</f>
        <v>DeloranBurgués</v>
      </c>
    </row>
    <row r="142" spans="1:109" ht="12.75" customHeight="1" x14ac:dyDescent="0.2">
      <c r="A142" s="1916">
        <v>142</v>
      </c>
      <c r="B142" s="5148"/>
      <c r="C142" s="1654" t="s">
        <v>7779</v>
      </c>
      <c r="D142" s="1655"/>
      <c r="F142" s="2437">
        <v>2</v>
      </c>
      <c r="G142" s="597" t="s">
        <v>1714</v>
      </c>
      <c r="H142" s="2416"/>
      <c r="I142" s="2418"/>
      <c r="J142" s="2439"/>
      <c r="K142" s="2418"/>
      <c r="L142" s="2418"/>
      <c r="M142" s="2416"/>
      <c r="N142" s="2418"/>
      <c r="O142" s="2439"/>
      <c r="P142" s="2418"/>
      <c r="Q142" s="2418"/>
      <c r="R142" s="2416"/>
      <c r="S142" s="2439"/>
      <c r="T142" s="2418">
        <v>10</v>
      </c>
      <c r="U142" s="2416"/>
      <c r="V142" s="2439"/>
      <c r="W142" s="2418"/>
      <c r="X142" s="2418"/>
      <c r="Y142" s="2416"/>
      <c r="Z142" s="2418"/>
      <c r="AA142" s="2439"/>
      <c r="AB142" s="2474"/>
      <c r="AC142" s="2418"/>
      <c r="AD142" s="2416"/>
      <c r="AE142" s="2439"/>
      <c r="AF142" s="2418"/>
      <c r="AG142" s="2418"/>
      <c r="AH142" s="2418"/>
      <c r="AI142" s="2416"/>
      <c r="AJ142" s="2418"/>
      <c r="AK142" s="2439"/>
      <c r="AL142" s="2418"/>
      <c r="AM142" s="2418"/>
      <c r="AN142" s="2418"/>
      <c r="AO142" s="2418"/>
      <c r="AP142" s="2416"/>
      <c r="AQ142" s="2418"/>
      <c r="AR142" s="2439"/>
      <c r="AS142" s="2418"/>
      <c r="AT142" s="2418"/>
      <c r="AU142" s="2416">
        <v>20</v>
      </c>
      <c r="AV142" s="2418"/>
      <c r="AW142" s="2439"/>
      <c r="AX142" s="2418"/>
      <c r="AY142" s="2418"/>
      <c r="AZ142" s="2416"/>
      <c r="BA142" s="2439"/>
      <c r="BB142" s="2418"/>
      <c r="BC142" s="2418"/>
      <c r="BD142" s="2416"/>
      <c r="BE142" s="2439"/>
      <c r="BF142" s="2418"/>
      <c r="BG142" s="2418"/>
      <c r="BH142" s="2440"/>
      <c r="BI142" s="2416"/>
      <c r="BJ142" s="2439"/>
      <c r="BK142" s="2418"/>
      <c r="BL142" s="2418"/>
      <c r="BM142" s="2440"/>
      <c r="BN142" s="2418"/>
      <c r="BO142" s="2418"/>
      <c r="BP142" s="2416"/>
      <c r="BQ142" s="2418"/>
      <c r="BR142" s="2439"/>
      <c r="BS142" s="2418">
        <v>20</v>
      </c>
      <c r="BT142" s="2418"/>
      <c r="BU142" s="2416"/>
      <c r="BV142" s="2418"/>
      <c r="BW142" s="2418"/>
      <c r="BX142" s="2439"/>
      <c r="BY142" s="2418"/>
      <c r="BZ142" s="2418"/>
      <c r="CA142" s="2418"/>
      <c r="CB142" s="2416"/>
      <c r="CC142" s="2418"/>
      <c r="CD142" s="2439"/>
      <c r="CE142" s="2418"/>
      <c r="CF142" s="2418"/>
      <c r="CG142" s="2416"/>
      <c r="CH142" s="2418"/>
      <c r="CI142" s="2439"/>
      <c r="CJ142" s="2418"/>
      <c r="CK142" s="2418"/>
      <c r="CL142" s="2418"/>
      <c r="CM142" s="2418"/>
      <c r="CN142" s="2416"/>
      <c r="CO142" s="2439"/>
      <c r="CP142" s="2418"/>
      <c r="CQ142" s="2418"/>
      <c r="CR142" s="2416"/>
      <c r="CS142" s="2418"/>
      <c r="CT142" s="2439"/>
      <c r="CU142" s="2418"/>
      <c r="CV142" s="2418"/>
      <c r="CW142" s="2416"/>
      <c r="CX142" s="2418"/>
      <c r="CY142" s="2439"/>
      <c r="CZ142" s="2418"/>
      <c r="DA142" s="2416"/>
      <c r="DB142" s="2418"/>
      <c r="DC142" s="2439"/>
      <c r="DD142" s="2418"/>
      <c r="DE142" s="2417"/>
    </row>
    <row r="143" spans="1:109" ht="12.75" customHeight="1" x14ac:dyDescent="0.2">
      <c r="A143" s="1916">
        <v>143</v>
      </c>
      <c r="B143" s="5148"/>
      <c r="C143" s="1654" t="s">
        <v>7780</v>
      </c>
      <c r="D143" s="1655"/>
      <c r="F143" s="2437">
        <v>3</v>
      </c>
      <c r="G143" s="597" t="s">
        <v>1716</v>
      </c>
      <c r="H143" s="2416">
        <v>30</v>
      </c>
      <c r="I143" s="2418"/>
      <c r="J143" s="2439"/>
      <c r="K143" s="2418"/>
      <c r="L143" s="2418"/>
      <c r="M143" s="2416">
        <v>20</v>
      </c>
      <c r="N143" s="2418">
        <v>20</v>
      </c>
      <c r="O143" s="2439">
        <v>20</v>
      </c>
      <c r="P143" s="2418">
        <v>20</v>
      </c>
      <c r="Q143" s="2418">
        <v>20</v>
      </c>
      <c r="R143" s="2416">
        <v>20</v>
      </c>
      <c r="S143" s="2439">
        <v>20</v>
      </c>
      <c r="T143" s="2418">
        <v>30</v>
      </c>
      <c r="U143" s="2416"/>
      <c r="V143" s="2439"/>
      <c r="W143" s="2418">
        <v>20</v>
      </c>
      <c r="X143" s="2418">
        <v>20</v>
      </c>
      <c r="Y143" s="2416">
        <v>20</v>
      </c>
      <c r="Z143" s="2418"/>
      <c r="AA143" s="2439"/>
      <c r="AB143" s="2474">
        <v>20</v>
      </c>
      <c r="AC143" s="2418"/>
      <c r="AD143" s="2416">
        <v>20</v>
      </c>
      <c r="AE143" s="2439">
        <v>20</v>
      </c>
      <c r="AF143" s="2418">
        <v>30</v>
      </c>
      <c r="AG143" s="2418">
        <v>20</v>
      </c>
      <c r="AH143" s="2418">
        <v>20</v>
      </c>
      <c r="AI143" s="2416">
        <v>20</v>
      </c>
      <c r="AJ143" s="2418">
        <v>20</v>
      </c>
      <c r="AK143" s="2439">
        <v>20</v>
      </c>
      <c r="AL143" s="2418">
        <v>20</v>
      </c>
      <c r="AM143" s="2418">
        <v>20</v>
      </c>
      <c r="AN143" s="2418">
        <v>20</v>
      </c>
      <c r="AO143" s="2418">
        <v>20</v>
      </c>
      <c r="AP143" s="2416"/>
      <c r="AQ143" s="2418"/>
      <c r="AR143" s="2439"/>
      <c r="AS143" s="2418"/>
      <c r="AT143" s="2418"/>
      <c r="AU143" s="2416">
        <v>20</v>
      </c>
      <c r="AV143" s="2418"/>
      <c r="AW143" s="2439"/>
      <c r="AX143" s="2418">
        <v>20</v>
      </c>
      <c r="AY143" s="2418"/>
      <c r="AZ143" s="2416"/>
      <c r="BA143" s="2439"/>
      <c r="BB143" s="2418">
        <v>20</v>
      </c>
      <c r="BC143" s="2418">
        <v>20</v>
      </c>
      <c r="BD143" s="2416">
        <v>20</v>
      </c>
      <c r="BE143" s="2439"/>
      <c r="BF143" s="2418">
        <v>20</v>
      </c>
      <c r="BG143" s="2418"/>
      <c r="BH143" s="2440">
        <v>30</v>
      </c>
      <c r="BI143" s="2416">
        <v>20</v>
      </c>
      <c r="BJ143" s="2439"/>
      <c r="BK143" s="2418">
        <v>20</v>
      </c>
      <c r="BL143" s="2418">
        <v>20</v>
      </c>
      <c r="BM143" s="2440">
        <v>40</v>
      </c>
      <c r="BN143" s="2418"/>
      <c r="BO143" s="2418">
        <v>20</v>
      </c>
      <c r="BP143" s="2416">
        <v>30</v>
      </c>
      <c r="BQ143" s="2418">
        <v>20</v>
      </c>
      <c r="BR143" s="2439">
        <v>20</v>
      </c>
      <c r="BS143" s="2418">
        <v>20</v>
      </c>
      <c r="BT143" s="2418"/>
      <c r="BU143" s="2416">
        <v>30</v>
      </c>
      <c r="BV143" s="2418">
        <v>20</v>
      </c>
      <c r="BW143" s="2418"/>
      <c r="BX143" s="2439"/>
      <c r="BY143" s="2418">
        <v>20</v>
      </c>
      <c r="BZ143" s="2418">
        <v>20</v>
      </c>
      <c r="CA143" s="2418">
        <v>20</v>
      </c>
      <c r="CB143" s="2416">
        <v>20</v>
      </c>
      <c r="CC143" s="2418"/>
      <c r="CD143" s="2439"/>
      <c r="CE143" s="2418">
        <v>20</v>
      </c>
      <c r="CF143" s="2418">
        <v>20</v>
      </c>
      <c r="CG143" s="2416">
        <v>30</v>
      </c>
      <c r="CH143" s="2418">
        <v>30</v>
      </c>
      <c r="CI143" s="2439"/>
      <c r="CJ143" s="2418">
        <v>30</v>
      </c>
      <c r="CK143" s="2418">
        <v>30</v>
      </c>
      <c r="CL143" s="2418"/>
      <c r="CM143" s="2418"/>
      <c r="CN143" s="2416">
        <v>20</v>
      </c>
      <c r="CO143" s="2439"/>
      <c r="CP143" s="2418">
        <v>20</v>
      </c>
      <c r="CQ143" s="2418">
        <v>20</v>
      </c>
      <c r="CR143" s="2416">
        <v>20</v>
      </c>
      <c r="CS143" s="2418"/>
      <c r="CT143" s="2439"/>
      <c r="CU143" s="2418">
        <v>20</v>
      </c>
      <c r="CV143" s="2418">
        <v>20</v>
      </c>
      <c r="CW143" s="2416">
        <v>20</v>
      </c>
      <c r="CX143" s="2418">
        <v>20</v>
      </c>
      <c r="CY143" s="2439">
        <v>20</v>
      </c>
      <c r="CZ143" s="2418">
        <v>20</v>
      </c>
      <c r="DA143" s="2416">
        <v>20</v>
      </c>
      <c r="DB143" s="2418"/>
      <c r="DC143" s="2439"/>
      <c r="DD143" s="2418">
        <v>30</v>
      </c>
      <c r="DE143" s="2417">
        <v>20</v>
      </c>
    </row>
    <row r="144" spans="1:109" ht="12.75" customHeight="1" x14ac:dyDescent="0.2">
      <c r="A144" s="1916">
        <v>144</v>
      </c>
      <c r="B144" s="5148"/>
      <c r="C144" s="1654" t="s">
        <v>7781</v>
      </c>
      <c r="D144" s="1655"/>
      <c r="F144" s="2437">
        <v>4</v>
      </c>
      <c r="G144" s="597" t="s">
        <v>1719</v>
      </c>
      <c r="H144" s="2416">
        <v>20</v>
      </c>
      <c r="I144" s="2418">
        <v>20</v>
      </c>
      <c r="J144" s="2439">
        <v>20</v>
      </c>
      <c r="K144" s="2418"/>
      <c r="L144" s="2418"/>
      <c r="M144" s="2416">
        <v>40</v>
      </c>
      <c r="N144" s="2418">
        <v>40</v>
      </c>
      <c r="O144" s="2439">
        <v>40</v>
      </c>
      <c r="P144" s="2418">
        <v>20</v>
      </c>
      <c r="Q144" s="2418">
        <v>20</v>
      </c>
      <c r="R144" s="2416"/>
      <c r="S144" s="2439"/>
      <c r="T144" s="2418"/>
      <c r="U144" s="2416">
        <v>10</v>
      </c>
      <c r="V144" s="2439">
        <v>20</v>
      </c>
      <c r="W144" s="2418">
        <v>20</v>
      </c>
      <c r="X144" s="2418">
        <v>20</v>
      </c>
      <c r="Y144" s="2416">
        <v>20</v>
      </c>
      <c r="Z144" s="2418">
        <v>20</v>
      </c>
      <c r="AA144" s="2439">
        <v>20</v>
      </c>
      <c r="AB144" s="2474"/>
      <c r="AC144" s="2418">
        <v>20</v>
      </c>
      <c r="AD144" s="2416">
        <v>30</v>
      </c>
      <c r="AE144" s="2439">
        <v>30</v>
      </c>
      <c r="AF144" s="2418">
        <v>20</v>
      </c>
      <c r="AG144" s="2418">
        <v>20</v>
      </c>
      <c r="AH144" s="2418">
        <v>20</v>
      </c>
      <c r="AI144" s="2416"/>
      <c r="AJ144" s="2418"/>
      <c r="AK144" s="2439"/>
      <c r="AL144" s="2418">
        <v>20</v>
      </c>
      <c r="AM144" s="2418">
        <v>20</v>
      </c>
      <c r="AN144" s="2418"/>
      <c r="AO144" s="2418">
        <v>20</v>
      </c>
      <c r="AP144" s="2416">
        <v>20</v>
      </c>
      <c r="AQ144" s="2418">
        <v>20</v>
      </c>
      <c r="AR144" s="2439">
        <v>20</v>
      </c>
      <c r="AS144" s="2418"/>
      <c r="AT144" s="2418"/>
      <c r="AU144" s="2416">
        <v>20</v>
      </c>
      <c r="AV144" s="2418">
        <v>20</v>
      </c>
      <c r="AW144" s="2439">
        <v>20</v>
      </c>
      <c r="AX144" s="2418">
        <v>20</v>
      </c>
      <c r="AY144" s="2418">
        <v>20</v>
      </c>
      <c r="AZ144" s="2416"/>
      <c r="BA144" s="2439"/>
      <c r="BB144" s="2418">
        <v>20</v>
      </c>
      <c r="BC144" s="2418">
        <v>20</v>
      </c>
      <c r="BD144" s="2416">
        <v>20</v>
      </c>
      <c r="BE144" s="2439">
        <v>20</v>
      </c>
      <c r="BF144" s="2418"/>
      <c r="BG144" s="2418">
        <v>20</v>
      </c>
      <c r="BH144" s="2440">
        <v>20</v>
      </c>
      <c r="BI144" s="2416"/>
      <c r="BJ144" s="2439"/>
      <c r="BK144" s="2418">
        <v>20</v>
      </c>
      <c r="BL144" s="2418">
        <v>20</v>
      </c>
      <c r="BM144" s="2440"/>
      <c r="BN144" s="2418"/>
      <c r="BO144" s="2418"/>
      <c r="BP144" s="2416"/>
      <c r="BQ144" s="2418"/>
      <c r="BR144" s="2439">
        <v>20</v>
      </c>
      <c r="BS144" s="2418"/>
      <c r="BT144" s="2418">
        <v>20</v>
      </c>
      <c r="BU144" s="2416">
        <v>30</v>
      </c>
      <c r="BV144" s="2418"/>
      <c r="BW144" s="2418">
        <v>20</v>
      </c>
      <c r="BX144" s="2439">
        <v>20</v>
      </c>
      <c r="BY144" s="2418">
        <v>20</v>
      </c>
      <c r="BZ144" s="2418">
        <v>20</v>
      </c>
      <c r="CA144" s="2418">
        <v>20</v>
      </c>
      <c r="CB144" s="2416">
        <v>20</v>
      </c>
      <c r="CC144" s="2418">
        <v>20</v>
      </c>
      <c r="CD144" s="2439">
        <v>20</v>
      </c>
      <c r="CE144" s="2418"/>
      <c r="CF144" s="2418">
        <v>20</v>
      </c>
      <c r="CG144" s="2416"/>
      <c r="CH144" s="2418">
        <v>30</v>
      </c>
      <c r="CI144" s="2439">
        <v>20</v>
      </c>
      <c r="CJ144" s="2418"/>
      <c r="CK144" s="2418"/>
      <c r="CL144" s="2418">
        <v>20</v>
      </c>
      <c r="CM144" s="2418">
        <v>20</v>
      </c>
      <c r="CN144" s="2416"/>
      <c r="CO144" s="2439">
        <v>20</v>
      </c>
      <c r="CP144" s="2418"/>
      <c r="CQ144" s="2418"/>
      <c r="CR144" s="2416"/>
      <c r="CS144" s="2418"/>
      <c r="CT144" s="2439">
        <v>20</v>
      </c>
      <c r="CU144" s="2418"/>
      <c r="CV144" s="2418"/>
      <c r="CW144" s="2416"/>
      <c r="CX144" s="2418"/>
      <c r="CY144" s="2439"/>
      <c r="CZ144" s="2418"/>
      <c r="DA144" s="2416"/>
      <c r="DB144" s="2418">
        <v>20</v>
      </c>
      <c r="DC144" s="2439">
        <v>20</v>
      </c>
      <c r="DD144" s="2418"/>
      <c r="DE144" s="2417"/>
    </row>
    <row r="145" spans="1:109" ht="12.75" customHeight="1" x14ac:dyDescent="0.2">
      <c r="A145" s="1916">
        <v>145</v>
      </c>
      <c r="B145" s="5148"/>
      <c r="C145" s="1654" t="s">
        <v>7782</v>
      </c>
      <c r="D145" s="1655"/>
      <c r="F145" s="2437">
        <v>5</v>
      </c>
      <c r="G145" s="597" t="s">
        <v>1723</v>
      </c>
      <c r="H145" s="2416">
        <v>20</v>
      </c>
      <c r="I145" s="2418">
        <v>20</v>
      </c>
      <c r="J145" s="2439"/>
      <c r="K145" s="2418"/>
      <c r="L145" s="2418"/>
      <c r="M145" s="2416">
        <v>20</v>
      </c>
      <c r="N145" s="2418"/>
      <c r="O145" s="2439">
        <v>20</v>
      </c>
      <c r="P145" s="2418"/>
      <c r="Q145" s="2418"/>
      <c r="R145" s="2416"/>
      <c r="S145" s="2439"/>
      <c r="T145" s="2418"/>
      <c r="U145" s="2416">
        <v>20</v>
      </c>
      <c r="V145" s="2439">
        <v>20</v>
      </c>
      <c r="W145" s="2418">
        <v>30</v>
      </c>
      <c r="X145" s="2418"/>
      <c r="Y145" s="2416"/>
      <c r="Z145" s="2418"/>
      <c r="AA145" s="2439"/>
      <c r="AB145" s="2474">
        <v>20</v>
      </c>
      <c r="AC145" s="2418">
        <v>20</v>
      </c>
      <c r="AD145" s="2416">
        <v>10</v>
      </c>
      <c r="AE145" s="2439"/>
      <c r="AF145" s="2418">
        <v>20</v>
      </c>
      <c r="AG145" s="2418">
        <v>20</v>
      </c>
      <c r="AH145" s="2418">
        <v>20</v>
      </c>
      <c r="AI145" s="2416"/>
      <c r="AJ145" s="2418">
        <v>20</v>
      </c>
      <c r="AK145" s="2439"/>
      <c r="AL145" s="2418"/>
      <c r="AM145" s="2418"/>
      <c r="AN145" s="2418">
        <v>20</v>
      </c>
      <c r="AO145" s="2418"/>
      <c r="AP145" s="2416"/>
      <c r="AQ145" s="2418"/>
      <c r="AR145" s="2439"/>
      <c r="AS145" s="2418">
        <v>20</v>
      </c>
      <c r="AT145" s="2418">
        <v>20</v>
      </c>
      <c r="AU145" s="2416">
        <v>20</v>
      </c>
      <c r="AV145" s="2418"/>
      <c r="AW145" s="2439"/>
      <c r="AX145" s="2418"/>
      <c r="AY145" s="2418"/>
      <c r="AZ145" s="2416">
        <v>20</v>
      </c>
      <c r="BA145" s="2439"/>
      <c r="BB145" s="2418"/>
      <c r="BC145" s="2418"/>
      <c r="BD145" s="2416"/>
      <c r="BE145" s="2439"/>
      <c r="BF145" s="2418"/>
      <c r="BG145" s="2418"/>
      <c r="BH145" s="2440"/>
      <c r="BI145" s="2416"/>
      <c r="BJ145" s="2439">
        <v>20</v>
      </c>
      <c r="BK145" s="2418"/>
      <c r="BL145" s="2418"/>
      <c r="BM145" s="2440">
        <v>10</v>
      </c>
      <c r="BN145" s="2418">
        <v>20</v>
      </c>
      <c r="BO145" s="2418">
        <v>20</v>
      </c>
      <c r="BP145" s="2416">
        <v>20</v>
      </c>
      <c r="BQ145" s="2418">
        <v>20</v>
      </c>
      <c r="BR145" s="2439">
        <v>20</v>
      </c>
      <c r="BS145" s="2418">
        <v>20</v>
      </c>
      <c r="BT145" s="2418"/>
      <c r="BU145" s="2416">
        <v>20</v>
      </c>
      <c r="BV145" s="2418">
        <v>20</v>
      </c>
      <c r="BW145" s="2418">
        <v>20</v>
      </c>
      <c r="BX145" s="2439"/>
      <c r="BY145" s="2418"/>
      <c r="BZ145" s="2418"/>
      <c r="CA145" s="2418"/>
      <c r="CB145" s="2416">
        <v>30</v>
      </c>
      <c r="CC145" s="2418">
        <v>30</v>
      </c>
      <c r="CD145" s="2439">
        <v>30</v>
      </c>
      <c r="CE145" s="2418"/>
      <c r="CF145" s="2418"/>
      <c r="CG145" s="2416"/>
      <c r="CH145" s="2418"/>
      <c r="CI145" s="2439"/>
      <c r="CJ145" s="2418"/>
      <c r="CK145" s="2418"/>
      <c r="CL145" s="2418"/>
      <c r="CM145" s="2418"/>
      <c r="CN145" s="2416">
        <v>20</v>
      </c>
      <c r="CO145" s="2439">
        <v>20</v>
      </c>
      <c r="CP145" s="2418"/>
      <c r="CQ145" s="2418"/>
      <c r="CR145" s="2416"/>
      <c r="CS145" s="2418"/>
      <c r="CT145" s="2439"/>
      <c r="CU145" s="2418"/>
      <c r="CV145" s="2418"/>
      <c r="CW145" s="2416"/>
      <c r="CX145" s="2418"/>
      <c r="CY145" s="2439"/>
      <c r="CZ145" s="2418"/>
      <c r="DA145" s="2416">
        <v>20</v>
      </c>
      <c r="DB145" s="2418">
        <v>20</v>
      </c>
      <c r="DC145" s="2439"/>
      <c r="DD145" s="2418"/>
      <c r="DE145" s="2417"/>
    </row>
    <row r="146" spans="1:109" ht="12.75" customHeight="1" x14ac:dyDescent="0.2">
      <c r="A146" s="1916">
        <v>146</v>
      </c>
      <c r="B146" s="5148"/>
      <c r="C146" s="1654" t="s">
        <v>7783</v>
      </c>
      <c r="D146" s="1655"/>
      <c r="F146" s="2437">
        <v>6</v>
      </c>
      <c r="G146" s="597" t="s">
        <v>1726</v>
      </c>
      <c r="H146" s="2416"/>
      <c r="I146" s="2418"/>
      <c r="J146" s="2439"/>
      <c r="K146" s="2418"/>
      <c r="L146" s="2418"/>
      <c r="M146" s="2416">
        <v>20</v>
      </c>
      <c r="N146" s="2418">
        <v>20</v>
      </c>
      <c r="O146" s="2439">
        <v>20</v>
      </c>
      <c r="P146" s="2418"/>
      <c r="Q146" s="2418"/>
      <c r="R146" s="2416">
        <v>20</v>
      </c>
      <c r="S146" s="2439">
        <v>20</v>
      </c>
      <c r="T146" s="2418">
        <v>20</v>
      </c>
      <c r="U146" s="2416"/>
      <c r="V146" s="2439"/>
      <c r="W146" s="2418"/>
      <c r="X146" s="2418"/>
      <c r="Y146" s="2416">
        <v>20</v>
      </c>
      <c r="Z146" s="2418"/>
      <c r="AA146" s="2439"/>
      <c r="AB146" s="2474"/>
      <c r="AC146" s="2418"/>
      <c r="AD146" s="2416"/>
      <c r="AE146" s="2439"/>
      <c r="AF146" s="2418"/>
      <c r="AG146" s="2418"/>
      <c r="AH146" s="2418"/>
      <c r="AI146" s="2416">
        <v>20</v>
      </c>
      <c r="AJ146" s="2418">
        <v>20</v>
      </c>
      <c r="AK146" s="2439"/>
      <c r="AL146" s="2418"/>
      <c r="AM146" s="2418"/>
      <c r="AN146" s="2418"/>
      <c r="AO146" s="2418"/>
      <c r="AP146" s="2416">
        <v>20</v>
      </c>
      <c r="AQ146" s="2418">
        <v>20</v>
      </c>
      <c r="AR146" s="2439"/>
      <c r="AS146" s="2418"/>
      <c r="AT146" s="2418"/>
      <c r="AU146" s="2416"/>
      <c r="AV146" s="2418"/>
      <c r="AW146" s="2439"/>
      <c r="AX146" s="2418"/>
      <c r="AY146" s="2418"/>
      <c r="AZ146" s="2416"/>
      <c r="BA146" s="2439"/>
      <c r="BB146" s="2418">
        <v>20</v>
      </c>
      <c r="BC146" s="2418"/>
      <c r="BD146" s="2416">
        <v>20</v>
      </c>
      <c r="BE146" s="2439"/>
      <c r="BF146" s="2418"/>
      <c r="BG146" s="2418"/>
      <c r="BH146" s="2440"/>
      <c r="BI146" s="2416">
        <v>20</v>
      </c>
      <c r="BJ146" s="2439">
        <v>10</v>
      </c>
      <c r="BK146" s="2418"/>
      <c r="BL146" s="2418"/>
      <c r="BM146" s="2440"/>
      <c r="BN146" s="2418"/>
      <c r="BO146" s="2418">
        <v>20</v>
      </c>
      <c r="BP146" s="2416">
        <v>20</v>
      </c>
      <c r="BQ146" s="2418"/>
      <c r="BR146" s="2439"/>
      <c r="BS146" s="2418">
        <v>20</v>
      </c>
      <c r="BT146" s="2418"/>
      <c r="BU146" s="2416"/>
      <c r="BV146" s="2418">
        <v>20</v>
      </c>
      <c r="BW146" s="2418"/>
      <c r="BX146" s="2439"/>
      <c r="BY146" s="2418"/>
      <c r="BZ146" s="2418">
        <v>20</v>
      </c>
      <c r="CA146" s="2418"/>
      <c r="CB146" s="2416"/>
      <c r="CC146" s="2418"/>
      <c r="CD146" s="2439"/>
      <c r="CE146" s="2418">
        <v>20</v>
      </c>
      <c r="CF146" s="2418"/>
      <c r="CG146" s="2416">
        <v>20</v>
      </c>
      <c r="CH146" s="2418"/>
      <c r="CI146" s="2439"/>
      <c r="CJ146" s="2418"/>
      <c r="CK146" s="2418"/>
      <c r="CL146" s="2418"/>
      <c r="CM146" s="2418"/>
      <c r="CN146" s="2416"/>
      <c r="CO146" s="2439"/>
      <c r="CP146" s="2418">
        <v>20</v>
      </c>
      <c r="CQ146" s="2418"/>
      <c r="CR146" s="2416"/>
      <c r="CS146" s="2418"/>
      <c r="CT146" s="2439"/>
      <c r="CU146" s="2418">
        <v>20</v>
      </c>
      <c r="CV146" s="2418"/>
      <c r="CW146" s="2416">
        <v>20</v>
      </c>
      <c r="CX146" s="2418"/>
      <c r="CY146" s="2439"/>
      <c r="CZ146" s="2418">
        <v>20</v>
      </c>
      <c r="DA146" s="2416">
        <v>20</v>
      </c>
      <c r="DB146" s="2418"/>
      <c r="DC146" s="2439"/>
      <c r="DD146" s="2418">
        <v>20</v>
      </c>
      <c r="DE146" s="2417"/>
    </row>
    <row r="147" spans="1:109" ht="12.75" customHeight="1" x14ac:dyDescent="0.2">
      <c r="A147" s="1916">
        <v>147</v>
      </c>
      <c r="B147" s="5148"/>
      <c r="C147" s="1654" t="s">
        <v>7784</v>
      </c>
      <c r="D147" s="1655"/>
      <c r="F147" s="2437">
        <v>7</v>
      </c>
      <c r="G147" s="597" t="s">
        <v>1729</v>
      </c>
      <c r="H147" s="2416"/>
      <c r="I147" s="2418"/>
      <c r="J147" s="2439"/>
      <c r="K147" s="2418"/>
      <c r="L147" s="2418"/>
      <c r="M147" s="2416"/>
      <c r="N147" s="2418"/>
      <c r="O147" s="2439"/>
      <c r="P147" s="2418"/>
      <c r="Q147" s="2418"/>
      <c r="R147" s="2416"/>
      <c r="S147" s="2439"/>
      <c r="T147" s="2418"/>
      <c r="U147" s="2416"/>
      <c r="V147" s="2439"/>
      <c r="W147" s="2418"/>
      <c r="X147" s="2418"/>
      <c r="Y147" s="2416"/>
      <c r="Z147" s="2418"/>
      <c r="AA147" s="2439"/>
      <c r="AB147" s="2474">
        <v>20</v>
      </c>
      <c r="AC147" s="2418"/>
      <c r="AD147" s="2416"/>
      <c r="AE147" s="2439"/>
      <c r="AF147" s="2418"/>
      <c r="AG147" s="2418"/>
      <c r="AH147" s="2418"/>
      <c r="AI147" s="2416"/>
      <c r="AJ147" s="2418"/>
      <c r="AK147" s="2439"/>
      <c r="AL147" s="2418"/>
      <c r="AM147" s="2418"/>
      <c r="AN147" s="2418"/>
      <c r="AO147" s="2418"/>
      <c r="AP147" s="2416"/>
      <c r="AQ147" s="2418"/>
      <c r="AR147" s="2439"/>
      <c r="AS147" s="2418"/>
      <c r="AT147" s="2418"/>
      <c r="AU147" s="2416"/>
      <c r="AV147" s="2418"/>
      <c r="AW147" s="2439"/>
      <c r="AX147" s="2418"/>
      <c r="AY147" s="2418"/>
      <c r="AZ147" s="2416"/>
      <c r="BA147" s="2439"/>
      <c r="BB147" s="2418"/>
      <c r="BC147" s="2418"/>
      <c r="BD147" s="2416"/>
      <c r="BE147" s="2439"/>
      <c r="BF147" s="2418"/>
      <c r="BG147" s="2418"/>
      <c r="BH147" s="2440"/>
      <c r="BI147" s="2416"/>
      <c r="BJ147" s="2439"/>
      <c r="BK147" s="2418"/>
      <c r="BL147" s="2418"/>
      <c r="BM147" s="2440"/>
      <c r="BN147" s="2418"/>
      <c r="BO147" s="2418"/>
      <c r="BP147" s="2416"/>
      <c r="BQ147" s="2418"/>
      <c r="BR147" s="2439"/>
      <c r="BS147" s="2418"/>
      <c r="BT147" s="2418"/>
      <c r="BU147" s="2416"/>
      <c r="BV147" s="2418">
        <v>20</v>
      </c>
      <c r="BW147" s="2418"/>
      <c r="BX147" s="2439"/>
      <c r="BY147" s="2418"/>
      <c r="BZ147" s="2418">
        <v>20</v>
      </c>
      <c r="CA147" s="2418"/>
      <c r="CB147" s="2416"/>
      <c r="CC147" s="2418"/>
      <c r="CD147" s="2439"/>
      <c r="CE147" s="2418"/>
      <c r="CF147" s="2418"/>
      <c r="CG147" s="2416">
        <v>20</v>
      </c>
      <c r="CH147" s="2418"/>
      <c r="CI147" s="2439"/>
      <c r="CJ147" s="2418"/>
      <c r="CK147" s="2418"/>
      <c r="CL147" s="2418"/>
      <c r="CM147" s="2418"/>
      <c r="CN147" s="2416"/>
      <c r="CO147" s="2439"/>
      <c r="CP147" s="2418"/>
      <c r="CQ147" s="2418"/>
      <c r="CR147" s="2416"/>
      <c r="CS147" s="2418"/>
      <c r="CT147" s="2439"/>
      <c r="CU147" s="2418"/>
      <c r="CV147" s="2418"/>
      <c r="CW147" s="2416"/>
      <c r="CX147" s="2418"/>
      <c r="CY147" s="2439"/>
      <c r="CZ147" s="2418"/>
      <c r="DA147" s="2416">
        <v>20</v>
      </c>
      <c r="DB147" s="2418"/>
      <c r="DC147" s="2439"/>
      <c r="DD147" s="2418">
        <v>20</v>
      </c>
      <c r="DE147" s="2417"/>
    </row>
    <row r="148" spans="1:109" ht="12.75" customHeight="1" x14ac:dyDescent="0.2">
      <c r="A148" s="1916">
        <v>148</v>
      </c>
      <c r="B148" s="5148"/>
      <c r="C148" s="1654" t="s">
        <v>7826</v>
      </c>
      <c r="D148" s="1655"/>
      <c r="F148" s="2437">
        <v>8</v>
      </c>
      <c r="G148" s="597" t="s">
        <v>7754</v>
      </c>
      <c r="H148" s="2416"/>
      <c r="I148" s="2418"/>
      <c r="J148" s="2439"/>
      <c r="K148" s="2418"/>
      <c r="L148" s="2418"/>
      <c r="M148" s="2416"/>
      <c r="N148" s="2418"/>
      <c r="O148" s="2439"/>
      <c r="P148" s="2418"/>
      <c r="Q148" s="2418"/>
      <c r="R148" s="2416"/>
      <c r="S148" s="2439"/>
      <c r="T148" s="2418"/>
      <c r="U148" s="2416"/>
      <c r="V148" s="2439"/>
      <c r="W148" s="2418"/>
      <c r="X148" s="2418"/>
      <c r="Y148" s="2416"/>
      <c r="Z148" s="2418"/>
      <c r="AA148" s="2439"/>
      <c r="AB148" s="2474"/>
      <c r="AC148" s="2418"/>
      <c r="AD148" s="2416"/>
      <c r="AE148" s="2439"/>
      <c r="AF148" s="2418"/>
      <c r="AG148" s="2418"/>
      <c r="AH148" s="2418"/>
      <c r="AI148" s="2416"/>
      <c r="AJ148" s="2418"/>
      <c r="AK148" s="2439"/>
      <c r="AL148" s="2418"/>
      <c r="AM148" s="2418"/>
      <c r="AN148" s="2418"/>
      <c r="AO148" s="2418"/>
      <c r="AP148" s="2416"/>
      <c r="AQ148" s="2418"/>
      <c r="AR148" s="2439"/>
      <c r="AS148" s="2418"/>
      <c r="AT148" s="2418"/>
      <c r="AU148" s="2416"/>
      <c r="AV148" s="2418"/>
      <c r="AW148" s="2439"/>
      <c r="AX148" s="2418"/>
      <c r="AY148" s="2418"/>
      <c r="AZ148" s="2416"/>
      <c r="BA148" s="2439"/>
      <c r="BB148" s="2418"/>
      <c r="BC148" s="2418"/>
      <c r="BD148" s="2416"/>
      <c r="BE148" s="2439"/>
      <c r="BF148" s="2418"/>
      <c r="BG148" s="2418"/>
      <c r="BH148" s="2440"/>
      <c r="BI148" s="2416"/>
      <c r="BJ148" s="2439"/>
      <c r="BK148" s="2418"/>
      <c r="BL148" s="2418"/>
      <c r="BM148" s="2440"/>
      <c r="BN148" s="2418"/>
      <c r="BO148" s="2418"/>
      <c r="BP148" s="2416"/>
      <c r="BQ148" s="2418"/>
      <c r="BR148" s="2439"/>
      <c r="BS148" s="2418"/>
      <c r="BT148" s="2418"/>
      <c r="BU148" s="2416"/>
      <c r="BV148" s="2418"/>
      <c r="BW148" s="2418"/>
      <c r="BX148" s="2439"/>
      <c r="BY148" s="2418"/>
      <c r="BZ148" s="2418"/>
      <c r="CA148" s="2418"/>
      <c r="CB148" s="2416"/>
      <c r="CC148" s="2418"/>
      <c r="CD148" s="2439"/>
      <c r="CE148" s="2418"/>
      <c r="CF148" s="2418"/>
      <c r="CG148" s="2416"/>
      <c r="CH148" s="2418"/>
      <c r="CI148" s="2439"/>
      <c r="CJ148" s="2418"/>
      <c r="CK148" s="2418"/>
      <c r="CL148" s="2418"/>
      <c r="CM148" s="2418"/>
      <c r="CN148" s="2416"/>
      <c r="CO148" s="2439"/>
      <c r="CP148" s="2418"/>
      <c r="CQ148" s="2418"/>
      <c r="CR148" s="2416"/>
      <c r="CS148" s="2418"/>
      <c r="CT148" s="2439"/>
      <c r="CU148" s="2418"/>
      <c r="CV148" s="2418"/>
      <c r="CW148" s="2416"/>
      <c r="CX148" s="2418"/>
      <c r="CY148" s="2439"/>
      <c r="CZ148" s="2418"/>
      <c r="DA148" s="2416"/>
      <c r="DB148" s="2418"/>
      <c r="DC148" s="2439"/>
      <c r="DD148" s="2418"/>
      <c r="DE148" s="2417"/>
    </row>
    <row r="149" spans="1:109" ht="12.75" customHeight="1" x14ac:dyDescent="0.2">
      <c r="A149" s="1916">
        <v>149</v>
      </c>
      <c r="B149" s="5148"/>
      <c r="C149" s="1654" t="s">
        <v>7785</v>
      </c>
      <c r="D149" s="1655"/>
      <c r="F149" s="2437">
        <v>9</v>
      </c>
      <c r="G149" s="597" t="s">
        <v>1733</v>
      </c>
      <c r="H149" s="2416"/>
      <c r="I149" s="2418">
        <v>20</v>
      </c>
      <c r="J149" s="2439">
        <v>20</v>
      </c>
      <c r="K149" s="2418"/>
      <c r="L149" s="2418">
        <v>20</v>
      </c>
      <c r="M149" s="2416"/>
      <c r="N149" s="2418"/>
      <c r="O149" s="2439"/>
      <c r="P149" s="2418"/>
      <c r="Q149" s="2418"/>
      <c r="R149" s="2416"/>
      <c r="S149" s="2439"/>
      <c r="T149" s="2418"/>
      <c r="U149" s="2416"/>
      <c r="V149" s="2439">
        <v>10</v>
      </c>
      <c r="W149" s="2418"/>
      <c r="X149" s="2418"/>
      <c r="Y149" s="2416"/>
      <c r="Z149" s="2418">
        <v>20</v>
      </c>
      <c r="AA149" s="2439">
        <v>20</v>
      </c>
      <c r="AB149" s="2474"/>
      <c r="AC149" s="2418"/>
      <c r="AD149" s="2416"/>
      <c r="AE149" s="2439"/>
      <c r="AF149" s="2418"/>
      <c r="AG149" s="2418"/>
      <c r="AH149" s="2418"/>
      <c r="AI149" s="2416"/>
      <c r="AJ149" s="2418"/>
      <c r="AK149" s="2439"/>
      <c r="AL149" s="2418"/>
      <c r="AM149" s="2418"/>
      <c r="AN149" s="2418"/>
      <c r="AO149" s="2418"/>
      <c r="AP149" s="2416"/>
      <c r="AQ149" s="2418"/>
      <c r="AR149" s="2439"/>
      <c r="AS149" s="2418"/>
      <c r="AT149" s="2418"/>
      <c r="AU149" s="2416"/>
      <c r="AV149" s="2418">
        <v>20</v>
      </c>
      <c r="AW149" s="2439">
        <v>40</v>
      </c>
      <c r="AX149" s="2418"/>
      <c r="AY149" s="2418">
        <v>20</v>
      </c>
      <c r="AZ149" s="2416"/>
      <c r="BA149" s="2439"/>
      <c r="BB149" s="2418"/>
      <c r="BC149" s="2418"/>
      <c r="BD149" s="2416"/>
      <c r="BE149" s="2439">
        <v>20</v>
      </c>
      <c r="BF149" s="2418"/>
      <c r="BG149" s="2418">
        <v>30</v>
      </c>
      <c r="BH149" s="2440"/>
      <c r="BI149" s="2416"/>
      <c r="BJ149" s="2439"/>
      <c r="BK149" s="2418"/>
      <c r="BL149" s="2418"/>
      <c r="BM149" s="2440"/>
      <c r="BN149" s="2418"/>
      <c r="BO149" s="2418"/>
      <c r="BP149" s="2416"/>
      <c r="BQ149" s="2418">
        <v>40</v>
      </c>
      <c r="BR149" s="2439">
        <v>20</v>
      </c>
      <c r="BS149" s="2418">
        <v>20</v>
      </c>
      <c r="BT149" s="2418">
        <v>30</v>
      </c>
      <c r="BU149" s="2416"/>
      <c r="BV149" s="2418"/>
      <c r="BW149" s="2418">
        <v>20</v>
      </c>
      <c r="BX149" s="2439">
        <v>20</v>
      </c>
      <c r="BY149" s="2418"/>
      <c r="BZ149" s="2418"/>
      <c r="CA149" s="2418">
        <v>20</v>
      </c>
      <c r="CB149" s="2416"/>
      <c r="CC149" s="2418"/>
      <c r="CD149" s="2439">
        <v>10</v>
      </c>
      <c r="CE149" s="2418"/>
      <c r="CF149" s="2418"/>
      <c r="CG149" s="2416"/>
      <c r="CH149" s="2418">
        <v>20</v>
      </c>
      <c r="CI149" s="2439">
        <v>30</v>
      </c>
      <c r="CJ149" s="2418"/>
      <c r="CK149" s="2418"/>
      <c r="CL149" s="2418">
        <v>20</v>
      </c>
      <c r="CM149" s="2418"/>
      <c r="CN149" s="2416"/>
      <c r="CO149" s="2439">
        <v>20</v>
      </c>
      <c r="CP149" s="2418"/>
      <c r="CQ149" s="2418"/>
      <c r="CR149" s="2416">
        <v>20</v>
      </c>
      <c r="CS149" s="2418">
        <v>20</v>
      </c>
      <c r="CT149" s="2439">
        <v>30</v>
      </c>
      <c r="CU149" s="2418"/>
      <c r="CV149" s="2418"/>
      <c r="CW149" s="2416"/>
      <c r="CX149" s="2418"/>
      <c r="CY149" s="2439"/>
      <c r="CZ149" s="2418"/>
      <c r="DA149" s="2416"/>
      <c r="DB149" s="2418">
        <v>20</v>
      </c>
      <c r="DC149" s="2439">
        <v>20</v>
      </c>
      <c r="DD149" s="2418"/>
      <c r="DE149" s="2417"/>
    </row>
    <row r="150" spans="1:109" ht="12.75" customHeight="1" x14ac:dyDescent="0.2">
      <c r="A150" s="1916">
        <v>150</v>
      </c>
      <c r="B150" s="5148"/>
      <c r="C150" s="1654" t="s">
        <v>7786</v>
      </c>
      <c r="D150" s="1655"/>
      <c r="F150" s="2437">
        <v>10</v>
      </c>
      <c r="G150" s="597" t="s">
        <v>1735</v>
      </c>
      <c r="H150" s="2416"/>
      <c r="I150" s="2418"/>
      <c r="J150" s="2439"/>
      <c r="K150" s="2418"/>
      <c r="L150" s="2418"/>
      <c r="M150" s="2416"/>
      <c r="N150" s="2418"/>
      <c r="O150" s="2439"/>
      <c r="P150" s="2418">
        <v>20</v>
      </c>
      <c r="Q150" s="2418">
        <v>20</v>
      </c>
      <c r="R150" s="2416"/>
      <c r="S150" s="2439"/>
      <c r="T150" s="2418"/>
      <c r="U150" s="2416"/>
      <c r="V150" s="2439"/>
      <c r="W150" s="2418"/>
      <c r="X150" s="2418"/>
      <c r="Y150" s="2416"/>
      <c r="Z150" s="2418"/>
      <c r="AA150" s="2439">
        <v>20</v>
      </c>
      <c r="AB150" s="2474">
        <v>20</v>
      </c>
      <c r="AC150" s="2418"/>
      <c r="AD150" s="2416"/>
      <c r="AE150" s="2439"/>
      <c r="AF150" s="2418"/>
      <c r="AG150" s="2418">
        <v>20</v>
      </c>
      <c r="AH150" s="2418"/>
      <c r="AI150" s="2416">
        <v>20</v>
      </c>
      <c r="AJ150" s="2418">
        <v>20</v>
      </c>
      <c r="AK150" s="2439">
        <v>20</v>
      </c>
      <c r="AL150" s="2418"/>
      <c r="AM150" s="2418">
        <v>20</v>
      </c>
      <c r="AN150" s="2418"/>
      <c r="AO150" s="2418">
        <v>20</v>
      </c>
      <c r="AP150" s="2416"/>
      <c r="AQ150" s="2418"/>
      <c r="AR150" s="2439">
        <v>20</v>
      </c>
      <c r="AS150" s="2418">
        <v>30</v>
      </c>
      <c r="AT150" s="2418">
        <v>20</v>
      </c>
      <c r="AU150" s="2416"/>
      <c r="AV150" s="2418"/>
      <c r="AW150" s="2439"/>
      <c r="AX150" s="2418"/>
      <c r="AY150" s="2418"/>
      <c r="AZ150" s="2416"/>
      <c r="BA150" s="2439"/>
      <c r="BB150" s="2418"/>
      <c r="BC150" s="2418"/>
      <c r="BD150" s="2416"/>
      <c r="BE150" s="2439"/>
      <c r="BF150" s="2418"/>
      <c r="BG150" s="2418">
        <v>10</v>
      </c>
      <c r="BH150" s="2440"/>
      <c r="BI150" s="2416"/>
      <c r="BJ150" s="2439"/>
      <c r="BK150" s="2418"/>
      <c r="BL150" s="2418"/>
      <c r="BM150" s="2440"/>
      <c r="BN150" s="2418"/>
      <c r="BO150" s="2418">
        <v>30</v>
      </c>
      <c r="BP150" s="2416"/>
      <c r="BQ150" s="2418"/>
      <c r="BR150" s="2439">
        <v>20</v>
      </c>
      <c r="BS150" s="2418"/>
      <c r="BT150" s="2418"/>
      <c r="BU150" s="2416"/>
      <c r="BV150" s="2418"/>
      <c r="BW150" s="2418"/>
      <c r="BX150" s="2439"/>
      <c r="BY150" s="2418">
        <v>20</v>
      </c>
      <c r="BZ150" s="2418"/>
      <c r="CA150" s="2418">
        <v>20</v>
      </c>
      <c r="CB150" s="2416"/>
      <c r="CC150" s="2418"/>
      <c r="CD150" s="2439"/>
      <c r="CE150" s="2418"/>
      <c r="CF150" s="2418"/>
      <c r="CG150" s="2416"/>
      <c r="CH150" s="2418">
        <v>20</v>
      </c>
      <c r="CI150" s="2439">
        <v>20</v>
      </c>
      <c r="CJ150" s="2418"/>
      <c r="CK150" s="2418"/>
      <c r="CL150" s="2418"/>
      <c r="CM150" s="2418"/>
      <c r="CN150" s="2416"/>
      <c r="CO150" s="2439"/>
      <c r="CP150" s="2418"/>
      <c r="CQ150" s="2418"/>
      <c r="CR150" s="2416"/>
      <c r="CS150" s="2418"/>
      <c r="CT150" s="2439"/>
      <c r="CU150" s="2418"/>
      <c r="CV150" s="2418"/>
      <c r="CW150" s="2416"/>
      <c r="CX150" s="2418"/>
      <c r="CY150" s="2439"/>
      <c r="CZ150" s="2418"/>
      <c r="DA150" s="2416"/>
      <c r="DB150" s="2418"/>
      <c r="DC150" s="2439"/>
      <c r="DD150" s="2418"/>
      <c r="DE150" s="2417"/>
    </row>
    <row r="151" spans="1:109" ht="12.75" customHeight="1" x14ac:dyDescent="0.2">
      <c r="A151" s="1916">
        <v>151</v>
      </c>
      <c r="B151" s="5148"/>
      <c r="C151" s="1654" t="s">
        <v>7787</v>
      </c>
      <c r="D151" s="1655"/>
      <c r="F151" s="2437">
        <v>11</v>
      </c>
      <c r="G151" s="597" t="s">
        <v>1738</v>
      </c>
      <c r="H151" s="2416"/>
      <c r="I151" s="2418"/>
      <c r="J151" s="2439">
        <v>40</v>
      </c>
      <c r="K151" s="2418">
        <v>20</v>
      </c>
      <c r="L151" s="2418">
        <v>20</v>
      </c>
      <c r="M151" s="2416"/>
      <c r="N151" s="2418"/>
      <c r="O151" s="2439">
        <v>20</v>
      </c>
      <c r="P151" s="2418"/>
      <c r="Q151" s="2418">
        <v>40</v>
      </c>
      <c r="R151" s="2416"/>
      <c r="S151" s="2439">
        <v>30</v>
      </c>
      <c r="T151" s="2418"/>
      <c r="U151" s="2416"/>
      <c r="V151" s="2439"/>
      <c r="W151" s="2418"/>
      <c r="X151" s="2418">
        <v>20</v>
      </c>
      <c r="Y151" s="2416"/>
      <c r="Z151" s="2418"/>
      <c r="AA151" s="2439">
        <v>20</v>
      </c>
      <c r="AB151" s="2474"/>
      <c r="AC151" s="2418"/>
      <c r="AD151" s="2416"/>
      <c r="AE151" s="2439">
        <v>40</v>
      </c>
      <c r="AF151" s="2418"/>
      <c r="AG151" s="2418"/>
      <c r="AH151" s="2418">
        <v>20</v>
      </c>
      <c r="AI151" s="2416"/>
      <c r="AJ151" s="2418"/>
      <c r="AK151" s="2439">
        <v>40</v>
      </c>
      <c r="AL151" s="2418"/>
      <c r="AM151" s="2418"/>
      <c r="AN151" s="2418"/>
      <c r="AO151" s="2418">
        <v>20</v>
      </c>
      <c r="AP151" s="2416"/>
      <c r="AQ151" s="2418"/>
      <c r="AR151" s="2439">
        <v>30</v>
      </c>
      <c r="AS151" s="2418"/>
      <c r="AT151" s="2418">
        <v>20</v>
      </c>
      <c r="AU151" s="2416"/>
      <c r="AV151" s="2418"/>
      <c r="AW151" s="2439">
        <v>20</v>
      </c>
      <c r="AX151" s="2418"/>
      <c r="AY151" s="2418">
        <v>20</v>
      </c>
      <c r="AZ151" s="2416"/>
      <c r="BA151" s="2439">
        <v>20</v>
      </c>
      <c r="BB151" s="2418"/>
      <c r="BC151" s="2418">
        <v>40</v>
      </c>
      <c r="BD151" s="2416"/>
      <c r="BE151" s="2439">
        <v>20</v>
      </c>
      <c r="BF151" s="2418"/>
      <c r="BG151" s="2418">
        <v>20</v>
      </c>
      <c r="BH151" s="2440"/>
      <c r="BI151" s="2416"/>
      <c r="BJ151" s="2439"/>
      <c r="BK151" s="2418"/>
      <c r="BL151" s="2418"/>
      <c r="BM151" s="2440"/>
      <c r="BN151" s="2418"/>
      <c r="BO151" s="2418"/>
      <c r="BP151" s="2416"/>
      <c r="BQ151" s="2418"/>
      <c r="BR151" s="2439"/>
      <c r="BS151" s="2418"/>
      <c r="BT151" s="2418"/>
      <c r="BU151" s="2416"/>
      <c r="BV151" s="2418"/>
      <c r="BW151" s="2418"/>
      <c r="BX151" s="2439">
        <v>30</v>
      </c>
      <c r="BY151" s="2418"/>
      <c r="BZ151" s="2418"/>
      <c r="CA151" s="2418">
        <v>20</v>
      </c>
      <c r="CB151" s="2416"/>
      <c r="CC151" s="2418"/>
      <c r="CD151" s="2439">
        <v>20</v>
      </c>
      <c r="CE151" s="2418"/>
      <c r="CF151" s="2418"/>
      <c r="CG151" s="2416"/>
      <c r="CH151" s="2418">
        <v>20</v>
      </c>
      <c r="CI151" s="2439">
        <v>30</v>
      </c>
      <c r="CJ151" s="2418"/>
      <c r="CK151" s="2418"/>
      <c r="CL151" s="2418"/>
      <c r="CM151" s="2418">
        <v>20</v>
      </c>
      <c r="CN151" s="2416"/>
      <c r="CO151" s="2439"/>
      <c r="CP151" s="2418"/>
      <c r="CQ151" s="2418">
        <v>20</v>
      </c>
      <c r="CR151" s="2416"/>
      <c r="CS151" s="2418"/>
      <c r="CT151" s="2439">
        <v>30</v>
      </c>
      <c r="CU151" s="2418"/>
      <c r="CV151" s="2418">
        <v>20</v>
      </c>
      <c r="CW151" s="2416"/>
      <c r="CX151" s="2418">
        <v>20</v>
      </c>
      <c r="CY151" s="2439">
        <v>30</v>
      </c>
      <c r="CZ151" s="2418"/>
      <c r="DA151" s="2416"/>
      <c r="DB151" s="2418"/>
      <c r="DC151" s="2439">
        <v>30</v>
      </c>
      <c r="DD151" s="2418"/>
      <c r="DE151" s="2417"/>
    </row>
    <row r="152" spans="1:109" ht="12.75" customHeight="1" x14ac:dyDescent="0.2">
      <c r="A152" s="1916">
        <v>152</v>
      </c>
      <c r="B152" s="5148"/>
      <c r="C152" s="1654" t="s">
        <v>7827</v>
      </c>
      <c r="D152" s="1655"/>
      <c r="F152" s="2437">
        <v>12</v>
      </c>
      <c r="G152" s="597" t="s">
        <v>1740</v>
      </c>
      <c r="H152" s="2416">
        <v>20</v>
      </c>
      <c r="I152" s="2418">
        <v>30</v>
      </c>
      <c r="J152" s="2439">
        <v>20</v>
      </c>
      <c r="K152" s="2418">
        <v>20</v>
      </c>
      <c r="L152" s="2418">
        <v>20</v>
      </c>
      <c r="M152" s="2416"/>
      <c r="N152" s="2418"/>
      <c r="O152" s="2439"/>
      <c r="P152" s="2418"/>
      <c r="Q152" s="2418"/>
      <c r="R152" s="2416"/>
      <c r="S152" s="2439">
        <v>20</v>
      </c>
      <c r="T152" s="2418"/>
      <c r="U152" s="2416">
        <v>40</v>
      </c>
      <c r="V152" s="2439">
        <v>40</v>
      </c>
      <c r="W152" s="2418"/>
      <c r="X152" s="2418">
        <v>20</v>
      </c>
      <c r="Y152" s="2416">
        <v>20</v>
      </c>
      <c r="Z152" s="2418">
        <v>20</v>
      </c>
      <c r="AA152" s="2439">
        <v>20</v>
      </c>
      <c r="AB152" s="2474"/>
      <c r="AC152" s="2418">
        <v>20</v>
      </c>
      <c r="AD152" s="2416"/>
      <c r="AE152" s="2439"/>
      <c r="AF152" s="2418"/>
      <c r="AG152" s="2418"/>
      <c r="AH152" s="2418"/>
      <c r="AI152" s="2416"/>
      <c r="AJ152" s="2418"/>
      <c r="AK152" s="2439"/>
      <c r="AL152" s="2418"/>
      <c r="AM152" s="2418"/>
      <c r="AN152" s="2418"/>
      <c r="AO152" s="2418">
        <v>20</v>
      </c>
      <c r="AP152" s="2416"/>
      <c r="AQ152" s="2418">
        <v>20</v>
      </c>
      <c r="AR152" s="2439"/>
      <c r="AS152" s="2418">
        <v>10</v>
      </c>
      <c r="AT152" s="2418">
        <v>40</v>
      </c>
      <c r="AU152" s="2416">
        <v>20</v>
      </c>
      <c r="AV152" s="2418">
        <v>40</v>
      </c>
      <c r="AW152" s="2439">
        <v>20</v>
      </c>
      <c r="AX152" s="2418">
        <v>30</v>
      </c>
      <c r="AY152" s="2418">
        <v>30</v>
      </c>
      <c r="AZ152" s="2416">
        <v>20</v>
      </c>
      <c r="BA152" s="2439">
        <v>40</v>
      </c>
      <c r="BB152" s="2418"/>
      <c r="BC152" s="2418"/>
      <c r="BD152" s="2416"/>
      <c r="BE152" s="2439">
        <v>30</v>
      </c>
      <c r="BF152" s="2418"/>
      <c r="BG152" s="2418"/>
      <c r="BH152" s="2440"/>
      <c r="BI152" s="2416"/>
      <c r="BJ152" s="2439">
        <v>20</v>
      </c>
      <c r="BK152" s="2418"/>
      <c r="BL152" s="2418">
        <v>20</v>
      </c>
      <c r="BM152" s="2440"/>
      <c r="BN152" s="2418">
        <v>20</v>
      </c>
      <c r="BO152" s="2418"/>
      <c r="BP152" s="2416"/>
      <c r="BQ152" s="2418">
        <v>20</v>
      </c>
      <c r="BR152" s="2439"/>
      <c r="BS152" s="2418"/>
      <c r="BT152" s="2418">
        <v>40</v>
      </c>
      <c r="BU152" s="2416">
        <v>20</v>
      </c>
      <c r="BV152" s="2418"/>
      <c r="BW152" s="2418">
        <v>30</v>
      </c>
      <c r="BX152" s="2439">
        <v>20</v>
      </c>
      <c r="BY152" s="2418"/>
      <c r="BZ152" s="2418"/>
      <c r="CA152" s="2418">
        <v>20</v>
      </c>
      <c r="CB152" s="2416">
        <v>20</v>
      </c>
      <c r="CC152" s="2418">
        <v>20</v>
      </c>
      <c r="CD152" s="2439">
        <v>10</v>
      </c>
      <c r="CE152" s="2418"/>
      <c r="CF152" s="2418">
        <v>20</v>
      </c>
      <c r="CG152" s="2416"/>
      <c r="CH152" s="2418"/>
      <c r="CI152" s="2439">
        <v>20</v>
      </c>
      <c r="CJ152" s="2418">
        <v>20</v>
      </c>
      <c r="CK152" s="2418">
        <v>20</v>
      </c>
      <c r="CL152" s="2418">
        <v>20</v>
      </c>
      <c r="CM152" s="2418">
        <v>20</v>
      </c>
      <c r="CN152" s="2416"/>
      <c r="CO152" s="2439">
        <v>30</v>
      </c>
      <c r="CP152" s="2418"/>
      <c r="CQ152" s="2418"/>
      <c r="CR152" s="2416">
        <v>20</v>
      </c>
      <c r="CS152" s="2418">
        <v>30</v>
      </c>
      <c r="CT152" s="2439">
        <v>20</v>
      </c>
      <c r="CU152" s="2418"/>
      <c r="CV152" s="2418">
        <v>20</v>
      </c>
      <c r="CW152" s="2416"/>
      <c r="CX152" s="2418">
        <v>20</v>
      </c>
      <c r="CY152" s="2439">
        <v>20</v>
      </c>
      <c r="CZ152" s="2418"/>
      <c r="DA152" s="2416">
        <v>20</v>
      </c>
      <c r="DB152" s="2418">
        <v>30</v>
      </c>
      <c r="DC152" s="2439">
        <v>20</v>
      </c>
      <c r="DD152" s="2418"/>
      <c r="DE152" s="2417">
        <v>30</v>
      </c>
    </row>
    <row r="153" spans="1:109" ht="12.75" customHeight="1" x14ac:dyDescent="0.2">
      <c r="A153" s="1916">
        <v>153</v>
      </c>
      <c r="B153" s="5148"/>
      <c r="C153" s="1654" t="s">
        <v>7788</v>
      </c>
      <c r="D153" s="1655"/>
      <c r="F153" s="2437">
        <v>13</v>
      </c>
      <c r="G153" s="597" t="s">
        <v>1085</v>
      </c>
      <c r="H153" s="2416"/>
      <c r="I153" s="2418"/>
      <c r="J153" s="2439"/>
      <c r="K153" s="2418"/>
      <c r="L153" s="2418"/>
      <c r="M153" s="2416"/>
      <c r="N153" s="2418"/>
      <c r="O153" s="2439"/>
      <c r="P153" s="2418"/>
      <c r="Q153" s="2418"/>
      <c r="R153" s="2416"/>
      <c r="S153" s="2439"/>
      <c r="T153" s="2418"/>
      <c r="U153" s="2416"/>
      <c r="V153" s="2439"/>
      <c r="W153" s="2418"/>
      <c r="X153" s="2418"/>
      <c r="Y153" s="2416"/>
      <c r="Z153" s="2418"/>
      <c r="AA153" s="2439"/>
      <c r="AB153" s="2474"/>
      <c r="AC153" s="2418"/>
      <c r="AD153" s="2416"/>
      <c r="AE153" s="2439"/>
      <c r="AF153" s="2418"/>
      <c r="AG153" s="2418"/>
      <c r="AH153" s="2418"/>
      <c r="AI153" s="2416"/>
      <c r="AJ153" s="2418"/>
      <c r="AK153" s="2439"/>
      <c r="AL153" s="2418"/>
      <c r="AM153" s="2418"/>
      <c r="AN153" s="2418"/>
      <c r="AO153" s="2418"/>
      <c r="AP153" s="2416"/>
      <c r="AQ153" s="2418"/>
      <c r="AR153" s="2439"/>
      <c r="AS153" s="2418"/>
      <c r="AT153" s="2418"/>
      <c r="AU153" s="2416"/>
      <c r="AV153" s="2418"/>
      <c r="AW153" s="2439"/>
      <c r="AX153" s="2418"/>
      <c r="AY153" s="2418"/>
      <c r="AZ153" s="2416"/>
      <c r="BA153" s="2439"/>
      <c r="BB153" s="2418"/>
      <c r="BC153" s="2418"/>
      <c r="BD153" s="2416"/>
      <c r="BE153" s="2439"/>
      <c r="BF153" s="2418"/>
      <c r="BG153" s="2418"/>
      <c r="BH153" s="2440"/>
      <c r="BI153" s="2416"/>
      <c r="BJ153" s="2439"/>
      <c r="BK153" s="2418"/>
      <c r="BL153" s="2418"/>
      <c r="BM153" s="2440"/>
      <c r="BN153" s="2418"/>
      <c r="BO153" s="2418"/>
      <c r="BP153" s="2416"/>
      <c r="BQ153" s="2418"/>
      <c r="BR153" s="2439"/>
      <c r="BS153" s="2418"/>
      <c r="BT153" s="2418"/>
      <c r="BU153" s="2416"/>
      <c r="BV153" s="2418"/>
      <c r="BW153" s="2418"/>
      <c r="BX153" s="2439"/>
      <c r="BY153" s="2418"/>
      <c r="BZ153" s="2418"/>
      <c r="CA153" s="2418"/>
      <c r="CB153" s="2416"/>
      <c r="CC153" s="2418"/>
      <c r="CD153" s="2439"/>
      <c r="CE153" s="2418"/>
      <c r="CF153" s="2418"/>
      <c r="CG153" s="2416"/>
      <c r="CH153" s="2418"/>
      <c r="CI153" s="2439"/>
      <c r="CJ153" s="2418"/>
      <c r="CK153" s="2418"/>
      <c r="CL153" s="2418"/>
      <c r="CM153" s="2418"/>
      <c r="CN153" s="2416"/>
      <c r="CO153" s="2439"/>
      <c r="CP153" s="2418"/>
      <c r="CQ153" s="2418"/>
      <c r="CR153" s="2416"/>
      <c r="CS153" s="2418"/>
      <c r="CT153" s="2439"/>
      <c r="CU153" s="2418"/>
      <c r="CV153" s="2418"/>
      <c r="CW153" s="2416"/>
      <c r="CX153" s="2418"/>
      <c r="CY153" s="2439"/>
      <c r="CZ153" s="2418"/>
      <c r="DA153" s="2416"/>
      <c r="DB153" s="2418"/>
      <c r="DC153" s="2439"/>
      <c r="DD153" s="2418"/>
      <c r="DE153" s="2417"/>
    </row>
    <row r="154" spans="1:109" ht="12.75" customHeight="1" x14ac:dyDescent="0.2">
      <c r="A154" s="1916">
        <v>154</v>
      </c>
      <c r="B154" s="5148"/>
      <c r="C154" s="1654" t="s">
        <v>7789</v>
      </c>
      <c r="D154" s="1655"/>
      <c r="F154" s="2437">
        <v>14</v>
      </c>
      <c r="G154" s="597" t="s">
        <v>1086</v>
      </c>
      <c r="H154" s="2416"/>
      <c r="I154" s="2418"/>
      <c r="J154" s="2439"/>
      <c r="K154" s="2418"/>
      <c r="L154" s="2418"/>
      <c r="M154" s="2416"/>
      <c r="N154" s="2418"/>
      <c r="O154" s="2439"/>
      <c r="P154" s="2418"/>
      <c r="Q154" s="2418"/>
      <c r="R154" s="2416"/>
      <c r="S154" s="2439"/>
      <c r="T154" s="2418"/>
      <c r="U154" s="2416"/>
      <c r="V154" s="2439"/>
      <c r="W154" s="2418"/>
      <c r="X154" s="2418"/>
      <c r="Y154" s="2416"/>
      <c r="Z154" s="2418"/>
      <c r="AA154" s="2439"/>
      <c r="AB154" s="2474"/>
      <c r="AC154" s="2418"/>
      <c r="AD154" s="2416"/>
      <c r="AE154" s="2439"/>
      <c r="AF154" s="2418"/>
      <c r="AG154" s="2418"/>
      <c r="AH154" s="2418"/>
      <c r="AI154" s="2416"/>
      <c r="AJ154" s="2418"/>
      <c r="AK154" s="2439"/>
      <c r="AL154" s="2418"/>
      <c r="AM154" s="2418"/>
      <c r="AN154" s="2418"/>
      <c r="AO154" s="2418"/>
      <c r="AP154" s="2416"/>
      <c r="AQ154" s="2418"/>
      <c r="AR154" s="2439"/>
      <c r="AS154" s="2418"/>
      <c r="AT154" s="2418"/>
      <c r="AU154" s="2416"/>
      <c r="AV154" s="2418"/>
      <c r="AW154" s="2439"/>
      <c r="AX154" s="2418"/>
      <c r="AY154" s="2418"/>
      <c r="AZ154" s="2416"/>
      <c r="BA154" s="2439"/>
      <c r="BB154" s="2418"/>
      <c r="BC154" s="2418"/>
      <c r="BD154" s="2416"/>
      <c r="BE154" s="2439"/>
      <c r="BF154" s="2418"/>
      <c r="BG154" s="2418"/>
      <c r="BH154" s="2440"/>
      <c r="BI154" s="2416"/>
      <c r="BJ154" s="2439"/>
      <c r="BK154" s="2418"/>
      <c r="BL154" s="2418"/>
      <c r="BM154" s="2440"/>
      <c r="BN154" s="2418"/>
      <c r="BO154" s="2418"/>
      <c r="BP154" s="2416"/>
      <c r="BQ154" s="2418"/>
      <c r="BR154" s="2439"/>
      <c r="BS154" s="2418"/>
      <c r="BT154" s="2418"/>
      <c r="BU154" s="2416"/>
      <c r="BV154" s="2418"/>
      <c r="BW154" s="2418"/>
      <c r="BX154" s="2439"/>
      <c r="BY154" s="2418"/>
      <c r="BZ154" s="2418"/>
      <c r="CA154" s="2418"/>
      <c r="CB154" s="2416"/>
      <c r="CC154" s="2418"/>
      <c r="CD154" s="2439"/>
      <c r="CE154" s="2418"/>
      <c r="CF154" s="2418"/>
      <c r="CG154" s="2416"/>
      <c r="CH154" s="2418"/>
      <c r="CI154" s="2439"/>
      <c r="CJ154" s="2418"/>
      <c r="CK154" s="2418"/>
      <c r="CL154" s="2418"/>
      <c r="CM154" s="2418"/>
      <c r="CN154" s="2416"/>
      <c r="CO154" s="2439"/>
      <c r="CP154" s="2418"/>
      <c r="CQ154" s="2418"/>
      <c r="CR154" s="2416"/>
      <c r="CS154" s="2418"/>
      <c r="CT154" s="2439"/>
      <c r="CU154" s="2418"/>
      <c r="CV154" s="2418"/>
      <c r="CW154" s="2416"/>
      <c r="CX154" s="2418"/>
      <c r="CY154" s="2439"/>
      <c r="CZ154" s="2418"/>
      <c r="DA154" s="2416"/>
      <c r="DB154" s="2418"/>
      <c r="DC154" s="2439"/>
      <c r="DD154" s="2418"/>
      <c r="DE154" s="2417"/>
    </row>
    <row r="155" spans="1:109" ht="12.75" customHeight="1" x14ac:dyDescent="0.2">
      <c r="A155" s="1916">
        <v>155</v>
      </c>
      <c r="B155" s="5148"/>
      <c r="C155" s="1654" t="s">
        <v>7790</v>
      </c>
      <c r="D155" s="1655"/>
      <c r="F155" s="2437">
        <v>15</v>
      </c>
      <c r="G155" s="597" t="s">
        <v>1087</v>
      </c>
      <c r="H155" s="2416"/>
      <c r="I155" s="2418"/>
      <c r="J155" s="2439"/>
      <c r="K155" s="2418"/>
      <c r="L155" s="2418"/>
      <c r="M155" s="2416"/>
      <c r="N155" s="2418"/>
      <c r="O155" s="2439"/>
      <c r="P155" s="2418"/>
      <c r="Q155" s="2418"/>
      <c r="R155" s="2416"/>
      <c r="S155" s="2439"/>
      <c r="T155" s="2418"/>
      <c r="U155" s="2416"/>
      <c r="V155" s="2439"/>
      <c r="W155" s="2418"/>
      <c r="X155" s="2418"/>
      <c r="Y155" s="2416"/>
      <c r="Z155" s="2418"/>
      <c r="AA155" s="2439"/>
      <c r="AB155" s="2474"/>
      <c r="AC155" s="2418"/>
      <c r="AD155" s="2416"/>
      <c r="AE155" s="2439"/>
      <c r="AF155" s="2418"/>
      <c r="AG155" s="2418"/>
      <c r="AH155" s="2418"/>
      <c r="AI155" s="2416"/>
      <c r="AJ155" s="2418"/>
      <c r="AK155" s="2439"/>
      <c r="AL155" s="2418"/>
      <c r="AM155" s="2418"/>
      <c r="AN155" s="2418"/>
      <c r="AO155" s="2418"/>
      <c r="AP155" s="2416"/>
      <c r="AQ155" s="2418"/>
      <c r="AR155" s="2439"/>
      <c r="AS155" s="2418"/>
      <c r="AT155" s="2418"/>
      <c r="AU155" s="2416"/>
      <c r="AV155" s="2418"/>
      <c r="AW155" s="2439"/>
      <c r="AX155" s="2418"/>
      <c r="AY155" s="2418"/>
      <c r="AZ155" s="2416"/>
      <c r="BA155" s="2439"/>
      <c r="BB155" s="2418"/>
      <c r="BC155" s="2418"/>
      <c r="BD155" s="2416"/>
      <c r="BE155" s="2439"/>
      <c r="BF155" s="2418"/>
      <c r="BG155" s="2418"/>
      <c r="BH155" s="2440"/>
      <c r="BI155" s="2416"/>
      <c r="BJ155" s="2439"/>
      <c r="BK155" s="2418"/>
      <c r="BL155" s="2418"/>
      <c r="BM155" s="2440"/>
      <c r="BN155" s="2418"/>
      <c r="BO155" s="2418"/>
      <c r="BP155" s="2416"/>
      <c r="BQ155" s="2418"/>
      <c r="BR155" s="2439"/>
      <c r="BS155" s="2418"/>
      <c r="BT155" s="2418"/>
      <c r="BU155" s="2416"/>
      <c r="BV155" s="2418"/>
      <c r="BW155" s="2418"/>
      <c r="BX155" s="2439"/>
      <c r="BY155" s="2418"/>
      <c r="BZ155" s="2418"/>
      <c r="CA155" s="2418"/>
      <c r="CB155" s="2416"/>
      <c r="CC155" s="2418"/>
      <c r="CD155" s="2439"/>
      <c r="CE155" s="2418"/>
      <c r="CF155" s="2418"/>
      <c r="CG155" s="2416"/>
      <c r="CH155" s="2418"/>
      <c r="CI155" s="2439"/>
      <c r="CJ155" s="2418"/>
      <c r="CK155" s="2418"/>
      <c r="CL155" s="2418"/>
      <c r="CM155" s="2418"/>
      <c r="CN155" s="2416"/>
      <c r="CO155" s="2439"/>
      <c r="CP155" s="2418"/>
      <c r="CQ155" s="2418"/>
      <c r="CR155" s="2416"/>
      <c r="CS155" s="2418"/>
      <c r="CT155" s="2439"/>
      <c r="CU155" s="2418"/>
      <c r="CV155" s="2418"/>
      <c r="CW155" s="2416"/>
      <c r="CX155" s="2418"/>
      <c r="CY155" s="2439"/>
      <c r="CZ155" s="2418"/>
      <c r="DA155" s="2416"/>
      <c r="DB155" s="2418"/>
      <c r="DC155" s="2439"/>
      <c r="DD155" s="2418"/>
      <c r="DE155" s="2417"/>
    </row>
    <row r="156" spans="1:109" ht="12.75" customHeight="1" x14ac:dyDescent="0.2">
      <c r="A156" s="1916">
        <v>156</v>
      </c>
      <c r="B156" s="5148"/>
      <c r="C156" s="1654" t="s">
        <v>7828</v>
      </c>
      <c r="D156" s="1655"/>
      <c r="F156" s="2437">
        <v>16</v>
      </c>
      <c r="G156" s="597" t="s">
        <v>1742</v>
      </c>
      <c r="H156" s="2416">
        <v>30</v>
      </c>
      <c r="I156" s="2418"/>
      <c r="J156" s="2439"/>
      <c r="K156" s="2418"/>
      <c r="L156" s="2418"/>
      <c r="M156" s="2416">
        <v>20</v>
      </c>
      <c r="N156" s="2418"/>
      <c r="O156" s="2439">
        <v>20</v>
      </c>
      <c r="P156" s="2418">
        <v>20</v>
      </c>
      <c r="Q156" s="2418">
        <v>20</v>
      </c>
      <c r="R156" s="2416">
        <v>20</v>
      </c>
      <c r="S156" s="2439">
        <v>20</v>
      </c>
      <c r="T156" s="2418">
        <v>20</v>
      </c>
      <c r="U156" s="2416"/>
      <c r="V156" s="2439"/>
      <c r="W156" s="2418">
        <v>20</v>
      </c>
      <c r="X156" s="2418">
        <v>20</v>
      </c>
      <c r="Y156" s="2416">
        <v>20</v>
      </c>
      <c r="Z156" s="2418"/>
      <c r="AA156" s="2439"/>
      <c r="AB156" s="2474">
        <v>20</v>
      </c>
      <c r="AC156" s="2418">
        <v>20</v>
      </c>
      <c r="AD156" s="2416">
        <v>20</v>
      </c>
      <c r="AE156" s="2439">
        <v>10</v>
      </c>
      <c r="AF156" s="2418">
        <v>20</v>
      </c>
      <c r="AG156" s="2418">
        <v>20</v>
      </c>
      <c r="AH156" s="2418">
        <v>20</v>
      </c>
      <c r="AI156" s="2416">
        <v>20</v>
      </c>
      <c r="AJ156" s="2418">
        <v>20</v>
      </c>
      <c r="AK156" s="2439">
        <v>20</v>
      </c>
      <c r="AL156" s="2418">
        <v>20</v>
      </c>
      <c r="AM156" s="2418">
        <v>20</v>
      </c>
      <c r="AN156" s="2418">
        <v>20</v>
      </c>
      <c r="AO156" s="2418">
        <v>20</v>
      </c>
      <c r="AP156" s="2416">
        <v>30</v>
      </c>
      <c r="AQ156" s="2418">
        <v>20</v>
      </c>
      <c r="AR156" s="2439">
        <v>20</v>
      </c>
      <c r="AS156" s="2418">
        <v>30</v>
      </c>
      <c r="AT156" s="2418">
        <v>20</v>
      </c>
      <c r="AU156" s="2416">
        <v>20</v>
      </c>
      <c r="AV156" s="2418"/>
      <c r="AW156" s="2439"/>
      <c r="AX156" s="2418">
        <v>20</v>
      </c>
      <c r="AY156" s="2418"/>
      <c r="AZ156" s="2416">
        <v>20</v>
      </c>
      <c r="BA156" s="2439"/>
      <c r="BB156" s="2418">
        <v>20</v>
      </c>
      <c r="BC156" s="2418">
        <v>20</v>
      </c>
      <c r="BD156" s="2416">
        <v>20</v>
      </c>
      <c r="BE156" s="2439"/>
      <c r="BF156" s="2418">
        <v>30</v>
      </c>
      <c r="BG156" s="2418">
        <v>10</v>
      </c>
      <c r="BH156" s="2440">
        <v>20</v>
      </c>
      <c r="BI156" s="2416">
        <v>20</v>
      </c>
      <c r="BJ156" s="2439">
        <v>30</v>
      </c>
      <c r="BK156" s="2418">
        <v>20</v>
      </c>
      <c r="BL156" s="2418">
        <v>20</v>
      </c>
      <c r="BM156" s="2440">
        <v>20</v>
      </c>
      <c r="BN156" s="2418">
        <v>20</v>
      </c>
      <c r="BO156" s="2418">
        <v>10</v>
      </c>
      <c r="BP156" s="2416">
        <v>20</v>
      </c>
      <c r="BQ156" s="2418"/>
      <c r="BR156" s="2439">
        <v>20</v>
      </c>
      <c r="BS156" s="2418">
        <v>20</v>
      </c>
      <c r="BT156" s="2418">
        <v>20</v>
      </c>
      <c r="BU156" s="2416"/>
      <c r="BV156" s="2418"/>
      <c r="BW156" s="2418"/>
      <c r="BX156" s="2439"/>
      <c r="BY156" s="2418">
        <v>20</v>
      </c>
      <c r="BZ156" s="2418">
        <v>20</v>
      </c>
      <c r="CA156" s="2418"/>
      <c r="CB156" s="2416"/>
      <c r="CC156" s="2418"/>
      <c r="CD156" s="2439"/>
      <c r="CE156" s="2418">
        <v>20</v>
      </c>
      <c r="CF156" s="2418"/>
      <c r="CG156" s="2416">
        <v>20</v>
      </c>
      <c r="CH156" s="2418">
        <v>20</v>
      </c>
      <c r="CI156" s="2439"/>
      <c r="CJ156" s="2418"/>
      <c r="CK156" s="2418"/>
      <c r="CL156" s="2418"/>
      <c r="CM156" s="2418"/>
      <c r="CN156" s="2416">
        <v>30</v>
      </c>
      <c r="CO156" s="2439"/>
      <c r="CP156" s="2418">
        <v>20</v>
      </c>
      <c r="CQ156" s="2418">
        <v>20</v>
      </c>
      <c r="CR156" s="2416">
        <v>20</v>
      </c>
      <c r="CS156" s="2418">
        <v>20</v>
      </c>
      <c r="CT156" s="2439"/>
      <c r="CU156" s="2418">
        <v>20</v>
      </c>
      <c r="CV156" s="2418">
        <v>20</v>
      </c>
      <c r="CW156" s="2416">
        <v>20</v>
      </c>
      <c r="CX156" s="2418">
        <v>20</v>
      </c>
      <c r="CY156" s="2439">
        <v>20</v>
      </c>
      <c r="CZ156" s="2418">
        <v>20</v>
      </c>
      <c r="DA156" s="2416">
        <v>20</v>
      </c>
      <c r="DB156" s="2418">
        <v>20</v>
      </c>
      <c r="DC156" s="2439"/>
      <c r="DD156" s="2418">
        <v>20</v>
      </c>
      <c r="DE156" s="2417">
        <v>20</v>
      </c>
    </row>
    <row r="157" spans="1:109" ht="12.75" customHeight="1" x14ac:dyDescent="0.2">
      <c r="A157" s="1916">
        <v>157</v>
      </c>
      <c r="B157" s="5148"/>
      <c r="C157" s="1654" t="s">
        <v>7791</v>
      </c>
      <c r="D157" s="1655"/>
      <c r="F157" s="2437">
        <v>17</v>
      </c>
      <c r="G157" s="597" t="s">
        <v>1743</v>
      </c>
      <c r="H157" s="2416"/>
      <c r="I157" s="2418"/>
      <c r="J157" s="2439"/>
      <c r="K157" s="2418"/>
      <c r="L157" s="2418"/>
      <c r="M157" s="2416"/>
      <c r="N157" s="2418"/>
      <c r="O157" s="2439"/>
      <c r="P157" s="2418"/>
      <c r="Q157" s="2418"/>
      <c r="R157" s="2416"/>
      <c r="S157" s="2439"/>
      <c r="T157" s="2418"/>
      <c r="U157" s="2416"/>
      <c r="V157" s="2439"/>
      <c r="W157" s="2418"/>
      <c r="X157" s="2418"/>
      <c r="Y157" s="2416"/>
      <c r="Z157" s="2418"/>
      <c r="AA157" s="2439"/>
      <c r="AB157" s="2474"/>
      <c r="AC157" s="2418"/>
      <c r="AD157" s="2416"/>
      <c r="AE157" s="2439"/>
      <c r="AF157" s="2418"/>
      <c r="AG157" s="2418"/>
      <c r="AH157" s="2418"/>
      <c r="AI157" s="2416"/>
      <c r="AJ157" s="2418"/>
      <c r="AK157" s="2439"/>
      <c r="AL157" s="2418"/>
      <c r="AM157" s="2418"/>
      <c r="AN157" s="2418"/>
      <c r="AO157" s="2418"/>
      <c r="AP157" s="2416"/>
      <c r="AQ157" s="2418"/>
      <c r="AR157" s="2439"/>
      <c r="AS157" s="2418"/>
      <c r="AT157" s="2418"/>
      <c r="AU157" s="2416"/>
      <c r="AV157" s="2418"/>
      <c r="AW157" s="2439"/>
      <c r="AX157" s="2418"/>
      <c r="AY157" s="2418"/>
      <c r="AZ157" s="2416"/>
      <c r="BA157" s="2439"/>
      <c r="BB157" s="2418"/>
      <c r="BC157" s="2418"/>
      <c r="BD157" s="2416"/>
      <c r="BE157" s="2439"/>
      <c r="BF157" s="2418"/>
      <c r="BG157" s="2418"/>
      <c r="BH157" s="2440">
        <v>20</v>
      </c>
      <c r="BI157" s="2416"/>
      <c r="BJ157" s="2439"/>
      <c r="BK157" s="2418"/>
      <c r="BL157" s="2418"/>
      <c r="BM157" s="2440"/>
      <c r="BN157" s="2418"/>
      <c r="BO157" s="2418"/>
      <c r="BP157" s="2416"/>
      <c r="BQ157" s="2418"/>
      <c r="BR157" s="2439"/>
      <c r="BS157" s="2418"/>
      <c r="BT157" s="2418"/>
      <c r="BU157" s="2416"/>
      <c r="BV157" s="2418"/>
      <c r="BW157" s="2418"/>
      <c r="BX157" s="2439"/>
      <c r="BY157" s="2418"/>
      <c r="BZ157" s="2418"/>
      <c r="CA157" s="2418"/>
      <c r="CB157" s="2416"/>
      <c r="CC157" s="2418"/>
      <c r="CD157" s="2439"/>
      <c r="CE157" s="2418"/>
      <c r="CF157" s="2418"/>
      <c r="CG157" s="2416"/>
      <c r="CH157" s="2418"/>
      <c r="CI157" s="2439"/>
      <c r="CJ157" s="2418"/>
      <c r="CK157" s="2418"/>
      <c r="CL157" s="2418"/>
      <c r="CM157" s="2418"/>
      <c r="CN157" s="2416"/>
      <c r="CO157" s="2439"/>
      <c r="CP157" s="2418"/>
      <c r="CQ157" s="2418"/>
      <c r="CR157" s="2416"/>
      <c r="CS157" s="2418"/>
      <c r="CT157" s="2439"/>
      <c r="CU157" s="2418"/>
      <c r="CV157" s="2418"/>
      <c r="CW157" s="2416"/>
      <c r="CX157" s="2418"/>
      <c r="CY157" s="2439"/>
      <c r="CZ157" s="2418"/>
      <c r="DA157" s="2416"/>
      <c r="DB157" s="2418"/>
      <c r="DC157" s="2439"/>
      <c r="DD157" s="2418"/>
      <c r="DE157" s="2417"/>
    </row>
    <row r="158" spans="1:109" ht="12.75" customHeight="1" x14ac:dyDescent="0.2">
      <c r="A158" s="1916">
        <v>158</v>
      </c>
      <c r="B158" s="5148"/>
      <c r="C158" s="1654" t="s">
        <v>7792</v>
      </c>
      <c r="D158" s="1655"/>
      <c r="F158" s="2437">
        <v>18</v>
      </c>
      <c r="G158" s="597" t="s">
        <v>1744</v>
      </c>
      <c r="H158" s="2416"/>
      <c r="I158" s="2418"/>
      <c r="J158" s="2439"/>
      <c r="K158" s="2418"/>
      <c r="L158" s="2418"/>
      <c r="M158" s="2416"/>
      <c r="N158" s="2418">
        <v>20</v>
      </c>
      <c r="O158" s="2439"/>
      <c r="P158" s="2418"/>
      <c r="Q158" s="2418"/>
      <c r="R158" s="2416">
        <v>20</v>
      </c>
      <c r="S158" s="2439"/>
      <c r="T158" s="2418">
        <v>20</v>
      </c>
      <c r="U158" s="2416"/>
      <c r="V158" s="2439"/>
      <c r="W158" s="2418"/>
      <c r="X158" s="2418"/>
      <c r="Y158" s="2416"/>
      <c r="Z158" s="2418"/>
      <c r="AA158" s="2439"/>
      <c r="AB158" s="2474"/>
      <c r="AC158" s="2418"/>
      <c r="AD158" s="2416"/>
      <c r="AE158" s="2439"/>
      <c r="AF158" s="2418">
        <v>30</v>
      </c>
      <c r="AG158" s="2418">
        <v>20</v>
      </c>
      <c r="AH158" s="2418"/>
      <c r="AI158" s="2416">
        <v>20</v>
      </c>
      <c r="AJ158" s="2418"/>
      <c r="AK158" s="2439"/>
      <c r="AL158" s="2418">
        <v>20</v>
      </c>
      <c r="AM158" s="2418">
        <v>20</v>
      </c>
      <c r="AN158" s="2418">
        <v>20</v>
      </c>
      <c r="AO158" s="2418"/>
      <c r="AP158" s="2416">
        <v>20</v>
      </c>
      <c r="AQ158" s="2418"/>
      <c r="AR158" s="2439"/>
      <c r="AS158" s="2418"/>
      <c r="AT158" s="2418"/>
      <c r="AU158" s="2416"/>
      <c r="AV158" s="2418"/>
      <c r="AW158" s="2439"/>
      <c r="AX158" s="2418"/>
      <c r="AY158" s="2418"/>
      <c r="AZ158" s="2416"/>
      <c r="BA158" s="2439"/>
      <c r="BB158" s="2418">
        <v>10</v>
      </c>
      <c r="BC158" s="2418"/>
      <c r="BD158" s="2416">
        <v>30</v>
      </c>
      <c r="BE158" s="2439"/>
      <c r="BF158" s="2418">
        <v>20</v>
      </c>
      <c r="BG158" s="2418"/>
      <c r="BH158" s="2440">
        <v>30</v>
      </c>
      <c r="BI158" s="2416">
        <v>20</v>
      </c>
      <c r="BJ158" s="2439">
        <v>30</v>
      </c>
      <c r="BK158" s="2418"/>
      <c r="BL158" s="2418"/>
      <c r="BM158" s="2440">
        <v>30</v>
      </c>
      <c r="BN158" s="2418"/>
      <c r="BO158" s="2418"/>
      <c r="BP158" s="2416"/>
      <c r="BQ158" s="2418"/>
      <c r="BR158" s="2439"/>
      <c r="BS158" s="2418"/>
      <c r="BT158" s="2418"/>
      <c r="BU158" s="2416"/>
      <c r="BV158" s="2418">
        <v>20</v>
      </c>
      <c r="BW158" s="2418"/>
      <c r="BX158" s="2439"/>
      <c r="BY158" s="2418"/>
      <c r="BZ158" s="2418"/>
      <c r="CA158" s="2418"/>
      <c r="CB158" s="2416"/>
      <c r="CC158" s="2418"/>
      <c r="CD158" s="2439"/>
      <c r="CE158" s="2418">
        <v>20</v>
      </c>
      <c r="CF158" s="2418">
        <v>20</v>
      </c>
      <c r="CG158" s="2416"/>
      <c r="CH158" s="2418"/>
      <c r="CI158" s="2439"/>
      <c r="CJ158" s="2418"/>
      <c r="CK158" s="2418"/>
      <c r="CL158" s="2418"/>
      <c r="CM158" s="2418"/>
      <c r="CN158" s="2416"/>
      <c r="CO158" s="2439"/>
      <c r="CP158" s="2418">
        <v>20</v>
      </c>
      <c r="CQ158" s="2418">
        <v>20</v>
      </c>
      <c r="CR158" s="2416"/>
      <c r="CS158" s="2418"/>
      <c r="CT158" s="2439"/>
      <c r="CU158" s="2418">
        <v>20</v>
      </c>
      <c r="CV158" s="2418">
        <v>20</v>
      </c>
      <c r="CW158" s="2416">
        <v>20</v>
      </c>
      <c r="CX158" s="2418"/>
      <c r="CY158" s="2439"/>
      <c r="CZ158" s="2418"/>
      <c r="DA158" s="2416"/>
      <c r="DB158" s="2418"/>
      <c r="DC158" s="2439"/>
      <c r="DD158" s="2418"/>
      <c r="DE158" s="2417"/>
    </row>
    <row r="159" spans="1:109" ht="12.75" customHeight="1" x14ac:dyDescent="0.2">
      <c r="A159" s="1916">
        <v>159</v>
      </c>
      <c r="B159" s="5148"/>
      <c r="C159" s="1654" t="s">
        <v>7829</v>
      </c>
      <c r="D159" s="1655"/>
      <c r="F159" s="2437">
        <v>19</v>
      </c>
      <c r="G159" s="597" t="s">
        <v>1746</v>
      </c>
      <c r="H159" s="2416"/>
      <c r="I159" s="2418"/>
      <c r="J159" s="2439"/>
      <c r="K159" s="2418"/>
      <c r="L159" s="2418"/>
      <c r="M159" s="2416">
        <v>20</v>
      </c>
      <c r="N159" s="2418">
        <v>20</v>
      </c>
      <c r="O159" s="2439">
        <v>20</v>
      </c>
      <c r="P159" s="2418"/>
      <c r="Q159" s="2418"/>
      <c r="R159" s="2416">
        <v>20</v>
      </c>
      <c r="S159" s="2439"/>
      <c r="T159" s="2418">
        <v>20</v>
      </c>
      <c r="U159" s="2416"/>
      <c r="V159" s="2439"/>
      <c r="W159" s="2418">
        <v>20</v>
      </c>
      <c r="X159" s="2418"/>
      <c r="Y159" s="2416"/>
      <c r="Z159" s="2418"/>
      <c r="AA159" s="2439"/>
      <c r="AB159" s="2474"/>
      <c r="AC159" s="2418"/>
      <c r="AD159" s="2416"/>
      <c r="AE159" s="2439"/>
      <c r="AF159" s="2418">
        <v>10</v>
      </c>
      <c r="AG159" s="2418">
        <v>10</v>
      </c>
      <c r="AH159" s="2418">
        <v>20</v>
      </c>
      <c r="AI159" s="2416"/>
      <c r="AJ159" s="2418"/>
      <c r="AK159" s="2439"/>
      <c r="AL159" s="2418">
        <v>30</v>
      </c>
      <c r="AM159" s="2418">
        <v>20</v>
      </c>
      <c r="AN159" s="2418"/>
      <c r="AO159" s="2418"/>
      <c r="AP159" s="2416"/>
      <c r="AQ159" s="2418">
        <v>10</v>
      </c>
      <c r="AR159" s="2439"/>
      <c r="AS159" s="2418"/>
      <c r="AT159" s="2418"/>
      <c r="AU159" s="2416"/>
      <c r="AV159" s="2418"/>
      <c r="AW159" s="2439"/>
      <c r="AX159" s="2418"/>
      <c r="AY159" s="2418"/>
      <c r="AZ159" s="2416"/>
      <c r="BA159" s="2439"/>
      <c r="BB159" s="2418"/>
      <c r="BC159" s="2418"/>
      <c r="BD159" s="2416">
        <v>20</v>
      </c>
      <c r="BE159" s="2439"/>
      <c r="BF159" s="2418"/>
      <c r="BG159" s="2418"/>
      <c r="BH159" s="2440">
        <v>10</v>
      </c>
      <c r="BI159" s="2416">
        <v>20</v>
      </c>
      <c r="BJ159" s="2439">
        <v>30</v>
      </c>
      <c r="BK159" s="2418">
        <v>20</v>
      </c>
      <c r="BL159" s="2418"/>
      <c r="BM159" s="2440">
        <v>20</v>
      </c>
      <c r="BN159" s="2418">
        <v>10</v>
      </c>
      <c r="BO159" s="2418"/>
      <c r="BP159" s="2416">
        <v>10</v>
      </c>
      <c r="BQ159" s="2418"/>
      <c r="BR159" s="2439"/>
      <c r="BS159" s="2418">
        <v>20</v>
      </c>
      <c r="BT159" s="2418"/>
      <c r="BU159" s="2416">
        <v>20</v>
      </c>
      <c r="BV159" s="2418">
        <v>20</v>
      </c>
      <c r="BW159" s="2418"/>
      <c r="BX159" s="2439"/>
      <c r="BY159" s="2418">
        <v>20</v>
      </c>
      <c r="BZ159" s="2418">
        <v>30</v>
      </c>
      <c r="CA159" s="2418"/>
      <c r="CB159" s="2416"/>
      <c r="CC159" s="2418"/>
      <c r="CD159" s="2439"/>
      <c r="CE159" s="2418">
        <v>20</v>
      </c>
      <c r="CF159" s="2418">
        <v>20</v>
      </c>
      <c r="CG159" s="2416">
        <v>20</v>
      </c>
      <c r="CH159" s="2418"/>
      <c r="CI159" s="2439"/>
      <c r="CJ159" s="2418"/>
      <c r="CK159" s="2418"/>
      <c r="CL159" s="2418"/>
      <c r="CM159" s="2418"/>
      <c r="CN159" s="2416">
        <v>20</v>
      </c>
      <c r="CO159" s="2439"/>
      <c r="CP159" s="2418">
        <v>20</v>
      </c>
      <c r="CQ159" s="2418">
        <v>20</v>
      </c>
      <c r="CR159" s="2416"/>
      <c r="CS159" s="2418"/>
      <c r="CT159" s="2439"/>
      <c r="CU159" s="2418">
        <v>20</v>
      </c>
      <c r="CV159" s="2418">
        <v>20</v>
      </c>
      <c r="CW159" s="2416">
        <v>20</v>
      </c>
      <c r="CX159" s="2418">
        <v>20</v>
      </c>
      <c r="CY159" s="2439">
        <v>20</v>
      </c>
      <c r="CZ159" s="2418"/>
      <c r="DA159" s="2416">
        <v>20</v>
      </c>
      <c r="DB159" s="2418"/>
      <c r="DC159" s="2439"/>
      <c r="DD159" s="2418"/>
      <c r="DE159" s="2417"/>
    </row>
    <row r="160" spans="1:109" ht="12.75" customHeight="1" x14ac:dyDescent="0.2">
      <c r="A160" s="1916">
        <v>160</v>
      </c>
      <c r="B160" s="5148"/>
      <c r="C160" s="1654" t="s">
        <v>7793</v>
      </c>
      <c r="D160" s="1655"/>
      <c r="F160" s="2437">
        <v>20</v>
      </c>
      <c r="G160" s="597" t="s">
        <v>1747</v>
      </c>
      <c r="H160" s="2416"/>
      <c r="I160" s="2418"/>
      <c r="J160" s="2439"/>
      <c r="K160" s="2418">
        <v>20</v>
      </c>
      <c r="L160" s="2418">
        <v>20</v>
      </c>
      <c r="M160" s="2416"/>
      <c r="N160" s="2418"/>
      <c r="O160" s="2439"/>
      <c r="P160" s="2418"/>
      <c r="Q160" s="2418"/>
      <c r="R160" s="2416"/>
      <c r="S160" s="2439"/>
      <c r="T160" s="2418"/>
      <c r="U160" s="2416"/>
      <c r="V160" s="2439"/>
      <c r="W160" s="2418"/>
      <c r="X160" s="2418"/>
      <c r="Y160" s="2416"/>
      <c r="Z160" s="2418"/>
      <c r="AA160" s="2439"/>
      <c r="AB160" s="2474"/>
      <c r="AC160" s="2418"/>
      <c r="AD160" s="2416"/>
      <c r="AE160" s="2439"/>
      <c r="AF160" s="2418"/>
      <c r="AG160" s="2418"/>
      <c r="AH160" s="2418"/>
      <c r="AI160" s="2416"/>
      <c r="AJ160" s="2418"/>
      <c r="AK160" s="2439"/>
      <c r="AL160" s="2418"/>
      <c r="AM160" s="2418"/>
      <c r="AN160" s="2418"/>
      <c r="AO160" s="2418"/>
      <c r="AP160" s="2416"/>
      <c r="AQ160" s="2418"/>
      <c r="AR160" s="2439"/>
      <c r="AS160" s="2418"/>
      <c r="AT160" s="2418"/>
      <c r="AU160" s="2416"/>
      <c r="AV160" s="2418"/>
      <c r="AW160" s="2439"/>
      <c r="AX160" s="2418"/>
      <c r="AY160" s="2418"/>
      <c r="AZ160" s="2416"/>
      <c r="BA160" s="2439"/>
      <c r="BB160" s="2418"/>
      <c r="BC160" s="2418"/>
      <c r="BD160" s="2416"/>
      <c r="BE160" s="2439"/>
      <c r="BF160" s="2418"/>
      <c r="BG160" s="2418"/>
      <c r="BH160" s="2440"/>
      <c r="BI160" s="2416"/>
      <c r="BJ160" s="2439"/>
      <c r="BK160" s="2418">
        <v>20</v>
      </c>
      <c r="BL160" s="2418">
        <v>20</v>
      </c>
      <c r="BM160" s="2440"/>
      <c r="BN160" s="2418">
        <v>30</v>
      </c>
      <c r="BO160" s="2418"/>
      <c r="BP160" s="2416"/>
      <c r="BQ160" s="2418"/>
      <c r="BR160" s="2439"/>
      <c r="BS160" s="2418"/>
      <c r="BT160" s="2418"/>
      <c r="BU160" s="2416"/>
      <c r="BV160" s="2418"/>
      <c r="BW160" s="2418"/>
      <c r="BX160" s="2439"/>
      <c r="BY160" s="2418"/>
      <c r="BZ160" s="2418"/>
      <c r="CA160" s="2418"/>
      <c r="CB160" s="2416"/>
      <c r="CC160" s="2418"/>
      <c r="CD160" s="2439"/>
      <c r="CE160" s="2418"/>
      <c r="CF160" s="2418"/>
      <c r="CG160" s="2416"/>
      <c r="CH160" s="2418"/>
      <c r="CI160" s="2439"/>
      <c r="CJ160" s="2418"/>
      <c r="CK160" s="2418"/>
      <c r="CL160" s="2418"/>
      <c r="CM160" s="2418"/>
      <c r="CN160" s="2416"/>
      <c r="CO160" s="2439"/>
      <c r="CP160" s="2418"/>
      <c r="CQ160" s="2418"/>
      <c r="CR160" s="2416"/>
      <c r="CS160" s="2418"/>
      <c r="CT160" s="2439"/>
      <c r="CU160" s="2418"/>
      <c r="CV160" s="2418"/>
      <c r="CW160" s="2416"/>
      <c r="CX160" s="2418"/>
      <c r="CY160" s="2439"/>
      <c r="CZ160" s="2418"/>
      <c r="DA160" s="2416"/>
      <c r="DB160" s="2418"/>
      <c r="DC160" s="2439"/>
      <c r="DD160" s="2418"/>
      <c r="DE160" s="2417"/>
    </row>
    <row r="161" spans="1:109" ht="12.75" customHeight="1" x14ac:dyDescent="0.2">
      <c r="A161" s="1916">
        <v>161</v>
      </c>
      <c r="B161" s="5148"/>
      <c r="C161" s="1654" t="s">
        <v>7794</v>
      </c>
      <c r="D161" s="1655"/>
      <c r="F161" s="2437">
        <v>21</v>
      </c>
      <c r="G161" s="597" t="s">
        <v>2993</v>
      </c>
      <c r="H161" s="2416"/>
      <c r="I161" s="2418"/>
      <c r="J161" s="2439"/>
      <c r="K161" s="2418"/>
      <c r="L161" s="2418"/>
      <c r="M161" s="2416"/>
      <c r="N161" s="2418"/>
      <c r="O161" s="2439"/>
      <c r="P161" s="2418"/>
      <c r="Q161" s="2418"/>
      <c r="R161" s="2416"/>
      <c r="S161" s="2439"/>
      <c r="T161" s="2418"/>
      <c r="U161" s="2416"/>
      <c r="V161" s="2439"/>
      <c r="W161" s="2418"/>
      <c r="X161" s="2418"/>
      <c r="Y161" s="2416"/>
      <c r="Z161" s="2418"/>
      <c r="AA161" s="2439"/>
      <c r="AB161" s="2474"/>
      <c r="AC161" s="2418"/>
      <c r="AD161" s="2416"/>
      <c r="AE161" s="2439"/>
      <c r="AF161" s="2418"/>
      <c r="AG161" s="2418"/>
      <c r="AH161" s="2418"/>
      <c r="AI161" s="2416"/>
      <c r="AJ161" s="2418"/>
      <c r="AK161" s="2439"/>
      <c r="AL161" s="2418"/>
      <c r="AM161" s="2418"/>
      <c r="AN161" s="2418"/>
      <c r="AO161" s="2418"/>
      <c r="AP161" s="2416"/>
      <c r="AQ161" s="2418"/>
      <c r="AR161" s="2439"/>
      <c r="AS161" s="2418"/>
      <c r="AT161" s="2418"/>
      <c r="AU161" s="2416"/>
      <c r="AV161" s="2418"/>
      <c r="AW161" s="2439"/>
      <c r="AX161" s="2418"/>
      <c r="AY161" s="2418"/>
      <c r="AZ161" s="2416"/>
      <c r="BA161" s="2439"/>
      <c r="BB161" s="2418"/>
      <c r="BC161" s="2418"/>
      <c r="BD161" s="2416"/>
      <c r="BE161" s="2439"/>
      <c r="BF161" s="2418"/>
      <c r="BG161" s="2418"/>
      <c r="BH161" s="2440"/>
      <c r="BI161" s="2416"/>
      <c r="BJ161" s="2439"/>
      <c r="BK161" s="2418"/>
      <c r="BL161" s="2418"/>
      <c r="BM161" s="2440"/>
      <c r="BN161" s="2418"/>
      <c r="BO161" s="2418"/>
      <c r="BP161" s="2416"/>
      <c r="BQ161" s="2418"/>
      <c r="BR161" s="2439"/>
      <c r="BS161" s="2418"/>
      <c r="BT161" s="2418"/>
      <c r="BU161" s="2416"/>
      <c r="BV161" s="2418"/>
      <c r="BW161" s="2418"/>
      <c r="BX161" s="2439"/>
      <c r="BY161" s="2418"/>
      <c r="BZ161" s="2418"/>
      <c r="CA161" s="2418"/>
      <c r="CB161" s="2416"/>
      <c r="CC161" s="2418"/>
      <c r="CD161" s="2439"/>
      <c r="CE161" s="2418"/>
      <c r="CF161" s="2418"/>
      <c r="CG161" s="2416"/>
      <c r="CH161" s="2418"/>
      <c r="CI161" s="2439"/>
      <c r="CJ161" s="2418"/>
      <c r="CK161" s="2418"/>
      <c r="CL161" s="2418"/>
      <c r="CM161" s="2418"/>
      <c r="CN161" s="2416"/>
      <c r="CO161" s="2439"/>
      <c r="CP161" s="2418"/>
      <c r="CQ161" s="2418"/>
      <c r="CR161" s="2416"/>
      <c r="CS161" s="2418"/>
      <c r="CT161" s="2439"/>
      <c r="CU161" s="2418"/>
      <c r="CV161" s="2418"/>
      <c r="CW161" s="2416"/>
      <c r="CX161" s="2418"/>
      <c r="CY161" s="2439"/>
      <c r="CZ161" s="2418"/>
      <c r="DA161" s="2416"/>
      <c r="DB161" s="2418"/>
      <c r="DC161" s="2439"/>
      <c r="DD161" s="2418"/>
      <c r="DE161" s="2417"/>
    </row>
    <row r="162" spans="1:109" ht="12.75" customHeight="1" x14ac:dyDescent="0.2">
      <c r="A162" s="1916">
        <v>162</v>
      </c>
      <c r="B162" s="5148"/>
      <c r="C162" s="1654" t="s">
        <v>7830</v>
      </c>
      <c r="D162" s="1655"/>
      <c r="F162" s="2437">
        <v>22</v>
      </c>
      <c r="G162" s="597" t="s">
        <v>1748</v>
      </c>
      <c r="H162" s="2416"/>
      <c r="I162" s="2418"/>
      <c r="J162" s="2439"/>
      <c r="K162" s="2418">
        <v>20</v>
      </c>
      <c r="L162" s="2418">
        <v>20</v>
      </c>
      <c r="M162" s="2416">
        <v>20</v>
      </c>
      <c r="N162" s="2418">
        <v>40</v>
      </c>
      <c r="O162" s="2439"/>
      <c r="P162" s="2418"/>
      <c r="Q162" s="2418"/>
      <c r="R162" s="2416">
        <v>20</v>
      </c>
      <c r="S162" s="2439"/>
      <c r="T162" s="2418">
        <v>20</v>
      </c>
      <c r="U162" s="2416"/>
      <c r="V162" s="2439"/>
      <c r="W162" s="2418">
        <v>20</v>
      </c>
      <c r="X162" s="2418"/>
      <c r="Y162" s="2416"/>
      <c r="Z162" s="2418"/>
      <c r="AA162" s="2439"/>
      <c r="AB162" s="2474"/>
      <c r="AC162" s="2418"/>
      <c r="AD162" s="2416"/>
      <c r="AE162" s="2439"/>
      <c r="AF162" s="2418">
        <v>10</v>
      </c>
      <c r="AG162" s="2418"/>
      <c r="AH162" s="2418"/>
      <c r="AI162" s="2416"/>
      <c r="AJ162" s="2418"/>
      <c r="AK162" s="2439"/>
      <c r="AL162" s="2418">
        <v>30</v>
      </c>
      <c r="AM162" s="2418"/>
      <c r="AN162" s="2418"/>
      <c r="AO162" s="2418"/>
      <c r="AP162" s="2416">
        <v>30</v>
      </c>
      <c r="AQ162" s="2418">
        <v>10</v>
      </c>
      <c r="AR162" s="2439">
        <v>20</v>
      </c>
      <c r="AS162" s="2418"/>
      <c r="AT162" s="2418"/>
      <c r="AU162" s="2416"/>
      <c r="AV162" s="2418"/>
      <c r="AW162" s="2439"/>
      <c r="AX162" s="2418"/>
      <c r="AY162" s="2418"/>
      <c r="AZ162" s="2416"/>
      <c r="BA162" s="2439"/>
      <c r="BB162" s="2418"/>
      <c r="BC162" s="2418"/>
      <c r="BD162" s="2416"/>
      <c r="BE162" s="2439"/>
      <c r="BF162" s="2418"/>
      <c r="BG162" s="2418"/>
      <c r="BH162" s="2440"/>
      <c r="BI162" s="2416">
        <v>20</v>
      </c>
      <c r="BJ162" s="2439"/>
      <c r="BK162" s="2418">
        <v>20</v>
      </c>
      <c r="BL162" s="2418"/>
      <c r="BM162" s="2440">
        <v>10</v>
      </c>
      <c r="BN162" s="2418"/>
      <c r="BO162" s="2418"/>
      <c r="BP162" s="2416">
        <v>20</v>
      </c>
      <c r="BQ162" s="2418"/>
      <c r="BR162" s="2439"/>
      <c r="BS162" s="2418">
        <v>20</v>
      </c>
      <c r="BT162" s="2418"/>
      <c r="BU162" s="2416"/>
      <c r="BV162" s="2418">
        <v>20</v>
      </c>
      <c r="BW162" s="2418"/>
      <c r="BX162" s="2439"/>
      <c r="BY162" s="2418"/>
      <c r="BZ162" s="2418">
        <v>30</v>
      </c>
      <c r="CA162" s="2418"/>
      <c r="CB162" s="2416"/>
      <c r="CC162" s="2418"/>
      <c r="CD162" s="2439"/>
      <c r="CE162" s="2418">
        <v>20</v>
      </c>
      <c r="CF162" s="2418">
        <v>20</v>
      </c>
      <c r="CG162" s="2416">
        <v>30</v>
      </c>
      <c r="CH162" s="2418"/>
      <c r="CI162" s="2439"/>
      <c r="CJ162" s="2418"/>
      <c r="CK162" s="2418"/>
      <c r="CL162" s="2418"/>
      <c r="CM162" s="2418"/>
      <c r="CN162" s="2416">
        <v>20</v>
      </c>
      <c r="CO162" s="2439"/>
      <c r="CP162" s="2418">
        <v>20</v>
      </c>
      <c r="CQ162" s="2418"/>
      <c r="CR162" s="2416"/>
      <c r="CS162" s="2418"/>
      <c r="CT162" s="2439"/>
      <c r="CU162" s="2418"/>
      <c r="CV162" s="2418"/>
      <c r="CW162" s="2416"/>
      <c r="CX162" s="2418"/>
      <c r="CY162" s="2439"/>
      <c r="CZ162" s="2418"/>
      <c r="DA162" s="2416"/>
      <c r="DB162" s="2418"/>
      <c r="DC162" s="2439"/>
      <c r="DD162" s="2418"/>
      <c r="DE162" s="2417"/>
    </row>
    <row r="163" spans="1:109" ht="12.75" customHeight="1" x14ac:dyDescent="0.2">
      <c r="A163" s="1916">
        <v>163</v>
      </c>
      <c r="B163" s="5148"/>
      <c r="C163" s="1654" t="s">
        <v>7795</v>
      </c>
      <c r="D163" s="1655"/>
      <c r="F163" s="2437">
        <v>23</v>
      </c>
      <c r="G163" s="597" t="s">
        <v>1750</v>
      </c>
      <c r="H163" s="2416" t="s">
        <v>7864</v>
      </c>
      <c r="I163" s="2418" t="s">
        <v>7864</v>
      </c>
      <c r="J163" s="2439" t="s">
        <v>7864</v>
      </c>
      <c r="K163" s="2418">
        <v>20</v>
      </c>
      <c r="L163" s="2418"/>
      <c r="M163" s="2416"/>
      <c r="N163" s="2418"/>
      <c r="O163" s="2439"/>
      <c r="P163" s="2418" t="s">
        <v>7864</v>
      </c>
      <c r="Q163" s="2418" t="s">
        <v>7864</v>
      </c>
      <c r="R163" s="2416"/>
      <c r="S163" s="2439" t="s">
        <v>7864</v>
      </c>
      <c r="T163" s="2418"/>
      <c r="U163" s="2416" t="s">
        <v>7864</v>
      </c>
      <c r="V163" s="2439" t="s">
        <v>7864</v>
      </c>
      <c r="W163" s="2418"/>
      <c r="X163" s="2418" t="s">
        <v>7864</v>
      </c>
      <c r="Y163" s="2416" t="s">
        <v>7864</v>
      </c>
      <c r="Z163" s="2418" t="s">
        <v>7864</v>
      </c>
      <c r="AA163" s="2439" t="s">
        <v>7864</v>
      </c>
      <c r="AB163" s="2474"/>
      <c r="AC163" s="2418" t="s">
        <v>7864</v>
      </c>
      <c r="AD163" s="2416" t="s">
        <v>7864</v>
      </c>
      <c r="AE163" s="2439" t="s">
        <v>7864</v>
      </c>
      <c r="AF163" s="2418"/>
      <c r="AG163" s="2418"/>
      <c r="AH163" s="2418"/>
      <c r="AI163" s="2416"/>
      <c r="AJ163" s="2418"/>
      <c r="AK163" s="2439" t="s">
        <v>7864</v>
      </c>
      <c r="AL163" s="2418" t="s">
        <v>7864</v>
      </c>
      <c r="AM163" s="2418" t="s">
        <v>7864</v>
      </c>
      <c r="AN163" s="2418"/>
      <c r="AO163" s="2418" t="s">
        <v>7864</v>
      </c>
      <c r="AP163" s="2416"/>
      <c r="AQ163" s="2418"/>
      <c r="AR163" s="2439"/>
      <c r="AS163" s="2418"/>
      <c r="AT163" s="2418"/>
      <c r="AU163" s="2416" t="s">
        <v>7864</v>
      </c>
      <c r="AV163" s="2418">
        <v>20</v>
      </c>
      <c r="AW163" s="2439">
        <v>20</v>
      </c>
      <c r="AX163" s="2418" t="s">
        <v>7864</v>
      </c>
      <c r="AY163" s="2418" t="s">
        <v>7864</v>
      </c>
      <c r="AZ163" s="2416" t="s">
        <v>8556</v>
      </c>
      <c r="BA163" s="2439" t="s">
        <v>8557</v>
      </c>
      <c r="BB163" s="2418" t="s">
        <v>7864</v>
      </c>
      <c r="BC163" s="2418" t="s">
        <v>7865</v>
      </c>
      <c r="BD163" s="2416"/>
      <c r="BE163" s="2439" t="s">
        <v>7864</v>
      </c>
      <c r="BF163" s="2418" t="s">
        <v>7864</v>
      </c>
      <c r="BG163" s="2418" t="s">
        <v>7865</v>
      </c>
      <c r="BH163" s="2440"/>
      <c r="BI163" s="2416"/>
      <c r="BJ163" s="2439"/>
      <c r="BK163" s="2418">
        <v>20</v>
      </c>
      <c r="BL163" s="2418">
        <v>20</v>
      </c>
      <c r="BM163" s="2440"/>
      <c r="BN163" s="2418">
        <v>10</v>
      </c>
      <c r="BO163" s="2418"/>
      <c r="BP163" s="2416"/>
      <c r="BQ163" s="2418" t="s">
        <v>7864</v>
      </c>
      <c r="BR163" s="2439" t="s">
        <v>7864</v>
      </c>
      <c r="BS163" s="2418"/>
      <c r="BT163" s="2418">
        <v>20</v>
      </c>
      <c r="BU163" s="2416" t="s">
        <v>7864</v>
      </c>
      <c r="BV163" s="2418"/>
      <c r="BW163" s="2418" t="s">
        <v>7864</v>
      </c>
      <c r="BX163" s="2439" t="s">
        <v>7865</v>
      </c>
      <c r="BY163" s="2418"/>
      <c r="BZ163" s="2418"/>
      <c r="CA163" s="2418"/>
      <c r="CB163" s="2416" t="s">
        <v>7864</v>
      </c>
      <c r="CC163" s="2418" t="s">
        <v>7864</v>
      </c>
      <c r="CD163" s="2439" t="s">
        <v>7864</v>
      </c>
      <c r="CE163" s="2418"/>
      <c r="CF163" s="2418"/>
      <c r="CG163" s="2416"/>
      <c r="CH163" s="2418"/>
      <c r="CI163" s="2439" t="s">
        <v>7864</v>
      </c>
      <c r="CJ163" s="2418" t="s">
        <v>7864</v>
      </c>
      <c r="CK163" s="2418" t="s">
        <v>7864</v>
      </c>
      <c r="CL163" s="2418" t="s">
        <v>7864</v>
      </c>
      <c r="CM163" s="2418" t="s">
        <v>7864</v>
      </c>
      <c r="CN163" s="2416" t="s">
        <v>7865</v>
      </c>
      <c r="CO163" s="2439" t="s">
        <v>7865</v>
      </c>
      <c r="CP163" s="2418"/>
      <c r="CQ163" s="2418"/>
      <c r="CR163" s="2416" t="s">
        <v>7864</v>
      </c>
      <c r="CS163" s="2418" t="s">
        <v>7864</v>
      </c>
      <c r="CT163" s="2439" t="s">
        <v>7864</v>
      </c>
      <c r="CU163" s="2418"/>
      <c r="CV163" s="2418"/>
      <c r="CW163" s="2416"/>
      <c r="CX163" s="2418"/>
      <c r="CY163" s="2439"/>
      <c r="CZ163" s="2418"/>
      <c r="DA163" s="2416"/>
      <c r="DB163" s="2418"/>
      <c r="DC163" s="2439"/>
      <c r="DD163" s="2418"/>
      <c r="DE163" s="2417"/>
    </row>
    <row r="164" spans="1:109" ht="12.75" customHeight="1" x14ac:dyDescent="0.2">
      <c r="A164" s="1916">
        <v>164</v>
      </c>
      <c r="B164" s="5148"/>
      <c r="C164" s="1654" t="s">
        <v>7796</v>
      </c>
      <c r="D164" s="1655"/>
      <c r="F164" s="2437">
        <v>24</v>
      </c>
      <c r="G164" s="597" t="s">
        <v>1088</v>
      </c>
      <c r="H164" s="2416"/>
      <c r="I164" s="2418"/>
      <c r="J164" s="2439"/>
      <c r="K164" s="2418"/>
      <c r="L164" s="2418"/>
      <c r="M164" s="2416"/>
      <c r="N164" s="2418"/>
      <c r="O164" s="2439"/>
      <c r="P164" s="2418"/>
      <c r="Q164" s="2418"/>
      <c r="R164" s="2416"/>
      <c r="S164" s="2439"/>
      <c r="T164" s="2418"/>
      <c r="U164" s="2416"/>
      <c r="V164" s="2439"/>
      <c r="W164" s="2418"/>
      <c r="X164" s="2418"/>
      <c r="Y164" s="2416"/>
      <c r="Z164" s="2418"/>
      <c r="AA164" s="2439"/>
      <c r="AB164" s="2474"/>
      <c r="AC164" s="2418"/>
      <c r="AD164" s="2416"/>
      <c r="AE164" s="2439"/>
      <c r="AF164" s="2418"/>
      <c r="AG164" s="2418"/>
      <c r="AH164" s="2418"/>
      <c r="AI164" s="2416"/>
      <c r="AJ164" s="2418"/>
      <c r="AK164" s="2439"/>
      <c r="AL164" s="2418"/>
      <c r="AM164" s="2418"/>
      <c r="AN164" s="2418"/>
      <c r="AO164" s="2418"/>
      <c r="AP164" s="2416"/>
      <c r="AQ164" s="2418"/>
      <c r="AR164" s="2439"/>
      <c r="AS164" s="2418"/>
      <c r="AT164" s="2418"/>
      <c r="AU164" s="2416"/>
      <c r="AV164" s="2418"/>
      <c r="AW164" s="2439"/>
      <c r="AX164" s="2418"/>
      <c r="AY164" s="2418"/>
      <c r="AZ164" s="2416"/>
      <c r="BA164" s="2439"/>
      <c r="BB164" s="2418"/>
      <c r="BC164" s="2418"/>
      <c r="BD164" s="2416"/>
      <c r="BE164" s="2439"/>
      <c r="BF164" s="2418"/>
      <c r="BG164" s="2418"/>
      <c r="BH164" s="2440"/>
      <c r="BI164" s="2416"/>
      <c r="BJ164" s="2439"/>
      <c r="BK164" s="2418"/>
      <c r="BL164" s="2418"/>
      <c r="BM164" s="2440"/>
      <c r="BN164" s="2418"/>
      <c r="BO164" s="2418"/>
      <c r="BP164" s="2416"/>
      <c r="BQ164" s="2418"/>
      <c r="BR164" s="2439"/>
      <c r="BS164" s="2418"/>
      <c r="BT164" s="2418"/>
      <c r="BU164" s="2416"/>
      <c r="BV164" s="2418"/>
      <c r="BW164" s="2418"/>
      <c r="BX164" s="2439"/>
      <c r="BY164" s="2418"/>
      <c r="BZ164" s="2418"/>
      <c r="CA164" s="2418"/>
      <c r="CB164" s="2416"/>
      <c r="CC164" s="2418"/>
      <c r="CD164" s="2439"/>
      <c r="CE164" s="2418"/>
      <c r="CF164" s="2418"/>
      <c r="CG164" s="2416"/>
      <c r="CH164" s="2418"/>
      <c r="CI164" s="2439"/>
      <c r="CJ164" s="2418"/>
      <c r="CK164" s="2418"/>
      <c r="CL164" s="2418"/>
      <c r="CM164" s="2418"/>
      <c r="CN164" s="2416"/>
      <c r="CO164" s="2439"/>
      <c r="CP164" s="2418"/>
      <c r="CQ164" s="2418"/>
      <c r="CR164" s="2416"/>
      <c r="CS164" s="2418"/>
      <c r="CT164" s="2439"/>
      <c r="CU164" s="2418"/>
      <c r="CV164" s="2418"/>
      <c r="CW164" s="2416"/>
      <c r="CX164" s="2418"/>
      <c r="CY164" s="2439"/>
      <c r="CZ164" s="2418"/>
      <c r="DA164" s="2416"/>
      <c r="DB164" s="2418"/>
      <c r="DC164" s="2439"/>
      <c r="DD164" s="2418"/>
      <c r="DE164" s="2417"/>
    </row>
    <row r="165" spans="1:109" ht="12.75" customHeight="1" x14ac:dyDescent="0.2">
      <c r="A165" s="1916">
        <v>165</v>
      </c>
      <c r="B165" s="5148"/>
      <c r="C165" s="1654" t="s">
        <v>7831</v>
      </c>
      <c r="D165" s="1655"/>
      <c r="F165" s="2437">
        <v>25</v>
      </c>
      <c r="G165" s="597" t="s">
        <v>1753</v>
      </c>
      <c r="H165" s="2416"/>
      <c r="I165" s="2418"/>
      <c r="J165" s="2439"/>
      <c r="K165" s="2418">
        <v>20</v>
      </c>
      <c r="L165" s="2418"/>
      <c r="M165" s="2416"/>
      <c r="N165" s="2418"/>
      <c r="O165" s="2439"/>
      <c r="P165" s="2418"/>
      <c r="Q165" s="2418"/>
      <c r="R165" s="2416"/>
      <c r="S165" s="2439"/>
      <c r="T165" s="2418"/>
      <c r="U165" s="2416"/>
      <c r="V165" s="2439"/>
      <c r="W165" s="2418"/>
      <c r="X165" s="2418"/>
      <c r="Y165" s="2416"/>
      <c r="Z165" s="2418"/>
      <c r="AA165" s="2439"/>
      <c r="AB165" s="2474"/>
      <c r="AC165" s="2418"/>
      <c r="AD165" s="2416"/>
      <c r="AE165" s="2439"/>
      <c r="AF165" s="2418"/>
      <c r="AG165" s="2418"/>
      <c r="AH165" s="2418"/>
      <c r="AI165" s="2416"/>
      <c r="AJ165" s="2418"/>
      <c r="AK165" s="2439"/>
      <c r="AL165" s="2418"/>
      <c r="AM165" s="2418"/>
      <c r="AN165" s="2418"/>
      <c r="AO165" s="2418"/>
      <c r="AP165" s="2416"/>
      <c r="AQ165" s="2418"/>
      <c r="AR165" s="2439"/>
      <c r="AS165" s="2418"/>
      <c r="AT165" s="2418"/>
      <c r="AU165" s="2416"/>
      <c r="AV165" s="2418"/>
      <c r="AW165" s="2439"/>
      <c r="AX165" s="2418"/>
      <c r="AY165" s="2418"/>
      <c r="AZ165" s="2416"/>
      <c r="BA165" s="2439"/>
      <c r="BB165" s="2418"/>
      <c r="BC165" s="2418"/>
      <c r="BD165" s="2416"/>
      <c r="BE165" s="2439"/>
      <c r="BF165" s="2418"/>
      <c r="BG165" s="2418"/>
      <c r="BH165" s="2440"/>
      <c r="BI165" s="2416"/>
      <c r="BJ165" s="2439"/>
      <c r="BK165" s="2418"/>
      <c r="BL165" s="2418"/>
      <c r="BM165" s="2440"/>
      <c r="BN165" s="2418"/>
      <c r="BO165" s="2418"/>
      <c r="BP165" s="2416"/>
      <c r="BQ165" s="2418"/>
      <c r="BR165" s="2439"/>
      <c r="BS165" s="2418"/>
      <c r="BT165" s="2418"/>
      <c r="BU165" s="2416"/>
      <c r="BV165" s="2418"/>
      <c r="BW165" s="2418"/>
      <c r="BX165" s="2439"/>
      <c r="BY165" s="2418"/>
      <c r="BZ165" s="2418"/>
      <c r="CA165" s="2418"/>
      <c r="CB165" s="2416"/>
      <c r="CC165" s="2418"/>
      <c r="CD165" s="2439"/>
      <c r="CE165" s="2418"/>
      <c r="CF165" s="2418"/>
      <c r="CG165" s="2416"/>
      <c r="CH165" s="2418"/>
      <c r="CI165" s="2439"/>
      <c r="CJ165" s="2418"/>
      <c r="CK165" s="2418"/>
      <c r="CL165" s="2418"/>
      <c r="CM165" s="2418"/>
      <c r="CN165" s="2416"/>
      <c r="CO165" s="2439"/>
      <c r="CP165" s="2418"/>
      <c r="CQ165" s="2418"/>
      <c r="CR165" s="2416"/>
      <c r="CS165" s="2418"/>
      <c r="CT165" s="2439"/>
      <c r="CU165" s="2418"/>
      <c r="CV165" s="2418"/>
      <c r="CW165" s="2416"/>
      <c r="CX165" s="2418"/>
      <c r="CY165" s="2439"/>
      <c r="CZ165" s="2418">
        <v>20</v>
      </c>
      <c r="DA165" s="2416"/>
      <c r="DB165" s="2418"/>
      <c r="DC165" s="2439"/>
      <c r="DD165" s="2418"/>
      <c r="DE165" s="2417"/>
    </row>
    <row r="166" spans="1:109" ht="12.75" customHeight="1" x14ac:dyDescent="0.2">
      <c r="A166" s="1916">
        <v>166</v>
      </c>
      <c r="B166" s="5148"/>
      <c r="C166" s="1654" t="s">
        <v>7797</v>
      </c>
      <c r="D166" s="1655"/>
      <c r="F166" s="2437">
        <v>26</v>
      </c>
      <c r="G166" s="597" t="s">
        <v>1754</v>
      </c>
      <c r="H166" s="2416"/>
      <c r="I166" s="2418"/>
      <c r="J166" s="2439"/>
      <c r="K166" s="2418">
        <v>20</v>
      </c>
      <c r="L166" s="2418">
        <v>20</v>
      </c>
      <c r="M166" s="2416"/>
      <c r="N166" s="2418"/>
      <c r="O166" s="2439"/>
      <c r="P166" s="2418"/>
      <c r="Q166" s="2418"/>
      <c r="R166" s="2416"/>
      <c r="S166" s="2439"/>
      <c r="T166" s="2418"/>
      <c r="U166" s="2416"/>
      <c r="V166" s="2439"/>
      <c r="W166" s="2418"/>
      <c r="X166" s="2418"/>
      <c r="Y166" s="2416"/>
      <c r="Z166" s="2418"/>
      <c r="AA166" s="2439"/>
      <c r="AB166" s="2474"/>
      <c r="AC166" s="2418"/>
      <c r="AD166" s="2416"/>
      <c r="AE166" s="2439"/>
      <c r="AF166" s="2418"/>
      <c r="AG166" s="2418"/>
      <c r="AH166" s="2418"/>
      <c r="AI166" s="2416"/>
      <c r="AJ166" s="2418"/>
      <c r="AK166" s="2439"/>
      <c r="AL166" s="2418"/>
      <c r="AM166" s="2418"/>
      <c r="AN166" s="2418">
        <v>20</v>
      </c>
      <c r="AO166" s="2418"/>
      <c r="AP166" s="2416"/>
      <c r="AQ166" s="2418"/>
      <c r="AR166" s="2439"/>
      <c r="AS166" s="2418"/>
      <c r="AT166" s="2418"/>
      <c r="AU166" s="2416"/>
      <c r="AV166" s="2418"/>
      <c r="AW166" s="2439"/>
      <c r="AX166" s="2418"/>
      <c r="AY166" s="2418"/>
      <c r="AZ166" s="2416"/>
      <c r="BA166" s="2439"/>
      <c r="BB166" s="2418"/>
      <c r="BC166" s="2418"/>
      <c r="BD166" s="2416"/>
      <c r="BE166" s="2439"/>
      <c r="BF166" s="2418"/>
      <c r="BG166" s="2418"/>
      <c r="BH166" s="2440"/>
      <c r="BI166" s="2416"/>
      <c r="BJ166" s="2439"/>
      <c r="BK166" s="2418">
        <v>20</v>
      </c>
      <c r="BL166" s="2418">
        <v>20</v>
      </c>
      <c r="BM166" s="2440"/>
      <c r="BN166" s="2418">
        <v>20</v>
      </c>
      <c r="BO166" s="2418"/>
      <c r="BP166" s="2416"/>
      <c r="BQ166" s="2418"/>
      <c r="BR166" s="2439"/>
      <c r="BS166" s="2418"/>
      <c r="BT166" s="2418"/>
      <c r="BU166" s="2416"/>
      <c r="BV166" s="2418"/>
      <c r="BW166" s="2418"/>
      <c r="BX166" s="2439"/>
      <c r="BY166" s="2418"/>
      <c r="BZ166" s="2418"/>
      <c r="CA166" s="2418"/>
      <c r="CB166" s="2416"/>
      <c r="CC166" s="2418"/>
      <c r="CD166" s="2439"/>
      <c r="CE166" s="2418"/>
      <c r="CF166" s="2418"/>
      <c r="CG166" s="2416"/>
      <c r="CH166" s="2418"/>
      <c r="CI166" s="2439"/>
      <c r="CJ166" s="2418"/>
      <c r="CK166" s="2418"/>
      <c r="CL166" s="2418"/>
      <c r="CM166" s="2418"/>
      <c r="CN166" s="2416"/>
      <c r="CO166" s="2439"/>
      <c r="CP166" s="2418"/>
      <c r="CQ166" s="2418"/>
      <c r="CR166" s="2416"/>
      <c r="CS166" s="2418"/>
      <c r="CT166" s="2439"/>
      <c r="CU166" s="2418"/>
      <c r="CV166" s="2418"/>
      <c r="CW166" s="2416"/>
      <c r="CX166" s="2418"/>
      <c r="CY166" s="2439"/>
      <c r="CZ166" s="2418"/>
      <c r="DA166" s="2416"/>
      <c r="DB166" s="2418"/>
      <c r="DC166" s="2439"/>
      <c r="DD166" s="2418"/>
      <c r="DE166" s="2417"/>
    </row>
    <row r="167" spans="1:109" ht="12.75" customHeight="1" x14ac:dyDescent="0.2">
      <c r="A167" s="1916">
        <v>167</v>
      </c>
      <c r="B167" s="5148"/>
      <c r="C167" s="1654" t="s">
        <v>7798</v>
      </c>
      <c r="D167" s="1655"/>
      <c r="F167" s="2437">
        <v>27</v>
      </c>
      <c r="G167" s="597" t="s">
        <v>1755</v>
      </c>
      <c r="H167" s="2416"/>
      <c r="I167" s="2418"/>
      <c r="J167" s="2439"/>
      <c r="K167" s="2418"/>
      <c r="L167" s="2418"/>
      <c r="M167" s="2416"/>
      <c r="N167" s="2418"/>
      <c r="O167" s="2439"/>
      <c r="P167" s="2418"/>
      <c r="Q167" s="2418"/>
      <c r="R167" s="2416"/>
      <c r="S167" s="2439"/>
      <c r="T167" s="2418"/>
      <c r="U167" s="2416">
        <v>30</v>
      </c>
      <c r="V167" s="2439">
        <v>10</v>
      </c>
      <c r="W167" s="2418">
        <v>30</v>
      </c>
      <c r="X167" s="2418">
        <v>40</v>
      </c>
      <c r="Y167" s="2416"/>
      <c r="Z167" s="2418"/>
      <c r="AA167" s="2439"/>
      <c r="AB167" s="2474"/>
      <c r="AC167" s="2418"/>
      <c r="AD167" s="2416"/>
      <c r="AE167" s="2439"/>
      <c r="AF167" s="2418"/>
      <c r="AG167" s="2418"/>
      <c r="AH167" s="2418"/>
      <c r="AI167" s="2416"/>
      <c r="AJ167" s="2418">
        <v>20</v>
      </c>
      <c r="AK167" s="2439"/>
      <c r="AL167" s="2418"/>
      <c r="AM167" s="2418"/>
      <c r="AN167" s="2418"/>
      <c r="AO167" s="2418"/>
      <c r="AP167" s="2416"/>
      <c r="AQ167" s="2418"/>
      <c r="AR167" s="2439"/>
      <c r="AS167" s="2418">
        <v>20</v>
      </c>
      <c r="AT167" s="2418"/>
      <c r="AU167" s="2416"/>
      <c r="AV167" s="2418"/>
      <c r="AW167" s="2439"/>
      <c r="AX167" s="2418">
        <v>20</v>
      </c>
      <c r="AY167" s="2418"/>
      <c r="AZ167" s="2416"/>
      <c r="BA167" s="2439"/>
      <c r="BB167" s="2418"/>
      <c r="BC167" s="2418"/>
      <c r="BD167" s="2416"/>
      <c r="BE167" s="2439"/>
      <c r="BF167" s="2418"/>
      <c r="BG167" s="2418"/>
      <c r="BH167" s="2440"/>
      <c r="BI167" s="2416"/>
      <c r="BJ167" s="2439"/>
      <c r="BK167" s="2418"/>
      <c r="BL167" s="2418"/>
      <c r="BM167" s="2440"/>
      <c r="BN167" s="2418"/>
      <c r="BO167" s="2418"/>
      <c r="BP167" s="2416"/>
      <c r="BQ167" s="2418"/>
      <c r="BR167" s="2439"/>
      <c r="BS167" s="2418"/>
      <c r="BT167" s="2418"/>
      <c r="BU167" s="2416"/>
      <c r="BV167" s="2418"/>
      <c r="BW167" s="2418"/>
      <c r="BX167" s="2439"/>
      <c r="BY167" s="2418"/>
      <c r="BZ167" s="2418"/>
      <c r="CA167" s="2418"/>
      <c r="CB167" s="2416">
        <v>30</v>
      </c>
      <c r="CC167" s="2418">
        <v>30</v>
      </c>
      <c r="CD167" s="2439">
        <v>30</v>
      </c>
      <c r="CE167" s="2418"/>
      <c r="CF167" s="2418"/>
      <c r="CG167" s="2416"/>
      <c r="CH167" s="2418"/>
      <c r="CI167" s="2439"/>
      <c r="CJ167" s="2418"/>
      <c r="CK167" s="2418"/>
      <c r="CL167" s="2418"/>
      <c r="CM167" s="2418"/>
      <c r="CN167" s="2416"/>
      <c r="CO167" s="2439"/>
      <c r="CP167" s="2418"/>
      <c r="CQ167" s="2418"/>
      <c r="CR167" s="2416"/>
      <c r="CS167" s="2418"/>
      <c r="CT167" s="2439"/>
      <c r="CU167" s="2418"/>
      <c r="CV167" s="2418"/>
      <c r="CW167" s="2416"/>
      <c r="CX167" s="2418"/>
      <c r="CY167" s="2439"/>
      <c r="CZ167" s="2418"/>
      <c r="DA167" s="2416"/>
      <c r="DB167" s="2418"/>
      <c r="DC167" s="2439"/>
      <c r="DD167" s="2418"/>
      <c r="DE167" s="2417"/>
    </row>
    <row r="168" spans="1:109" ht="12.75" customHeight="1" x14ac:dyDescent="0.2">
      <c r="A168" s="1916">
        <v>168</v>
      </c>
      <c r="B168" s="5148"/>
      <c r="C168" s="1654" t="s">
        <v>7799</v>
      </c>
      <c r="D168" s="1655"/>
      <c r="F168" s="2437">
        <v>28</v>
      </c>
      <c r="G168" s="597" t="s">
        <v>1756</v>
      </c>
      <c r="H168" s="2416"/>
      <c r="I168" s="2418"/>
      <c r="J168" s="2439"/>
      <c r="K168" s="2418"/>
      <c r="L168" s="2418"/>
      <c r="M168" s="2416"/>
      <c r="N168" s="2418"/>
      <c r="O168" s="2439"/>
      <c r="P168" s="2418"/>
      <c r="Q168" s="2418"/>
      <c r="R168" s="2416"/>
      <c r="S168" s="2439"/>
      <c r="T168" s="2418"/>
      <c r="U168" s="2416"/>
      <c r="V168" s="2439"/>
      <c r="W168" s="2418"/>
      <c r="X168" s="2418"/>
      <c r="Y168" s="2416"/>
      <c r="Z168" s="2418"/>
      <c r="AA168" s="2439"/>
      <c r="AB168" s="2474"/>
      <c r="AC168" s="2418"/>
      <c r="AD168" s="2416" t="s">
        <v>7866</v>
      </c>
      <c r="AE168" s="2439" t="s">
        <v>7866</v>
      </c>
      <c r="AF168" s="2418"/>
      <c r="AG168" s="2418"/>
      <c r="AH168" s="2418"/>
      <c r="AI168" s="2416"/>
      <c r="AJ168" s="2418"/>
      <c r="AK168" s="2439"/>
      <c r="AL168" s="2418"/>
      <c r="AM168" s="2418"/>
      <c r="AN168" s="2418"/>
      <c r="AO168" s="2418"/>
      <c r="AP168" s="2416" t="s">
        <v>7871</v>
      </c>
      <c r="AQ168" s="2418" t="s">
        <v>7872</v>
      </c>
      <c r="AR168" s="2439" t="s">
        <v>7873</v>
      </c>
      <c r="AS168" s="2418"/>
      <c r="AT168" s="2418"/>
      <c r="AU168" s="2416"/>
      <c r="AV168" s="2418"/>
      <c r="AW168" s="2439"/>
      <c r="AX168" s="2418"/>
      <c r="AY168" s="2418"/>
      <c r="AZ168" s="2416" t="s">
        <v>7867</v>
      </c>
      <c r="BA168" s="2439" t="s">
        <v>7868</v>
      </c>
      <c r="BB168" s="2418" t="s">
        <v>7869</v>
      </c>
      <c r="BC168" s="2418" t="s">
        <v>7866</v>
      </c>
      <c r="BD168" s="2416" t="s">
        <v>7870</v>
      </c>
      <c r="BE168" s="2439" t="s">
        <v>7866</v>
      </c>
      <c r="BF168" s="2418" t="s">
        <v>7866</v>
      </c>
      <c r="BG168" s="2418" t="s">
        <v>7869</v>
      </c>
      <c r="BH168" s="2440"/>
      <c r="BI168" s="2416"/>
      <c r="BJ168" s="2439"/>
      <c r="BK168" s="2418"/>
      <c r="BL168" s="2418"/>
      <c r="BM168" s="2440"/>
      <c r="BN168" s="2418"/>
      <c r="BO168" s="2418"/>
      <c r="BP168" s="2416" t="s">
        <v>7866</v>
      </c>
      <c r="BQ168" s="2418"/>
      <c r="BR168" s="2439"/>
      <c r="BS168" s="2418"/>
      <c r="BT168" s="2418">
        <v>10</v>
      </c>
      <c r="BU168" s="2416"/>
      <c r="BV168" s="2418"/>
      <c r="BW168" s="2418"/>
      <c r="BX168" s="2439"/>
      <c r="BY168" s="2418"/>
      <c r="BZ168" s="2418"/>
      <c r="CA168" s="2418"/>
      <c r="CB168" s="2416"/>
      <c r="CC168" s="2418"/>
      <c r="CD168" s="2439"/>
      <c r="CE168" s="2418"/>
      <c r="CF168" s="2418"/>
      <c r="CG168" s="2416"/>
      <c r="CH168" s="2418"/>
      <c r="CI168" s="2439"/>
      <c r="CJ168" s="2418">
        <v>20</v>
      </c>
      <c r="CK168" s="2418">
        <v>20</v>
      </c>
      <c r="CL168" s="2418">
        <v>20</v>
      </c>
      <c r="CM168" s="2418">
        <v>20</v>
      </c>
      <c r="CN168" s="2416"/>
      <c r="CO168" s="2439"/>
      <c r="CP168" s="2418"/>
      <c r="CQ168" s="2418">
        <v>20</v>
      </c>
      <c r="CR168" s="2416"/>
      <c r="CS168" s="2418"/>
      <c r="CT168" s="2439"/>
      <c r="CU168" s="2418"/>
      <c r="CV168" s="2418"/>
      <c r="CW168" s="2416">
        <v>20</v>
      </c>
      <c r="CX168" s="2418">
        <v>20</v>
      </c>
      <c r="CY168" s="2439">
        <v>20</v>
      </c>
      <c r="CZ168" s="2418" t="s">
        <v>7874</v>
      </c>
      <c r="DA168" s="2416"/>
      <c r="DB168" s="2418"/>
      <c r="DC168" s="2439">
        <v>30</v>
      </c>
      <c r="DD168" s="2418">
        <v>20</v>
      </c>
      <c r="DE168" s="2417">
        <v>20</v>
      </c>
    </row>
    <row r="169" spans="1:109" ht="12.75" customHeight="1" x14ac:dyDescent="0.2">
      <c r="A169" s="1916">
        <v>169</v>
      </c>
      <c r="B169" s="5148"/>
      <c r="C169" s="1654" t="s">
        <v>7835</v>
      </c>
      <c r="D169" s="1655"/>
      <c r="F169" s="2437">
        <v>29</v>
      </c>
      <c r="G169" s="597" t="s">
        <v>1757</v>
      </c>
      <c r="H169" s="2416"/>
      <c r="I169" s="2418">
        <v>30</v>
      </c>
      <c r="J169" s="2439"/>
      <c r="K169" s="2418"/>
      <c r="L169" s="2418"/>
      <c r="M169" s="2416"/>
      <c r="N169" s="2418"/>
      <c r="O169" s="2439"/>
      <c r="P169" s="2418"/>
      <c r="Q169" s="2418"/>
      <c r="R169" s="2416"/>
      <c r="S169" s="2439"/>
      <c r="T169" s="2418"/>
      <c r="U169" s="2416">
        <v>40</v>
      </c>
      <c r="V169" s="2439">
        <v>40</v>
      </c>
      <c r="W169" s="2418"/>
      <c r="X169" s="2418"/>
      <c r="Y169" s="2416"/>
      <c r="Z169" s="2418">
        <v>40</v>
      </c>
      <c r="AA169" s="2439"/>
      <c r="AB169" s="2474"/>
      <c r="AC169" s="2418">
        <v>20</v>
      </c>
      <c r="AD169" s="2416"/>
      <c r="AE169" s="2439"/>
      <c r="AF169" s="2418"/>
      <c r="AG169" s="2418"/>
      <c r="AH169" s="2418"/>
      <c r="AI169" s="2416"/>
      <c r="AJ169" s="2418"/>
      <c r="AK169" s="2439"/>
      <c r="AL169" s="2418"/>
      <c r="AM169" s="2418"/>
      <c r="AN169" s="2418"/>
      <c r="AO169" s="2418">
        <v>20</v>
      </c>
      <c r="AP169" s="2416"/>
      <c r="AQ169" s="2418">
        <v>20</v>
      </c>
      <c r="AR169" s="2439"/>
      <c r="AS169" s="2418"/>
      <c r="AT169" s="2418">
        <v>30</v>
      </c>
      <c r="AU169" s="2416"/>
      <c r="AV169" s="2418">
        <v>20</v>
      </c>
      <c r="AW169" s="2439"/>
      <c r="AX169" s="2418"/>
      <c r="AY169" s="2418">
        <v>20</v>
      </c>
      <c r="AZ169" s="2416"/>
      <c r="BA169" s="2439"/>
      <c r="BB169" s="2418"/>
      <c r="BC169" s="2418"/>
      <c r="BD169" s="2416"/>
      <c r="BE169" s="2439">
        <v>30</v>
      </c>
      <c r="BF169" s="2418">
        <v>10</v>
      </c>
      <c r="BG169" s="2418"/>
      <c r="BH169" s="2440"/>
      <c r="BI169" s="2416"/>
      <c r="BJ169" s="2439"/>
      <c r="BK169" s="2418"/>
      <c r="BL169" s="2418"/>
      <c r="BM169" s="2440"/>
      <c r="BN169" s="2418"/>
      <c r="BO169" s="2418"/>
      <c r="BP169" s="2416"/>
      <c r="BQ169" s="2418"/>
      <c r="BR169" s="2439"/>
      <c r="BS169" s="2418"/>
      <c r="BT169" s="2418"/>
      <c r="BU169" s="2416"/>
      <c r="BV169" s="2418"/>
      <c r="BW169" s="2418">
        <v>30</v>
      </c>
      <c r="BX169" s="2439"/>
      <c r="BY169" s="2418"/>
      <c r="BZ169" s="2418"/>
      <c r="CA169" s="2418">
        <v>20</v>
      </c>
      <c r="CB169" s="2416"/>
      <c r="CC169" s="2418">
        <v>20</v>
      </c>
      <c r="CD169" s="2439"/>
      <c r="CE169" s="2418"/>
      <c r="CF169" s="2418">
        <v>20</v>
      </c>
      <c r="CG169" s="2416"/>
      <c r="CH169" s="2418"/>
      <c r="CI169" s="2439"/>
      <c r="CJ169" s="2418"/>
      <c r="CK169" s="2418"/>
      <c r="CL169" s="2418">
        <v>20</v>
      </c>
      <c r="CM169" s="2418"/>
      <c r="CN169" s="2416"/>
      <c r="CO169" s="2439">
        <v>20</v>
      </c>
      <c r="CP169" s="2418"/>
      <c r="CQ169" s="2418"/>
      <c r="CR169" s="2416"/>
      <c r="CS169" s="2418">
        <v>30</v>
      </c>
      <c r="CT169" s="2439"/>
      <c r="CU169" s="2418"/>
      <c r="CV169" s="2418"/>
      <c r="CW169" s="2416"/>
      <c r="CX169" s="2418">
        <v>20</v>
      </c>
      <c r="CY169" s="2439"/>
      <c r="CZ169" s="2418"/>
      <c r="DA169" s="2416"/>
      <c r="DB169" s="2418">
        <v>30</v>
      </c>
      <c r="DC169" s="2439"/>
      <c r="DD169" s="2418"/>
      <c r="DE169" s="2417">
        <v>20</v>
      </c>
    </row>
    <row r="170" spans="1:109" ht="12.75" customHeight="1" x14ac:dyDescent="0.2">
      <c r="A170" s="1916">
        <v>170</v>
      </c>
      <c r="B170" s="5148"/>
      <c r="C170" s="1654" t="s">
        <v>7760</v>
      </c>
      <c r="D170" s="1655"/>
      <c r="F170" s="2437">
        <v>30</v>
      </c>
      <c r="G170" s="597" t="s">
        <v>1758</v>
      </c>
      <c r="H170" s="2416"/>
      <c r="I170" s="2418"/>
      <c r="J170" s="2439"/>
      <c r="K170" s="2418"/>
      <c r="L170" s="2418"/>
      <c r="M170" s="2416"/>
      <c r="N170" s="2418"/>
      <c r="O170" s="2439"/>
      <c r="P170" s="2418"/>
      <c r="Q170" s="2418"/>
      <c r="R170" s="2416"/>
      <c r="S170" s="2439"/>
      <c r="T170" s="2418"/>
      <c r="U170" s="2416"/>
      <c r="V170" s="2439"/>
      <c r="W170" s="2418"/>
      <c r="X170" s="2418"/>
      <c r="Y170" s="2416"/>
      <c r="Z170" s="2418"/>
      <c r="AA170" s="2439"/>
      <c r="AB170" s="2474"/>
      <c r="AC170" s="2418"/>
      <c r="AD170" s="2416"/>
      <c r="AE170" s="2439"/>
      <c r="AF170" s="2418"/>
      <c r="AG170" s="2418"/>
      <c r="AH170" s="2418"/>
      <c r="AI170" s="2416"/>
      <c r="AJ170" s="2418"/>
      <c r="AK170" s="2439"/>
      <c r="AL170" s="2418"/>
      <c r="AM170" s="2418"/>
      <c r="AN170" s="2418"/>
      <c r="AO170" s="2418"/>
      <c r="AP170" s="2416"/>
      <c r="AQ170" s="2418"/>
      <c r="AR170" s="2439"/>
      <c r="AS170" s="2418"/>
      <c r="AT170" s="2418"/>
      <c r="AU170" s="2416"/>
      <c r="AV170" s="2418"/>
      <c r="AW170" s="2439"/>
      <c r="AX170" s="2418"/>
      <c r="AY170" s="2418"/>
      <c r="AZ170" s="2416"/>
      <c r="BA170" s="2439"/>
      <c r="BB170" s="2418"/>
      <c r="BC170" s="2418"/>
      <c r="BD170" s="2416"/>
      <c r="BE170" s="2439"/>
      <c r="BF170" s="2418"/>
      <c r="BG170" s="2418"/>
      <c r="BH170" s="2440"/>
      <c r="BI170" s="2416"/>
      <c r="BJ170" s="2439"/>
      <c r="BK170" s="2418"/>
      <c r="BL170" s="2418"/>
      <c r="BM170" s="2440"/>
      <c r="BN170" s="2418"/>
      <c r="BO170" s="2418"/>
      <c r="BP170" s="2416"/>
      <c r="BQ170" s="2418"/>
      <c r="BR170" s="2439"/>
      <c r="BS170" s="2418"/>
      <c r="BT170" s="2418"/>
      <c r="BU170" s="2416"/>
      <c r="BV170" s="2418"/>
      <c r="BW170" s="2418"/>
      <c r="BX170" s="2439"/>
      <c r="BY170" s="2418"/>
      <c r="BZ170" s="2418"/>
      <c r="CA170" s="2418"/>
      <c r="CB170" s="2416"/>
      <c r="CC170" s="2418"/>
      <c r="CD170" s="2439"/>
      <c r="CE170" s="2418"/>
      <c r="CF170" s="2418"/>
      <c r="CG170" s="2416"/>
      <c r="CH170" s="2418"/>
      <c r="CI170" s="2439"/>
      <c r="CJ170" s="2418"/>
      <c r="CK170" s="2418"/>
      <c r="CL170" s="2418"/>
      <c r="CM170" s="2418"/>
      <c r="CN170" s="2416"/>
      <c r="CO170" s="2439"/>
      <c r="CP170" s="2418"/>
      <c r="CQ170" s="2418"/>
      <c r="CR170" s="2416"/>
      <c r="CS170" s="2418"/>
      <c r="CT170" s="2439"/>
      <c r="CU170" s="2418"/>
      <c r="CV170" s="2418"/>
      <c r="CW170" s="2416"/>
      <c r="CX170" s="2418"/>
      <c r="CY170" s="2439"/>
      <c r="CZ170" s="2418"/>
      <c r="DA170" s="2416"/>
      <c r="DB170" s="2418"/>
      <c r="DC170" s="2439"/>
      <c r="DD170" s="2418"/>
      <c r="DE170" s="2417"/>
    </row>
    <row r="171" spans="1:109" ht="12.75" customHeight="1" x14ac:dyDescent="0.2">
      <c r="A171" s="1916">
        <v>171</v>
      </c>
      <c r="B171" s="5148"/>
      <c r="C171" s="1654" t="s">
        <v>7761</v>
      </c>
      <c r="D171" s="1655"/>
      <c r="F171" s="2437">
        <v>31</v>
      </c>
      <c r="G171" s="597" t="s">
        <v>1760</v>
      </c>
      <c r="H171" s="2416"/>
      <c r="I171" s="2418"/>
      <c r="J171" s="2439"/>
      <c r="K171" s="2418"/>
      <c r="L171" s="2418"/>
      <c r="M171" s="2416"/>
      <c r="N171" s="2418"/>
      <c r="O171" s="2439"/>
      <c r="P171" s="2418">
        <v>20</v>
      </c>
      <c r="Q171" s="2418">
        <v>20</v>
      </c>
      <c r="R171" s="2416"/>
      <c r="S171" s="2439"/>
      <c r="T171" s="2418"/>
      <c r="U171" s="2416"/>
      <c r="V171" s="2439"/>
      <c r="W171" s="2418"/>
      <c r="X171" s="2418"/>
      <c r="Y171" s="2416">
        <v>20</v>
      </c>
      <c r="Z171" s="2418">
        <v>20</v>
      </c>
      <c r="AA171" s="2439">
        <v>20</v>
      </c>
      <c r="AB171" s="2474"/>
      <c r="AC171" s="2418">
        <v>20</v>
      </c>
      <c r="AD171" s="2416">
        <v>20</v>
      </c>
      <c r="AE171" s="2439">
        <v>20</v>
      </c>
      <c r="AF171" s="2418"/>
      <c r="AG171" s="2418"/>
      <c r="AH171" s="2418"/>
      <c r="AI171" s="2416">
        <v>20</v>
      </c>
      <c r="AJ171" s="2418">
        <v>20</v>
      </c>
      <c r="AK171" s="2439">
        <v>20</v>
      </c>
      <c r="AL171" s="2418"/>
      <c r="AM171" s="2418"/>
      <c r="AN171" s="2418"/>
      <c r="AO171" s="2418"/>
      <c r="AP171" s="2416">
        <v>20</v>
      </c>
      <c r="AQ171" s="2418"/>
      <c r="AR171" s="2439">
        <v>20</v>
      </c>
      <c r="AS171" s="2418"/>
      <c r="AT171" s="2418"/>
      <c r="AU171" s="2416"/>
      <c r="AV171" s="2418"/>
      <c r="AW171" s="2439"/>
      <c r="AX171" s="2418"/>
      <c r="AY171" s="2418"/>
      <c r="AZ171" s="2416"/>
      <c r="BA171" s="2439"/>
      <c r="BB171" s="2418"/>
      <c r="BC171" s="2418">
        <v>10</v>
      </c>
      <c r="BD171" s="2416"/>
      <c r="BE171" s="2439"/>
      <c r="BF171" s="2418"/>
      <c r="BG171" s="2418"/>
      <c r="BH171" s="2440"/>
      <c r="BI171" s="2416"/>
      <c r="BJ171" s="2439"/>
      <c r="BK171" s="2418"/>
      <c r="BL171" s="2418"/>
      <c r="BM171" s="2440"/>
      <c r="BN171" s="2418"/>
      <c r="BO171" s="2418">
        <v>20</v>
      </c>
      <c r="BP171" s="2416"/>
      <c r="BQ171" s="2418"/>
      <c r="BR171" s="2439">
        <v>20</v>
      </c>
      <c r="BS171" s="2418"/>
      <c r="BT171" s="2418"/>
      <c r="BU171" s="2416"/>
      <c r="BV171" s="2418"/>
      <c r="BW171" s="2418"/>
      <c r="BX171" s="2439"/>
      <c r="BY171" s="2418">
        <v>20</v>
      </c>
      <c r="BZ171" s="2418"/>
      <c r="CA171" s="2418">
        <v>20</v>
      </c>
      <c r="CB171" s="2416"/>
      <c r="CC171" s="2418"/>
      <c r="CD171" s="2439"/>
      <c r="CE171" s="2418"/>
      <c r="CF171" s="2418"/>
      <c r="CG171" s="2416"/>
      <c r="CH171" s="2418">
        <v>20</v>
      </c>
      <c r="CI171" s="2439"/>
      <c r="CJ171" s="2418">
        <v>30</v>
      </c>
      <c r="CK171" s="2418">
        <v>20</v>
      </c>
      <c r="CL171" s="2418">
        <v>20</v>
      </c>
      <c r="CM171" s="2418">
        <v>20</v>
      </c>
      <c r="CN171" s="2416"/>
      <c r="CO171" s="2439"/>
      <c r="CP171" s="2418"/>
      <c r="CQ171" s="2418"/>
      <c r="CR171" s="2416"/>
      <c r="CS171" s="2418"/>
      <c r="CT171" s="2439"/>
      <c r="CU171" s="2418"/>
      <c r="CV171" s="2418"/>
      <c r="CW171" s="2416"/>
      <c r="CX171" s="2418"/>
      <c r="CY171" s="2439">
        <v>30</v>
      </c>
      <c r="CZ171" s="2418">
        <v>20</v>
      </c>
      <c r="DA171" s="2416"/>
      <c r="DB171" s="2418"/>
      <c r="DC171" s="2439"/>
      <c r="DD171" s="2418">
        <v>30</v>
      </c>
      <c r="DE171" s="2417">
        <v>30</v>
      </c>
    </row>
    <row r="172" spans="1:109" ht="12.75" customHeight="1" x14ac:dyDescent="0.2">
      <c r="A172" s="1916">
        <v>172</v>
      </c>
      <c r="B172" s="5148"/>
      <c r="C172" s="1654" t="s">
        <v>7762</v>
      </c>
      <c r="D172" s="1655"/>
      <c r="F172" s="2437">
        <v>32</v>
      </c>
      <c r="G172" s="597" t="s">
        <v>1761</v>
      </c>
      <c r="H172" s="2416"/>
      <c r="I172" s="2418"/>
      <c r="J172" s="2439"/>
      <c r="K172" s="2418"/>
      <c r="L172" s="2418"/>
      <c r="M172" s="2416"/>
      <c r="N172" s="2418"/>
      <c r="O172" s="2439"/>
      <c r="P172" s="2418">
        <v>20</v>
      </c>
      <c r="Q172" s="2418"/>
      <c r="R172" s="2416"/>
      <c r="S172" s="2439"/>
      <c r="T172" s="2418"/>
      <c r="U172" s="2416"/>
      <c r="V172" s="2439"/>
      <c r="W172" s="2418"/>
      <c r="X172" s="2418"/>
      <c r="Y172" s="2416"/>
      <c r="Z172" s="2418"/>
      <c r="AA172" s="2439"/>
      <c r="AB172" s="2474"/>
      <c r="AC172" s="2418"/>
      <c r="AD172" s="2416">
        <v>20</v>
      </c>
      <c r="AE172" s="2439"/>
      <c r="AF172" s="2418"/>
      <c r="AG172" s="2418">
        <v>30</v>
      </c>
      <c r="AH172" s="2418"/>
      <c r="AI172" s="2416">
        <v>20</v>
      </c>
      <c r="AJ172" s="2418"/>
      <c r="AK172" s="2439"/>
      <c r="AL172" s="2418"/>
      <c r="AM172" s="2418">
        <v>20</v>
      </c>
      <c r="AN172" s="2418"/>
      <c r="AO172" s="2418"/>
      <c r="AP172" s="2416"/>
      <c r="AQ172" s="2418"/>
      <c r="AR172" s="2439"/>
      <c r="AS172" s="2418"/>
      <c r="AT172" s="2418"/>
      <c r="AU172" s="2416">
        <v>20</v>
      </c>
      <c r="AV172" s="2418"/>
      <c r="AW172" s="2439"/>
      <c r="AX172" s="2418">
        <v>10</v>
      </c>
      <c r="AY172" s="2418"/>
      <c r="AZ172" s="2416"/>
      <c r="BA172" s="2439"/>
      <c r="BB172" s="2418"/>
      <c r="BC172" s="2418"/>
      <c r="BD172" s="2416"/>
      <c r="BE172" s="2439"/>
      <c r="BF172" s="2418"/>
      <c r="BG172" s="2418"/>
      <c r="BH172" s="2440"/>
      <c r="BI172" s="2416"/>
      <c r="BJ172" s="2439"/>
      <c r="BK172" s="2418"/>
      <c r="BL172" s="2418"/>
      <c r="BM172" s="2440"/>
      <c r="BN172" s="2418"/>
      <c r="BO172" s="2418">
        <v>20</v>
      </c>
      <c r="BP172" s="2416">
        <v>20</v>
      </c>
      <c r="BQ172" s="2418"/>
      <c r="BR172" s="2439"/>
      <c r="BS172" s="2418"/>
      <c r="BT172" s="2418"/>
      <c r="BU172" s="2416"/>
      <c r="BV172" s="2418"/>
      <c r="BW172" s="2418"/>
      <c r="BX172" s="2439"/>
      <c r="BY172" s="2418">
        <v>20</v>
      </c>
      <c r="BZ172" s="2418"/>
      <c r="CA172" s="2418"/>
      <c r="CB172" s="2416"/>
      <c r="CC172" s="2418"/>
      <c r="CD172" s="2439"/>
      <c r="CE172" s="2418"/>
      <c r="CF172" s="2418"/>
      <c r="CG172" s="2416"/>
      <c r="CH172" s="2418"/>
      <c r="CI172" s="2439"/>
      <c r="CJ172" s="2418"/>
      <c r="CK172" s="2418"/>
      <c r="CL172" s="2418"/>
      <c r="CM172" s="2418"/>
      <c r="CN172" s="2416"/>
      <c r="CO172" s="2439"/>
      <c r="CP172" s="2418"/>
      <c r="CQ172" s="2418"/>
      <c r="CR172" s="2416"/>
      <c r="CS172" s="2418"/>
      <c r="CT172" s="2439"/>
      <c r="CU172" s="2418"/>
      <c r="CV172" s="2418"/>
      <c r="CW172" s="2416"/>
      <c r="CX172" s="2418"/>
      <c r="CY172" s="2439"/>
      <c r="CZ172" s="2418"/>
      <c r="DA172" s="2416"/>
      <c r="DB172" s="2418"/>
      <c r="DC172" s="2439"/>
      <c r="DD172" s="2418"/>
      <c r="DE172" s="2417"/>
    </row>
    <row r="173" spans="1:109" ht="12.75" customHeight="1" x14ac:dyDescent="0.2">
      <c r="A173" s="1916">
        <v>173</v>
      </c>
      <c r="B173" s="5148"/>
      <c r="C173" s="1654" t="s">
        <v>7763</v>
      </c>
      <c r="D173" s="1655"/>
      <c r="F173" s="2437">
        <v>33</v>
      </c>
      <c r="G173" s="597" t="s">
        <v>1764</v>
      </c>
      <c r="H173" s="2416"/>
      <c r="I173" s="2418"/>
      <c r="J173" s="2439"/>
      <c r="K173" s="2418"/>
      <c r="L173" s="2418"/>
      <c r="M173" s="2416"/>
      <c r="N173" s="2418"/>
      <c r="O173" s="2439"/>
      <c r="P173" s="2418"/>
      <c r="Q173" s="2418"/>
      <c r="R173" s="2416"/>
      <c r="S173" s="2439"/>
      <c r="T173" s="2418"/>
      <c r="U173" s="2416"/>
      <c r="V173" s="2439"/>
      <c r="W173" s="2418"/>
      <c r="X173" s="2418"/>
      <c r="Y173" s="2416"/>
      <c r="Z173" s="2418"/>
      <c r="AA173" s="2439"/>
      <c r="AB173" s="2474"/>
      <c r="AC173" s="2418"/>
      <c r="AD173" s="2416"/>
      <c r="AE173" s="2439"/>
      <c r="AF173" s="2418"/>
      <c r="AG173" s="2418"/>
      <c r="AH173" s="2418"/>
      <c r="AI173" s="2416">
        <v>20</v>
      </c>
      <c r="AJ173" s="2418">
        <v>20</v>
      </c>
      <c r="AK173" s="2439">
        <v>20</v>
      </c>
      <c r="AL173" s="2418"/>
      <c r="AM173" s="2418"/>
      <c r="AN173" s="2418">
        <v>20</v>
      </c>
      <c r="AO173" s="2418"/>
      <c r="AP173" s="2416"/>
      <c r="AQ173" s="2418"/>
      <c r="AR173" s="2439"/>
      <c r="AS173" s="2418"/>
      <c r="AT173" s="2418"/>
      <c r="AU173" s="2416"/>
      <c r="AV173" s="2418"/>
      <c r="AW173" s="2439"/>
      <c r="AX173" s="2418"/>
      <c r="AY173" s="2418"/>
      <c r="AZ173" s="2416"/>
      <c r="BA173" s="2439"/>
      <c r="BB173" s="2418">
        <v>20</v>
      </c>
      <c r="BC173" s="2418"/>
      <c r="BD173" s="2416"/>
      <c r="BE173" s="2439"/>
      <c r="BF173" s="2418"/>
      <c r="BG173" s="2418"/>
      <c r="BH173" s="2440"/>
      <c r="BI173" s="2416"/>
      <c r="BJ173" s="2439"/>
      <c r="BK173" s="2418"/>
      <c r="BL173" s="2418"/>
      <c r="BM173" s="2440"/>
      <c r="BN173" s="2418"/>
      <c r="BO173" s="2418">
        <v>20</v>
      </c>
      <c r="BP173" s="2416"/>
      <c r="BQ173" s="2418"/>
      <c r="BR173" s="2439"/>
      <c r="BS173" s="2418"/>
      <c r="BT173" s="2418"/>
      <c r="BU173" s="2416"/>
      <c r="BV173" s="2418"/>
      <c r="BW173" s="2418"/>
      <c r="BX173" s="2439"/>
      <c r="BY173" s="2418">
        <v>20</v>
      </c>
      <c r="BZ173" s="2418"/>
      <c r="CA173" s="2418"/>
      <c r="CB173" s="2416"/>
      <c r="CC173" s="2418"/>
      <c r="CD173" s="2439"/>
      <c r="CE173" s="2418"/>
      <c r="CF173" s="2418"/>
      <c r="CG173" s="2416"/>
      <c r="CH173" s="2418"/>
      <c r="CI173" s="2439"/>
      <c r="CJ173" s="2418"/>
      <c r="CK173" s="2418"/>
      <c r="CL173" s="2418"/>
      <c r="CM173" s="2418"/>
      <c r="CN173" s="2416"/>
      <c r="CO173" s="2439"/>
      <c r="CP173" s="2418"/>
      <c r="CQ173" s="2418"/>
      <c r="CR173" s="2416"/>
      <c r="CS173" s="2418"/>
      <c r="CT173" s="2439"/>
      <c r="CU173" s="2418"/>
      <c r="CV173" s="2418"/>
      <c r="CW173" s="2416"/>
      <c r="CX173" s="2418"/>
      <c r="CY173" s="2439"/>
      <c r="CZ173" s="2418"/>
      <c r="DA173" s="2416"/>
      <c r="DB173" s="2418"/>
      <c r="DC173" s="2439"/>
      <c r="DD173" s="2418"/>
      <c r="DE173" s="2417"/>
    </row>
    <row r="174" spans="1:109" ht="12.75" customHeight="1" x14ac:dyDescent="0.2">
      <c r="A174" s="1916">
        <v>174</v>
      </c>
      <c r="B174" s="5148"/>
      <c r="C174" s="1654" t="s">
        <v>7836</v>
      </c>
      <c r="D174" s="1655"/>
      <c r="F174" s="2437">
        <v>34</v>
      </c>
      <c r="G174" s="597" t="s">
        <v>1768</v>
      </c>
      <c r="H174" s="2416"/>
      <c r="I174" s="2418"/>
      <c r="J174" s="2439"/>
      <c r="K174" s="2418"/>
      <c r="L174" s="2418"/>
      <c r="M174" s="2416"/>
      <c r="N174" s="2418"/>
      <c r="O174" s="2439"/>
      <c r="P174" s="2418"/>
      <c r="Q174" s="2418"/>
      <c r="R174" s="2416"/>
      <c r="S174" s="2439"/>
      <c r="T174" s="2418"/>
      <c r="U174" s="2416"/>
      <c r="V174" s="2439"/>
      <c r="W174" s="2418"/>
      <c r="X174" s="2418"/>
      <c r="Y174" s="2416"/>
      <c r="Z174" s="2418"/>
      <c r="AA174" s="2439"/>
      <c r="AB174" s="2474"/>
      <c r="AC174" s="2418"/>
      <c r="AD174" s="2416"/>
      <c r="AE174" s="2439"/>
      <c r="AF174" s="2418"/>
      <c r="AG174" s="2418"/>
      <c r="AH174" s="2418"/>
      <c r="AI174" s="2416"/>
      <c r="AJ174" s="2418"/>
      <c r="AK174" s="2439"/>
      <c r="AL174" s="2418"/>
      <c r="AM174" s="2418"/>
      <c r="AN174" s="2418"/>
      <c r="AO174" s="2418"/>
      <c r="AP174" s="2416"/>
      <c r="AQ174" s="2418"/>
      <c r="AR174" s="2439"/>
      <c r="AS174" s="2418"/>
      <c r="AT174" s="2418"/>
      <c r="AU174" s="2416"/>
      <c r="AV174" s="2418"/>
      <c r="AW174" s="2439"/>
      <c r="AX174" s="2418"/>
      <c r="AY174" s="2418"/>
      <c r="AZ174" s="2416"/>
      <c r="BA174" s="2439"/>
      <c r="BB174" s="2418"/>
      <c r="BC174" s="2418"/>
      <c r="BD174" s="2416"/>
      <c r="BE174" s="2439"/>
      <c r="BF174" s="2418"/>
      <c r="BG174" s="2418"/>
      <c r="BH174" s="2440"/>
      <c r="BI174" s="2416"/>
      <c r="BJ174" s="2439"/>
      <c r="BK174" s="2418"/>
      <c r="BL174" s="2418"/>
      <c r="BM174" s="2440"/>
      <c r="BN174" s="2418"/>
      <c r="BO174" s="2418"/>
      <c r="BP174" s="2416"/>
      <c r="BQ174" s="2418"/>
      <c r="BR174" s="2439"/>
      <c r="BS174" s="2418"/>
      <c r="BT174" s="2418"/>
      <c r="BU174" s="2416"/>
      <c r="BV174" s="2418"/>
      <c r="BW174" s="2418"/>
      <c r="BX174" s="2439"/>
      <c r="BY174" s="2418"/>
      <c r="BZ174" s="2418"/>
      <c r="CA174" s="2418"/>
      <c r="CB174" s="2416"/>
      <c r="CC174" s="2418"/>
      <c r="CD174" s="2439"/>
      <c r="CE174" s="2418"/>
      <c r="CF174" s="2418"/>
      <c r="CG174" s="2416"/>
      <c r="CH174" s="2418"/>
      <c r="CI174" s="2439"/>
      <c r="CJ174" s="2418"/>
      <c r="CK174" s="2418"/>
      <c r="CL174" s="2418"/>
      <c r="CM174" s="2418"/>
      <c r="CN174" s="2416"/>
      <c r="CO174" s="2439"/>
      <c r="CP174" s="2418"/>
      <c r="CQ174" s="2418"/>
      <c r="CR174" s="2416"/>
      <c r="CS174" s="2418"/>
      <c r="CT174" s="2439"/>
      <c r="CU174" s="2418"/>
      <c r="CV174" s="2418"/>
      <c r="CW174" s="2416"/>
      <c r="CX174" s="2418"/>
      <c r="CY174" s="2439"/>
      <c r="CZ174" s="2418"/>
      <c r="DA174" s="2416"/>
      <c r="DB174" s="2418"/>
      <c r="DC174" s="2439"/>
      <c r="DD174" s="2418"/>
      <c r="DE174" s="2417"/>
    </row>
    <row r="175" spans="1:109" ht="12.75" customHeight="1" x14ac:dyDescent="0.2">
      <c r="A175" s="1916">
        <v>175</v>
      </c>
      <c r="B175" s="5148"/>
      <c r="C175" s="1654" t="s">
        <v>7800</v>
      </c>
      <c r="D175" s="1655"/>
      <c r="F175" s="2437">
        <v>35</v>
      </c>
      <c r="G175" s="597" t="s">
        <v>1770</v>
      </c>
      <c r="H175" s="2416"/>
      <c r="I175" s="2418"/>
      <c r="J175" s="2439"/>
      <c r="K175" s="2418"/>
      <c r="L175" s="2418"/>
      <c r="M175" s="2416"/>
      <c r="N175" s="2418"/>
      <c r="O175" s="2439"/>
      <c r="P175" s="2418"/>
      <c r="Q175" s="2418"/>
      <c r="R175" s="2416"/>
      <c r="S175" s="2439"/>
      <c r="T175" s="2418"/>
      <c r="U175" s="2416"/>
      <c r="V175" s="2439"/>
      <c r="W175" s="2418"/>
      <c r="X175" s="2418"/>
      <c r="Y175" s="2416"/>
      <c r="Z175" s="2418"/>
      <c r="AA175" s="2439"/>
      <c r="AB175" s="2474"/>
      <c r="AC175" s="2418"/>
      <c r="AD175" s="2416"/>
      <c r="AE175" s="2439"/>
      <c r="AF175" s="2418"/>
      <c r="AG175" s="2418"/>
      <c r="AH175" s="2418"/>
      <c r="AI175" s="2416"/>
      <c r="AJ175" s="2418"/>
      <c r="AK175" s="2439"/>
      <c r="AL175" s="2418"/>
      <c r="AM175" s="2418"/>
      <c r="AN175" s="2418"/>
      <c r="AO175" s="2418"/>
      <c r="AP175" s="2416"/>
      <c r="AQ175" s="2418"/>
      <c r="AR175" s="2439"/>
      <c r="AS175" s="2418"/>
      <c r="AT175" s="2418"/>
      <c r="AU175" s="2416"/>
      <c r="AV175" s="2418"/>
      <c r="AW175" s="2439"/>
      <c r="AX175" s="2418"/>
      <c r="AY175" s="2418"/>
      <c r="AZ175" s="2416"/>
      <c r="BA175" s="2439"/>
      <c r="BB175" s="2418"/>
      <c r="BC175" s="2418"/>
      <c r="BD175" s="2416"/>
      <c r="BE175" s="2439"/>
      <c r="BF175" s="2418"/>
      <c r="BG175" s="2418"/>
      <c r="BH175" s="2440"/>
      <c r="BI175" s="2416"/>
      <c r="BJ175" s="2439"/>
      <c r="BK175" s="2418"/>
      <c r="BL175" s="2418"/>
      <c r="BM175" s="2440"/>
      <c r="BN175" s="2418"/>
      <c r="BO175" s="2418"/>
      <c r="BP175" s="2416"/>
      <c r="BQ175" s="2418"/>
      <c r="BR175" s="2439"/>
      <c r="BS175" s="2418"/>
      <c r="BT175" s="2418"/>
      <c r="BU175" s="2416"/>
      <c r="BV175" s="2418"/>
      <c r="BW175" s="2418"/>
      <c r="BX175" s="2439"/>
      <c r="BY175" s="2418"/>
      <c r="BZ175" s="2418"/>
      <c r="CA175" s="2418"/>
      <c r="CB175" s="2416"/>
      <c r="CC175" s="2418"/>
      <c r="CD175" s="2439"/>
      <c r="CE175" s="2418"/>
      <c r="CF175" s="2418"/>
      <c r="CG175" s="2416"/>
      <c r="CH175" s="2418"/>
      <c r="CI175" s="2439"/>
      <c r="CJ175" s="2418"/>
      <c r="CK175" s="2418"/>
      <c r="CL175" s="2418"/>
      <c r="CM175" s="2418"/>
      <c r="CN175" s="2416"/>
      <c r="CO175" s="2439"/>
      <c r="CP175" s="2418"/>
      <c r="CQ175" s="2418"/>
      <c r="CR175" s="2416"/>
      <c r="CS175" s="2418"/>
      <c r="CT175" s="2439"/>
      <c r="CU175" s="2418"/>
      <c r="CV175" s="2418"/>
      <c r="CW175" s="2416"/>
      <c r="CX175" s="2418"/>
      <c r="CY175" s="2439"/>
      <c r="CZ175" s="2418"/>
      <c r="DA175" s="2416"/>
      <c r="DB175" s="2418"/>
      <c r="DC175" s="2439"/>
      <c r="DD175" s="2418"/>
      <c r="DE175" s="2417"/>
    </row>
    <row r="176" spans="1:109" ht="12.75" customHeight="1" x14ac:dyDescent="0.2">
      <c r="A176" s="1916">
        <v>176</v>
      </c>
      <c r="B176" s="5148"/>
      <c r="C176" s="1654" t="s">
        <v>7801</v>
      </c>
      <c r="D176" s="1655"/>
      <c r="F176" s="2437">
        <v>36</v>
      </c>
      <c r="G176" s="597" t="s">
        <v>1772</v>
      </c>
      <c r="H176" s="2416"/>
      <c r="I176" s="2418"/>
      <c r="J176" s="2439"/>
      <c r="K176" s="2418"/>
      <c r="L176" s="2418"/>
      <c r="M176" s="2416"/>
      <c r="N176" s="2418"/>
      <c r="O176" s="2439"/>
      <c r="P176" s="2418"/>
      <c r="Q176" s="2418"/>
      <c r="R176" s="2416"/>
      <c r="S176" s="2439"/>
      <c r="T176" s="2418"/>
      <c r="U176" s="2416"/>
      <c r="V176" s="2439"/>
      <c r="W176" s="2418"/>
      <c r="X176" s="2418"/>
      <c r="Y176" s="2416"/>
      <c r="Z176" s="2418"/>
      <c r="AA176" s="2439"/>
      <c r="AB176" s="2474">
        <v>20</v>
      </c>
      <c r="AC176" s="2418"/>
      <c r="AD176" s="2416"/>
      <c r="AE176" s="2439"/>
      <c r="AF176" s="2418">
        <v>20</v>
      </c>
      <c r="AG176" s="2418"/>
      <c r="AH176" s="2418"/>
      <c r="AI176" s="2416"/>
      <c r="AJ176" s="2418"/>
      <c r="AK176" s="2439"/>
      <c r="AL176" s="2418"/>
      <c r="AM176" s="2418"/>
      <c r="AN176" s="2418">
        <v>20</v>
      </c>
      <c r="AO176" s="2418"/>
      <c r="AP176" s="2416"/>
      <c r="AQ176" s="2418"/>
      <c r="AR176" s="2439"/>
      <c r="AS176" s="2418">
        <v>20</v>
      </c>
      <c r="AT176" s="2418"/>
      <c r="AU176" s="2416"/>
      <c r="AV176" s="2418"/>
      <c r="AW176" s="2439"/>
      <c r="AX176" s="2418"/>
      <c r="AY176" s="2418"/>
      <c r="AZ176" s="2416"/>
      <c r="BA176" s="2439"/>
      <c r="BB176" s="2418"/>
      <c r="BC176" s="2418"/>
      <c r="BD176" s="2416"/>
      <c r="BE176" s="2439"/>
      <c r="BF176" s="2418"/>
      <c r="BG176" s="2418"/>
      <c r="BH176" s="2440">
        <v>10</v>
      </c>
      <c r="BI176" s="2416">
        <v>20</v>
      </c>
      <c r="BJ176" s="2439">
        <v>10</v>
      </c>
      <c r="BK176" s="2418"/>
      <c r="BL176" s="2418"/>
      <c r="BM176" s="2440">
        <v>10</v>
      </c>
      <c r="BN176" s="2418"/>
      <c r="BO176" s="2418"/>
      <c r="BP176" s="2416"/>
      <c r="BQ176" s="2418"/>
      <c r="BR176" s="2439"/>
      <c r="BS176" s="2418"/>
      <c r="BT176" s="2418"/>
      <c r="BU176" s="2416"/>
      <c r="BV176" s="2418"/>
      <c r="BW176" s="2418"/>
      <c r="BX176" s="2439"/>
      <c r="BY176" s="2418"/>
      <c r="BZ176" s="2418"/>
      <c r="CA176" s="2418"/>
      <c r="CB176" s="2416"/>
      <c r="CC176" s="2418"/>
      <c r="CD176" s="2439"/>
      <c r="CE176" s="2418"/>
      <c r="CF176" s="2418"/>
      <c r="CG176" s="2416"/>
      <c r="CH176" s="2418"/>
      <c r="CI176" s="2439"/>
      <c r="CJ176" s="2418"/>
      <c r="CK176" s="2418"/>
      <c r="CL176" s="2418"/>
      <c r="CM176" s="2418"/>
      <c r="CN176" s="2416"/>
      <c r="CO176" s="2439"/>
      <c r="CP176" s="2418">
        <v>20</v>
      </c>
      <c r="CQ176" s="2418">
        <v>20</v>
      </c>
      <c r="CR176" s="2416"/>
      <c r="CS176" s="2418"/>
      <c r="CT176" s="2439"/>
      <c r="CU176" s="2418">
        <v>20</v>
      </c>
      <c r="CV176" s="2418">
        <v>20</v>
      </c>
      <c r="CW176" s="2416">
        <v>20</v>
      </c>
      <c r="CX176" s="2418">
        <v>20</v>
      </c>
      <c r="CY176" s="2439"/>
      <c r="CZ176" s="2418">
        <v>20</v>
      </c>
      <c r="DA176" s="2416"/>
      <c r="DB176" s="2418"/>
      <c r="DC176" s="2439"/>
      <c r="DD176" s="2418"/>
      <c r="DE176" s="2417"/>
    </row>
    <row r="177" spans="1:109" ht="12.75" customHeight="1" x14ac:dyDescent="0.2">
      <c r="A177" s="1916">
        <v>177</v>
      </c>
      <c r="B177" s="5148"/>
      <c r="C177" s="1658" t="s">
        <v>7837</v>
      </c>
      <c r="D177" s="1655"/>
      <c r="F177" s="2437">
        <v>37</v>
      </c>
      <c r="G177" s="597" t="s">
        <v>1774</v>
      </c>
      <c r="H177" s="2416"/>
      <c r="I177" s="2418"/>
      <c r="J177" s="2439"/>
      <c r="K177" s="2418"/>
      <c r="L177" s="2418"/>
      <c r="M177" s="2416"/>
      <c r="N177" s="2418"/>
      <c r="O177" s="2439"/>
      <c r="P177" s="2418"/>
      <c r="Q177" s="2418"/>
      <c r="R177" s="2416"/>
      <c r="S177" s="2439"/>
      <c r="T177" s="2418"/>
      <c r="U177" s="2416"/>
      <c r="V177" s="2439"/>
      <c r="W177" s="2418"/>
      <c r="X177" s="2418"/>
      <c r="Y177" s="2416"/>
      <c r="Z177" s="2418"/>
      <c r="AA177" s="2439"/>
      <c r="AB177" s="2474">
        <v>20</v>
      </c>
      <c r="AC177" s="2418"/>
      <c r="AD177" s="2416"/>
      <c r="AE177" s="2439"/>
      <c r="AF177" s="2418"/>
      <c r="AG177" s="2418"/>
      <c r="AH177" s="2418"/>
      <c r="AI177" s="2416"/>
      <c r="AJ177" s="2418"/>
      <c r="AK177" s="2439"/>
      <c r="AL177" s="2418"/>
      <c r="AM177" s="2418"/>
      <c r="AN177" s="2418"/>
      <c r="AO177" s="2418"/>
      <c r="AP177" s="2416"/>
      <c r="AQ177" s="2418"/>
      <c r="AR177" s="2439"/>
      <c r="AS177" s="2418">
        <v>20</v>
      </c>
      <c r="AT177" s="2418">
        <v>10</v>
      </c>
      <c r="AU177" s="2416"/>
      <c r="AV177" s="2418"/>
      <c r="AW177" s="2439"/>
      <c r="AX177" s="2418"/>
      <c r="AY177" s="2418"/>
      <c r="AZ177" s="2416"/>
      <c r="BA177" s="2439"/>
      <c r="BB177" s="2418"/>
      <c r="BC177" s="2418"/>
      <c r="BD177" s="2416"/>
      <c r="BE177" s="2439"/>
      <c r="BF177" s="2418"/>
      <c r="BG177" s="2418"/>
      <c r="BH177" s="2440"/>
      <c r="BI177" s="2416"/>
      <c r="BJ177" s="2439"/>
      <c r="BK177" s="2418"/>
      <c r="BL177" s="2418"/>
      <c r="BM177" s="2440"/>
      <c r="BN177" s="2418"/>
      <c r="BO177" s="2418"/>
      <c r="BP177" s="2416"/>
      <c r="BQ177" s="2418"/>
      <c r="BR177" s="2439"/>
      <c r="BS177" s="2418"/>
      <c r="BT177" s="2418"/>
      <c r="BU177" s="2416"/>
      <c r="BV177" s="2418"/>
      <c r="BW177" s="2418"/>
      <c r="BX177" s="2439"/>
      <c r="BY177" s="2418"/>
      <c r="BZ177" s="2418"/>
      <c r="CA177" s="2418"/>
      <c r="CB177" s="2416"/>
      <c r="CC177" s="2418"/>
      <c r="CD177" s="2439"/>
      <c r="CE177" s="2418"/>
      <c r="CF177" s="2418"/>
      <c r="CG177" s="2416"/>
      <c r="CH177" s="2418"/>
      <c r="CI177" s="2439"/>
      <c r="CJ177" s="2418"/>
      <c r="CK177" s="2418"/>
      <c r="CL177" s="2418"/>
      <c r="CM177" s="2418"/>
      <c r="CN177" s="2416"/>
      <c r="CO177" s="2439"/>
      <c r="CP177" s="2418"/>
      <c r="CQ177" s="2418"/>
      <c r="CR177" s="2416"/>
      <c r="CS177" s="2418"/>
      <c r="CT177" s="2439"/>
      <c r="CU177" s="2418"/>
      <c r="CV177" s="2418"/>
      <c r="CW177" s="2416"/>
      <c r="CX177" s="2418"/>
      <c r="CY177" s="2439"/>
      <c r="CZ177" s="2418"/>
      <c r="DA177" s="2416"/>
      <c r="DB177" s="2418"/>
      <c r="DC177" s="2439"/>
      <c r="DD177" s="2418"/>
      <c r="DE177" s="2417"/>
    </row>
    <row r="178" spans="1:109" ht="12.75" customHeight="1" x14ac:dyDescent="0.2">
      <c r="A178" s="1916">
        <v>178</v>
      </c>
      <c r="B178" s="5148"/>
      <c r="C178" s="1654" t="s">
        <v>7764</v>
      </c>
      <c r="D178" s="1655"/>
      <c r="F178" s="2437">
        <v>38</v>
      </c>
      <c r="G178" s="597" t="s">
        <v>1776</v>
      </c>
      <c r="H178" s="2416"/>
      <c r="I178" s="2418"/>
      <c r="J178" s="2439"/>
      <c r="K178" s="2418"/>
      <c r="L178" s="2418"/>
      <c r="M178" s="2416"/>
      <c r="N178" s="2418"/>
      <c r="O178" s="2439"/>
      <c r="P178" s="2418"/>
      <c r="Q178" s="2418"/>
      <c r="R178" s="2416">
        <v>20</v>
      </c>
      <c r="S178" s="2439"/>
      <c r="T178" s="2418">
        <v>20</v>
      </c>
      <c r="U178" s="2416"/>
      <c r="V178" s="2439"/>
      <c r="W178" s="2418"/>
      <c r="X178" s="2418"/>
      <c r="Y178" s="2416"/>
      <c r="Z178" s="2418"/>
      <c r="AA178" s="2439"/>
      <c r="AB178" s="2474">
        <v>20</v>
      </c>
      <c r="AC178" s="2418"/>
      <c r="AD178" s="2416"/>
      <c r="AE178" s="2439"/>
      <c r="AF178" s="2418"/>
      <c r="AG178" s="2418"/>
      <c r="AH178" s="2418"/>
      <c r="AI178" s="2416"/>
      <c r="AJ178" s="2418"/>
      <c r="AK178" s="2439"/>
      <c r="AL178" s="2418"/>
      <c r="AM178" s="2418"/>
      <c r="AN178" s="2418">
        <v>20</v>
      </c>
      <c r="AO178" s="2418"/>
      <c r="AP178" s="2416"/>
      <c r="AQ178" s="2418"/>
      <c r="AR178" s="2439"/>
      <c r="AS178" s="2418">
        <v>10</v>
      </c>
      <c r="AT178" s="2418"/>
      <c r="AU178" s="2416"/>
      <c r="AV178" s="2418"/>
      <c r="AW178" s="2439"/>
      <c r="AX178" s="2418"/>
      <c r="AY178" s="2418"/>
      <c r="AZ178" s="2416"/>
      <c r="BA178" s="2439"/>
      <c r="BB178" s="2418"/>
      <c r="BC178" s="2418"/>
      <c r="BD178" s="2416">
        <v>20</v>
      </c>
      <c r="BE178" s="2439"/>
      <c r="BF178" s="2418"/>
      <c r="BG178" s="2418"/>
      <c r="BH178" s="2440">
        <v>20</v>
      </c>
      <c r="BI178" s="2416">
        <v>20</v>
      </c>
      <c r="BJ178" s="2439">
        <v>10</v>
      </c>
      <c r="BK178" s="2418"/>
      <c r="BL178" s="2418"/>
      <c r="BM178" s="2440">
        <v>20</v>
      </c>
      <c r="BN178" s="2418"/>
      <c r="BO178" s="2418"/>
      <c r="BP178" s="2416"/>
      <c r="BQ178" s="2418"/>
      <c r="BR178" s="2439"/>
      <c r="BS178" s="2418"/>
      <c r="BT178" s="2418"/>
      <c r="BU178" s="2416"/>
      <c r="BV178" s="2418"/>
      <c r="BW178" s="2418"/>
      <c r="BX178" s="2439"/>
      <c r="BY178" s="2418"/>
      <c r="BZ178" s="2418"/>
      <c r="CA178" s="2418"/>
      <c r="CB178" s="2416"/>
      <c r="CC178" s="2418"/>
      <c r="CD178" s="2439"/>
      <c r="CE178" s="2418">
        <v>20</v>
      </c>
      <c r="CF178" s="2418"/>
      <c r="CG178" s="2416"/>
      <c r="CH178" s="2418"/>
      <c r="CI178" s="2439"/>
      <c r="CJ178" s="2418">
        <v>20</v>
      </c>
      <c r="CK178" s="2418"/>
      <c r="CL178" s="2418"/>
      <c r="CM178" s="2418"/>
      <c r="CN178" s="2416"/>
      <c r="CO178" s="2439"/>
      <c r="CP178" s="2418"/>
      <c r="CQ178" s="2418"/>
      <c r="CR178" s="2416"/>
      <c r="CS178" s="2418"/>
      <c r="CT178" s="2439"/>
      <c r="CU178" s="2418">
        <v>20</v>
      </c>
      <c r="CV178" s="2418"/>
      <c r="CW178" s="2416"/>
      <c r="CX178" s="2418"/>
      <c r="CY178" s="2439"/>
      <c r="CZ178" s="2418">
        <v>20</v>
      </c>
      <c r="DA178" s="2416"/>
      <c r="DB178" s="2418"/>
      <c r="DC178" s="2439"/>
      <c r="DD178" s="2418">
        <v>20</v>
      </c>
      <c r="DE178" s="2417">
        <v>20</v>
      </c>
    </row>
    <row r="179" spans="1:109" ht="12.75" customHeight="1" x14ac:dyDescent="0.2">
      <c r="A179" s="1916">
        <v>179</v>
      </c>
      <c r="B179" s="5148"/>
      <c r="C179" s="1654" t="s">
        <v>7765</v>
      </c>
      <c r="D179" s="1655"/>
      <c r="F179" s="2437">
        <v>39</v>
      </c>
      <c r="G179" s="597" t="s">
        <v>1778</v>
      </c>
      <c r="H179" s="2416"/>
      <c r="I179" s="2418"/>
      <c r="J179" s="2439"/>
      <c r="K179" s="2418"/>
      <c r="L179" s="2418"/>
      <c r="M179" s="2416"/>
      <c r="N179" s="2418"/>
      <c r="O179" s="2439"/>
      <c r="P179" s="2418"/>
      <c r="Q179" s="2418"/>
      <c r="R179" s="2416">
        <v>20</v>
      </c>
      <c r="S179" s="2439"/>
      <c r="T179" s="2418"/>
      <c r="U179" s="2416"/>
      <c r="V179" s="2439"/>
      <c r="W179" s="2418"/>
      <c r="X179" s="2418"/>
      <c r="Y179" s="2416"/>
      <c r="Z179" s="2418"/>
      <c r="AA179" s="2439"/>
      <c r="AB179" s="2474"/>
      <c r="AC179" s="2418"/>
      <c r="AD179" s="2416"/>
      <c r="AE179" s="2439"/>
      <c r="AF179" s="2418"/>
      <c r="AG179" s="2418"/>
      <c r="AH179" s="2418"/>
      <c r="AI179" s="2416"/>
      <c r="AJ179" s="2418"/>
      <c r="AK179" s="2439"/>
      <c r="AL179" s="2418"/>
      <c r="AM179" s="2418"/>
      <c r="AN179" s="2418"/>
      <c r="AO179" s="2418"/>
      <c r="AP179" s="2416"/>
      <c r="AQ179" s="2418"/>
      <c r="AR179" s="2439"/>
      <c r="AS179" s="2418"/>
      <c r="AT179" s="2418"/>
      <c r="AU179" s="2416"/>
      <c r="AV179" s="2418"/>
      <c r="AW179" s="2439"/>
      <c r="AX179" s="2418"/>
      <c r="AY179" s="2418"/>
      <c r="AZ179" s="2416"/>
      <c r="BA179" s="2439"/>
      <c r="BB179" s="2418"/>
      <c r="BC179" s="2418"/>
      <c r="BD179" s="2416"/>
      <c r="BE179" s="2439"/>
      <c r="BF179" s="2418"/>
      <c r="BG179" s="2418"/>
      <c r="BH179" s="2440"/>
      <c r="BI179" s="2416"/>
      <c r="BJ179" s="2439"/>
      <c r="BK179" s="2418"/>
      <c r="BL179" s="2418"/>
      <c r="BM179" s="2440"/>
      <c r="BN179" s="2418"/>
      <c r="BO179" s="2418"/>
      <c r="BP179" s="2416"/>
      <c r="BQ179" s="2418"/>
      <c r="BR179" s="2439"/>
      <c r="BS179" s="2418"/>
      <c r="BT179" s="2418"/>
      <c r="BU179" s="2416"/>
      <c r="BV179" s="2418">
        <v>20</v>
      </c>
      <c r="BW179" s="2418"/>
      <c r="BX179" s="2439"/>
      <c r="BY179" s="2418"/>
      <c r="BZ179" s="2418"/>
      <c r="CA179" s="2418"/>
      <c r="CB179" s="2416"/>
      <c r="CC179" s="2418"/>
      <c r="CD179" s="2439"/>
      <c r="CE179" s="2418">
        <v>20</v>
      </c>
      <c r="CF179" s="2418">
        <v>20</v>
      </c>
      <c r="CG179" s="2416"/>
      <c r="CH179" s="2418"/>
      <c r="CI179" s="2439"/>
      <c r="CJ179" s="2418"/>
      <c r="CK179" s="2418"/>
      <c r="CL179" s="2418"/>
      <c r="CM179" s="2418"/>
      <c r="CN179" s="2416"/>
      <c r="CO179" s="2439"/>
      <c r="CP179" s="2418">
        <v>20</v>
      </c>
      <c r="CQ179" s="2418">
        <v>20</v>
      </c>
      <c r="CR179" s="2416"/>
      <c r="CS179" s="2418"/>
      <c r="CT179" s="2439"/>
      <c r="CU179" s="2418">
        <v>20</v>
      </c>
      <c r="CV179" s="2418">
        <v>20</v>
      </c>
      <c r="CW179" s="2416">
        <v>20</v>
      </c>
      <c r="CX179" s="2418"/>
      <c r="CY179" s="2439"/>
      <c r="CZ179" s="2418"/>
      <c r="DA179" s="2416"/>
      <c r="DB179" s="2418"/>
      <c r="DC179" s="2439"/>
      <c r="DD179" s="2418"/>
      <c r="DE179" s="2417"/>
    </row>
    <row r="180" spans="1:109" ht="12.75" customHeight="1" x14ac:dyDescent="0.2">
      <c r="A180" s="1916">
        <v>180</v>
      </c>
      <c r="B180" s="5148"/>
      <c r="C180" s="1654" t="s">
        <v>7766</v>
      </c>
      <c r="D180" s="1655"/>
      <c r="F180" s="2437">
        <v>40</v>
      </c>
      <c r="G180" s="597" t="s">
        <v>1779</v>
      </c>
      <c r="H180" s="2416"/>
      <c r="I180" s="2418"/>
      <c r="J180" s="2439"/>
      <c r="K180" s="2418"/>
      <c r="L180" s="2418"/>
      <c r="M180" s="2416"/>
      <c r="N180" s="2418"/>
      <c r="O180" s="2439"/>
      <c r="P180" s="2418"/>
      <c r="Q180" s="2418"/>
      <c r="R180" s="2416"/>
      <c r="S180" s="2439"/>
      <c r="T180" s="2418"/>
      <c r="U180" s="2416"/>
      <c r="V180" s="2439"/>
      <c r="W180" s="2418"/>
      <c r="X180" s="2418"/>
      <c r="Y180" s="2416"/>
      <c r="Z180" s="2418"/>
      <c r="AA180" s="2439"/>
      <c r="AB180" s="2474"/>
      <c r="AC180" s="2418"/>
      <c r="AD180" s="2416"/>
      <c r="AE180" s="2439"/>
      <c r="AF180" s="2418"/>
      <c r="AG180" s="2418"/>
      <c r="AH180" s="2418"/>
      <c r="AI180" s="2416"/>
      <c r="AJ180" s="2418"/>
      <c r="AK180" s="2439"/>
      <c r="AL180" s="2418"/>
      <c r="AM180" s="2418"/>
      <c r="AN180" s="2418"/>
      <c r="AO180" s="2418"/>
      <c r="AP180" s="2416"/>
      <c r="AQ180" s="2418"/>
      <c r="AR180" s="2439"/>
      <c r="AS180" s="2418"/>
      <c r="AT180" s="2418"/>
      <c r="AU180" s="2416"/>
      <c r="AV180" s="2418"/>
      <c r="AW180" s="2439"/>
      <c r="AX180" s="2418"/>
      <c r="AY180" s="2418"/>
      <c r="AZ180" s="2416"/>
      <c r="BA180" s="2439"/>
      <c r="BB180" s="2418"/>
      <c r="BC180" s="2418"/>
      <c r="BD180" s="2416"/>
      <c r="BE180" s="2439"/>
      <c r="BF180" s="2418"/>
      <c r="BG180" s="2418"/>
      <c r="BH180" s="2440"/>
      <c r="BI180" s="2416"/>
      <c r="BJ180" s="2439"/>
      <c r="BK180" s="2418"/>
      <c r="BL180" s="2418"/>
      <c r="BM180" s="2440"/>
      <c r="BN180" s="2418"/>
      <c r="BO180" s="2418"/>
      <c r="BP180" s="2416"/>
      <c r="BQ180" s="2418"/>
      <c r="BR180" s="2439"/>
      <c r="BS180" s="2418"/>
      <c r="BT180" s="2418"/>
      <c r="BU180" s="2416"/>
      <c r="BV180" s="2418"/>
      <c r="BW180" s="2418"/>
      <c r="BX180" s="2439"/>
      <c r="BY180" s="2418"/>
      <c r="BZ180" s="2418"/>
      <c r="CA180" s="2418"/>
      <c r="CB180" s="2416"/>
      <c r="CC180" s="2418"/>
      <c r="CD180" s="2439"/>
      <c r="CE180" s="2418"/>
      <c r="CF180" s="2418"/>
      <c r="CG180" s="2416"/>
      <c r="CH180" s="2418"/>
      <c r="CI180" s="2439"/>
      <c r="CJ180" s="2418"/>
      <c r="CK180" s="2418"/>
      <c r="CL180" s="2418"/>
      <c r="CM180" s="2418"/>
      <c r="CN180" s="2416"/>
      <c r="CO180" s="2439"/>
      <c r="CP180" s="2418"/>
      <c r="CQ180" s="2418"/>
      <c r="CR180" s="2416"/>
      <c r="CS180" s="2418"/>
      <c r="CT180" s="2439"/>
      <c r="CU180" s="2418"/>
      <c r="CV180" s="2418"/>
      <c r="CW180" s="2416"/>
      <c r="CX180" s="2418"/>
      <c r="CY180" s="2439"/>
      <c r="CZ180" s="2418"/>
      <c r="DA180" s="2416"/>
      <c r="DB180" s="2418"/>
      <c r="DC180" s="2439"/>
      <c r="DD180" s="2418"/>
      <c r="DE180" s="2417"/>
    </row>
    <row r="181" spans="1:109" ht="12.75" customHeight="1" x14ac:dyDescent="0.2">
      <c r="A181" s="1916">
        <v>181</v>
      </c>
      <c r="B181" s="5148"/>
      <c r="C181" s="1654" t="s">
        <v>7767</v>
      </c>
      <c r="D181" s="1655"/>
      <c r="F181" s="2437">
        <v>41</v>
      </c>
      <c r="G181" s="597" t="s">
        <v>1781</v>
      </c>
      <c r="H181" s="2416"/>
      <c r="I181" s="2418"/>
      <c r="J181" s="2439"/>
      <c r="K181" s="2418">
        <v>20</v>
      </c>
      <c r="L181" s="2418"/>
      <c r="M181" s="2416"/>
      <c r="N181" s="2418"/>
      <c r="O181" s="2439"/>
      <c r="P181" s="2418"/>
      <c r="Q181" s="2418"/>
      <c r="R181" s="2416"/>
      <c r="S181" s="2439"/>
      <c r="T181" s="2418"/>
      <c r="U181" s="2416"/>
      <c r="V181" s="2439"/>
      <c r="W181" s="2418"/>
      <c r="X181" s="2418"/>
      <c r="Y181" s="2416"/>
      <c r="Z181" s="2418"/>
      <c r="AA181" s="2439"/>
      <c r="AB181" s="2474"/>
      <c r="AC181" s="2418"/>
      <c r="AD181" s="2416"/>
      <c r="AE181" s="2439"/>
      <c r="AF181" s="2418"/>
      <c r="AG181" s="2418"/>
      <c r="AH181" s="2418"/>
      <c r="AI181" s="2416"/>
      <c r="AJ181" s="2418"/>
      <c r="AK181" s="2439"/>
      <c r="AL181" s="2418"/>
      <c r="AM181" s="2418"/>
      <c r="AN181" s="2418"/>
      <c r="AO181" s="2418"/>
      <c r="AP181" s="2416"/>
      <c r="AQ181" s="2418"/>
      <c r="AR181" s="2439"/>
      <c r="AS181" s="2418"/>
      <c r="AT181" s="2418"/>
      <c r="AU181" s="2416"/>
      <c r="AV181" s="2418"/>
      <c r="AW181" s="2439"/>
      <c r="AX181" s="2418"/>
      <c r="AY181" s="2418"/>
      <c r="AZ181" s="2416"/>
      <c r="BA181" s="2439"/>
      <c r="BB181" s="2418"/>
      <c r="BC181" s="2418"/>
      <c r="BD181" s="2416"/>
      <c r="BE181" s="2439"/>
      <c r="BF181" s="2418">
        <v>10</v>
      </c>
      <c r="BG181" s="2418">
        <v>10</v>
      </c>
      <c r="BH181" s="2440"/>
      <c r="BI181" s="2416"/>
      <c r="BJ181" s="2439"/>
      <c r="BK181" s="2418"/>
      <c r="BL181" s="2418"/>
      <c r="BM181" s="2440"/>
      <c r="BN181" s="2418">
        <v>30</v>
      </c>
      <c r="BO181" s="2418"/>
      <c r="BP181" s="2416"/>
      <c r="BQ181" s="2418">
        <v>20</v>
      </c>
      <c r="BR181" s="2439"/>
      <c r="BS181" s="2418"/>
      <c r="BT181" s="2418"/>
      <c r="BU181" s="2416"/>
      <c r="BV181" s="2418"/>
      <c r="BW181" s="2418"/>
      <c r="BX181" s="2439"/>
      <c r="BY181" s="2418"/>
      <c r="BZ181" s="2418"/>
      <c r="CA181" s="2418"/>
      <c r="CB181" s="2416"/>
      <c r="CC181" s="2418"/>
      <c r="CD181" s="2439"/>
      <c r="CE181" s="2418"/>
      <c r="CF181" s="2418"/>
      <c r="CG181" s="2416"/>
      <c r="CH181" s="2418"/>
      <c r="CI181" s="2439"/>
      <c r="CJ181" s="2418"/>
      <c r="CK181" s="2418"/>
      <c r="CL181" s="2418"/>
      <c r="CM181" s="2418"/>
      <c r="CN181" s="2416"/>
      <c r="CO181" s="2439"/>
      <c r="CP181" s="2418"/>
      <c r="CQ181" s="2418"/>
      <c r="CR181" s="2416"/>
      <c r="CS181" s="2418"/>
      <c r="CT181" s="2439"/>
      <c r="CU181" s="2418"/>
      <c r="CV181" s="2418"/>
      <c r="CW181" s="2416"/>
      <c r="CX181" s="2418"/>
      <c r="CY181" s="2439"/>
      <c r="CZ181" s="2418"/>
      <c r="DA181" s="2416"/>
      <c r="DB181" s="2418"/>
      <c r="DC181" s="2439"/>
      <c r="DD181" s="2418"/>
      <c r="DE181" s="2417"/>
    </row>
    <row r="182" spans="1:109" ht="12.75" customHeight="1" x14ac:dyDescent="0.2">
      <c r="A182" s="1916">
        <v>182</v>
      </c>
      <c r="B182" s="5148"/>
      <c r="C182" s="1654" t="s">
        <v>7768</v>
      </c>
      <c r="D182" s="1655"/>
      <c r="F182" s="2437">
        <v>42</v>
      </c>
      <c r="G182" s="597" t="s">
        <v>1782</v>
      </c>
      <c r="H182" s="2416"/>
      <c r="I182" s="2418">
        <v>20</v>
      </c>
      <c r="J182" s="2439">
        <v>20</v>
      </c>
      <c r="K182" s="2418"/>
      <c r="L182" s="2418">
        <v>20</v>
      </c>
      <c r="M182" s="2416"/>
      <c r="N182" s="2418"/>
      <c r="O182" s="2439"/>
      <c r="P182" s="2418"/>
      <c r="Q182" s="2418"/>
      <c r="R182" s="2416"/>
      <c r="S182" s="2439"/>
      <c r="T182" s="2418"/>
      <c r="U182" s="2416"/>
      <c r="V182" s="2439"/>
      <c r="W182" s="2418"/>
      <c r="X182" s="2418"/>
      <c r="Y182" s="2416"/>
      <c r="Z182" s="2418">
        <v>20</v>
      </c>
      <c r="AA182" s="2439">
        <v>20</v>
      </c>
      <c r="AB182" s="2474"/>
      <c r="AC182" s="2418"/>
      <c r="AD182" s="2416"/>
      <c r="AE182" s="2439"/>
      <c r="AF182" s="2418"/>
      <c r="AG182" s="2418"/>
      <c r="AH182" s="2418"/>
      <c r="AI182" s="2416"/>
      <c r="AJ182" s="2418"/>
      <c r="AK182" s="2439"/>
      <c r="AL182" s="2418"/>
      <c r="AM182" s="2418"/>
      <c r="AN182" s="2418"/>
      <c r="AO182" s="2418"/>
      <c r="AP182" s="2416"/>
      <c r="AQ182" s="2418"/>
      <c r="AR182" s="2439"/>
      <c r="AS182" s="2418"/>
      <c r="AT182" s="2418"/>
      <c r="AU182" s="2416"/>
      <c r="AV182" s="2418">
        <v>30</v>
      </c>
      <c r="AW182" s="2439">
        <v>20</v>
      </c>
      <c r="AX182" s="2418"/>
      <c r="AY182" s="2418">
        <v>20</v>
      </c>
      <c r="AZ182" s="2416"/>
      <c r="BA182" s="2439"/>
      <c r="BB182" s="2418"/>
      <c r="BC182" s="2418"/>
      <c r="BD182" s="2416"/>
      <c r="BE182" s="2439"/>
      <c r="BF182" s="2418"/>
      <c r="BG182" s="2418"/>
      <c r="BH182" s="2440"/>
      <c r="BI182" s="2416"/>
      <c r="BJ182" s="2439"/>
      <c r="BK182" s="2418"/>
      <c r="BL182" s="2418"/>
      <c r="BM182" s="2440"/>
      <c r="BN182" s="2418"/>
      <c r="BO182" s="2418"/>
      <c r="BP182" s="2416"/>
      <c r="BQ182" s="2418"/>
      <c r="BR182" s="2439"/>
      <c r="BS182" s="2418"/>
      <c r="BT182" s="2418">
        <v>10</v>
      </c>
      <c r="BU182" s="2416">
        <v>20</v>
      </c>
      <c r="BV182" s="2418"/>
      <c r="BW182" s="2418">
        <v>20</v>
      </c>
      <c r="BX182" s="2439">
        <v>20</v>
      </c>
      <c r="BY182" s="2418"/>
      <c r="BZ182" s="2418"/>
      <c r="CA182" s="2418"/>
      <c r="CB182" s="2416">
        <v>20</v>
      </c>
      <c r="CC182" s="2418">
        <v>20</v>
      </c>
      <c r="CD182" s="2439">
        <v>20</v>
      </c>
      <c r="CE182" s="2418"/>
      <c r="CF182" s="2418"/>
      <c r="CG182" s="2416">
        <v>20</v>
      </c>
      <c r="CH182" s="2418"/>
      <c r="CI182" s="2439">
        <v>20</v>
      </c>
      <c r="CJ182" s="2418">
        <v>20</v>
      </c>
      <c r="CK182" s="2418">
        <v>20</v>
      </c>
      <c r="CL182" s="2418">
        <v>20</v>
      </c>
      <c r="CM182" s="2418">
        <v>20</v>
      </c>
      <c r="CN182" s="2416">
        <v>20</v>
      </c>
      <c r="CO182" s="2439">
        <v>20</v>
      </c>
      <c r="CP182" s="2418"/>
      <c r="CQ182" s="2418"/>
      <c r="CR182" s="2416">
        <v>20</v>
      </c>
      <c r="CS182" s="2418">
        <v>20</v>
      </c>
      <c r="CT182" s="2439">
        <v>20</v>
      </c>
      <c r="CU182" s="2418"/>
      <c r="CV182" s="2418"/>
      <c r="CW182" s="2416"/>
      <c r="CX182" s="2418"/>
      <c r="CY182" s="2439"/>
      <c r="CZ182" s="2418"/>
      <c r="DA182" s="2416">
        <v>20</v>
      </c>
      <c r="DB182" s="2418">
        <v>20</v>
      </c>
      <c r="DC182" s="2439">
        <v>20</v>
      </c>
      <c r="DD182" s="2418"/>
      <c r="DE182" s="2417"/>
    </row>
    <row r="183" spans="1:109" ht="12.75" customHeight="1" x14ac:dyDescent="0.2">
      <c r="A183" s="1916">
        <v>183</v>
      </c>
      <c r="B183" s="5148"/>
      <c r="C183" s="1654" t="s">
        <v>10032</v>
      </c>
      <c r="D183" s="1655"/>
      <c r="F183" s="2437">
        <v>43</v>
      </c>
      <c r="G183" s="597" t="s">
        <v>1783</v>
      </c>
      <c r="H183" s="2416"/>
      <c r="I183" s="2418"/>
      <c r="J183" s="2439"/>
      <c r="K183" s="2418"/>
      <c r="L183" s="2418"/>
      <c r="M183" s="2416"/>
      <c r="N183" s="2418"/>
      <c r="O183" s="2439"/>
      <c r="P183" s="2418">
        <v>20</v>
      </c>
      <c r="Q183" s="2418"/>
      <c r="R183" s="2416"/>
      <c r="S183" s="2439"/>
      <c r="T183" s="2418"/>
      <c r="U183" s="2416"/>
      <c r="V183" s="2439"/>
      <c r="W183" s="2418"/>
      <c r="X183" s="2418"/>
      <c r="Y183" s="2416"/>
      <c r="Z183" s="2418"/>
      <c r="AA183" s="2439"/>
      <c r="AB183" s="2474"/>
      <c r="AC183" s="2418"/>
      <c r="AD183" s="2416"/>
      <c r="AE183" s="2439"/>
      <c r="AF183" s="2418"/>
      <c r="AG183" s="2418"/>
      <c r="AH183" s="2418"/>
      <c r="AI183" s="2416"/>
      <c r="AJ183" s="2418"/>
      <c r="AK183" s="2439"/>
      <c r="AL183" s="2418"/>
      <c r="AM183" s="2418"/>
      <c r="AN183" s="2418"/>
      <c r="AO183" s="2418"/>
      <c r="AP183" s="2416"/>
      <c r="AQ183" s="2418"/>
      <c r="AR183" s="2439"/>
      <c r="AS183" s="2418"/>
      <c r="AT183" s="2418"/>
      <c r="AU183" s="2416"/>
      <c r="AV183" s="2418"/>
      <c r="AW183" s="2439"/>
      <c r="AX183" s="2418"/>
      <c r="AY183" s="2418"/>
      <c r="AZ183" s="2416"/>
      <c r="BA183" s="2439"/>
      <c r="BB183" s="2418"/>
      <c r="BC183" s="2418"/>
      <c r="BD183" s="2416"/>
      <c r="BE183" s="2439"/>
      <c r="BF183" s="2418">
        <v>30</v>
      </c>
      <c r="BG183" s="2418"/>
      <c r="BH183" s="2440"/>
      <c r="BI183" s="2416"/>
      <c r="BJ183" s="2439"/>
      <c r="BK183" s="2418"/>
      <c r="BL183" s="2418"/>
      <c r="BM183" s="2440"/>
      <c r="BN183" s="2418"/>
      <c r="BO183" s="2418"/>
      <c r="BP183" s="2416"/>
      <c r="BQ183" s="2418"/>
      <c r="BR183" s="2439"/>
      <c r="BS183" s="2418"/>
      <c r="BT183" s="2418"/>
      <c r="BU183" s="2416"/>
      <c r="BV183" s="2418"/>
      <c r="BW183" s="2418"/>
      <c r="BX183" s="2439"/>
      <c r="BY183" s="2418"/>
      <c r="BZ183" s="2418"/>
      <c r="CA183" s="2418"/>
      <c r="CB183" s="2416"/>
      <c r="CC183" s="2418"/>
      <c r="CD183" s="2439"/>
      <c r="CE183" s="2418"/>
      <c r="CF183" s="2418"/>
      <c r="CG183" s="2416"/>
      <c r="CH183" s="2418"/>
      <c r="CI183" s="2439"/>
      <c r="CJ183" s="2418"/>
      <c r="CK183" s="2418"/>
      <c r="CL183" s="2418"/>
      <c r="CM183" s="2418"/>
      <c r="CN183" s="2416"/>
      <c r="CO183" s="2439"/>
      <c r="CP183" s="2418"/>
      <c r="CQ183" s="2418"/>
      <c r="CR183" s="2416"/>
      <c r="CS183" s="2418"/>
      <c r="CT183" s="2439"/>
      <c r="CU183" s="2418"/>
      <c r="CV183" s="2418"/>
      <c r="CW183" s="2416"/>
      <c r="CX183" s="2418"/>
      <c r="CY183" s="2439"/>
      <c r="CZ183" s="2418"/>
      <c r="DA183" s="2416"/>
      <c r="DB183" s="2418"/>
      <c r="DC183" s="2439"/>
      <c r="DD183" s="2418"/>
      <c r="DE183" s="2417"/>
    </row>
    <row r="184" spans="1:109" ht="12.75" customHeight="1" x14ac:dyDescent="0.2">
      <c r="A184" s="1916">
        <v>184</v>
      </c>
      <c r="B184" s="5148"/>
      <c r="C184" s="1654" t="s">
        <v>7769</v>
      </c>
      <c r="D184" s="1655"/>
      <c r="F184" s="2437">
        <v>44</v>
      </c>
      <c r="G184" s="597" t="s">
        <v>1082</v>
      </c>
      <c r="H184" s="2416"/>
      <c r="I184" s="2418"/>
      <c r="J184" s="2439"/>
      <c r="K184" s="2418"/>
      <c r="L184" s="2418"/>
      <c r="M184" s="2416"/>
      <c r="N184" s="2418"/>
      <c r="O184" s="2439"/>
      <c r="P184" s="2418"/>
      <c r="Q184" s="2418"/>
      <c r="R184" s="2416"/>
      <c r="S184" s="2439"/>
      <c r="T184" s="2418"/>
      <c r="U184" s="2416"/>
      <c r="V184" s="2439"/>
      <c r="W184" s="2418"/>
      <c r="X184" s="2418"/>
      <c r="Y184" s="2416"/>
      <c r="Z184" s="2418"/>
      <c r="AA184" s="2439"/>
      <c r="AB184" s="2474"/>
      <c r="AC184" s="2418"/>
      <c r="AD184" s="2416"/>
      <c r="AE184" s="2439"/>
      <c r="AF184" s="2418"/>
      <c r="AG184" s="2418"/>
      <c r="AH184" s="2418"/>
      <c r="AI184" s="2416"/>
      <c r="AJ184" s="2418"/>
      <c r="AK184" s="2439"/>
      <c r="AL184" s="2418"/>
      <c r="AM184" s="2418"/>
      <c r="AN184" s="2418"/>
      <c r="AO184" s="2418"/>
      <c r="AP184" s="2416"/>
      <c r="AQ184" s="2418"/>
      <c r="AR184" s="2439"/>
      <c r="AS184" s="2418"/>
      <c r="AT184" s="2418"/>
      <c r="AU184" s="2416"/>
      <c r="AV184" s="2418"/>
      <c r="AW184" s="2439"/>
      <c r="AX184" s="2418"/>
      <c r="AY184" s="2418"/>
      <c r="AZ184" s="2416"/>
      <c r="BA184" s="2439"/>
      <c r="BB184" s="2418"/>
      <c r="BC184" s="2418"/>
      <c r="BD184" s="2416"/>
      <c r="BE184" s="2439"/>
      <c r="BF184" s="2418"/>
      <c r="BG184" s="2418"/>
      <c r="BH184" s="2440"/>
      <c r="BI184" s="2416"/>
      <c r="BJ184" s="2439"/>
      <c r="BK184" s="2418"/>
      <c r="BL184" s="2418"/>
      <c r="BM184" s="2440"/>
      <c r="BN184" s="2418"/>
      <c r="BO184" s="2418"/>
      <c r="BP184" s="2416"/>
      <c r="BQ184" s="2418"/>
      <c r="BR184" s="2439"/>
      <c r="BS184" s="2418"/>
      <c r="BT184" s="2418"/>
      <c r="BU184" s="2416"/>
      <c r="BV184" s="2418"/>
      <c r="BW184" s="2418"/>
      <c r="BX184" s="2439"/>
      <c r="BY184" s="2418"/>
      <c r="BZ184" s="2418"/>
      <c r="CA184" s="2418"/>
      <c r="CB184" s="2416"/>
      <c r="CC184" s="2418"/>
      <c r="CD184" s="2439"/>
      <c r="CE184" s="2418"/>
      <c r="CF184" s="2418"/>
      <c r="CG184" s="2416"/>
      <c r="CH184" s="2418"/>
      <c r="CI184" s="2439"/>
      <c r="CJ184" s="2418"/>
      <c r="CK184" s="2418"/>
      <c r="CL184" s="2418"/>
      <c r="CM184" s="2418"/>
      <c r="CN184" s="2416"/>
      <c r="CO184" s="2439"/>
      <c r="CP184" s="2418"/>
      <c r="CQ184" s="2418"/>
      <c r="CR184" s="2416"/>
      <c r="CS184" s="2418"/>
      <c r="CT184" s="2439"/>
      <c r="CU184" s="2418"/>
      <c r="CV184" s="2418"/>
      <c r="CW184" s="2416"/>
      <c r="CX184" s="2418"/>
      <c r="CY184" s="2439"/>
      <c r="CZ184" s="2418"/>
      <c r="DA184" s="2416"/>
      <c r="DB184" s="2418"/>
      <c r="DC184" s="2439"/>
      <c r="DD184" s="2418"/>
      <c r="DE184" s="2417"/>
    </row>
    <row r="185" spans="1:109" ht="12.75" customHeight="1" x14ac:dyDescent="0.2">
      <c r="A185" s="1916">
        <v>185</v>
      </c>
      <c r="B185" s="5148"/>
      <c r="C185" s="1654" t="s">
        <v>7770</v>
      </c>
      <c r="D185" s="1655"/>
      <c r="F185" s="2437">
        <v>45</v>
      </c>
      <c r="G185" s="597" t="s">
        <v>1083</v>
      </c>
      <c r="H185" s="2416"/>
      <c r="I185" s="2418"/>
      <c r="J185" s="2439"/>
      <c r="K185" s="2418"/>
      <c r="L185" s="2418"/>
      <c r="M185" s="2416"/>
      <c r="N185" s="2418"/>
      <c r="O185" s="2439"/>
      <c r="P185" s="2418"/>
      <c r="Q185" s="2418"/>
      <c r="R185" s="2416"/>
      <c r="S185" s="2439"/>
      <c r="T185" s="2418"/>
      <c r="U185" s="2416"/>
      <c r="V185" s="2439"/>
      <c r="W185" s="2418"/>
      <c r="X185" s="2418"/>
      <c r="Y185" s="2416"/>
      <c r="Z185" s="2418"/>
      <c r="AA185" s="2439"/>
      <c r="AB185" s="2474"/>
      <c r="AC185" s="2418"/>
      <c r="AD185" s="2416"/>
      <c r="AE185" s="2439"/>
      <c r="AF185" s="2418"/>
      <c r="AG185" s="2418"/>
      <c r="AH185" s="2418"/>
      <c r="AI185" s="2416"/>
      <c r="AJ185" s="2418"/>
      <c r="AK185" s="2439"/>
      <c r="AL185" s="2418"/>
      <c r="AM185" s="2418"/>
      <c r="AN185" s="2418"/>
      <c r="AO185" s="2418"/>
      <c r="AP185" s="2416"/>
      <c r="AQ185" s="2418"/>
      <c r="AR185" s="2439"/>
      <c r="AS185" s="2418"/>
      <c r="AT185" s="2418"/>
      <c r="AU185" s="2416"/>
      <c r="AV185" s="2418"/>
      <c r="AW185" s="2439"/>
      <c r="AX185" s="2418"/>
      <c r="AY185" s="2418"/>
      <c r="AZ185" s="2416"/>
      <c r="BA185" s="2439"/>
      <c r="BB185" s="2418"/>
      <c r="BC185" s="2418"/>
      <c r="BD185" s="2416"/>
      <c r="BE185" s="2439"/>
      <c r="BF185" s="2418"/>
      <c r="BG185" s="2418"/>
      <c r="BH185" s="2440"/>
      <c r="BI185" s="2416"/>
      <c r="BJ185" s="2439"/>
      <c r="BK185" s="2418"/>
      <c r="BL185" s="2418"/>
      <c r="BM185" s="2440"/>
      <c r="BN185" s="2418"/>
      <c r="BO185" s="2418"/>
      <c r="BP185" s="2416"/>
      <c r="BQ185" s="2418"/>
      <c r="BR185" s="2439"/>
      <c r="BS185" s="2418"/>
      <c r="BT185" s="2418"/>
      <c r="BU185" s="2416"/>
      <c r="BV185" s="2418"/>
      <c r="BW185" s="2418"/>
      <c r="BX185" s="2439"/>
      <c r="BY185" s="2418"/>
      <c r="BZ185" s="2418"/>
      <c r="CA185" s="2418"/>
      <c r="CB185" s="2416"/>
      <c r="CC185" s="2418"/>
      <c r="CD185" s="2439"/>
      <c r="CE185" s="2418"/>
      <c r="CF185" s="2418"/>
      <c r="CG185" s="2416"/>
      <c r="CH185" s="2418"/>
      <c r="CI185" s="2439"/>
      <c r="CJ185" s="2418"/>
      <c r="CK185" s="2418"/>
      <c r="CL185" s="2418"/>
      <c r="CM185" s="2418"/>
      <c r="CN185" s="2416"/>
      <c r="CO185" s="2439"/>
      <c r="CP185" s="2418"/>
      <c r="CQ185" s="2418"/>
      <c r="CR185" s="2416"/>
      <c r="CS185" s="2418"/>
      <c r="CT185" s="2439"/>
      <c r="CU185" s="2418"/>
      <c r="CV185" s="2418"/>
      <c r="CW185" s="2416"/>
      <c r="CX185" s="2418"/>
      <c r="CY185" s="2439"/>
      <c r="CZ185" s="2418"/>
      <c r="DA185" s="2416"/>
      <c r="DB185" s="2418"/>
      <c r="DC185" s="2439"/>
      <c r="DD185" s="2418"/>
      <c r="DE185" s="2417"/>
    </row>
    <row r="186" spans="1:109" ht="12.75" customHeight="1" x14ac:dyDescent="0.2">
      <c r="A186" s="1916">
        <v>186</v>
      </c>
      <c r="B186" s="5148"/>
      <c r="C186" s="1654" t="s">
        <v>7771</v>
      </c>
      <c r="D186" s="1655"/>
      <c r="F186" s="2437">
        <v>46</v>
      </c>
      <c r="G186" s="597" t="s">
        <v>1084</v>
      </c>
      <c r="H186" s="2416"/>
      <c r="I186" s="2418"/>
      <c r="J186" s="2439"/>
      <c r="K186" s="2418"/>
      <c r="L186" s="2418"/>
      <c r="M186" s="2416"/>
      <c r="N186" s="2418"/>
      <c r="O186" s="2439"/>
      <c r="P186" s="2418"/>
      <c r="Q186" s="2418"/>
      <c r="R186" s="2416"/>
      <c r="S186" s="2439"/>
      <c r="T186" s="2418"/>
      <c r="U186" s="2416"/>
      <c r="V186" s="2439"/>
      <c r="W186" s="2418"/>
      <c r="X186" s="2418"/>
      <c r="Y186" s="2416"/>
      <c r="Z186" s="2418"/>
      <c r="AA186" s="2439"/>
      <c r="AB186" s="2474"/>
      <c r="AC186" s="2418"/>
      <c r="AD186" s="2416"/>
      <c r="AE186" s="2439"/>
      <c r="AF186" s="2418"/>
      <c r="AG186" s="2418"/>
      <c r="AH186" s="2418"/>
      <c r="AI186" s="2416"/>
      <c r="AJ186" s="2418"/>
      <c r="AK186" s="2439"/>
      <c r="AL186" s="2418"/>
      <c r="AM186" s="2418"/>
      <c r="AN186" s="2418"/>
      <c r="AO186" s="2418"/>
      <c r="AP186" s="2416"/>
      <c r="AQ186" s="2418"/>
      <c r="AR186" s="2439"/>
      <c r="AS186" s="2418"/>
      <c r="AT186" s="2418"/>
      <c r="AU186" s="2416"/>
      <c r="AV186" s="2418"/>
      <c r="AW186" s="2439"/>
      <c r="AX186" s="2418"/>
      <c r="AY186" s="2418"/>
      <c r="AZ186" s="2416"/>
      <c r="BA186" s="2439"/>
      <c r="BB186" s="2418"/>
      <c r="BC186" s="2418"/>
      <c r="BD186" s="2416"/>
      <c r="BE186" s="2439"/>
      <c r="BF186" s="2418"/>
      <c r="BG186" s="2418"/>
      <c r="BH186" s="2440"/>
      <c r="BI186" s="2416"/>
      <c r="BJ186" s="2439"/>
      <c r="BK186" s="2418"/>
      <c r="BL186" s="2418"/>
      <c r="BM186" s="2440"/>
      <c r="BN186" s="2418"/>
      <c r="BO186" s="2418"/>
      <c r="BP186" s="2416"/>
      <c r="BQ186" s="2418"/>
      <c r="BR186" s="2439"/>
      <c r="BS186" s="2418"/>
      <c r="BT186" s="2418"/>
      <c r="BU186" s="2416"/>
      <c r="BV186" s="2418"/>
      <c r="BW186" s="2418"/>
      <c r="BX186" s="2439"/>
      <c r="BY186" s="2418"/>
      <c r="BZ186" s="2418"/>
      <c r="CA186" s="2418"/>
      <c r="CB186" s="2416"/>
      <c r="CC186" s="2418"/>
      <c r="CD186" s="2439"/>
      <c r="CE186" s="2418"/>
      <c r="CF186" s="2418"/>
      <c r="CG186" s="2416"/>
      <c r="CH186" s="2418"/>
      <c r="CI186" s="2439"/>
      <c r="CJ186" s="2418"/>
      <c r="CK186" s="2418"/>
      <c r="CL186" s="2418"/>
      <c r="CM186" s="2418"/>
      <c r="CN186" s="2416"/>
      <c r="CO186" s="2439"/>
      <c r="CP186" s="2418"/>
      <c r="CQ186" s="2418"/>
      <c r="CR186" s="2416"/>
      <c r="CS186" s="2418"/>
      <c r="CT186" s="2439"/>
      <c r="CU186" s="2418"/>
      <c r="CV186" s="2418"/>
      <c r="CW186" s="2416"/>
      <c r="CX186" s="2418"/>
      <c r="CY186" s="2439"/>
      <c r="CZ186" s="2418"/>
      <c r="DA186" s="2416"/>
      <c r="DB186" s="2418"/>
      <c r="DC186" s="2439"/>
      <c r="DD186" s="2418"/>
      <c r="DE186" s="2417"/>
    </row>
    <row r="187" spans="1:109" ht="12.75" customHeight="1" x14ac:dyDescent="0.2">
      <c r="A187" s="1916">
        <v>187</v>
      </c>
      <c r="B187" s="5148"/>
      <c r="C187" s="1654" t="s">
        <v>7772</v>
      </c>
      <c r="D187" s="1655"/>
      <c r="F187" s="2437">
        <v>47</v>
      </c>
      <c r="G187" s="597" t="s">
        <v>1784</v>
      </c>
      <c r="H187" s="2416"/>
      <c r="I187" s="2418"/>
      <c r="J187" s="2439"/>
      <c r="K187" s="2418"/>
      <c r="L187" s="2418"/>
      <c r="M187" s="2416"/>
      <c r="N187" s="2418"/>
      <c r="O187" s="2439"/>
      <c r="P187" s="2418"/>
      <c r="Q187" s="2418"/>
      <c r="R187" s="2416"/>
      <c r="S187" s="2439">
        <v>30</v>
      </c>
      <c r="T187" s="2418"/>
      <c r="U187" s="2416"/>
      <c r="V187" s="2439"/>
      <c r="W187" s="2418"/>
      <c r="X187" s="2418"/>
      <c r="Y187" s="2416"/>
      <c r="Z187" s="2418"/>
      <c r="AA187" s="2439"/>
      <c r="AB187" s="2474"/>
      <c r="AC187" s="2418"/>
      <c r="AD187" s="2416"/>
      <c r="AE187" s="2439"/>
      <c r="AF187" s="2418"/>
      <c r="AG187" s="2418"/>
      <c r="AH187" s="2418"/>
      <c r="AI187" s="2416"/>
      <c r="AJ187" s="2418"/>
      <c r="AK187" s="2439"/>
      <c r="AL187" s="2418"/>
      <c r="AM187" s="2418"/>
      <c r="AN187" s="2418"/>
      <c r="AO187" s="2418"/>
      <c r="AP187" s="2416"/>
      <c r="AQ187" s="2418"/>
      <c r="AR187" s="2439"/>
      <c r="AS187" s="2418"/>
      <c r="AT187" s="2418"/>
      <c r="AU187" s="2416"/>
      <c r="AV187" s="2418"/>
      <c r="AW187" s="2439"/>
      <c r="AX187" s="2418"/>
      <c r="AY187" s="2418"/>
      <c r="AZ187" s="2416"/>
      <c r="BA187" s="2439"/>
      <c r="BB187" s="2418"/>
      <c r="BC187" s="2418"/>
      <c r="BD187" s="2416"/>
      <c r="BE187" s="2439"/>
      <c r="BF187" s="2418"/>
      <c r="BG187" s="2418"/>
      <c r="BH187" s="2440"/>
      <c r="BI187" s="2416"/>
      <c r="BJ187" s="2439"/>
      <c r="BK187" s="2418"/>
      <c r="BL187" s="2418"/>
      <c r="BM187" s="2440"/>
      <c r="BN187" s="2418"/>
      <c r="BO187" s="2418"/>
      <c r="BP187" s="2416"/>
      <c r="BQ187" s="2418">
        <v>20</v>
      </c>
      <c r="BR187" s="2439"/>
      <c r="BS187" s="2418"/>
      <c r="BT187" s="2418"/>
      <c r="BU187" s="2416"/>
      <c r="BV187" s="2418"/>
      <c r="BW187" s="2418"/>
      <c r="BX187" s="2439"/>
      <c r="BY187" s="2418"/>
      <c r="BZ187" s="2418"/>
      <c r="CA187" s="2418"/>
      <c r="CB187" s="2416"/>
      <c r="CC187" s="2418"/>
      <c r="CD187" s="2439"/>
      <c r="CE187" s="2418"/>
      <c r="CF187" s="2418"/>
      <c r="CG187" s="2416"/>
      <c r="CH187" s="2418"/>
      <c r="CI187" s="2439"/>
      <c r="CJ187" s="2418"/>
      <c r="CK187" s="2418"/>
      <c r="CL187" s="2418"/>
      <c r="CM187" s="2418"/>
      <c r="CN187" s="2416"/>
      <c r="CO187" s="2439"/>
      <c r="CP187" s="2418"/>
      <c r="CQ187" s="2418"/>
      <c r="CR187" s="2416">
        <v>20</v>
      </c>
      <c r="CS187" s="2418">
        <v>20</v>
      </c>
      <c r="CT187" s="2439">
        <v>20</v>
      </c>
      <c r="CU187" s="2418"/>
      <c r="CV187" s="2418"/>
      <c r="CW187" s="2416"/>
      <c r="CX187" s="2418"/>
      <c r="CY187" s="2439"/>
      <c r="CZ187" s="2418"/>
      <c r="DA187" s="2416"/>
      <c r="DB187" s="2418"/>
      <c r="DC187" s="2439"/>
      <c r="DD187" s="2418"/>
      <c r="DE187" s="2417"/>
    </row>
    <row r="188" spans="1:109" ht="12.75" customHeight="1" x14ac:dyDescent="0.2">
      <c r="A188" s="1916">
        <v>188</v>
      </c>
      <c r="B188" s="5148"/>
      <c r="C188" s="1654" t="s">
        <v>7838</v>
      </c>
      <c r="D188" s="1655"/>
      <c r="F188" s="2437">
        <v>48</v>
      </c>
      <c r="G188" s="597" t="s">
        <v>1787</v>
      </c>
      <c r="H188" s="2416">
        <v>20</v>
      </c>
      <c r="I188" s="2418"/>
      <c r="J188" s="2439"/>
      <c r="K188" s="2418"/>
      <c r="L188" s="2418"/>
      <c r="M188" s="2416"/>
      <c r="N188" s="2418"/>
      <c r="O188" s="2439"/>
      <c r="P188" s="2418"/>
      <c r="Q188" s="2418"/>
      <c r="R188" s="2416"/>
      <c r="S188" s="2439"/>
      <c r="T188" s="2418"/>
      <c r="U188" s="2416"/>
      <c r="V188" s="2439"/>
      <c r="W188" s="2418"/>
      <c r="X188" s="2418"/>
      <c r="Y188" s="2416">
        <v>20</v>
      </c>
      <c r="Z188" s="2418"/>
      <c r="AA188" s="2439"/>
      <c r="AB188" s="2474"/>
      <c r="AC188" s="2418"/>
      <c r="AD188" s="2416"/>
      <c r="AE188" s="2439"/>
      <c r="AF188" s="2418"/>
      <c r="AG188" s="2418"/>
      <c r="AH188" s="2418"/>
      <c r="AI188" s="2416"/>
      <c r="AJ188" s="2418"/>
      <c r="AK188" s="2439"/>
      <c r="AL188" s="2418"/>
      <c r="AM188" s="2418"/>
      <c r="AN188" s="2418"/>
      <c r="AO188" s="2418"/>
      <c r="AP188" s="2416"/>
      <c r="AQ188" s="2418"/>
      <c r="AR188" s="2439"/>
      <c r="AS188" s="2418"/>
      <c r="AT188" s="2418"/>
      <c r="AU188" s="2416"/>
      <c r="AV188" s="2418"/>
      <c r="AW188" s="2439"/>
      <c r="AX188" s="2418"/>
      <c r="AY188" s="2418"/>
      <c r="AZ188" s="2416"/>
      <c r="BA188" s="2439"/>
      <c r="BB188" s="2418"/>
      <c r="BC188" s="2418"/>
      <c r="BD188" s="2416"/>
      <c r="BE188" s="2439"/>
      <c r="BF188" s="2418"/>
      <c r="BG188" s="2418"/>
      <c r="BH188" s="2440"/>
      <c r="BI188" s="2416"/>
      <c r="BJ188" s="2439"/>
      <c r="BK188" s="2418"/>
      <c r="BL188" s="2418"/>
      <c r="BM188" s="2440"/>
      <c r="BN188" s="2418"/>
      <c r="BO188" s="2418"/>
      <c r="BP188" s="2416"/>
      <c r="BQ188" s="2418"/>
      <c r="BR188" s="2439"/>
      <c r="BS188" s="2418"/>
      <c r="BT188" s="2418"/>
      <c r="BU188" s="2416"/>
      <c r="BV188" s="2418"/>
      <c r="BW188" s="2418"/>
      <c r="BX188" s="2439"/>
      <c r="BY188" s="2418"/>
      <c r="BZ188" s="2418"/>
      <c r="CA188" s="2418"/>
      <c r="CB188" s="2416"/>
      <c r="CC188" s="2418"/>
      <c r="CD188" s="2439"/>
      <c r="CE188" s="2418"/>
      <c r="CF188" s="2418"/>
      <c r="CG188" s="2416"/>
      <c r="CH188" s="2418"/>
      <c r="CI188" s="2439"/>
      <c r="CJ188" s="2418"/>
      <c r="CK188" s="2418"/>
      <c r="CL188" s="2418"/>
      <c r="CM188" s="2418"/>
      <c r="CN188" s="2416"/>
      <c r="CO188" s="2439"/>
      <c r="CP188" s="2418"/>
      <c r="CQ188" s="2418"/>
      <c r="CR188" s="2416">
        <v>20</v>
      </c>
      <c r="CS188" s="2418"/>
      <c r="CT188" s="2439"/>
      <c r="CU188" s="2418"/>
      <c r="CV188" s="2418"/>
      <c r="CW188" s="2416"/>
      <c r="CX188" s="2418"/>
      <c r="CY188" s="2439"/>
      <c r="CZ188" s="2418"/>
      <c r="DA188" s="2416"/>
      <c r="DB188" s="2418"/>
      <c r="DC188" s="2439"/>
      <c r="DD188" s="2418"/>
      <c r="DE188" s="2417"/>
    </row>
    <row r="189" spans="1:109" ht="12.75" customHeight="1" x14ac:dyDescent="0.2">
      <c r="A189" s="1916">
        <v>189</v>
      </c>
      <c r="B189" s="5148"/>
      <c r="C189" s="1654" t="s">
        <v>7773</v>
      </c>
      <c r="D189" s="1655"/>
      <c r="F189" s="2437">
        <v>49</v>
      </c>
      <c r="G189" s="597" t="s">
        <v>7755</v>
      </c>
      <c r="H189" s="2416"/>
      <c r="I189" s="2418"/>
      <c r="J189" s="2439"/>
      <c r="K189" s="2418"/>
      <c r="L189" s="2418"/>
      <c r="M189" s="2416"/>
      <c r="N189" s="2418"/>
      <c r="O189" s="2439"/>
      <c r="P189" s="2418"/>
      <c r="Q189" s="2418"/>
      <c r="R189" s="2416"/>
      <c r="S189" s="2439"/>
      <c r="T189" s="2418"/>
      <c r="U189" s="2416"/>
      <c r="V189" s="2439"/>
      <c r="W189" s="2418"/>
      <c r="X189" s="2418"/>
      <c r="Y189" s="2416"/>
      <c r="Z189" s="2418"/>
      <c r="AA189" s="2439"/>
      <c r="AB189" s="2474"/>
      <c r="AC189" s="2418"/>
      <c r="AD189" s="2416"/>
      <c r="AE189" s="2439"/>
      <c r="AF189" s="2418"/>
      <c r="AG189" s="2418"/>
      <c r="AH189" s="2418"/>
      <c r="AI189" s="2416"/>
      <c r="AJ189" s="2418"/>
      <c r="AK189" s="2439"/>
      <c r="AL189" s="2418"/>
      <c r="AM189" s="2418"/>
      <c r="AN189" s="2418"/>
      <c r="AO189" s="2418"/>
      <c r="AP189" s="2416"/>
      <c r="AQ189" s="2418"/>
      <c r="AR189" s="2439"/>
      <c r="AS189" s="2418"/>
      <c r="AT189" s="2418"/>
      <c r="AU189" s="2416"/>
      <c r="AV189" s="2418"/>
      <c r="AW189" s="2439"/>
      <c r="AX189" s="2418"/>
      <c r="AY189" s="2418"/>
      <c r="AZ189" s="2416"/>
      <c r="BA189" s="2439"/>
      <c r="BB189" s="2418"/>
      <c r="BC189" s="2418"/>
      <c r="BD189" s="2416"/>
      <c r="BE189" s="2439"/>
      <c r="BF189" s="2418"/>
      <c r="BG189" s="2418"/>
      <c r="BH189" s="2440"/>
      <c r="BI189" s="2416"/>
      <c r="BJ189" s="2439"/>
      <c r="BK189" s="2418"/>
      <c r="BL189" s="2418"/>
      <c r="BM189" s="2440"/>
      <c r="BN189" s="2418"/>
      <c r="BO189" s="2418"/>
      <c r="BP189" s="2416"/>
      <c r="BQ189" s="2418"/>
      <c r="BR189" s="2439"/>
      <c r="BS189" s="2418"/>
      <c r="BT189" s="2418"/>
      <c r="BU189" s="2416"/>
      <c r="BV189" s="2418"/>
      <c r="BW189" s="2418"/>
      <c r="BX189" s="2439"/>
      <c r="BY189" s="2418"/>
      <c r="BZ189" s="2418"/>
      <c r="CA189" s="2418"/>
      <c r="CB189" s="2416"/>
      <c r="CC189" s="2418"/>
      <c r="CD189" s="2439"/>
      <c r="CE189" s="2418"/>
      <c r="CF189" s="2418"/>
      <c r="CG189" s="2416"/>
      <c r="CH189" s="2418"/>
      <c r="CI189" s="2439"/>
      <c r="CJ189" s="2418"/>
      <c r="CK189" s="2418"/>
      <c r="CL189" s="2418"/>
      <c r="CM189" s="2418"/>
      <c r="CN189" s="2416"/>
      <c r="CO189" s="2439"/>
      <c r="CP189" s="2418"/>
      <c r="CQ189" s="2418"/>
      <c r="CR189" s="2416"/>
      <c r="CS189" s="2418"/>
      <c r="CT189" s="2439"/>
      <c r="CU189" s="2418"/>
      <c r="CV189" s="2418"/>
      <c r="CW189" s="2416"/>
      <c r="CX189" s="2418"/>
      <c r="CY189" s="2439"/>
      <c r="CZ189" s="2418"/>
      <c r="DA189" s="2416"/>
      <c r="DB189" s="2418"/>
      <c r="DC189" s="2439"/>
      <c r="DD189" s="2418"/>
      <c r="DE189" s="2417"/>
    </row>
    <row r="190" spans="1:109" ht="12.75" customHeight="1" x14ac:dyDescent="0.2">
      <c r="A190" s="1916">
        <v>190</v>
      </c>
      <c r="B190" s="5148"/>
      <c r="C190" s="1654" t="s">
        <v>7774</v>
      </c>
      <c r="D190" s="1655"/>
      <c r="F190" s="2437">
        <v>50</v>
      </c>
      <c r="G190" s="597" t="s">
        <v>7756</v>
      </c>
      <c r="H190" s="2416"/>
      <c r="I190" s="2418"/>
      <c r="J190" s="2439"/>
      <c r="K190" s="2418"/>
      <c r="L190" s="2418"/>
      <c r="M190" s="2416"/>
      <c r="N190" s="2418"/>
      <c r="O190" s="2439"/>
      <c r="P190" s="2418"/>
      <c r="Q190" s="2418"/>
      <c r="R190" s="2416"/>
      <c r="S190" s="2439"/>
      <c r="T190" s="2418"/>
      <c r="U190" s="2416"/>
      <c r="V190" s="2439"/>
      <c r="W190" s="2418"/>
      <c r="X190" s="2418"/>
      <c r="Y190" s="2416"/>
      <c r="Z190" s="2418"/>
      <c r="AA190" s="2439"/>
      <c r="AB190" s="2474"/>
      <c r="AC190" s="2418"/>
      <c r="AD190" s="2416"/>
      <c r="AE190" s="2439"/>
      <c r="AF190" s="2418"/>
      <c r="AG190" s="2418"/>
      <c r="AH190" s="2418"/>
      <c r="AI190" s="2416"/>
      <c r="AJ190" s="2418"/>
      <c r="AK190" s="2439"/>
      <c r="AL190" s="2418"/>
      <c r="AM190" s="2418"/>
      <c r="AN190" s="2418"/>
      <c r="AO190" s="2418"/>
      <c r="AP190" s="2416"/>
      <c r="AQ190" s="2418"/>
      <c r="AR190" s="2439"/>
      <c r="AS190" s="2418"/>
      <c r="AT190" s="2418"/>
      <c r="AU190" s="2416"/>
      <c r="AV190" s="2418"/>
      <c r="AW190" s="2439"/>
      <c r="AX190" s="2418"/>
      <c r="AY190" s="2418"/>
      <c r="AZ190" s="2416"/>
      <c r="BA190" s="2439"/>
      <c r="BB190" s="2418"/>
      <c r="BC190" s="2418"/>
      <c r="BD190" s="2416"/>
      <c r="BE190" s="2439"/>
      <c r="BF190" s="2418"/>
      <c r="BG190" s="2418"/>
      <c r="BH190" s="2440"/>
      <c r="BI190" s="2416"/>
      <c r="BJ190" s="2439"/>
      <c r="BK190" s="2418"/>
      <c r="BL190" s="2418"/>
      <c r="BM190" s="2440"/>
      <c r="BN190" s="2418"/>
      <c r="BO190" s="2418"/>
      <c r="BP190" s="2416"/>
      <c r="BQ190" s="2418"/>
      <c r="BR190" s="2439"/>
      <c r="BS190" s="2418"/>
      <c r="BT190" s="2418"/>
      <c r="BU190" s="2416"/>
      <c r="BV190" s="2418"/>
      <c r="BW190" s="2418"/>
      <c r="BX190" s="2439"/>
      <c r="BY190" s="2418"/>
      <c r="BZ190" s="2418"/>
      <c r="CA190" s="2418"/>
      <c r="CB190" s="2416"/>
      <c r="CC190" s="2418"/>
      <c r="CD190" s="2439"/>
      <c r="CE190" s="2418"/>
      <c r="CF190" s="2418"/>
      <c r="CG190" s="2416"/>
      <c r="CH190" s="2418"/>
      <c r="CI190" s="2439"/>
      <c r="CJ190" s="2418"/>
      <c r="CK190" s="2418"/>
      <c r="CL190" s="2418"/>
      <c r="CM190" s="2418"/>
      <c r="CN190" s="2416"/>
      <c r="CO190" s="2439"/>
      <c r="CP190" s="2418"/>
      <c r="CQ190" s="2418"/>
      <c r="CR190" s="2416"/>
      <c r="CS190" s="2418"/>
      <c r="CT190" s="2439"/>
      <c r="CU190" s="2418"/>
      <c r="CV190" s="2418"/>
      <c r="CW190" s="2416"/>
      <c r="CX190" s="2418"/>
      <c r="CY190" s="2439"/>
      <c r="CZ190" s="2418"/>
      <c r="DA190" s="2416"/>
      <c r="DB190" s="2418"/>
      <c r="DC190" s="2439"/>
      <c r="DD190" s="2418"/>
      <c r="DE190" s="2417"/>
    </row>
    <row r="191" spans="1:109" ht="12.75" customHeight="1" x14ac:dyDescent="0.2">
      <c r="A191" s="1916">
        <v>191</v>
      </c>
      <c r="B191" s="5148"/>
      <c r="C191" s="1654" t="s">
        <v>7775</v>
      </c>
      <c r="D191" s="1655"/>
      <c r="F191" s="2437">
        <v>51</v>
      </c>
      <c r="G191" s="597" t="s">
        <v>7757</v>
      </c>
      <c r="H191" s="2416"/>
      <c r="I191" s="2418"/>
      <c r="J191" s="2439"/>
      <c r="K191" s="2418"/>
      <c r="L191" s="2418"/>
      <c r="M191" s="2416"/>
      <c r="N191" s="2418"/>
      <c r="O191" s="2439"/>
      <c r="P191" s="2418"/>
      <c r="Q191" s="2418"/>
      <c r="R191" s="2416"/>
      <c r="S191" s="2439"/>
      <c r="T191" s="2418"/>
      <c r="U191" s="2416"/>
      <c r="V191" s="2439"/>
      <c r="W191" s="2418"/>
      <c r="X191" s="2418"/>
      <c r="Y191" s="2416"/>
      <c r="Z191" s="2418"/>
      <c r="AA191" s="2439"/>
      <c r="AB191" s="2474"/>
      <c r="AC191" s="2418"/>
      <c r="AD191" s="2416"/>
      <c r="AE191" s="2439"/>
      <c r="AF191" s="2418"/>
      <c r="AG191" s="2418"/>
      <c r="AH191" s="2418"/>
      <c r="AI191" s="2416"/>
      <c r="AJ191" s="2418"/>
      <c r="AK191" s="2439"/>
      <c r="AL191" s="2418"/>
      <c r="AM191" s="2418"/>
      <c r="AN191" s="2418"/>
      <c r="AO191" s="2418"/>
      <c r="AP191" s="2416"/>
      <c r="AQ191" s="2418"/>
      <c r="AR191" s="2439"/>
      <c r="AS191" s="2418"/>
      <c r="AT191" s="2418"/>
      <c r="AU191" s="2416"/>
      <c r="AV191" s="2418"/>
      <c r="AW191" s="2439"/>
      <c r="AX191" s="2418"/>
      <c r="AY191" s="2418"/>
      <c r="AZ191" s="2416"/>
      <c r="BA191" s="2439"/>
      <c r="BB191" s="2418"/>
      <c r="BC191" s="2418"/>
      <c r="BD191" s="2416"/>
      <c r="BE191" s="2439"/>
      <c r="BF191" s="2418"/>
      <c r="BG191" s="2418"/>
      <c r="BH191" s="2440"/>
      <c r="BI191" s="2416"/>
      <c r="BJ191" s="2439"/>
      <c r="BK191" s="2418"/>
      <c r="BL191" s="2418"/>
      <c r="BM191" s="2440"/>
      <c r="BN191" s="2418"/>
      <c r="BO191" s="2418"/>
      <c r="BP191" s="2416"/>
      <c r="BQ191" s="2418"/>
      <c r="BR191" s="2439"/>
      <c r="BS191" s="2418"/>
      <c r="BT191" s="2418"/>
      <c r="BU191" s="2416"/>
      <c r="BV191" s="2418"/>
      <c r="BW191" s="2418"/>
      <c r="BX191" s="2439"/>
      <c r="BY191" s="2418"/>
      <c r="BZ191" s="2418"/>
      <c r="CA191" s="2418"/>
      <c r="CB191" s="2416"/>
      <c r="CC191" s="2418"/>
      <c r="CD191" s="2439"/>
      <c r="CE191" s="2418"/>
      <c r="CF191" s="2418"/>
      <c r="CG191" s="2416"/>
      <c r="CH191" s="2418"/>
      <c r="CI191" s="2439"/>
      <c r="CJ191" s="2418"/>
      <c r="CK191" s="2418"/>
      <c r="CL191" s="2418"/>
      <c r="CM191" s="2418"/>
      <c r="CN191" s="2416"/>
      <c r="CO191" s="2439"/>
      <c r="CP191" s="2418"/>
      <c r="CQ191" s="2418"/>
      <c r="CR191" s="2416"/>
      <c r="CS191" s="2418"/>
      <c r="CT191" s="2439"/>
      <c r="CU191" s="2418"/>
      <c r="CV191" s="2418"/>
      <c r="CW191" s="2416"/>
      <c r="CX191" s="2418"/>
      <c r="CY191" s="2439"/>
      <c r="CZ191" s="2418"/>
      <c r="DA191" s="2416"/>
      <c r="DB191" s="2418"/>
      <c r="DC191" s="2439"/>
      <c r="DD191" s="2418"/>
      <c r="DE191" s="2417"/>
    </row>
    <row r="192" spans="1:109" ht="12.75" customHeight="1" thickBot="1" x14ac:dyDescent="0.25">
      <c r="A192" s="1916">
        <v>192</v>
      </c>
      <c r="B192" s="5148"/>
      <c r="C192" s="1656" t="s">
        <v>7776</v>
      </c>
      <c r="D192" s="1657"/>
      <c r="F192" s="2437">
        <v>52</v>
      </c>
      <c r="G192" s="597" t="s">
        <v>7758</v>
      </c>
      <c r="H192" s="2416"/>
      <c r="I192" s="2418"/>
      <c r="J192" s="2439"/>
      <c r="K192" s="2418"/>
      <c r="L192" s="2418"/>
      <c r="M192" s="2416"/>
      <c r="N192" s="2418"/>
      <c r="O192" s="2439"/>
      <c r="P192" s="2418"/>
      <c r="Q192" s="2418"/>
      <c r="R192" s="2416"/>
      <c r="S192" s="2439"/>
      <c r="T192" s="2418"/>
      <c r="U192" s="2416"/>
      <c r="V192" s="2439"/>
      <c r="W192" s="2418"/>
      <c r="X192" s="2418"/>
      <c r="Y192" s="2416"/>
      <c r="Z192" s="2418"/>
      <c r="AA192" s="2439"/>
      <c r="AB192" s="2474"/>
      <c r="AC192" s="2418"/>
      <c r="AD192" s="2416"/>
      <c r="AE192" s="2439"/>
      <c r="AF192" s="2418"/>
      <c r="AG192" s="2418"/>
      <c r="AH192" s="2418"/>
      <c r="AI192" s="2416"/>
      <c r="AJ192" s="2418"/>
      <c r="AK192" s="2439"/>
      <c r="AL192" s="2418"/>
      <c r="AM192" s="2418"/>
      <c r="AN192" s="2418"/>
      <c r="AO192" s="2418"/>
      <c r="AP192" s="2416"/>
      <c r="AQ192" s="2418"/>
      <c r="AR192" s="2439"/>
      <c r="AS192" s="2418"/>
      <c r="AT192" s="2418"/>
      <c r="AU192" s="2416"/>
      <c r="AV192" s="2418"/>
      <c r="AW192" s="2439"/>
      <c r="AX192" s="2418"/>
      <c r="AY192" s="2418"/>
      <c r="AZ192" s="2416"/>
      <c r="BA192" s="2439"/>
      <c r="BB192" s="2418"/>
      <c r="BC192" s="2418"/>
      <c r="BD192" s="2416"/>
      <c r="BE192" s="2439"/>
      <c r="BF192" s="2418"/>
      <c r="BG192" s="2418"/>
      <c r="BH192" s="2440"/>
      <c r="BI192" s="2416"/>
      <c r="BJ192" s="2439"/>
      <c r="BK192" s="2418"/>
      <c r="BL192" s="2418"/>
      <c r="BM192" s="2440"/>
      <c r="BN192" s="2418"/>
      <c r="BO192" s="2418"/>
      <c r="BP192" s="2416"/>
      <c r="BQ192" s="2418"/>
      <c r="BR192" s="2439"/>
      <c r="BS192" s="2418"/>
      <c r="BT192" s="2418"/>
      <c r="BU192" s="2416"/>
      <c r="BV192" s="2418"/>
      <c r="BW192" s="2418"/>
      <c r="BX192" s="2439"/>
      <c r="BY192" s="2418"/>
      <c r="BZ192" s="2418"/>
      <c r="CA192" s="2418"/>
      <c r="CB192" s="2416"/>
      <c r="CC192" s="2418"/>
      <c r="CD192" s="2439"/>
      <c r="CE192" s="2418"/>
      <c r="CF192" s="2418"/>
      <c r="CG192" s="2416"/>
      <c r="CH192" s="2418"/>
      <c r="CI192" s="2439"/>
      <c r="CJ192" s="2418"/>
      <c r="CK192" s="2418"/>
      <c r="CL192" s="2418"/>
      <c r="CM192" s="2418"/>
      <c r="CN192" s="2416"/>
      <c r="CO192" s="2439"/>
      <c r="CP192" s="2418"/>
      <c r="CQ192" s="2418"/>
      <c r="CR192" s="2416"/>
      <c r="CS192" s="2418"/>
      <c r="CT192" s="2439"/>
      <c r="CU192" s="2418"/>
      <c r="CV192" s="2418"/>
      <c r="CW192" s="2416"/>
      <c r="CX192" s="2418"/>
      <c r="CY192" s="2439"/>
      <c r="CZ192" s="2418"/>
      <c r="DA192" s="2416"/>
      <c r="DB192" s="2418"/>
      <c r="DC192" s="2439"/>
      <c r="DD192" s="2418"/>
      <c r="DE192" s="2417"/>
    </row>
    <row r="193" spans="1:109" ht="12.75" customHeight="1" x14ac:dyDescent="0.2">
      <c r="A193" s="1916">
        <v>193</v>
      </c>
      <c r="B193" s="5148"/>
      <c r="F193" s="2437">
        <v>53</v>
      </c>
      <c r="G193" s="1683"/>
      <c r="H193" s="2416"/>
      <c r="I193" s="2418"/>
      <c r="J193" s="2439" t="s">
        <v>7856</v>
      </c>
      <c r="K193" s="2418"/>
      <c r="L193" s="2418" t="s">
        <v>7856</v>
      </c>
      <c r="M193" s="2416"/>
      <c r="N193" s="2418"/>
      <c r="O193" s="2439"/>
      <c r="P193" s="2418"/>
      <c r="Q193" s="2418"/>
      <c r="R193" s="2416"/>
      <c r="S193" s="2439"/>
      <c r="T193" s="2418"/>
      <c r="U193" s="2416"/>
      <c r="V193" s="2439"/>
      <c r="W193" s="2418"/>
      <c r="X193" s="2418"/>
      <c r="Y193" s="2416"/>
      <c r="Z193" s="2418"/>
      <c r="AA193" s="2439"/>
      <c r="AB193" s="2474"/>
      <c r="AC193" s="2418"/>
      <c r="AD193" s="2416"/>
      <c r="AE193" s="2439"/>
      <c r="AF193" s="2418"/>
      <c r="AG193" s="2418"/>
      <c r="AH193" s="2418" t="s">
        <v>7858</v>
      </c>
      <c r="AI193" s="2416"/>
      <c r="AJ193" s="2418"/>
      <c r="AK193" s="2439"/>
      <c r="AL193" s="2418"/>
      <c r="AM193" s="2418"/>
      <c r="AN193" s="2418"/>
      <c r="AO193" s="2418"/>
      <c r="AP193" s="2416"/>
      <c r="AQ193" s="2418"/>
      <c r="AR193" s="2439"/>
      <c r="AS193" s="2418"/>
      <c r="AT193" s="2418"/>
      <c r="AU193" s="2416"/>
      <c r="AV193" s="2418" t="s">
        <v>7860</v>
      </c>
      <c r="AW193" s="2439" t="s">
        <v>7860</v>
      </c>
      <c r="AX193" s="2418"/>
      <c r="AY193" s="2418" t="s">
        <v>7860</v>
      </c>
      <c r="AZ193" s="2416"/>
      <c r="BA193" s="2439"/>
      <c r="BB193" s="2418"/>
      <c r="BC193" s="2418"/>
      <c r="BD193" s="2416"/>
      <c r="BE193" s="2439"/>
      <c r="BF193" s="2418"/>
      <c r="BG193" s="2418"/>
      <c r="BH193" s="2440"/>
      <c r="BI193" s="2416"/>
      <c r="BJ193" s="2439"/>
      <c r="BK193" s="2418"/>
      <c r="BL193" s="2418" t="s">
        <v>7856</v>
      </c>
      <c r="BM193" s="2440"/>
      <c r="BN193" s="2418"/>
      <c r="BO193" s="2418"/>
      <c r="BP193" s="2416"/>
      <c r="BQ193" s="2418"/>
      <c r="BR193" s="2439"/>
      <c r="BS193" s="2418"/>
      <c r="BT193" s="2418" t="s">
        <v>7860</v>
      </c>
      <c r="BU193" s="2416"/>
      <c r="BV193" s="2418"/>
      <c r="BW193" s="2418"/>
      <c r="BX193" s="2439" t="s">
        <v>7856</v>
      </c>
      <c r="BY193" s="2418"/>
      <c r="BZ193" s="2418"/>
      <c r="CA193" s="2418"/>
      <c r="CB193" s="2416"/>
      <c r="CC193" s="2418"/>
      <c r="CD193" s="2439"/>
      <c r="CE193" s="2418"/>
      <c r="CF193" s="2418"/>
      <c r="CG193" s="2416"/>
      <c r="CH193" s="2418"/>
      <c r="CI193" s="2439"/>
      <c r="CJ193" s="2418"/>
      <c r="CK193" s="2418" t="s">
        <v>7824</v>
      </c>
      <c r="CL193" s="2418"/>
      <c r="CM193" s="2418" t="s">
        <v>7824</v>
      </c>
      <c r="CN193" s="2416"/>
      <c r="CO193" s="2439"/>
      <c r="CP193" s="2418"/>
      <c r="CQ193" s="2418"/>
      <c r="CR193" s="2416"/>
      <c r="CS193" s="2418"/>
      <c r="CT193" s="2439"/>
      <c r="CU193" s="2418"/>
      <c r="CV193" s="2418"/>
      <c r="CW193" s="2416"/>
      <c r="CX193" s="2418"/>
      <c r="CY193" s="2439"/>
      <c r="CZ193" s="2418"/>
      <c r="DA193" s="2416"/>
      <c r="DB193" s="2418"/>
      <c r="DC193" s="2439" t="s">
        <v>7856</v>
      </c>
      <c r="DD193" s="2418"/>
      <c r="DE193" s="2417"/>
    </row>
    <row r="194" spans="1:109" ht="12.75" customHeight="1" x14ac:dyDescent="0.2">
      <c r="A194" s="1916">
        <v>194</v>
      </c>
      <c r="B194" s="5148"/>
      <c r="F194" s="2437">
        <v>54</v>
      </c>
      <c r="G194" s="597"/>
      <c r="H194" s="2416"/>
      <c r="I194" s="2418"/>
      <c r="J194" s="2439" t="s">
        <v>7857</v>
      </c>
      <c r="K194" s="2418"/>
      <c r="L194" s="2418" t="s">
        <v>7857</v>
      </c>
      <c r="M194" s="2416"/>
      <c r="N194" s="2418"/>
      <c r="O194" s="2439"/>
      <c r="P194" s="2418"/>
      <c r="Q194" s="2418"/>
      <c r="R194" s="2416"/>
      <c r="S194" s="2439"/>
      <c r="T194" s="2418"/>
      <c r="U194" s="2416"/>
      <c r="V194" s="2439"/>
      <c r="W194" s="2418"/>
      <c r="X194" s="2418"/>
      <c r="Y194" s="2416"/>
      <c r="Z194" s="2418"/>
      <c r="AA194" s="2439"/>
      <c r="AB194" s="2474"/>
      <c r="AC194" s="2418"/>
      <c r="AD194" s="2416"/>
      <c r="AE194" s="2439"/>
      <c r="AF194" s="2418"/>
      <c r="AG194" s="2418"/>
      <c r="AH194" s="2418" t="s">
        <v>7856</v>
      </c>
      <c r="AI194" s="2416"/>
      <c r="AJ194" s="2418"/>
      <c r="AK194" s="2439"/>
      <c r="AL194" s="2418"/>
      <c r="AM194" s="2418"/>
      <c r="AN194" s="2418"/>
      <c r="AO194" s="2418"/>
      <c r="AP194" s="2416"/>
      <c r="AQ194" s="2418"/>
      <c r="AR194" s="2439"/>
      <c r="AS194" s="2418"/>
      <c r="AT194" s="2418"/>
      <c r="AU194" s="2416"/>
      <c r="AV194" s="2418" t="s">
        <v>7859</v>
      </c>
      <c r="AW194" s="2439" t="s">
        <v>7859</v>
      </c>
      <c r="AX194" s="2418"/>
      <c r="AY194" s="2418" t="s">
        <v>7859</v>
      </c>
      <c r="AZ194" s="2416"/>
      <c r="BA194" s="2439"/>
      <c r="BB194" s="2418"/>
      <c r="BC194" s="2418"/>
      <c r="BD194" s="2416"/>
      <c r="BE194" s="2439"/>
      <c r="BF194" s="2418"/>
      <c r="BG194" s="2418"/>
      <c r="BH194" s="2440"/>
      <c r="BI194" s="2416"/>
      <c r="BJ194" s="2439"/>
      <c r="BK194" s="2418"/>
      <c r="BL194" s="2418" t="s">
        <v>7857</v>
      </c>
      <c r="BM194" s="2440"/>
      <c r="BN194" s="2418"/>
      <c r="BO194" s="2418"/>
      <c r="BP194" s="2416"/>
      <c r="BQ194" s="2418"/>
      <c r="BR194" s="2439"/>
      <c r="BS194" s="2418"/>
      <c r="BT194" s="2418" t="s">
        <v>7859</v>
      </c>
      <c r="BU194" s="2416"/>
      <c r="BV194" s="2418"/>
      <c r="BW194" s="2418"/>
      <c r="BX194" s="2439" t="s">
        <v>7857</v>
      </c>
      <c r="BY194" s="2418"/>
      <c r="BZ194" s="2418"/>
      <c r="CA194" s="2418"/>
      <c r="CB194" s="2416"/>
      <c r="CC194" s="2418"/>
      <c r="CD194" s="2439"/>
      <c r="CE194" s="2418"/>
      <c r="CF194" s="2418"/>
      <c r="CG194" s="2416"/>
      <c r="CH194" s="2418"/>
      <c r="CI194" s="2439"/>
      <c r="CJ194" s="2418"/>
      <c r="CK194" s="2418"/>
      <c r="CL194" s="2418"/>
      <c r="CM194" s="2418"/>
      <c r="CN194" s="2416"/>
      <c r="CO194" s="2439"/>
      <c r="CP194" s="2418"/>
      <c r="CQ194" s="2418"/>
      <c r="CR194" s="2416"/>
      <c r="CS194" s="2418"/>
      <c r="CT194" s="2439"/>
      <c r="CU194" s="2418"/>
      <c r="CV194" s="2418"/>
      <c r="CW194" s="2416"/>
      <c r="CX194" s="2418"/>
      <c r="CY194" s="2439"/>
      <c r="CZ194" s="2418"/>
      <c r="DA194" s="2416"/>
      <c r="DB194" s="2418"/>
      <c r="DC194" s="2439" t="s">
        <v>7857</v>
      </c>
      <c r="DD194" s="2418"/>
      <c r="DE194" s="2417"/>
    </row>
    <row r="195" spans="1:109" ht="12.75" customHeight="1" x14ac:dyDescent="0.2">
      <c r="A195" s="1916">
        <v>195</v>
      </c>
      <c r="B195" s="5148"/>
      <c r="F195" s="2437">
        <v>55</v>
      </c>
      <c r="G195" s="1683"/>
      <c r="H195" s="2416"/>
      <c r="I195" s="2418"/>
      <c r="J195" s="2439"/>
      <c r="K195" s="2418"/>
      <c r="L195" s="2418"/>
      <c r="M195" s="2416"/>
      <c r="N195" s="2418"/>
      <c r="O195" s="2439"/>
      <c r="P195" s="2418"/>
      <c r="Q195" s="2418"/>
      <c r="R195" s="2416"/>
      <c r="S195" s="2439"/>
      <c r="T195" s="2418"/>
      <c r="U195" s="2416"/>
      <c r="V195" s="2439"/>
      <c r="W195" s="2418"/>
      <c r="X195" s="2418"/>
      <c r="Y195" s="2416"/>
      <c r="Z195" s="2418"/>
      <c r="AA195" s="2439"/>
      <c r="AB195" s="2474"/>
      <c r="AC195" s="2418"/>
      <c r="AD195" s="2416"/>
      <c r="AE195" s="2439"/>
      <c r="AF195" s="2418"/>
      <c r="AG195" s="2418"/>
      <c r="AH195" s="2418" t="s">
        <v>8057</v>
      </c>
      <c r="AI195" s="2416"/>
      <c r="AJ195" s="2418"/>
      <c r="AK195" s="2439"/>
      <c r="AL195" s="2418"/>
      <c r="AM195" s="2418"/>
      <c r="AN195" s="2418"/>
      <c r="AO195" s="2418"/>
      <c r="AP195" s="2416"/>
      <c r="AQ195" s="2418"/>
      <c r="AR195" s="2439"/>
      <c r="AS195" s="2418"/>
      <c r="AT195" s="2418"/>
      <c r="AU195" s="2416"/>
      <c r="AV195" s="2418"/>
      <c r="AW195" s="2439"/>
      <c r="AX195" s="2418"/>
      <c r="AY195" s="2418"/>
      <c r="AZ195" s="2416"/>
      <c r="BA195" s="2439"/>
      <c r="BB195" s="2418"/>
      <c r="BC195" s="2418"/>
      <c r="BD195" s="2416"/>
      <c r="BE195" s="2439"/>
      <c r="BF195" s="2418"/>
      <c r="BG195" s="2418"/>
      <c r="BH195" s="2440"/>
      <c r="BI195" s="2416"/>
      <c r="BJ195" s="2439"/>
      <c r="BK195" s="2418"/>
      <c r="BL195" s="2418"/>
      <c r="BM195" s="2440"/>
      <c r="BN195" s="2418"/>
      <c r="BO195" s="2418"/>
      <c r="BP195" s="2416"/>
      <c r="BQ195" s="2418"/>
      <c r="BR195" s="2439"/>
      <c r="BS195" s="2418"/>
      <c r="BT195" s="2418"/>
      <c r="BU195" s="2416"/>
      <c r="BV195" s="2418"/>
      <c r="BW195" s="2418"/>
      <c r="BX195" s="2439"/>
      <c r="BY195" s="2418"/>
      <c r="BZ195" s="2418"/>
      <c r="CA195" s="2418"/>
      <c r="CB195" s="2416"/>
      <c r="CC195" s="2418"/>
      <c r="CD195" s="2439"/>
      <c r="CE195" s="2418"/>
      <c r="CF195" s="2418"/>
      <c r="CG195" s="2416"/>
      <c r="CH195" s="2418"/>
      <c r="CI195" s="2439"/>
      <c r="CJ195" s="2418"/>
      <c r="CK195" s="2418"/>
      <c r="CL195" s="2418"/>
      <c r="CM195" s="2418"/>
      <c r="CN195" s="2416"/>
      <c r="CO195" s="2439"/>
      <c r="CP195" s="2418"/>
      <c r="CQ195" s="2418"/>
      <c r="CR195" s="2416"/>
      <c r="CS195" s="2418"/>
      <c r="CT195" s="2439"/>
      <c r="CU195" s="2418"/>
      <c r="CV195" s="2418"/>
      <c r="CW195" s="2416"/>
      <c r="CX195" s="2418"/>
      <c r="CY195" s="2439"/>
      <c r="CZ195" s="2418"/>
      <c r="DA195" s="2416"/>
      <c r="DB195" s="2418"/>
      <c r="DC195" s="2439"/>
      <c r="DD195" s="2418"/>
      <c r="DE195" s="2417"/>
    </row>
    <row r="196" spans="1:109" ht="12.75" customHeight="1" thickBot="1" x14ac:dyDescent="0.25">
      <c r="A196" s="1916">
        <v>196</v>
      </c>
      <c r="B196" s="5148"/>
      <c r="F196" s="2437">
        <v>56</v>
      </c>
      <c r="G196" s="1678"/>
      <c r="H196" s="2419"/>
      <c r="I196" s="2419"/>
      <c r="J196" s="2419"/>
      <c r="K196" s="2419"/>
      <c r="L196" s="2419"/>
      <c r="M196" s="2419"/>
      <c r="N196" s="2419"/>
      <c r="O196" s="2419"/>
      <c r="P196" s="2419"/>
      <c r="Q196" s="2419"/>
      <c r="R196" s="2419"/>
      <c r="S196" s="2419"/>
      <c r="T196" s="2419"/>
      <c r="U196" s="2419"/>
      <c r="V196" s="2419"/>
      <c r="W196" s="2419"/>
      <c r="X196" s="2419"/>
      <c r="Y196" s="2419"/>
      <c r="Z196" s="2419"/>
      <c r="AA196" s="2419"/>
      <c r="AB196" s="2475"/>
      <c r="AC196" s="2419"/>
      <c r="AD196" s="2419"/>
      <c r="AE196" s="2419"/>
      <c r="AF196" s="2419"/>
      <c r="AG196" s="2419"/>
      <c r="AH196" s="2419" t="s">
        <v>7864</v>
      </c>
      <c r="AI196" s="2419"/>
      <c r="AJ196" s="2419"/>
      <c r="AK196" s="2419"/>
      <c r="AL196" s="2419"/>
      <c r="AM196" s="2419"/>
      <c r="AN196" s="2419"/>
      <c r="AO196" s="2419"/>
      <c r="AP196" s="2419"/>
      <c r="AQ196" s="2419"/>
      <c r="AR196" s="2419"/>
      <c r="AS196" s="2419"/>
      <c r="AT196" s="2419"/>
      <c r="AU196" s="2419"/>
      <c r="AV196" s="2419"/>
      <c r="AW196" s="2419"/>
      <c r="AX196" s="2419"/>
      <c r="AY196" s="2419"/>
      <c r="AZ196" s="2419"/>
      <c r="BA196" s="2419"/>
      <c r="BB196" s="2419"/>
      <c r="BC196" s="2419"/>
      <c r="BD196" s="2419"/>
      <c r="BE196" s="2419"/>
      <c r="BF196" s="2419"/>
      <c r="BG196" s="2419"/>
      <c r="BH196" s="2419"/>
      <c r="BI196" s="2419"/>
      <c r="BJ196" s="2419"/>
      <c r="BK196" s="2419"/>
      <c r="BL196" s="2419"/>
      <c r="BM196" s="2419"/>
      <c r="BN196" s="2419"/>
      <c r="BO196" s="2419"/>
      <c r="BP196" s="2419"/>
      <c r="BQ196" s="2419"/>
      <c r="BR196" s="2419"/>
      <c r="BS196" s="2419"/>
      <c r="BT196" s="2419"/>
      <c r="BU196" s="2419"/>
      <c r="BV196" s="2419"/>
      <c r="BW196" s="2419"/>
      <c r="BX196" s="2419"/>
      <c r="BY196" s="2419"/>
      <c r="BZ196" s="2419"/>
      <c r="CA196" s="2419"/>
      <c r="CB196" s="2419"/>
      <c r="CC196" s="2419"/>
      <c r="CD196" s="2419"/>
      <c r="CE196" s="2419"/>
      <c r="CF196" s="2419"/>
      <c r="CG196" s="2419"/>
      <c r="CH196" s="2419"/>
      <c r="CI196" s="2419"/>
      <c r="CJ196" s="2419"/>
      <c r="CK196" s="2419"/>
      <c r="CL196" s="2419"/>
      <c r="CM196" s="2419"/>
      <c r="CN196" s="2419"/>
      <c r="CO196" s="2419"/>
      <c r="CP196" s="2419"/>
      <c r="CQ196" s="2419"/>
      <c r="CR196" s="2419"/>
      <c r="CS196" s="2419"/>
      <c r="CT196" s="2419"/>
      <c r="CU196" s="2419"/>
      <c r="CV196" s="2419"/>
      <c r="CW196" s="2419"/>
      <c r="CX196" s="2419"/>
      <c r="CY196" s="2419"/>
      <c r="CZ196" s="2419"/>
      <c r="DA196" s="2419"/>
      <c r="DB196" s="2419"/>
      <c r="DC196" s="2419"/>
      <c r="DD196" s="2419"/>
      <c r="DE196" s="2441"/>
    </row>
    <row r="197" spans="1:109" ht="12.75" customHeight="1" thickBot="1" x14ac:dyDescent="0.25">
      <c r="A197" s="1916">
        <v>197</v>
      </c>
      <c r="B197" s="5148"/>
      <c r="H197" s="363"/>
      <c r="N197" s="363"/>
    </row>
    <row r="198" spans="1:109" ht="12.75" customHeight="1" thickBot="1" x14ac:dyDescent="0.25">
      <c r="A198" s="1916">
        <v>198</v>
      </c>
      <c r="B198" s="5148"/>
      <c r="C198" s="5206" t="s">
        <v>2386</v>
      </c>
      <c r="D198" s="5206"/>
      <c r="E198" s="5206"/>
      <c r="F198" s="5206"/>
      <c r="G198" s="5206"/>
      <c r="H198" s="5206"/>
      <c r="I198" s="5206"/>
      <c r="J198" s="5206"/>
      <c r="K198" s="5206"/>
      <c r="L198" s="5206"/>
      <c r="M198" s="5206"/>
      <c r="N198" s="5206"/>
      <c r="O198" s="5206"/>
      <c r="P198" s="5206"/>
      <c r="Q198" s="5206"/>
      <c r="R198" s="5206"/>
      <c r="S198" s="5206"/>
      <c r="T198" s="5206"/>
      <c r="U198" s="5206"/>
      <c r="V198" s="5206"/>
      <c r="W198" s="5206"/>
      <c r="X198" s="5206"/>
      <c r="Y198" s="5206"/>
      <c r="Z198" s="5206"/>
      <c r="AA198" s="5206"/>
      <c r="AB198" s="5206"/>
      <c r="AC198" s="5206"/>
      <c r="AD198" s="5206"/>
      <c r="AE198" s="5206"/>
      <c r="AF198" s="5206"/>
      <c r="AG198" s="5206"/>
      <c r="AH198" s="5206"/>
      <c r="AI198" s="5206"/>
      <c r="AJ198" s="5206"/>
      <c r="AK198" s="5206"/>
      <c r="AL198" s="5206"/>
      <c r="AM198" s="5206"/>
      <c r="AN198" s="5206"/>
      <c r="AO198" s="5206"/>
      <c r="AP198" s="5206"/>
      <c r="AQ198" s="5206"/>
      <c r="AR198" s="5206"/>
      <c r="AS198" s="5206"/>
      <c r="AT198" s="5206"/>
      <c r="AU198" s="5206"/>
      <c r="AV198" s="5206"/>
      <c r="AW198" s="5206"/>
      <c r="AX198" s="5206"/>
      <c r="AY198" s="5206"/>
      <c r="AZ198" s="5206"/>
      <c r="BA198" s="5206"/>
      <c r="BB198" s="5206"/>
      <c r="BC198" s="5206"/>
      <c r="BD198" s="5206"/>
      <c r="BE198" s="5206"/>
      <c r="BF198" s="5206"/>
      <c r="BG198" s="5206"/>
      <c r="BH198" s="5206"/>
      <c r="BI198" s="5206"/>
      <c r="BJ198" s="5206"/>
      <c r="BK198" s="5206"/>
      <c r="BL198" s="5206"/>
      <c r="BM198" s="5206"/>
      <c r="BN198" s="5206"/>
      <c r="BO198" s="5206"/>
      <c r="BP198" s="5206"/>
      <c r="BQ198" s="5206"/>
      <c r="BR198" s="5206"/>
      <c r="BS198" s="5206"/>
      <c r="BT198" s="5206"/>
      <c r="BU198" s="5206"/>
      <c r="BV198" s="5206"/>
      <c r="BW198" s="5206"/>
      <c r="BX198" s="5206"/>
      <c r="BY198" s="5206"/>
      <c r="BZ198" s="5206"/>
      <c r="CA198" s="5206"/>
      <c r="CB198" s="5206"/>
      <c r="CC198" s="5206"/>
      <c r="CD198" s="5206"/>
      <c r="CE198" s="5206"/>
      <c r="CF198" s="5206"/>
      <c r="CG198" s="5206"/>
      <c r="CH198" s="5206"/>
      <c r="CI198" s="5206"/>
    </row>
    <row r="199" spans="1:109" ht="12.75" customHeight="1" x14ac:dyDescent="0.2">
      <c r="A199" s="1916">
        <v>199</v>
      </c>
      <c r="B199" s="5148"/>
      <c r="C199" s="5206"/>
      <c r="D199" s="5206"/>
      <c r="E199" s="5206"/>
      <c r="F199" s="5206"/>
      <c r="G199" s="5206"/>
      <c r="H199" s="5206"/>
      <c r="I199" s="5206"/>
      <c r="J199" s="5206"/>
      <c r="K199" s="5206"/>
      <c r="L199" s="5206"/>
      <c r="M199" s="5206"/>
      <c r="N199" s="5206"/>
      <c r="O199" s="5206"/>
      <c r="P199" s="5206"/>
      <c r="Q199" s="5206"/>
      <c r="R199" s="5206"/>
      <c r="S199" s="5206"/>
      <c r="T199" s="5206"/>
      <c r="U199" s="5206"/>
      <c r="V199" s="5206"/>
      <c r="W199" s="5206"/>
      <c r="X199" s="5206"/>
      <c r="Y199" s="5206"/>
      <c r="Z199" s="5206"/>
      <c r="AA199" s="5206"/>
      <c r="AB199" s="5206"/>
      <c r="AC199" s="5206"/>
      <c r="AD199" s="5206"/>
      <c r="AE199" s="5206"/>
      <c r="AF199" s="5206"/>
      <c r="AG199" s="5206"/>
      <c r="AH199" s="5206"/>
      <c r="AI199" s="5206"/>
      <c r="AJ199" s="5206"/>
      <c r="AK199" s="5206"/>
      <c r="AL199" s="5206"/>
      <c r="AM199" s="5206"/>
      <c r="AN199" s="5206"/>
      <c r="AO199" s="5206"/>
      <c r="AP199" s="5206"/>
      <c r="AQ199" s="5206"/>
      <c r="AR199" s="5206"/>
      <c r="AS199" s="5206"/>
      <c r="AT199" s="5206"/>
      <c r="AU199" s="5206"/>
      <c r="AV199" s="5206"/>
      <c r="AW199" s="5206"/>
      <c r="AX199" s="5206"/>
      <c r="AY199" s="5206"/>
      <c r="AZ199" s="5206"/>
      <c r="BA199" s="5206"/>
      <c r="BB199" s="5206"/>
      <c r="BC199" s="5206"/>
      <c r="BD199" s="5206"/>
      <c r="BE199" s="5206"/>
      <c r="BF199" s="5206"/>
      <c r="BG199" s="5206"/>
      <c r="BH199" s="5206"/>
      <c r="BI199" s="5206"/>
      <c r="BJ199" s="5206"/>
      <c r="BK199" s="5206"/>
      <c r="BL199" s="5206"/>
      <c r="BM199" s="5206"/>
      <c r="BN199" s="5206"/>
      <c r="BO199" s="5206"/>
      <c r="BP199" s="5206"/>
      <c r="BQ199" s="5206"/>
      <c r="BR199" s="5206"/>
      <c r="BS199" s="5206"/>
      <c r="BT199" s="5206"/>
      <c r="BU199" s="5206"/>
      <c r="BV199" s="5206"/>
      <c r="BW199" s="5206"/>
      <c r="BX199" s="5206"/>
      <c r="BY199" s="5206"/>
      <c r="BZ199" s="5206"/>
      <c r="CA199" s="5206"/>
      <c r="CB199" s="5206"/>
      <c r="CC199" s="5206"/>
      <c r="CD199" s="5206"/>
      <c r="CE199" s="5206"/>
      <c r="CF199" s="5206"/>
      <c r="CG199" s="5206"/>
      <c r="CH199" s="5206"/>
      <c r="CI199" s="5206"/>
    </row>
    <row r="200" spans="1:109" ht="12.75" customHeight="1" x14ac:dyDescent="0.2">
      <c r="A200" s="1916">
        <v>200</v>
      </c>
      <c r="B200" s="5148"/>
      <c r="C200" s="364"/>
      <c r="D200" s="365">
        <v>1</v>
      </c>
      <c r="E200" s="365">
        <v>2</v>
      </c>
      <c r="F200" s="365">
        <v>3</v>
      </c>
      <c r="G200" s="365">
        <v>4</v>
      </c>
      <c r="H200" s="365">
        <v>5</v>
      </c>
      <c r="I200" s="1736">
        <v>6</v>
      </c>
      <c r="J200" s="365">
        <v>7</v>
      </c>
      <c r="K200" s="365">
        <v>8</v>
      </c>
      <c r="L200" s="365">
        <v>9</v>
      </c>
      <c r="M200" s="365">
        <v>10</v>
      </c>
      <c r="N200" s="365">
        <v>11</v>
      </c>
      <c r="O200" s="1736">
        <v>12</v>
      </c>
      <c r="P200" s="365">
        <v>13</v>
      </c>
      <c r="Q200" s="365">
        <v>14</v>
      </c>
      <c r="R200" s="365">
        <v>15</v>
      </c>
      <c r="S200" s="365">
        <v>16</v>
      </c>
      <c r="T200" s="365">
        <v>17</v>
      </c>
      <c r="U200" s="365">
        <v>18</v>
      </c>
      <c r="V200" s="365">
        <v>19</v>
      </c>
      <c r="W200" s="365">
        <v>20</v>
      </c>
      <c r="X200" s="365">
        <v>21</v>
      </c>
      <c r="Y200" s="365">
        <v>22</v>
      </c>
      <c r="Z200" s="365">
        <v>23</v>
      </c>
      <c r="AA200" s="365">
        <v>24</v>
      </c>
      <c r="AB200" s="2466">
        <v>25</v>
      </c>
      <c r="AC200" s="365">
        <v>26</v>
      </c>
      <c r="AD200" s="365">
        <v>27</v>
      </c>
      <c r="AE200" s="365">
        <v>28</v>
      </c>
      <c r="AF200" s="365">
        <v>29</v>
      </c>
      <c r="AG200" s="365">
        <v>30</v>
      </c>
      <c r="AH200" s="365">
        <v>31</v>
      </c>
      <c r="AI200" s="365">
        <v>32</v>
      </c>
      <c r="AJ200" s="365">
        <v>33</v>
      </c>
      <c r="AK200" s="365">
        <v>34</v>
      </c>
      <c r="AL200" s="365">
        <v>35</v>
      </c>
      <c r="AM200" s="365">
        <v>36</v>
      </c>
      <c r="AN200" s="365">
        <v>37</v>
      </c>
      <c r="AO200" s="365">
        <v>38</v>
      </c>
      <c r="AP200" s="365">
        <v>39</v>
      </c>
      <c r="AQ200" s="365">
        <v>40</v>
      </c>
      <c r="AR200" s="365">
        <v>41</v>
      </c>
      <c r="AS200" s="365">
        <v>42</v>
      </c>
      <c r="AT200" s="365">
        <v>43</v>
      </c>
      <c r="AU200" s="365">
        <v>44</v>
      </c>
      <c r="AV200" s="365">
        <v>45</v>
      </c>
      <c r="AW200" s="365">
        <v>46</v>
      </c>
      <c r="AX200" s="365">
        <v>47</v>
      </c>
      <c r="AY200" s="365">
        <v>48</v>
      </c>
      <c r="AZ200" s="365">
        <v>49</v>
      </c>
      <c r="BA200" s="365">
        <v>50</v>
      </c>
      <c r="BB200" s="365">
        <v>51</v>
      </c>
      <c r="BC200" s="365">
        <v>52</v>
      </c>
      <c r="BD200" s="365">
        <v>53</v>
      </c>
      <c r="BE200" s="365">
        <v>54</v>
      </c>
      <c r="BF200" s="365">
        <v>55</v>
      </c>
      <c r="BG200" s="365">
        <v>56</v>
      </c>
      <c r="BH200" s="365">
        <v>57</v>
      </c>
      <c r="BI200" s="365">
        <v>58</v>
      </c>
      <c r="BJ200" s="365">
        <v>59</v>
      </c>
      <c r="BK200" s="365">
        <v>60</v>
      </c>
      <c r="BL200" s="365">
        <v>61</v>
      </c>
      <c r="BM200" s="365">
        <v>62</v>
      </c>
      <c r="BN200" s="365">
        <v>63</v>
      </c>
      <c r="BO200" s="365">
        <v>64</v>
      </c>
      <c r="BP200" s="365">
        <v>65</v>
      </c>
      <c r="BQ200" s="365">
        <v>66</v>
      </c>
      <c r="BR200" s="365">
        <v>67</v>
      </c>
      <c r="BS200" s="365">
        <v>68</v>
      </c>
      <c r="BT200" s="365">
        <v>69</v>
      </c>
      <c r="BU200" s="365">
        <v>70</v>
      </c>
      <c r="BV200" s="365">
        <v>71</v>
      </c>
      <c r="BW200" s="365">
        <v>72</v>
      </c>
      <c r="BX200" s="365">
        <v>73</v>
      </c>
      <c r="BY200" s="365">
        <v>74</v>
      </c>
      <c r="BZ200" s="365">
        <v>75</v>
      </c>
      <c r="CA200" s="365">
        <v>76</v>
      </c>
      <c r="CB200" s="365">
        <v>77</v>
      </c>
      <c r="CC200" s="365">
        <v>78</v>
      </c>
      <c r="CD200" s="365">
        <v>79</v>
      </c>
      <c r="CE200" s="365">
        <v>80</v>
      </c>
      <c r="CF200" s="365">
        <v>81</v>
      </c>
      <c r="CG200" s="365">
        <v>82</v>
      </c>
      <c r="CH200" s="365">
        <v>83</v>
      </c>
      <c r="CI200" s="397"/>
    </row>
    <row r="201" spans="1:109" ht="12.75" customHeight="1" thickBot="1" x14ac:dyDescent="0.25">
      <c r="A201" s="1916">
        <v>201</v>
      </c>
      <c r="B201" s="5148"/>
      <c r="C201" s="398" t="s">
        <v>1712</v>
      </c>
      <c r="D201" s="399" t="s">
        <v>1800</v>
      </c>
      <c r="E201" s="399" t="s">
        <v>1702</v>
      </c>
      <c r="F201" s="399" t="s">
        <v>8552</v>
      </c>
      <c r="G201" s="399" t="s">
        <v>2387</v>
      </c>
      <c r="H201" s="399" t="s">
        <v>1812</v>
      </c>
      <c r="I201" s="1722" t="s">
        <v>2388</v>
      </c>
      <c r="J201" s="399" t="s">
        <v>2389</v>
      </c>
      <c r="K201" s="399" t="s">
        <v>2390</v>
      </c>
      <c r="L201" s="399" t="s">
        <v>1833</v>
      </c>
      <c r="M201" s="399" t="str">
        <f>PDs!E22</f>
        <v>H. Ataque</v>
      </c>
      <c r="N201" s="399" t="s">
        <v>1805</v>
      </c>
      <c r="O201" s="2000" t="s">
        <v>1806</v>
      </c>
      <c r="P201" s="399" t="s">
        <v>1807</v>
      </c>
      <c r="Q201" s="399" t="s">
        <v>1820</v>
      </c>
      <c r="R201" s="2396" t="str">
        <f>"Coste"&amp;PDs!$E$22</f>
        <v>CosteH. Ataque</v>
      </c>
      <c r="S201" s="2396" t="str">
        <f>"Coste"&amp;PDs!$E$23</f>
        <v>CosteH. Parada</v>
      </c>
      <c r="T201" s="2396" t="str">
        <f>"Coste"&amp;PDs!$E$24</f>
        <v>CosteH. Esquiva</v>
      </c>
      <c r="U201" s="2396" t="str">
        <f>"Coste"&amp;PDs!$E$25</f>
        <v>CosteLlevar Armadura</v>
      </c>
      <c r="V201" s="2396" t="s">
        <v>2391</v>
      </c>
      <c r="W201" s="2396" t="s">
        <v>8835</v>
      </c>
      <c r="X201" s="2396" t="str">
        <f>"Coste"&amp;PDs!$E$90</f>
        <v>CosteZeón</v>
      </c>
      <c r="Y201" s="2396" t="s">
        <v>8553</v>
      </c>
      <c r="Z201" s="2396" t="str">
        <f>"Coste"&amp;PDs!$E$93</f>
        <v>CosteProyección Mágica</v>
      </c>
      <c r="AA201" s="2396" t="s">
        <v>2392</v>
      </c>
      <c r="AB201" s="2396" t="str">
        <f>"Coste"&amp;PDs!$E$96</f>
        <v>CosteControlar</v>
      </c>
      <c r="AC201" s="2396" t="s">
        <v>2393</v>
      </c>
      <c r="AD201" s="2396" t="s">
        <v>8836</v>
      </c>
      <c r="AE201" s="2396" t="s">
        <v>2394</v>
      </c>
      <c r="AF201" s="2396" t="str">
        <f>"Coste"&amp;PDs!$E$109</f>
        <v>CosteProyección psíquica</v>
      </c>
      <c r="AG201" s="2396" t="str">
        <f>"Coste"&amp;PDs!D126</f>
        <v>CosteAtléticas</v>
      </c>
      <c r="AH201" s="2396" t="s">
        <v>2395</v>
      </c>
      <c r="AI201" s="2396" t="s">
        <v>10064</v>
      </c>
      <c r="AJ201" s="2396" t="str">
        <f>"Coste"&amp;PDs!$D$143</f>
        <v>CosteIntelectuales</v>
      </c>
      <c r="AK201" s="2396" t="s">
        <v>2396</v>
      </c>
      <c r="AL201" s="2396" t="s">
        <v>8837</v>
      </c>
      <c r="AM201" s="2396" t="s">
        <v>8838</v>
      </c>
      <c r="AN201" s="2396" t="str">
        <f>"Coste"&amp;PDs!E156</f>
        <v>CosteP. Fuerza</v>
      </c>
      <c r="AO201" s="2396" t="str">
        <f>"Coste"&amp;PDs!E157</f>
        <v>CosteRes. Dolor</v>
      </c>
      <c r="AP201" s="2396" t="s">
        <v>2397</v>
      </c>
      <c r="AQ201" s="2396" t="str">
        <f>"Coste"&amp;PDs!E163</f>
        <v>CosteTrampería</v>
      </c>
      <c r="AR201" s="2396" t="str">
        <f>"Coste"&amp;PDs!E146</f>
        <v>CosteHerbolaria</v>
      </c>
      <c r="AS201" s="2396" t="s">
        <v>2398</v>
      </c>
      <c r="AT201" s="2396" t="s">
        <v>2399</v>
      </c>
      <c r="AU201" s="2396" t="str">
        <f>"Coste"&amp;PDs!E153</f>
        <v>CosteTasación</v>
      </c>
      <c r="AV201" s="2396" t="s">
        <v>2400</v>
      </c>
      <c r="AW201" s="2396" t="s">
        <v>2401</v>
      </c>
      <c r="AX201" s="2396" t="str">
        <f>"Coste"&amp;PDs!E154</f>
        <v>CosteV. Mágica</v>
      </c>
      <c r="AY201" s="2396" t="str">
        <f>"Coste"&amp;PDs!E172</f>
        <v>CosteT. Manos</v>
      </c>
      <c r="AZ201" s="2396" t="str">
        <f>"Coste"&amp;PDs!E136</f>
        <v>CostePersuasión</v>
      </c>
      <c r="BA201" s="2396" t="s">
        <v>2402</v>
      </c>
      <c r="BB201" s="399" t="str">
        <f>PDs!E156</f>
        <v>P. Fuerza</v>
      </c>
      <c r="BC201" s="399" t="str">
        <f>PDs!E126</f>
        <v>Acrobacias</v>
      </c>
      <c r="BD201" s="399" t="s">
        <v>1729</v>
      </c>
      <c r="BE201" s="399" t="s">
        <v>1716</v>
      </c>
      <c r="BF201" s="399" t="str">
        <f>PDs!E172</f>
        <v>T. Manos</v>
      </c>
      <c r="BG201" s="399" t="s">
        <v>1733</v>
      </c>
      <c r="BH201" s="399" t="s">
        <v>1738</v>
      </c>
      <c r="BI201" s="2062" t="str">
        <f>PDs!E157</f>
        <v>Res. Dolor</v>
      </c>
      <c r="BJ201" s="399" t="s">
        <v>1735</v>
      </c>
      <c r="BK201" s="399" t="s">
        <v>1760</v>
      </c>
      <c r="BL201" s="399" t="s">
        <v>1740</v>
      </c>
      <c r="BM201" s="399" t="s">
        <v>1829</v>
      </c>
      <c r="BN201" s="399" t="s">
        <v>8551</v>
      </c>
      <c r="BO201" s="399" t="s">
        <v>1742</v>
      </c>
      <c r="BP201" s="399" t="s">
        <v>1743</v>
      </c>
      <c r="BQ201" s="399" t="s">
        <v>1744</v>
      </c>
      <c r="BR201" s="399" t="s">
        <v>1778</v>
      </c>
      <c r="BS201" s="399" t="s">
        <v>1746</v>
      </c>
      <c r="BT201" s="399" t="s">
        <v>1748</v>
      </c>
      <c r="BU201" s="399" t="s">
        <v>1772</v>
      </c>
      <c r="BV201" s="399" t="s">
        <v>1776</v>
      </c>
      <c r="BW201" s="399" t="s">
        <v>1774</v>
      </c>
      <c r="BX201" s="399" t="s">
        <v>1779</v>
      </c>
      <c r="BY201" s="399" t="s">
        <v>1756</v>
      </c>
      <c r="BZ201" s="399" t="s">
        <v>1758</v>
      </c>
      <c r="CA201" s="399" t="s">
        <v>1770</v>
      </c>
      <c r="CB201" s="399" t="s">
        <v>1826</v>
      </c>
      <c r="CC201" s="399" t="s">
        <v>651</v>
      </c>
      <c r="CD201" s="399" t="str">
        <f>Ki!C35</f>
        <v>Detección Ki</v>
      </c>
      <c r="CE201" s="399" t="str">
        <f>Ki!C36</f>
        <v>Ocultación Ki</v>
      </c>
      <c r="CF201" s="399" t="s">
        <v>2403</v>
      </c>
      <c r="CG201" s="399" t="s">
        <v>2404</v>
      </c>
      <c r="CH201" s="399" t="s">
        <v>2405</v>
      </c>
      <c r="CI201" s="400"/>
      <c r="CJ201" s="2361"/>
      <c r="CK201" s="2361"/>
      <c r="CL201" s="2361"/>
      <c r="CM201" s="2361"/>
      <c r="CN201" s="2361"/>
      <c r="CO201" s="2361"/>
      <c r="CP201" s="2361"/>
      <c r="CQ201" s="2361"/>
      <c r="CR201" s="2361"/>
      <c r="CS201" s="2361"/>
      <c r="CT201" s="2361"/>
      <c r="CU201" s="2361"/>
      <c r="CV201" s="2361"/>
      <c r="CW201" s="2361"/>
      <c r="CX201" s="2361"/>
      <c r="CY201" s="2361"/>
      <c r="CZ201" s="2361"/>
      <c r="DA201" s="2361"/>
      <c r="DB201" s="2361"/>
      <c r="DC201" s="2361"/>
      <c r="DD201" s="2361"/>
      <c r="DE201" s="2361"/>
    </row>
    <row r="202" spans="1:109" ht="12.75" customHeight="1" x14ac:dyDescent="0.2">
      <c r="A202" s="1916">
        <v>202</v>
      </c>
      <c r="B202" s="5148"/>
      <c r="C202" s="2362">
        <f>IF(ISNA(VLOOKUP(Tablas!$D202,PDs!$P$5:$S$14,4,FALSE)),0,VLOOKUP(Tablas!$D202,PDs!$P$5:$S$14,4,FALSE))</f>
        <v>0</v>
      </c>
      <c r="D202" s="2365" t="s">
        <v>2406</v>
      </c>
      <c r="E202" s="401">
        <v>5</v>
      </c>
      <c r="F202" s="401">
        <v>15</v>
      </c>
      <c r="G202" s="401">
        <v>15</v>
      </c>
      <c r="H202" s="401">
        <v>25</v>
      </c>
      <c r="I202" s="1747">
        <v>0.60000000000000009</v>
      </c>
      <c r="J202" s="402">
        <v>0.5</v>
      </c>
      <c r="K202" s="402">
        <v>0.5</v>
      </c>
      <c r="L202" s="403">
        <f t="shared" ref="L202:L217" si="18">1/3</f>
        <v>0.33333333333333331</v>
      </c>
      <c r="M202" s="404">
        <v>5</v>
      </c>
      <c r="N202" s="404">
        <v>5</v>
      </c>
      <c r="O202" s="2010"/>
      <c r="P202" s="404">
        <v>5</v>
      </c>
      <c r="Q202" s="404"/>
      <c r="R202" s="404">
        <v>2</v>
      </c>
      <c r="S202" s="404">
        <v>2</v>
      </c>
      <c r="T202" s="404">
        <v>2</v>
      </c>
      <c r="U202" s="404">
        <v>2</v>
      </c>
      <c r="V202" s="404">
        <v>2</v>
      </c>
      <c r="W202" s="404">
        <v>20</v>
      </c>
      <c r="X202" s="404">
        <v>3</v>
      </c>
      <c r="Y202" s="404">
        <v>70</v>
      </c>
      <c r="Z202" s="404">
        <v>3</v>
      </c>
      <c r="AA202" s="404">
        <v>3</v>
      </c>
      <c r="AB202" s="404">
        <v>3</v>
      </c>
      <c r="AC202" s="404">
        <v>3</v>
      </c>
      <c r="AD202" s="404">
        <v>3</v>
      </c>
      <c r="AE202" s="404">
        <v>20</v>
      </c>
      <c r="AF202" s="404">
        <v>3</v>
      </c>
      <c r="AG202" s="404">
        <v>2</v>
      </c>
      <c r="AH202" s="404">
        <v>2</v>
      </c>
      <c r="AI202" s="404">
        <v>2</v>
      </c>
      <c r="AJ202" s="404">
        <v>3</v>
      </c>
      <c r="AK202" s="404">
        <v>2</v>
      </c>
      <c r="AL202" s="404">
        <v>2</v>
      </c>
      <c r="AM202" s="404">
        <v>2</v>
      </c>
      <c r="AN202" s="404">
        <v>1</v>
      </c>
      <c r="AO202" s="405">
        <v>3</v>
      </c>
      <c r="AP202" s="405">
        <v>3</v>
      </c>
      <c r="AQ202" s="405">
        <v>3</v>
      </c>
      <c r="AR202" s="405">
        <v>3</v>
      </c>
      <c r="AS202" s="405">
        <v>3</v>
      </c>
      <c r="AT202" s="405">
        <v>3</v>
      </c>
      <c r="AU202" s="405">
        <v>3</v>
      </c>
      <c r="AV202" s="405">
        <v>3</v>
      </c>
      <c r="AW202" s="405">
        <v>3</v>
      </c>
      <c r="AX202" s="405">
        <v>3</v>
      </c>
      <c r="AY202" s="405">
        <v>3</v>
      </c>
      <c r="AZ202" s="405">
        <v>3</v>
      </c>
      <c r="BA202" s="405">
        <v>3</v>
      </c>
      <c r="BB202" s="404">
        <v>5</v>
      </c>
      <c r="BC202" s="405"/>
      <c r="BD202" s="405"/>
      <c r="BE202" s="405"/>
      <c r="BF202" s="405"/>
      <c r="BG202" s="405"/>
      <c r="BH202" s="405"/>
      <c r="BI202" s="405"/>
      <c r="BJ202" s="405"/>
      <c r="BK202" s="405"/>
      <c r="BL202" s="405"/>
      <c r="BM202" s="405"/>
      <c r="BN202" s="405"/>
      <c r="BO202" s="405"/>
      <c r="BP202" s="405"/>
      <c r="BQ202" s="405"/>
      <c r="BR202" s="405"/>
      <c r="BS202" s="405"/>
      <c r="BT202" s="405"/>
      <c r="BU202" s="401"/>
      <c r="BV202" s="401"/>
      <c r="BW202" s="401"/>
      <c r="BX202" s="401"/>
      <c r="BY202" s="401"/>
      <c r="BZ202" s="401"/>
      <c r="CA202" s="401"/>
      <c r="CB202" s="401"/>
      <c r="CC202" s="401"/>
      <c r="CD202" s="401"/>
      <c r="CE202" s="401"/>
      <c r="CF202" s="406" t="s">
        <v>2407</v>
      </c>
      <c r="CG202" s="406" t="s">
        <v>2408</v>
      </c>
      <c r="CH202" s="117" t="str">
        <f>CF202&amp;CG202</f>
        <v>LuchadorSin</v>
      </c>
      <c r="CI202" s="209"/>
    </row>
    <row r="203" spans="1:109" ht="12.75" customHeight="1" x14ac:dyDescent="0.2">
      <c r="A203" s="1916">
        <v>203</v>
      </c>
      <c r="B203" s="5148"/>
      <c r="C203" s="2363">
        <f>IF(ISNA(VLOOKUP(Tablas!$D203,PDs!$P$5:$S$14,4,FALSE)),0,VLOOKUP(Tablas!$D203,PDs!$P$5:$S$14,4,FALSE))</f>
        <v>0</v>
      </c>
      <c r="D203" s="2366" t="s">
        <v>2409</v>
      </c>
      <c r="E203" s="194">
        <v>10</v>
      </c>
      <c r="F203" s="194">
        <v>10</v>
      </c>
      <c r="G203" s="194">
        <v>20</v>
      </c>
      <c r="H203" s="194">
        <v>25</v>
      </c>
      <c r="I203" s="1748">
        <v>0.60000000000000009</v>
      </c>
      <c r="J203" s="407">
        <v>0.5</v>
      </c>
      <c r="K203" s="407">
        <v>0.5</v>
      </c>
      <c r="L203" s="408">
        <f t="shared" si="18"/>
        <v>0.33333333333333331</v>
      </c>
      <c r="M203" s="409">
        <v>5</v>
      </c>
      <c r="N203" s="409"/>
      <c r="O203" s="2011">
        <v>5</v>
      </c>
      <c r="P203" s="410"/>
      <c r="Q203" s="410"/>
      <c r="R203" s="409">
        <v>2</v>
      </c>
      <c r="S203" s="409">
        <v>3</v>
      </c>
      <c r="T203" s="409">
        <v>2</v>
      </c>
      <c r="U203" s="409">
        <v>2</v>
      </c>
      <c r="V203" s="409">
        <v>2</v>
      </c>
      <c r="W203" s="409">
        <v>20</v>
      </c>
      <c r="X203" s="409">
        <v>3</v>
      </c>
      <c r="Y203" s="409">
        <v>70</v>
      </c>
      <c r="Z203" s="409">
        <v>3</v>
      </c>
      <c r="AA203" s="409">
        <v>3</v>
      </c>
      <c r="AB203" s="409">
        <v>3</v>
      </c>
      <c r="AC203" s="409">
        <v>3</v>
      </c>
      <c r="AD203" s="409">
        <v>3</v>
      </c>
      <c r="AE203" s="409">
        <v>20</v>
      </c>
      <c r="AF203" s="409">
        <v>3</v>
      </c>
      <c r="AG203" s="409">
        <v>2</v>
      </c>
      <c r="AH203" s="409">
        <v>2</v>
      </c>
      <c r="AI203" s="409">
        <v>2</v>
      </c>
      <c r="AJ203" s="409">
        <v>3</v>
      </c>
      <c r="AK203" s="409">
        <v>2</v>
      </c>
      <c r="AL203" s="409">
        <v>2</v>
      </c>
      <c r="AM203" s="409">
        <v>2</v>
      </c>
      <c r="AN203" s="410">
        <v>3</v>
      </c>
      <c r="AO203" s="410">
        <v>3</v>
      </c>
      <c r="AP203" s="410">
        <v>3</v>
      </c>
      <c r="AQ203" s="410">
        <v>3</v>
      </c>
      <c r="AR203" s="410">
        <v>3</v>
      </c>
      <c r="AS203" s="410">
        <v>3</v>
      </c>
      <c r="AT203" s="410">
        <v>3</v>
      </c>
      <c r="AU203" s="410">
        <v>3</v>
      </c>
      <c r="AV203" s="410">
        <v>3</v>
      </c>
      <c r="AW203" s="410">
        <v>3</v>
      </c>
      <c r="AX203" s="410">
        <v>3</v>
      </c>
      <c r="AY203" s="410">
        <v>3</v>
      </c>
      <c r="AZ203" s="410">
        <v>3</v>
      </c>
      <c r="BA203" s="410">
        <v>3</v>
      </c>
      <c r="BB203" s="410"/>
      <c r="BC203" s="409">
        <v>10</v>
      </c>
      <c r="BD203" s="409">
        <v>10</v>
      </c>
      <c r="BE203" s="409">
        <v>10</v>
      </c>
      <c r="BF203" s="409">
        <v>10</v>
      </c>
      <c r="BG203" s="409">
        <v>10</v>
      </c>
      <c r="BH203" s="410"/>
      <c r="BI203" s="410"/>
      <c r="BJ203" s="410"/>
      <c r="BK203" s="410"/>
      <c r="BL203" s="410"/>
      <c r="BM203" s="410"/>
      <c r="BN203" s="410"/>
      <c r="BO203" s="410"/>
      <c r="BP203" s="410"/>
      <c r="BQ203" s="410"/>
      <c r="BR203" s="410"/>
      <c r="BS203" s="410"/>
      <c r="BT203" s="410"/>
      <c r="BU203" s="194"/>
      <c r="BV203" s="194"/>
      <c r="BW203" s="194"/>
      <c r="BX203" s="194"/>
      <c r="BY203" s="194"/>
      <c r="BZ203" s="194"/>
      <c r="CA203" s="194"/>
      <c r="CB203" s="194"/>
      <c r="CC203" s="194"/>
      <c r="CD203" s="194"/>
      <c r="CE203" s="194"/>
      <c r="CF203" s="305" t="s">
        <v>2407</v>
      </c>
      <c r="CG203" s="305" t="s">
        <v>2408</v>
      </c>
      <c r="CH203" s="96" t="str">
        <f t="shared" ref="CH203:CH223" si="19">CF203&amp;CG203</f>
        <v>LuchadorSin</v>
      </c>
      <c r="CI203" s="68"/>
    </row>
    <row r="204" spans="1:109" ht="12.75" customHeight="1" x14ac:dyDescent="0.2">
      <c r="A204" s="1916">
        <v>204</v>
      </c>
      <c r="B204" s="5148"/>
      <c r="C204" s="2363">
        <f>IF(ISNA(VLOOKUP(Tablas!$D204,PDs!$P$5:$S$14,4,FALSE)),0,VLOOKUP(Tablas!$D204,PDs!$P$5:$S$14,4,FALSE))</f>
        <v>0</v>
      </c>
      <c r="D204" s="2366" t="s">
        <v>2410</v>
      </c>
      <c r="E204" s="194">
        <v>5</v>
      </c>
      <c r="F204" s="194">
        <v>15</v>
      </c>
      <c r="G204" s="194">
        <v>15</v>
      </c>
      <c r="H204" s="194">
        <v>20</v>
      </c>
      <c r="I204" s="1748">
        <v>0.60000000000000009</v>
      </c>
      <c r="J204" s="407">
        <v>0.5</v>
      </c>
      <c r="K204" s="407">
        <v>0.5</v>
      </c>
      <c r="L204" s="408">
        <f t="shared" si="18"/>
        <v>0.33333333333333331</v>
      </c>
      <c r="M204" s="409"/>
      <c r="N204" s="409">
        <v>5</v>
      </c>
      <c r="O204" s="2011"/>
      <c r="P204" s="409">
        <v>10</v>
      </c>
      <c r="Q204" s="409">
        <v>20</v>
      </c>
      <c r="R204" s="409">
        <v>2</v>
      </c>
      <c r="S204" s="409">
        <v>2</v>
      </c>
      <c r="T204" s="409">
        <v>2</v>
      </c>
      <c r="U204" s="409">
        <v>2</v>
      </c>
      <c r="V204" s="409">
        <v>2</v>
      </c>
      <c r="W204" s="409">
        <v>20</v>
      </c>
      <c r="X204" s="409">
        <v>2</v>
      </c>
      <c r="Y204" s="409">
        <v>60</v>
      </c>
      <c r="Z204" s="409">
        <v>3</v>
      </c>
      <c r="AA204" s="409">
        <v>3</v>
      </c>
      <c r="AB204" s="409">
        <v>3</v>
      </c>
      <c r="AC204" s="409">
        <v>3</v>
      </c>
      <c r="AD204" s="409">
        <v>1</v>
      </c>
      <c r="AE204" s="409">
        <v>20</v>
      </c>
      <c r="AF204" s="409">
        <v>3</v>
      </c>
      <c r="AG204" s="409">
        <v>2</v>
      </c>
      <c r="AH204" s="409">
        <v>1</v>
      </c>
      <c r="AI204" s="409">
        <v>2</v>
      </c>
      <c r="AJ204" s="409">
        <v>2</v>
      </c>
      <c r="AK204" s="409">
        <v>2</v>
      </c>
      <c r="AL204" s="409">
        <v>3</v>
      </c>
      <c r="AM204" s="409">
        <v>2</v>
      </c>
      <c r="AN204" s="410">
        <v>3</v>
      </c>
      <c r="AO204" s="409">
        <v>1</v>
      </c>
      <c r="AP204" s="410">
        <v>3</v>
      </c>
      <c r="AQ204" s="410">
        <v>3</v>
      </c>
      <c r="AR204" s="410">
        <v>3</v>
      </c>
      <c r="AS204" s="410">
        <v>3</v>
      </c>
      <c r="AT204" s="410">
        <v>3</v>
      </c>
      <c r="AU204" s="410">
        <v>3</v>
      </c>
      <c r="AV204" s="410">
        <v>3</v>
      </c>
      <c r="AW204" s="410">
        <v>3</v>
      </c>
      <c r="AX204" s="410">
        <v>3</v>
      </c>
      <c r="AY204" s="410">
        <v>3</v>
      </c>
      <c r="AZ204" s="410">
        <v>3</v>
      </c>
      <c r="BA204" s="410">
        <v>3</v>
      </c>
      <c r="BB204" s="410"/>
      <c r="BC204" s="410"/>
      <c r="BD204" s="410"/>
      <c r="BE204" s="410"/>
      <c r="BF204" s="410"/>
      <c r="BG204" s="410">
        <v>5</v>
      </c>
      <c r="BH204" s="410">
        <v>10</v>
      </c>
      <c r="BI204" s="410">
        <v>10</v>
      </c>
      <c r="BJ204" s="410"/>
      <c r="BK204" s="410"/>
      <c r="BL204" s="410"/>
      <c r="BM204" s="410">
        <v>10</v>
      </c>
      <c r="BN204" s="410"/>
      <c r="BO204" s="410"/>
      <c r="BP204" s="410"/>
      <c r="BQ204" s="410"/>
      <c r="BR204" s="410"/>
      <c r="BS204" s="410"/>
      <c r="BT204" s="410"/>
      <c r="BU204" s="194"/>
      <c r="BV204" s="194"/>
      <c r="BW204" s="194"/>
      <c r="BX204" s="194"/>
      <c r="BY204" s="194"/>
      <c r="BZ204" s="194"/>
      <c r="CA204" s="194"/>
      <c r="CB204" s="194"/>
      <c r="CC204" s="194"/>
      <c r="CD204" s="194"/>
      <c r="CE204" s="194"/>
      <c r="CF204" s="305" t="s">
        <v>2407</v>
      </c>
      <c r="CG204" s="305" t="s">
        <v>2408</v>
      </c>
      <c r="CH204" s="96" t="str">
        <f t="shared" si="19"/>
        <v>LuchadorSin</v>
      </c>
      <c r="CI204" s="68"/>
    </row>
    <row r="205" spans="1:109" ht="12.75" customHeight="1" x14ac:dyDescent="0.2">
      <c r="A205" s="1916">
        <v>205</v>
      </c>
      <c r="B205" s="5148"/>
      <c r="C205" s="2363">
        <f>IF(ISNA(VLOOKUP(Tablas!$D205,PDs!$P$5:$S$14,4,FALSE)),0,VLOOKUP(Tablas!$D205,PDs!$P$5:$S$14,4,FALSE))</f>
        <v>0</v>
      </c>
      <c r="D205" s="2366" t="s">
        <v>2995</v>
      </c>
      <c r="E205" s="194">
        <v>5</v>
      </c>
      <c r="F205" s="194">
        <v>15</v>
      </c>
      <c r="G205" s="194">
        <v>15</v>
      </c>
      <c r="H205" s="194">
        <v>20</v>
      </c>
      <c r="I205" s="1748">
        <v>0.60000000000000009</v>
      </c>
      <c r="J205" s="407">
        <v>0.5</v>
      </c>
      <c r="K205" s="407">
        <v>0.5</v>
      </c>
      <c r="L205" s="408">
        <f t="shared" si="18"/>
        <v>0.33333333333333331</v>
      </c>
      <c r="M205" s="409"/>
      <c r="N205" s="409">
        <v>5</v>
      </c>
      <c r="O205" s="2011"/>
      <c r="P205" s="409">
        <v>10</v>
      </c>
      <c r="Q205" s="409"/>
      <c r="R205" s="409">
        <v>2</v>
      </c>
      <c r="S205" s="409">
        <v>2</v>
      </c>
      <c r="T205" s="409">
        <v>2</v>
      </c>
      <c r="U205" s="409">
        <v>2</v>
      </c>
      <c r="V205" s="409">
        <v>2</v>
      </c>
      <c r="W205" s="409">
        <v>20</v>
      </c>
      <c r="X205" s="409">
        <v>2</v>
      </c>
      <c r="Y205" s="409">
        <v>60</v>
      </c>
      <c r="Z205" s="409">
        <v>3</v>
      </c>
      <c r="AA205" s="409">
        <v>3</v>
      </c>
      <c r="AB205" s="409">
        <v>3</v>
      </c>
      <c r="AC205" s="409">
        <v>3</v>
      </c>
      <c r="AD205" s="409">
        <v>1</v>
      </c>
      <c r="AE205" s="409">
        <v>20</v>
      </c>
      <c r="AF205" s="409">
        <v>3</v>
      </c>
      <c r="AG205" s="409">
        <v>2</v>
      </c>
      <c r="AH205" s="409">
        <v>1</v>
      </c>
      <c r="AI205" s="409">
        <v>2</v>
      </c>
      <c r="AJ205" s="409">
        <v>2</v>
      </c>
      <c r="AK205" s="409">
        <v>2</v>
      </c>
      <c r="AL205" s="409">
        <v>3</v>
      </c>
      <c r="AM205" s="409">
        <v>2</v>
      </c>
      <c r="AN205" s="410">
        <v>3</v>
      </c>
      <c r="AO205" s="409">
        <v>1</v>
      </c>
      <c r="AP205" s="410">
        <v>3</v>
      </c>
      <c r="AQ205" s="410">
        <v>3</v>
      </c>
      <c r="AR205" s="410">
        <v>3</v>
      </c>
      <c r="AS205" s="410">
        <v>3</v>
      </c>
      <c r="AT205" s="410">
        <v>3</v>
      </c>
      <c r="AU205" s="410">
        <v>3</v>
      </c>
      <c r="AV205" s="410">
        <v>3</v>
      </c>
      <c r="AW205" s="410">
        <v>3</v>
      </c>
      <c r="AX205" s="410">
        <v>3</v>
      </c>
      <c r="AY205" s="410">
        <v>3</v>
      </c>
      <c r="AZ205" s="410">
        <v>3</v>
      </c>
      <c r="BA205" s="410">
        <v>3</v>
      </c>
      <c r="BB205" s="410"/>
      <c r="BC205" s="410"/>
      <c r="BD205" s="410"/>
      <c r="BE205" s="410"/>
      <c r="BF205" s="410"/>
      <c r="BG205" s="410">
        <v>5</v>
      </c>
      <c r="BH205" s="410">
        <v>10</v>
      </c>
      <c r="BI205" s="410">
        <v>10</v>
      </c>
      <c r="BJ205" s="410"/>
      <c r="BK205" s="410">
        <v>10</v>
      </c>
      <c r="BL205" s="410"/>
      <c r="BM205" s="410"/>
      <c r="BN205" s="410"/>
      <c r="BO205" s="410"/>
      <c r="BP205" s="410"/>
      <c r="BQ205" s="410"/>
      <c r="BR205" s="410"/>
      <c r="BS205" s="410"/>
      <c r="BT205" s="410"/>
      <c r="BU205" s="194"/>
      <c r="BV205" s="194"/>
      <c r="BW205" s="194"/>
      <c r="BX205" s="194"/>
      <c r="BY205" s="194"/>
      <c r="BZ205" s="194"/>
      <c r="CA205" s="194"/>
      <c r="CB205" s="194"/>
      <c r="CC205" s="194"/>
      <c r="CD205" s="194"/>
      <c r="CE205" s="194"/>
      <c r="CF205" s="305" t="s">
        <v>2407</v>
      </c>
      <c r="CG205" s="305" t="s">
        <v>2408</v>
      </c>
      <c r="CH205" s="96" t="str">
        <f t="shared" si="19"/>
        <v>LuchadorSin</v>
      </c>
      <c r="CI205" s="68"/>
    </row>
    <row r="206" spans="1:109" ht="12.75" customHeight="1" x14ac:dyDescent="0.2">
      <c r="A206" s="1916">
        <v>206</v>
      </c>
      <c r="B206" s="5148"/>
      <c r="C206" s="2363">
        <f>IF(ISNA(VLOOKUP(Tablas!$D206,PDs!$P$5:$S$14,4,FALSE)),0,VLOOKUP(Tablas!$D206,PDs!$P$5:$S$14,4,FALSE))</f>
        <v>0</v>
      </c>
      <c r="D206" s="2366" t="s">
        <v>2411</v>
      </c>
      <c r="E206" s="194">
        <v>5</v>
      </c>
      <c r="F206" s="194">
        <v>15</v>
      </c>
      <c r="G206" s="194">
        <v>15</v>
      </c>
      <c r="H206" s="194">
        <v>20</v>
      </c>
      <c r="I206" s="1748">
        <v>0.60000000000000009</v>
      </c>
      <c r="J206" s="407">
        <v>0.5</v>
      </c>
      <c r="K206" s="407">
        <v>0.5</v>
      </c>
      <c r="L206" s="408">
        <f t="shared" si="18"/>
        <v>0.33333333333333331</v>
      </c>
      <c r="M206" s="409">
        <v>5</v>
      </c>
      <c r="N206" s="409"/>
      <c r="O206" s="2011"/>
      <c r="P206" s="409">
        <v>5</v>
      </c>
      <c r="Q206" s="409">
        <v>20</v>
      </c>
      <c r="R206" s="409">
        <v>2</v>
      </c>
      <c r="S206" s="409">
        <v>2</v>
      </c>
      <c r="T206" s="409">
        <v>2</v>
      </c>
      <c r="U206" s="409">
        <v>2</v>
      </c>
      <c r="V206" s="409">
        <v>2</v>
      </c>
      <c r="W206" s="409">
        <v>20</v>
      </c>
      <c r="X206" s="409">
        <v>2</v>
      </c>
      <c r="Y206" s="409">
        <v>60</v>
      </c>
      <c r="Z206" s="409">
        <v>3</v>
      </c>
      <c r="AA206" s="409">
        <v>3</v>
      </c>
      <c r="AB206" s="409">
        <v>1</v>
      </c>
      <c r="AC206" s="409">
        <v>3</v>
      </c>
      <c r="AD206" s="409">
        <v>3</v>
      </c>
      <c r="AE206" s="409">
        <v>20</v>
      </c>
      <c r="AF206" s="409">
        <v>3</v>
      </c>
      <c r="AG206" s="409">
        <v>2</v>
      </c>
      <c r="AH206" s="409">
        <v>1</v>
      </c>
      <c r="AI206" s="409">
        <v>2</v>
      </c>
      <c r="AJ206" s="409">
        <v>2</v>
      </c>
      <c r="AK206" s="409">
        <v>2</v>
      </c>
      <c r="AL206" s="409">
        <v>2</v>
      </c>
      <c r="AM206" s="409">
        <v>2</v>
      </c>
      <c r="AN206" s="410">
        <v>3</v>
      </c>
      <c r="AO206" s="410">
        <v>3</v>
      </c>
      <c r="AP206" s="409">
        <v>1</v>
      </c>
      <c r="AQ206" s="410">
        <v>3</v>
      </c>
      <c r="AR206" s="410">
        <v>3</v>
      </c>
      <c r="AS206" s="410">
        <v>3</v>
      </c>
      <c r="AT206" s="410">
        <v>3</v>
      </c>
      <c r="AU206" s="410">
        <v>3</v>
      </c>
      <c r="AV206" s="410">
        <v>3</v>
      </c>
      <c r="AW206" s="410">
        <v>3</v>
      </c>
      <c r="AX206" s="410">
        <v>3</v>
      </c>
      <c r="AY206" s="410">
        <v>3</v>
      </c>
      <c r="AZ206" s="410">
        <v>3</v>
      </c>
      <c r="BA206" s="410">
        <v>3</v>
      </c>
      <c r="BB206" s="410"/>
      <c r="BC206" s="410"/>
      <c r="BD206" s="410"/>
      <c r="BE206" s="410"/>
      <c r="BF206" s="410"/>
      <c r="BG206" s="410">
        <v>5</v>
      </c>
      <c r="BH206" s="410"/>
      <c r="BI206" s="410"/>
      <c r="BJ206" s="410">
        <v>10</v>
      </c>
      <c r="BK206" s="410">
        <v>10</v>
      </c>
      <c r="BL206" s="410">
        <v>5</v>
      </c>
      <c r="BM206" s="410"/>
      <c r="BN206" s="410">
        <v>10</v>
      </c>
      <c r="BO206" s="410"/>
      <c r="BP206" s="410"/>
      <c r="BQ206" s="410"/>
      <c r="BR206" s="410"/>
      <c r="BS206" s="410"/>
      <c r="BT206" s="410"/>
      <c r="BU206" s="194"/>
      <c r="BV206" s="194"/>
      <c r="BW206" s="194"/>
      <c r="BX206" s="194"/>
      <c r="BY206" s="194"/>
      <c r="BZ206" s="194"/>
      <c r="CA206" s="194"/>
      <c r="CB206" s="194"/>
      <c r="CC206" s="194"/>
      <c r="CD206" s="194"/>
      <c r="CE206" s="194"/>
      <c r="CF206" s="305" t="s">
        <v>2407</v>
      </c>
      <c r="CG206" s="305" t="s">
        <v>2408</v>
      </c>
      <c r="CH206" s="96" t="str">
        <f t="shared" si="19"/>
        <v>LuchadorSin</v>
      </c>
      <c r="CI206" s="68"/>
    </row>
    <row r="207" spans="1:109" ht="12.75" customHeight="1" x14ac:dyDescent="0.2">
      <c r="A207" s="1916">
        <v>207</v>
      </c>
      <c r="B207" s="5148"/>
      <c r="C207" s="2363">
        <f>IF(ISNA(VLOOKUP(Tablas!$D207,PDs!$P$5:$S$14,4,FALSE)),0,VLOOKUP(Tablas!$D207,PDs!$P$5:$S$14,4,FALSE))</f>
        <v>0</v>
      </c>
      <c r="D207" s="2366" t="s">
        <v>2994</v>
      </c>
      <c r="E207" s="194">
        <v>5</v>
      </c>
      <c r="F207" s="194">
        <v>15</v>
      </c>
      <c r="G207" s="194">
        <v>15</v>
      </c>
      <c r="H207" s="194">
        <v>20</v>
      </c>
      <c r="I207" s="1748">
        <v>0.60000000000000009</v>
      </c>
      <c r="J207" s="407">
        <v>0.5</v>
      </c>
      <c r="K207" s="407">
        <v>0.5</v>
      </c>
      <c r="L207" s="408">
        <f t="shared" si="18"/>
        <v>0.33333333333333331</v>
      </c>
      <c r="M207" s="409">
        <v>5</v>
      </c>
      <c r="N207" s="409"/>
      <c r="O207" s="2011"/>
      <c r="P207" s="409">
        <v>5</v>
      </c>
      <c r="Q207" s="409"/>
      <c r="R207" s="409">
        <v>2</v>
      </c>
      <c r="S207" s="409">
        <v>2</v>
      </c>
      <c r="T207" s="409">
        <v>2</v>
      </c>
      <c r="U207" s="409">
        <v>2</v>
      </c>
      <c r="V207" s="409">
        <v>2</v>
      </c>
      <c r="W207" s="409">
        <v>20</v>
      </c>
      <c r="X207" s="409">
        <v>2</v>
      </c>
      <c r="Y207" s="409">
        <v>60</v>
      </c>
      <c r="Z207" s="409">
        <v>3</v>
      </c>
      <c r="AA207" s="409">
        <v>3</v>
      </c>
      <c r="AB207" s="409">
        <v>1</v>
      </c>
      <c r="AC207" s="409">
        <v>3</v>
      </c>
      <c r="AD207" s="409">
        <v>3</v>
      </c>
      <c r="AE207" s="409">
        <v>20</v>
      </c>
      <c r="AF207" s="409">
        <v>3</v>
      </c>
      <c r="AG207" s="409">
        <v>2</v>
      </c>
      <c r="AH207" s="409">
        <v>1</v>
      </c>
      <c r="AI207" s="409">
        <v>2</v>
      </c>
      <c r="AJ207" s="409">
        <v>2</v>
      </c>
      <c r="AK207" s="409">
        <v>2</v>
      </c>
      <c r="AL207" s="409">
        <v>2</v>
      </c>
      <c r="AM207" s="409">
        <v>2</v>
      </c>
      <c r="AN207" s="410">
        <v>3</v>
      </c>
      <c r="AO207" s="410">
        <v>3</v>
      </c>
      <c r="AP207" s="409">
        <v>1</v>
      </c>
      <c r="AQ207" s="410">
        <v>3</v>
      </c>
      <c r="AR207" s="410">
        <v>3</v>
      </c>
      <c r="AS207" s="410">
        <v>3</v>
      </c>
      <c r="AT207" s="410">
        <v>3</v>
      </c>
      <c r="AU207" s="410">
        <v>3</v>
      </c>
      <c r="AV207" s="410">
        <v>3</v>
      </c>
      <c r="AW207" s="410">
        <v>3</v>
      </c>
      <c r="AX207" s="410">
        <v>3</v>
      </c>
      <c r="AY207" s="410">
        <v>3</v>
      </c>
      <c r="AZ207" s="410">
        <v>3</v>
      </c>
      <c r="BA207" s="410">
        <v>3</v>
      </c>
      <c r="BB207" s="410"/>
      <c r="BC207" s="410"/>
      <c r="BD207" s="410"/>
      <c r="BE207" s="410"/>
      <c r="BF207" s="410"/>
      <c r="BG207" s="410">
        <v>5</v>
      </c>
      <c r="BH207" s="410"/>
      <c r="BI207" s="410">
        <v>10</v>
      </c>
      <c r="BJ207" s="410">
        <v>10</v>
      </c>
      <c r="BK207" s="410">
        <v>10</v>
      </c>
      <c r="BL207" s="410">
        <v>5</v>
      </c>
      <c r="BM207" s="410"/>
      <c r="BN207" s="410"/>
      <c r="BO207" s="410"/>
      <c r="BP207" s="410"/>
      <c r="BQ207" s="410"/>
      <c r="BR207" s="410"/>
      <c r="BS207" s="410"/>
      <c r="BT207" s="410"/>
      <c r="BU207" s="194"/>
      <c r="BV207" s="194"/>
      <c r="BW207" s="194"/>
      <c r="BX207" s="194"/>
      <c r="BY207" s="194"/>
      <c r="BZ207" s="194"/>
      <c r="CA207" s="194"/>
      <c r="CB207" s="194"/>
      <c r="CC207" s="194"/>
      <c r="CD207" s="194"/>
      <c r="CE207" s="194"/>
      <c r="CF207" s="305" t="s">
        <v>2407</v>
      </c>
      <c r="CG207" s="305" t="s">
        <v>2408</v>
      </c>
      <c r="CH207" s="96" t="str">
        <f t="shared" si="19"/>
        <v>LuchadorSin</v>
      </c>
      <c r="CI207" s="68"/>
    </row>
    <row r="208" spans="1:109" ht="12.75" customHeight="1" x14ac:dyDescent="0.2">
      <c r="A208" s="1916">
        <v>208</v>
      </c>
      <c r="B208" s="5148"/>
      <c r="C208" s="2363">
        <f>IF(ISNA(VLOOKUP(Tablas!$D208,PDs!$P$5:$S$14,4,FALSE)),0,VLOOKUP(Tablas!$D208,PDs!$P$5:$S$14,4,FALSE))</f>
        <v>0</v>
      </c>
      <c r="D208" s="2366" t="s">
        <v>2412</v>
      </c>
      <c r="E208" s="194">
        <v>5</v>
      </c>
      <c r="F208" s="194">
        <v>20</v>
      </c>
      <c r="G208" s="194">
        <v>10</v>
      </c>
      <c r="H208" s="194">
        <v>10</v>
      </c>
      <c r="I208" s="1748">
        <v>0.60000000000000009</v>
      </c>
      <c r="J208" s="407">
        <v>0.5</v>
      </c>
      <c r="K208" s="407">
        <v>0.5</v>
      </c>
      <c r="L208" s="408">
        <f t="shared" si="18"/>
        <v>0.33333333333333331</v>
      </c>
      <c r="M208" s="409">
        <v>5</v>
      </c>
      <c r="N208" s="409">
        <v>5</v>
      </c>
      <c r="O208" s="2011"/>
      <c r="P208" s="409">
        <v>10</v>
      </c>
      <c r="Q208" s="409"/>
      <c r="R208" s="409">
        <v>2</v>
      </c>
      <c r="S208" s="409">
        <v>2</v>
      </c>
      <c r="T208" s="409">
        <v>2</v>
      </c>
      <c r="U208" s="409">
        <v>1</v>
      </c>
      <c r="V208" s="409">
        <v>3</v>
      </c>
      <c r="W208" s="409">
        <v>30</v>
      </c>
      <c r="X208" s="409">
        <v>3</v>
      </c>
      <c r="Y208" s="409">
        <v>70</v>
      </c>
      <c r="Z208" s="409">
        <v>3</v>
      </c>
      <c r="AA208" s="409">
        <v>3</v>
      </c>
      <c r="AB208" s="409">
        <v>3</v>
      </c>
      <c r="AC208" s="409">
        <v>3</v>
      </c>
      <c r="AD208" s="409">
        <v>3</v>
      </c>
      <c r="AE208" s="409">
        <v>20</v>
      </c>
      <c r="AF208" s="409">
        <v>3</v>
      </c>
      <c r="AG208" s="409">
        <v>2</v>
      </c>
      <c r="AH208" s="409">
        <v>2</v>
      </c>
      <c r="AI208" s="409">
        <v>2</v>
      </c>
      <c r="AJ208" s="409">
        <v>3</v>
      </c>
      <c r="AK208" s="409">
        <v>1</v>
      </c>
      <c r="AL208" s="409">
        <v>3</v>
      </c>
      <c r="AM208" s="409">
        <v>2</v>
      </c>
      <c r="AN208" s="410">
        <v>3</v>
      </c>
      <c r="AO208" s="410">
        <v>3</v>
      </c>
      <c r="AP208" s="410">
        <v>3</v>
      </c>
      <c r="AQ208" s="410">
        <v>3</v>
      </c>
      <c r="AR208" s="410">
        <v>3</v>
      </c>
      <c r="AS208" s="410">
        <v>3</v>
      </c>
      <c r="AT208" s="410">
        <v>3</v>
      </c>
      <c r="AU208" s="410">
        <v>3</v>
      </c>
      <c r="AV208" s="410">
        <v>3</v>
      </c>
      <c r="AW208" s="410">
        <v>3</v>
      </c>
      <c r="AX208" s="410">
        <v>3</v>
      </c>
      <c r="AY208" s="410">
        <v>3</v>
      </c>
      <c r="AZ208" s="410">
        <v>3</v>
      </c>
      <c r="BA208" s="410">
        <v>3</v>
      </c>
      <c r="BB208" s="410">
        <v>5</v>
      </c>
      <c r="BC208" s="410"/>
      <c r="BD208" s="410"/>
      <c r="BE208" s="410"/>
      <c r="BF208" s="410"/>
      <c r="BG208" s="410"/>
      <c r="BH208" s="410"/>
      <c r="BI208" s="410"/>
      <c r="BJ208" s="410"/>
      <c r="BK208" s="410"/>
      <c r="BL208" s="410"/>
      <c r="BM208" s="410"/>
      <c r="BN208" s="410"/>
      <c r="BO208" s="410"/>
      <c r="BP208" s="410"/>
      <c r="BQ208" s="410"/>
      <c r="BR208" s="410"/>
      <c r="BS208" s="410"/>
      <c r="BT208" s="410"/>
      <c r="BU208" s="194"/>
      <c r="BV208" s="194"/>
      <c r="BW208" s="194"/>
      <c r="BX208" s="194"/>
      <c r="BY208" s="194"/>
      <c r="BZ208" s="194"/>
      <c r="CA208" s="194"/>
      <c r="CB208" s="194"/>
      <c r="CC208" s="194"/>
      <c r="CD208" s="194"/>
      <c r="CE208" s="194"/>
      <c r="CF208" s="305" t="s">
        <v>2407</v>
      </c>
      <c r="CG208" s="305" t="s">
        <v>2408</v>
      </c>
      <c r="CH208" s="96" t="str">
        <f t="shared" si="19"/>
        <v>LuchadorSin</v>
      </c>
      <c r="CI208" s="68"/>
    </row>
    <row r="209" spans="1:109" ht="12.75" customHeight="1" x14ac:dyDescent="0.2">
      <c r="A209" s="1916">
        <v>209</v>
      </c>
      <c r="B209" s="5148"/>
      <c r="C209" s="2363">
        <f>IF(ISNA(VLOOKUP(Tablas!$D209,PDs!$P$5:$S$14,4,FALSE)),0,VLOOKUP(Tablas!$D209,PDs!$P$5:$S$14,4,FALSE))</f>
        <v>0</v>
      </c>
      <c r="D209" s="2366" t="s">
        <v>2413</v>
      </c>
      <c r="E209" s="194">
        <v>5</v>
      </c>
      <c r="F209" s="194">
        <v>5</v>
      </c>
      <c r="G209" s="194">
        <v>20</v>
      </c>
      <c r="H209" s="194">
        <v>50</v>
      </c>
      <c r="I209" s="1748">
        <v>0.60000000000000009</v>
      </c>
      <c r="J209" s="407">
        <v>0.5</v>
      </c>
      <c r="K209" s="407">
        <v>0.5</v>
      </c>
      <c r="L209" s="408">
        <f t="shared" si="18"/>
        <v>0.33333333333333331</v>
      </c>
      <c r="M209" s="409">
        <v>5</v>
      </c>
      <c r="N209" s="409"/>
      <c r="O209" s="2011"/>
      <c r="P209" s="409"/>
      <c r="Q209" s="409"/>
      <c r="R209" s="409">
        <v>2</v>
      </c>
      <c r="S209" s="409">
        <v>2</v>
      </c>
      <c r="T209" s="409">
        <v>2</v>
      </c>
      <c r="U209" s="409">
        <v>2</v>
      </c>
      <c r="V209" s="410">
        <v>1</v>
      </c>
      <c r="W209" s="410">
        <v>10</v>
      </c>
      <c r="X209" s="410">
        <v>3</v>
      </c>
      <c r="Y209" s="410">
        <v>70</v>
      </c>
      <c r="Z209" s="410">
        <v>3</v>
      </c>
      <c r="AA209" s="410">
        <v>3</v>
      </c>
      <c r="AB209" s="410">
        <v>3</v>
      </c>
      <c r="AC209" s="410">
        <v>3</v>
      </c>
      <c r="AD209" s="410">
        <v>3</v>
      </c>
      <c r="AE209" s="410">
        <v>20</v>
      </c>
      <c r="AF209" s="410">
        <v>3</v>
      </c>
      <c r="AG209" s="410">
        <v>2</v>
      </c>
      <c r="AH209" s="410">
        <v>2</v>
      </c>
      <c r="AI209" s="410">
        <v>2</v>
      </c>
      <c r="AJ209" s="410">
        <v>3</v>
      </c>
      <c r="AK209" s="410">
        <v>2</v>
      </c>
      <c r="AL209" s="410">
        <v>2</v>
      </c>
      <c r="AM209" s="410">
        <v>2</v>
      </c>
      <c r="AN209" s="410">
        <v>3</v>
      </c>
      <c r="AO209" s="410">
        <v>3</v>
      </c>
      <c r="AP209" s="410">
        <v>3</v>
      </c>
      <c r="AQ209" s="410">
        <v>3</v>
      </c>
      <c r="AR209" s="410">
        <v>3</v>
      </c>
      <c r="AS209" s="410">
        <v>3</v>
      </c>
      <c r="AT209" s="410">
        <v>3</v>
      </c>
      <c r="AU209" s="410">
        <v>3</v>
      </c>
      <c r="AV209" s="410">
        <v>3</v>
      </c>
      <c r="AW209" s="410">
        <v>3</v>
      </c>
      <c r="AX209" s="410">
        <v>3</v>
      </c>
      <c r="AY209" s="410">
        <v>3</v>
      </c>
      <c r="AZ209" s="410">
        <v>3</v>
      </c>
      <c r="BA209" s="410">
        <v>3</v>
      </c>
      <c r="BB209" s="410"/>
      <c r="BC209" s="410"/>
      <c r="BD209" s="410"/>
      <c r="BE209" s="410"/>
      <c r="BF209" s="410"/>
      <c r="BG209" s="410"/>
      <c r="BH209" s="410"/>
      <c r="BI209" s="410"/>
      <c r="BJ209" s="410"/>
      <c r="BK209" s="410"/>
      <c r="BL209" s="410"/>
      <c r="BM209" s="410"/>
      <c r="BN209" s="410"/>
      <c r="BO209" s="410"/>
      <c r="BP209" s="410"/>
      <c r="BQ209" s="410"/>
      <c r="BR209" s="410"/>
      <c r="BS209" s="410"/>
      <c r="BT209" s="410"/>
      <c r="BU209" s="194"/>
      <c r="BV209" s="194"/>
      <c r="BW209" s="194"/>
      <c r="BX209" s="194"/>
      <c r="BY209" s="194"/>
      <c r="BZ209" s="194"/>
      <c r="CA209" s="194"/>
      <c r="CB209" s="194"/>
      <c r="CC209" s="194"/>
      <c r="CD209" s="194"/>
      <c r="CE209" s="194"/>
      <c r="CF209" s="305" t="s">
        <v>2414</v>
      </c>
      <c r="CG209" s="305" t="s">
        <v>2408</v>
      </c>
      <c r="CH209" s="96" t="str">
        <f t="shared" si="19"/>
        <v>DomineSin</v>
      </c>
      <c r="CI209" s="68"/>
    </row>
    <row r="210" spans="1:109" ht="13.5" customHeight="1" x14ac:dyDescent="0.2">
      <c r="A210" s="1916">
        <v>210</v>
      </c>
      <c r="B210" s="5148"/>
      <c r="C210" s="2363">
        <f>IF(ISNA(VLOOKUP(Tablas!$D210,PDs!$P$5:$S$14,4,FALSE)),0,VLOOKUP(Tablas!$D210,PDs!$P$5:$S$14,4,FALSE))</f>
        <v>0</v>
      </c>
      <c r="D210" s="2366" t="s">
        <v>2415</v>
      </c>
      <c r="E210" s="194">
        <v>5</v>
      </c>
      <c r="F210" s="194">
        <v>10</v>
      </c>
      <c r="G210" s="194">
        <v>20</v>
      </c>
      <c r="H210" s="194">
        <v>30</v>
      </c>
      <c r="I210" s="1748">
        <v>0.60000000000000009</v>
      </c>
      <c r="J210" s="407">
        <v>0.5</v>
      </c>
      <c r="K210" s="407">
        <v>0.5</v>
      </c>
      <c r="L210" s="408">
        <f t="shared" si="18"/>
        <v>0.33333333333333331</v>
      </c>
      <c r="M210" s="409"/>
      <c r="N210" s="409"/>
      <c r="O210" s="2011"/>
      <c r="P210" s="409"/>
      <c r="Q210" s="409"/>
      <c r="R210" s="409">
        <v>2</v>
      </c>
      <c r="S210" s="409">
        <v>2</v>
      </c>
      <c r="T210" s="409">
        <v>2</v>
      </c>
      <c r="U210" s="409">
        <v>2</v>
      </c>
      <c r="V210" s="409">
        <v>2</v>
      </c>
      <c r="W210" s="409">
        <v>15</v>
      </c>
      <c r="X210" s="409">
        <v>3</v>
      </c>
      <c r="Y210" s="409">
        <v>70</v>
      </c>
      <c r="Z210" s="409">
        <v>3</v>
      </c>
      <c r="AA210" s="409">
        <v>3</v>
      </c>
      <c r="AB210" s="409">
        <v>3</v>
      </c>
      <c r="AC210" s="409">
        <v>3</v>
      </c>
      <c r="AD210" s="409">
        <v>3</v>
      </c>
      <c r="AE210" s="409">
        <v>20</v>
      </c>
      <c r="AF210" s="409">
        <v>3</v>
      </c>
      <c r="AG210" s="409">
        <v>2</v>
      </c>
      <c r="AH210" s="409">
        <v>2</v>
      </c>
      <c r="AI210" s="409">
        <v>2</v>
      </c>
      <c r="AJ210" s="409">
        <v>3</v>
      </c>
      <c r="AK210" s="409">
        <v>2</v>
      </c>
      <c r="AL210" s="409">
        <v>2</v>
      </c>
      <c r="AM210" s="409">
        <v>2</v>
      </c>
      <c r="AN210" s="410">
        <v>3</v>
      </c>
      <c r="AO210" s="410">
        <v>3</v>
      </c>
      <c r="AP210" s="410">
        <v>3</v>
      </c>
      <c r="AQ210" s="410">
        <v>3</v>
      </c>
      <c r="AR210" s="410">
        <v>3</v>
      </c>
      <c r="AS210" s="410">
        <v>3</v>
      </c>
      <c r="AT210" s="410">
        <v>3</v>
      </c>
      <c r="AU210" s="410">
        <v>3</v>
      </c>
      <c r="AV210" s="410">
        <v>3</v>
      </c>
      <c r="AW210" s="410">
        <v>3</v>
      </c>
      <c r="AX210" s="410">
        <v>3</v>
      </c>
      <c r="AY210" s="410">
        <v>3</v>
      </c>
      <c r="AZ210" s="410">
        <v>3</v>
      </c>
      <c r="BA210" s="410">
        <v>3</v>
      </c>
      <c r="BB210" s="410"/>
      <c r="BC210" s="410"/>
      <c r="BD210" s="410"/>
      <c r="BE210" s="410"/>
      <c r="BF210" s="410"/>
      <c r="BG210" s="410">
        <v>5</v>
      </c>
      <c r="BH210" s="410"/>
      <c r="BI210" s="410"/>
      <c r="BJ210" s="410"/>
      <c r="BK210" s="410"/>
      <c r="BL210" s="410"/>
      <c r="BM210" s="410"/>
      <c r="BN210" s="410"/>
      <c r="BO210" s="410"/>
      <c r="BP210" s="410"/>
      <c r="BQ210" s="410"/>
      <c r="BR210" s="410"/>
      <c r="BS210" s="410"/>
      <c r="BT210" s="410"/>
      <c r="BU210" s="194"/>
      <c r="BV210" s="194"/>
      <c r="BW210" s="194"/>
      <c r="BX210" s="194"/>
      <c r="BY210" s="194"/>
      <c r="BZ210" s="194"/>
      <c r="CA210" s="194"/>
      <c r="CB210" s="194"/>
      <c r="CC210" s="194"/>
      <c r="CD210" s="194"/>
      <c r="CE210" s="194"/>
      <c r="CF210" s="305" t="s">
        <v>2414</v>
      </c>
      <c r="CG210" s="305" t="s">
        <v>2407</v>
      </c>
      <c r="CH210" s="96" t="str">
        <f t="shared" si="19"/>
        <v>DomineLuchador</v>
      </c>
      <c r="CI210" s="68"/>
    </row>
    <row r="211" spans="1:109" s="2361" customFormat="1" ht="12.75" customHeight="1" x14ac:dyDescent="0.2">
      <c r="A211" s="1916">
        <v>211</v>
      </c>
      <c r="B211" s="5148"/>
      <c r="C211" s="2363">
        <f>IF(ISNA(VLOOKUP(Tablas!$D211,PDs!$P$5:$S$14,4,FALSE)),0,VLOOKUP(Tablas!$D211,PDs!$P$5:$S$14,4,FALSE))</f>
        <v>0</v>
      </c>
      <c r="D211" s="2366" t="s">
        <v>2416</v>
      </c>
      <c r="E211" s="194">
        <v>5</v>
      </c>
      <c r="F211" s="194">
        <v>10</v>
      </c>
      <c r="G211" s="194">
        <v>20</v>
      </c>
      <c r="H211" s="194">
        <v>20</v>
      </c>
      <c r="I211" s="1748">
        <v>0.60000000000000009</v>
      </c>
      <c r="J211" s="407">
        <v>0.5</v>
      </c>
      <c r="K211" s="407">
        <v>0.5</v>
      </c>
      <c r="L211" s="408">
        <f t="shared" si="18"/>
        <v>0.33333333333333331</v>
      </c>
      <c r="M211" s="409">
        <v>5</v>
      </c>
      <c r="N211" s="409"/>
      <c r="O211" s="2011"/>
      <c r="P211" s="409"/>
      <c r="Q211" s="409"/>
      <c r="R211" s="409">
        <v>2</v>
      </c>
      <c r="S211" s="409">
        <v>2</v>
      </c>
      <c r="T211" s="409">
        <v>2</v>
      </c>
      <c r="U211" s="409">
        <v>2</v>
      </c>
      <c r="V211" s="410">
        <v>2</v>
      </c>
      <c r="W211" s="410">
        <v>25</v>
      </c>
      <c r="X211" s="410">
        <v>3</v>
      </c>
      <c r="Y211" s="410">
        <v>70</v>
      </c>
      <c r="Z211" s="410">
        <v>3</v>
      </c>
      <c r="AA211" s="410">
        <v>3</v>
      </c>
      <c r="AB211" s="410">
        <v>3</v>
      </c>
      <c r="AC211" s="410">
        <v>3</v>
      </c>
      <c r="AD211" s="410">
        <v>3</v>
      </c>
      <c r="AE211" s="410">
        <v>20</v>
      </c>
      <c r="AF211" s="410">
        <v>3</v>
      </c>
      <c r="AG211" s="410">
        <v>2</v>
      </c>
      <c r="AH211" s="410">
        <v>2</v>
      </c>
      <c r="AI211" s="410">
        <v>1</v>
      </c>
      <c r="AJ211" s="410">
        <v>3</v>
      </c>
      <c r="AK211" s="410">
        <v>3</v>
      </c>
      <c r="AL211" s="410">
        <v>2</v>
      </c>
      <c r="AM211" s="410">
        <v>2</v>
      </c>
      <c r="AN211" s="410">
        <v>3</v>
      </c>
      <c r="AO211" s="410">
        <v>3</v>
      </c>
      <c r="AP211" s="410">
        <v>3</v>
      </c>
      <c r="AQ211" s="410">
        <v>1</v>
      </c>
      <c r="AR211" s="410">
        <v>2</v>
      </c>
      <c r="AS211" s="410">
        <v>1</v>
      </c>
      <c r="AT211" s="410">
        <v>2</v>
      </c>
      <c r="AU211" s="410">
        <v>3</v>
      </c>
      <c r="AV211" s="410">
        <v>3</v>
      </c>
      <c r="AW211" s="410">
        <v>3</v>
      </c>
      <c r="AX211" s="410">
        <v>3</v>
      </c>
      <c r="AY211" s="410">
        <v>3</v>
      </c>
      <c r="AZ211" s="410">
        <v>3</v>
      </c>
      <c r="BA211" s="410">
        <v>3</v>
      </c>
      <c r="BB211" s="410"/>
      <c r="BC211" s="410"/>
      <c r="BD211" s="410"/>
      <c r="BE211" s="410"/>
      <c r="BF211" s="410"/>
      <c r="BG211" s="410"/>
      <c r="BH211" s="410"/>
      <c r="BI211" s="410"/>
      <c r="BJ211" s="410"/>
      <c r="BK211" s="410"/>
      <c r="BL211" s="410"/>
      <c r="BM211" s="410"/>
      <c r="BN211" s="410"/>
      <c r="BO211" s="410">
        <v>10</v>
      </c>
      <c r="BP211" s="410">
        <v>10</v>
      </c>
      <c r="BQ211" s="410">
        <v>10</v>
      </c>
      <c r="BR211" s="410">
        <v>5</v>
      </c>
      <c r="BS211" s="410">
        <v>5</v>
      </c>
      <c r="BT211" s="410">
        <v>5</v>
      </c>
      <c r="BU211" s="194"/>
      <c r="BV211" s="194"/>
      <c r="BW211" s="194"/>
      <c r="BX211" s="194"/>
      <c r="BY211" s="194"/>
      <c r="BZ211" s="194"/>
      <c r="CA211" s="194"/>
      <c r="CB211" s="194"/>
      <c r="CC211" s="194"/>
      <c r="CD211" s="194">
        <v>10</v>
      </c>
      <c r="CE211" s="194"/>
      <c r="CF211" s="305" t="s">
        <v>2417</v>
      </c>
      <c r="CG211" s="305" t="s">
        <v>2407</v>
      </c>
      <c r="CH211" s="96" t="str">
        <f t="shared" si="19"/>
        <v>AcechadorLuchador</v>
      </c>
      <c r="CI211" s="68"/>
      <c r="CJ211" s="363"/>
      <c r="CK211" s="363"/>
      <c r="CL211" s="363"/>
      <c r="CM211" s="363"/>
      <c r="CN211" s="363"/>
      <c r="CO211" s="363"/>
      <c r="CP211" s="363"/>
      <c r="CQ211" s="363"/>
      <c r="CR211" s="363"/>
      <c r="CS211" s="363"/>
      <c r="CT211" s="363"/>
      <c r="CU211" s="363"/>
      <c r="CV211" s="363"/>
      <c r="CW211" s="363"/>
      <c r="CX211" s="363"/>
      <c r="CY211" s="363"/>
      <c r="CZ211" s="363"/>
      <c r="DA211" s="363"/>
      <c r="DB211" s="363"/>
      <c r="DC211" s="363"/>
      <c r="DD211" s="363"/>
      <c r="DE211" s="363"/>
    </row>
    <row r="212" spans="1:109" ht="12.75" customHeight="1" x14ac:dyDescent="0.2">
      <c r="A212" s="1916">
        <v>212</v>
      </c>
      <c r="B212" s="5148"/>
      <c r="C212" s="2363">
        <f>IF(ISNA(VLOOKUP(Tablas!$D212,PDs!$P$5:$S$14,4,FALSE)),0,VLOOKUP(Tablas!$D212,PDs!$P$5:$S$14,4,FALSE))</f>
        <v>0</v>
      </c>
      <c r="D212" s="2366" t="s">
        <v>2418</v>
      </c>
      <c r="E212" s="194">
        <v>10</v>
      </c>
      <c r="F212" s="194">
        <v>5</v>
      </c>
      <c r="G212" s="194">
        <v>20</v>
      </c>
      <c r="H212" s="194">
        <v>25</v>
      </c>
      <c r="I212" s="1748">
        <v>0.60000000000000009</v>
      </c>
      <c r="J212" s="407">
        <v>0.5</v>
      </c>
      <c r="K212" s="407">
        <v>0.5</v>
      </c>
      <c r="L212" s="408">
        <f t="shared" si="18"/>
        <v>0.33333333333333331</v>
      </c>
      <c r="M212" s="409">
        <v>5</v>
      </c>
      <c r="N212" s="409"/>
      <c r="O212" s="2011">
        <v>5</v>
      </c>
      <c r="P212" s="409"/>
      <c r="Q212" s="409"/>
      <c r="R212" s="409">
        <v>2</v>
      </c>
      <c r="S212" s="409">
        <v>3</v>
      </c>
      <c r="T212" s="409">
        <v>2</v>
      </c>
      <c r="U212" s="409">
        <v>2</v>
      </c>
      <c r="V212" s="410">
        <v>2</v>
      </c>
      <c r="W212" s="410">
        <v>20</v>
      </c>
      <c r="X212" s="410">
        <v>3</v>
      </c>
      <c r="Y212" s="410">
        <v>70</v>
      </c>
      <c r="Z212" s="410">
        <v>3</v>
      </c>
      <c r="AA212" s="410">
        <v>3</v>
      </c>
      <c r="AB212" s="410">
        <v>3</v>
      </c>
      <c r="AC212" s="410">
        <v>3</v>
      </c>
      <c r="AD212" s="410">
        <v>3</v>
      </c>
      <c r="AE212" s="410">
        <v>20</v>
      </c>
      <c r="AF212" s="410">
        <v>3</v>
      </c>
      <c r="AG212" s="410">
        <v>2</v>
      </c>
      <c r="AH212" s="410">
        <v>2</v>
      </c>
      <c r="AI212" s="410">
        <v>2</v>
      </c>
      <c r="AJ212" s="410">
        <v>3</v>
      </c>
      <c r="AK212" s="410">
        <v>2</v>
      </c>
      <c r="AL212" s="410">
        <v>2</v>
      </c>
      <c r="AM212" s="410">
        <v>2</v>
      </c>
      <c r="AN212" s="410">
        <v>3</v>
      </c>
      <c r="AO212" s="410">
        <v>3</v>
      </c>
      <c r="AP212" s="410">
        <v>3</v>
      </c>
      <c r="AQ212" s="410">
        <v>3</v>
      </c>
      <c r="AR212" s="410">
        <v>3</v>
      </c>
      <c r="AS212" s="410">
        <v>3</v>
      </c>
      <c r="AT212" s="410">
        <v>3</v>
      </c>
      <c r="AU212" s="410">
        <v>3</v>
      </c>
      <c r="AV212" s="410">
        <v>3</v>
      </c>
      <c r="AW212" s="410">
        <v>3</v>
      </c>
      <c r="AX212" s="410">
        <v>3</v>
      </c>
      <c r="AY212" s="410">
        <v>3</v>
      </c>
      <c r="AZ212" s="410">
        <v>3</v>
      </c>
      <c r="BA212" s="410">
        <v>3</v>
      </c>
      <c r="BB212" s="410"/>
      <c r="BC212" s="410"/>
      <c r="BD212" s="410"/>
      <c r="BE212" s="410"/>
      <c r="BF212" s="410"/>
      <c r="BG212" s="410"/>
      <c r="BH212" s="410"/>
      <c r="BI212" s="410"/>
      <c r="BJ212" s="410"/>
      <c r="BK212" s="410"/>
      <c r="BL212" s="410"/>
      <c r="BM212" s="410"/>
      <c r="BN212" s="410"/>
      <c r="BO212" s="410">
        <v>10</v>
      </c>
      <c r="BP212" s="410">
        <v>10</v>
      </c>
      <c r="BQ212" s="410"/>
      <c r="BR212" s="410"/>
      <c r="BS212" s="410"/>
      <c r="BT212" s="410"/>
      <c r="BU212" s="194">
        <v>10</v>
      </c>
      <c r="BV212" s="194">
        <v>10</v>
      </c>
      <c r="BW212" s="194"/>
      <c r="BX212" s="194"/>
      <c r="BY212" s="194"/>
      <c r="BZ212" s="194"/>
      <c r="CA212" s="194"/>
      <c r="CB212" s="194"/>
      <c r="CC212" s="194"/>
      <c r="CD212" s="194"/>
      <c r="CE212" s="194">
        <v>5</v>
      </c>
      <c r="CF212" s="305" t="s">
        <v>2417</v>
      </c>
      <c r="CG212" s="305" t="s">
        <v>2407</v>
      </c>
      <c r="CH212" s="96" t="str">
        <f t="shared" si="19"/>
        <v>AcechadorLuchador</v>
      </c>
      <c r="CI212" s="68"/>
    </row>
    <row r="213" spans="1:109" ht="12.75" customHeight="1" x14ac:dyDescent="0.2">
      <c r="A213" s="1916">
        <v>213</v>
      </c>
      <c r="B213" s="5148"/>
      <c r="C213" s="2363">
        <f>IF(ISNA(VLOOKUP(Tablas!$D213,PDs!$P$5:$S$14,4,FALSE)),0,VLOOKUP(Tablas!$D213,PDs!$P$5:$S$14,4,FALSE))</f>
        <v>0</v>
      </c>
      <c r="D213" s="2366" t="s">
        <v>2419</v>
      </c>
      <c r="E213" s="194">
        <v>10</v>
      </c>
      <c r="F213" s="194">
        <v>5</v>
      </c>
      <c r="G213" s="194">
        <v>20</v>
      </c>
      <c r="H213" s="194">
        <v>20</v>
      </c>
      <c r="I213" s="1748">
        <v>0.5</v>
      </c>
      <c r="J213" s="407">
        <v>0.5</v>
      </c>
      <c r="K213" s="407">
        <v>0.5</v>
      </c>
      <c r="L213" s="408">
        <f t="shared" si="18"/>
        <v>0.33333333333333331</v>
      </c>
      <c r="M213" s="409"/>
      <c r="N213" s="409"/>
      <c r="O213" s="2011">
        <v>5</v>
      </c>
      <c r="P213" s="409"/>
      <c r="Q213" s="409"/>
      <c r="R213" s="409">
        <v>2</v>
      </c>
      <c r="S213" s="409">
        <v>3</v>
      </c>
      <c r="T213" s="409">
        <v>2</v>
      </c>
      <c r="U213" s="409">
        <v>3</v>
      </c>
      <c r="V213" s="410">
        <v>2</v>
      </c>
      <c r="W213" s="410">
        <v>25</v>
      </c>
      <c r="X213" s="410">
        <v>3</v>
      </c>
      <c r="Y213" s="410">
        <v>70</v>
      </c>
      <c r="Z213" s="410">
        <v>3</v>
      </c>
      <c r="AA213" s="410">
        <v>3</v>
      </c>
      <c r="AB213" s="410">
        <v>3</v>
      </c>
      <c r="AC213" s="410">
        <v>3</v>
      </c>
      <c r="AD213" s="410">
        <v>3</v>
      </c>
      <c r="AE213" s="410">
        <v>20</v>
      </c>
      <c r="AF213" s="410">
        <v>3</v>
      </c>
      <c r="AG213" s="410">
        <v>1</v>
      </c>
      <c r="AH213" s="410">
        <v>2</v>
      </c>
      <c r="AI213" s="410">
        <v>2</v>
      </c>
      <c r="AJ213" s="410">
        <v>3</v>
      </c>
      <c r="AK213" s="410">
        <v>3</v>
      </c>
      <c r="AL213" s="410">
        <v>1</v>
      </c>
      <c r="AM213" s="410">
        <v>2</v>
      </c>
      <c r="AN213" s="410">
        <v>3</v>
      </c>
      <c r="AO213" s="410">
        <v>3</v>
      </c>
      <c r="AP213" s="410">
        <v>3</v>
      </c>
      <c r="AQ213" s="410">
        <v>3</v>
      </c>
      <c r="AR213" s="410">
        <v>3</v>
      </c>
      <c r="AS213" s="410">
        <v>3</v>
      </c>
      <c r="AT213" s="410">
        <v>3</v>
      </c>
      <c r="AU213" s="410">
        <v>1</v>
      </c>
      <c r="AV213" s="410">
        <v>3</v>
      </c>
      <c r="AW213" s="410">
        <v>3</v>
      </c>
      <c r="AX213" s="410">
        <v>3</v>
      </c>
      <c r="AY213" s="410">
        <v>3</v>
      </c>
      <c r="AZ213" s="410">
        <v>3</v>
      </c>
      <c r="BA213" s="410">
        <v>3</v>
      </c>
      <c r="BB213" s="410"/>
      <c r="BC213" s="410"/>
      <c r="BD213" s="410"/>
      <c r="BE213" s="410"/>
      <c r="BF213" s="410">
        <v>5</v>
      </c>
      <c r="BG213" s="410"/>
      <c r="BH213" s="410"/>
      <c r="BI213" s="410"/>
      <c r="BJ213" s="410"/>
      <c r="BK213" s="410"/>
      <c r="BL213" s="410"/>
      <c r="BM213" s="410"/>
      <c r="BN213" s="410"/>
      <c r="BO213" s="410">
        <v>5</v>
      </c>
      <c r="BP213" s="410">
        <v>5</v>
      </c>
      <c r="BQ213" s="410"/>
      <c r="BR213" s="410">
        <v>5</v>
      </c>
      <c r="BS213" s="410"/>
      <c r="BT213" s="410"/>
      <c r="BU213" s="194">
        <v>5</v>
      </c>
      <c r="BV213" s="194">
        <v>5</v>
      </c>
      <c r="BW213" s="194">
        <v>10</v>
      </c>
      <c r="BX213" s="194"/>
      <c r="BY213" s="194"/>
      <c r="BZ213" s="194"/>
      <c r="CA213" s="194"/>
      <c r="CB213" s="194"/>
      <c r="CC213" s="194"/>
      <c r="CD213" s="194"/>
      <c r="CE213" s="194">
        <v>5</v>
      </c>
      <c r="CF213" s="305" t="s">
        <v>2417</v>
      </c>
      <c r="CG213" s="305" t="s">
        <v>2408</v>
      </c>
      <c r="CH213" s="96" t="str">
        <f t="shared" si="19"/>
        <v>AcechadorSin</v>
      </c>
      <c r="CI213" s="68"/>
    </row>
    <row r="214" spans="1:109" ht="12.75" customHeight="1" x14ac:dyDescent="0.2">
      <c r="A214" s="1916">
        <v>214</v>
      </c>
      <c r="B214" s="5148"/>
      <c r="C214" s="2363">
        <f>IF(ISNA(VLOOKUP(Tablas!$D214,PDs!$P$5:$S$14,4,FALSE)),0,VLOOKUP(Tablas!$D214,PDs!$P$5:$S$14,4,FALSE))</f>
        <v>0</v>
      </c>
      <c r="D214" s="119" t="s">
        <v>2420</v>
      </c>
      <c r="E214" s="194">
        <v>10</v>
      </c>
      <c r="F214" s="194">
        <v>5</v>
      </c>
      <c r="G214" s="194">
        <v>20</v>
      </c>
      <c r="H214" s="194">
        <v>20</v>
      </c>
      <c r="I214" s="1748">
        <v>0.5</v>
      </c>
      <c r="J214" s="407">
        <v>0.5</v>
      </c>
      <c r="K214" s="407">
        <v>0.5</v>
      </c>
      <c r="L214" s="408">
        <f t="shared" si="18"/>
        <v>0.33333333333333331</v>
      </c>
      <c r="M214" s="409">
        <v>5</v>
      </c>
      <c r="N214" s="409"/>
      <c r="O214" s="2011"/>
      <c r="P214" s="409"/>
      <c r="Q214" s="409"/>
      <c r="R214" s="410">
        <v>2</v>
      </c>
      <c r="S214" s="410">
        <v>3</v>
      </c>
      <c r="T214" s="410">
        <v>2</v>
      </c>
      <c r="U214" s="410">
        <v>3</v>
      </c>
      <c r="V214" s="410">
        <v>2</v>
      </c>
      <c r="W214" s="410">
        <v>25</v>
      </c>
      <c r="X214" s="410">
        <v>3</v>
      </c>
      <c r="Y214" s="410">
        <v>70</v>
      </c>
      <c r="Z214" s="410">
        <v>3</v>
      </c>
      <c r="AA214" s="410">
        <v>3</v>
      </c>
      <c r="AB214" s="410">
        <v>3</v>
      </c>
      <c r="AC214" s="410">
        <v>3</v>
      </c>
      <c r="AD214" s="410">
        <v>3</v>
      </c>
      <c r="AE214" s="410">
        <v>20</v>
      </c>
      <c r="AF214" s="410">
        <v>3</v>
      </c>
      <c r="AG214" s="410">
        <v>2</v>
      </c>
      <c r="AH214" s="410">
        <v>2</v>
      </c>
      <c r="AI214" s="410">
        <v>1</v>
      </c>
      <c r="AJ214" s="410">
        <v>3</v>
      </c>
      <c r="AK214" s="410">
        <v>3</v>
      </c>
      <c r="AL214" s="410">
        <v>2</v>
      </c>
      <c r="AM214" s="410">
        <v>2</v>
      </c>
      <c r="AN214" s="410">
        <v>3</v>
      </c>
      <c r="AO214" s="410">
        <v>3</v>
      </c>
      <c r="AP214" s="410">
        <v>2</v>
      </c>
      <c r="AQ214" s="410">
        <v>3</v>
      </c>
      <c r="AR214" s="410">
        <v>3</v>
      </c>
      <c r="AS214" s="410">
        <v>3</v>
      </c>
      <c r="AT214" s="410">
        <v>3</v>
      </c>
      <c r="AU214" s="410">
        <v>3</v>
      </c>
      <c r="AV214" s="410">
        <v>1</v>
      </c>
      <c r="AW214" s="410">
        <v>2</v>
      </c>
      <c r="AX214" s="410">
        <v>3</v>
      </c>
      <c r="AY214" s="410">
        <v>3</v>
      </c>
      <c r="AZ214" s="410">
        <v>3</v>
      </c>
      <c r="BA214" s="410">
        <v>3</v>
      </c>
      <c r="BB214" s="410"/>
      <c r="BC214" s="410"/>
      <c r="BD214" s="410"/>
      <c r="BE214" s="410"/>
      <c r="BF214" s="410"/>
      <c r="BG214" s="410"/>
      <c r="BH214" s="410"/>
      <c r="BI214" s="410"/>
      <c r="BJ214" s="410"/>
      <c r="BK214" s="410">
        <v>10</v>
      </c>
      <c r="BL214" s="410"/>
      <c r="BM214" s="410"/>
      <c r="BN214" s="410"/>
      <c r="BO214" s="410">
        <v>10</v>
      </c>
      <c r="BP214" s="410">
        <v>10</v>
      </c>
      <c r="BQ214" s="410"/>
      <c r="BR214" s="410">
        <v>10</v>
      </c>
      <c r="BS214" s="410"/>
      <c r="BT214" s="410"/>
      <c r="BU214" s="194">
        <v>10</v>
      </c>
      <c r="BV214" s="194">
        <v>10</v>
      </c>
      <c r="BW214" s="194"/>
      <c r="BX214" s="194">
        <v>10</v>
      </c>
      <c r="BY214" s="194"/>
      <c r="BZ214" s="194"/>
      <c r="CA214" s="194"/>
      <c r="CB214" s="194"/>
      <c r="CC214" s="194"/>
      <c r="CD214" s="194"/>
      <c r="CE214" s="194"/>
      <c r="CF214" s="305" t="s">
        <v>2417</v>
      </c>
      <c r="CG214" s="305" t="s">
        <v>2408</v>
      </c>
      <c r="CH214" s="96" t="str">
        <f t="shared" si="19"/>
        <v>AcechadorSin</v>
      </c>
      <c r="CI214" s="68"/>
    </row>
    <row r="215" spans="1:109" ht="12.75" customHeight="1" x14ac:dyDescent="0.2">
      <c r="A215" s="1916">
        <v>215</v>
      </c>
      <c r="B215" s="5148"/>
      <c r="C215" s="2363">
        <f>IF(ISNA(VLOOKUP(Tablas!$D215,PDs!$P$5:$S$14,4,FALSE)),0,VLOOKUP(Tablas!$D215,PDs!$P$5:$S$14,4,FALSE))</f>
        <v>0</v>
      </c>
      <c r="D215" s="2366" t="s">
        <v>2421</v>
      </c>
      <c r="E215" s="194">
        <v>5</v>
      </c>
      <c r="F215" s="194">
        <v>5</v>
      </c>
      <c r="G215" s="194">
        <v>20</v>
      </c>
      <c r="H215" s="194">
        <v>10</v>
      </c>
      <c r="I215" s="1748">
        <v>0.5</v>
      </c>
      <c r="J215" s="407">
        <v>0.60000000000000009</v>
      </c>
      <c r="K215" s="407">
        <v>0.5</v>
      </c>
      <c r="L215" s="408">
        <f t="shared" si="18"/>
        <v>0.33333333333333331</v>
      </c>
      <c r="M215" s="409"/>
      <c r="N215" s="409"/>
      <c r="O215" s="2011"/>
      <c r="P215" s="409"/>
      <c r="Q215" s="409">
        <v>100</v>
      </c>
      <c r="R215" s="409">
        <v>3</v>
      </c>
      <c r="S215" s="409">
        <v>3</v>
      </c>
      <c r="T215" s="409">
        <v>2</v>
      </c>
      <c r="U215" s="409">
        <v>3</v>
      </c>
      <c r="V215" s="410">
        <v>3</v>
      </c>
      <c r="W215" s="410">
        <v>30</v>
      </c>
      <c r="X215" s="410">
        <v>1</v>
      </c>
      <c r="Y215" s="410">
        <v>50</v>
      </c>
      <c r="Z215" s="410">
        <v>2</v>
      </c>
      <c r="AA215" s="410">
        <v>2</v>
      </c>
      <c r="AB215" s="410">
        <v>2</v>
      </c>
      <c r="AC215" s="410">
        <v>2</v>
      </c>
      <c r="AD215" s="410">
        <v>2</v>
      </c>
      <c r="AE215" s="410">
        <v>20</v>
      </c>
      <c r="AF215" s="410">
        <v>3</v>
      </c>
      <c r="AG215" s="410">
        <v>2</v>
      </c>
      <c r="AH215" s="410">
        <v>2</v>
      </c>
      <c r="AI215" s="410">
        <v>2</v>
      </c>
      <c r="AJ215" s="410">
        <v>2</v>
      </c>
      <c r="AK215" s="410">
        <v>3</v>
      </c>
      <c r="AL215" s="410">
        <v>2</v>
      </c>
      <c r="AM215" s="410">
        <v>2</v>
      </c>
      <c r="AN215" s="410">
        <v>3</v>
      </c>
      <c r="AO215" s="410">
        <v>3</v>
      </c>
      <c r="AP215" s="410">
        <v>3</v>
      </c>
      <c r="AQ215" s="410">
        <v>3</v>
      </c>
      <c r="AR215" s="410">
        <v>3</v>
      </c>
      <c r="AS215" s="410">
        <v>3</v>
      </c>
      <c r="AT215" s="410">
        <v>3</v>
      </c>
      <c r="AU215" s="410">
        <v>3</v>
      </c>
      <c r="AV215" s="410">
        <v>3</v>
      </c>
      <c r="AW215" s="410">
        <v>3</v>
      </c>
      <c r="AX215" s="410">
        <v>1</v>
      </c>
      <c r="AY215" s="410">
        <v>3</v>
      </c>
      <c r="AZ215" s="410">
        <v>3</v>
      </c>
      <c r="BA215" s="410">
        <v>3</v>
      </c>
      <c r="BB215" s="410"/>
      <c r="BC215" s="410"/>
      <c r="BD215" s="410"/>
      <c r="BE215" s="410"/>
      <c r="BF215" s="410"/>
      <c r="BG215" s="410"/>
      <c r="BH215" s="410"/>
      <c r="BI215" s="410"/>
      <c r="BJ215" s="410"/>
      <c r="BK215" s="410"/>
      <c r="BL215" s="410"/>
      <c r="BM215" s="410"/>
      <c r="BN215" s="410"/>
      <c r="BO215" s="410"/>
      <c r="BP215" s="410"/>
      <c r="BQ215" s="410"/>
      <c r="BR215" s="410"/>
      <c r="BS215" s="410"/>
      <c r="BT215" s="410"/>
      <c r="BU215" s="194"/>
      <c r="BV215" s="194"/>
      <c r="BW215" s="194"/>
      <c r="BX215" s="194"/>
      <c r="BY215" s="194">
        <v>5</v>
      </c>
      <c r="BZ215" s="194">
        <v>10</v>
      </c>
      <c r="CA215" s="194"/>
      <c r="CB215" s="194"/>
      <c r="CC215" s="194"/>
      <c r="CD215" s="194"/>
      <c r="CE215" s="194"/>
      <c r="CF215" s="305" t="s">
        <v>2422</v>
      </c>
      <c r="CG215" s="305" t="s">
        <v>2408</v>
      </c>
      <c r="CH215" s="96" t="str">
        <f t="shared" si="19"/>
        <v>MísticoSin</v>
      </c>
      <c r="CI215" s="68"/>
    </row>
    <row r="216" spans="1:109" ht="12.75" customHeight="1" x14ac:dyDescent="0.2">
      <c r="A216" s="1916">
        <v>216</v>
      </c>
      <c r="B216" s="5148"/>
      <c r="C216" s="2363">
        <f>IF(ISNA(VLOOKUP(Tablas!$D216,PDs!$P$5:$S$14,4,FALSE)),0,VLOOKUP(Tablas!$D216,PDs!$P$5:$S$14,4,FALSE))</f>
        <v>0</v>
      </c>
      <c r="D216" s="2366" t="s">
        <v>2423</v>
      </c>
      <c r="E216" s="194">
        <v>5</v>
      </c>
      <c r="F216" s="194">
        <v>10</v>
      </c>
      <c r="G216" s="194">
        <v>20</v>
      </c>
      <c r="H216" s="194">
        <v>20</v>
      </c>
      <c r="I216" s="1748">
        <v>0.5</v>
      </c>
      <c r="J216" s="407">
        <v>0.5</v>
      </c>
      <c r="K216" s="407">
        <v>0.5</v>
      </c>
      <c r="L216" s="408">
        <f t="shared" si="18"/>
        <v>0.33333333333333331</v>
      </c>
      <c r="M216" s="409">
        <v>5</v>
      </c>
      <c r="N216" s="409">
        <v>5</v>
      </c>
      <c r="O216" s="2011">
        <v>5</v>
      </c>
      <c r="P216" s="410"/>
      <c r="Q216" s="410">
        <v>20</v>
      </c>
      <c r="R216" s="410">
        <v>2</v>
      </c>
      <c r="S216" s="410">
        <v>2</v>
      </c>
      <c r="T216" s="410">
        <v>2</v>
      </c>
      <c r="U216" s="410">
        <v>2</v>
      </c>
      <c r="V216" s="410">
        <v>2</v>
      </c>
      <c r="W216" s="410">
        <v>25</v>
      </c>
      <c r="X216" s="410">
        <v>1</v>
      </c>
      <c r="Y216" s="410">
        <v>50</v>
      </c>
      <c r="Z216" s="410">
        <v>2</v>
      </c>
      <c r="AA216" s="410">
        <v>2</v>
      </c>
      <c r="AB216" s="410">
        <v>2</v>
      </c>
      <c r="AC216" s="410">
        <v>2</v>
      </c>
      <c r="AD216" s="410">
        <v>2</v>
      </c>
      <c r="AE216" s="410">
        <v>20</v>
      </c>
      <c r="AF216" s="410">
        <v>3</v>
      </c>
      <c r="AG216" s="410">
        <v>2</v>
      </c>
      <c r="AH216" s="410">
        <v>2</v>
      </c>
      <c r="AI216" s="410">
        <v>2</v>
      </c>
      <c r="AJ216" s="410">
        <v>2</v>
      </c>
      <c r="AK216" s="410">
        <v>2</v>
      </c>
      <c r="AL216" s="410">
        <v>2</v>
      </c>
      <c r="AM216" s="410">
        <v>2</v>
      </c>
      <c r="AN216" s="410">
        <v>3</v>
      </c>
      <c r="AO216" s="410">
        <v>3</v>
      </c>
      <c r="AP216" s="410">
        <v>3</v>
      </c>
      <c r="AQ216" s="410">
        <v>3</v>
      </c>
      <c r="AR216" s="410">
        <v>3</v>
      </c>
      <c r="AS216" s="410">
        <v>3</v>
      </c>
      <c r="AT216" s="410">
        <v>3</v>
      </c>
      <c r="AU216" s="410">
        <v>3</v>
      </c>
      <c r="AV216" s="410">
        <v>3</v>
      </c>
      <c r="AW216" s="410">
        <v>3</v>
      </c>
      <c r="AX216" s="410">
        <v>3</v>
      </c>
      <c r="AY216" s="410">
        <v>3</v>
      </c>
      <c r="AZ216" s="410">
        <v>3</v>
      </c>
      <c r="BA216" s="410">
        <v>3</v>
      </c>
      <c r="BB216" s="410"/>
      <c r="BC216" s="410"/>
      <c r="BD216" s="410"/>
      <c r="BE216" s="410"/>
      <c r="BF216" s="410"/>
      <c r="BG216" s="410"/>
      <c r="BH216" s="410"/>
      <c r="BI216" s="410"/>
      <c r="BJ216" s="410"/>
      <c r="BK216" s="410"/>
      <c r="BL216" s="410"/>
      <c r="BM216" s="410"/>
      <c r="BN216" s="410"/>
      <c r="BO216" s="410"/>
      <c r="BP216" s="410"/>
      <c r="BQ216" s="410"/>
      <c r="BR216" s="410"/>
      <c r="BS216" s="410"/>
      <c r="BT216" s="410"/>
      <c r="BU216" s="194"/>
      <c r="BV216" s="194"/>
      <c r="BW216" s="194"/>
      <c r="BX216" s="194"/>
      <c r="BY216" s="194"/>
      <c r="BZ216" s="194">
        <v>5</v>
      </c>
      <c r="CA216" s="194"/>
      <c r="CB216" s="194"/>
      <c r="CC216" s="194"/>
      <c r="CD216" s="194"/>
      <c r="CE216" s="194"/>
      <c r="CF216" s="305" t="s">
        <v>2407</v>
      </c>
      <c r="CG216" s="305" t="s">
        <v>2422</v>
      </c>
      <c r="CH216" s="96" t="str">
        <f t="shared" si="19"/>
        <v>LuchadorMístico</v>
      </c>
      <c r="CI216" s="68"/>
    </row>
    <row r="217" spans="1:109" ht="12.75" customHeight="1" x14ac:dyDescent="0.2">
      <c r="A217" s="1916">
        <v>217</v>
      </c>
      <c r="B217" s="5148"/>
      <c r="C217" s="2363">
        <f>IF(ISNA(VLOOKUP(Tablas!$D217,PDs!$P$5:$S$14,4,FALSE)),0,VLOOKUP(Tablas!$D217,PDs!$P$5:$S$14,4,FALSE))</f>
        <v>0</v>
      </c>
      <c r="D217" s="2366" t="s">
        <v>2424</v>
      </c>
      <c r="E217" s="194">
        <v>5</v>
      </c>
      <c r="F217" s="194">
        <v>5</v>
      </c>
      <c r="G217" s="194">
        <v>20</v>
      </c>
      <c r="H217" s="194">
        <v>20</v>
      </c>
      <c r="I217" s="1748">
        <v>0.5</v>
      </c>
      <c r="J217" s="407">
        <v>0.60000000000000009</v>
      </c>
      <c r="K217" s="407">
        <v>0.5</v>
      </c>
      <c r="L217" s="408">
        <f t="shared" si="18"/>
        <v>0.33333333333333331</v>
      </c>
      <c r="M217" s="409"/>
      <c r="N217" s="409"/>
      <c r="O217" s="2011"/>
      <c r="P217" s="409"/>
      <c r="Q217" s="409">
        <v>75</v>
      </c>
      <c r="R217" s="409">
        <v>3</v>
      </c>
      <c r="S217" s="409">
        <v>3</v>
      </c>
      <c r="T217" s="409">
        <v>2</v>
      </c>
      <c r="U217" s="409">
        <v>3</v>
      </c>
      <c r="V217" s="410">
        <v>2</v>
      </c>
      <c r="W217" s="410">
        <v>25</v>
      </c>
      <c r="X217" s="410">
        <v>1</v>
      </c>
      <c r="Y217" s="410">
        <v>60</v>
      </c>
      <c r="Z217" s="410">
        <v>2</v>
      </c>
      <c r="AA217" s="410">
        <v>3</v>
      </c>
      <c r="AB217" s="410">
        <v>3</v>
      </c>
      <c r="AC217" s="410">
        <v>3</v>
      </c>
      <c r="AD217" s="410">
        <v>3</v>
      </c>
      <c r="AE217" s="410">
        <v>20</v>
      </c>
      <c r="AF217" s="410">
        <v>3</v>
      </c>
      <c r="AG217" s="410">
        <v>2</v>
      </c>
      <c r="AH217" s="410">
        <v>2</v>
      </c>
      <c r="AI217" s="410">
        <v>2</v>
      </c>
      <c r="AJ217" s="410">
        <v>2</v>
      </c>
      <c r="AK217" s="410">
        <v>3</v>
      </c>
      <c r="AL217" s="410">
        <v>2</v>
      </c>
      <c r="AM217" s="410">
        <v>2</v>
      </c>
      <c r="AN217" s="410">
        <v>3</v>
      </c>
      <c r="AO217" s="410">
        <v>3</v>
      </c>
      <c r="AP217" s="410">
        <v>3</v>
      </c>
      <c r="AQ217" s="410">
        <v>3</v>
      </c>
      <c r="AR217" s="410">
        <v>3</v>
      </c>
      <c r="AS217" s="410">
        <v>3</v>
      </c>
      <c r="AT217" s="410">
        <v>3</v>
      </c>
      <c r="AU217" s="410">
        <v>3</v>
      </c>
      <c r="AV217" s="410">
        <v>3</v>
      </c>
      <c r="AW217" s="410">
        <v>3</v>
      </c>
      <c r="AX217" s="410">
        <v>3</v>
      </c>
      <c r="AY217" s="410">
        <v>1</v>
      </c>
      <c r="AZ217" s="410">
        <v>1</v>
      </c>
      <c r="BA217" s="410">
        <v>3</v>
      </c>
      <c r="BB217" s="410"/>
      <c r="BC217" s="410"/>
      <c r="BD217" s="410"/>
      <c r="BE217" s="410"/>
      <c r="BF217" s="410">
        <v>10</v>
      </c>
      <c r="BG217" s="410"/>
      <c r="BH217" s="410"/>
      <c r="BI217" s="410"/>
      <c r="BJ217" s="410"/>
      <c r="BK217" s="410"/>
      <c r="BL217" s="410">
        <v>5</v>
      </c>
      <c r="BM217" s="410"/>
      <c r="BN217" s="410"/>
      <c r="BO217" s="410"/>
      <c r="BP217" s="410"/>
      <c r="BQ217" s="410"/>
      <c r="BR217" s="410"/>
      <c r="BS217" s="410"/>
      <c r="BT217" s="410"/>
      <c r="BU217" s="194">
        <v>10</v>
      </c>
      <c r="BV217" s="194">
        <v>10</v>
      </c>
      <c r="BW217" s="194">
        <v>5</v>
      </c>
      <c r="BX217" s="194"/>
      <c r="BY217" s="194"/>
      <c r="BZ217" s="194">
        <v>5</v>
      </c>
      <c r="CA217" s="194">
        <v>5</v>
      </c>
      <c r="CB217" s="194"/>
      <c r="CC217" s="194"/>
      <c r="CD217" s="194"/>
      <c r="CE217" s="194"/>
      <c r="CF217" s="305" t="s">
        <v>2417</v>
      </c>
      <c r="CG217" s="305" t="s">
        <v>2422</v>
      </c>
      <c r="CH217" s="96" t="str">
        <f t="shared" si="19"/>
        <v>AcechadorMístico</v>
      </c>
      <c r="CI217" s="68"/>
    </row>
    <row r="218" spans="1:109" ht="12.75" customHeight="1" x14ac:dyDescent="0.2">
      <c r="A218" s="1916">
        <v>218</v>
      </c>
      <c r="B218" s="5148"/>
      <c r="C218" s="2363">
        <f>IF(ISNA(VLOOKUP(Tablas!$D218,PDs!$P$5:$S$14,4,FALSE)),0,VLOOKUP(Tablas!$D218,PDs!$P$5:$S$14,4,FALSE))</f>
        <v>0</v>
      </c>
      <c r="D218" s="2366" t="s">
        <v>2425</v>
      </c>
      <c r="E218" s="194">
        <v>5</v>
      </c>
      <c r="F218" s="194">
        <v>5</v>
      </c>
      <c r="G218" s="194">
        <v>20</v>
      </c>
      <c r="H218" s="194">
        <v>10</v>
      </c>
      <c r="I218" s="1748">
        <v>0.5</v>
      </c>
      <c r="J218" s="407">
        <v>0.5</v>
      </c>
      <c r="K218" s="407">
        <v>0.5</v>
      </c>
      <c r="L218" s="412">
        <v>1</v>
      </c>
      <c r="M218" s="409"/>
      <c r="N218" s="409"/>
      <c r="O218" s="2011"/>
      <c r="P218" s="409"/>
      <c r="Q218" s="409">
        <v>100</v>
      </c>
      <c r="R218" s="409">
        <v>3</v>
      </c>
      <c r="S218" s="409">
        <v>3</v>
      </c>
      <c r="T218" s="409">
        <v>2</v>
      </c>
      <c r="U218" s="409">
        <v>3</v>
      </c>
      <c r="V218" s="410">
        <v>3</v>
      </c>
      <c r="W218" s="410">
        <v>30</v>
      </c>
      <c r="X218" s="410">
        <v>1</v>
      </c>
      <c r="Y218" s="410">
        <v>50</v>
      </c>
      <c r="Z218" s="410">
        <v>2</v>
      </c>
      <c r="AA218" s="410">
        <v>2</v>
      </c>
      <c r="AB218" s="410">
        <v>2</v>
      </c>
      <c r="AC218" s="410">
        <v>2</v>
      </c>
      <c r="AD218" s="410">
        <v>2</v>
      </c>
      <c r="AE218" s="410">
        <v>10</v>
      </c>
      <c r="AF218" s="410">
        <v>2</v>
      </c>
      <c r="AG218" s="410">
        <v>2</v>
      </c>
      <c r="AH218" s="410">
        <v>2</v>
      </c>
      <c r="AI218" s="410">
        <v>2</v>
      </c>
      <c r="AJ218" s="410">
        <v>2</v>
      </c>
      <c r="AK218" s="410">
        <v>3</v>
      </c>
      <c r="AL218" s="410">
        <v>2</v>
      </c>
      <c r="AM218" s="410">
        <v>2</v>
      </c>
      <c r="AN218" s="410">
        <v>3</v>
      </c>
      <c r="AO218" s="410">
        <v>3</v>
      </c>
      <c r="AP218" s="410">
        <v>3</v>
      </c>
      <c r="AQ218" s="410">
        <v>3</v>
      </c>
      <c r="AR218" s="410">
        <v>3</v>
      </c>
      <c r="AS218" s="410">
        <v>3</v>
      </c>
      <c r="AT218" s="410">
        <v>3</v>
      </c>
      <c r="AU218" s="410">
        <v>3</v>
      </c>
      <c r="AV218" s="410">
        <v>3</v>
      </c>
      <c r="AW218" s="410">
        <v>3</v>
      </c>
      <c r="AX218" s="410">
        <v>3</v>
      </c>
      <c r="AY218" s="410">
        <v>3</v>
      </c>
      <c r="AZ218" s="410">
        <v>3</v>
      </c>
      <c r="BA218" s="410">
        <v>3</v>
      </c>
      <c r="BB218" s="410"/>
      <c r="BC218" s="410"/>
      <c r="BD218" s="410"/>
      <c r="BE218" s="410"/>
      <c r="BF218" s="410"/>
      <c r="BG218" s="410"/>
      <c r="BH218" s="410"/>
      <c r="BI218" s="410"/>
      <c r="BJ218" s="410"/>
      <c r="BK218" s="410"/>
      <c r="BL218" s="410"/>
      <c r="BM218" s="410"/>
      <c r="BN218" s="410"/>
      <c r="BO218" s="410"/>
      <c r="BP218" s="410"/>
      <c r="BQ218" s="410"/>
      <c r="BR218" s="410"/>
      <c r="BS218" s="410"/>
      <c r="BT218" s="410"/>
      <c r="BU218" s="194"/>
      <c r="BV218" s="194"/>
      <c r="BW218" s="194"/>
      <c r="BX218" s="194"/>
      <c r="BY218" s="194">
        <v>5</v>
      </c>
      <c r="BZ218" s="194">
        <v>10</v>
      </c>
      <c r="CA218" s="194"/>
      <c r="CB218" s="194"/>
      <c r="CC218" s="194"/>
      <c r="CD218" s="194"/>
      <c r="CE218" s="194"/>
      <c r="CF218" s="305" t="s">
        <v>2422</v>
      </c>
      <c r="CG218" s="305" t="s">
        <v>2426</v>
      </c>
      <c r="CH218" s="96" t="str">
        <f t="shared" si="19"/>
        <v>MísticoPsíquico</v>
      </c>
      <c r="CI218" s="68"/>
    </row>
    <row r="219" spans="1:109" ht="12.75" customHeight="1" x14ac:dyDescent="0.2">
      <c r="A219" s="1916">
        <v>219</v>
      </c>
      <c r="B219" s="5148"/>
      <c r="C219" s="2363">
        <f>IF(ISNA(VLOOKUP(Tablas!$D219,PDs!$P$5:$S$14,4,FALSE)),0,VLOOKUP(Tablas!$D219,PDs!$P$5:$S$14,4,FALSE))</f>
        <v>0</v>
      </c>
      <c r="D219" s="119" t="s">
        <v>2427</v>
      </c>
      <c r="E219" s="194">
        <v>5</v>
      </c>
      <c r="F219" s="194">
        <v>5</v>
      </c>
      <c r="G219" s="194">
        <v>20</v>
      </c>
      <c r="H219" s="194">
        <v>10</v>
      </c>
      <c r="I219" s="1748">
        <v>0.5</v>
      </c>
      <c r="J219" s="407">
        <v>0.60000000000000009</v>
      </c>
      <c r="K219" s="407">
        <v>0.5</v>
      </c>
      <c r="L219" s="408">
        <f>1/3</f>
        <v>0.33333333333333331</v>
      </c>
      <c r="M219" s="409"/>
      <c r="N219" s="409"/>
      <c r="O219" s="2011"/>
      <c r="P219" s="409"/>
      <c r="Q219" s="409">
        <v>50</v>
      </c>
      <c r="R219" s="410">
        <v>3</v>
      </c>
      <c r="S219" s="410">
        <v>3</v>
      </c>
      <c r="T219" s="410">
        <v>2</v>
      </c>
      <c r="U219" s="410">
        <v>3</v>
      </c>
      <c r="V219" s="410">
        <v>3</v>
      </c>
      <c r="W219" s="410">
        <v>30</v>
      </c>
      <c r="X219" s="410">
        <v>1</v>
      </c>
      <c r="Y219" s="410">
        <v>60</v>
      </c>
      <c r="Z219" s="410">
        <v>3</v>
      </c>
      <c r="AA219" s="410">
        <v>1</v>
      </c>
      <c r="AB219" s="410">
        <v>1</v>
      </c>
      <c r="AC219" s="410">
        <v>1</v>
      </c>
      <c r="AD219" s="410">
        <v>1</v>
      </c>
      <c r="AE219" s="410">
        <v>20</v>
      </c>
      <c r="AF219" s="410">
        <v>3</v>
      </c>
      <c r="AG219" s="410">
        <v>2</v>
      </c>
      <c r="AH219" s="410">
        <v>2</v>
      </c>
      <c r="AI219" s="410">
        <v>2</v>
      </c>
      <c r="AJ219" s="410">
        <v>2</v>
      </c>
      <c r="AK219" s="410">
        <v>3</v>
      </c>
      <c r="AL219" s="410">
        <v>2</v>
      </c>
      <c r="AM219" s="410">
        <v>2</v>
      </c>
      <c r="AN219" s="410">
        <v>3</v>
      </c>
      <c r="AO219" s="410">
        <v>3</v>
      </c>
      <c r="AP219" s="410">
        <v>3</v>
      </c>
      <c r="AQ219" s="410">
        <v>3</v>
      </c>
      <c r="AR219" s="410">
        <v>3</v>
      </c>
      <c r="AS219" s="410">
        <v>3</v>
      </c>
      <c r="AT219" s="410">
        <v>3</v>
      </c>
      <c r="AU219" s="410">
        <v>3</v>
      </c>
      <c r="AV219" s="410">
        <v>3</v>
      </c>
      <c r="AW219" s="410">
        <v>3</v>
      </c>
      <c r="AX219" s="410">
        <v>3</v>
      </c>
      <c r="AY219" s="410">
        <v>3</v>
      </c>
      <c r="AZ219" s="410">
        <v>3</v>
      </c>
      <c r="BA219" s="410">
        <v>1</v>
      </c>
      <c r="BB219" s="410"/>
      <c r="BC219" s="410">
        <v>0</v>
      </c>
      <c r="BD219" s="410"/>
      <c r="BE219" s="410"/>
      <c r="BF219" s="410"/>
      <c r="BG219" s="410"/>
      <c r="BH219" s="410"/>
      <c r="BI219" s="410"/>
      <c r="BJ219" s="410"/>
      <c r="BK219" s="410"/>
      <c r="BL219" s="410"/>
      <c r="BM219" s="194">
        <v>10</v>
      </c>
      <c r="BN219" s="410">
        <v>10</v>
      </c>
      <c r="BO219" s="410"/>
      <c r="BP219" s="410"/>
      <c r="BQ219" s="410"/>
      <c r="BR219" s="410"/>
      <c r="BS219" s="410"/>
      <c r="BT219" s="410"/>
      <c r="BU219" s="194"/>
      <c r="BV219" s="194"/>
      <c r="BW219" s="194"/>
      <c r="BX219" s="194"/>
      <c r="BY219" s="194">
        <v>10</v>
      </c>
      <c r="BZ219" s="194">
        <v>5</v>
      </c>
      <c r="CA219" s="194"/>
      <c r="CB219" s="194">
        <v>10</v>
      </c>
      <c r="CC219" s="194">
        <v>10</v>
      </c>
      <c r="CD219" s="194"/>
      <c r="CE219" s="194"/>
      <c r="CF219" s="305" t="s">
        <v>2422</v>
      </c>
      <c r="CG219" s="305" t="s">
        <v>2408</v>
      </c>
      <c r="CH219" s="96" t="str">
        <f t="shared" si="19"/>
        <v>MísticoSin</v>
      </c>
      <c r="CI219" s="68"/>
    </row>
    <row r="220" spans="1:109" ht="12.75" customHeight="1" x14ac:dyDescent="0.2">
      <c r="A220" s="1916">
        <v>220</v>
      </c>
      <c r="B220" s="5148"/>
      <c r="C220" s="2363">
        <f>IF(ISNA(VLOOKUP(Tablas!$D220,PDs!$P$5:$S$14,4,FALSE)),0,VLOOKUP(Tablas!$D220,PDs!$P$5:$S$14,4,FALSE))</f>
        <v>0</v>
      </c>
      <c r="D220" s="2366" t="s">
        <v>2428</v>
      </c>
      <c r="E220" s="194">
        <v>5</v>
      </c>
      <c r="F220" s="194">
        <v>10</v>
      </c>
      <c r="G220" s="194">
        <v>20</v>
      </c>
      <c r="H220" s="194">
        <v>20</v>
      </c>
      <c r="I220" s="1748">
        <v>0.5</v>
      </c>
      <c r="J220" s="407">
        <v>0.5</v>
      </c>
      <c r="K220" s="407">
        <v>0.5</v>
      </c>
      <c r="L220" s="408">
        <f>1/3</f>
        <v>0.33333333333333331</v>
      </c>
      <c r="M220" s="409">
        <v>5</v>
      </c>
      <c r="N220" s="409">
        <v>5</v>
      </c>
      <c r="O220" s="2011">
        <v>5</v>
      </c>
      <c r="P220" s="409"/>
      <c r="Q220" s="409">
        <v>20</v>
      </c>
      <c r="R220" s="409">
        <v>2</v>
      </c>
      <c r="S220" s="409">
        <v>2</v>
      </c>
      <c r="T220" s="409">
        <v>2</v>
      </c>
      <c r="U220" s="409">
        <v>2</v>
      </c>
      <c r="V220" s="410">
        <v>2</v>
      </c>
      <c r="W220" s="410">
        <v>20</v>
      </c>
      <c r="X220" s="410">
        <v>1</v>
      </c>
      <c r="Y220" s="410">
        <v>60</v>
      </c>
      <c r="Z220" s="410">
        <v>3</v>
      </c>
      <c r="AA220" s="410">
        <v>1</v>
      </c>
      <c r="AB220" s="410">
        <v>1</v>
      </c>
      <c r="AC220" s="410">
        <v>1</v>
      </c>
      <c r="AD220" s="410">
        <v>1</v>
      </c>
      <c r="AE220" s="410">
        <v>20</v>
      </c>
      <c r="AF220" s="410">
        <v>3</v>
      </c>
      <c r="AG220" s="410">
        <v>2</v>
      </c>
      <c r="AH220" s="410">
        <v>2</v>
      </c>
      <c r="AI220" s="410">
        <v>2</v>
      </c>
      <c r="AJ220" s="410">
        <v>2</v>
      </c>
      <c r="AK220" s="410">
        <v>2</v>
      </c>
      <c r="AL220" s="410">
        <v>2</v>
      </c>
      <c r="AM220" s="410">
        <v>2</v>
      </c>
      <c r="AN220" s="410">
        <v>3</v>
      </c>
      <c r="AO220" s="410">
        <v>3</v>
      </c>
      <c r="AP220" s="410">
        <v>3</v>
      </c>
      <c r="AQ220" s="410">
        <v>3</v>
      </c>
      <c r="AR220" s="410">
        <v>3</v>
      </c>
      <c r="AS220" s="410">
        <v>3</v>
      </c>
      <c r="AT220" s="410">
        <v>3</v>
      </c>
      <c r="AU220" s="410">
        <v>3</v>
      </c>
      <c r="AV220" s="410">
        <v>3</v>
      </c>
      <c r="AW220" s="410">
        <v>3</v>
      </c>
      <c r="AX220" s="410">
        <v>3</v>
      </c>
      <c r="AY220" s="410">
        <v>3</v>
      </c>
      <c r="AZ220" s="410">
        <v>3</v>
      </c>
      <c r="BA220" s="410">
        <v>3</v>
      </c>
      <c r="BB220" s="410"/>
      <c r="BC220" s="410"/>
      <c r="BD220" s="410"/>
      <c r="BE220" s="410"/>
      <c r="BF220" s="410"/>
      <c r="BG220" s="410"/>
      <c r="BH220" s="410"/>
      <c r="BI220" s="410"/>
      <c r="BJ220" s="410"/>
      <c r="BK220" s="410"/>
      <c r="BL220" s="410"/>
      <c r="BM220" s="194">
        <v>5</v>
      </c>
      <c r="BN220" s="410">
        <v>5</v>
      </c>
      <c r="BO220" s="410"/>
      <c r="BP220" s="410"/>
      <c r="BQ220" s="410"/>
      <c r="BR220" s="410"/>
      <c r="BS220" s="410"/>
      <c r="BT220" s="410"/>
      <c r="BU220" s="194"/>
      <c r="BV220" s="194"/>
      <c r="BW220" s="194"/>
      <c r="BX220" s="194"/>
      <c r="BY220" s="194">
        <v>5</v>
      </c>
      <c r="BZ220" s="194"/>
      <c r="CA220" s="194"/>
      <c r="CB220" s="194">
        <v>5</v>
      </c>
      <c r="CC220" s="194">
        <v>5</v>
      </c>
      <c r="CD220" s="194"/>
      <c r="CE220" s="194"/>
      <c r="CF220" s="305" t="s">
        <v>2407</v>
      </c>
      <c r="CG220" s="305" t="s">
        <v>2422</v>
      </c>
      <c r="CH220" s="96" t="str">
        <f t="shared" si="19"/>
        <v>LuchadorMístico</v>
      </c>
      <c r="CI220" s="68"/>
    </row>
    <row r="221" spans="1:109" ht="12.75" customHeight="1" x14ac:dyDescent="0.2">
      <c r="A221" s="1916">
        <v>221</v>
      </c>
      <c r="B221" s="5148"/>
      <c r="C221" s="2363">
        <f>IF(ISNA(VLOOKUP(Tablas!$D221,PDs!$P$5:$S$14,4,FALSE)),0,VLOOKUP(Tablas!$D221,PDs!$P$5:$S$14,4,FALSE))</f>
        <v>0</v>
      </c>
      <c r="D221" s="2366" t="s">
        <v>2429</v>
      </c>
      <c r="E221" s="194">
        <v>5</v>
      </c>
      <c r="F221" s="194">
        <v>5</v>
      </c>
      <c r="G221" s="194">
        <v>20</v>
      </c>
      <c r="H221" s="194">
        <v>10</v>
      </c>
      <c r="I221" s="1748">
        <v>0.5</v>
      </c>
      <c r="J221" s="407">
        <v>0.5</v>
      </c>
      <c r="K221" s="407">
        <v>0.60000000000000009</v>
      </c>
      <c r="L221" s="412">
        <v>1</v>
      </c>
      <c r="M221" s="409"/>
      <c r="N221" s="409"/>
      <c r="O221" s="2011"/>
      <c r="P221" s="409"/>
      <c r="Q221" s="409"/>
      <c r="R221" s="409">
        <v>3</v>
      </c>
      <c r="S221" s="409">
        <v>3</v>
      </c>
      <c r="T221" s="409">
        <v>2</v>
      </c>
      <c r="U221" s="409">
        <v>3</v>
      </c>
      <c r="V221" s="410">
        <v>3</v>
      </c>
      <c r="W221" s="410">
        <v>30</v>
      </c>
      <c r="X221" s="410">
        <v>3</v>
      </c>
      <c r="Y221" s="410">
        <v>70</v>
      </c>
      <c r="Z221" s="410">
        <v>3</v>
      </c>
      <c r="AA221" s="410">
        <v>3</v>
      </c>
      <c r="AB221" s="410">
        <v>3</v>
      </c>
      <c r="AC221" s="410">
        <v>3</v>
      </c>
      <c r="AD221" s="410">
        <v>3</v>
      </c>
      <c r="AE221" s="410">
        <v>10</v>
      </c>
      <c r="AF221" s="410">
        <v>2</v>
      </c>
      <c r="AG221" s="410">
        <v>2</v>
      </c>
      <c r="AH221" s="410">
        <v>2</v>
      </c>
      <c r="AI221" s="410">
        <v>2</v>
      </c>
      <c r="AJ221" s="410">
        <v>2</v>
      </c>
      <c r="AK221" s="410">
        <v>3</v>
      </c>
      <c r="AL221" s="410">
        <v>2</v>
      </c>
      <c r="AM221" s="410">
        <v>2</v>
      </c>
      <c r="AN221" s="410">
        <v>3</v>
      </c>
      <c r="AO221" s="410">
        <v>3</v>
      </c>
      <c r="AP221" s="410">
        <v>3</v>
      </c>
      <c r="AQ221" s="410">
        <v>3</v>
      </c>
      <c r="AR221" s="410">
        <v>3</v>
      </c>
      <c r="AS221" s="410">
        <v>3</v>
      </c>
      <c r="AT221" s="410">
        <v>3</v>
      </c>
      <c r="AU221" s="410">
        <v>3</v>
      </c>
      <c r="AV221" s="410">
        <v>3</v>
      </c>
      <c r="AW221" s="410">
        <v>3</v>
      </c>
      <c r="AX221" s="410">
        <v>3</v>
      </c>
      <c r="AY221" s="410">
        <v>3</v>
      </c>
      <c r="AZ221" s="410">
        <v>3</v>
      </c>
      <c r="BA221" s="410">
        <v>3</v>
      </c>
      <c r="BB221" s="410"/>
      <c r="BC221" s="410"/>
      <c r="BD221" s="410"/>
      <c r="BE221" s="410"/>
      <c r="BF221" s="410"/>
      <c r="BG221" s="410"/>
      <c r="BH221" s="410"/>
      <c r="BI221" s="410"/>
      <c r="BJ221" s="410"/>
      <c r="BK221" s="410"/>
      <c r="BL221" s="410"/>
      <c r="BM221" s="410"/>
      <c r="BN221" s="410"/>
      <c r="BO221" s="410"/>
      <c r="BP221" s="410"/>
      <c r="BQ221" s="410"/>
      <c r="BR221" s="410"/>
      <c r="BS221" s="410"/>
      <c r="BT221" s="410"/>
      <c r="BU221" s="194"/>
      <c r="BV221" s="194"/>
      <c r="BW221" s="194"/>
      <c r="BX221" s="194"/>
      <c r="BY221" s="194"/>
      <c r="BZ221" s="194"/>
      <c r="CA221" s="194"/>
      <c r="CB221" s="194"/>
      <c r="CC221" s="194"/>
      <c r="CD221" s="194"/>
      <c r="CE221" s="194"/>
      <c r="CF221" s="305" t="s">
        <v>2426</v>
      </c>
      <c r="CG221" s="305" t="s">
        <v>2408</v>
      </c>
      <c r="CH221" s="96" t="str">
        <f t="shared" si="19"/>
        <v>PsíquicoSin</v>
      </c>
      <c r="CI221" s="68"/>
    </row>
    <row r="222" spans="1:109" ht="12.75" customHeight="1" x14ac:dyDescent="0.2">
      <c r="A222" s="1916">
        <v>222</v>
      </c>
      <c r="B222" s="5148"/>
      <c r="C222" s="2363">
        <f>IF(ISNA(VLOOKUP(Tablas!$D222,PDs!$P$5:$S$14,4,FALSE)),0,VLOOKUP(Tablas!$D222,PDs!$P$5:$S$14,4,FALSE))</f>
        <v>0</v>
      </c>
      <c r="D222" s="2366" t="s">
        <v>2430</v>
      </c>
      <c r="E222" s="194">
        <v>5</v>
      </c>
      <c r="F222" s="194">
        <v>10</v>
      </c>
      <c r="G222" s="194">
        <v>20</v>
      </c>
      <c r="H222" s="194">
        <v>20</v>
      </c>
      <c r="I222" s="1748">
        <v>0.5</v>
      </c>
      <c r="J222" s="407">
        <v>0.5</v>
      </c>
      <c r="K222" s="407">
        <v>0.5</v>
      </c>
      <c r="L222" s="412">
        <v>1</v>
      </c>
      <c r="M222" s="409">
        <v>5</v>
      </c>
      <c r="N222" s="409">
        <v>5</v>
      </c>
      <c r="O222" s="2011">
        <v>5</v>
      </c>
      <c r="P222" s="409"/>
      <c r="Q222" s="409"/>
      <c r="R222" s="410">
        <v>2</v>
      </c>
      <c r="S222" s="410">
        <v>2</v>
      </c>
      <c r="T222" s="410">
        <v>2</v>
      </c>
      <c r="U222" s="410">
        <v>2</v>
      </c>
      <c r="V222" s="410">
        <v>2</v>
      </c>
      <c r="W222" s="410">
        <v>25</v>
      </c>
      <c r="X222" s="410">
        <v>3</v>
      </c>
      <c r="Y222" s="410">
        <v>70</v>
      </c>
      <c r="Z222" s="410">
        <v>3</v>
      </c>
      <c r="AA222" s="410">
        <v>3</v>
      </c>
      <c r="AB222" s="410">
        <v>3</v>
      </c>
      <c r="AC222" s="410">
        <v>3</v>
      </c>
      <c r="AD222" s="410">
        <v>3</v>
      </c>
      <c r="AE222" s="410">
        <v>15</v>
      </c>
      <c r="AF222" s="410">
        <v>2</v>
      </c>
      <c r="AG222" s="410">
        <v>2</v>
      </c>
      <c r="AH222" s="410">
        <v>2</v>
      </c>
      <c r="AI222" s="410">
        <v>2</v>
      </c>
      <c r="AJ222" s="410">
        <v>3</v>
      </c>
      <c r="AK222" s="410">
        <v>2</v>
      </c>
      <c r="AL222" s="410">
        <v>2</v>
      </c>
      <c r="AM222" s="410">
        <v>2</v>
      </c>
      <c r="AN222" s="410">
        <v>3</v>
      </c>
      <c r="AO222" s="410">
        <v>3</v>
      </c>
      <c r="AP222" s="410">
        <v>3</v>
      </c>
      <c r="AQ222" s="410">
        <v>3</v>
      </c>
      <c r="AR222" s="410">
        <v>3</v>
      </c>
      <c r="AS222" s="410">
        <v>3</v>
      </c>
      <c r="AT222" s="410">
        <v>3</v>
      </c>
      <c r="AU222" s="410">
        <v>3</v>
      </c>
      <c r="AV222" s="410">
        <v>3</v>
      </c>
      <c r="AW222" s="410">
        <v>3</v>
      </c>
      <c r="AX222" s="410">
        <v>3</v>
      </c>
      <c r="AY222" s="410">
        <v>3</v>
      </c>
      <c r="AZ222" s="410">
        <v>3</v>
      </c>
      <c r="BA222" s="410">
        <v>3</v>
      </c>
      <c r="BB222" s="410"/>
      <c r="BC222" s="410"/>
      <c r="BD222" s="410"/>
      <c r="BE222" s="410"/>
      <c r="BF222" s="410"/>
      <c r="BG222" s="410"/>
      <c r="BH222" s="410"/>
      <c r="BI222" s="410"/>
      <c r="BJ222" s="410"/>
      <c r="BK222" s="410"/>
      <c r="BL222" s="410"/>
      <c r="BM222" s="410"/>
      <c r="BN222" s="410"/>
      <c r="BO222" s="410"/>
      <c r="BP222" s="410"/>
      <c r="BQ222" s="410"/>
      <c r="BR222" s="410"/>
      <c r="BS222" s="410"/>
      <c r="BT222" s="410"/>
      <c r="BU222" s="194"/>
      <c r="BV222" s="194"/>
      <c r="BW222" s="194"/>
      <c r="BX222" s="194"/>
      <c r="BY222" s="194"/>
      <c r="BZ222" s="194"/>
      <c r="CA222" s="194"/>
      <c r="CB222" s="194"/>
      <c r="CC222" s="194"/>
      <c r="CD222" s="194"/>
      <c r="CE222" s="194"/>
      <c r="CF222" s="305" t="s">
        <v>2407</v>
      </c>
      <c r="CG222" s="305" t="s">
        <v>2426</v>
      </c>
      <c r="CH222" s="96" t="str">
        <f t="shared" si="19"/>
        <v>LuchadorPsíquico</v>
      </c>
      <c r="CI222" s="68"/>
    </row>
    <row r="223" spans="1:109" ht="12.75" customHeight="1" thickBot="1" x14ac:dyDescent="0.25">
      <c r="A223" s="1916">
        <v>223</v>
      </c>
      <c r="B223" s="5148"/>
      <c r="C223" s="2364">
        <f>IF(ISNA(VLOOKUP(Tablas!$D223,PDs!$P$5:$S$14,4,FALSE)),0,VLOOKUP(Tablas!$D223,PDs!$P$5:$S$14,4,FALSE))</f>
        <v>0</v>
      </c>
      <c r="D223" s="2367" t="s">
        <v>1851</v>
      </c>
      <c r="E223" s="393">
        <v>5</v>
      </c>
      <c r="F223" s="393">
        <v>5</v>
      </c>
      <c r="G223" s="393">
        <v>20</v>
      </c>
      <c r="H223" s="393">
        <v>20</v>
      </c>
      <c r="I223" s="1749">
        <v>0.60000000000000009</v>
      </c>
      <c r="J223" s="413">
        <v>0.60000000000000009</v>
      </c>
      <c r="K223" s="413">
        <v>0.60000000000000009</v>
      </c>
      <c r="L223" s="414">
        <v>0.5</v>
      </c>
      <c r="M223" s="415"/>
      <c r="N223" s="415"/>
      <c r="O223" s="2012"/>
      <c r="P223" s="415"/>
      <c r="Q223" s="415">
        <v>10</v>
      </c>
      <c r="R223" s="415">
        <v>2</v>
      </c>
      <c r="S223" s="415">
        <v>2</v>
      </c>
      <c r="T223" s="415">
        <v>2</v>
      </c>
      <c r="U223" s="415">
        <v>2</v>
      </c>
      <c r="V223" s="416">
        <v>2</v>
      </c>
      <c r="W223" s="416">
        <v>20</v>
      </c>
      <c r="X223" s="416">
        <v>2</v>
      </c>
      <c r="Y223" s="416">
        <v>60</v>
      </c>
      <c r="Z223" s="416">
        <v>2</v>
      </c>
      <c r="AA223" s="416">
        <v>2</v>
      </c>
      <c r="AB223" s="416">
        <v>2</v>
      </c>
      <c r="AC223" s="416">
        <v>2</v>
      </c>
      <c r="AD223" s="416">
        <v>2</v>
      </c>
      <c r="AE223" s="416">
        <v>20</v>
      </c>
      <c r="AF223" s="416">
        <v>2</v>
      </c>
      <c r="AG223" s="416">
        <v>2</v>
      </c>
      <c r="AH223" s="416">
        <v>2</v>
      </c>
      <c r="AI223" s="416">
        <v>2</v>
      </c>
      <c r="AJ223" s="416">
        <v>2</v>
      </c>
      <c r="AK223" s="416">
        <v>2</v>
      </c>
      <c r="AL223" s="416">
        <v>2</v>
      </c>
      <c r="AM223" s="416">
        <v>2</v>
      </c>
      <c r="AN223" s="416">
        <v>3</v>
      </c>
      <c r="AO223" s="416">
        <v>3</v>
      </c>
      <c r="AP223" s="416">
        <v>3</v>
      </c>
      <c r="AQ223" s="416">
        <v>3</v>
      </c>
      <c r="AR223" s="416">
        <v>3</v>
      </c>
      <c r="AS223" s="416">
        <v>3</v>
      </c>
      <c r="AT223" s="416">
        <v>3</v>
      </c>
      <c r="AU223" s="416">
        <v>3</v>
      </c>
      <c r="AV223" s="416">
        <v>3</v>
      </c>
      <c r="AW223" s="416">
        <v>3</v>
      </c>
      <c r="AX223" s="416">
        <v>3</v>
      </c>
      <c r="AY223" s="416">
        <v>3</v>
      </c>
      <c r="AZ223" s="416">
        <v>3</v>
      </c>
      <c r="BA223" s="416">
        <v>3</v>
      </c>
      <c r="BB223" s="416"/>
      <c r="BC223" s="416"/>
      <c r="BD223" s="416"/>
      <c r="BE223" s="416"/>
      <c r="BF223" s="416"/>
      <c r="BG223" s="416"/>
      <c r="BH223" s="416"/>
      <c r="BI223" s="416"/>
      <c r="BJ223" s="416"/>
      <c r="BK223" s="416"/>
      <c r="BL223" s="416"/>
      <c r="BM223" s="416"/>
      <c r="BN223" s="416"/>
      <c r="BO223" s="416"/>
      <c r="BP223" s="416"/>
      <c r="BQ223" s="416"/>
      <c r="BR223" s="416"/>
      <c r="BS223" s="416"/>
      <c r="BT223" s="416"/>
      <c r="BU223" s="393"/>
      <c r="BV223" s="393"/>
      <c r="BW223" s="393"/>
      <c r="BX223" s="393"/>
      <c r="BY223" s="393"/>
      <c r="BZ223" s="393"/>
      <c r="CA223" s="393"/>
      <c r="CB223" s="393"/>
      <c r="CC223" s="393"/>
      <c r="CD223" s="393"/>
      <c r="CE223" s="393"/>
      <c r="CF223" s="384" t="s">
        <v>2408</v>
      </c>
      <c r="CG223" s="384" t="s">
        <v>2408</v>
      </c>
      <c r="CH223" s="417" t="str">
        <f t="shared" si="19"/>
        <v>SinSin</v>
      </c>
      <c r="CI223" s="180"/>
    </row>
    <row r="224" spans="1:109" ht="12.75" customHeight="1" thickBot="1" x14ac:dyDescent="0.25">
      <c r="A224" s="1916">
        <v>224</v>
      </c>
      <c r="B224" s="5148"/>
      <c r="C224" s="2361"/>
      <c r="D224" s="5297" t="s">
        <v>8938</v>
      </c>
      <c r="E224" s="2062" t="str">
        <f>E201</f>
        <v>Turno</v>
      </c>
      <c r="F224" s="2062" t="str">
        <f>F201</f>
        <v>PV</v>
      </c>
      <c r="G224" s="2062" t="s">
        <v>1766</v>
      </c>
      <c r="H224" s="2062" t="str">
        <f>H201</f>
        <v>Conocimiento Marcial</v>
      </c>
      <c r="I224" s="2359" t="s">
        <v>1766</v>
      </c>
      <c r="J224" s="2062" t="s">
        <v>1766</v>
      </c>
      <c r="K224" s="2062" t="s">
        <v>1766</v>
      </c>
      <c r="L224" s="2062" t="str">
        <f t="shared" ref="L224:Q224" si="20">L201</f>
        <v>CV</v>
      </c>
      <c r="M224" s="2062" t="str">
        <f t="shared" si="20"/>
        <v>H. Ataque</v>
      </c>
      <c r="N224" s="2062" t="str">
        <f t="shared" si="20"/>
        <v>H. Parada</v>
      </c>
      <c r="O224" s="2062" t="str">
        <f t="shared" si="20"/>
        <v>H. Esquiva</v>
      </c>
      <c r="P224" s="2062" t="str">
        <f t="shared" si="20"/>
        <v>Llevar Armadura</v>
      </c>
      <c r="Q224" s="2062" t="str">
        <f t="shared" si="20"/>
        <v>Zeón</v>
      </c>
      <c r="R224" s="2062" t="s">
        <v>1766</v>
      </c>
      <c r="S224" s="2062" t="s">
        <v>1766</v>
      </c>
      <c r="T224" s="2062" t="s">
        <v>1766</v>
      </c>
      <c r="U224" s="2062" t="s">
        <v>1766</v>
      </c>
      <c r="V224" s="2062" t="s">
        <v>1766</v>
      </c>
      <c r="W224" s="2062" t="s">
        <v>1766</v>
      </c>
      <c r="X224" s="2062" t="s">
        <v>1766</v>
      </c>
      <c r="Y224" s="2062" t="s">
        <v>1766</v>
      </c>
      <c r="Z224" s="2062" t="s">
        <v>1766</v>
      </c>
      <c r="AA224" s="2062" t="s">
        <v>1766</v>
      </c>
      <c r="AB224" s="2062" t="s">
        <v>1766</v>
      </c>
      <c r="AC224" s="2062" t="s">
        <v>1766</v>
      </c>
      <c r="AD224" s="2062" t="s">
        <v>1766</v>
      </c>
      <c r="AE224" s="2062" t="s">
        <v>1766</v>
      </c>
      <c r="AF224" s="2062" t="s">
        <v>1766</v>
      </c>
      <c r="AG224" s="2062" t="s">
        <v>1766</v>
      </c>
      <c r="AH224" s="2062" t="s">
        <v>1766</v>
      </c>
      <c r="AI224" s="2062" t="s">
        <v>1766</v>
      </c>
      <c r="AJ224" s="2062" t="s">
        <v>1766</v>
      </c>
      <c r="AK224" s="2062" t="s">
        <v>1766</v>
      </c>
      <c r="AL224" s="2062" t="s">
        <v>1766</v>
      </c>
      <c r="AM224" s="2062" t="s">
        <v>1766</v>
      </c>
      <c r="AN224" s="2062" t="s">
        <v>1766</v>
      </c>
      <c r="AO224" s="2062" t="s">
        <v>1766</v>
      </c>
      <c r="AP224" s="2062" t="s">
        <v>1766</v>
      </c>
      <c r="AQ224" s="2062" t="s">
        <v>1766</v>
      </c>
      <c r="AR224" s="2062" t="s">
        <v>1766</v>
      </c>
      <c r="AS224" s="2062" t="s">
        <v>1766</v>
      </c>
      <c r="AT224" s="2062" t="s">
        <v>1766</v>
      </c>
      <c r="AU224" s="2062" t="s">
        <v>1766</v>
      </c>
      <c r="AV224" s="2062" t="s">
        <v>1766</v>
      </c>
      <c r="AW224" s="2062" t="s">
        <v>1766</v>
      </c>
      <c r="AX224" s="2062" t="s">
        <v>1766</v>
      </c>
      <c r="AY224" s="2062" t="s">
        <v>1766</v>
      </c>
      <c r="AZ224" s="2062" t="s">
        <v>1766</v>
      </c>
      <c r="BA224" s="2062" t="s">
        <v>1766</v>
      </c>
      <c r="BB224" s="2062" t="str">
        <f t="shared" ref="BB224:CE224" si="21">BB201</f>
        <v>P. Fuerza</v>
      </c>
      <c r="BC224" s="2062" t="str">
        <f t="shared" si="21"/>
        <v>Acrobacias</v>
      </c>
      <c r="BD224" s="2062" t="str">
        <f t="shared" si="21"/>
        <v>Saltar</v>
      </c>
      <c r="BE224" s="2062" t="str">
        <f t="shared" si="21"/>
        <v>Atletismo</v>
      </c>
      <c r="BF224" s="2062" t="str">
        <f t="shared" si="21"/>
        <v>T. Manos</v>
      </c>
      <c r="BG224" s="2062" t="str">
        <f t="shared" si="21"/>
        <v>Estilo</v>
      </c>
      <c r="BH224" s="2062" t="str">
        <f t="shared" si="21"/>
        <v>Liderazgo</v>
      </c>
      <c r="BI224" s="2062" t="str">
        <f t="shared" si="21"/>
        <v>Res. Dolor</v>
      </c>
      <c r="BJ224" s="2062" t="str">
        <f t="shared" si="21"/>
        <v>Intimidar</v>
      </c>
      <c r="BK224" s="2062" t="str">
        <f t="shared" si="21"/>
        <v>Frialdad</v>
      </c>
      <c r="BL224" s="2062" t="str">
        <f t="shared" si="21"/>
        <v>Persuasión</v>
      </c>
      <c r="BM224" s="2062" t="str">
        <f t="shared" si="21"/>
        <v>Desconvocar</v>
      </c>
      <c r="BN224" s="2062" t="str">
        <f t="shared" si="21"/>
        <v>Controlar</v>
      </c>
      <c r="BO224" s="2062" t="str">
        <f t="shared" si="21"/>
        <v>Advertir</v>
      </c>
      <c r="BP224" s="2062" t="str">
        <f t="shared" si="21"/>
        <v>Buscar</v>
      </c>
      <c r="BQ224" s="2062" t="str">
        <f t="shared" si="21"/>
        <v>Rastrear</v>
      </c>
      <c r="BR224" s="2062" t="str">
        <f t="shared" si="21"/>
        <v>Trampería</v>
      </c>
      <c r="BS224" s="2062" t="str">
        <f t="shared" si="21"/>
        <v>Animales</v>
      </c>
      <c r="BT224" s="2062" t="str">
        <f t="shared" si="21"/>
        <v>Herbolaria</v>
      </c>
      <c r="BU224" s="2062" t="str">
        <f t="shared" si="21"/>
        <v>Ocultarse</v>
      </c>
      <c r="BV224" s="2062" t="str">
        <f t="shared" si="21"/>
        <v>Sigilo</v>
      </c>
      <c r="BW224" s="2062" t="str">
        <f t="shared" si="21"/>
        <v>Robo</v>
      </c>
      <c r="BX224" s="2062" t="str">
        <f t="shared" si="21"/>
        <v>Venenos</v>
      </c>
      <c r="BY224" s="2062" t="str">
        <f t="shared" si="21"/>
        <v>Ocultismo</v>
      </c>
      <c r="BZ224" s="2062" t="str">
        <f t="shared" si="21"/>
        <v>V. Mágica</v>
      </c>
      <c r="CA224" s="2062" t="str">
        <f t="shared" si="21"/>
        <v>Disfraz</v>
      </c>
      <c r="CB224" s="2062" t="str">
        <f t="shared" si="21"/>
        <v>Convocar</v>
      </c>
      <c r="CC224" s="2062" t="str">
        <f t="shared" si="21"/>
        <v>Atar</v>
      </c>
      <c r="CD224" s="2062" t="str">
        <f t="shared" si="21"/>
        <v>Detección Ki</v>
      </c>
      <c r="CE224" s="2062" t="str">
        <f t="shared" si="21"/>
        <v>Ocultación Ki</v>
      </c>
      <c r="CF224" s="2361"/>
      <c r="CG224" s="2361"/>
      <c r="CH224" s="2361"/>
      <c r="CI224" s="2361"/>
    </row>
    <row r="225" spans="1:83" ht="12.75" customHeight="1" x14ac:dyDescent="0.2">
      <c r="A225" s="1916">
        <v>225</v>
      </c>
      <c r="B225" s="5148"/>
      <c r="D225" s="5298"/>
      <c r="E225" s="2368">
        <f>SUMPRODUCT($C$202:$C$223,E$202:E$223)</f>
        <v>0</v>
      </c>
      <c r="F225" s="2368">
        <f>SUMPRODUCT($C$202:$C$223,F$202:F$223)</f>
        <v>0</v>
      </c>
      <c r="G225" s="2368" t="s">
        <v>1766</v>
      </c>
      <c r="H225" s="2368">
        <f>SUMPRODUCT($C$202:$C$223,H$202:H$223)</f>
        <v>0</v>
      </c>
      <c r="I225" s="2368" t="s">
        <v>1766</v>
      </c>
      <c r="J225" s="2368" t="s">
        <v>1766</v>
      </c>
      <c r="K225" s="2368" t="s">
        <v>1766</v>
      </c>
      <c r="L225" s="2369">
        <f>MIN(50,SUMPRODUCT($C$202:$C$223,L$202:L$223))</f>
        <v>0</v>
      </c>
      <c r="M225" s="2369">
        <f>MIN(50,SUMPRODUCT($C$202:$C$223,M$202:M$223))</f>
        <v>0</v>
      </c>
      <c r="N225" s="2369">
        <f>MIN(50,SUMPRODUCT($C$202:$C$223,N$202:N$223))</f>
        <v>0</v>
      </c>
      <c r="O225" s="2369">
        <f>MIN(50,SUMPRODUCT($C$202:$C$223,O$202:O$223))</f>
        <v>0</v>
      </c>
      <c r="P225" s="2368">
        <f>SUMPRODUCT($C$202:$C$223,P$202:P$223)</f>
        <v>0</v>
      </c>
      <c r="Q225" s="2368">
        <f>SUMPRODUCT($C$202:$C$223,Q$202:Q$223)</f>
        <v>0</v>
      </c>
      <c r="R225" s="2368" t="s">
        <v>1766</v>
      </c>
      <c r="S225" s="2368" t="s">
        <v>1766</v>
      </c>
      <c r="T225" s="2368" t="s">
        <v>1766</v>
      </c>
      <c r="U225" s="2368" t="s">
        <v>1766</v>
      </c>
      <c r="V225" s="2368" t="s">
        <v>1766</v>
      </c>
      <c r="W225" s="2368" t="s">
        <v>1766</v>
      </c>
      <c r="X225" s="2368" t="s">
        <v>1766</v>
      </c>
      <c r="Y225" s="2368" t="s">
        <v>1766</v>
      </c>
      <c r="Z225" s="2368" t="s">
        <v>1766</v>
      </c>
      <c r="AA225" s="2368" t="s">
        <v>1766</v>
      </c>
      <c r="AB225" s="2368" t="s">
        <v>1766</v>
      </c>
      <c r="AC225" s="2368" t="s">
        <v>1766</v>
      </c>
      <c r="AD225" s="2368" t="s">
        <v>1766</v>
      </c>
      <c r="AE225" s="2368" t="s">
        <v>1766</v>
      </c>
      <c r="AF225" s="2368" t="s">
        <v>1766</v>
      </c>
      <c r="AG225" s="2368" t="s">
        <v>1766</v>
      </c>
      <c r="AH225" s="2368" t="s">
        <v>1766</v>
      </c>
      <c r="AI225" s="2368" t="s">
        <v>1766</v>
      </c>
      <c r="AJ225" s="2368" t="s">
        <v>1766</v>
      </c>
      <c r="AK225" s="2368" t="s">
        <v>1766</v>
      </c>
      <c r="AL225" s="2368" t="s">
        <v>1766</v>
      </c>
      <c r="AM225" s="2368" t="s">
        <v>1766</v>
      </c>
      <c r="AN225" s="2368" t="s">
        <v>1766</v>
      </c>
      <c r="AO225" s="2368" t="s">
        <v>1766</v>
      </c>
      <c r="AP225" s="2368" t="s">
        <v>1766</v>
      </c>
      <c r="AQ225" s="2368" t="s">
        <v>1766</v>
      </c>
      <c r="AR225" s="2368" t="s">
        <v>1766</v>
      </c>
      <c r="AS225" s="2368" t="s">
        <v>1766</v>
      </c>
      <c r="AT225" s="2368" t="s">
        <v>1766</v>
      </c>
      <c r="AU225" s="2368" t="s">
        <v>1766</v>
      </c>
      <c r="AV225" s="2368" t="s">
        <v>1766</v>
      </c>
      <c r="AW225" s="2368" t="s">
        <v>1766</v>
      </c>
      <c r="AX225" s="2368" t="s">
        <v>1766</v>
      </c>
      <c r="AY225" s="2368" t="s">
        <v>1766</v>
      </c>
      <c r="AZ225" s="2368" t="s">
        <v>1766</v>
      </c>
      <c r="BA225" s="2368" t="s">
        <v>1766</v>
      </c>
      <c r="BB225" s="2368">
        <f t="shared" ref="BB225:CE225" si="22">SUMPRODUCT($C$202:$C$223,BB$202:BB$223)</f>
        <v>0</v>
      </c>
      <c r="BC225" s="2368">
        <f t="shared" si="22"/>
        <v>0</v>
      </c>
      <c r="BD225" s="2368">
        <f t="shared" si="22"/>
        <v>0</v>
      </c>
      <c r="BE225" s="2368">
        <f t="shared" si="22"/>
        <v>0</v>
      </c>
      <c r="BF225" s="2368">
        <f t="shared" si="22"/>
        <v>0</v>
      </c>
      <c r="BG225" s="2368">
        <f t="shared" si="22"/>
        <v>0</v>
      </c>
      <c r="BH225" s="2368">
        <f t="shared" si="22"/>
        <v>0</v>
      </c>
      <c r="BI225" s="2368">
        <f t="shared" si="22"/>
        <v>0</v>
      </c>
      <c r="BJ225" s="2368">
        <f t="shared" si="22"/>
        <v>0</v>
      </c>
      <c r="BK225" s="2368">
        <f t="shared" si="22"/>
        <v>0</v>
      </c>
      <c r="BL225" s="2368">
        <f t="shared" si="22"/>
        <v>0</v>
      </c>
      <c r="BM225" s="2368">
        <f t="shared" si="22"/>
        <v>0</v>
      </c>
      <c r="BN225" s="2368">
        <f t="shared" si="22"/>
        <v>0</v>
      </c>
      <c r="BO225" s="2368">
        <f t="shared" si="22"/>
        <v>0</v>
      </c>
      <c r="BP225" s="2368">
        <f t="shared" si="22"/>
        <v>0</v>
      </c>
      <c r="BQ225" s="2368">
        <f t="shared" si="22"/>
        <v>0</v>
      </c>
      <c r="BR225" s="2368">
        <f t="shared" si="22"/>
        <v>0</v>
      </c>
      <c r="BS225" s="2368">
        <f t="shared" si="22"/>
        <v>0</v>
      </c>
      <c r="BT225" s="2368">
        <f t="shared" si="22"/>
        <v>0</v>
      </c>
      <c r="BU225" s="2368">
        <f t="shared" si="22"/>
        <v>0</v>
      </c>
      <c r="BV225" s="2368">
        <f t="shared" si="22"/>
        <v>0</v>
      </c>
      <c r="BW225" s="2368">
        <f t="shared" si="22"/>
        <v>0</v>
      </c>
      <c r="BX225" s="2368">
        <f t="shared" si="22"/>
        <v>0</v>
      </c>
      <c r="BY225" s="2368">
        <f t="shared" si="22"/>
        <v>0</v>
      </c>
      <c r="BZ225" s="2368">
        <f t="shared" si="22"/>
        <v>0</v>
      </c>
      <c r="CA225" s="2368">
        <f t="shared" si="22"/>
        <v>0</v>
      </c>
      <c r="CB225" s="2368">
        <f t="shared" si="22"/>
        <v>0</v>
      </c>
      <c r="CC225" s="2368">
        <f t="shared" si="22"/>
        <v>0</v>
      </c>
      <c r="CD225" s="2368">
        <f t="shared" si="22"/>
        <v>0</v>
      </c>
      <c r="CE225" s="2370">
        <f t="shared" si="22"/>
        <v>0</v>
      </c>
    </row>
    <row r="226" spans="1:83" ht="12.75" customHeight="1" x14ac:dyDescent="0.2">
      <c r="A226" s="1916">
        <v>226</v>
      </c>
      <c r="B226" s="5148"/>
    </row>
    <row r="227" spans="1:83" ht="12.75" customHeight="1" x14ac:dyDescent="0.2">
      <c r="A227" s="1916">
        <v>227</v>
      </c>
      <c r="B227" s="5148"/>
    </row>
    <row r="228" spans="1:83" ht="12.75" customHeight="1" x14ac:dyDescent="0.2">
      <c r="A228" s="1916">
        <v>228</v>
      </c>
      <c r="B228" s="5148"/>
      <c r="C228" s="5143" t="s">
        <v>8946</v>
      </c>
      <c r="D228" s="5143"/>
      <c r="E228" s="5143"/>
      <c r="F228" s="5143"/>
      <c r="G228" s="5143"/>
      <c r="H228" s="5143"/>
      <c r="I228" s="5143"/>
      <c r="J228" s="5143"/>
      <c r="K228" s="5143"/>
      <c r="L228" s="5143"/>
      <c r="M228" s="5143"/>
      <c r="N228" s="5143"/>
      <c r="O228" s="5143"/>
      <c r="P228" s="5143"/>
      <c r="Q228" s="5143"/>
      <c r="R228" s="5143"/>
      <c r="S228" s="5143"/>
      <c r="T228" s="5143"/>
      <c r="U228" s="5143"/>
      <c r="V228" s="5143"/>
      <c r="W228" s="5143"/>
      <c r="X228" s="5143"/>
      <c r="Y228" s="5143"/>
      <c r="Z228" s="5143"/>
      <c r="AB228" s="363"/>
      <c r="AC228" s="2563"/>
    </row>
    <row r="229" spans="1:83" ht="12.75" customHeight="1" x14ac:dyDescent="0.2">
      <c r="A229" s="1916">
        <v>229</v>
      </c>
      <c r="B229" s="5148"/>
      <c r="C229" s="5143"/>
      <c r="D229" s="5143"/>
      <c r="E229" s="5143"/>
      <c r="F229" s="5143"/>
      <c r="G229" s="5143"/>
      <c r="H229" s="5143"/>
      <c r="I229" s="5143"/>
      <c r="J229" s="5143"/>
      <c r="K229" s="5143"/>
      <c r="L229" s="5143"/>
      <c r="M229" s="5143"/>
      <c r="N229" s="5143"/>
      <c r="O229" s="5143"/>
      <c r="P229" s="5143"/>
      <c r="Q229" s="5143"/>
      <c r="R229" s="5143"/>
      <c r="S229" s="5143"/>
      <c r="T229" s="5143"/>
      <c r="U229" s="5143"/>
      <c r="V229" s="5143"/>
      <c r="W229" s="5143"/>
      <c r="X229" s="5143"/>
      <c r="Y229" s="5143"/>
      <c r="Z229" s="5143"/>
      <c r="AB229" s="363"/>
      <c r="AC229" s="2563"/>
    </row>
    <row r="230" spans="1:83" ht="12.75" customHeight="1" x14ac:dyDescent="0.2">
      <c r="A230" s="1916">
        <v>230</v>
      </c>
      <c r="B230" s="5148"/>
      <c r="C230" s="5143"/>
      <c r="D230" s="5143"/>
      <c r="E230" s="5143"/>
      <c r="F230" s="5143"/>
      <c r="G230" s="5143"/>
      <c r="H230" s="5143"/>
      <c r="I230" s="5143"/>
      <c r="J230" s="5143"/>
      <c r="K230" s="5143"/>
      <c r="L230" s="5143"/>
      <c r="M230" s="5143"/>
      <c r="N230" s="5143"/>
      <c r="O230" s="5143"/>
      <c r="P230" s="5143"/>
      <c r="Q230" s="5143"/>
      <c r="R230" s="5143"/>
      <c r="S230" s="5143"/>
      <c r="T230" s="5143"/>
      <c r="U230" s="5143"/>
      <c r="V230" s="5143"/>
      <c r="W230" s="5143"/>
      <c r="X230" s="5143"/>
      <c r="Y230" s="5143"/>
      <c r="Z230" s="5143"/>
      <c r="AB230" s="363"/>
      <c r="AC230" s="2563"/>
    </row>
    <row r="231" spans="1:83" ht="12.75" customHeight="1" thickBot="1" x14ac:dyDescent="0.25">
      <c r="A231" s="1916">
        <v>231</v>
      </c>
      <c r="B231" s="5148"/>
      <c r="H231" s="363"/>
      <c r="I231" s="2409"/>
      <c r="N231" s="363"/>
      <c r="O231" s="2409"/>
      <c r="AB231" s="363"/>
      <c r="AC231" s="2563"/>
    </row>
    <row r="232" spans="1:83" ht="12.75" customHeight="1" x14ac:dyDescent="0.2">
      <c r="A232" s="1916">
        <v>232</v>
      </c>
      <c r="B232" s="5148"/>
      <c r="C232" s="5293" t="s">
        <v>2635</v>
      </c>
      <c r="D232" s="5294"/>
      <c r="E232" s="5294"/>
      <c r="F232" s="5294"/>
      <c r="G232" s="5294"/>
      <c r="H232" s="5295"/>
      <c r="I232" s="2409"/>
      <c r="L232" s="5269" t="s">
        <v>2918</v>
      </c>
      <c r="M232" s="5354"/>
      <c r="N232" s="5354"/>
      <c r="O232" s="5354"/>
      <c r="P232" s="5354"/>
      <c r="Q232" s="5354"/>
      <c r="R232" s="5354"/>
      <c r="S232" s="5354"/>
      <c r="T232" s="5354"/>
      <c r="AB232" s="363"/>
      <c r="AC232" s="2563"/>
    </row>
    <row r="233" spans="1:83" ht="12.75" customHeight="1" x14ac:dyDescent="0.2">
      <c r="A233" s="1916">
        <v>233</v>
      </c>
      <c r="B233" s="5148"/>
      <c r="C233" s="2253" t="s">
        <v>1658</v>
      </c>
      <c r="D233" s="2254" t="s">
        <v>3279</v>
      </c>
      <c r="E233" s="2254" t="s">
        <v>8068</v>
      </c>
      <c r="F233" s="2254" t="s">
        <v>8067</v>
      </c>
      <c r="G233" s="2254" t="s">
        <v>1673</v>
      </c>
      <c r="H233" s="2255" t="s">
        <v>8771</v>
      </c>
      <c r="I233" s="2409"/>
      <c r="L233" s="5269"/>
      <c r="M233" s="5354"/>
      <c r="N233" s="5354"/>
      <c r="O233" s="5354"/>
      <c r="P233" s="5354"/>
      <c r="Q233" s="5354"/>
      <c r="R233" s="5354"/>
      <c r="S233" s="5354"/>
      <c r="T233" s="5354"/>
      <c r="AB233" s="363"/>
      <c r="AC233" s="2563"/>
    </row>
    <row r="234" spans="1:83" ht="12.75" customHeight="1" thickBot="1" x14ac:dyDescent="0.25">
      <c r="A234" s="1916">
        <v>234</v>
      </c>
      <c r="B234" s="5148"/>
      <c r="C234" s="2257">
        <f>D234+E234+F234+G234+H234</f>
        <v>0</v>
      </c>
      <c r="D234" s="2258">
        <f>SUM($H$256:H397)+SUM(H491:H535)</f>
        <v>0</v>
      </c>
      <c r="E234" s="2258">
        <f>E236+F236</f>
        <v>0</v>
      </c>
      <c r="F234" s="2258">
        <f>SUM(H551:H557)+SUM(H469:H490)</f>
        <v>0</v>
      </c>
      <c r="G234" s="2258">
        <f>H250</f>
        <v>0</v>
      </c>
      <c r="H234" s="2259">
        <f>Q262</f>
        <v>0</v>
      </c>
      <c r="I234" s="1653"/>
      <c r="L234" s="3044"/>
      <c r="M234" s="3037"/>
      <c r="N234" s="3037" t="s">
        <v>1751</v>
      </c>
      <c r="O234" s="3037" t="s">
        <v>1801</v>
      </c>
      <c r="P234" s="3037" t="s">
        <v>2637</v>
      </c>
      <c r="Q234" s="3037" t="s">
        <v>2638</v>
      </c>
      <c r="R234" s="5156" t="s">
        <v>1861</v>
      </c>
      <c r="S234" s="5157"/>
      <c r="T234" s="367" t="s">
        <v>10117</v>
      </c>
      <c r="AB234" s="363"/>
      <c r="AC234" s="2563"/>
    </row>
    <row r="235" spans="1:83" ht="12.75" customHeight="1" thickBot="1" x14ac:dyDescent="0.25">
      <c r="A235" s="1916">
        <v>235</v>
      </c>
      <c r="B235" s="5148"/>
      <c r="E235" s="2251" t="s">
        <v>2657</v>
      </c>
      <c r="F235" s="2252" t="s">
        <v>8066</v>
      </c>
      <c r="H235" s="363"/>
      <c r="I235" s="1653"/>
      <c r="L235" s="1658" t="str">
        <f>N235</f>
        <v>&gt; LEGADOS DE SANGRE</v>
      </c>
      <c r="M235" s="2289">
        <f t="shared" ref="M235:M261" si="23">COUNTIF($N$236:$N$261,"&lt;="&amp;N235)</f>
        <v>0</v>
      </c>
      <c r="N235" s="119" t="s">
        <v>2919</v>
      </c>
      <c r="O235" s="440"/>
      <c r="P235" s="439"/>
      <c r="Q235" s="431"/>
      <c r="R235" s="2038"/>
      <c r="S235" s="2990"/>
      <c r="T235" s="3051"/>
      <c r="AB235" s="363"/>
    </row>
    <row r="236" spans="1:83" ht="12.75" customHeight="1" thickBot="1" x14ac:dyDescent="0.25">
      <c r="A236" s="1916">
        <v>236</v>
      </c>
      <c r="B236" s="5148"/>
      <c r="E236" s="2256">
        <f>SUM(H398:H442)+SUM(H536:H544)</f>
        <v>0</v>
      </c>
      <c r="F236" s="2256">
        <f>SUM(H443:H467)+SUM(H546:H549)</f>
        <v>0</v>
      </c>
      <c r="H236" s="363"/>
      <c r="I236" s="1653"/>
      <c r="L236" s="1658" t="str">
        <f t="shared" ref="L236:L261" si="24">VLOOKUP(A1,$M$235:$N$261,2,0)</f>
        <v>Armas Naturales</v>
      </c>
      <c r="M236" s="2266">
        <f t="shared" si="23"/>
        <v>11</v>
      </c>
      <c r="N236" s="119" t="s">
        <v>2920</v>
      </c>
      <c r="O236" s="440">
        <f>1+IF(Principal!$Y$24="No",1,0)</f>
        <v>1</v>
      </c>
      <c r="P236" s="439">
        <f>COUNTIF(Principal!$C$35:$J$53,Tablas!N236)</f>
        <v>0</v>
      </c>
      <c r="Q236" s="432">
        <f t="shared" ref="Q236:Q261" si="25">P236*O236</f>
        <v>0</v>
      </c>
      <c r="R236" s="2037" t="s">
        <v>10091</v>
      </c>
      <c r="S236" s="2990"/>
      <c r="T236" s="3052" t="str">
        <f>IF(P236=0,"",R236)</f>
        <v/>
      </c>
      <c r="AB236" s="363"/>
    </row>
    <row r="237" spans="1:83" ht="12.75" customHeight="1" thickBot="1" x14ac:dyDescent="0.25">
      <c r="A237" s="1916">
        <v>237</v>
      </c>
      <c r="B237" s="5148"/>
      <c r="H237" s="363"/>
      <c r="I237" s="1653"/>
      <c r="L237" s="1658" t="str">
        <f t="shared" si="24"/>
        <v>Devorador de Existencia</v>
      </c>
      <c r="M237" s="2266">
        <f t="shared" si="23"/>
        <v>10</v>
      </c>
      <c r="N237" s="119" t="s">
        <v>2921</v>
      </c>
      <c r="O237" s="440">
        <f>1+IF(Principal!$Y$24="No",1,0)</f>
        <v>1</v>
      </c>
      <c r="P237" s="439">
        <f>COUNTIF(Principal!$C$35:$J$53,Tablas!N237)</f>
        <v>0</v>
      </c>
      <c r="Q237" s="432">
        <f t="shared" si="25"/>
        <v>0</v>
      </c>
      <c r="R237" s="2037" t="s">
        <v>10092</v>
      </c>
      <c r="S237" s="2990"/>
      <c r="T237" s="3052" t="str">
        <f t="shared" ref="T237:T261" si="26">IF(P237=0,"",R237)</f>
        <v/>
      </c>
      <c r="AB237" s="363"/>
    </row>
    <row r="238" spans="1:83" ht="12.75" customHeight="1" thickBot="1" x14ac:dyDescent="0.25">
      <c r="A238" s="1916">
        <v>238</v>
      </c>
      <c r="B238" s="5148"/>
      <c r="C238" s="5216" t="s">
        <v>2636</v>
      </c>
      <c r="D238" s="5216"/>
      <c r="E238" s="5216"/>
      <c r="F238" s="5216"/>
      <c r="G238" s="5216"/>
      <c r="H238" s="5216"/>
      <c r="I238" s="5216"/>
      <c r="L238" s="1658" t="str">
        <f t="shared" si="24"/>
        <v>Esencia Venenosa</v>
      </c>
      <c r="M238" s="2266">
        <f t="shared" si="23"/>
        <v>12</v>
      </c>
      <c r="N238" s="119" t="s">
        <v>2922</v>
      </c>
      <c r="O238" s="440">
        <f>1+IF(Principal!$Y$24="No",1,0)</f>
        <v>1</v>
      </c>
      <c r="P238" s="439">
        <f>COUNTIF(Principal!$C$35:$J$53,Tablas!N238)</f>
        <v>0</v>
      </c>
      <c r="Q238" s="432">
        <f t="shared" si="25"/>
        <v>0</v>
      </c>
      <c r="R238" s="2037" t="s">
        <v>10093</v>
      </c>
      <c r="S238" s="2990"/>
      <c r="T238" s="3052" t="str">
        <f>IF(P238=0,"",R238)</f>
        <v/>
      </c>
      <c r="AB238" s="363"/>
    </row>
    <row r="239" spans="1:83" ht="12.75" customHeight="1" x14ac:dyDescent="0.2">
      <c r="A239" s="1916">
        <v>239</v>
      </c>
      <c r="B239" s="5148"/>
      <c r="C239" s="5216"/>
      <c r="D239" s="5216"/>
      <c r="E239" s="5216"/>
      <c r="F239" s="5216"/>
      <c r="G239" s="5216"/>
      <c r="H239" s="5216"/>
      <c r="I239" s="5216"/>
      <c r="L239" s="1658" t="str">
        <f t="shared" si="24"/>
        <v>La Sangre de Orochi</v>
      </c>
      <c r="M239" s="2266">
        <f t="shared" si="23"/>
        <v>15</v>
      </c>
      <c r="N239" s="119" t="s">
        <v>2923</v>
      </c>
      <c r="O239" s="440">
        <f>1+IF(Principal!$Y$24="No",1,0)</f>
        <v>1</v>
      </c>
      <c r="P239" s="439">
        <f>COUNTIF(Principal!$C$35:$J$53,Tablas!N239)</f>
        <v>0</v>
      </c>
      <c r="Q239" s="432">
        <f t="shared" si="25"/>
        <v>0</v>
      </c>
      <c r="R239" s="2037" t="s">
        <v>10094</v>
      </c>
      <c r="S239" s="2990"/>
      <c r="T239" s="3052" t="str">
        <f t="shared" si="26"/>
        <v/>
      </c>
      <c r="AB239" s="363"/>
    </row>
    <row r="240" spans="1:83" ht="12.75" customHeight="1" x14ac:dyDescent="0.2">
      <c r="A240" s="1916">
        <v>240</v>
      </c>
      <c r="B240" s="5148"/>
      <c r="C240" s="428"/>
      <c r="D240" s="429"/>
      <c r="E240" s="419" t="s">
        <v>1751</v>
      </c>
      <c r="F240" s="419" t="s">
        <v>1801</v>
      </c>
      <c r="G240" s="419" t="s">
        <v>2637</v>
      </c>
      <c r="H240" s="419" t="s">
        <v>2638</v>
      </c>
      <c r="I240" s="1751" t="s">
        <v>2238</v>
      </c>
      <c r="L240" s="1658" t="str">
        <f t="shared" si="24"/>
        <v>La Sangre de Uroboros</v>
      </c>
      <c r="M240" s="2266">
        <f t="shared" si="23"/>
        <v>14</v>
      </c>
      <c r="N240" s="119" t="s">
        <v>2924</v>
      </c>
      <c r="O240" s="440">
        <f>1+IF(Principal!$Y$24="No",1,0)</f>
        <v>1</v>
      </c>
      <c r="P240" s="439">
        <f>COUNTIF(Principal!$C$35:$J$53,Tablas!N240)</f>
        <v>0</v>
      </c>
      <c r="Q240" s="432">
        <f t="shared" si="25"/>
        <v>0</v>
      </c>
      <c r="R240" s="2037" t="s">
        <v>10095</v>
      </c>
      <c r="S240" s="2990"/>
      <c r="T240" s="3052" t="str">
        <f t="shared" si="26"/>
        <v/>
      </c>
      <c r="AB240" s="363"/>
    </row>
    <row r="241" spans="1:28" ht="12.75" customHeight="1" x14ac:dyDescent="0.2">
      <c r="A241" s="1916">
        <v>241</v>
      </c>
      <c r="B241" s="5148"/>
      <c r="C241" s="65"/>
      <c r="D241" s="67"/>
      <c r="E241" s="411" t="s">
        <v>8673</v>
      </c>
      <c r="F241" s="431"/>
      <c r="G241" s="431"/>
      <c r="H241" s="431"/>
      <c r="I241" s="295"/>
      <c r="L241" s="1658" t="str">
        <f t="shared" si="24"/>
        <v>Legado de la Luna (Tsukiyomi)</v>
      </c>
      <c r="M241" s="2266">
        <f t="shared" si="23"/>
        <v>17</v>
      </c>
      <c r="N241" s="119" t="s">
        <v>2926</v>
      </c>
      <c r="O241" s="440">
        <f>1+IF(Principal!$Y$24="No",1,0)</f>
        <v>1</v>
      </c>
      <c r="P241" s="439">
        <f>COUNTIF(Principal!$C$35:$J$53,Tablas!N241)</f>
        <v>0</v>
      </c>
      <c r="Q241" s="432">
        <f t="shared" si="25"/>
        <v>0</v>
      </c>
      <c r="R241" s="2037" t="s">
        <v>10096</v>
      </c>
      <c r="S241" s="2990"/>
      <c r="T241" s="3052" t="str">
        <f t="shared" si="26"/>
        <v/>
      </c>
      <c r="AB241" s="363"/>
    </row>
    <row r="242" spans="1:28" ht="12.75" customHeight="1" x14ac:dyDescent="0.2">
      <c r="A242" s="1916">
        <v>242</v>
      </c>
      <c r="B242" s="5148"/>
      <c r="C242" s="65"/>
      <c r="D242" s="213"/>
      <c r="E242" s="2149" t="s">
        <v>3042</v>
      </c>
      <c r="F242" s="373">
        <v>1</v>
      </c>
      <c r="G242" s="373">
        <f>COUNTIF(Principal!$C$35:$J$53,Tablas!E242)</f>
        <v>0</v>
      </c>
      <c r="H242" s="432">
        <f t="shared" ref="H242:H249" si="27">G242*F242</f>
        <v>0</v>
      </c>
      <c r="I242" s="295">
        <v>1</v>
      </c>
      <c r="L242" s="1658" t="str">
        <f t="shared" si="24"/>
        <v>Los Ojos de la Muerte</v>
      </c>
      <c r="M242" s="2266">
        <f t="shared" si="23"/>
        <v>13</v>
      </c>
      <c r="N242" s="119" t="s">
        <v>8672</v>
      </c>
      <c r="O242" s="440">
        <f>1+IF(Principal!$Y$24="No",1,0)</f>
        <v>1</v>
      </c>
      <c r="P242" s="439">
        <f>COUNTIF(Principal!$C$35:$J$53,Tablas!N242)</f>
        <v>0</v>
      </c>
      <c r="Q242" s="432">
        <f t="shared" si="25"/>
        <v>0</v>
      </c>
      <c r="R242" s="2037" t="s">
        <v>10097</v>
      </c>
      <c r="S242" s="2990"/>
      <c r="T242" s="3052" t="str">
        <f t="shared" si="26"/>
        <v/>
      </c>
      <c r="AB242" s="363"/>
    </row>
    <row r="243" spans="1:28" ht="12.75" customHeight="1" x14ac:dyDescent="0.2">
      <c r="A243" s="1916">
        <v>243</v>
      </c>
      <c r="B243" s="5148"/>
      <c r="C243" s="65"/>
      <c r="D243" s="213"/>
      <c r="E243" s="2149" t="s">
        <v>3044</v>
      </c>
      <c r="F243" s="373">
        <v>1</v>
      </c>
      <c r="G243" s="373">
        <f>COUNTIF(Principal!$C$35:$J$53,Tablas!E243)</f>
        <v>0</v>
      </c>
      <c r="H243" s="432">
        <f t="shared" si="27"/>
        <v>0</v>
      </c>
      <c r="I243" s="295">
        <v>1</v>
      </c>
      <c r="L243" s="1658" t="str">
        <f t="shared" si="24"/>
        <v>Ojos del Alma</v>
      </c>
      <c r="M243" s="2266">
        <f t="shared" si="23"/>
        <v>16</v>
      </c>
      <c r="N243" s="119" t="s">
        <v>2927</v>
      </c>
      <c r="O243" s="440">
        <f>1+IF(Principal!$Y$24="No",1,0)</f>
        <v>1</v>
      </c>
      <c r="P243" s="439">
        <f>COUNTIF(Principal!$C$35:$J$53,Tablas!N243)</f>
        <v>0</v>
      </c>
      <c r="Q243" s="432">
        <f t="shared" si="25"/>
        <v>0</v>
      </c>
      <c r="R243" s="2037" t="s">
        <v>10098</v>
      </c>
      <c r="S243" s="2990"/>
      <c r="T243" s="3052" t="str">
        <f t="shared" si="26"/>
        <v/>
      </c>
      <c r="AB243" s="363"/>
    </row>
    <row r="244" spans="1:28" ht="12.75" customHeight="1" x14ac:dyDescent="0.2">
      <c r="A244" s="1916">
        <v>244</v>
      </c>
      <c r="B244" s="5148"/>
      <c r="C244" s="65"/>
      <c r="D244" s="213"/>
      <c r="E244" s="2149" t="s">
        <v>3046</v>
      </c>
      <c r="F244" s="373">
        <v>1</v>
      </c>
      <c r="G244" s="373">
        <f>COUNTIF(Principal!$C$35:$J$53,Tablas!E244)</f>
        <v>0</v>
      </c>
      <c r="H244" s="432">
        <f t="shared" si="27"/>
        <v>0</v>
      </c>
      <c r="I244" s="295">
        <v>1</v>
      </c>
      <c r="L244" s="1658" t="str">
        <f t="shared" si="24"/>
        <v>Ojos del Destino</v>
      </c>
      <c r="M244" s="2266">
        <f t="shared" si="23"/>
        <v>7</v>
      </c>
      <c r="N244" s="119" t="s">
        <v>2928</v>
      </c>
      <c r="O244" s="440">
        <f>2+IF(Principal!$Y$24="No",1,0)</f>
        <v>2</v>
      </c>
      <c r="P244" s="439">
        <f>COUNTIF(Principal!$C$35:$J$53,Tablas!N244)</f>
        <v>0</v>
      </c>
      <c r="Q244" s="432">
        <f t="shared" si="25"/>
        <v>0</v>
      </c>
      <c r="R244" s="2037" t="s">
        <v>10099</v>
      </c>
      <c r="S244" s="2990"/>
      <c r="T244" s="3052" t="str">
        <f t="shared" si="26"/>
        <v/>
      </c>
      <c r="AB244" s="363"/>
    </row>
    <row r="245" spans="1:28" ht="12.75" customHeight="1" x14ac:dyDescent="0.2">
      <c r="A245" s="1916">
        <v>245</v>
      </c>
      <c r="B245" s="5148"/>
      <c r="C245" s="65"/>
      <c r="D245" s="213"/>
      <c r="E245" s="2149" t="s">
        <v>3048</v>
      </c>
      <c r="F245" s="373">
        <v>1</v>
      </c>
      <c r="G245" s="373">
        <f>COUNTIF(Principal!$C$35:$J$53,Tablas!E245)</f>
        <v>0</v>
      </c>
      <c r="H245" s="432">
        <f t="shared" si="27"/>
        <v>0</v>
      </c>
      <c r="I245" s="295">
        <v>1</v>
      </c>
      <c r="L245" s="1658" t="str">
        <f t="shared" si="24"/>
        <v>Sangre de Aeon: Boreas</v>
      </c>
      <c r="M245" s="2266">
        <f t="shared" si="23"/>
        <v>8</v>
      </c>
      <c r="N245" s="119" t="s">
        <v>2929</v>
      </c>
      <c r="O245" s="440">
        <f>1+IF(Principal!$Y$24="No",1,0)</f>
        <v>1</v>
      </c>
      <c r="P245" s="439">
        <f>COUNTIF(Principal!$C$35:$J$53,Tablas!N245)</f>
        <v>0</v>
      </c>
      <c r="Q245" s="432">
        <f t="shared" si="25"/>
        <v>0</v>
      </c>
      <c r="R245" s="2037" t="s">
        <v>10100</v>
      </c>
      <c r="S245" s="2990"/>
      <c r="T245" s="3052" t="str">
        <f t="shared" si="26"/>
        <v/>
      </c>
      <c r="AB245" s="363"/>
    </row>
    <row r="246" spans="1:28" ht="12.75" customHeight="1" x14ac:dyDescent="0.2">
      <c r="A246" s="1916">
        <v>246</v>
      </c>
      <c r="B246" s="5148"/>
      <c r="C246" s="65"/>
      <c r="D246" s="213"/>
      <c r="E246" s="2149" t="s">
        <v>3050</v>
      </c>
      <c r="F246" s="373">
        <v>1</v>
      </c>
      <c r="G246" s="373">
        <f>COUNTIF(Principal!$C$35:$J$53,Tablas!E246)</f>
        <v>0</v>
      </c>
      <c r="H246" s="432">
        <f t="shared" si="27"/>
        <v>0</v>
      </c>
      <c r="I246" s="295">
        <v>1</v>
      </c>
      <c r="L246" s="1658" t="str">
        <f t="shared" si="24"/>
        <v>Sangre de Aeon: Kagutsuchi</v>
      </c>
      <c r="M246" s="2266">
        <f t="shared" si="23"/>
        <v>6</v>
      </c>
      <c r="N246" s="119" t="s">
        <v>2930</v>
      </c>
      <c r="O246" s="440">
        <f>1+IF(Principal!$Y$24="No",1,0)</f>
        <v>1</v>
      </c>
      <c r="P246" s="439">
        <f>COUNTIF(Principal!$C$35:$J$53,Tablas!N246)</f>
        <v>0</v>
      </c>
      <c r="Q246" s="432">
        <f t="shared" si="25"/>
        <v>0</v>
      </c>
      <c r="R246" s="2037" t="s">
        <v>10101</v>
      </c>
      <c r="S246" s="2990"/>
      <c r="T246" s="3052" t="str">
        <f t="shared" si="26"/>
        <v/>
      </c>
      <c r="AB246" s="363"/>
    </row>
    <row r="247" spans="1:28" ht="12.75" customHeight="1" x14ac:dyDescent="0.2">
      <c r="A247" s="1916">
        <v>247</v>
      </c>
      <c r="B247" s="5148"/>
      <c r="C247" s="65"/>
      <c r="D247" s="213"/>
      <c r="E247" s="2149" t="s">
        <v>3052</v>
      </c>
      <c r="F247" s="373">
        <v>1</v>
      </c>
      <c r="G247" s="373">
        <f>COUNTIF(Principal!$C$35:$J$53,Tablas!E247)</f>
        <v>0</v>
      </c>
      <c r="H247" s="432">
        <f t="shared" si="27"/>
        <v>0</v>
      </c>
      <c r="I247" s="295">
        <v>1</v>
      </c>
      <c r="L247" s="1658" t="str">
        <f t="shared" si="24"/>
        <v>Sangre de Aeon: Niflheim</v>
      </c>
      <c r="M247" s="2266">
        <f t="shared" si="23"/>
        <v>5</v>
      </c>
      <c r="N247" s="119" t="s">
        <v>2931</v>
      </c>
      <c r="O247" s="440">
        <f>1+IF(Principal!$Y$24="No",1,0)</f>
        <v>1</v>
      </c>
      <c r="P247" s="439">
        <f>COUNTIF(Principal!$C$35:$J$53,Tablas!N247)</f>
        <v>0</v>
      </c>
      <c r="Q247" s="432">
        <f t="shared" si="25"/>
        <v>0</v>
      </c>
      <c r="R247" s="2037" t="s">
        <v>10102</v>
      </c>
      <c r="S247" s="2990"/>
      <c r="T247" s="3052" t="str">
        <f t="shared" si="26"/>
        <v/>
      </c>
      <c r="AB247" s="363"/>
    </row>
    <row r="248" spans="1:28" ht="12.75" customHeight="1" x14ac:dyDescent="0.2">
      <c r="A248" s="1916">
        <v>248</v>
      </c>
      <c r="B248" s="5148"/>
      <c r="C248" s="65"/>
      <c r="D248" s="213"/>
      <c r="E248" s="2149" t="s">
        <v>3054</v>
      </c>
      <c r="F248" s="373">
        <v>1</v>
      </c>
      <c r="G248" s="373">
        <f>COUNTIF(Principal!$C$35:$J$53,Tablas!E248)</f>
        <v>0</v>
      </c>
      <c r="H248" s="432">
        <f t="shared" si="27"/>
        <v>0</v>
      </c>
      <c r="I248" s="295">
        <v>1</v>
      </c>
      <c r="L248" s="1658" t="str">
        <f t="shared" si="24"/>
        <v>Sangre de Aeon: Phandemonium</v>
      </c>
      <c r="M248" s="2266">
        <f t="shared" si="23"/>
        <v>19</v>
      </c>
      <c r="N248" s="119" t="s">
        <v>2932</v>
      </c>
      <c r="O248" s="440">
        <f>1+IF(Principal!$Y$24="No",1,0)</f>
        <v>1</v>
      </c>
      <c r="P248" s="439">
        <f>COUNTIF(Principal!$C$35:$J$53,Tablas!N248)</f>
        <v>0</v>
      </c>
      <c r="Q248" s="432">
        <f t="shared" si="25"/>
        <v>0</v>
      </c>
      <c r="R248" s="2037" t="s">
        <v>10103</v>
      </c>
      <c r="S248" s="2990"/>
      <c r="T248" s="3052" t="str">
        <f t="shared" si="26"/>
        <v/>
      </c>
      <c r="AB248" s="363"/>
    </row>
    <row r="249" spans="1:28" ht="12.75" customHeight="1" thickBot="1" x14ac:dyDescent="0.25">
      <c r="A249" s="1916">
        <v>249</v>
      </c>
      <c r="B249" s="5148"/>
      <c r="C249" s="178"/>
      <c r="D249" s="384"/>
      <c r="E249" s="2150" t="s">
        <v>3056</v>
      </c>
      <c r="F249" s="434">
        <v>1</v>
      </c>
      <c r="G249" s="434">
        <f>COUNTIF(Principal!$C$35:$J$53,Tablas!E249)</f>
        <v>0</v>
      </c>
      <c r="H249" s="435">
        <f t="shared" si="27"/>
        <v>0</v>
      </c>
      <c r="I249" s="1752">
        <v>1</v>
      </c>
      <c r="L249" s="1658" t="str">
        <f t="shared" si="24"/>
        <v>Sangre de Aeon: Ran</v>
      </c>
      <c r="M249" s="2266">
        <f t="shared" si="23"/>
        <v>20</v>
      </c>
      <c r="N249" s="119" t="s">
        <v>2933</v>
      </c>
      <c r="O249" s="440">
        <f>2+IF(Principal!$Y$24="No",1,0)</f>
        <v>2</v>
      </c>
      <c r="P249" s="439">
        <f>COUNTIF(Principal!$C$35:$J$53,Tablas!N249)</f>
        <v>0</v>
      </c>
      <c r="Q249" s="432">
        <f t="shared" si="25"/>
        <v>0</v>
      </c>
      <c r="R249" s="2037" t="s">
        <v>10104</v>
      </c>
      <c r="S249" s="2990"/>
      <c r="T249" s="3052" t="str">
        <f t="shared" si="26"/>
        <v/>
      </c>
      <c r="AB249" s="363"/>
    </row>
    <row r="250" spans="1:28" ht="12.75" customHeight="1" thickBot="1" x14ac:dyDescent="0.25">
      <c r="A250" s="1916">
        <v>250</v>
      </c>
      <c r="B250" s="5148"/>
      <c r="H250" s="5208">
        <f>SUM(H241:H249)</f>
        <v>0</v>
      </c>
      <c r="I250" s="1653"/>
      <c r="L250" s="1658" t="str">
        <f t="shared" si="24"/>
        <v>Sangre de Aeon: Rudraksha</v>
      </c>
      <c r="M250" s="2266">
        <f t="shared" si="23"/>
        <v>21</v>
      </c>
      <c r="N250" s="119" t="s">
        <v>2934</v>
      </c>
      <c r="O250" s="440">
        <f>3+IF(Principal!$Y$24="No",1,0)</f>
        <v>3</v>
      </c>
      <c r="P250" s="439">
        <f>COUNTIF(Principal!$C$35:$J$53,Tablas!N250)</f>
        <v>0</v>
      </c>
      <c r="Q250" s="432">
        <f t="shared" si="25"/>
        <v>0</v>
      </c>
      <c r="R250" s="2037" t="s">
        <v>10105</v>
      </c>
      <c r="S250" s="2990"/>
      <c r="T250" s="3052" t="str">
        <f t="shared" si="26"/>
        <v/>
      </c>
      <c r="AB250" s="363"/>
    </row>
    <row r="251" spans="1:28" ht="12.75" customHeight="1" thickBot="1" x14ac:dyDescent="0.25">
      <c r="A251" s="1916">
        <v>251</v>
      </c>
      <c r="B251" s="5148"/>
      <c r="H251" s="5208"/>
      <c r="I251" s="1653"/>
      <c r="L251" s="1658" t="str">
        <f t="shared" si="24"/>
        <v>Sangre de Aeon: Shephirah</v>
      </c>
      <c r="M251" s="2266">
        <f t="shared" si="23"/>
        <v>9</v>
      </c>
      <c r="N251" s="119" t="s">
        <v>2935</v>
      </c>
      <c r="O251" s="440">
        <f>2+IF(Principal!$Y$24="No",1,0)</f>
        <v>2</v>
      </c>
      <c r="P251" s="439">
        <f>COUNTIF(Principal!$C$35:$J$53,Tablas!N251)</f>
        <v>0</v>
      </c>
      <c r="Q251" s="432">
        <f t="shared" si="25"/>
        <v>0</v>
      </c>
      <c r="R251" s="2037" t="s">
        <v>10106</v>
      </c>
      <c r="S251" s="2990"/>
      <c r="T251" s="3052" t="str">
        <f t="shared" si="26"/>
        <v/>
      </c>
      <c r="AB251" s="363"/>
    </row>
    <row r="252" spans="1:28" ht="12.75" customHeight="1" thickBot="1" x14ac:dyDescent="0.25">
      <c r="A252" s="1916">
        <v>252</v>
      </c>
      <c r="B252" s="5148"/>
      <c r="H252" s="363"/>
      <c r="I252" s="1653"/>
      <c r="L252" s="1658" t="str">
        <f t="shared" si="24"/>
        <v>Sangre de Aeon: Toa</v>
      </c>
      <c r="M252" s="2266">
        <f t="shared" si="23"/>
        <v>24</v>
      </c>
      <c r="N252" s="119" t="s">
        <v>2936</v>
      </c>
      <c r="O252" s="440">
        <f>1+IF(Principal!$Y$24="No",1,0)</f>
        <v>1</v>
      </c>
      <c r="P252" s="439">
        <f>COUNTIF(Principal!$C$35:$J$53,Tablas!N252)</f>
        <v>0</v>
      </c>
      <c r="Q252" s="432">
        <f t="shared" si="25"/>
        <v>0</v>
      </c>
      <c r="R252" s="2037" t="s">
        <v>10107</v>
      </c>
      <c r="S252" s="2990"/>
      <c r="T252" s="3052" t="str">
        <f t="shared" si="26"/>
        <v/>
      </c>
      <c r="AB252" s="363"/>
    </row>
    <row r="253" spans="1:28" ht="12.75" customHeight="1" x14ac:dyDescent="0.2">
      <c r="A253" s="1916">
        <v>253</v>
      </c>
      <c r="B253" s="5148"/>
      <c r="C253" s="5138" t="s">
        <v>2639</v>
      </c>
      <c r="D253" s="5139"/>
      <c r="E253" s="5139"/>
      <c r="F253" s="5139"/>
      <c r="G253" s="5139"/>
      <c r="H253" s="5139"/>
      <c r="I253" s="5139"/>
      <c r="J253" s="5140"/>
      <c r="L253" s="1658" t="str">
        <f t="shared" si="24"/>
        <v>Sangre de El Dragón</v>
      </c>
      <c r="M253" s="2266">
        <f t="shared" si="23"/>
        <v>4</v>
      </c>
      <c r="N253" s="119" t="s">
        <v>2937</v>
      </c>
      <c r="O253" s="440">
        <f>1+IF(Principal!$Y$24="No",1,0)</f>
        <v>1</v>
      </c>
      <c r="P253" s="439">
        <f>COUNTIF(Principal!$C$35:$J$53,Tablas!N253)</f>
        <v>0</v>
      </c>
      <c r="Q253" s="432">
        <f t="shared" si="25"/>
        <v>0</v>
      </c>
      <c r="R253" s="2037" t="s">
        <v>10108</v>
      </c>
      <c r="S253" s="2990"/>
      <c r="T253" s="3052" t="str">
        <f t="shared" si="26"/>
        <v/>
      </c>
      <c r="AB253" s="363"/>
    </row>
    <row r="254" spans="1:28" ht="12.75" customHeight="1" x14ac:dyDescent="0.2">
      <c r="A254" s="1916">
        <v>254</v>
      </c>
      <c r="B254" s="5148"/>
      <c r="C254" s="5269"/>
      <c r="D254" s="5354"/>
      <c r="E254" s="5354"/>
      <c r="F254" s="5354"/>
      <c r="G254" s="5354"/>
      <c r="H254" s="5354"/>
      <c r="I254" s="5354"/>
      <c r="J254" s="5270"/>
      <c r="L254" s="1658" t="str">
        <f t="shared" si="24"/>
        <v>Sangre de Grandes Bestias (1)</v>
      </c>
      <c r="M254" s="2266">
        <f t="shared" si="23"/>
        <v>2</v>
      </c>
      <c r="N254" s="119" t="s">
        <v>2938</v>
      </c>
      <c r="O254" s="440">
        <f>2+IF(Principal!$Y$24="No",1,0)</f>
        <v>2</v>
      </c>
      <c r="P254" s="439">
        <f>COUNTIF(Principal!$C$35:$J$53,Tablas!N254)</f>
        <v>0</v>
      </c>
      <c r="Q254" s="432">
        <f t="shared" si="25"/>
        <v>0</v>
      </c>
      <c r="R254" s="2037" t="s">
        <v>10109</v>
      </c>
      <c r="S254" s="2990"/>
      <c r="T254" s="3052" t="str">
        <f t="shared" si="26"/>
        <v/>
      </c>
      <c r="AB254" s="363"/>
    </row>
    <row r="255" spans="1:28" ht="12.75" customHeight="1" x14ac:dyDescent="0.2">
      <c r="A255" s="1916">
        <v>255</v>
      </c>
      <c r="B255" s="5148"/>
      <c r="C255" s="5217" t="s">
        <v>7863</v>
      </c>
      <c r="D255" s="5218"/>
      <c r="E255" s="2250" t="s">
        <v>1751</v>
      </c>
      <c r="F255" s="2250" t="s">
        <v>1801</v>
      </c>
      <c r="G255" s="2250" t="s">
        <v>2637</v>
      </c>
      <c r="H255" s="2250" t="s">
        <v>2638</v>
      </c>
      <c r="I255" s="1763" t="s">
        <v>2238</v>
      </c>
      <c r="J255" s="1763" t="s">
        <v>1708</v>
      </c>
      <c r="L255" s="1658" t="str">
        <f t="shared" si="24"/>
        <v>Sangre de Grandes Bestias (2)</v>
      </c>
      <c r="M255" s="2266">
        <f t="shared" si="23"/>
        <v>3</v>
      </c>
      <c r="N255" s="119" t="s">
        <v>2939</v>
      </c>
      <c r="O255" s="440">
        <f>1+IF(Principal!$Y$24="No",1,0)</f>
        <v>1</v>
      </c>
      <c r="P255" s="439">
        <f>COUNTIF(Principal!$C$35:$J$53,Tablas!N255)</f>
        <v>0</v>
      </c>
      <c r="Q255" s="432">
        <f t="shared" si="25"/>
        <v>0</v>
      </c>
      <c r="R255" s="2037" t="s">
        <v>10110</v>
      </c>
      <c r="S255" s="2990"/>
      <c r="T255" s="3052" t="str">
        <f t="shared" si="26"/>
        <v/>
      </c>
      <c r="AB255" s="363"/>
    </row>
    <row r="256" spans="1:28" ht="12.75" customHeight="1" x14ac:dyDescent="0.2">
      <c r="A256" s="1916">
        <v>256</v>
      </c>
      <c r="B256" s="5148"/>
      <c r="C256" s="2261" t="str">
        <f>E256</f>
        <v>&gt; VENTAJAS COMUNES</v>
      </c>
      <c r="D256" s="2266"/>
      <c r="E256" s="255" t="s">
        <v>2640</v>
      </c>
      <c r="F256" s="432"/>
      <c r="G256" s="373"/>
      <c r="H256" s="2274"/>
      <c r="I256" s="2278"/>
      <c r="J256" s="2282"/>
      <c r="L256" s="1658" t="str">
        <f t="shared" si="24"/>
        <v>Sangre de Grandes Bestias (3)</v>
      </c>
      <c r="M256" s="2266">
        <f t="shared" si="23"/>
        <v>1</v>
      </c>
      <c r="N256" s="119" t="s">
        <v>2940</v>
      </c>
      <c r="O256" s="440">
        <f>1+IF(Principal!$Y$24="No",1,0)</f>
        <v>1</v>
      </c>
      <c r="P256" s="439">
        <f>COUNTIF(Principal!$C$35:$J$53,Tablas!N256)</f>
        <v>0</v>
      </c>
      <c r="Q256" s="432">
        <f t="shared" si="25"/>
        <v>0</v>
      </c>
      <c r="R256" s="2037" t="s">
        <v>10111</v>
      </c>
      <c r="S256" s="2990"/>
      <c r="T256" s="3052" t="str">
        <f t="shared" si="26"/>
        <v/>
      </c>
      <c r="AB256" s="363"/>
    </row>
    <row r="257" spans="1:29" ht="12.75" customHeight="1" x14ac:dyDescent="0.2">
      <c r="A257" s="1916">
        <v>257</v>
      </c>
      <c r="B257" s="5148"/>
      <c r="C257" s="2261" t="str">
        <f t="shared" ref="C257:C288" si="28">VLOOKUP(A1,$D$257:$E$397,2,0)</f>
        <v>Ac. de Ki incrementada (1)</v>
      </c>
      <c r="D257" s="2266">
        <f t="shared" ref="D257:D288" si="29">COUNTIF($E$256:$E$392,"&lt;="&amp;E257)-COUNTIF($E$256:$E$392,"*&gt;*")</f>
        <v>97</v>
      </c>
      <c r="E257" s="255" t="s">
        <v>2641</v>
      </c>
      <c r="F257" s="373">
        <v>1</v>
      </c>
      <c r="G257" s="373">
        <f>COUNTIF(Principal!$C$35:$J$53,Tablas!E257)</f>
        <v>0</v>
      </c>
      <c r="H257" s="2274">
        <f t="shared" ref="H257:H288" si="30">G257*F257</f>
        <v>0</v>
      </c>
      <c r="I257" s="2279"/>
      <c r="J257" s="2283" t="s">
        <v>3279</v>
      </c>
      <c r="L257" s="1658" t="str">
        <f t="shared" si="24"/>
        <v>Sangre de Kami: Genus Loci</v>
      </c>
      <c r="M257" s="2266">
        <f t="shared" si="23"/>
        <v>23</v>
      </c>
      <c r="N257" s="119" t="s">
        <v>2941</v>
      </c>
      <c r="O257" s="440">
        <f>1+IF(Principal!$Y$24="No",1,0)</f>
        <v>1</v>
      </c>
      <c r="P257" s="439">
        <f>COUNTIF(Principal!$C$35:$J$53,Tablas!N257)</f>
        <v>0</v>
      </c>
      <c r="Q257" s="432">
        <f t="shared" si="25"/>
        <v>0</v>
      </c>
      <c r="R257" s="2037" t="s">
        <v>10112</v>
      </c>
      <c r="S257" s="2990"/>
      <c r="T257" s="3052" t="str">
        <f t="shared" si="26"/>
        <v/>
      </c>
      <c r="AB257" s="363"/>
    </row>
    <row r="258" spans="1:29" ht="12.75" customHeight="1" x14ac:dyDescent="0.2">
      <c r="A258" s="1916">
        <v>258</v>
      </c>
      <c r="B258" s="5148"/>
      <c r="C258" s="2261" t="str">
        <f t="shared" si="28"/>
        <v>Ac. de Ki incrementada (2)</v>
      </c>
      <c r="D258" s="2266">
        <f t="shared" si="29"/>
        <v>114</v>
      </c>
      <c r="E258" s="255" t="s">
        <v>2642</v>
      </c>
      <c r="F258" s="373">
        <v>2</v>
      </c>
      <c r="G258" s="373">
        <f>COUNTIF(Principal!$C$35:$J$53,Tablas!E258)</f>
        <v>0</v>
      </c>
      <c r="H258" s="2274">
        <f t="shared" si="30"/>
        <v>0</v>
      </c>
      <c r="I258" s="2279"/>
      <c r="J258" s="2283" t="s">
        <v>3279</v>
      </c>
      <c r="L258" s="1658" t="str">
        <f t="shared" si="24"/>
        <v>Sangre de los Muertos</v>
      </c>
      <c r="M258" s="2266">
        <f t="shared" si="23"/>
        <v>22</v>
      </c>
      <c r="N258" s="119" t="s">
        <v>2942</v>
      </c>
      <c r="O258" s="440">
        <f>1+IF(Principal!$Y$24="No",1,0)</f>
        <v>1</v>
      </c>
      <c r="P258" s="439">
        <f>COUNTIF(Principal!$C$35:$J$53,Tablas!N258)</f>
        <v>0</v>
      </c>
      <c r="Q258" s="432">
        <f t="shared" si="25"/>
        <v>0</v>
      </c>
      <c r="R258" s="2037" t="s">
        <v>10113</v>
      </c>
      <c r="S258" s="2990"/>
      <c r="T258" s="3052" t="str">
        <f t="shared" si="26"/>
        <v/>
      </c>
      <c r="AB258" s="363"/>
    </row>
    <row r="259" spans="1:29" ht="12.75" customHeight="1" x14ac:dyDescent="0.2">
      <c r="A259" s="1916">
        <v>259</v>
      </c>
      <c r="B259" s="5148"/>
      <c r="C259" s="2261" t="str">
        <f t="shared" si="28"/>
        <v>Acc. psíquico natural (1)</v>
      </c>
      <c r="D259" s="2266">
        <f t="shared" si="29"/>
        <v>98</v>
      </c>
      <c r="E259" s="119" t="s">
        <v>2643</v>
      </c>
      <c r="F259" s="373">
        <v>1</v>
      </c>
      <c r="G259" s="373">
        <f>COUNTIF(Principal!$C$35:$J$53,Tablas!E259)</f>
        <v>0</v>
      </c>
      <c r="H259" s="2274">
        <f t="shared" si="30"/>
        <v>0</v>
      </c>
      <c r="I259" s="2279">
        <v>1</v>
      </c>
      <c r="J259" s="2283" t="s">
        <v>3279</v>
      </c>
      <c r="L259" s="1658" t="str">
        <f t="shared" si="24"/>
        <v>Sangre Eterna</v>
      </c>
      <c r="M259" s="2266">
        <f t="shared" si="23"/>
        <v>25</v>
      </c>
      <c r="N259" s="119" t="s">
        <v>2943</v>
      </c>
      <c r="O259" s="440">
        <f>1+IF(Principal!$Y$24="No",1,0)</f>
        <v>1</v>
      </c>
      <c r="P259" s="439">
        <f>COUNTIF(Principal!$C$35:$J$53,Tablas!N259)</f>
        <v>0</v>
      </c>
      <c r="Q259" s="432">
        <f t="shared" si="25"/>
        <v>0</v>
      </c>
      <c r="R259" s="2037" t="s">
        <v>10114</v>
      </c>
      <c r="S259" s="2990"/>
      <c r="T259" s="3052" t="str">
        <f t="shared" si="26"/>
        <v/>
      </c>
      <c r="AB259" s="363"/>
    </row>
    <row r="260" spans="1:29" ht="12.75" customHeight="1" x14ac:dyDescent="0.2">
      <c r="A260" s="1916">
        <v>260</v>
      </c>
      <c r="B260" s="5148"/>
      <c r="C260" s="2261" t="str">
        <f t="shared" si="28"/>
        <v>Acc. psíquico natural (2)</v>
      </c>
      <c r="D260" s="2266">
        <f t="shared" si="29"/>
        <v>99</v>
      </c>
      <c r="E260" s="119" t="s">
        <v>2644</v>
      </c>
      <c r="F260" s="373">
        <v>2</v>
      </c>
      <c r="G260" s="373">
        <f>COUNTIF(Principal!$C$35:$J$53,Tablas!E260)</f>
        <v>0</v>
      </c>
      <c r="H260" s="2274">
        <f t="shared" si="30"/>
        <v>0</v>
      </c>
      <c r="I260" s="2279">
        <v>1</v>
      </c>
      <c r="J260" s="2283" t="s">
        <v>3279</v>
      </c>
      <c r="L260" s="1658" t="str">
        <f t="shared" si="24"/>
        <v>Sangre Kami: Sr. de la Guerra</v>
      </c>
      <c r="M260" s="2266">
        <f t="shared" si="23"/>
        <v>18</v>
      </c>
      <c r="N260" s="119" t="s">
        <v>2944</v>
      </c>
      <c r="O260" s="440">
        <f>1+IF(Principal!$Y$24="No",1,0)</f>
        <v>1</v>
      </c>
      <c r="P260" s="439">
        <f>COUNTIF(Principal!$C$35:$J$53,Tablas!N260)</f>
        <v>0</v>
      </c>
      <c r="Q260" s="432">
        <f t="shared" si="25"/>
        <v>0</v>
      </c>
      <c r="R260" s="2037" t="s">
        <v>10115</v>
      </c>
      <c r="S260" s="2990"/>
      <c r="T260" s="3052" t="str">
        <f t="shared" si="26"/>
        <v/>
      </c>
      <c r="AB260" s="363"/>
    </row>
    <row r="261" spans="1:29" ht="12.75" customHeight="1" thickBot="1" x14ac:dyDescent="0.25">
      <c r="A261" s="1916">
        <v>261</v>
      </c>
      <c r="B261" s="5148"/>
      <c r="C261" s="2261" t="str">
        <f t="shared" si="28"/>
        <v>Acc. psíquico natural (3)</v>
      </c>
      <c r="D261" s="2266">
        <f t="shared" si="29"/>
        <v>100</v>
      </c>
      <c r="E261" s="119" t="s">
        <v>2645</v>
      </c>
      <c r="F261" s="373">
        <v>1</v>
      </c>
      <c r="G261" s="373">
        <f>COUNTIF(Principal!$C$35:$J$53,Tablas!E261)</f>
        <v>0</v>
      </c>
      <c r="H261" s="2274">
        <f t="shared" si="30"/>
        <v>0</v>
      </c>
      <c r="I261" s="2279">
        <v>1</v>
      </c>
      <c r="J261" s="2283" t="s">
        <v>3279</v>
      </c>
      <c r="L261" s="3046" t="str">
        <f t="shared" si="24"/>
        <v>Sangre Latente</v>
      </c>
      <c r="M261" s="3047">
        <f t="shared" si="23"/>
        <v>26</v>
      </c>
      <c r="N261" s="1753" t="s">
        <v>2945</v>
      </c>
      <c r="O261" s="3048">
        <f>1+IF(Principal!$Y$24="No",1,0)</f>
        <v>1</v>
      </c>
      <c r="P261" s="1489">
        <f>COUNTIF(Principal!$C$35:$J$53,Tablas!N261)</f>
        <v>0</v>
      </c>
      <c r="Q261" s="3049">
        <f t="shared" si="25"/>
        <v>0</v>
      </c>
      <c r="R261" s="2037" t="s">
        <v>10116</v>
      </c>
      <c r="S261" s="2990"/>
      <c r="T261" s="3052" t="str">
        <f t="shared" si="26"/>
        <v/>
      </c>
      <c r="AB261" s="363"/>
    </row>
    <row r="262" spans="1:29" ht="12.75" customHeight="1" thickBot="1" x14ac:dyDescent="0.25">
      <c r="A262" s="1916">
        <v>262</v>
      </c>
      <c r="B262" s="5148"/>
      <c r="C262" s="2261" t="str">
        <f t="shared" si="28"/>
        <v>Acceso a 1 disciplina psiquica</v>
      </c>
      <c r="D262" s="2266">
        <f t="shared" si="29"/>
        <v>101</v>
      </c>
      <c r="E262" s="119" t="s">
        <v>2646</v>
      </c>
      <c r="F262" s="373">
        <v>2</v>
      </c>
      <c r="G262" s="373">
        <f>COUNTIF(Principal!$C$35:$J$53,Tablas!E262)</f>
        <v>0</v>
      </c>
      <c r="H262" s="2274">
        <f t="shared" si="30"/>
        <v>0</v>
      </c>
      <c r="I262" s="2279">
        <v>1</v>
      </c>
      <c r="J262" s="2283" t="s">
        <v>3279</v>
      </c>
      <c r="N262" s="363"/>
      <c r="Q262" s="5207">
        <f>SUM(Q236:Q261)</f>
        <v>0</v>
      </c>
      <c r="R262" s="3055" t="str">
        <f>MID(T236&amp;T237&amp;T238&amp;T239&amp;T240&amp;T241&amp;T242&amp;T243&amp;T244&amp;T245&amp;T246&amp;T247&amp;T248&amp;T249&amp;T250&amp;T251&amp;T252&amp;T253&amp;T254&amp;T255&amp;T256&amp;T257&amp;T258&amp;T259&amp;T260&amp;T261,3,20000)</f>
        <v/>
      </c>
      <c r="S262" s="3053"/>
      <c r="T262" s="3054"/>
      <c r="U262" s="443"/>
      <c r="V262" s="444"/>
      <c r="W262" s="422"/>
      <c r="X262" s="2014"/>
      <c r="AB262" s="363"/>
      <c r="AC262" s="2563"/>
    </row>
    <row r="263" spans="1:29" ht="12.75" customHeight="1" thickBot="1" x14ac:dyDescent="0.25">
      <c r="A263" s="1916">
        <v>263</v>
      </c>
      <c r="B263" s="5148"/>
      <c r="C263" s="2261" t="str">
        <f t="shared" si="28"/>
        <v>Acceso libre a dis. psiquicas</v>
      </c>
      <c r="D263" s="2266">
        <f t="shared" si="29"/>
        <v>102</v>
      </c>
      <c r="E263" s="2260" t="s">
        <v>2647</v>
      </c>
      <c r="F263" s="373">
        <v>1</v>
      </c>
      <c r="G263" s="373">
        <f>COUNTIF(Principal!$C$35:$J$53,Tablas!E263)</f>
        <v>0</v>
      </c>
      <c r="H263" s="2274">
        <f t="shared" si="30"/>
        <v>0</v>
      </c>
      <c r="I263" s="2279">
        <v>1</v>
      </c>
      <c r="J263" s="2283" t="s">
        <v>3279</v>
      </c>
      <c r="N263" s="363"/>
      <c r="Q263" s="5208"/>
      <c r="X263" s="1999"/>
      <c r="AB263" s="363"/>
      <c r="AC263" s="2563"/>
    </row>
    <row r="264" spans="1:29" ht="12.75" customHeight="1" thickBot="1" x14ac:dyDescent="0.25">
      <c r="A264" s="1916">
        <v>264</v>
      </c>
      <c r="B264" s="5148"/>
      <c r="C264" s="2261" t="str">
        <f t="shared" si="28"/>
        <v>Acumulación plena</v>
      </c>
      <c r="D264" s="2266">
        <f t="shared" si="29"/>
        <v>103</v>
      </c>
      <c r="E264" s="2260" t="s">
        <v>2648</v>
      </c>
      <c r="F264" s="373">
        <v>2</v>
      </c>
      <c r="G264" s="373">
        <f>COUNTIF(Principal!$C$35:$J$53,Tablas!E264)</f>
        <v>0</v>
      </c>
      <c r="H264" s="2274">
        <f t="shared" si="30"/>
        <v>0</v>
      </c>
      <c r="I264" s="2279">
        <v>1</v>
      </c>
      <c r="J264" s="2283" t="s">
        <v>3279</v>
      </c>
      <c r="N264" s="363"/>
      <c r="O264" s="1999"/>
      <c r="AB264" s="363"/>
      <c r="AC264" s="2563"/>
    </row>
    <row r="265" spans="1:29" ht="12.75" customHeight="1" x14ac:dyDescent="0.2">
      <c r="A265" s="1916">
        <v>265</v>
      </c>
      <c r="B265" s="5148"/>
      <c r="C265" s="2261" t="str">
        <f t="shared" si="28"/>
        <v>Afinidad animal</v>
      </c>
      <c r="D265" s="2266">
        <f t="shared" si="29"/>
        <v>6</v>
      </c>
      <c r="E265" s="2249" t="s">
        <v>2649</v>
      </c>
      <c r="F265" s="437">
        <v>1</v>
      </c>
      <c r="G265" s="373">
        <f>COUNTIF(Principal!$C$35:$J$53,Tablas!E265)</f>
        <v>0</v>
      </c>
      <c r="H265" s="2274">
        <f t="shared" si="30"/>
        <v>0</v>
      </c>
      <c r="I265" s="2279"/>
      <c r="J265" s="2283" t="s">
        <v>3279</v>
      </c>
      <c r="L265" s="5138" t="s">
        <v>2884</v>
      </c>
      <c r="M265" s="5139"/>
      <c r="N265" s="5139"/>
      <c r="O265" s="5139"/>
      <c r="P265" s="5139"/>
      <c r="Q265" s="5139"/>
      <c r="R265" s="5139"/>
      <c r="S265" s="5139"/>
      <c r="T265" s="5139"/>
      <c r="U265" s="5139"/>
      <c r="V265" s="5139"/>
      <c r="W265" s="5139"/>
      <c r="X265" s="5139"/>
      <c r="Y265" s="5139"/>
      <c r="Z265" s="5140"/>
      <c r="AB265" s="363"/>
      <c r="AC265" s="2563"/>
    </row>
    <row r="266" spans="1:29" ht="12.75" customHeight="1" x14ac:dyDescent="0.2">
      <c r="A266" s="1916">
        <v>266</v>
      </c>
      <c r="B266" s="5148"/>
      <c r="C266" s="2261" t="str">
        <f t="shared" si="28"/>
        <v>Afinidad de uso</v>
      </c>
      <c r="D266" s="2266">
        <f t="shared" si="29"/>
        <v>7</v>
      </c>
      <c r="E266" s="119" t="s">
        <v>2650</v>
      </c>
      <c r="F266" s="437">
        <v>2</v>
      </c>
      <c r="G266" s="373">
        <f>COUNTIF(Principal!$C$35:$J$53,Tablas!E266)</f>
        <v>0</v>
      </c>
      <c r="H266" s="2274">
        <f t="shared" si="30"/>
        <v>0</v>
      </c>
      <c r="I266" s="2279"/>
      <c r="J266" s="2283" t="s">
        <v>3279</v>
      </c>
      <c r="L266" s="5269"/>
      <c r="M266" s="5354"/>
      <c r="N266" s="5354"/>
      <c r="O266" s="5354"/>
      <c r="P266" s="5354"/>
      <c r="Q266" s="5354"/>
      <c r="R266" s="5354"/>
      <c r="S266" s="5354"/>
      <c r="T266" s="5354"/>
      <c r="U266" s="5354"/>
      <c r="V266" s="5354"/>
      <c r="W266" s="5354"/>
      <c r="X266" s="5354"/>
      <c r="Y266" s="5354"/>
      <c r="Z266" s="5270"/>
      <c r="AB266" s="363"/>
      <c r="AC266" s="2563"/>
    </row>
    <row r="267" spans="1:29" ht="12.75" customHeight="1" x14ac:dyDescent="0.2">
      <c r="A267" s="1916">
        <v>267</v>
      </c>
      <c r="B267" s="5148"/>
      <c r="C267" s="2261" t="str">
        <f t="shared" si="28"/>
        <v>Afortunado</v>
      </c>
      <c r="D267" s="2266">
        <f t="shared" si="29"/>
        <v>9</v>
      </c>
      <c r="E267" s="119" t="s">
        <v>2651</v>
      </c>
      <c r="F267" s="437">
        <v>1</v>
      </c>
      <c r="G267" s="373">
        <f>COUNTIF(Principal!$C$35:$J$53,Tablas!E267)</f>
        <v>0</v>
      </c>
      <c r="H267" s="2274">
        <f t="shared" si="30"/>
        <v>0</v>
      </c>
      <c r="I267" s="2279"/>
      <c r="J267" s="2283" t="s">
        <v>3279</v>
      </c>
      <c r="L267" s="2552"/>
      <c r="M267" s="2472"/>
      <c r="N267" s="5158" t="s">
        <v>1842</v>
      </c>
      <c r="O267" s="5158"/>
      <c r="P267" s="5159" t="s">
        <v>1844</v>
      </c>
      <c r="Q267" s="5159"/>
      <c r="R267" s="5159" t="s">
        <v>1846</v>
      </c>
      <c r="S267" s="5159"/>
      <c r="T267" s="5159" t="s">
        <v>1843</v>
      </c>
      <c r="U267" s="5159"/>
      <c r="V267" s="5159" t="s">
        <v>1845</v>
      </c>
      <c r="W267" s="5159"/>
      <c r="X267" s="5209" t="s">
        <v>1847</v>
      </c>
      <c r="Y267" s="5210"/>
      <c r="Z267" s="5372" t="s">
        <v>8676</v>
      </c>
      <c r="AB267" s="363"/>
      <c r="AC267" s="2563"/>
    </row>
    <row r="268" spans="1:29" ht="13.5" customHeight="1" thickBot="1" x14ac:dyDescent="0.25">
      <c r="A268" s="1916">
        <v>268</v>
      </c>
      <c r="B268" s="5148"/>
      <c r="C268" s="2261" t="str">
        <f t="shared" si="28"/>
        <v>Al límite</v>
      </c>
      <c r="D268" s="2266">
        <f t="shared" si="29"/>
        <v>95</v>
      </c>
      <c r="E268" s="119" t="s">
        <v>2652</v>
      </c>
      <c r="F268" s="437">
        <v>1</v>
      </c>
      <c r="G268" s="373">
        <f>COUNTIF(Principal!$C$35:$J$53,Tablas!E268)</f>
        <v>0</v>
      </c>
      <c r="H268" s="2274">
        <f t="shared" si="30"/>
        <v>0</v>
      </c>
      <c r="I268" s="2279">
        <v>1</v>
      </c>
      <c r="J268" s="2283" t="s">
        <v>3279</v>
      </c>
      <c r="L268" s="2553" t="s">
        <v>1708</v>
      </c>
      <c r="M268" s="2550" t="s">
        <v>1751</v>
      </c>
      <c r="N268" s="2469" t="s">
        <v>1801</v>
      </c>
      <c r="O268" s="2469" t="s">
        <v>2637</v>
      </c>
      <c r="P268" s="438" t="s">
        <v>1801</v>
      </c>
      <c r="Q268" s="2469" t="s">
        <v>2637</v>
      </c>
      <c r="R268" s="438" t="s">
        <v>1801</v>
      </c>
      <c r="S268" s="1737" t="s">
        <v>2637</v>
      </c>
      <c r="T268" s="438" t="s">
        <v>1801</v>
      </c>
      <c r="U268" s="2469" t="s">
        <v>2637</v>
      </c>
      <c r="V268" s="438" t="s">
        <v>1801</v>
      </c>
      <c r="W268" s="2469" t="s">
        <v>2637</v>
      </c>
      <c r="X268" s="438" t="s">
        <v>1801</v>
      </c>
      <c r="Y268" s="2013" t="s">
        <v>2637</v>
      </c>
      <c r="Z268" s="5373"/>
      <c r="AA268" s="1652"/>
      <c r="AB268" s="363"/>
      <c r="AC268" s="2563"/>
    </row>
    <row r="269" spans="1:29" ht="12.75" customHeight="1" x14ac:dyDescent="0.2">
      <c r="A269" s="1916">
        <v>269</v>
      </c>
      <c r="B269" s="5148"/>
      <c r="C269" s="2261" t="str">
        <f t="shared" si="28"/>
        <v>Ambidestría</v>
      </c>
      <c r="D269" s="2266">
        <f t="shared" si="29"/>
        <v>94</v>
      </c>
      <c r="E269" s="119" t="s">
        <v>2653</v>
      </c>
      <c r="F269" s="437">
        <v>2</v>
      </c>
      <c r="G269" s="373">
        <f>COUNTIF(Principal!$C$35:$J$53,Tablas!E269)</f>
        <v>0</v>
      </c>
      <c r="H269" s="2274">
        <f t="shared" si="30"/>
        <v>0</v>
      </c>
      <c r="I269" s="2279">
        <v>1</v>
      </c>
      <c r="J269" s="2283" t="s">
        <v>3279</v>
      </c>
      <c r="L269" s="1486" t="s">
        <v>1713</v>
      </c>
      <c r="M269" s="2551" t="s">
        <v>1714</v>
      </c>
      <c r="N269" s="2473">
        <v>1</v>
      </c>
      <c r="O269" s="2473">
        <f>IF(Personalización!$J$29=M269,1,0)+IF(Personalización!$L$29=M269,1,0)</f>
        <v>0</v>
      </c>
      <c r="P269" s="439">
        <v>2</v>
      </c>
      <c r="Q269" s="2473">
        <f>IF(Personalización!$J$30=M269,1,0)+IF(Personalización!$L$30=M269,1,0)</f>
        <v>0</v>
      </c>
      <c r="R269" s="439">
        <v>3</v>
      </c>
      <c r="S269" s="119">
        <f>IF(Personalización!$J$31=M269,1,0)+IF(Personalización!$L$31=M269,1,0)</f>
        <v>0</v>
      </c>
      <c r="T269" s="439">
        <v>1</v>
      </c>
      <c r="U269" s="2473">
        <f>IF(Personalización!$J$32=M269,1,0)+IF(Personalización!$L$32=M269,1,0)</f>
        <v>0</v>
      </c>
      <c r="V269" s="439">
        <v>2</v>
      </c>
      <c r="W269" s="2473">
        <f>IF(Personalización!$J$33=M269,1,0)+IF(Personalización!$L$33=M269,1,0)</f>
        <v>0</v>
      </c>
      <c r="X269" s="439">
        <v>3</v>
      </c>
      <c r="Y269" s="1655">
        <f>IF(Personalización!$J$34=M269,1,0)+IF(Personalización!$L$34=M269,1,0)</f>
        <v>0</v>
      </c>
      <c r="Z269" s="1487">
        <f>10*Tablas!U269+20*Tablas!W269+30*Tablas!Y269+5*VLOOKUP("Apr. natural (2): "&amp;L269,$E$286:$G$302,3,FALSE)+10*VLOOKUP("Apr. natural (3): "&amp;L269,$E$286:$G$302,3,FALSE)</f>
        <v>0</v>
      </c>
      <c r="AA269" s="1652"/>
      <c r="AB269" s="363"/>
      <c r="AC269" s="2563"/>
    </row>
    <row r="270" spans="1:29" ht="12.75" customHeight="1" x14ac:dyDescent="0.2">
      <c r="A270" s="1916">
        <v>270</v>
      </c>
      <c r="B270" s="5148"/>
      <c r="C270" s="2261" t="str">
        <f t="shared" si="28"/>
        <v>Apr. natural (2): Atléticas</v>
      </c>
      <c r="D270" s="2266">
        <f t="shared" si="29"/>
        <v>96</v>
      </c>
      <c r="E270" s="119" t="s">
        <v>2654</v>
      </c>
      <c r="F270" s="373">
        <v>3</v>
      </c>
      <c r="G270" s="373">
        <f>COUNTIF(Principal!$C$35:$J$53,Tablas!E270)</f>
        <v>0</v>
      </c>
      <c r="H270" s="2274">
        <f t="shared" si="30"/>
        <v>0</v>
      </c>
      <c r="I270" s="2279">
        <v>1</v>
      </c>
      <c r="J270" s="2283" t="s">
        <v>3279</v>
      </c>
      <c r="L270" s="1486" t="s">
        <v>1713</v>
      </c>
      <c r="M270" s="2551" t="s">
        <v>1716</v>
      </c>
      <c r="N270" s="2473">
        <v>1</v>
      </c>
      <c r="O270" s="2473">
        <f>IF(Personalización!$J$29=M270,1,0)+IF(Personalización!$L$29=M270,1,0)</f>
        <v>0</v>
      </c>
      <c r="P270" s="439">
        <v>2</v>
      </c>
      <c r="Q270" s="2473">
        <f>IF(Personalización!$J$30=M270,1,0)+IF(Personalización!$L$30=M270,1,0)</f>
        <v>0</v>
      </c>
      <c r="R270" s="439">
        <v>3</v>
      </c>
      <c r="S270" s="119">
        <f>IF(Personalización!$J$31=M270,1,0)+IF(Personalización!$L$31=M270,1,0)</f>
        <v>0</v>
      </c>
      <c r="T270" s="439">
        <v>1</v>
      </c>
      <c r="U270" s="2473">
        <f>IF(Personalización!$J$32=M270,1,0)+IF(Personalización!$L$32=M270,1,0)</f>
        <v>0</v>
      </c>
      <c r="V270" s="439">
        <v>2</v>
      </c>
      <c r="W270" s="2473">
        <f>IF(Personalización!$J$33=M270,1,0)+IF(Personalización!$L$33=M270,1,0)</f>
        <v>0</v>
      </c>
      <c r="X270" s="439">
        <v>3</v>
      </c>
      <c r="Y270" s="1655">
        <f>IF(Personalización!$J$34=M270,1,0)+IF(Personalización!$L$34=M270,1,0)</f>
        <v>0</v>
      </c>
      <c r="Z270" s="1487">
        <f>10*Tablas!U270+20*Tablas!W270+30*Tablas!Y270+5*VLOOKUP("Apr. natural (2): "&amp;L270,$E$286:$G$302,3,FALSE)+10*VLOOKUP("Apr. natural (3): "&amp;L270,$E$286:$G$302,3,FALSE)</f>
        <v>0</v>
      </c>
      <c r="AA270" s="1652"/>
      <c r="AB270" s="363"/>
      <c r="AC270" s="2563"/>
    </row>
    <row r="271" spans="1:29" ht="12.75" customHeight="1" x14ac:dyDescent="0.2">
      <c r="A271" s="1916">
        <v>271</v>
      </c>
      <c r="B271" s="5148"/>
      <c r="C271" s="2261" t="str">
        <f t="shared" si="28"/>
        <v>Apr. natural (2): Creativas</v>
      </c>
      <c r="D271" s="2266">
        <f t="shared" si="29"/>
        <v>110</v>
      </c>
      <c r="E271" s="119" t="s">
        <v>2655</v>
      </c>
      <c r="F271" s="373">
        <v>1</v>
      </c>
      <c r="G271" s="373">
        <f>COUNTIF(Principal!$C$35:$J$53,Tablas!E271)</f>
        <v>0</v>
      </c>
      <c r="H271" s="2274">
        <f t="shared" si="30"/>
        <v>0</v>
      </c>
      <c r="I271" s="2279">
        <v>1</v>
      </c>
      <c r="J271" s="2283" t="s">
        <v>3279</v>
      </c>
      <c r="L271" s="1486" t="s">
        <v>1713</v>
      </c>
      <c r="M271" s="2551" t="s">
        <v>1719</v>
      </c>
      <c r="N271" s="2473">
        <v>1</v>
      </c>
      <c r="O271" s="2473">
        <f>IF(Personalización!$J$29=M271,1,0)+IF(Personalización!$L$29=M271,1,0)</f>
        <v>0</v>
      </c>
      <c r="P271" s="439">
        <v>2</v>
      </c>
      <c r="Q271" s="2473">
        <f>IF(Personalización!$J$30=M271,1,0)+IF(Personalización!$L$30=M271,1,0)</f>
        <v>0</v>
      </c>
      <c r="R271" s="439">
        <v>3</v>
      </c>
      <c r="S271" s="119">
        <f>IF(Personalización!$J$31=M271,1,0)+IF(Personalización!$L$31=M271,1,0)</f>
        <v>0</v>
      </c>
      <c r="T271" s="439">
        <v>1</v>
      </c>
      <c r="U271" s="2473">
        <f>IF(Personalización!$J$32=M271,1,0)+IF(Personalización!$L$32=M271,1,0)</f>
        <v>0</v>
      </c>
      <c r="V271" s="439">
        <v>2</v>
      </c>
      <c r="W271" s="2473">
        <f>IF(Personalización!$J$33=M271,1,0)+IF(Personalización!$L$33=M271,1,0)</f>
        <v>0</v>
      </c>
      <c r="X271" s="439">
        <v>3</v>
      </c>
      <c r="Y271" s="1655">
        <f>IF(Personalización!$J$34=M271,1,0)+IF(Personalización!$L$34=M271,1,0)</f>
        <v>0</v>
      </c>
      <c r="Z271" s="1487">
        <f>10*Tablas!U271+20*Tablas!W271+30*Tablas!Y271+5*VLOOKUP("Apr. natural (2): "&amp;L271,$E$286:$G$302,3,FALSE)+10*VLOOKUP("Apr. natural (3): "&amp;L271,$E$286:$G$302,3,FALSE)</f>
        <v>0</v>
      </c>
      <c r="AA271" s="1652"/>
      <c r="AB271" s="363"/>
      <c r="AC271" s="2563"/>
    </row>
    <row r="272" spans="1:29" ht="12.75" customHeight="1" x14ac:dyDescent="0.2">
      <c r="A272" s="1916">
        <v>272</v>
      </c>
      <c r="B272" s="5148"/>
      <c r="C272" s="2261" t="str">
        <f t="shared" si="28"/>
        <v>Apr. natural (2): Intelectuales</v>
      </c>
      <c r="D272" s="2266">
        <f t="shared" si="29"/>
        <v>13</v>
      </c>
      <c r="E272" s="119" t="s">
        <v>2656</v>
      </c>
      <c r="F272" s="373">
        <v>1</v>
      </c>
      <c r="G272" s="373">
        <f>COUNTIF(Principal!$C$35:$J$53,Tablas!E272)</f>
        <v>0</v>
      </c>
      <c r="H272" s="2274">
        <f t="shared" si="30"/>
        <v>0</v>
      </c>
      <c r="I272" s="2279">
        <v>1</v>
      </c>
      <c r="J272" s="2283" t="s">
        <v>3279</v>
      </c>
      <c r="L272" s="1486" t="s">
        <v>1713</v>
      </c>
      <c r="M272" s="2551" t="s">
        <v>1723</v>
      </c>
      <c r="N272" s="2473">
        <v>1</v>
      </c>
      <c r="O272" s="2473">
        <f>IF(Personalización!$J$29=M272,1,0)+IF(Personalización!$L$29=M272,1,0)</f>
        <v>0</v>
      </c>
      <c r="P272" s="439">
        <v>2</v>
      </c>
      <c r="Q272" s="2473">
        <f>IF(Personalización!$J$30=M272,1,0)+IF(Personalización!$L$30=M272,1,0)</f>
        <v>0</v>
      </c>
      <c r="R272" s="439">
        <v>3</v>
      </c>
      <c r="S272" s="119">
        <f>IF(Personalización!$J$31=M272,1,0)+IF(Personalización!$L$31=M272,1,0)</f>
        <v>0</v>
      </c>
      <c r="T272" s="439">
        <v>1</v>
      </c>
      <c r="U272" s="2473">
        <f>IF(Personalización!$J$32=M272,1,0)+IF(Personalización!$L$32=M272,1,0)</f>
        <v>0</v>
      </c>
      <c r="V272" s="439">
        <v>2</v>
      </c>
      <c r="W272" s="2473">
        <f>IF(Personalización!$J$33=M272,1,0)+IF(Personalización!$L$33=M272,1,0)</f>
        <v>0</v>
      </c>
      <c r="X272" s="439">
        <v>3</v>
      </c>
      <c r="Y272" s="1655">
        <f>IF(Personalización!$J$34=M272,1,0)+IF(Personalización!$L$34=M272,1,0)</f>
        <v>0</v>
      </c>
      <c r="Z272" s="1487">
        <f>10*Tablas!U272+20*Tablas!W272+30*Tablas!Y272+5*VLOOKUP("Apr. natural (2): "&amp;L272,$E$286:$G$302,3,FALSE)+10*VLOOKUP("Apr. natural (3): "&amp;L272,$E$286:$G$302,3,FALSE)</f>
        <v>0</v>
      </c>
      <c r="AA272" s="1652"/>
      <c r="AB272" s="363"/>
      <c r="AC272" s="2563"/>
    </row>
    <row r="273" spans="1:29" ht="12.75" customHeight="1" x14ac:dyDescent="0.2">
      <c r="A273" s="1916">
        <v>273</v>
      </c>
      <c r="B273" s="5148"/>
      <c r="C273" s="2261" t="str">
        <f t="shared" si="28"/>
        <v>Apr. natural (2): Perceptivas</v>
      </c>
      <c r="D273" s="2266">
        <f t="shared" si="29"/>
        <v>57</v>
      </c>
      <c r="E273" s="119" t="s">
        <v>2657</v>
      </c>
      <c r="F273" s="373">
        <v>2</v>
      </c>
      <c r="G273" s="373">
        <f>COUNTIF(Principal!$C$35:$J$53,Tablas!E273)</f>
        <v>0</v>
      </c>
      <c r="H273" s="2274">
        <f t="shared" si="30"/>
        <v>0</v>
      </c>
      <c r="I273" s="2279">
        <v>2</v>
      </c>
      <c r="J273" s="2283" t="s">
        <v>3279</v>
      </c>
      <c r="L273" s="1486" t="s">
        <v>1713</v>
      </c>
      <c r="M273" s="2551" t="s">
        <v>1726</v>
      </c>
      <c r="N273" s="2473">
        <v>1</v>
      </c>
      <c r="O273" s="2473">
        <f>IF(Personalización!$J$29=M273,1,0)+IF(Personalización!$L$29=M273,1,0)</f>
        <v>0</v>
      </c>
      <c r="P273" s="439">
        <v>2</v>
      </c>
      <c r="Q273" s="2473">
        <f>IF(Personalización!$J$30=M273,1,0)+IF(Personalización!$L$30=M273,1,0)</f>
        <v>0</v>
      </c>
      <c r="R273" s="439">
        <v>3</v>
      </c>
      <c r="S273" s="119">
        <f>IF(Personalización!$J$31=M273,1,0)+IF(Personalización!$L$31=M273,1,0)</f>
        <v>0</v>
      </c>
      <c r="T273" s="439">
        <v>1</v>
      </c>
      <c r="U273" s="2473">
        <f>IF(Personalización!$J$32=M273,1,0)+IF(Personalización!$L$32=M273,1,0)</f>
        <v>0</v>
      </c>
      <c r="V273" s="439">
        <v>2</v>
      </c>
      <c r="W273" s="2473">
        <f>IF(Personalización!$J$33=M273,1,0)+IF(Personalización!$L$33=M273,1,0)</f>
        <v>0</v>
      </c>
      <c r="X273" s="439">
        <v>3</v>
      </c>
      <c r="Y273" s="1655">
        <f>IF(Personalización!$J$34=M273,1,0)+IF(Personalización!$L$34=M273,1,0)</f>
        <v>0</v>
      </c>
      <c r="Z273" s="1487">
        <f>10*Tablas!U273+20*Tablas!W273+30*Tablas!Y273+5*VLOOKUP("Apr. natural (2): "&amp;L273,$E$286:$G$302,3,FALSE)+10*VLOOKUP("Apr. natural (3): "&amp;L273,$E$286:$G$302,3,FALSE)</f>
        <v>0</v>
      </c>
      <c r="AA273" s="1652"/>
      <c r="AB273" s="363"/>
      <c r="AC273" s="2563"/>
    </row>
    <row r="274" spans="1:29" ht="12.75" customHeight="1" x14ac:dyDescent="0.2">
      <c r="A274" s="1916">
        <v>274</v>
      </c>
      <c r="B274" s="5148"/>
      <c r="C274" s="2261" t="str">
        <f t="shared" si="28"/>
        <v>Apr. natural (2): Sociales</v>
      </c>
      <c r="D274" s="2266">
        <f t="shared" si="29"/>
        <v>132</v>
      </c>
      <c r="E274" s="119" t="s">
        <v>2247</v>
      </c>
      <c r="F274" s="373">
        <v>1</v>
      </c>
      <c r="G274" s="373">
        <f>COUNTIF(Principal!$C$35:$J$53,Tablas!E274)</f>
        <v>0</v>
      </c>
      <c r="H274" s="2274">
        <f t="shared" si="30"/>
        <v>0</v>
      </c>
      <c r="I274" s="2279"/>
      <c r="J274" s="2283" t="s">
        <v>3279</v>
      </c>
      <c r="L274" s="1486" t="s">
        <v>1713</v>
      </c>
      <c r="M274" s="2551" t="s">
        <v>1729</v>
      </c>
      <c r="N274" s="2473">
        <v>1</v>
      </c>
      <c r="O274" s="2473">
        <f>IF(Personalización!$J$29=M274,1,0)+IF(Personalización!$L$29=M274,1,0)</f>
        <v>0</v>
      </c>
      <c r="P274" s="439">
        <v>2</v>
      </c>
      <c r="Q274" s="2473">
        <f>IF(Personalización!$J$30=M274,1,0)+IF(Personalización!$L$30=M274,1,0)</f>
        <v>0</v>
      </c>
      <c r="R274" s="439">
        <v>3</v>
      </c>
      <c r="S274" s="119">
        <f>IF(Personalización!$J$31=M274,1,0)+IF(Personalización!$L$31=M274,1,0)</f>
        <v>0</v>
      </c>
      <c r="T274" s="439">
        <v>1</v>
      </c>
      <c r="U274" s="2473">
        <f>IF(Personalización!$J$32=M274,1,0)+IF(Personalización!$L$32=M274,1,0)</f>
        <v>0</v>
      </c>
      <c r="V274" s="439">
        <v>2</v>
      </c>
      <c r="W274" s="2473">
        <f>IF(Personalización!$J$33=M274,1,0)+IF(Personalización!$L$33=M274,1,0)</f>
        <v>0</v>
      </c>
      <c r="X274" s="439">
        <v>3</v>
      </c>
      <c r="Y274" s="1655">
        <f>IF(Personalización!$J$34=M274,1,0)+IF(Personalización!$L$34=M274,1,0)</f>
        <v>0</v>
      </c>
      <c r="Z274" s="1487">
        <f>10*Tablas!U274+20*Tablas!W274+30*Tablas!Y274+5*VLOOKUP("Apr. natural (2): "&amp;L274,$E$286:$G$302,3,FALSE)+10*VLOOKUP("Apr. natural (3): "&amp;L274,$E$286:$G$302,3,FALSE)</f>
        <v>0</v>
      </c>
      <c r="AA274" s="1652"/>
      <c r="AB274" s="363"/>
      <c r="AC274" s="2563"/>
    </row>
    <row r="275" spans="1:29" ht="12.75" customHeight="1" x14ac:dyDescent="0.2">
      <c r="A275" s="1916">
        <v>275</v>
      </c>
      <c r="B275" s="5148"/>
      <c r="C275" s="2261" t="str">
        <f t="shared" si="28"/>
        <v>Apr. natural (2): Subterfugio</v>
      </c>
      <c r="D275" s="2266">
        <f t="shared" si="29"/>
        <v>75</v>
      </c>
      <c r="E275" s="119" t="s">
        <v>2658</v>
      </c>
      <c r="F275" s="373">
        <v>1</v>
      </c>
      <c r="G275" s="373">
        <f>COUNTIF(Principal!$C$35:$J$53,Tablas!E275)</f>
        <v>0</v>
      </c>
      <c r="H275" s="2274">
        <f t="shared" si="30"/>
        <v>0</v>
      </c>
      <c r="I275" s="2279"/>
      <c r="J275" s="2283" t="s">
        <v>3279</v>
      </c>
      <c r="L275" s="1486" t="s">
        <v>1713</v>
      </c>
      <c r="M275" s="2551" t="s">
        <v>7754</v>
      </c>
      <c r="N275" s="2473">
        <v>1</v>
      </c>
      <c r="O275" s="2473">
        <f>IF(Personalización!$J$29=M275,1,0)+IF(Personalización!$L$29=M275,1,0)</f>
        <v>0</v>
      </c>
      <c r="P275" s="439">
        <v>2</v>
      </c>
      <c r="Q275" s="2473">
        <f>IF(Personalización!$J$30=M275,1,0)+IF(Personalización!$L$30=M275,1,0)</f>
        <v>0</v>
      </c>
      <c r="R275" s="439">
        <v>3</v>
      </c>
      <c r="S275" s="119">
        <f>IF(Personalización!$J$31=M275,1,0)+IF(Personalización!$L$31=M275,1,0)</f>
        <v>0</v>
      </c>
      <c r="T275" s="439">
        <v>1</v>
      </c>
      <c r="U275" s="2473">
        <f>IF(Personalización!$J$32=M275,1,0)+IF(Personalización!$L$32=M275,1,0)</f>
        <v>0</v>
      </c>
      <c r="V275" s="439">
        <v>2</v>
      </c>
      <c r="W275" s="2473">
        <f>IF(Personalización!$J$33=M275,1,0)+IF(Personalización!$L$33=M275,1,0)</f>
        <v>0</v>
      </c>
      <c r="X275" s="439">
        <v>3</v>
      </c>
      <c r="Y275" s="1655">
        <f>IF(Personalización!$J$34=M275,1,0)+IF(Personalización!$L$34=M275,1,0)</f>
        <v>0</v>
      </c>
      <c r="Z275" s="1487">
        <f>10*Tablas!U275+20*Tablas!W275+30*Tablas!Y275+5*VLOOKUP("Apr. natural (2): "&amp;L275,$E$286:$G$302,3,FALSE)+10*VLOOKUP("Apr. natural (3): "&amp;L275,$E$286:$G$302,3,FALSE)</f>
        <v>0</v>
      </c>
      <c r="AA275" s="1652"/>
      <c r="AB275" s="363"/>
      <c r="AC275" s="2563"/>
    </row>
    <row r="276" spans="1:29" ht="12.75" customHeight="1" x14ac:dyDescent="0.2">
      <c r="A276" s="1916">
        <v>276</v>
      </c>
      <c r="B276" s="5148"/>
      <c r="C276" s="2261" t="str">
        <f t="shared" si="28"/>
        <v>Apr. natural (2): Vigor</v>
      </c>
      <c r="D276" s="2266">
        <f t="shared" si="29"/>
        <v>42</v>
      </c>
      <c r="E276" s="119" t="s">
        <v>1842</v>
      </c>
      <c r="F276" s="373">
        <v>1</v>
      </c>
      <c r="G276" s="373">
        <f>COUNTIF(Principal!$C$35:$J$53,Tablas!E276)</f>
        <v>0</v>
      </c>
      <c r="H276" s="2274">
        <f t="shared" si="30"/>
        <v>0</v>
      </c>
      <c r="I276" s="2279">
        <v>1</v>
      </c>
      <c r="J276" s="2283" t="s">
        <v>3279</v>
      </c>
      <c r="L276" s="1486" t="s">
        <v>1732</v>
      </c>
      <c r="M276" s="2551" t="s">
        <v>1733</v>
      </c>
      <c r="N276" s="2473">
        <v>1</v>
      </c>
      <c r="O276" s="2473">
        <f>IF(Personalización!$J$29=M276,1,0)+IF(Personalización!$L$29=M276,1,0)</f>
        <v>0</v>
      </c>
      <c r="P276" s="439">
        <v>2</v>
      </c>
      <c r="Q276" s="2473">
        <f>IF(Personalización!$J$30=M276,1,0)+IF(Personalización!$L$30=M276,1,0)</f>
        <v>0</v>
      </c>
      <c r="R276" s="439">
        <v>3</v>
      </c>
      <c r="S276" s="119">
        <f>IF(Personalización!$J$31=M276,1,0)+IF(Personalización!$L$31=M276,1,0)</f>
        <v>0</v>
      </c>
      <c r="T276" s="439">
        <v>1</v>
      </c>
      <c r="U276" s="2473">
        <f>IF(Personalización!$J$32=M276,1,0)+IF(Personalización!$L$32=M276,1,0)</f>
        <v>0</v>
      </c>
      <c r="V276" s="439">
        <v>2</v>
      </c>
      <c r="W276" s="2473">
        <f>IF(Personalización!$J$33=M276,1,0)+IF(Personalización!$L$33=M276,1,0)</f>
        <v>0</v>
      </c>
      <c r="X276" s="439">
        <v>3</v>
      </c>
      <c r="Y276" s="1655">
        <f>IF(Personalización!$J$34=M276,1,0)+IF(Personalización!$L$34=M276,1,0)</f>
        <v>0</v>
      </c>
      <c r="Z276" s="1487">
        <f>10*Tablas!U276+20*Tablas!W276+30*Tablas!Y276+5*VLOOKUP("Apr. natural (2): "&amp;L276,$E$286:$G$302,3,FALSE)+10*VLOOKUP("Apr. natural (3): "&amp;L276,$E$286:$G$302,3,FALSE)</f>
        <v>0</v>
      </c>
      <c r="AA276" s="1652"/>
      <c r="AB276" s="363"/>
      <c r="AC276" s="2563"/>
    </row>
    <row r="277" spans="1:29" ht="12.75" customHeight="1" x14ac:dyDescent="0.2">
      <c r="A277" s="1916">
        <v>277</v>
      </c>
      <c r="B277" s="5148"/>
      <c r="C277" s="2261" t="str">
        <f t="shared" si="28"/>
        <v>Apr. natural (3): Atléticas</v>
      </c>
      <c r="D277" s="2266">
        <f t="shared" si="29"/>
        <v>43</v>
      </c>
      <c r="E277" s="119" t="s">
        <v>1844</v>
      </c>
      <c r="F277" s="373">
        <v>2</v>
      </c>
      <c r="G277" s="373">
        <f>COUNTIF(Principal!$C$35:$J$53,Tablas!E277)</f>
        <v>0</v>
      </c>
      <c r="H277" s="2274">
        <f t="shared" si="30"/>
        <v>0</v>
      </c>
      <c r="I277" s="2279">
        <v>1</v>
      </c>
      <c r="J277" s="2283" t="s">
        <v>3279</v>
      </c>
      <c r="L277" s="1486" t="s">
        <v>1732</v>
      </c>
      <c r="M277" s="2551" t="s">
        <v>1735</v>
      </c>
      <c r="N277" s="2473">
        <v>1</v>
      </c>
      <c r="O277" s="2473">
        <f>IF(Personalización!$J$29=M277,1,0)+IF(Personalización!$L$29=M277,1,0)</f>
        <v>0</v>
      </c>
      <c r="P277" s="439">
        <v>2</v>
      </c>
      <c r="Q277" s="2473">
        <f>IF(Personalización!$J$30=M277,1,0)+IF(Personalización!$L$30=M277,1,0)</f>
        <v>0</v>
      </c>
      <c r="R277" s="439">
        <v>3</v>
      </c>
      <c r="S277" s="119">
        <f>IF(Personalización!$J$31=M277,1,0)+IF(Personalización!$L$31=M277,1,0)</f>
        <v>0</v>
      </c>
      <c r="T277" s="439">
        <v>1</v>
      </c>
      <c r="U277" s="2473">
        <f>IF(Personalización!$J$32=M277,1,0)+IF(Personalización!$L$32=M277,1,0)</f>
        <v>0</v>
      </c>
      <c r="V277" s="439">
        <v>2</v>
      </c>
      <c r="W277" s="2473">
        <f>IF(Personalización!$J$33=M277,1,0)+IF(Personalización!$L$33=M277,1,0)</f>
        <v>0</v>
      </c>
      <c r="X277" s="439">
        <v>3</v>
      </c>
      <c r="Y277" s="1655">
        <f>IF(Personalización!$J$34=M277,1,0)+IF(Personalización!$L$34=M277,1,0)</f>
        <v>0</v>
      </c>
      <c r="Z277" s="1487">
        <f>10*Tablas!U277+20*Tablas!W277+30*Tablas!Y277+5*VLOOKUP("Apr. natural (2): "&amp;L277,$E$286:$G$302,3,FALSE)+10*VLOOKUP("Apr. natural (3): "&amp;L277,$E$286:$G$302,3,FALSE)</f>
        <v>0</v>
      </c>
      <c r="AA277" s="1652"/>
      <c r="AB277" s="363"/>
      <c r="AC277" s="2563"/>
    </row>
    <row r="278" spans="1:29" ht="13.5" customHeight="1" x14ac:dyDescent="0.2">
      <c r="A278" s="1916">
        <v>278</v>
      </c>
      <c r="B278" s="5148"/>
      <c r="C278" s="2261" t="str">
        <f t="shared" si="28"/>
        <v>Apr. natural (3): Creativas</v>
      </c>
      <c r="D278" s="2266">
        <f t="shared" si="29"/>
        <v>44</v>
      </c>
      <c r="E278" s="119" t="s">
        <v>1846</v>
      </c>
      <c r="F278" s="373">
        <v>3</v>
      </c>
      <c r="G278" s="373">
        <f>COUNTIF(Principal!$C$35:$J$53,Tablas!E278)</f>
        <v>0</v>
      </c>
      <c r="H278" s="2274">
        <f t="shared" si="30"/>
        <v>0</v>
      </c>
      <c r="I278" s="2279">
        <v>1</v>
      </c>
      <c r="J278" s="2283" t="s">
        <v>3279</v>
      </c>
      <c r="L278" s="1486" t="s">
        <v>1732</v>
      </c>
      <c r="M278" s="2551" t="s">
        <v>1738</v>
      </c>
      <c r="N278" s="2473">
        <v>1</v>
      </c>
      <c r="O278" s="2473">
        <f>IF(Personalización!$J$29=M278,1,0)+IF(Personalización!$L$29=M278,1,0)</f>
        <v>0</v>
      </c>
      <c r="P278" s="439">
        <v>2</v>
      </c>
      <c r="Q278" s="2473">
        <f>IF(Personalización!$J$30=M278,1,0)+IF(Personalización!$L$30=M278,1,0)</f>
        <v>0</v>
      </c>
      <c r="R278" s="439">
        <v>3</v>
      </c>
      <c r="S278" s="119">
        <f>IF(Personalización!$J$31=M278,1,0)+IF(Personalización!$L$31=M278,1,0)</f>
        <v>0</v>
      </c>
      <c r="T278" s="439">
        <v>1</v>
      </c>
      <c r="U278" s="2473">
        <f>IF(Personalización!$J$32=M278,1,0)+IF(Personalización!$L$32=M278,1,0)</f>
        <v>0</v>
      </c>
      <c r="V278" s="439">
        <v>2</v>
      </c>
      <c r="W278" s="2473">
        <f>IF(Personalización!$J$33=M278,1,0)+IF(Personalización!$L$33=M278,1,0)</f>
        <v>0</v>
      </c>
      <c r="X278" s="439">
        <v>3</v>
      </c>
      <c r="Y278" s="1655">
        <f>IF(Personalización!$J$34=M278,1,0)+IF(Personalización!$L$34=M278,1,0)</f>
        <v>0</v>
      </c>
      <c r="Z278" s="1487">
        <f>10*Tablas!U278+20*Tablas!W278+30*Tablas!Y278+5*VLOOKUP("Apr. natural (2): "&amp;L278,$E$286:$G$302,3,FALSE)+10*VLOOKUP("Apr. natural (3): "&amp;L278,$E$286:$G$302,3,FALSE)</f>
        <v>0</v>
      </c>
      <c r="AA278" s="1652"/>
      <c r="AB278" s="363"/>
      <c r="AC278" s="2563"/>
    </row>
    <row r="279" spans="1:29" ht="12.75" customHeight="1" x14ac:dyDescent="0.2">
      <c r="A279" s="1916">
        <v>279</v>
      </c>
      <c r="B279" s="5148"/>
      <c r="C279" s="2261" t="str">
        <f t="shared" si="28"/>
        <v>Apr. natural (3): Intelectuales</v>
      </c>
      <c r="D279" s="2266">
        <f t="shared" si="29"/>
        <v>35</v>
      </c>
      <c r="E279" s="119" t="s">
        <v>2659</v>
      </c>
      <c r="F279" s="373">
        <v>2</v>
      </c>
      <c r="G279" s="373">
        <f>COUNTIF(Principal!$C$35:$J$53,Tablas!E279)</f>
        <v>0</v>
      </c>
      <c r="H279" s="2274">
        <f t="shared" si="30"/>
        <v>0</v>
      </c>
      <c r="I279" s="2279">
        <v>1</v>
      </c>
      <c r="J279" s="2283" t="s">
        <v>3279</v>
      </c>
      <c r="L279" s="1486" t="s">
        <v>1732</v>
      </c>
      <c r="M279" s="2551" t="s">
        <v>1740</v>
      </c>
      <c r="N279" s="2473">
        <v>1</v>
      </c>
      <c r="O279" s="2473">
        <f>IF(Personalización!$J$29=M279,1,0)+IF(Personalización!$L$29=M279,1,0)</f>
        <v>0</v>
      </c>
      <c r="P279" s="439">
        <v>2</v>
      </c>
      <c r="Q279" s="2473">
        <f>IF(Personalización!$J$30=M279,1,0)+IF(Personalización!$L$30=M279,1,0)</f>
        <v>0</v>
      </c>
      <c r="R279" s="439">
        <v>3</v>
      </c>
      <c r="S279" s="119">
        <f>IF(Personalización!$J$31=M279,1,0)+IF(Personalización!$L$31=M279,1,0)</f>
        <v>0</v>
      </c>
      <c r="T279" s="439">
        <v>1</v>
      </c>
      <c r="U279" s="2473">
        <f>IF(Personalización!$J$32=M279,1,0)+IF(Personalización!$L$32=M279,1,0)</f>
        <v>0</v>
      </c>
      <c r="V279" s="439">
        <v>2</v>
      </c>
      <c r="W279" s="2473">
        <f>IF(Personalización!$J$33=M279,1,0)+IF(Personalización!$L$33=M279,1,0)</f>
        <v>0</v>
      </c>
      <c r="X279" s="439">
        <v>3</v>
      </c>
      <c r="Y279" s="1655">
        <f>IF(Personalización!$J$34=M279,1,0)+IF(Personalización!$L$34=M279,1,0)</f>
        <v>0</v>
      </c>
      <c r="Z279" s="1487">
        <f>10*Tablas!U279+20*Tablas!W279+30*Tablas!Y279+5*VLOOKUP("Apr. natural (2): "&amp;L279,$E$286:$G$302,3,FALSE)+10*VLOOKUP("Apr. natural (3): "&amp;L279,$E$286:$G$302,3,FALSE)</f>
        <v>0</v>
      </c>
      <c r="AA279" s="1652"/>
      <c r="AB279" s="363"/>
      <c r="AC279" s="2563"/>
    </row>
    <row r="280" spans="1:29" ht="12.75" customHeight="1" x14ac:dyDescent="0.2">
      <c r="A280" s="1916">
        <v>280</v>
      </c>
      <c r="B280" s="5148"/>
      <c r="C280" s="2261" t="str">
        <f t="shared" si="28"/>
        <v>Apr. natural (3): Perceptivas</v>
      </c>
      <c r="D280" s="2266">
        <f t="shared" si="29"/>
        <v>39</v>
      </c>
      <c r="E280" s="119" t="s">
        <v>2660</v>
      </c>
      <c r="F280" s="373">
        <v>2</v>
      </c>
      <c r="G280" s="373">
        <f>COUNTIF(Principal!$C$35:$J$53,Tablas!E280)</f>
        <v>0</v>
      </c>
      <c r="H280" s="2274">
        <f t="shared" si="30"/>
        <v>0</v>
      </c>
      <c r="I280" s="2279">
        <v>1</v>
      </c>
      <c r="J280" s="2283" t="s">
        <v>3279</v>
      </c>
      <c r="L280" s="1486" t="s">
        <v>1732</v>
      </c>
      <c r="M280" s="2551" t="s">
        <v>1085</v>
      </c>
      <c r="N280" s="2473">
        <v>1</v>
      </c>
      <c r="O280" s="2473">
        <f>IF(Personalización!$J$29=M280,1,0)+IF(Personalización!$L$29=M280,1,0)</f>
        <v>0</v>
      </c>
      <c r="P280" s="439">
        <v>2</v>
      </c>
      <c r="Q280" s="2473">
        <f>IF(Personalización!$J$30=M280,1,0)+IF(Personalización!$L$30=M280,1,0)</f>
        <v>0</v>
      </c>
      <c r="R280" s="439">
        <v>3</v>
      </c>
      <c r="S280" s="119">
        <f>IF(Personalización!$J$31=M280,1,0)+IF(Personalización!$L$31=M280,1,0)</f>
        <v>0</v>
      </c>
      <c r="T280" s="439">
        <v>1</v>
      </c>
      <c r="U280" s="2473">
        <f>IF(Personalización!$J$32=M280,1,0)+IF(Personalización!$L$32=M280,1,0)</f>
        <v>0</v>
      </c>
      <c r="V280" s="439">
        <v>2</v>
      </c>
      <c r="W280" s="2473">
        <f>IF(Personalización!$J$33=M280,1,0)+IF(Personalización!$L$33=M280,1,0)</f>
        <v>0</v>
      </c>
      <c r="X280" s="439">
        <v>3</v>
      </c>
      <c r="Y280" s="1655">
        <f>IF(Personalización!$J$34=M280,1,0)+IF(Personalización!$L$34=M280,1,0)</f>
        <v>0</v>
      </c>
      <c r="Z280" s="1487">
        <f>10*Tablas!U280+20*Tablas!W280+30*Tablas!Y280+5*VLOOKUP("Apr. natural (2): "&amp;L280,$E$286:$G$302,3,FALSE)+10*VLOOKUP("Apr. natural (3): "&amp;L280,$E$286:$G$302,3,FALSE)</f>
        <v>0</v>
      </c>
      <c r="AA280" s="1652"/>
      <c r="AB280" s="363"/>
      <c r="AC280" s="2563"/>
    </row>
    <row r="281" spans="1:29" ht="12.75" customHeight="1" x14ac:dyDescent="0.2">
      <c r="A281" s="1916">
        <v>281</v>
      </c>
      <c r="B281" s="5148"/>
      <c r="C281" s="2261" t="str">
        <f t="shared" si="28"/>
        <v>Apr. natural (3): Sociales</v>
      </c>
      <c r="D281" s="2266">
        <f t="shared" si="29"/>
        <v>38</v>
      </c>
      <c r="E281" s="119" t="s">
        <v>2661</v>
      </c>
      <c r="F281" s="373">
        <v>2</v>
      </c>
      <c r="G281" s="373">
        <f>COUNTIF(Principal!$C$35:$J$53,Tablas!E281)</f>
        <v>0</v>
      </c>
      <c r="H281" s="2274">
        <f t="shared" si="30"/>
        <v>0</v>
      </c>
      <c r="I281" s="2279">
        <v>1</v>
      </c>
      <c r="J281" s="2283" t="s">
        <v>3279</v>
      </c>
      <c r="L281" s="1486" t="s">
        <v>1732</v>
      </c>
      <c r="M281" s="2551" t="s">
        <v>1086</v>
      </c>
      <c r="N281" s="2473">
        <v>1</v>
      </c>
      <c r="O281" s="2473">
        <f>IF(Personalización!$J$29=M281,1,0)+IF(Personalización!$L$29=M281,1,0)</f>
        <v>0</v>
      </c>
      <c r="P281" s="439">
        <v>2</v>
      </c>
      <c r="Q281" s="2473">
        <f>IF(Personalización!$J$30=M281,1,0)+IF(Personalización!$L$30=M281,1,0)</f>
        <v>0</v>
      </c>
      <c r="R281" s="439">
        <v>3</v>
      </c>
      <c r="S281" s="119">
        <f>IF(Personalización!$J$31=M281,1,0)+IF(Personalización!$L$31=M281,1,0)</f>
        <v>0</v>
      </c>
      <c r="T281" s="439">
        <v>1</v>
      </c>
      <c r="U281" s="2473">
        <f>IF(Personalización!$J$32=M281,1,0)+IF(Personalización!$L$32=M281,1,0)</f>
        <v>0</v>
      </c>
      <c r="V281" s="439">
        <v>2</v>
      </c>
      <c r="W281" s="2473">
        <f>IF(Personalización!$J$33=M281,1,0)+IF(Personalización!$L$33=M281,1,0)</f>
        <v>0</v>
      </c>
      <c r="X281" s="439">
        <v>3</v>
      </c>
      <c r="Y281" s="1655">
        <f>IF(Personalización!$J$34=M281,1,0)+IF(Personalización!$L$34=M281,1,0)</f>
        <v>0</v>
      </c>
      <c r="Z281" s="1487">
        <f>10*Tablas!U281+20*Tablas!W281+30*Tablas!Y281+5*VLOOKUP("Apr. natural (2): "&amp;L281,$E$286:$G$302,3,FALSE)+10*VLOOKUP("Apr. natural (3): "&amp;L281,$E$286:$G$302,3,FALSE)</f>
        <v>0</v>
      </c>
      <c r="AA281" s="1652"/>
      <c r="AB281" s="363"/>
      <c r="AC281" s="2563"/>
    </row>
    <row r="282" spans="1:29" ht="12.75" customHeight="1" x14ac:dyDescent="0.2">
      <c r="A282" s="1916">
        <v>282</v>
      </c>
      <c r="B282" s="5148"/>
      <c r="C282" s="2261" t="str">
        <f t="shared" si="28"/>
        <v>Apr. natural (3): Subterfugio</v>
      </c>
      <c r="D282" s="2266">
        <f t="shared" si="29"/>
        <v>37</v>
      </c>
      <c r="E282" s="119" t="s">
        <v>2662</v>
      </c>
      <c r="F282" s="373">
        <v>2</v>
      </c>
      <c r="G282" s="373">
        <f>COUNTIF(Principal!$C$35:$J$53,Tablas!E282)</f>
        <v>0</v>
      </c>
      <c r="H282" s="2274">
        <f t="shared" si="30"/>
        <v>0</v>
      </c>
      <c r="I282" s="2279">
        <v>1</v>
      </c>
      <c r="J282" s="2283" t="s">
        <v>3279</v>
      </c>
      <c r="L282" s="1486" t="s">
        <v>1732</v>
      </c>
      <c r="M282" s="2551" t="s">
        <v>1087</v>
      </c>
      <c r="N282" s="2473">
        <v>1</v>
      </c>
      <c r="O282" s="2473">
        <f>IF(Personalización!$J$29=M282,1,0)+IF(Personalización!$L$29=M282,1,0)</f>
        <v>0</v>
      </c>
      <c r="P282" s="439">
        <v>2</v>
      </c>
      <c r="Q282" s="2473">
        <f>IF(Personalización!$J$30=M282,1,0)+IF(Personalización!$L$30=M282,1,0)</f>
        <v>0</v>
      </c>
      <c r="R282" s="439">
        <v>3</v>
      </c>
      <c r="S282" s="119">
        <f>IF(Personalización!$J$31=M282,1,0)+IF(Personalización!$L$31=M282,1,0)</f>
        <v>0</v>
      </c>
      <c r="T282" s="439">
        <v>1</v>
      </c>
      <c r="U282" s="2473">
        <f>IF(Personalización!$J$32=M282,1,0)+IF(Personalización!$L$32=M282,1,0)</f>
        <v>0</v>
      </c>
      <c r="V282" s="439">
        <v>2</v>
      </c>
      <c r="W282" s="2473">
        <f>IF(Personalización!$J$33=M282,1,0)+IF(Personalización!$L$33=M282,1,0)</f>
        <v>0</v>
      </c>
      <c r="X282" s="439">
        <v>3</v>
      </c>
      <c r="Y282" s="1655">
        <f>IF(Personalización!$J$34=M282,1,0)+IF(Personalización!$L$34=M282,1,0)</f>
        <v>0</v>
      </c>
      <c r="Z282" s="1487">
        <f>10*Tablas!U282+20*Tablas!W282+30*Tablas!Y282+5*VLOOKUP("Apr. natural (2): "&amp;L282,$E$286:$G$302,3,FALSE)+10*VLOOKUP("Apr. natural (3): "&amp;L282,$E$286:$G$302,3,FALSE)</f>
        <v>0</v>
      </c>
      <c r="AA282" s="1652"/>
      <c r="AB282" s="363"/>
      <c r="AC282" s="2563"/>
    </row>
    <row r="283" spans="1:29" ht="12.75" customHeight="1" x14ac:dyDescent="0.2">
      <c r="A283" s="1916">
        <v>283</v>
      </c>
      <c r="B283" s="5148"/>
      <c r="C283" s="2261" t="str">
        <f t="shared" si="28"/>
        <v>Apr. natural (3): Vigor</v>
      </c>
      <c r="D283" s="2266">
        <f t="shared" si="29"/>
        <v>41</v>
      </c>
      <c r="E283" s="119" t="s">
        <v>2663</v>
      </c>
      <c r="F283" s="373">
        <v>2</v>
      </c>
      <c r="G283" s="373">
        <f>COUNTIF(Principal!$C$35:$J$53,Tablas!E283)</f>
        <v>0</v>
      </c>
      <c r="H283" s="2274">
        <f t="shared" si="30"/>
        <v>0</v>
      </c>
      <c r="I283" s="2279">
        <v>1</v>
      </c>
      <c r="J283" s="2283" t="s">
        <v>3279</v>
      </c>
      <c r="L283" s="1486" t="s">
        <v>8675</v>
      </c>
      <c r="M283" s="2551" t="s">
        <v>1742</v>
      </c>
      <c r="N283" s="2473">
        <v>1</v>
      </c>
      <c r="O283" s="2473">
        <f>IF(Personalización!$J$29=M283,1,0)+IF(Personalización!$L$29=M283,1,0)</f>
        <v>0</v>
      </c>
      <c r="P283" s="439">
        <v>2</v>
      </c>
      <c r="Q283" s="2473">
        <f>IF(Personalización!$J$30=M283,1,0)+IF(Personalización!$L$30=M283,1,0)</f>
        <v>0</v>
      </c>
      <c r="R283" s="439">
        <v>3</v>
      </c>
      <c r="S283" s="119">
        <f>IF(Personalización!$J$31=M283,1,0)+IF(Personalización!$L$31=M283,1,0)</f>
        <v>0</v>
      </c>
      <c r="T283" s="439">
        <v>1</v>
      </c>
      <c r="U283" s="2473">
        <f>IF(Personalización!$J$32=M283,1,0)+IF(Personalización!$L$32=M283,1,0)</f>
        <v>0</v>
      </c>
      <c r="V283" s="439">
        <v>2</v>
      </c>
      <c r="W283" s="2473">
        <f>IF(Personalización!$J$33=M283,1,0)+IF(Personalización!$L$33=M283,1,0)</f>
        <v>0</v>
      </c>
      <c r="X283" s="439">
        <v>3</v>
      </c>
      <c r="Y283" s="1655">
        <f>IF(Personalización!$J$34=M283,1,0)+IF(Personalización!$L$34=M283,1,0)</f>
        <v>0</v>
      </c>
      <c r="Z283" s="1487">
        <f>10*Tablas!U283+20*Tablas!W283+30*Tablas!Y283+5*VLOOKUP("Apr. natural (2): "&amp;L283,$E$286:$G$302,3,FALSE)+10*VLOOKUP("Apr. natural (3): "&amp;L283,$E$286:$G$302,3,FALSE)</f>
        <v>0</v>
      </c>
      <c r="AA283" s="1652"/>
      <c r="AB283" s="363"/>
      <c r="AC283" s="2563"/>
    </row>
    <row r="284" spans="1:29" ht="12.75" customHeight="1" x14ac:dyDescent="0.2">
      <c r="A284" s="1916">
        <v>284</v>
      </c>
      <c r="B284" s="5148"/>
      <c r="C284" s="2261" t="str">
        <f t="shared" si="28"/>
        <v>Aprendizaje (1)</v>
      </c>
      <c r="D284" s="2266">
        <f t="shared" si="29"/>
        <v>40</v>
      </c>
      <c r="E284" s="119" t="s">
        <v>2664</v>
      </c>
      <c r="F284" s="373">
        <v>2</v>
      </c>
      <c r="G284" s="373">
        <f>COUNTIF(Principal!$C$35:$J$53,Tablas!E284)</f>
        <v>0</v>
      </c>
      <c r="H284" s="2274">
        <f t="shared" si="30"/>
        <v>0</v>
      </c>
      <c r="I284" s="2279">
        <v>1</v>
      </c>
      <c r="J284" s="2283" t="s">
        <v>3279</v>
      </c>
      <c r="L284" s="1486" t="s">
        <v>8675</v>
      </c>
      <c r="M284" s="2551" t="s">
        <v>1743</v>
      </c>
      <c r="N284" s="2473">
        <v>1</v>
      </c>
      <c r="O284" s="2473">
        <f>IF(Personalización!$J$29=M284,1,0)+IF(Personalización!$L$29=M284,1,0)</f>
        <v>0</v>
      </c>
      <c r="P284" s="439">
        <v>2</v>
      </c>
      <c r="Q284" s="2473">
        <f>IF(Personalización!$J$30=M284,1,0)+IF(Personalización!$L$30=M284,1,0)</f>
        <v>0</v>
      </c>
      <c r="R284" s="439">
        <v>3</v>
      </c>
      <c r="S284" s="119">
        <f>IF(Personalización!$J$31=M284,1,0)+IF(Personalización!$L$31=M284,1,0)</f>
        <v>0</v>
      </c>
      <c r="T284" s="439">
        <v>1</v>
      </c>
      <c r="U284" s="2473">
        <f>IF(Personalización!$J$32=M284,1,0)+IF(Personalización!$L$32=M284,1,0)</f>
        <v>0</v>
      </c>
      <c r="V284" s="439">
        <v>2</v>
      </c>
      <c r="W284" s="2473">
        <f>IF(Personalización!$J$33=M284,1,0)+IF(Personalización!$L$33=M284,1,0)</f>
        <v>0</v>
      </c>
      <c r="X284" s="439">
        <v>3</v>
      </c>
      <c r="Y284" s="1655">
        <f>IF(Personalización!$J$34=M284,1,0)+IF(Personalización!$L$34=M284,1,0)</f>
        <v>0</v>
      </c>
      <c r="Z284" s="1487">
        <f>10*Tablas!U284+20*Tablas!W284+30*Tablas!Y284+5*VLOOKUP("Apr. natural (2): "&amp;L284,$E$286:$G$302,3,FALSE)+10*VLOOKUP("Apr. natural (3): "&amp;L284,$E$286:$G$302,3,FALSE)</f>
        <v>0</v>
      </c>
      <c r="AA284" s="1652"/>
      <c r="AB284" s="363"/>
      <c r="AC284" s="2563"/>
    </row>
    <row r="285" spans="1:29" ht="12.75" customHeight="1" x14ac:dyDescent="0.2">
      <c r="A285" s="1916">
        <v>285</v>
      </c>
      <c r="B285" s="5148"/>
      <c r="C285" s="2261" t="str">
        <f t="shared" si="28"/>
        <v>Aprendizaje (2)</v>
      </c>
      <c r="D285" s="2266">
        <f t="shared" si="29"/>
        <v>36</v>
      </c>
      <c r="E285" s="119" t="s">
        <v>2665</v>
      </c>
      <c r="F285" s="373">
        <v>2</v>
      </c>
      <c r="G285" s="373">
        <f>COUNTIF(Principal!$C$35:$J$53,Tablas!E285)</f>
        <v>0</v>
      </c>
      <c r="H285" s="2274">
        <f t="shared" si="30"/>
        <v>0</v>
      </c>
      <c r="I285" s="2279">
        <v>1</v>
      </c>
      <c r="J285" s="2283" t="s">
        <v>3279</v>
      </c>
      <c r="L285" s="1486" t="s">
        <v>8675</v>
      </c>
      <c r="M285" s="2551" t="s">
        <v>1744</v>
      </c>
      <c r="N285" s="2473">
        <v>1</v>
      </c>
      <c r="O285" s="2473">
        <f>IF(Personalización!$J$29=M285,1,0)+IF(Personalización!$L$29=M285,1,0)</f>
        <v>0</v>
      </c>
      <c r="P285" s="439">
        <v>2</v>
      </c>
      <c r="Q285" s="2473">
        <f>IF(Personalización!$J$30=M285,1,0)+IF(Personalización!$L$30=M285,1,0)</f>
        <v>0</v>
      </c>
      <c r="R285" s="439">
        <v>3</v>
      </c>
      <c r="S285" s="119">
        <f>IF(Personalización!$J$31=M285,1,0)+IF(Personalización!$L$31=M285,1,0)</f>
        <v>0</v>
      </c>
      <c r="T285" s="439">
        <v>1</v>
      </c>
      <c r="U285" s="2473">
        <f>IF(Personalización!$J$32=M285,1,0)+IF(Personalización!$L$32=M285,1,0)</f>
        <v>0</v>
      </c>
      <c r="V285" s="439">
        <v>2</v>
      </c>
      <c r="W285" s="2473">
        <f>IF(Personalización!$J$33=M285,1,0)+IF(Personalización!$L$33=M285,1,0)</f>
        <v>0</v>
      </c>
      <c r="X285" s="439">
        <v>3</v>
      </c>
      <c r="Y285" s="1655">
        <f>IF(Personalización!$J$34=M285,1,0)+IF(Personalización!$L$34=M285,1,0)</f>
        <v>0</v>
      </c>
      <c r="Z285" s="1487">
        <f>10*Tablas!U285+20*Tablas!W285+30*Tablas!Y285+5*VLOOKUP("Apr. natural (2): "&amp;L285,$E$286:$G$302,3,FALSE)+10*VLOOKUP("Apr. natural (3): "&amp;L285,$E$286:$G$302,3,FALSE)</f>
        <v>0</v>
      </c>
      <c r="AA285" s="1652"/>
      <c r="AB285" s="363"/>
      <c r="AC285" s="2563"/>
    </row>
    <row r="286" spans="1:29" ht="12.75" customHeight="1" x14ac:dyDescent="0.2">
      <c r="A286" s="1916">
        <v>286</v>
      </c>
      <c r="B286" s="5148"/>
      <c r="C286" s="2261" t="str">
        <f t="shared" si="28"/>
        <v>Aprendizaje (3)</v>
      </c>
      <c r="D286" s="2266">
        <f t="shared" si="29"/>
        <v>32</v>
      </c>
      <c r="E286" s="119" t="s">
        <v>1843</v>
      </c>
      <c r="F286" s="373">
        <v>1</v>
      </c>
      <c r="G286" s="373">
        <f>COUNTIF(Principal!$C$35:$J$53,Tablas!E286)</f>
        <v>0</v>
      </c>
      <c r="H286" s="2274">
        <f t="shared" si="30"/>
        <v>0</v>
      </c>
      <c r="I286" s="2279">
        <v>1</v>
      </c>
      <c r="J286" s="2283" t="s">
        <v>3279</v>
      </c>
      <c r="L286" s="1486" t="s">
        <v>1745</v>
      </c>
      <c r="M286" s="2551" t="s">
        <v>1746</v>
      </c>
      <c r="N286" s="2473">
        <v>1</v>
      </c>
      <c r="O286" s="2473">
        <f>IF(Personalización!$J$29=M286,1,0)+IF(Personalización!$L$29=M286,1,0)</f>
        <v>0</v>
      </c>
      <c r="P286" s="439">
        <v>2</v>
      </c>
      <c r="Q286" s="2473">
        <f>IF(Personalización!$J$30=M286,1,0)+IF(Personalización!$L$30=M286,1,0)</f>
        <v>0</v>
      </c>
      <c r="R286" s="439">
        <v>3</v>
      </c>
      <c r="S286" s="119">
        <f>IF(Personalización!$J$31=M286,1,0)+IF(Personalización!$L$31=M286,1,0)</f>
        <v>0</v>
      </c>
      <c r="T286" s="439">
        <v>1</v>
      </c>
      <c r="U286" s="2473">
        <f>IF(Personalización!$J$32=M286,1,0)+IF(Personalización!$L$32=M286,1,0)</f>
        <v>0</v>
      </c>
      <c r="V286" s="439">
        <v>2</v>
      </c>
      <c r="W286" s="2473">
        <f>IF(Personalización!$J$33=M286,1,0)+IF(Personalización!$L$33=M286,1,0)</f>
        <v>0</v>
      </c>
      <c r="X286" s="439">
        <v>3</v>
      </c>
      <c r="Y286" s="1655">
        <f>IF(Personalización!$J$34=M286,1,0)+IF(Personalización!$L$34=M286,1,0)</f>
        <v>0</v>
      </c>
      <c r="Z286" s="1487">
        <f>10*Tablas!U286+20*Tablas!W286+30*Tablas!Y286+5*VLOOKUP("Apr. natural (2): "&amp;L286,$E$286:$G$302,3,FALSE)+10*VLOOKUP("Apr. natural (3): "&amp;L286,$E$286:$G$302,3,FALSE)</f>
        <v>0</v>
      </c>
      <c r="AA286" s="1652"/>
      <c r="AB286" s="363"/>
      <c r="AC286" s="2563"/>
    </row>
    <row r="287" spans="1:29" ht="12.75" customHeight="1" x14ac:dyDescent="0.2">
      <c r="A287" s="1916">
        <v>287</v>
      </c>
      <c r="B287" s="5148"/>
      <c r="C287" s="2261" t="str">
        <f t="shared" si="28"/>
        <v>Aprendizaje marcial</v>
      </c>
      <c r="D287" s="2266">
        <f t="shared" si="29"/>
        <v>33</v>
      </c>
      <c r="E287" s="119" t="s">
        <v>1845</v>
      </c>
      <c r="F287" s="373">
        <v>2</v>
      </c>
      <c r="G287" s="373">
        <f>COUNTIF(Principal!$C$35:$J$53,Tablas!E287)</f>
        <v>0</v>
      </c>
      <c r="H287" s="2274">
        <f t="shared" si="30"/>
        <v>0</v>
      </c>
      <c r="I287" s="2279">
        <v>1</v>
      </c>
      <c r="J287" s="2283" t="s">
        <v>3279</v>
      </c>
      <c r="L287" s="1486" t="s">
        <v>1745</v>
      </c>
      <c r="M287" s="2551" t="s">
        <v>1747</v>
      </c>
      <c r="N287" s="2473">
        <v>1</v>
      </c>
      <c r="O287" s="2473">
        <f>IF(Personalización!$J$29=M287,1,0)+IF(Personalización!$L$29=M287,1,0)</f>
        <v>0</v>
      </c>
      <c r="P287" s="439">
        <v>2</v>
      </c>
      <c r="Q287" s="2473">
        <f>IF(Personalización!$J$30=M287,1,0)+IF(Personalización!$L$30=M287,1,0)</f>
        <v>0</v>
      </c>
      <c r="R287" s="439">
        <v>3</v>
      </c>
      <c r="S287" s="119">
        <f>IF(Personalización!$J$31=M287,1,0)+IF(Personalización!$L$31=M287,1,0)</f>
        <v>0</v>
      </c>
      <c r="T287" s="439">
        <v>1</v>
      </c>
      <c r="U287" s="2473">
        <f>IF(Personalización!$J$32=M287,1,0)+IF(Personalización!$L$32=M287,1,0)</f>
        <v>0</v>
      </c>
      <c r="V287" s="439">
        <v>2</v>
      </c>
      <c r="W287" s="2473">
        <f>IF(Personalización!$J$33=M287,1,0)+IF(Personalización!$L$33=M287,1,0)</f>
        <v>0</v>
      </c>
      <c r="X287" s="439">
        <v>3</v>
      </c>
      <c r="Y287" s="1655">
        <f>IF(Personalización!$J$34=M287,1,0)+IF(Personalización!$L$34=M287,1,0)</f>
        <v>0</v>
      </c>
      <c r="Z287" s="1487">
        <f>10*Tablas!U287+20*Tablas!W287+30*Tablas!Y287+5*VLOOKUP("Apr. natural (2): "&amp;L287,$E$286:$G$302,3,FALSE)+10*VLOOKUP("Apr. natural (3): "&amp;L287,$E$286:$G$302,3,FALSE)</f>
        <v>0</v>
      </c>
      <c r="AA287" s="1652"/>
      <c r="AB287" s="363"/>
      <c r="AC287" s="2563"/>
    </row>
    <row r="288" spans="1:29" ht="12.75" customHeight="1" x14ac:dyDescent="0.2">
      <c r="A288" s="1916">
        <v>288</v>
      </c>
      <c r="B288" s="5148"/>
      <c r="C288" s="2261" t="str">
        <f t="shared" si="28"/>
        <v>Aprendizaje natural (1)</v>
      </c>
      <c r="D288" s="2266">
        <f t="shared" si="29"/>
        <v>34</v>
      </c>
      <c r="E288" s="119" t="s">
        <v>1847</v>
      </c>
      <c r="F288" s="373">
        <v>3</v>
      </c>
      <c r="G288" s="373">
        <f>COUNTIF(Principal!$C$35:$J$53,Tablas!E288)</f>
        <v>0</v>
      </c>
      <c r="H288" s="2274">
        <f t="shared" si="30"/>
        <v>0</v>
      </c>
      <c r="I288" s="2279">
        <v>1</v>
      </c>
      <c r="J288" s="2283" t="s">
        <v>3279</v>
      </c>
      <c r="L288" s="1486" t="s">
        <v>1745</v>
      </c>
      <c r="M288" s="2551" t="s">
        <v>2993</v>
      </c>
      <c r="N288" s="2473">
        <v>1</v>
      </c>
      <c r="O288" s="2473">
        <f>IF(Personalización!$J$29=M288,1,0)+IF(Personalización!$L$29=M288,1,0)</f>
        <v>0</v>
      </c>
      <c r="P288" s="439">
        <v>2</v>
      </c>
      <c r="Q288" s="2473">
        <f>IF(Personalización!$J$30=M288,1,0)+IF(Personalización!$L$30=M288,1,0)</f>
        <v>0</v>
      </c>
      <c r="R288" s="439">
        <v>3</v>
      </c>
      <c r="S288" s="119">
        <f>IF(Personalización!$J$31=M288,1,0)+IF(Personalización!$L$31=M288,1,0)</f>
        <v>0</v>
      </c>
      <c r="T288" s="439">
        <v>1</v>
      </c>
      <c r="U288" s="2473">
        <f>IF(Personalización!$J$32=M288,1,0)+IF(Personalización!$L$32=M288,1,0)</f>
        <v>0</v>
      </c>
      <c r="V288" s="439">
        <v>2</v>
      </c>
      <c r="W288" s="2473">
        <f>IF(Personalización!$J$33=M288,1,0)+IF(Personalización!$L$33=M288,1,0)</f>
        <v>0</v>
      </c>
      <c r="X288" s="439">
        <v>3</v>
      </c>
      <c r="Y288" s="1655">
        <f>IF(Personalización!$J$34=M288,1,0)+IF(Personalización!$L$34=M288,1,0)</f>
        <v>0</v>
      </c>
      <c r="Z288" s="1487">
        <f>10*Tablas!U288+20*Tablas!W288+30*Tablas!Y288+5*VLOOKUP("Apr. natural (2): "&amp;L288,$E$286:$G$302,3,FALSE)+10*VLOOKUP("Apr. natural (3): "&amp;L288,$E$286:$G$302,3,FALSE)</f>
        <v>0</v>
      </c>
      <c r="AA288" s="1652"/>
      <c r="AB288" s="363"/>
      <c r="AC288" s="2563"/>
    </row>
    <row r="289" spans="1:39" ht="12.75" customHeight="1" x14ac:dyDescent="0.2">
      <c r="A289" s="1916">
        <v>289</v>
      </c>
      <c r="B289" s="5148"/>
      <c r="C289" s="2261" t="str">
        <f t="shared" ref="C289:C320" si="31">VLOOKUP(A33,$D$257:$E$397,2,0)</f>
        <v>Aprendizaje natural (2)</v>
      </c>
      <c r="D289" s="2266">
        <f t="shared" ref="D289:D320" si="32">COUNTIF($E$256:$E$392,"&lt;="&amp;E289)-COUNTIF($E$256:$E$392,"*&gt;*")</f>
        <v>14</v>
      </c>
      <c r="E289" s="119" t="s">
        <v>2666</v>
      </c>
      <c r="F289" s="373">
        <v>2</v>
      </c>
      <c r="G289" s="373">
        <f>COUNTIF(Principal!$C$35:$J$53,Tablas!E289)</f>
        <v>0</v>
      </c>
      <c r="H289" s="2274">
        <f t="shared" ref="H289:H320" si="33">G289*F289</f>
        <v>0</v>
      </c>
      <c r="I289" s="2279">
        <v>1</v>
      </c>
      <c r="J289" s="2283" t="s">
        <v>3279</v>
      </c>
      <c r="L289" s="1486" t="s">
        <v>1745</v>
      </c>
      <c r="M289" s="2551" t="s">
        <v>1748</v>
      </c>
      <c r="N289" s="2473">
        <v>1</v>
      </c>
      <c r="O289" s="2473">
        <f>IF(Personalización!$J$29=M289,1,0)+IF(Personalización!$L$29=M289,1,0)</f>
        <v>0</v>
      </c>
      <c r="P289" s="439">
        <v>2</v>
      </c>
      <c r="Q289" s="2473">
        <f>IF(Personalización!$J$30=M289,1,0)+IF(Personalización!$L$30=M289,1,0)</f>
        <v>0</v>
      </c>
      <c r="R289" s="439">
        <v>3</v>
      </c>
      <c r="S289" s="119">
        <f>IF(Personalización!$J$31=M289,1,0)+IF(Personalización!$L$31=M289,1,0)</f>
        <v>0</v>
      </c>
      <c r="T289" s="439">
        <v>1</v>
      </c>
      <c r="U289" s="2473">
        <f>IF(Personalización!$J$32=M289,1,0)+IF(Personalización!$L$32=M289,1,0)</f>
        <v>0</v>
      </c>
      <c r="V289" s="439">
        <v>2</v>
      </c>
      <c r="W289" s="2473">
        <f>IF(Personalización!$J$33=M289,1,0)+IF(Personalización!$L$33=M289,1,0)</f>
        <v>0</v>
      </c>
      <c r="X289" s="439">
        <v>3</v>
      </c>
      <c r="Y289" s="1655">
        <f>IF(Personalización!$J$34=M289,1,0)+IF(Personalización!$L$34=M289,1,0)</f>
        <v>0</v>
      </c>
      <c r="Z289" s="1487">
        <f>10*Tablas!U289+20*Tablas!W289+30*Tablas!Y289+5*VLOOKUP("Apr. natural (2): "&amp;L289,$E$286:$G$302,3,FALSE)+10*VLOOKUP("Apr. natural (3): "&amp;L289,$E$286:$G$302,3,FALSE)</f>
        <v>0</v>
      </c>
      <c r="AA289" s="1652"/>
      <c r="AB289" s="363"/>
      <c r="AC289" s="2563"/>
    </row>
    <row r="290" spans="1:39" ht="12.75" customHeight="1" x14ac:dyDescent="0.2">
      <c r="A290" s="1916">
        <v>290</v>
      </c>
      <c r="B290" s="5148"/>
      <c r="C290" s="2261" t="str">
        <f t="shared" si="31"/>
        <v>Aprendizaje natural (3)</v>
      </c>
      <c r="D290" s="2266">
        <f t="shared" si="32"/>
        <v>18</v>
      </c>
      <c r="E290" s="119" t="s">
        <v>2667</v>
      </c>
      <c r="F290" s="373">
        <v>2</v>
      </c>
      <c r="G290" s="373">
        <f>COUNTIF(Principal!$C$35:$J$53,Tablas!E290)</f>
        <v>0</v>
      </c>
      <c r="H290" s="2274">
        <f t="shared" si="33"/>
        <v>0</v>
      </c>
      <c r="I290" s="2279">
        <v>1</v>
      </c>
      <c r="J290" s="2283" t="s">
        <v>3279</v>
      </c>
      <c r="L290" s="1486" t="s">
        <v>1745</v>
      </c>
      <c r="M290" s="2551" t="s">
        <v>1750</v>
      </c>
      <c r="N290" s="2473">
        <v>1</v>
      </c>
      <c r="O290" s="2473">
        <f>IF(Personalización!$J$29=M290,1,0)+IF(Personalización!$L$29=M290,1,0)</f>
        <v>0</v>
      </c>
      <c r="P290" s="439">
        <v>2</v>
      </c>
      <c r="Q290" s="2473">
        <f>IF(Personalización!$J$30=M290,1,0)+IF(Personalización!$L$30=M290,1,0)</f>
        <v>0</v>
      </c>
      <c r="R290" s="439">
        <v>3</v>
      </c>
      <c r="S290" s="119">
        <f>IF(Personalización!$J$31=M290,1,0)+IF(Personalización!$L$31=M290,1,0)</f>
        <v>0</v>
      </c>
      <c r="T290" s="439">
        <v>1</v>
      </c>
      <c r="U290" s="2473">
        <f>IF(Personalización!$J$32=M290,1,0)+IF(Personalización!$L$32=M290,1,0)</f>
        <v>0</v>
      </c>
      <c r="V290" s="439">
        <v>2</v>
      </c>
      <c r="W290" s="2473">
        <f>IF(Personalización!$J$33=M290,1,0)+IF(Personalización!$L$33=M290,1,0)</f>
        <v>0</v>
      </c>
      <c r="X290" s="439">
        <v>3</v>
      </c>
      <c r="Y290" s="1655">
        <f>IF(Personalización!$J$34=M290,1,0)+IF(Personalización!$L$34=M290,1,0)</f>
        <v>0</v>
      </c>
      <c r="Z290" s="1487">
        <f>10*Tablas!U290+20*Tablas!W290+30*Tablas!Y290+5*VLOOKUP("Apr. natural (2): "&amp;L290,$E$286:$G$302,3,FALSE)+10*VLOOKUP("Apr. natural (3): "&amp;L290,$E$286:$G$302,3,FALSE)</f>
        <v>0</v>
      </c>
      <c r="AA290" s="1652"/>
      <c r="AB290" s="363"/>
      <c r="AC290" s="2563"/>
      <c r="AG290" s="1653"/>
      <c r="AM290" s="1999"/>
    </row>
    <row r="291" spans="1:39" ht="12.75" customHeight="1" x14ac:dyDescent="0.2">
      <c r="A291" s="1916">
        <v>291</v>
      </c>
      <c r="B291" s="5148"/>
      <c r="C291" s="2261" t="str">
        <f t="shared" si="31"/>
        <v>Apto en campo: Atléticas</v>
      </c>
      <c r="D291" s="2266">
        <f t="shared" si="32"/>
        <v>17</v>
      </c>
      <c r="E291" s="119" t="s">
        <v>2668</v>
      </c>
      <c r="F291" s="373">
        <v>2</v>
      </c>
      <c r="G291" s="373">
        <f>COUNTIF(Principal!$C$35:$J$53,Tablas!E291)</f>
        <v>0</v>
      </c>
      <c r="H291" s="2274">
        <f t="shared" si="33"/>
        <v>0</v>
      </c>
      <c r="I291" s="2279">
        <v>1</v>
      </c>
      <c r="J291" s="2283" t="s">
        <v>3279</v>
      </c>
      <c r="L291" s="1486" t="s">
        <v>1745</v>
      </c>
      <c r="M291" s="2551" t="s">
        <v>1088</v>
      </c>
      <c r="N291" s="2473">
        <v>1</v>
      </c>
      <c r="O291" s="2473">
        <f>IF(Personalización!$J$29=M291,1,0)+IF(Personalización!$L$29=M291,1,0)</f>
        <v>0</v>
      </c>
      <c r="P291" s="439">
        <v>2</v>
      </c>
      <c r="Q291" s="2473">
        <f>IF(Personalización!$J$30=M291,1,0)+IF(Personalización!$L$30=M291,1,0)</f>
        <v>0</v>
      </c>
      <c r="R291" s="439">
        <v>3</v>
      </c>
      <c r="S291" s="119">
        <f>IF(Personalización!$J$31=M291,1,0)+IF(Personalización!$L$31=M291,1,0)</f>
        <v>0</v>
      </c>
      <c r="T291" s="439">
        <v>1</v>
      </c>
      <c r="U291" s="2473">
        <f>IF(Personalización!$J$32=M291,1,0)+IF(Personalización!$L$32=M291,1,0)</f>
        <v>0</v>
      </c>
      <c r="V291" s="439">
        <v>2</v>
      </c>
      <c r="W291" s="2473">
        <f>IF(Personalización!$J$33=M291,1,0)+IF(Personalización!$L$33=M291,1,0)</f>
        <v>0</v>
      </c>
      <c r="X291" s="439">
        <v>3</v>
      </c>
      <c r="Y291" s="1655">
        <f>IF(Personalización!$J$34=M291,1,0)+IF(Personalización!$L$34=M291,1,0)</f>
        <v>0</v>
      </c>
      <c r="Z291" s="1487">
        <f>10*Tablas!U291+20*Tablas!W291+30*Tablas!Y291+5*VLOOKUP("Apr. natural (2): "&amp;L291,$E$286:$G$302,3,FALSE)+10*VLOOKUP("Apr. natural (3): "&amp;L291,$E$286:$G$302,3,FALSE)</f>
        <v>0</v>
      </c>
      <c r="AA291" s="1652"/>
      <c r="AB291" s="363"/>
      <c r="AC291" s="2563"/>
      <c r="AM291" s="2290"/>
    </row>
    <row r="292" spans="1:39" ht="12.75" customHeight="1" x14ac:dyDescent="0.2">
      <c r="A292" s="1916">
        <v>292</v>
      </c>
      <c r="B292" s="5148"/>
      <c r="C292" s="2261" t="str">
        <f t="shared" si="31"/>
        <v>Apto en campo: Creativas</v>
      </c>
      <c r="D292" s="2266">
        <f t="shared" si="32"/>
        <v>16</v>
      </c>
      <c r="E292" s="119" t="s">
        <v>2669</v>
      </c>
      <c r="F292" s="373">
        <v>2</v>
      </c>
      <c r="G292" s="373">
        <f>COUNTIF(Principal!$C$35:$J$53,Tablas!E292)</f>
        <v>0</v>
      </c>
      <c r="H292" s="2274">
        <f t="shared" si="33"/>
        <v>0</v>
      </c>
      <c r="I292" s="2279">
        <v>1</v>
      </c>
      <c r="J292" s="2283" t="s">
        <v>3279</v>
      </c>
      <c r="L292" s="1486" t="s">
        <v>1745</v>
      </c>
      <c r="M292" s="2551" t="s">
        <v>1753</v>
      </c>
      <c r="N292" s="2473">
        <v>1</v>
      </c>
      <c r="O292" s="2473">
        <f>IF(Personalización!$J$29=M292,1,0)+IF(Personalización!$L$29=M292,1,0)</f>
        <v>0</v>
      </c>
      <c r="P292" s="439">
        <v>2</v>
      </c>
      <c r="Q292" s="2473">
        <f>IF(Personalización!$J$30=M292,1,0)+IF(Personalización!$L$30=M292,1,0)</f>
        <v>0</v>
      </c>
      <c r="R292" s="439">
        <v>3</v>
      </c>
      <c r="S292" s="119">
        <f>IF(Personalización!$J$31=M292,1,0)+IF(Personalización!$L$31=M292,1,0)</f>
        <v>0</v>
      </c>
      <c r="T292" s="439">
        <v>1</v>
      </c>
      <c r="U292" s="2473">
        <f>IF(Personalización!$J$32=M292,1,0)+IF(Personalización!$L$32=M292,1,0)</f>
        <v>0</v>
      </c>
      <c r="V292" s="439">
        <v>2</v>
      </c>
      <c r="W292" s="2473">
        <f>IF(Personalización!$J$33=M292,1,0)+IF(Personalización!$L$33=M292,1,0)</f>
        <v>0</v>
      </c>
      <c r="X292" s="439">
        <v>3</v>
      </c>
      <c r="Y292" s="1655">
        <f>IF(Personalización!$J$34=M292,1,0)+IF(Personalización!$L$34=M292,1,0)</f>
        <v>0</v>
      </c>
      <c r="Z292" s="1487">
        <f>10*Tablas!U292+20*Tablas!W292+30*Tablas!Y292+5*VLOOKUP("Apr. natural (2): "&amp;L292,$E$286:$G$302,3,FALSE)+10*VLOOKUP("Apr. natural (3): "&amp;L292,$E$286:$G$302,3,FALSE)</f>
        <v>0</v>
      </c>
      <c r="AA292" s="1652"/>
      <c r="AB292" s="363"/>
      <c r="AC292" s="2563"/>
      <c r="AM292" s="2290"/>
    </row>
    <row r="293" spans="1:39" ht="12.75" customHeight="1" x14ac:dyDescent="0.2">
      <c r="A293" s="1916">
        <v>293</v>
      </c>
      <c r="B293" s="5148"/>
      <c r="C293" s="2261" t="str">
        <f t="shared" si="31"/>
        <v>Apto en campo: Intelectuales</v>
      </c>
      <c r="D293" s="2266">
        <f t="shared" si="32"/>
        <v>20</v>
      </c>
      <c r="E293" s="119" t="s">
        <v>2670</v>
      </c>
      <c r="F293" s="373">
        <v>2</v>
      </c>
      <c r="G293" s="373">
        <f>COUNTIF(Principal!$C$35:$J$53,Tablas!E293)</f>
        <v>0</v>
      </c>
      <c r="H293" s="2274">
        <f t="shared" si="33"/>
        <v>0</v>
      </c>
      <c r="I293" s="2279">
        <v>1</v>
      </c>
      <c r="J293" s="2283" t="s">
        <v>3279</v>
      </c>
      <c r="L293" s="1486" t="s">
        <v>1745</v>
      </c>
      <c r="M293" s="2551" t="s">
        <v>1754</v>
      </c>
      <c r="N293" s="2473">
        <v>1</v>
      </c>
      <c r="O293" s="2473">
        <f>IF(Personalización!$J$29=M293,1,0)+IF(Personalización!$L$29=M293,1,0)</f>
        <v>0</v>
      </c>
      <c r="P293" s="439">
        <v>2</v>
      </c>
      <c r="Q293" s="2473">
        <f>IF(Personalización!$J$30=M293,1,0)+IF(Personalización!$L$30=M293,1,0)</f>
        <v>0</v>
      </c>
      <c r="R293" s="439">
        <v>3</v>
      </c>
      <c r="S293" s="119">
        <f>IF(Personalización!$J$31=M293,1,0)+IF(Personalización!$L$31=M293,1,0)</f>
        <v>0</v>
      </c>
      <c r="T293" s="439">
        <v>1</v>
      </c>
      <c r="U293" s="2473">
        <f>IF(Personalización!$J$32=M293,1,0)+IF(Personalización!$L$32=M293,1,0)</f>
        <v>0</v>
      </c>
      <c r="V293" s="439">
        <v>2</v>
      </c>
      <c r="W293" s="2473">
        <f>IF(Personalización!$J$33=M293,1,0)+IF(Personalización!$L$33=M293,1,0)</f>
        <v>0</v>
      </c>
      <c r="X293" s="439">
        <v>3</v>
      </c>
      <c r="Y293" s="1655">
        <f>IF(Personalización!$J$34=M293,1,0)+IF(Personalización!$L$34=M293,1,0)</f>
        <v>0</v>
      </c>
      <c r="Z293" s="1487">
        <f>10*Tablas!U293+20*Tablas!W293+30*Tablas!Y293+5*VLOOKUP("Apr. natural (2): "&amp;L293,$E$286:$G$302,3,FALSE)+10*VLOOKUP("Apr. natural (3): "&amp;L293,$E$286:$G$302,3,FALSE)</f>
        <v>0</v>
      </c>
      <c r="AA293" s="1652"/>
      <c r="AB293" s="363"/>
      <c r="AC293" s="2563"/>
      <c r="AM293" s="2290"/>
    </row>
    <row r="294" spans="1:39" ht="12.75" customHeight="1" x14ac:dyDescent="0.2">
      <c r="A294" s="1916">
        <v>294</v>
      </c>
      <c r="B294" s="5148"/>
      <c r="C294" s="2261" t="str">
        <f t="shared" si="31"/>
        <v>Apto en campo: Perceptivas</v>
      </c>
      <c r="D294" s="2266">
        <f t="shared" si="32"/>
        <v>19</v>
      </c>
      <c r="E294" s="119" t="s">
        <v>2671</v>
      </c>
      <c r="F294" s="373">
        <v>2</v>
      </c>
      <c r="G294" s="373">
        <f>COUNTIF(Principal!$C$35:$J$53,Tablas!E294)</f>
        <v>0</v>
      </c>
      <c r="H294" s="2274">
        <f t="shared" si="33"/>
        <v>0</v>
      </c>
      <c r="I294" s="2279">
        <v>1</v>
      </c>
      <c r="J294" s="2283" t="s">
        <v>3279</v>
      </c>
      <c r="L294" s="1486" t="s">
        <v>1745</v>
      </c>
      <c r="M294" s="2551" t="s">
        <v>1755</v>
      </c>
      <c r="N294" s="2473">
        <v>1</v>
      </c>
      <c r="O294" s="2473">
        <f>IF(Personalización!$J$29=M294,1,0)+IF(Personalización!$L$29=M294,1,0)</f>
        <v>0</v>
      </c>
      <c r="P294" s="439">
        <v>2</v>
      </c>
      <c r="Q294" s="2473">
        <f>IF(Personalización!$J$30=M294,1,0)+IF(Personalización!$L$30=M294,1,0)</f>
        <v>0</v>
      </c>
      <c r="R294" s="439">
        <v>3</v>
      </c>
      <c r="S294" s="119">
        <f>IF(Personalización!$J$31=M294,1,0)+IF(Personalización!$L$31=M294,1,0)</f>
        <v>0</v>
      </c>
      <c r="T294" s="439">
        <v>1</v>
      </c>
      <c r="U294" s="2473">
        <f>IF(Personalización!$J$32=M294,1,0)+IF(Personalización!$L$32=M294,1,0)</f>
        <v>0</v>
      </c>
      <c r="V294" s="439">
        <v>2</v>
      </c>
      <c r="W294" s="2473">
        <f>IF(Personalización!$J$33=M294,1,0)+IF(Personalización!$L$33=M294,1,0)</f>
        <v>0</v>
      </c>
      <c r="X294" s="439">
        <v>3</v>
      </c>
      <c r="Y294" s="1655">
        <f>IF(Personalización!$J$34=M294,1,0)+IF(Personalización!$L$34=M294,1,0)</f>
        <v>0</v>
      </c>
      <c r="Z294" s="1487">
        <f>10*Tablas!U294+20*Tablas!W294+30*Tablas!Y294+5*VLOOKUP("Apr. natural (2): "&amp;L294,$E$286:$G$302,3,FALSE)+10*VLOOKUP("Apr. natural (3): "&amp;L294,$E$286:$G$302,3,FALSE)</f>
        <v>0</v>
      </c>
      <c r="AA294" s="1652"/>
      <c r="AB294" s="363"/>
      <c r="AC294" s="2563"/>
      <c r="AM294" s="2290"/>
    </row>
    <row r="295" spans="1:39" ht="12.75" customHeight="1" x14ac:dyDescent="0.2">
      <c r="A295" s="1916">
        <v>295</v>
      </c>
      <c r="B295" s="5148"/>
      <c r="C295" s="2261" t="str">
        <f t="shared" si="31"/>
        <v>Apto en campo: Sociales</v>
      </c>
      <c r="D295" s="2266">
        <f t="shared" si="32"/>
        <v>15</v>
      </c>
      <c r="E295" s="119" t="s">
        <v>2672</v>
      </c>
      <c r="F295" s="373">
        <v>2</v>
      </c>
      <c r="G295" s="373">
        <f>COUNTIF(Principal!$C$35:$J$53,Tablas!E295)</f>
        <v>0</v>
      </c>
      <c r="H295" s="2274">
        <f t="shared" si="33"/>
        <v>0</v>
      </c>
      <c r="I295" s="2279">
        <v>1</v>
      </c>
      <c r="J295" s="2283" t="s">
        <v>3279</v>
      </c>
      <c r="L295" s="1486" t="s">
        <v>1745</v>
      </c>
      <c r="M295" s="2551" t="s">
        <v>1756</v>
      </c>
      <c r="N295" s="2473">
        <v>1</v>
      </c>
      <c r="O295" s="2473">
        <f>IF(Personalización!$J$29=M295,1,0)+IF(Personalización!$L$29=M295,1,0)</f>
        <v>0</v>
      </c>
      <c r="P295" s="439">
        <v>2</v>
      </c>
      <c r="Q295" s="2473">
        <f>IF(Personalización!$J$30=M295,1,0)+IF(Personalización!$L$30=M295,1,0)</f>
        <v>0</v>
      </c>
      <c r="R295" s="439">
        <v>3</v>
      </c>
      <c r="S295" s="119">
        <f>IF(Personalización!$J$31=M295,1,0)+IF(Personalización!$L$31=M295,1,0)</f>
        <v>0</v>
      </c>
      <c r="T295" s="439">
        <v>1</v>
      </c>
      <c r="U295" s="2473">
        <f>IF(Personalización!$J$32=M295,1,0)+IF(Personalización!$L$32=M295,1,0)</f>
        <v>0</v>
      </c>
      <c r="V295" s="439">
        <v>2</v>
      </c>
      <c r="W295" s="2473">
        <f>IF(Personalización!$J$33=M295,1,0)+IF(Personalización!$L$33=M295,1,0)</f>
        <v>0</v>
      </c>
      <c r="X295" s="439">
        <v>3</v>
      </c>
      <c r="Y295" s="1655">
        <f>IF(Personalización!$J$34=M295,1,0)+IF(Personalización!$L$34=M295,1,0)</f>
        <v>0</v>
      </c>
      <c r="Z295" s="1487">
        <f>10*Tablas!U295+20*Tablas!W295+30*Tablas!Y295+5*VLOOKUP("Apr. natural (2): "&amp;L295,$E$286:$G$302,3,FALSE)+10*VLOOKUP("Apr. natural (3): "&amp;L295,$E$286:$G$302,3,FALSE)</f>
        <v>0</v>
      </c>
      <c r="AA295" s="1652"/>
      <c r="AB295" s="363"/>
      <c r="AC295" s="2563"/>
      <c r="AM295" s="2290"/>
    </row>
    <row r="296" spans="1:39" ht="12.75" customHeight="1" x14ac:dyDescent="0.2">
      <c r="A296" s="1916">
        <v>296</v>
      </c>
      <c r="B296" s="5148"/>
      <c r="C296" s="2261" t="str">
        <f t="shared" si="31"/>
        <v>Apto en campo: Subterfugio</v>
      </c>
      <c r="D296" s="2266">
        <f t="shared" si="32"/>
        <v>21</v>
      </c>
      <c r="E296" s="119" t="s">
        <v>2673</v>
      </c>
      <c r="F296" s="373">
        <v>3</v>
      </c>
      <c r="G296" s="373">
        <f>COUNTIF(Principal!$C$35:$J$53,Tablas!E296)</f>
        <v>0</v>
      </c>
      <c r="H296" s="2274">
        <f t="shared" si="33"/>
        <v>0</v>
      </c>
      <c r="I296" s="2279">
        <v>1</v>
      </c>
      <c r="J296" s="2283" t="s">
        <v>3279</v>
      </c>
      <c r="L296" s="1486" t="s">
        <v>1745</v>
      </c>
      <c r="M296" s="2551" t="s">
        <v>1757</v>
      </c>
      <c r="N296" s="2473">
        <v>1</v>
      </c>
      <c r="O296" s="2473">
        <f>IF(Personalización!$J$29=M296,1,0)+IF(Personalización!$L$29=M296,1,0)</f>
        <v>0</v>
      </c>
      <c r="P296" s="439">
        <v>2</v>
      </c>
      <c r="Q296" s="2473">
        <f>IF(Personalización!$J$30=M296,1,0)+IF(Personalización!$L$30=M296,1,0)</f>
        <v>0</v>
      </c>
      <c r="R296" s="439">
        <v>3</v>
      </c>
      <c r="S296" s="119">
        <f>IF(Personalización!$J$31=M296,1,0)+IF(Personalización!$L$31=M296,1,0)</f>
        <v>0</v>
      </c>
      <c r="T296" s="439">
        <v>1</v>
      </c>
      <c r="U296" s="2473">
        <f>IF(Personalización!$J$32=M296,1,0)+IF(Personalización!$L$32=M296,1,0)</f>
        <v>0</v>
      </c>
      <c r="V296" s="439">
        <v>2</v>
      </c>
      <c r="W296" s="2473">
        <f>IF(Personalización!$J$33=M296,1,0)+IF(Personalización!$L$33=M296,1,0)</f>
        <v>0</v>
      </c>
      <c r="X296" s="439">
        <v>3</v>
      </c>
      <c r="Y296" s="1655">
        <f>IF(Personalización!$J$34=M296,1,0)+IF(Personalización!$L$34=M296,1,0)</f>
        <v>0</v>
      </c>
      <c r="Z296" s="1487">
        <f>10*Tablas!U296+20*Tablas!W296+30*Tablas!Y296+5*VLOOKUP("Apr. natural (2): "&amp;L296,$E$286:$G$302,3,FALSE)+10*VLOOKUP("Apr. natural (3): "&amp;L296,$E$286:$G$302,3,FALSE)</f>
        <v>0</v>
      </c>
      <c r="AA296" s="1652"/>
      <c r="AB296" s="363"/>
      <c r="AC296" s="2563"/>
      <c r="AM296" s="2290"/>
    </row>
    <row r="297" spans="1:39" ht="12.75" customHeight="1" x14ac:dyDescent="0.2">
      <c r="A297" s="1916">
        <v>297</v>
      </c>
      <c r="B297" s="5148"/>
      <c r="C297" s="2261" t="str">
        <f t="shared" si="31"/>
        <v>Apto en campo: Vigor</v>
      </c>
      <c r="D297" s="2266">
        <f t="shared" si="32"/>
        <v>25</v>
      </c>
      <c r="E297" s="119" t="s">
        <v>2674</v>
      </c>
      <c r="F297" s="373">
        <v>3</v>
      </c>
      <c r="G297" s="373">
        <f>COUNTIF(Principal!$C$35:$J$53,Tablas!E297)</f>
        <v>0</v>
      </c>
      <c r="H297" s="2274">
        <f t="shared" si="33"/>
        <v>0</v>
      </c>
      <c r="I297" s="2279">
        <v>1</v>
      </c>
      <c r="J297" s="2283" t="s">
        <v>3279</v>
      </c>
      <c r="L297" s="1486" t="s">
        <v>1745</v>
      </c>
      <c r="M297" s="2551" t="s">
        <v>1758</v>
      </c>
      <c r="N297" s="2473">
        <v>1</v>
      </c>
      <c r="O297" s="2473">
        <f>IF(Personalización!$J$29=M297,1,0)+IF(Personalización!$L$29=M297,1,0)</f>
        <v>0</v>
      </c>
      <c r="P297" s="439">
        <v>2</v>
      </c>
      <c r="Q297" s="2473">
        <f>IF(Personalización!$J$30=M297,1,0)+IF(Personalización!$L$30=M297,1,0)</f>
        <v>0</v>
      </c>
      <c r="R297" s="439">
        <v>3</v>
      </c>
      <c r="S297" s="119">
        <f>IF(Personalización!$J$31=M297,1,0)+IF(Personalización!$L$31=M297,1,0)</f>
        <v>0</v>
      </c>
      <c r="T297" s="439">
        <v>1</v>
      </c>
      <c r="U297" s="2473">
        <f>IF(Personalización!$J$32=M297,1,0)+IF(Personalización!$L$32=M297,1,0)</f>
        <v>0</v>
      </c>
      <c r="V297" s="439">
        <v>2</v>
      </c>
      <c r="W297" s="2473">
        <f>IF(Personalización!$J$33=M297,1,0)+IF(Personalización!$L$33=M297,1,0)</f>
        <v>0</v>
      </c>
      <c r="X297" s="439">
        <v>3</v>
      </c>
      <c r="Y297" s="1655">
        <f>IF(Personalización!$J$34=M297,1,0)+IF(Personalización!$L$34=M297,1,0)</f>
        <v>0</v>
      </c>
      <c r="Z297" s="1487">
        <f>10*Tablas!U297+20*Tablas!W297+30*Tablas!Y297+5*VLOOKUP("Apr. natural (2): "&amp;L297,$E$286:$G$302,3,FALSE)+10*VLOOKUP("Apr. natural (3): "&amp;L297,$E$286:$G$302,3,FALSE)</f>
        <v>0</v>
      </c>
      <c r="AA297" s="1652"/>
      <c r="AB297" s="363"/>
      <c r="AC297" s="2563"/>
      <c r="AM297" s="2290"/>
    </row>
    <row r="298" spans="1:39" ht="12.75" customHeight="1" x14ac:dyDescent="0.2">
      <c r="A298" s="1916">
        <v>298</v>
      </c>
      <c r="B298" s="5148"/>
      <c r="C298" s="2261" t="str">
        <f t="shared" si="31"/>
        <v>Apto en una materia (1)</v>
      </c>
      <c r="D298" s="2266">
        <f t="shared" si="32"/>
        <v>24</v>
      </c>
      <c r="E298" s="119" t="s">
        <v>2675</v>
      </c>
      <c r="F298" s="373">
        <v>3</v>
      </c>
      <c r="G298" s="373">
        <f>COUNTIF(Principal!$C$35:$J$53,Tablas!E298)</f>
        <v>0</v>
      </c>
      <c r="H298" s="2274">
        <f t="shared" si="33"/>
        <v>0</v>
      </c>
      <c r="I298" s="2279">
        <v>1</v>
      </c>
      <c r="J298" s="2283" t="s">
        <v>3279</v>
      </c>
      <c r="L298" s="1486" t="s">
        <v>1759</v>
      </c>
      <c r="M298" s="2551" t="s">
        <v>1760</v>
      </c>
      <c r="N298" s="2473">
        <v>1</v>
      </c>
      <c r="O298" s="2473">
        <f>IF(Personalización!$J$29=M298,1,0)+IF(Personalización!$L$29=M298,1,0)</f>
        <v>0</v>
      </c>
      <c r="P298" s="439">
        <v>2</v>
      </c>
      <c r="Q298" s="2473">
        <f>IF(Personalización!$J$30=M298,1,0)+IF(Personalización!$L$30=M298,1,0)</f>
        <v>0</v>
      </c>
      <c r="R298" s="439">
        <v>3</v>
      </c>
      <c r="S298" s="119">
        <f>IF(Personalización!$J$31=M298,1,0)+IF(Personalización!$L$31=M298,1,0)</f>
        <v>0</v>
      </c>
      <c r="T298" s="439">
        <v>1</v>
      </c>
      <c r="U298" s="2473">
        <f>IF(Personalización!$J$32=M298,1,0)+IF(Personalización!$L$32=M298,1,0)</f>
        <v>0</v>
      </c>
      <c r="V298" s="439">
        <v>2</v>
      </c>
      <c r="W298" s="2473">
        <f>IF(Personalización!$J$33=M298,1,0)+IF(Personalización!$L$33=M298,1,0)</f>
        <v>0</v>
      </c>
      <c r="X298" s="439">
        <v>3</v>
      </c>
      <c r="Y298" s="1655">
        <f>IF(Personalización!$J$34=M298,1,0)+IF(Personalización!$L$34=M298,1,0)</f>
        <v>0</v>
      </c>
      <c r="Z298" s="1487">
        <f>10*Tablas!U298+20*Tablas!W298+30*Tablas!Y298+5*VLOOKUP("Apr. natural (2): "&amp;L298,$E$286:$G$302,3,FALSE)+10*VLOOKUP("Apr. natural (3): "&amp;L298,$E$286:$G$302,3,FALSE)</f>
        <v>0</v>
      </c>
      <c r="AA298" s="1652"/>
      <c r="AB298" s="363"/>
      <c r="AC298" s="2563"/>
      <c r="AM298" s="2290"/>
    </row>
    <row r="299" spans="1:39" ht="12.75" customHeight="1" x14ac:dyDescent="0.2">
      <c r="A299" s="1916">
        <v>299</v>
      </c>
      <c r="B299" s="5148"/>
      <c r="C299" s="2261" t="str">
        <f t="shared" si="31"/>
        <v>Apto en una materia (2)</v>
      </c>
      <c r="D299" s="2266">
        <f t="shared" si="32"/>
        <v>23</v>
      </c>
      <c r="E299" s="119" t="s">
        <v>2676</v>
      </c>
      <c r="F299" s="373">
        <v>3</v>
      </c>
      <c r="G299" s="373">
        <f>COUNTIF(Principal!$C$35:$J$53,Tablas!E299)</f>
        <v>0</v>
      </c>
      <c r="H299" s="2274">
        <f t="shared" si="33"/>
        <v>0</v>
      </c>
      <c r="I299" s="2279">
        <v>1</v>
      </c>
      <c r="J299" s="2283" t="s">
        <v>3279</v>
      </c>
      <c r="L299" s="1486" t="s">
        <v>1759</v>
      </c>
      <c r="M299" s="2551" t="s">
        <v>1761</v>
      </c>
      <c r="N299" s="2473">
        <v>1</v>
      </c>
      <c r="O299" s="2473">
        <f>IF(Personalización!$J$29=M299,1,0)+IF(Personalización!$L$29=M299,1,0)</f>
        <v>0</v>
      </c>
      <c r="P299" s="439">
        <v>2</v>
      </c>
      <c r="Q299" s="2473">
        <f>IF(Personalización!$J$30=M299,1,0)+IF(Personalización!$L$30=M299,1,0)</f>
        <v>0</v>
      </c>
      <c r="R299" s="439">
        <v>3</v>
      </c>
      <c r="S299" s="119">
        <f>IF(Personalización!$J$31=M299,1,0)+IF(Personalización!$L$31=M299,1,0)</f>
        <v>0</v>
      </c>
      <c r="T299" s="439">
        <v>1</v>
      </c>
      <c r="U299" s="2473">
        <f>IF(Personalización!$J$32=M299,1,0)+IF(Personalización!$L$32=M299,1,0)</f>
        <v>0</v>
      </c>
      <c r="V299" s="439">
        <v>2</v>
      </c>
      <c r="W299" s="2473">
        <f>IF(Personalización!$J$33=M299,1,0)+IF(Personalización!$L$33=M299,1,0)</f>
        <v>0</v>
      </c>
      <c r="X299" s="439">
        <v>3</v>
      </c>
      <c r="Y299" s="1655">
        <f>IF(Personalización!$J$34=M299,1,0)+IF(Personalización!$L$34=M299,1,0)</f>
        <v>0</v>
      </c>
      <c r="Z299" s="1487">
        <f>10*Tablas!U299+20*Tablas!W299+30*Tablas!Y299+5*VLOOKUP("Apr. natural (2): "&amp;L299,$E$286:$G$302,3,FALSE)+10*VLOOKUP("Apr. natural (3): "&amp;L299,$E$286:$G$302,3,FALSE)</f>
        <v>0</v>
      </c>
      <c r="AA299" s="1652"/>
      <c r="AB299" s="363"/>
      <c r="AC299" s="2563"/>
      <c r="AM299" s="2290"/>
    </row>
    <row r="300" spans="1:39" ht="12.75" customHeight="1" x14ac:dyDescent="0.2">
      <c r="A300" s="1916">
        <v>300</v>
      </c>
      <c r="B300" s="5148"/>
      <c r="C300" s="2261" t="str">
        <f t="shared" si="31"/>
        <v>Apto en una materia (3)</v>
      </c>
      <c r="D300" s="2266">
        <f t="shared" si="32"/>
        <v>27</v>
      </c>
      <c r="E300" s="119" t="s">
        <v>2677</v>
      </c>
      <c r="F300" s="373">
        <v>3</v>
      </c>
      <c r="G300" s="373">
        <f>COUNTIF(Principal!$C$35:$J$53,Tablas!E300)</f>
        <v>0</v>
      </c>
      <c r="H300" s="2274">
        <f t="shared" si="33"/>
        <v>0</v>
      </c>
      <c r="I300" s="2279">
        <v>1</v>
      </c>
      <c r="J300" s="2283" t="s">
        <v>3279</v>
      </c>
      <c r="L300" s="1486" t="s">
        <v>1759</v>
      </c>
      <c r="M300" s="2551" t="s">
        <v>1764</v>
      </c>
      <c r="N300" s="2473">
        <v>1</v>
      </c>
      <c r="O300" s="2473">
        <f>IF(Personalización!$J$29=M300,1,0)+IF(Personalización!$L$29=M300,1,0)</f>
        <v>0</v>
      </c>
      <c r="P300" s="439">
        <v>2</v>
      </c>
      <c r="Q300" s="2473">
        <f>IF(Personalización!$J$30=M300,1,0)+IF(Personalización!$L$30=M300,1,0)</f>
        <v>0</v>
      </c>
      <c r="R300" s="439">
        <v>3</v>
      </c>
      <c r="S300" s="119">
        <f>IF(Personalización!$J$31=M300,1,0)+IF(Personalización!$L$31=M300,1,0)</f>
        <v>0</v>
      </c>
      <c r="T300" s="439">
        <v>1</v>
      </c>
      <c r="U300" s="2473">
        <f>IF(Personalización!$J$32=M300,1,0)+IF(Personalización!$L$32=M300,1,0)</f>
        <v>0</v>
      </c>
      <c r="V300" s="439">
        <v>2</v>
      </c>
      <c r="W300" s="2473">
        <f>IF(Personalización!$J$33=M300,1,0)+IF(Personalización!$L$33=M300,1,0)</f>
        <v>0</v>
      </c>
      <c r="X300" s="439">
        <v>3</v>
      </c>
      <c r="Y300" s="1655">
        <f>IF(Personalización!$J$34=M300,1,0)+IF(Personalización!$L$34=M300,1,0)</f>
        <v>0</v>
      </c>
      <c r="Z300" s="1487">
        <f>10*Tablas!U300+20*Tablas!W300+30*Tablas!Y300+5*VLOOKUP("Apr. natural (2): "&amp;L300,$E$286:$G$302,3,FALSE)+10*VLOOKUP("Apr. natural (3): "&amp;L300,$E$286:$G$302,3,FALSE)</f>
        <v>0</v>
      </c>
      <c r="AA300" s="1652"/>
      <c r="AB300" s="363"/>
      <c r="AC300" s="2563"/>
      <c r="AM300" s="2290"/>
    </row>
    <row r="301" spans="1:39" ht="12.75" customHeight="1" x14ac:dyDescent="0.2">
      <c r="A301" s="1916">
        <v>301</v>
      </c>
      <c r="B301" s="5148"/>
      <c r="C301" s="2261" t="str">
        <f t="shared" si="31"/>
        <v>Armadura mística</v>
      </c>
      <c r="D301" s="2266">
        <f t="shared" si="32"/>
        <v>26</v>
      </c>
      <c r="E301" s="119" t="s">
        <v>2678</v>
      </c>
      <c r="F301" s="373">
        <v>3</v>
      </c>
      <c r="G301" s="373">
        <f>COUNTIF(Principal!$C$35:$J$53,Tablas!E301)</f>
        <v>0</v>
      </c>
      <c r="H301" s="2274">
        <f t="shared" si="33"/>
        <v>0</v>
      </c>
      <c r="I301" s="2279">
        <v>1</v>
      </c>
      <c r="J301" s="2283" t="s">
        <v>3279</v>
      </c>
      <c r="L301" s="1486" t="s">
        <v>1767</v>
      </c>
      <c r="M301" s="2551" t="s">
        <v>1768</v>
      </c>
      <c r="N301" s="2473">
        <v>1</v>
      </c>
      <c r="O301" s="2473">
        <f>IF(Personalización!$J$29=M301,1,0)+IF(Personalización!$L$29=M301,1,0)</f>
        <v>0</v>
      </c>
      <c r="P301" s="439">
        <v>2</v>
      </c>
      <c r="Q301" s="2473">
        <f>IF(Personalización!$J$30=M301,1,0)+IF(Personalización!$L$30=M301,1,0)</f>
        <v>0</v>
      </c>
      <c r="R301" s="439">
        <v>3</v>
      </c>
      <c r="S301" s="119">
        <f>IF(Personalización!$J$31=M301,1,0)+IF(Personalización!$L$31=M301,1,0)</f>
        <v>0</v>
      </c>
      <c r="T301" s="439">
        <v>1</v>
      </c>
      <c r="U301" s="2473">
        <f>IF(Personalización!$J$32=M301,1,0)+IF(Personalización!$L$32=M301,1,0)</f>
        <v>0</v>
      </c>
      <c r="V301" s="439">
        <v>2</v>
      </c>
      <c r="W301" s="2473">
        <f>IF(Personalización!$J$33=M301,1,0)+IF(Personalización!$L$33=M301,1,0)</f>
        <v>0</v>
      </c>
      <c r="X301" s="439">
        <v>3</v>
      </c>
      <c r="Y301" s="1655">
        <f>IF(Personalización!$J$34=M301,1,0)+IF(Personalización!$L$34=M301,1,0)</f>
        <v>0</v>
      </c>
      <c r="Z301" s="1487">
        <f>10*Tablas!U301+20*Tablas!W301+30*Tablas!Y301+5*VLOOKUP("Apr. natural (2): "&amp;L301,$E$286:$G$302,3,FALSE)+10*VLOOKUP("Apr. natural (3): "&amp;L301,$E$286:$G$302,3,FALSE)</f>
        <v>0</v>
      </c>
      <c r="AA301" s="1652"/>
      <c r="AB301" s="363"/>
      <c r="AC301" s="2563"/>
      <c r="AM301" s="2290"/>
    </row>
    <row r="302" spans="1:39" ht="12.75" customHeight="1" x14ac:dyDescent="0.2">
      <c r="A302" s="1916">
        <v>302</v>
      </c>
      <c r="B302" s="5148"/>
      <c r="C302" s="2261" t="str">
        <f t="shared" si="31"/>
        <v>Armadura natural</v>
      </c>
      <c r="D302" s="2266">
        <f t="shared" si="32"/>
        <v>22</v>
      </c>
      <c r="E302" s="119" t="s">
        <v>2679</v>
      </c>
      <c r="F302" s="373">
        <v>3</v>
      </c>
      <c r="G302" s="373">
        <f>COUNTIF(Principal!$C$35:$J$53,Tablas!E302)</f>
        <v>0</v>
      </c>
      <c r="H302" s="2274">
        <f t="shared" si="33"/>
        <v>0</v>
      </c>
      <c r="I302" s="2279">
        <v>1</v>
      </c>
      <c r="J302" s="2283" t="s">
        <v>3279</v>
      </c>
      <c r="L302" s="1486" t="s">
        <v>1767</v>
      </c>
      <c r="M302" s="2551" t="s">
        <v>1770</v>
      </c>
      <c r="N302" s="2473">
        <v>1</v>
      </c>
      <c r="O302" s="2473">
        <f>IF(Personalización!$J$29=M302,1,0)+IF(Personalización!$L$29=M302,1,0)</f>
        <v>0</v>
      </c>
      <c r="P302" s="439">
        <v>2</v>
      </c>
      <c r="Q302" s="2473">
        <f>IF(Personalización!$J$30=M302,1,0)+IF(Personalización!$L$30=M302,1,0)</f>
        <v>0</v>
      </c>
      <c r="R302" s="439">
        <v>3</v>
      </c>
      <c r="S302" s="119">
        <f>IF(Personalización!$J$31=M302,1,0)+IF(Personalización!$L$31=M302,1,0)</f>
        <v>0</v>
      </c>
      <c r="T302" s="439">
        <v>1</v>
      </c>
      <c r="U302" s="2473">
        <f>IF(Personalización!$J$32=M302,1,0)+IF(Personalización!$L$32=M302,1,0)</f>
        <v>0</v>
      </c>
      <c r="V302" s="439">
        <v>2</v>
      </c>
      <c r="W302" s="2473">
        <f>IF(Personalización!$J$33=M302,1,0)+IF(Personalización!$L$33=M302,1,0)</f>
        <v>0</v>
      </c>
      <c r="X302" s="439">
        <v>3</v>
      </c>
      <c r="Y302" s="1655">
        <f>IF(Personalización!$J$34=M302,1,0)+IF(Personalización!$L$34=M302,1,0)</f>
        <v>0</v>
      </c>
      <c r="Z302" s="1487">
        <f>10*Tablas!U302+20*Tablas!W302+30*Tablas!Y302+5*VLOOKUP("Apr. natural (2): "&amp;L302,$E$286:$G$302,3,FALSE)+10*VLOOKUP("Apr. natural (3): "&amp;L302,$E$286:$G$302,3,FALSE)</f>
        <v>0</v>
      </c>
      <c r="AA302" s="1652"/>
      <c r="AB302" s="363"/>
      <c r="AC302" s="2563"/>
      <c r="AM302" s="2290"/>
    </row>
    <row r="303" spans="1:39" ht="12.75" customHeight="1" x14ac:dyDescent="0.2">
      <c r="A303" s="1916">
        <v>303</v>
      </c>
      <c r="B303" s="5148"/>
      <c r="C303" s="2261" t="str">
        <f t="shared" si="31"/>
        <v>Bono natural incrementado</v>
      </c>
      <c r="D303" s="2266">
        <f t="shared" si="32"/>
        <v>49</v>
      </c>
      <c r="E303" s="119" t="s">
        <v>2680</v>
      </c>
      <c r="F303" s="373">
        <v>2</v>
      </c>
      <c r="G303" s="373">
        <f>COUNTIF(Principal!$C$35:$J$53,Tablas!E303)</f>
        <v>0</v>
      </c>
      <c r="H303" s="2274">
        <f t="shared" si="33"/>
        <v>0</v>
      </c>
      <c r="I303" s="2279">
        <v>1</v>
      </c>
      <c r="J303" s="2283" t="s">
        <v>3279</v>
      </c>
      <c r="L303" s="1486" t="s">
        <v>1767</v>
      </c>
      <c r="M303" s="2551" t="s">
        <v>1772</v>
      </c>
      <c r="N303" s="2473">
        <v>1</v>
      </c>
      <c r="O303" s="2473">
        <f>IF(Personalización!$J$29=M303,1,0)+IF(Personalización!$L$29=M303,1,0)</f>
        <v>0</v>
      </c>
      <c r="P303" s="439">
        <v>2</v>
      </c>
      <c r="Q303" s="2473">
        <f>IF(Personalización!$J$30=M303,1,0)+IF(Personalización!$L$30=M303,1,0)</f>
        <v>0</v>
      </c>
      <c r="R303" s="439">
        <v>3</v>
      </c>
      <c r="S303" s="119">
        <f>IF(Personalización!$J$31=M303,1,0)+IF(Personalización!$L$31=M303,1,0)</f>
        <v>0</v>
      </c>
      <c r="T303" s="439">
        <v>1</v>
      </c>
      <c r="U303" s="2473">
        <f>IF(Personalización!$J$32=M303,1,0)+IF(Personalización!$L$32=M303,1,0)</f>
        <v>0</v>
      </c>
      <c r="V303" s="439">
        <v>2</v>
      </c>
      <c r="W303" s="2473">
        <f>IF(Personalización!$J$33=M303,1,0)+IF(Personalización!$L$33=M303,1,0)</f>
        <v>0</v>
      </c>
      <c r="X303" s="439">
        <v>3</v>
      </c>
      <c r="Y303" s="1655">
        <f>IF(Personalización!$J$34=M303,1,0)+IF(Personalización!$L$34=M303,1,0)</f>
        <v>0</v>
      </c>
      <c r="Z303" s="1487">
        <f>10*Tablas!U303+20*Tablas!W303+30*Tablas!Y303+5*VLOOKUP("Apr. natural (2): "&amp;L303,$E$286:$G$302,3,FALSE)+10*VLOOKUP("Apr. natural (3): "&amp;L303,$E$286:$G$302,3,FALSE)</f>
        <v>0</v>
      </c>
      <c r="AA303" s="1652"/>
      <c r="AB303" s="363"/>
      <c r="AC303" s="2563"/>
      <c r="AG303" s="1653"/>
      <c r="AM303" s="2290"/>
    </row>
    <row r="304" spans="1:39" ht="12.75" customHeight="1" x14ac:dyDescent="0.2">
      <c r="A304" s="1916">
        <v>304</v>
      </c>
      <c r="B304" s="5148"/>
      <c r="C304" s="2261" t="str">
        <f t="shared" si="31"/>
        <v>Buena suerte</v>
      </c>
      <c r="D304" s="2266">
        <f t="shared" si="32"/>
        <v>112</v>
      </c>
      <c r="E304" s="119" t="s">
        <v>2681</v>
      </c>
      <c r="F304" s="373">
        <v>1</v>
      </c>
      <c r="G304" s="373">
        <f>COUNTIF(Principal!$C$35:$J$53,Tablas!E304)</f>
        <v>0</v>
      </c>
      <c r="H304" s="2274">
        <f t="shared" si="33"/>
        <v>0</v>
      </c>
      <c r="I304" s="2279"/>
      <c r="J304" s="2283" t="s">
        <v>3279</v>
      </c>
      <c r="L304" s="1486" t="s">
        <v>1767</v>
      </c>
      <c r="M304" s="2551" t="s">
        <v>1774</v>
      </c>
      <c r="N304" s="2473">
        <v>1</v>
      </c>
      <c r="O304" s="2473">
        <f>IF(Personalización!$J$29=M304,1,0)+IF(Personalización!$L$29=M304,1,0)</f>
        <v>0</v>
      </c>
      <c r="P304" s="439">
        <v>2</v>
      </c>
      <c r="Q304" s="2473">
        <f>IF(Personalización!$J$30=M304,1,0)+IF(Personalización!$L$30=M304,1,0)</f>
        <v>0</v>
      </c>
      <c r="R304" s="439">
        <v>3</v>
      </c>
      <c r="S304" s="119">
        <f>IF(Personalización!$J$31=M304,1,0)+IF(Personalización!$L$31=M304,1,0)</f>
        <v>0</v>
      </c>
      <c r="T304" s="439">
        <v>1</v>
      </c>
      <c r="U304" s="2473">
        <f>IF(Personalización!$J$32=M304,1,0)+IF(Personalización!$L$32=M304,1,0)</f>
        <v>0</v>
      </c>
      <c r="V304" s="439">
        <v>2</v>
      </c>
      <c r="W304" s="2473">
        <f>IF(Personalización!$J$33=M304,1,0)+IF(Personalización!$L$33=M304,1,0)</f>
        <v>0</v>
      </c>
      <c r="X304" s="439">
        <v>3</v>
      </c>
      <c r="Y304" s="1655">
        <f>IF(Personalización!$J$34=M304,1,0)+IF(Personalización!$L$34=M304,1,0)</f>
        <v>0</v>
      </c>
      <c r="Z304" s="1487">
        <f>10*Tablas!U304+20*Tablas!W304+30*Tablas!Y304+5*VLOOKUP("Apr. natural (2): "&amp;L304,$E$286:$G$302,3,FALSE)+10*VLOOKUP("Apr. natural (3): "&amp;L304,$E$286:$G$302,3,FALSE)</f>
        <v>0</v>
      </c>
      <c r="AA304" s="1652"/>
      <c r="AB304" s="363"/>
      <c r="AC304" s="2563"/>
      <c r="AG304" s="1653"/>
      <c r="AM304" s="2290"/>
    </row>
    <row r="305" spans="1:39" ht="12.75" customHeight="1" x14ac:dyDescent="0.2">
      <c r="A305" s="1916">
        <v>305</v>
      </c>
      <c r="B305" s="5148"/>
      <c r="C305" s="2261" t="str">
        <f t="shared" si="31"/>
        <v>Con. de todas las materias</v>
      </c>
      <c r="D305" s="2266">
        <f t="shared" si="32"/>
        <v>62</v>
      </c>
      <c r="E305" s="119" t="s">
        <v>2682</v>
      </c>
      <c r="F305" s="373">
        <v>1</v>
      </c>
      <c r="G305" s="373">
        <f>COUNTIF(Principal!$C$35:$J$53,Tablas!E305)</f>
        <v>0</v>
      </c>
      <c r="H305" s="2274">
        <f t="shared" si="33"/>
        <v>0</v>
      </c>
      <c r="I305" s="2279"/>
      <c r="J305" s="2283" t="s">
        <v>3279</v>
      </c>
      <c r="L305" s="1486" t="s">
        <v>1767</v>
      </c>
      <c r="M305" s="2551" t="s">
        <v>1776</v>
      </c>
      <c r="N305" s="2473">
        <v>1</v>
      </c>
      <c r="O305" s="2473">
        <f>IF(Personalización!$J$29=M305,1,0)+IF(Personalización!$L$29=M305,1,0)</f>
        <v>0</v>
      </c>
      <c r="P305" s="439">
        <v>2</v>
      </c>
      <c r="Q305" s="2473">
        <f>IF(Personalización!$J$30=M305,1,0)+IF(Personalización!$L$30=M305,1,0)</f>
        <v>0</v>
      </c>
      <c r="R305" s="439">
        <v>3</v>
      </c>
      <c r="S305" s="119">
        <f>IF(Personalización!$J$31=M305,1,0)+IF(Personalización!$L$31=M305,1,0)</f>
        <v>0</v>
      </c>
      <c r="T305" s="439">
        <v>1</v>
      </c>
      <c r="U305" s="2473">
        <f>IF(Personalización!$J$32=M305,1,0)+IF(Personalización!$L$32=M305,1,0)</f>
        <v>0</v>
      </c>
      <c r="V305" s="439">
        <v>2</v>
      </c>
      <c r="W305" s="2473">
        <f>IF(Personalización!$J$33=M305,1,0)+IF(Personalización!$L$33=M305,1,0)</f>
        <v>0</v>
      </c>
      <c r="X305" s="439">
        <v>3</v>
      </c>
      <c r="Y305" s="1655">
        <f>IF(Personalización!$J$34=M305,1,0)+IF(Personalización!$L$34=M305,1,0)</f>
        <v>0</v>
      </c>
      <c r="Z305" s="1487">
        <f>10*Tablas!U305+20*Tablas!W305+30*Tablas!Y305+5*VLOOKUP("Apr. natural (2): "&amp;L305,$E$286:$G$302,3,FALSE)+10*VLOOKUP("Apr. natural (3): "&amp;L305,$E$286:$G$302,3,FALSE)</f>
        <v>0</v>
      </c>
      <c r="AA305" s="1652"/>
      <c r="AB305" s="363"/>
      <c r="AC305" s="2563"/>
      <c r="AG305" s="1653"/>
      <c r="AM305" s="2290"/>
    </row>
    <row r="306" spans="1:39" ht="12.75" customHeight="1" x14ac:dyDescent="0.2">
      <c r="A306" s="1916">
        <v>306</v>
      </c>
      <c r="B306" s="5148"/>
      <c r="C306" s="2261" t="str">
        <f t="shared" si="31"/>
        <v>Convocador de masas (1)</v>
      </c>
      <c r="D306" s="2266">
        <f t="shared" si="32"/>
        <v>48</v>
      </c>
      <c r="E306" s="119" t="s">
        <v>2683</v>
      </c>
      <c r="F306" s="373">
        <v>1</v>
      </c>
      <c r="G306" s="373">
        <f>COUNTIF(Principal!$C$35:$J$53,Tablas!E306)</f>
        <v>0</v>
      </c>
      <c r="H306" s="2274">
        <f t="shared" si="33"/>
        <v>0</v>
      </c>
      <c r="I306" s="2279"/>
      <c r="J306" s="2283" t="s">
        <v>3279</v>
      </c>
      <c r="L306" s="1486" t="s">
        <v>1767</v>
      </c>
      <c r="M306" s="2551" t="s">
        <v>1778</v>
      </c>
      <c r="N306" s="2473">
        <v>1</v>
      </c>
      <c r="O306" s="2473">
        <f>IF(Personalización!$J$29=M306,1,0)+IF(Personalización!$L$29=M306,1,0)</f>
        <v>0</v>
      </c>
      <c r="P306" s="439">
        <v>2</v>
      </c>
      <c r="Q306" s="2473">
        <f>IF(Personalización!$J$30=M306,1,0)+IF(Personalización!$L$30=M306,1,0)</f>
        <v>0</v>
      </c>
      <c r="R306" s="439">
        <v>3</v>
      </c>
      <c r="S306" s="119">
        <f>IF(Personalización!$J$31=M306,1,0)+IF(Personalización!$L$31=M306,1,0)</f>
        <v>0</v>
      </c>
      <c r="T306" s="439">
        <v>1</v>
      </c>
      <c r="U306" s="2473">
        <f>IF(Personalización!$J$32=M306,1,0)+IF(Personalización!$L$32=M306,1,0)</f>
        <v>0</v>
      </c>
      <c r="V306" s="439">
        <v>2</v>
      </c>
      <c r="W306" s="2473">
        <f>IF(Personalización!$J$33=M306,1,0)+IF(Personalización!$L$33=M306,1,0)</f>
        <v>0</v>
      </c>
      <c r="X306" s="439">
        <v>3</v>
      </c>
      <c r="Y306" s="1655">
        <f>IF(Personalización!$J$34=M306,1,0)+IF(Personalización!$L$34=M306,1,0)</f>
        <v>0</v>
      </c>
      <c r="Z306" s="1487">
        <f>10*Tablas!U306+20*Tablas!W306+30*Tablas!Y306+5*VLOOKUP("Apr. natural (2): "&amp;L306,$E$286:$G$302,3,FALSE)+10*VLOOKUP("Apr. natural (3): "&amp;L306,$E$286:$G$302,3,FALSE)</f>
        <v>0</v>
      </c>
      <c r="AA306" s="1652"/>
      <c r="AB306" s="363"/>
      <c r="AC306" s="2563"/>
      <c r="AG306" s="1653"/>
      <c r="AM306" s="2290"/>
    </row>
    <row r="307" spans="1:39" ht="12.75" customHeight="1" x14ac:dyDescent="0.2">
      <c r="A307" s="1916">
        <v>307</v>
      </c>
      <c r="B307" s="5148"/>
      <c r="C307" s="2261" t="str">
        <f t="shared" si="31"/>
        <v>Convocador de masas (2)</v>
      </c>
      <c r="D307" s="2266">
        <f t="shared" si="32"/>
        <v>11</v>
      </c>
      <c r="E307" s="119" t="s">
        <v>2684</v>
      </c>
      <c r="F307" s="373">
        <v>1</v>
      </c>
      <c r="G307" s="373">
        <f>COUNTIF(Principal!$C$35:$J$53,Tablas!E307)</f>
        <v>0</v>
      </c>
      <c r="H307" s="2274">
        <f t="shared" si="33"/>
        <v>0</v>
      </c>
      <c r="I307" s="2279"/>
      <c r="J307" s="2283" t="s">
        <v>3279</v>
      </c>
      <c r="L307" s="1486" t="s">
        <v>1767</v>
      </c>
      <c r="M307" s="2551" t="s">
        <v>1779</v>
      </c>
      <c r="N307" s="2473">
        <v>1</v>
      </c>
      <c r="O307" s="2473">
        <f>IF(Personalización!$J$29=M307,1,0)+IF(Personalización!$L$29=M307,1,0)</f>
        <v>0</v>
      </c>
      <c r="P307" s="439">
        <v>2</v>
      </c>
      <c r="Q307" s="2473">
        <f>IF(Personalización!$J$30=M307,1,0)+IF(Personalización!$L$30=M307,1,0)</f>
        <v>0</v>
      </c>
      <c r="R307" s="439">
        <v>3</v>
      </c>
      <c r="S307" s="119">
        <f>IF(Personalización!$J$31=M307,1,0)+IF(Personalización!$L$31=M307,1,0)</f>
        <v>0</v>
      </c>
      <c r="T307" s="439">
        <v>1</v>
      </c>
      <c r="U307" s="2473">
        <f>IF(Personalización!$J$32=M307,1,0)+IF(Personalización!$L$32=M307,1,0)</f>
        <v>0</v>
      </c>
      <c r="V307" s="439">
        <v>2</v>
      </c>
      <c r="W307" s="2473">
        <f>IF(Personalización!$J$33=M307,1,0)+IF(Personalización!$L$33=M307,1,0)</f>
        <v>0</v>
      </c>
      <c r="X307" s="439">
        <v>3</v>
      </c>
      <c r="Y307" s="1655">
        <f>IF(Personalización!$J$34=M307,1,0)+IF(Personalización!$L$34=M307,1,0)</f>
        <v>0</v>
      </c>
      <c r="Z307" s="1487">
        <f>10*Tablas!U307+20*Tablas!W307+30*Tablas!Y307+5*VLOOKUP("Apr. natural (2): "&amp;L307,$E$286:$G$302,3,FALSE)+10*VLOOKUP("Apr. natural (3): "&amp;L307,$E$286:$G$302,3,FALSE)</f>
        <v>0</v>
      </c>
      <c r="AA307" s="1652"/>
      <c r="AB307" s="363"/>
      <c r="AC307" s="2563"/>
      <c r="AG307" s="1653"/>
      <c r="AM307" s="2290"/>
    </row>
    <row r="308" spans="1:39" ht="12.75" customHeight="1" x14ac:dyDescent="0.2">
      <c r="A308" s="1916">
        <v>308</v>
      </c>
      <c r="B308" s="5148"/>
      <c r="C308" s="2261" t="str">
        <f t="shared" si="31"/>
        <v>Convocador de masas (3)</v>
      </c>
      <c r="D308" s="2266">
        <f t="shared" si="32"/>
        <v>91</v>
      </c>
      <c r="E308" s="119" t="s">
        <v>2685</v>
      </c>
      <c r="F308" s="373">
        <v>1</v>
      </c>
      <c r="G308" s="373">
        <f>COUNTIF(Principal!$C$35:$J$53,Tablas!E308)</f>
        <v>0</v>
      </c>
      <c r="H308" s="2274">
        <f t="shared" si="33"/>
        <v>0</v>
      </c>
      <c r="I308" s="2279">
        <v>1</v>
      </c>
      <c r="J308" s="2283" t="s">
        <v>3279</v>
      </c>
      <c r="L308" s="1486" t="s">
        <v>1780</v>
      </c>
      <c r="M308" s="2551" t="s">
        <v>1781</v>
      </c>
      <c r="N308" s="2473">
        <v>1</v>
      </c>
      <c r="O308" s="2473">
        <f>IF(Personalización!$J$29=M308,1,0)+IF(Personalización!$L$29=M308,1,0)</f>
        <v>0</v>
      </c>
      <c r="P308" s="439">
        <v>2</v>
      </c>
      <c r="Q308" s="2473">
        <f>IF(Personalización!$J$30=M308,1,0)+IF(Personalización!$L$30=M308,1,0)</f>
        <v>0</v>
      </c>
      <c r="R308" s="439">
        <v>3</v>
      </c>
      <c r="S308" s="119">
        <f>IF(Personalización!$J$31=M308,1,0)+IF(Personalización!$L$31=M308,1,0)</f>
        <v>0</v>
      </c>
      <c r="T308" s="439">
        <v>1</v>
      </c>
      <c r="U308" s="2473">
        <f>IF(Personalización!$J$32=M308,1,0)+IF(Personalización!$L$32=M308,1,0)</f>
        <v>0</v>
      </c>
      <c r="V308" s="439">
        <v>2</v>
      </c>
      <c r="W308" s="2473">
        <f>IF(Personalización!$J$33=M308,1,0)+IF(Personalización!$L$33=M308,1,0)</f>
        <v>0</v>
      </c>
      <c r="X308" s="439">
        <v>3</v>
      </c>
      <c r="Y308" s="1655">
        <f>IF(Personalización!$J$34=M308,1,0)+IF(Personalización!$L$34=M308,1,0)</f>
        <v>0</v>
      </c>
      <c r="Z308" s="1487">
        <f>10*Tablas!U308+20*Tablas!W308+30*Tablas!Y308+5*VLOOKUP("Apr. natural (2): "&amp;L308,$E$286:$G$302,3,FALSE)+10*VLOOKUP("Apr. natural (3): "&amp;L308,$E$286:$G$302,3,FALSE)</f>
        <v>0</v>
      </c>
      <c r="AA308" s="1652"/>
      <c r="AB308" s="363"/>
      <c r="AC308" s="2563"/>
      <c r="AG308" s="1653"/>
      <c r="AM308" s="2290"/>
    </row>
    <row r="309" spans="1:39" ht="12.75" customHeight="1" x14ac:dyDescent="0.2">
      <c r="A309" s="1916">
        <v>309</v>
      </c>
      <c r="B309" s="5148"/>
      <c r="C309" s="2261" t="str">
        <f t="shared" si="31"/>
        <v>Desplazamiento rápido</v>
      </c>
      <c r="D309" s="2266">
        <f t="shared" si="32"/>
        <v>92</v>
      </c>
      <c r="E309" s="119" t="s">
        <v>2686</v>
      </c>
      <c r="F309" s="373">
        <v>2</v>
      </c>
      <c r="G309" s="373">
        <f>COUNTIF(Principal!$C$35:$J$53,Tablas!E309)</f>
        <v>0</v>
      </c>
      <c r="H309" s="2274">
        <f t="shared" si="33"/>
        <v>0</v>
      </c>
      <c r="I309" s="2279">
        <v>1</v>
      </c>
      <c r="J309" s="2283" t="s">
        <v>3279</v>
      </c>
      <c r="L309" s="1486" t="s">
        <v>1780</v>
      </c>
      <c r="M309" s="2551" t="s">
        <v>1782</v>
      </c>
      <c r="N309" s="2473">
        <v>1</v>
      </c>
      <c r="O309" s="2473">
        <f>IF(Personalización!$J$29=M309,1,0)+IF(Personalización!$L$29=M309,1,0)</f>
        <v>0</v>
      </c>
      <c r="P309" s="439">
        <v>2</v>
      </c>
      <c r="Q309" s="2473">
        <f>IF(Personalización!$J$30=M309,1,0)+IF(Personalización!$L$30=M309,1,0)</f>
        <v>0</v>
      </c>
      <c r="R309" s="439">
        <v>3</v>
      </c>
      <c r="S309" s="119">
        <f>IF(Personalización!$J$31=M309,1,0)+IF(Personalización!$L$31=M309,1,0)</f>
        <v>0</v>
      </c>
      <c r="T309" s="439">
        <v>1</v>
      </c>
      <c r="U309" s="2473">
        <f>IF(Personalización!$J$32=M309,1,0)+IF(Personalización!$L$32=M309,1,0)</f>
        <v>0</v>
      </c>
      <c r="V309" s="439">
        <v>2</v>
      </c>
      <c r="W309" s="2473">
        <f>IF(Personalización!$J$33=M309,1,0)+IF(Personalización!$L$33=M309,1,0)</f>
        <v>0</v>
      </c>
      <c r="X309" s="439">
        <v>3</v>
      </c>
      <c r="Y309" s="1655">
        <f>IF(Personalización!$J$34=M309,1,0)+IF(Personalización!$L$34=M309,1,0)</f>
        <v>0</v>
      </c>
      <c r="Z309" s="1487">
        <f>10*Tablas!U309+20*Tablas!W309+30*Tablas!Y309+5*VLOOKUP("Apr. natural (2): "&amp;L309,$E$286:$G$302,3,FALSE)+10*VLOOKUP("Apr. natural (3): "&amp;L309,$E$286:$G$302,3,FALSE)</f>
        <v>0</v>
      </c>
      <c r="AA309" s="1652"/>
      <c r="AB309" s="363"/>
      <c r="AC309" s="2563"/>
      <c r="AG309" s="1653"/>
      <c r="AM309" s="2290"/>
    </row>
    <row r="310" spans="1:39" ht="12.75" customHeight="1" x14ac:dyDescent="0.2">
      <c r="A310" s="1916">
        <v>310</v>
      </c>
      <c r="B310" s="5148"/>
      <c r="C310" s="2261" t="str">
        <f t="shared" si="31"/>
        <v>Difícil de matar (1)</v>
      </c>
      <c r="D310" s="2266">
        <f t="shared" si="32"/>
        <v>93</v>
      </c>
      <c r="E310" s="119" t="s">
        <v>2687</v>
      </c>
      <c r="F310" s="373">
        <v>3</v>
      </c>
      <c r="G310" s="373">
        <f>COUNTIF(Principal!$C$35:$J$53,Tablas!E310)</f>
        <v>0</v>
      </c>
      <c r="H310" s="2274">
        <f t="shared" si="33"/>
        <v>0</v>
      </c>
      <c r="I310" s="2279">
        <v>1</v>
      </c>
      <c r="J310" s="2283" t="s">
        <v>3279</v>
      </c>
      <c r="L310" s="1486" t="s">
        <v>1780</v>
      </c>
      <c r="M310" s="2551" t="s">
        <v>1783</v>
      </c>
      <c r="N310" s="2473">
        <v>1</v>
      </c>
      <c r="O310" s="2473">
        <f>IF(Personalización!$J$29=M310,1,0)+IF(Personalización!$L$29=M310,1,0)</f>
        <v>0</v>
      </c>
      <c r="P310" s="439">
        <v>2</v>
      </c>
      <c r="Q310" s="2473">
        <f>IF(Personalización!$J$30=M310,1,0)+IF(Personalización!$L$30=M310,1,0)</f>
        <v>0</v>
      </c>
      <c r="R310" s="439">
        <v>3</v>
      </c>
      <c r="S310" s="119">
        <f>IF(Personalización!$J$31=M310,1,0)+IF(Personalización!$L$31=M310,1,0)</f>
        <v>0</v>
      </c>
      <c r="T310" s="439">
        <v>1</v>
      </c>
      <c r="U310" s="2473">
        <f>IF(Personalización!$J$32=M310,1,0)+IF(Personalización!$L$32=M310,1,0)</f>
        <v>0</v>
      </c>
      <c r="V310" s="439">
        <v>2</v>
      </c>
      <c r="W310" s="2473">
        <f>IF(Personalización!$J$33=M310,1,0)+IF(Personalización!$L$33=M310,1,0)</f>
        <v>0</v>
      </c>
      <c r="X310" s="439">
        <v>3</v>
      </c>
      <c r="Y310" s="1655">
        <f>IF(Personalización!$J$34=M310,1,0)+IF(Personalización!$L$34=M310,1,0)</f>
        <v>0</v>
      </c>
      <c r="Z310" s="1487">
        <f>10*Tablas!U310+20*Tablas!W310+30*Tablas!Y310+5*VLOOKUP("Apr. natural (2): "&amp;L310,$E$286:$G$302,3,FALSE)+10*VLOOKUP("Apr. natural (3): "&amp;L310,$E$286:$G$302,3,FALSE)</f>
        <v>0</v>
      </c>
      <c r="AA310" s="1652"/>
      <c r="AB310" s="363"/>
      <c r="AC310" s="2563"/>
      <c r="AG310" s="1653"/>
      <c r="AM310" s="2290"/>
    </row>
    <row r="311" spans="1:39" ht="12.75" customHeight="1" x14ac:dyDescent="0.2">
      <c r="A311" s="1916">
        <v>311</v>
      </c>
      <c r="B311" s="5148"/>
      <c r="C311" s="2261" t="str">
        <f t="shared" si="31"/>
        <v>Difícil de matar (2)</v>
      </c>
      <c r="D311" s="2266">
        <f t="shared" si="32"/>
        <v>115</v>
      </c>
      <c r="E311" s="119" t="s">
        <v>2688</v>
      </c>
      <c r="F311" s="373">
        <v>1</v>
      </c>
      <c r="G311" s="373">
        <f>COUNTIF(Principal!$C$35:$J$53,Tablas!E311)</f>
        <v>0</v>
      </c>
      <c r="H311" s="2274">
        <f t="shared" si="33"/>
        <v>0</v>
      </c>
      <c r="I311" s="2279">
        <v>1</v>
      </c>
      <c r="J311" s="2283" t="s">
        <v>3279</v>
      </c>
      <c r="L311" s="1486" t="s">
        <v>1780</v>
      </c>
      <c r="M311" s="2551" t="s">
        <v>1082</v>
      </c>
      <c r="N311" s="2473">
        <v>1</v>
      </c>
      <c r="O311" s="2473">
        <f>IF(Personalización!$J$29=M311,1,0)+IF(Personalización!$L$29=M311,1,0)</f>
        <v>0</v>
      </c>
      <c r="P311" s="439">
        <v>2</v>
      </c>
      <c r="Q311" s="2473">
        <f>IF(Personalización!$J$30=M311,1,0)+IF(Personalización!$L$30=M311,1,0)</f>
        <v>0</v>
      </c>
      <c r="R311" s="439">
        <v>3</v>
      </c>
      <c r="S311" s="119">
        <f>IF(Personalización!$J$31=M311,1,0)+IF(Personalización!$L$31=M311,1,0)</f>
        <v>0</v>
      </c>
      <c r="T311" s="439">
        <v>1</v>
      </c>
      <c r="U311" s="2473">
        <f>IF(Personalización!$J$32=M311,1,0)+IF(Personalización!$L$32=M311,1,0)</f>
        <v>0</v>
      </c>
      <c r="V311" s="439">
        <v>2</v>
      </c>
      <c r="W311" s="2473">
        <f>IF(Personalización!$J$33=M311,1,0)+IF(Personalización!$L$33=M311,1,0)</f>
        <v>0</v>
      </c>
      <c r="X311" s="439">
        <v>3</v>
      </c>
      <c r="Y311" s="1655">
        <f>IF(Personalización!$J$34=M311,1,0)+IF(Personalización!$L$34=M311,1,0)</f>
        <v>0</v>
      </c>
      <c r="Z311" s="1487">
        <f>10*Tablas!U311+20*Tablas!W311+30*Tablas!Y311+5*VLOOKUP("Apr. natural (2): "&amp;L311,$E$286:$G$302,3,FALSE)+10*VLOOKUP("Apr. natural (3): "&amp;L311,$E$286:$G$302,3,FALSE)</f>
        <v>0</v>
      </c>
      <c r="AA311" s="1652"/>
      <c r="AB311" s="363"/>
      <c r="AC311" s="2563"/>
      <c r="AG311" s="1653"/>
      <c r="AM311" s="2290"/>
    </row>
    <row r="312" spans="1:39" ht="12.75" customHeight="1" x14ac:dyDescent="0.2">
      <c r="A312" s="1916">
        <v>312</v>
      </c>
      <c r="B312" s="5148"/>
      <c r="C312" s="2261" t="str">
        <f t="shared" si="31"/>
        <v>Difícil de matar (3)</v>
      </c>
      <c r="D312" s="2266">
        <f t="shared" si="32"/>
        <v>116</v>
      </c>
      <c r="E312" s="119" t="s">
        <v>2689</v>
      </c>
      <c r="F312" s="373">
        <v>1</v>
      </c>
      <c r="G312" s="373">
        <f>COUNTIF(Principal!$C$35:$J$53,Tablas!E312)</f>
        <v>0</v>
      </c>
      <c r="H312" s="2274">
        <f t="shared" si="33"/>
        <v>0</v>
      </c>
      <c r="I312" s="2279">
        <v>1</v>
      </c>
      <c r="J312" s="2283" t="s">
        <v>3279</v>
      </c>
      <c r="L312" s="1486" t="s">
        <v>1780</v>
      </c>
      <c r="M312" s="2551" t="s">
        <v>1083</v>
      </c>
      <c r="N312" s="2473">
        <v>1</v>
      </c>
      <c r="O312" s="2473">
        <f>IF(Personalización!$J$29=M312,1,0)+IF(Personalización!$L$29=M312,1,0)</f>
        <v>0</v>
      </c>
      <c r="P312" s="439">
        <v>2</v>
      </c>
      <c r="Q312" s="2473">
        <f>IF(Personalización!$J$30=M312,1,0)+IF(Personalización!$L$30=M312,1,0)</f>
        <v>0</v>
      </c>
      <c r="R312" s="439">
        <v>3</v>
      </c>
      <c r="S312" s="119">
        <f>IF(Personalización!$J$31=M312,1,0)+IF(Personalización!$L$31=M312,1,0)</f>
        <v>0</v>
      </c>
      <c r="T312" s="439">
        <v>1</v>
      </c>
      <c r="U312" s="2473">
        <f>IF(Personalización!$J$32=M312,1,0)+IF(Personalización!$L$32=M312,1,0)</f>
        <v>0</v>
      </c>
      <c r="V312" s="439">
        <v>2</v>
      </c>
      <c r="W312" s="2473">
        <f>IF(Personalización!$J$33=M312,1,0)+IF(Personalización!$L$33=M312,1,0)</f>
        <v>0</v>
      </c>
      <c r="X312" s="439">
        <v>3</v>
      </c>
      <c r="Y312" s="1655">
        <f>IF(Personalización!$J$34=M312,1,0)+IF(Personalización!$L$34=M312,1,0)</f>
        <v>0</v>
      </c>
      <c r="Z312" s="1487">
        <f>10*Tablas!U312+20*Tablas!W312+30*Tablas!Y312+5*VLOOKUP("Apr. natural (2): "&amp;L312,$E$286:$G$302,3,FALSE)+10*VLOOKUP("Apr. natural (3): "&amp;L312,$E$286:$G$302,3,FALSE)</f>
        <v>0</v>
      </c>
      <c r="AA312" s="1652"/>
      <c r="AB312" s="363"/>
      <c r="AC312" s="2563"/>
      <c r="AG312" s="1653"/>
      <c r="AM312" s="2290"/>
    </row>
    <row r="313" spans="1:39" ht="12.75" customHeight="1" x14ac:dyDescent="0.2">
      <c r="A313" s="1916">
        <v>313</v>
      </c>
      <c r="B313" s="5148"/>
      <c r="C313" s="2261" t="str">
        <f t="shared" si="31"/>
        <v>Don</v>
      </c>
      <c r="D313" s="2266">
        <f t="shared" si="32"/>
        <v>117</v>
      </c>
      <c r="E313" s="119" t="s">
        <v>2690</v>
      </c>
      <c r="F313" s="373">
        <v>1</v>
      </c>
      <c r="G313" s="373">
        <f>COUNTIF(Principal!$C$35:$J$53,Tablas!E313)</f>
        <v>0</v>
      </c>
      <c r="H313" s="2274">
        <f t="shared" si="33"/>
        <v>0</v>
      </c>
      <c r="I313" s="2279">
        <v>1</v>
      </c>
      <c r="J313" s="2283" t="s">
        <v>3279</v>
      </c>
      <c r="L313" s="1486" t="s">
        <v>1780</v>
      </c>
      <c r="M313" s="2551" t="s">
        <v>1084</v>
      </c>
      <c r="N313" s="2473">
        <v>1</v>
      </c>
      <c r="O313" s="2473">
        <f>IF(Personalización!$J$29=M313,1,0)+IF(Personalización!$L$29=M313,1,0)</f>
        <v>0</v>
      </c>
      <c r="P313" s="439">
        <v>2</v>
      </c>
      <c r="Q313" s="2473">
        <f>IF(Personalización!$J$30=M313,1,0)+IF(Personalización!$L$30=M313,1,0)</f>
        <v>0</v>
      </c>
      <c r="R313" s="439">
        <v>3</v>
      </c>
      <c r="S313" s="119">
        <f>IF(Personalización!$J$31=M313,1,0)+IF(Personalización!$L$31=M313,1,0)</f>
        <v>0</v>
      </c>
      <c r="T313" s="439">
        <v>1</v>
      </c>
      <c r="U313" s="2473">
        <f>IF(Personalización!$J$32=M313,1,0)+IF(Personalización!$L$32=M313,1,0)</f>
        <v>0</v>
      </c>
      <c r="V313" s="439">
        <v>2</v>
      </c>
      <c r="W313" s="2473">
        <f>IF(Personalización!$J$33=M313,1,0)+IF(Personalización!$L$33=M313,1,0)</f>
        <v>0</v>
      </c>
      <c r="X313" s="439">
        <v>3</v>
      </c>
      <c r="Y313" s="1655">
        <f>IF(Personalización!$J$34=M313,1,0)+IF(Personalización!$L$34=M313,1,0)</f>
        <v>0</v>
      </c>
      <c r="Z313" s="1487">
        <f>10*Tablas!U313+20*Tablas!W313+30*Tablas!Y313+5*VLOOKUP("Apr. natural (2): "&amp;L313,$E$286:$G$302,3,FALSE)+10*VLOOKUP("Apr. natural (3): "&amp;L313,$E$286:$G$302,3,FALSE)</f>
        <v>0</v>
      </c>
      <c r="AA313" s="1652"/>
      <c r="AB313" s="363"/>
      <c r="AC313" s="2563"/>
      <c r="AG313" s="1653"/>
      <c r="AM313" s="2290"/>
    </row>
    <row r="314" spans="1:39" ht="12.75" customHeight="1" x14ac:dyDescent="0.2">
      <c r="A314" s="1916">
        <v>314</v>
      </c>
      <c r="B314" s="5148"/>
      <c r="C314" s="2261" t="str">
        <f t="shared" si="31"/>
        <v>Don incompleto</v>
      </c>
      <c r="D314" s="2266">
        <f t="shared" si="32"/>
        <v>118</v>
      </c>
      <c r="E314" s="119" t="s">
        <v>2691</v>
      </c>
      <c r="F314" s="373">
        <v>1</v>
      </c>
      <c r="G314" s="373">
        <f>COUNTIF(Principal!$C$35:$J$53,Tablas!E314)</f>
        <v>0</v>
      </c>
      <c r="H314" s="2274">
        <f t="shared" si="33"/>
        <v>0</v>
      </c>
      <c r="I314" s="2279">
        <v>1</v>
      </c>
      <c r="J314" s="2283" t="s">
        <v>3279</v>
      </c>
      <c r="L314" s="1486" t="s">
        <v>1780</v>
      </c>
      <c r="M314" s="2551" t="s">
        <v>1784</v>
      </c>
      <c r="N314" s="2473">
        <v>1</v>
      </c>
      <c r="O314" s="2473">
        <f>IF(Personalización!$J$29=M314,1,0)+IF(Personalización!$L$29=M314,1,0)</f>
        <v>0</v>
      </c>
      <c r="P314" s="439">
        <v>2</v>
      </c>
      <c r="Q314" s="2473">
        <f>IF(Personalización!$J$30=M314,1,0)+IF(Personalización!$L$30=M314,1,0)</f>
        <v>0</v>
      </c>
      <c r="R314" s="439">
        <v>3</v>
      </c>
      <c r="S314" s="119">
        <f>IF(Personalización!$J$31=M314,1,0)+IF(Personalización!$L$31=M314,1,0)</f>
        <v>0</v>
      </c>
      <c r="T314" s="439">
        <v>1</v>
      </c>
      <c r="U314" s="2473">
        <f>IF(Personalización!$J$32=M314,1,0)+IF(Personalización!$L$32=M314,1,0)</f>
        <v>0</v>
      </c>
      <c r="V314" s="439">
        <v>2</v>
      </c>
      <c r="W314" s="2473">
        <f>IF(Personalización!$J$33=M314,1,0)+IF(Personalización!$L$33=M314,1,0)</f>
        <v>0</v>
      </c>
      <c r="X314" s="439">
        <v>3</v>
      </c>
      <c r="Y314" s="1655">
        <f>IF(Personalización!$J$34=M314,1,0)+IF(Personalización!$L$34=M314,1,0)</f>
        <v>0</v>
      </c>
      <c r="Z314" s="1487">
        <f>10*Tablas!U314+20*Tablas!W314+30*Tablas!Y314+5*VLOOKUP("Apr. natural (2): "&amp;L314,$E$286:$G$302,3,FALSE)+10*VLOOKUP("Apr. natural (3): "&amp;L314,$E$286:$G$302,3,FALSE)</f>
        <v>0</v>
      </c>
      <c r="AA314" s="1652"/>
      <c r="AB314" s="363"/>
      <c r="AC314" s="2563"/>
      <c r="AG314" s="1653"/>
      <c r="AM314" s="2290"/>
    </row>
    <row r="315" spans="1:39" ht="12.75" customHeight="1" x14ac:dyDescent="0.2">
      <c r="A315" s="1916">
        <v>315</v>
      </c>
      <c r="B315" s="5148"/>
      <c r="C315" s="2261" t="str">
        <f t="shared" si="31"/>
        <v>Elan (1)</v>
      </c>
      <c r="D315" s="2266">
        <f t="shared" si="32"/>
        <v>119</v>
      </c>
      <c r="E315" s="119" t="s">
        <v>2692</v>
      </c>
      <c r="F315" s="373">
        <v>1</v>
      </c>
      <c r="G315" s="373">
        <f>COUNTIF(Principal!$C$35:$J$53,Tablas!E315)</f>
        <v>0</v>
      </c>
      <c r="H315" s="2274">
        <f t="shared" si="33"/>
        <v>0</v>
      </c>
      <c r="I315" s="2279">
        <v>1</v>
      </c>
      <c r="J315" s="2283" t="s">
        <v>3279</v>
      </c>
      <c r="L315" s="1486" t="s">
        <v>1780</v>
      </c>
      <c r="M315" s="2551" t="s">
        <v>1787</v>
      </c>
      <c r="N315" s="2473">
        <v>1</v>
      </c>
      <c r="O315" s="2473">
        <f>IF(Personalización!$J$29=M315,1,0)+IF(Personalización!$L$29=M315,1,0)</f>
        <v>0</v>
      </c>
      <c r="P315" s="439">
        <v>2</v>
      </c>
      <c r="Q315" s="2473">
        <f>IF(Personalización!$J$30=M315,1,0)+IF(Personalización!$L$30=M315,1,0)</f>
        <v>0</v>
      </c>
      <c r="R315" s="439">
        <v>3</v>
      </c>
      <c r="S315" s="119">
        <f>IF(Personalización!$J$31=M315,1,0)+IF(Personalización!$L$31=M315,1,0)</f>
        <v>0</v>
      </c>
      <c r="T315" s="439">
        <v>1</v>
      </c>
      <c r="U315" s="2473">
        <f>IF(Personalización!$J$32=M315,1,0)+IF(Personalización!$L$32=M315,1,0)</f>
        <v>0</v>
      </c>
      <c r="V315" s="439">
        <v>2</v>
      </c>
      <c r="W315" s="2473">
        <f>IF(Personalización!$J$33=M315,1,0)+IF(Personalización!$L$33=M315,1,0)</f>
        <v>0</v>
      </c>
      <c r="X315" s="439">
        <v>3</v>
      </c>
      <c r="Y315" s="1655">
        <f>IF(Personalización!$J$34=M315,1,0)+IF(Personalización!$L$34=M315,1,0)</f>
        <v>0</v>
      </c>
      <c r="Z315" s="1487">
        <f>10*Tablas!U315+20*Tablas!W315+30*Tablas!Y315+5*VLOOKUP("Apr. natural (2): "&amp;L315,$E$286:$G$302,3,FALSE)+10*VLOOKUP("Apr. natural (3): "&amp;L315,$E$286:$G$302,3,FALSE)</f>
        <v>0</v>
      </c>
      <c r="AA315" s="1652"/>
      <c r="AB315" s="363"/>
      <c r="AC315" s="2563"/>
      <c r="AG315" s="1653"/>
      <c r="AM315" s="2290"/>
    </row>
    <row r="316" spans="1:39" ht="12.75" customHeight="1" x14ac:dyDescent="0.2">
      <c r="A316" s="1916">
        <v>316</v>
      </c>
      <c r="B316" s="5148"/>
      <c r="C316" s="2261" t="str">
        <f t="shared" si="31"/>
        <v>Elan (2)</v>
      </c>
      <c r="D316" s="2266">
        <f t="shared" si="32"/>
        <v>120</v>
      </c>
      <c r="E316" s="119" t="s">
        <v>2693</v>
      </c>
      <c r="F316" s="373">
        <v>1</v>
      </c>
      <c r="G316" s="373">
        <f>COUNTIF(Principal!$C$35:$J$53,Tablas!E316)</f>
        <v>0</v>
      </c>
      <c r="H316" s="2274">
        <f t="shared" si="33"/>
        <v>0</v>
      </c>
      <c r="I316" s="2279">
        <v>1</v>
      </c>
      <c r="J316" s="2283" t="s">
        <v>3279</v>
      </c>
      <c r="L316" s="1486" t="s">
        <v>1780</v>
      </c>
      <c r="M316" s="2551" t="s">
        <v>7755</v>
      </c>
      <c r="N316" s="2473">
        <v>1</v>
      </c>
      <c r="O316" s="2473">
        <f>IF(Personalización!$J$29=M316,1,0)+IF(Personalización!$L$29=M316,1,0)</f>
        <v>0</v>
      </c>
      <c r="P316" s="439">
        <v>2</v>
      </c>
      <c r="Q316" s="2473">
        <f>IF(Personalización!$J$30=M316,1,0)+IF(Personalización!$L$30=M316,1,0)</f>
        <v>0</v>
      </c>
      <c r="R316" s="439">
        <v>3</v>
      </c>
      <c r="S316" s="119">
        <f>IF(Personalización!$J$31=M316,1,0)+IF(Personalización!$L$31=M316,1,0)</f>
        <v>0</v>
      </c>
      <c r="T316" s="439">
        <v>1</v>
      </c>
      <c r="U316" s="2473">
        <f>IF(Personalización!$J$32=M316,1,0)+IF(Personalización!$L$32=M316,1,0)</f>
        <v>0</v>
      </c>
      <c r="V316" s="439">
        <v>2</v>
      </c>
      <c r="W316" s="2473">
        <f>IF(Personalización!$J$33=M316,1,0)+IF(Personalización!$L$33=M316,1,0)</f>
        <v>0</v>
      </c>
      <c r="X316" s="439">
        <v>3</v>
      </c>
      <c r="Y316" s="1655">
        <f>IF(Personalización!$J$34=M316,1,0)+IF(Personalización!$L$34=M316,1,0)</f>
        <v>0</v>
      </c>
      <c r="Z316" s="1487">
        <f>10*Tablas!U316+20*Tablas!W316+30*Tablas!Y316+5*VLOOKUP("Apr. natural (2): "&amp;L316,$E$286:$G$302,3,FALSE)+10*VLOOKUP("Apr. natural (3): "&amp;L316,$E$286:$G$302,3,FALSE)</f>
        <v>0</v>
      </c>
      <c r="AA316" s="1652"/>
      <c r="AB316" s="363"/>
      <c r="AC316" s="2563"/>
      <c r="AG316" s="1653"/>
      <c r="AM316" s="2290"/>
    </row>
    <row r="317" spans="1:39" ht="12.75" customHeight="1" x14ac:dyDescent="0.2">
      <c r="A317" s="1916">
        <v>317</v>
      </c>
      <c r="B317" s="5148"/>
      <c r="C317" s="2261" t="str">
        <f t="shared" si="31"/>
        <v>Elan (3)</v>
      </c>
      <c r="D317" s="2266">
        <f t="shared" si="32"/>
        <v>121</v>
      </c>
      <c r="E317" s="119" t="s">
        <v>2694</v>
      </c>
      <c r="F317" s="373">
        <v>1</v>
      </c>
      <c r="G317" s="373">
        <f>COUNTIF(Principal!$C$35:$J$53,Tablas!E317)</f>
        <v>0</v>
      </c>
      <c r="H317" s="2274">
        <f t="shared" si="33"/>
        <v>0</v>
      </c>
      <c r="I317" s="2279">
        <v>1</v>
      </c>
      <c r="J317" s="2283" t="s">
        <v>3279</v>
      </c>
      <c r="L317" s="1486" t="s">
        <v>1780</v>
      </c>
      <c r="M317" s="2551" t="s">
        <v>7756</v>
      </c>
      <c r="N317" s="2473">
        <v>1</v>
      </c>
      <c r="O317" s="2473">
        <f>IF(Personalización!$J$29=M317,1,0)+IF(Personalización!$L$29=M317,1,0)</f>
        <v>0</v>
      </c>
      <c r="P317" s="439">
        <v>2</v>
      </c>
      <c r="Q317" s="2473">
        <f>IF(Personalización!$J$30=M317,1,0)+IF(Personalización!$L$30=M317,1,0)</f>
        <v>0</v>
      </c>
      <c r="R317" s="439">
        <v>3</v>
      </c>
      <c r="S317" s="119">
        <f>IF(Personalización!$J$31=M317,1,0)+IF(Personalización!$L$31=M317,1,0)</f>
        <v>0</v>
      </c>
      <c r="T317" s="439">
        <v>1</v>
      </c>
      <c r="U317" s="2473">
        <f>IF(Personalización!$J$32=M317,1,0)+IF(Personalización!$L$32=M317,1,0)</f>
        <v>0</v>
      </c>
      <c r="V317" s="439">
        <v>2</v>
      </c>
      <c r="W317" s="2473">
        <f>IF(Personalización!$J$33=M317,1,0)+IF(Personalización!$L$33=M317,1,0)</f>
        <v>0</v>
      </c>
      <c r="X317" s="439">
        <v>3</v>
      </c>
      <c r="Y317" s="1655">
        <f>IF(Personalización!$J$34=M317,1,0)+IF(Personalización!$L$34=M317,1,0)</f>
        <v>0</v>
      </c>
      <c r="Z317" s="1487">
        <f>10*Tablas!U317+20*Tablas!W317+30*Tablas!Y317+5*VLOOKUP("Apr. natural (2): "&amp;L317,$E$286:$G$302,3,FALSE)+10*VLOOKUP("Apr. natural (3): "&amp;L317,$E$286:$G$302,3,FALSE)</f>
        <v>0</v>
      </c>
      <c r="AA317" s="1652"/>
      <c r="AB317" s="363"/>
      <c r="AC317" s="2563"/>
      <c r="AG317" s="1653"/>
      <c r="AM317" s="2290"/>
    </row>
    <row r="318" spans="1:39" ht="12.75" customHeight="1" x14ac:dyDescent="0.2">
      <c r="A318" s="1916">
        <v>318</v>
      </c>
      <c r="B318" s="5148"/>
      <c r="C318" s="2261" t="str">
        <f t="shared" si="31"/>
        <v>Encanto</v>
      </c>
      <c r="D318" s="2266">
        <f t="shared" si="32"/>
        <v>122</v>
      </c>
      <c r="E318" s="119" t="s">
        <v>2695</v>
      </c>
      <c r="F318" s="373">
        <v>1</v>
      </c>
      <c r="G318" s="373">
        <f>COUNTIF(Principal!$C$35:$J$53,Tablas!E318)</f>
        <v>0</v>
      </c>
      <c r="H318" s="2274">
        <f t="shared" si="33"/>
        <v>0</v>
      </c>
      <c r="I318" s="2279">
        <v>1</v>
      </c>
      <c r="J318" s="2283" t="s">
        <v>3279</v>
      </c>
      <c r="L318" s="1486" t="s">
        <v>1780</v>
      </c>
      <c r="M318" s="2551" t="s">
        <v>7757</v>
      </c>
      <c r="N318" s="2473">
        <v>1</v>
      </c>
      <c r="O318" s="2473">
        <f>IF(Personalización!$J$29=M318,1,0)+IF(Personalización!$L$29=M318,1,0)</f>
        <v>0</v>
      </c>
      <c r="P318" s="439">
        <v>2</v>
      </c>
      <c r="Q318" s="2473">
        <f>IF(Personalización!$J$30=M318,1,0)+IF(Personalización!$L$30=M318,1,0)</f>
        <v>0</v>
      </c>
      <c r="R318" s="439">
        <v>3</v>
      </c>
      <c r="S318" s="119">
        <f>IF(Personalización!$J$31=M318,1,0)+IF(Personalización!$L$31=M318,1,0)</f>
        <v>0</v>
      </c>
      <c r="T318" s="439">
        <v>1</v>
      </c>
      <c r="U318" s="2473">
        <f>IF(Personalización!$J$32=M318,1,0)+IF(Personalización!$L$32=M318,1,0)</f>
        <v>0</v>
      </c>
      <c r="V318" s="439">
        <v>2</v>
      </c>
      <c r="W318" s="2473">
        <f>IF(Personalización!$J$33=M318,1,0)+IF(Personalización!$L$33=M318,1,0)</f>
        <v>0</v>
      </c>
      <c r="X318" s="439">
        <v>3</v>
      </c>
      <c r="Y318" s="1655">
        <f>IF(Personalización!$J$34=M318,1,0)+IF(Personalización!$L$34=M318,1,0)</f>
        <v>0</v>
      </c>
      <c r="Z318" s="1487">
        <f>10*Tablas!U318+20*Tablas!W318+30*Tablas!Y318+5*VLOOKUP("Apr. natural (2): "&amp;L318,$E$286:$G$302,3,FALSE)+10*VLOOKUP("Apr. natural (3): "&amp;L318,$E$286:$G$302,3,FALSE)</f>
        <v>0</v>
      </c>
      <c r="AA318" s="1652"/>
      <c r="AB318" s="363"/>
      <c r="AC318" s="2563"/>
      <c r="AG318" s="1653"/>
      <c r="AM318" s="2290"/>
    </row>
    <row r="319" spans="1:39" ht="12.75" customHeight="1" x14ac:dyDescent="0.2">
      <c r="A319" s="1916">
        <v>319</v>
      </c>
      <c r="B319" s="5148"/>
      <c r="C319" s="2261" t="str">
        <f t="shared" si="31"/>
        <v>Esencia Sheele</v>
      </c>
      <c r="D319" s="2266">
        <f t="shared" si="32"/>
        <v>123</v>
      </c>
      <c r="E319" s="119" t="s">
        <v>2696</v>
      </c>
      <c r="F319" s="373">
        <v>1</v>
      </c>
      <c r="G319" s="373">
        <f>COUNTIF(Principal!$C$35:$J$53,Tablas!E319)</f>
        <v>0</v>
      </c>
      <c r="H319" s="2274">
        <f t="shared" si="33"/>
        <v>0</v>
      </c>
      <c r="I319" s="2279">
        <v>1</v>
      </c>
      <c r="J319" s="2283" t="s">
        <v>3279</v>
      </c>
      <c r="L319" s="1486" t="s">
        <v>1780</v>
      </c>
      <c r="M319" s="2551" t="s">
        <v>7758</v>
      </c>
      <c r="N319" s="2473">
        <v>1</v>
      </c>
      <c r="O319" s="2473">
        <f>IF(Personalización!$J$29=M319,1,0)+IF(Personalización!$L$29=M319,1,0)</f>
        <v>0</v>
      </c>
      <c r="P319" s="439">
        <v>2</v>
      </c>
      <c r="Q319" s="2473">
        <f>IF(Personalización!$J$30=M319,1,0)+IF(Personalización!$L$30=M319,1,0)</f>
        <v>0</v>
      </c>
      <c r="R319" s="439">
        <v>3</v>
      </c>
      <c r="S319" s="119">
        <f>IF(Personalización!$J$31=M319,1,0)+IF(Personalización!$L$31=M319,1,0)</f>
        <v>0</v>
      </c>
      <c r="T319" s="439">
        <v>1</v>
      </c>
      <c r="U319" s="2473">
        <f>IF(Personalización!$J$32=M319,1,0)+IF(Personalización!$L$32=M319,1,0)</f>
        <v>0</v>
      </c>
      <c r="V319" s="439">
        <v>2</v>
      </c>
      <c r="W319" s="2473">
        <f>IF(Personalización!$J$33=M319,1,0)+IF(Personalización!$L$33=M319,1,0)</f>
        <v>0</v>
      </c>
      <c r="X319" s="439">
        <v>3</v>
      </c>
      <c r="Y319" s="1655">
        <f>IF(Personalización!$J$34=M319,1,0)+IF(Personalización!$L$34=M319,1,0)</f>
        <v>0</v>
      </c>
      <c r="Z319" s="1487">
        <f>10*Tablas!U319+20*Tablas!W319+30*Tablas!Y319+5*VLOOKUP("Apr. natural (2): "&amp;L319,$E$286:$G$302,3,FALSE)+10*VLOOKUP("Apr. natural (3): "&amp;L319,$E$286:$G$302,3,FALSE)</f>
        <v>0</v>
      </c>
      <c r="AA319" s="1652"/>
      <c r="AB319" s="363"/>
      <c r="AC319" s="2563"/>
      <c r="AG319" s="1653"/>
      <c r="AM319" s="2290"/>
    </row>
    <row r="320" spans="1:39" ht="12.75" customHeight="1" x14ac:dyDescent="0.2">
      <c r="A320" s="1916">
        <v>320</v>
      </c>
      <c r="B320" s="5148"/>
      <c r="C320" s="2261" t="str">
        <f t="shared" si="31"/>
        <v>Familiar (2)</v>
      </c>
      <c r="D320" s="2266">
        <f t="shared" si="32"/>
        <v>124</v>
      </c>
      <c r="E320" s="119" t="s">
        <v>2697</v>
      </c>
      <c r="F320" s="373">
        <v>1</v>
      </c>
      <c r="G320" s="373">
        <f>COUNTIF(Principal!$C$35:$J$53,Tablas!E320)</f>
        <v>0</v>
      </c>
      <c r="H320" s="2274">
        <f t="shared" si="33"/>
        <v>0</v>
      </c>
      <c r="I320" s="2279">
        <v>1</v>
      </c>
      <c r="J320" s="2283" t="s">
        <v>3279</v>
      </c>
      <c r="L320" s="1486" t="e">
        <f>VLOOKUP(PDs!D177,PDs!AH178:AI184,2,FALSE)</f>
        <v>#N/A</v>
      </c>
      <c r="M320" s="2551" t="str">
        <f>IF(PDs!E177=0,"#1",PDs!E177)</f>
        <v>#1</v>
      </c>
      <c r="N320" s="2473">
        <v>1</v>
      </c>
      <c r="O320" s="2473">
        <f>IF(Personalización!$J$29=M320,1,0)+IF(Personalización!$L$29=M320,1,0)</f>
        <v>0</v>
      </c>
      <c r="P320" s="439">
        <v>2</v>
      </c>
      <c r="Q320" s="2473">
        <f>IF(Personalización!$J$30=M320,1,0)+IF(Personalización!$L$30=M320,1,0)</f>
        <v>0</v>
      </c>
      <c r="R320" s="439">
        <v>3</v>
      </c>
      <c r="S320" s="119">
        <f>IF(Personalización!$J$31=M320,1,0)+IF(Personalización!$L$31=M320,1,0)</f>
        <v>0</v>
      </c>
      <c r="T320" s="439">
        <v>1</v>
      </c>
      <c r="U320" s="2473">
        <f>IF(Personalización!$J$32=M320,1,0)+IF(Personalización!$L$32=M320,1,0)</f>
        <v>0</v>
      </c>
      <c r="V320" s="439">
        <v>2</v>
      </c>
      <c r="W320" s="2473">
        <f>IF(Personalización!$J$33=M320,1,0)+IF(Personalización!$L$33=M320,1,0)</f>
        <v>0</v>
      </c>
      <c r="X320" s="439">
        <v>3</v>
      </c>
      <c r="Y320" s="1655">
        <f>IF(Personalización!$J$34=M320,1,0)+IF(Personalización!$L$34=M320,1,0)</f>
        <v>0</v>
      </c>
      <c r="Z320" s="1487">
        <f>IF(ISNA(L320),0,10*Tablas!U320+20*Tablas!W320+30*Tablas!Y320+5*VLOOKUP("Apr. natural (2): "&amp;L320,$E$286:$G$302,3,FALSE)+10*VLOOKUP("Apr. natural (3): "&amp;L320,$E$286:$G$302,3,FALSE))</f>
        <v>0</v>
      </c>
      <c r="AA320" s="1652"/>
      <c r="AB320" s="363"/>
      <c r="AC320" s="2563"/>
      <c r="AG320" s="1653"/>
      <c r="AM320" s="2290"/>
    </row>
    <row r="321" spans="1:39" ht="12.75" customHeight="1" x14ac:dyDescent="0.2">
      <c r="A321" s="1916">
        <v>321</v>
      </c>
      <c r="B321" s="5148"/>
      <c r="C321" s="2261" t="str">
        <f t="shared" ref="C321:C352" si="34">VLOOKUP(A65,$D$257:$E$397,2,0)</f>
        <v>Familiar (3)</v>
      </c>
      <c r="D321" s="2266">
        <f t="shared" ref="D321:D352" si="35">COUNTIF($E$256:$E$392,"&lt;="&amp;E321)-COUNTIF($E$256:$E$392,"*&gt;*")</f>
        <v>109</v>
      </c>
      <c r="E321" s="119" t="s">
        <v>2698</v>
      </c>
      <c r="F321" s="373">
        <v>2</v>
      </c>
      <c r="G321" s="373">
        <f>COUNTIF(Principal!$C$35:$J$53,Tablas!E321)</f>
        <v>0</v>
      </c>
      <c r="H321" s="2274">
        <f t="shared" ref="H321:H343" si="36">G321*F321</f>
        <v>0</v>
      </c>
      <c r="I321" s="2279"/>
      <c r="J321" s="2283" t="s">
        <v>3279</v>
      </c>
      <c r="L321" s="1486" t="e">
        <f>VLOOKUP(PDs!D178,PDs!AH179:AI184,2,FALSE)</f>
        <v>#N/A</v>
      </c>
      <c r="M321" s="2551" t="str">
        <f>IF(PDs!E178=0,"#2",PDs!E178)</f>
        <v>#2</v>
      </c>
      <c r="N321" s="2473">
        <v>1</v>
      </c>
      <c r="O321" s="2473">
        <f>IF(Personalización!$J$29=M321,1,0)+IF(Personalización!$L$29=M321,1,0)</f>
        <v>0</v>
      </c>
      <c r="P321" s="439">
        <v>2</v>
      </c>
      <c r="Q321" s="2473">
        <f>IF(Personalización!$J$30=M321,1,0)+IF(Personalización!$L$30=M321,1,0)</f>
        <v>0</v>
      </c>
      <c r="R321" s="439">
        <v>3</v>
      </c>
      <c r="S321" s="119">
        <f>IF(Personalización!$J$31=M321,1,0)+IF(Personalización!$L$31=M321,1,0)</f>
        <v>0</v>
      </c>
      <c r="T321" s="439">
        <v>1</v>
      </c>
      <c r="U321" s="2473">
        <f>IF(Personalización!$J$32=M321,1,0)+IF(Personalización!$L$32=M321,1,0)</f>
        <v>0</v>
      </c>
      <c r="V321" s="439">
        <v>2</v>
      </c>
      <c r="W321" s="2473">
        <f>IF(Personalización!$J$33=M321,1,0)+IF(Personalización!$L$33=M321,1,0)</f>
        <v>0</v>
      </c>
      <c r="X321" s="439">
        <v>3</v>
      </c>
      <c r="Y321" s="1655">
        <f>IF(Personalización!$J$34=M321,1,0)+IF(Personalización!$L$34=M321,1,0)</f>
        <v>0</v>
      </c>
      <c r="Z321" s="1487">
        <f>IF(ISNA(L321),0,10*Tablas!U321+20*Tablas!W321+30*Tablas!Y321+5*VLOOKUP("Apr. natural (2): "&amp;L321,$E$286:$G$302,3,FALSE)+10*VLOOKUP("Apr. natural (3): "&amp;L321,$E$286:$G$302,3,FALSE))</f>
        <v>0</v>
      </c>
      <c r="AA321" s="1652"/>
      <c r="AB321" s="363"/>
      <c r="AC321" s="2563"/>
      <c r="AG321" s="1653"/>
      <c r="AM321" s="2290"/>
    </row>
    <row r="322" spans="1:39" ht="12.75" customHeight="1" x14ac:dyDescent="0.2">
      <c r="A322" s="1916">
        <v>322</v>
      </c>
      <c r="B322" s="5148"/>
      <c r="C322" s="2261" t="str">
        <f t="shared" si="34"/>
        <v>Habilidoso</v>
      </c>
      <c r="D322" s="2266">
        <f t="shared" si="35"/>
        <v>46</v>
      </c>
      <c r="E322" s="119" t="s">
        <v>2699</v>
      </c>
      <c r="F322" s="373">
        <v>1</v>
      </c>
      <c r="G322" s="373">
        <f>COUNTIF(Principal!$C$35:$J$53,Tablas!E322)</f>
        <v>0</v>
      </c>
      <c r="H322" s="2274">
        <f t="shared" si="36"/>
        <v>0</v>
      </c>
      <c r="I322" s="2279">
        <v>1</v>
      </c>
      <c r="J322" s="2283" t="s">
        <v>3279</v>
      </c>
      <c r="L322" s="1486" t="e">
        <f>VLOOKUP(PDs!D179,PDs!AH180:AI185,2,FALSE)</f>
        <v>#N/A</v>
      </c>
      <c r="M322" s="2551" t="str">
        <f>IF(PDs!E179=0,"#3",PDs!E179)</f>
        <v>#3</v>
      </c>
      <c r="N322" s="2473">
        <v>1</v>
      </c>
      <c r="O322" s="2473">
        <f>IF(Personalización!$J$29=M322,1,0)+IF(Personalización!$L$29=M322,1,0)</f>
        <v>0</v>
      </c>
      <c r="P322" s="439">
        <v>2</v>
      </c>
      <c r="Q322" s="2473">
        <f>IF(Personalización!$J$30=M322,1,0)+IF(Personalización!$L$30=M322,1,0)</f>
        <v>0</v>
      </c>
      <c r="R322" s="439">
        <v>3</v>
      </c>
      <c r="S322" s="119">
        <f>IF(Personalización!$J$31=M322,1,0)+IF(Personalización!$L$31=M322,1,0)</f>
        <v>0</v>
      </c>
      <c r="T322" s="439">
        <v>1</v>
      </c>
      <c r="U322" s="2473">
        <f>IF(Personalización!$J$32=M322,1,0)+IF(Personalización!$L$32=M322,1,0)</f>
        <v>0</v>
      </c>
      <c r="V322" s="439">
        <v>2</v>
      </c>
      <c r="W322" s="2473">
        <f>IF(Personalización!$J$33=M322,1,0)+IF(Personalización!$L$33=M322,1,0)</f>
        <v>0</v>
      </c>
      <c r="X322" s="439">
        <v>3</v>
      </c>
      <c r="Y322" s="1655">
        <f>IF(Personalización!$J$34=M322,1,0)+IF(Personalización!$L$34=M322,1,0)</f>
        <v>0</v>
      </c>
      <c r="Z322" s="1487">
        <f>IF(ISNA(L322),0,10*Tablas!U322+20*Tablas!W322+30*Tablas!Y322+5*VLOOKUP("Apr. natural (2): "&amp;L322,$E$286:$G$302,3,FALSE)+10*VLOOKUP("Apr. natural (3): "&amp;L322,$E$286:$G$302,3,FALSE))</f>
        <v>0</v>
      </c>
      <c r="AA322" s="1652"/>
      <c r="AB322" s="363"/>
      <c r="AC322" s="2563"/>
      <c r="AG322" s="1653"/>
      <c r="AM322" s="2290"/>
    </row>
    <row r="323" spans="1:39" ht="12.75" customHeight="1" x14ac:dyDescent="0.2">
      <c r="A323" s="1916">
        <v>323</v>
      </c>
      <c r="B323" s="5148"/>
      <c r="C323" s="2261" t="str">
        <f t="shared" si="34"/>
        <v>Infatigable (1)</v>
      </c>
      <c r="D323" s="2266">
        <f t="shared" si="35"/>
        <v>45</v>
      </c>
      <c r="E323" s="119" t="s">
        <v>2700</v>
      </c>
      <c r="F323" s="373">
        <v>1</v>
      </c>
      <c r="G323" s="373">
        <f>COUNTIF(Principal!$C$35:$J$53,Tablas!E323)</f>
        <v>0</v>
      </c>
      <c r="H323" s="2274">
        <f t="shared" si="36"/>
        <v>0</v>
      </c>
      <c r="I323" s="2279">
        <v>1</v>
      </c>
      <c r="J323" s="2283" t="s">
        <v>3279</v>
      </c>
      <c r="L323" s="1486" t="e">
        <f>VLOOKUP(PDs!D180,PDs!AH181:AI186,2,FALSE)</f>
        <v>#N/A</v>
      </c>
      <c r="M323" s="2551" t="str">
        <f>IF(PDs!E180=0,"#4",PDs!E180)</f>
        <v>#4</v>
      </c>
      <c r="N323" s="2473">
        <v>1</v>
      </c>
      <c r="O323" s="2473">
        <f>IF(Personalización!$J$29=M323,1,0)+IF(Personalización!$L$29=M323,1,0)</f>
        <v>0</v>
      </c>
      <c r="P323" s="439">
        <v>2</v>
      </c>
      <c r="Q323" s="2473">
        <f>IF(Personalización!$J$30=M323,1,0)+IF(Personalización!$L$30=M323,1,0)</f>
        <v>0</v>
      </c>
      <c r="R323" s="439">
        <v>3</v>
      </c>
      <c r="S323" s="119">
        <f>IF(Personalización!$J$31=M323,1,0)+IF(Personalización!$L$31=M323,1,0)</f>
        <v>0</v>
      </c>
      <c r="T323" s="439">
        <v>1</v>
      </c>
      <c r="U323" s="2473">
        <f>IF(Personalización!$J$32=M323,1,0)+IF(Personalización!$L$32=M323,1,0)</f>
        <v>0</v>
      </c>
      <c r="V323" s="439">
        <v>2</v>
      </c>
      <c r="W323" s="2473">
        <f>IF(Personalización!$J$33=M323,1,0)+IF(Personalización!$L$33=M323,1,0)</f>
        <v>0</v>
      </c>
      <c r="X323" s="439">
        <v>3</v>
      </c>
      <c r="Y323" s="1655">
        <f>IF(Personalización!$J$34=M323,1,0)+IF(Personalización!$L$34=M323,1,0)</f>
        <v>0</v>
      </c>
      <c r="Z323" s="1487">
        <f>IF(ISNA(L323),0,10*Tablas!U323+20*Tablas!W323+30*Tablas!Y323+5*VLOOKUP("Apr. natural (2): "&amp;L323,$E$286:$G$302,3,FALSE)+10*VLOOKUP("Apr. natural (3): "&amp;L323,$E$286:$G$302,3,FALSE))</f>
        <v>0</v>
      </c>
      <c r="AA323" s="1652"/>
      <c r="AB323" s="363"/>
      <c r="AC323" s="2563"/>
      <c r="AG323" s="1653"/>
      <c r="AM323" s="2290"/>
    </row>
    <row r="324" spans="1:39" ht="12.75" customHeight="1" thickBot="1" x14ac:dyDescent="0.25">
      <c r="A324" s="1916">
        <v>324</v>
      </c>
      <c r="B324" s="5148"/>
      <c r="C324" s="2261" t="str">
        <f t="shared" si="34"/>
        <v>Infatigable (2)</v>
      </c>
      <c r="D324" s="2266">
        <f t="shared" si="35"/>
        <v>3</v>
      </c>
      <c r="E324" s="119" t="s">
        <v>2701</v>
      </c>
      <c r="F324" s="373">
        <v>1</v>
      </c>
      <c r="G324" s="373">
        <f>COUNTIF(Principal!$C$35:$J$53,Tablas!E324)</f>
        <v>0</v>
      </c>
      <c r="H324" s="2274">
        <f t="shared" si="36"/>
        <v>0</v>
      </c>
      <c r="I324" s="2279"/>
      <c r="J324" s="2283" t="s">
        <v>3279</v>
      </c>
      <c r="L324" s="1488" t="e">
        <f>VLOOKUP(PDs!D181,PDs!AH182:AI187,2,FALSE)</f>
        <v>#N/A</v>
      </c>
      <c r="M324" s="2554" t="str">
        <f>IF(PDs!E181=0,"#5",PDs!E181)</f>
        <v>#5</v>
      </c>
      <c r="N324" s="1491">
        <v>1</v>
      </c>
      <c r="O324" s="1490">
        <f>IF(Personalización!$J$29=M324,1,0)+IF(Personalización!$L$29=M324,1,0)</f>
        <v>0</v>
      </c>
      <c r="P324" s="1489">
        <v>2</v>
      </c>
      <c r="Q324" s="1491">
        <f>IF(Personalización!$J$30=M324,1,0)+IF(Personalización!$L$30=M324,1,0)</f>
        <v>0</v>
      </c>
      <c r="R324" s="1489">
        <v>3</v>
      </c>
      <c r="S324" s="1753">
        <f>IF(Personalización!$J$31=M324,1,0)+IF(Personalización!$L$31=M324,1,0)</f>
        <v>0</v>
      </c>
      <c r="T324" s="1489">
        <v>1</v>
      </c>
      <c r="U324" s="1491">
        <f>IF(Personalización!$J$32=M324,1,0)+IF(Personalización!$L$32=M324,1,0)</f>
        <v>0</v>
      </c>
      <c r="V324" s="1489">
        <v>2</v>
      </c>
      <c r="W324" s="1491">
        <f>IF(Personalización!$J$33=M324,1,0)+IF(Personalización!$L$33=M324,1,0)</f>
        <v>0</v>
      </c>
      <c r="X324" s="1489">
        <v>3</v>
      </c>
      <c r="Y324" s="1657">
        <f>IF(Personalización!$J$34=M324,1,0)+IF(Personalización!$L$34=M324,1,0)</f>
        <v>0</v>
      </c>
      <c r="Z324" s="1492">
        <f>IF(ISNA(L324),0,10*Tablas!U324+20*Tablas!W324+30*Tablas!Y324+5*VLOOKUP("Apr. natural (2): "&amp;L324,$E$286:$G$302,3,FALSE)+10*VLOOKUP("Apr. natural (3): "&amp;L324,$E$286:$G$302,3,FALSE))</f>
        <v>0</v>
      </c>
      <c r="AA324" s="1652"/>
      <c r="AB324" s="363"/>
      <c r="AC324" s="2563"/>
      <c r="AG324" s="1653"/>
      <c r="AM324" s="2290"/>
    </row>
    <row r="325" spans="1:39" ht="12.75" customHeight="1" x14ac:dyDescent="0.2">
      <c r="A325" s="1916">
        <v>325</v>
      </c>
      <c r="B325" s="5148"/>
      <c r="C325" s="2261" t="str">
        <f t="shared" si="34"/>
        <v>Infatigable (3)</v>
      </c>
      <c r="D325" s="2266">
        <f t="shared" si="35"/>
        <v>4</v>
      </c>
      <c r="E325" s="119" t="s">
        <v>2702</v>
      </c>
      <c r="F325" s="373">
        <v>2</v>
      </c>
      <c r="G325" s="373">
        <f>COUNTIF(Principal!$C$35:$J$53,Tablas!E325)</f>
        <v>0</v>
      </c>
      <c r="H325" s="2274">
        <f t="shared" si="36"/>
        <v>0</v>
      </c>
      <c r="I325" s="2279"/>
      <c r="J325" s="2283" t="s">
        <v>3279</v>
      </c>
      <c r="L325" s="1915"/>
      <c r="N325" s="363"/>
      <c r="AB325" s="363"/>
      <c r="AC325" s="2563"/>
      <c r="AG325" s="1653"/>
      <c r="AM325" s="2290"/>
    </row>
    <row r="326" spans="1:39" ht="12.75" customHeight="1" x14ac:dyDescent="0.2">
      <c r="A326" s="1916">
        <v>326</v>
      </c>
      <c r="B326" s="5148"/>
      <c r="C326" s="2261" t="str">
        <f t="shared" si="34"/>
        <v>Inm. al dolor y al cansancio</v>
      </c>
      <c r="D326" s="2266">
        <f t="shared" si="35"/>
        <v>5</v>
      </c>
      <c r="E326" s="119" t="s">
        <v>2703</v>
      </c>
      <c r="F326" s="373">
        <v>3</v>
      </c>
      <c r="G326" s="373">
        <f>COUNTIF(Principal!$C$35:$J$53,Tablas!E326)</f>
        <v>0</v>
      </c>
      <c r="H326" s="2274">
        <f t="shared" si="36"/>
        <v>0</v>
      </c>
      <c r="I326" s="2279"/>
      <c r="J326" s="2283" t="s">
        <v>3279</v>
      </c>
      <c r="N326" s="363"/>
      <c r="O326" s="1999"/>
      <c r="AB326" s="363"/>
      <c r="AC326" s="2563"/>
      <c r="AG326" s="1653"/>
      <c r="AM326" s="2290"/>
    </row>
    <row r="327" spans="1:39" ht="12.75" customHeight="1" x14ac:dyDescent="0.2">
      <c r="A327" s="1916">
        <v>327</v>
      </c>
      <c r="B327" s="5148"/>
      <c r="C327" s="2261" t="str">
        <f t="shared" si="34"/>
        <v>Inmunidad psíquica</v>
      </c>
      <c r="D327" s="2266">
        <f t="shared" si="35"/>
        <v>70</v>
      </c>
      <c r="E327" s="119" t="s">
        <v>2704</v>
      </c>
      <c r="F327" s="373">
        <v>1</v>
      </c>
      <c r="G327" s="373">
        <f>COUNTIF(Principal!$C$35:$J$53,Tablas!E327)</f>
        <v>0</v>
      </c>
      <c r="H327" s="2274">
        <f t="shared" si="36"/>
        <v>0</v>
      </c>
      <c r="I327" s="2279">
        <v>1</v>
      </c>
      <c r="J327" s="2283" t="s">
        <v>3279</v>
      </c>
      <c r="N327" s="363"/>
      <c r="O327" s="1999"/>
      <c r="AB327" s="363"/>
      <c r="AC327" s="2563"/>
      <c r="AG327" s="1653"/>
      <c r="AM327" s="2290"/>
    </row>
    <row r="328" spans="1:39" ht="12.75" customHeight="1" x14ac:dyDescent="0.2">
      <c r="A328" s="1916">
        <v>328</v>
      </c>
      <c r="B328" s="5148"/>
      <c r="C328" s="2261" t="str">
        <f t="shared" si="34"/>
        <v>Inmunidad sobrenatural (1)</v>
      </c>
      <c r="D328" s="2266">
        <f t="shared" si="35"/>
        <v>130</v>
      </c>
      <c r="E328" s="119" t="s">
        <v>2705</v>
      </c>
      <c r="F328" s="373">
        <v>1</v>
      </c>
      <c r="G328" s="373">
        <f>COUNTIF(Principal!$C$35:$J$53,Tablas!E328)</f>
        <v>0</v>
      </c>
      <c r="H328" s="2274">
        <f t="shared" si="36"/>
        <v>0</v>
      </c>
      <c r="I328" s="2279"/>
      <c r="J328" s="2283" t="s">
        <v>3279</v>
      </c>
      <c r="N328" s="363"/>
      <c r="O328" s="1999"/>
      <c r="AB328" s="363"/>
      <c r="AC328" s="2563"/>
      <c r="AG328" s="1653"/>
      <c r="AM328" s="2290"/>
    </row>
    <row r="329" spans="1:39" ht="12.75" customHeight="1" x14ac:dyDescent="0.2">
      <c r="A329" s="1916">
        <v>329</v>
      </c>
      <c r="B329" s="5148"/>
      <c r="C329" s="2261" t="str">
        <f t="shared" si="34"/>
        <v>Inmunidad sobrenatural (2)</v>
      </c>
      <c r="D329" s="2266">
        <f t="shared" si="35"/>
        <v>80</v>
      </c>
      <c r="E329" s="119" t="s">
        <v>2706</v>
      </c>
      <c r="F329" s="373">
        <v>1</v>
      </c>
      <c r="G329" s="373">
        <f>COUNTIF(Principal!$C$35:$J$53,Tablas!E329)</f>
        <v>0</v>
      </c>
      <c r="H329" s="2274">
        <f t="shared" si="36"/>
        <v>0</v>
      </c>
      <c r="I329" s="2279">
        <v>1</v>
      </c>
      <c r="J329" s="2283" t="s">
        <v>3279</v>
      </c>
      <c r="N329" s="363"/>
      <c r="O329" s="1999"/>
      <c r="AB329" s="363"/>
      <c r="AC329" s="2563"/>
      <c r="AG329" s="1653"/>
      <c r="AM329" s="2290"/>
    </row>
    <row r="330" spans="1:39" ht="12.75" customHeight="1" x14ac:dyDescent="0.2">
      <c r="A330" s="1916">
        <v>330</v>
      </c>
      <c r="B330" s="5148"/>
      <c r="C330" s="2261" t="str">
        <f t="shared" si="34"/>
        <v>Inmunidad sobrenatural (3)</v>
      </c>
      <c r="D330" s="2266">
        <f t="shared" si="35"/>
        <v>81</v>
      </c>
      <c r="E330" s="119" t="s">
        <v>2707</v>
      </c>
      <c r="F330" s="373">
        <v>2</v>
      </c>
      <c r="G330" s="373">
        <f>COUNTIF(Principal!$C$35:$J$53,Tablas!E330)</f>
        <v>0</v>
      </c>
      <c r="H330" s="2274">
        <f t="shared" si="36"/>
        <v>0</v>
      </c>
      <c r="I330" s="2279">
        <v>1</v>
      </c>
      <c r="J330" s="2283" t="s">
        <v>3279</v>
      </c>
      <c r="N330" s="363"/>
      <c r="O330" s="1999"/>
      <c r="AB330" s="363"/>
      <c r="AC330" s="2563"/>
      <c r="AG330" s="1653"/>
      <c r="AM330" s="2290"/>
    </row>
    <row r="331" spans="1:39" ht="12.75" customHeight="1" x14ac:dyDescent="0.2">
      <c r="A331" s="1916">
        <v>331</v>
      </c>
      <c r="B331" s="5148"/>
      <c r="C331" s="2261" t="str">
        <f t="shared" si="34"/>
        <v>Inquietante</v>
      </c>
      <c r="D331" s="2266">
        <f t="shared" si="35"/>
        <v>82</v>
      </c>
      <c r="E331" s="119" t="s">
        <v>2708</v>
      </c>
      <c r="F331" s="373">
        <v>3</v>
      </c>
      <c r="G331" s="373">
        <f>COUNTIF(Principal!$C$35:$J$53,Tablas!E331)</f>
        <v>0</v>
      </c>
      <c r="H331" s="2274">
        <f t="shared" si="36"/>
        <v>0</v>
      </c>
      <c r="I331" s="2279">
        <v>1</v>
      </c>
      <c r="J331" s="2283" t="s">
        <v>3279</v>
      </c>
      <c r="N331" s="363"/>
      <c r="O331" s="1999"/>
      <c r="AB331" s="363"/>
      <c r="AC331" s="2563"/>
      <c r="AG331" s="1653"/>
    </row>
    <row r="332" spans="1:39" ht="12.75" customHeight="1" x14ac:dyDescent="0.2">
      <c r="A332" s="1916">
        <v>332</v>
      </c>
      <c r="B332" s="5148"/>
      <c r="C332" s="2261" t="str">
        <f t="shared" si="34"/>
        <v>Inutilidad gestual</v>
      </c>
      <c r="D332" s="2266">
        <f t="shared" si="35"/>
        <v>67</v>
      </c>
      <c r="E332" s="119" t="s">
        <v>2709</v>
      </c>
      <c r="F332" s="373">
        <v>1</v>
      </c>
      <c r="G332" s="373">
        <f>COUNTIF(Principal!$C$35:$J$53,Tablas!E332)</f>
        <v>0</v>
      </c>
      <c r="H332" s="2274">
        <f t="shared" si="36"/>
        <v>0</v>
      </c>
      <c r="I332" s="2279">
        <v>1</v>
      </c>
      <c r="J332" s="2283" t="s">
        <v>3279</v>
      </c>
      <c r="N332" s="363"/>
      <c r="O332" s="1999"/>
      <c r="AB332" s="363"/>
      <c r="AC332" s="2563"/>
      <c r="AG332" s="1653"/>
    </row>
    <row r="333" spans="1:39" ht="12.75" customHeight="1" x14ac:dyDescent="0.2">
      <c r="A333" s="1916">
        <v>333</v>
      </c>
      <c r="B333" s="5148"/>
      <c r="C333" s="2261" t="str">
        <f t="shared" si="34"/>
        <v>Ki imperceptible</v>
      </c>
      <c r="D333" s="2266">
        <f t="shared" si="35"/>
        <v>68</v>
      </c>
      <c r="E333" s="119" t="s">
        <v>2710</v>
      </c>
      <c r="F333" s="373">
        <v>2</v>
      </c>
      <c r="G333" s="373">
        <f>COUNTIF(Principal!$C$35:$J$53,Tablas!E333)</f>
        <v>0</v>
      </c>
      <c r="H333" s="2274">
        <f t="shared" si="36"/>
        <v>0</v>
      </c>
      <c r="I333" s="2279">
        <v>1</v>
      </c>
      <c r="J333" s="2283" t="s">
        <v>3279</v>
      </c>
      <c r="N333" s="363"/>
      <c r="O333" s="1999"/>
      <c r="AB333" s="363"/>
      <c r="AC333" s="2563"/>
      <c r="AG333" s="1653"/>
    </row>
    <row r="334" spans="1:39" ht="12.75" customHeight="1" x14ac:dyDescent="0.2">
      <c r="A334" s="1916">
        <v>334</v>
      </c>
      <c r="B334" s="5148"/>
      <c r="C334" s="2261" t="str">
        <f t="shared" si="34"/>
        <v>Libre albedrío</v>
      </c>
      <c r="D334" s="2266">
        <f t="shared" si="35"/>
        <v>69</v>
      </c>
      <c r="E334" s="119" t="s">
        <v>2711</v>
      </c>
      <c r="F334" s="373">
        <v>3</v>
      </c>
      <c r="G334" s="373">
        <f>COUNTIF(Principal!$C$35:$J$53,Tablas!E334)</f>
        <v>0</v>
      </c>
      <c r="H334" s="2274">
        <f t="shared" si="36"/>
        <v>0</v>
      </c>
      <c r="I334" s="2279">
        <v>1</v>
      </c>
      <c r="J334" s="2283" t="s">
        <v>3279</v>
      </c>
      <c r="N334" s="363"/>
      <c r="O334" s="1999"/>
      <c r="AB334" s="363"/>
      <c r="AC334" s="2563"/>
      <c r="AG334" s="1653"/>
    </row>
    <row r="335" spans="1:39" ht="12.75" customHeight="1" x14ac:dyDescent="0.2">
      <c r="A335" s="1916">
        <v>335</v>
      </c>
      <c r="B335" s="5148"/>
      <c r="C335" s="2261" t="str">
        <f t="shared" si="34"/>
        <v>Límite dual</v>
      </c>
      <c r="D335" s="2266">
        <f t="shared" si="35"/>
        <v>53</v>
      </c>
      <c r="E335" s="119" t="s">
        <v>2712</v>
      </c>
      <c r="F335" s="373">
        <v>1</v>
      </c>
      <c r="G335" s="373">
        <f>COUNTIF(Principal!$C$35:$J$53,Tablas!E335)</f>
        <v>0</v>
      </c>
      <c r="H335" s="2274">
        <f t="shared" si="36"/>
        <v>0</v>
      </c>
      <c r="I335" s="2279">
        <v>1</v>
      </c>
      <c r="J335" s="2283" t="s">
        <v>3279</v>
      </c>
      <c r="N335" s="363"/>
      <c r="O335" s="1999"/>
      <c r="AB335" s="363"/>
      <c r="AC335" s="2563"/>
      <c r="AG335" s="1653"/>
    </row>
    <row r="336" spans="1:39" ht="12.75" customHeight="1" x14ac:dyDescent="0.2">
      <c r="A336" s="1916">
        <v>336</v>
      </c>
      <c r="B336" s="5148"/>
      <c r="C336" s="2261" t="str">
        <f t="shared" si="34"/>
        <v>Maestro marcial (1)</v>
      </c>
      <c r="D336" s="2266">
        <f t="shared" si="35"/>
        <v>88</v>
      </c>
      <c r="E336" s="119" t="s">
        <v>2713</v>
      </c>
      <c r="F336" s="373">
        <v>1</v>
      </c>
      <c r="G336" s="373">
        <f>COUNTIF(Principal!$C$35:$J$53,Tablas!E336)</f>
        <v>0</v>
      </c>
      <c r="H336" s="2274">
        <f t="shared" si="36"/>
        <v>0</v>
      </c>
      <c r="I336" s="2279"/>
      <c r="J336" s="2283" t="s">
        <v>3279</v>
      </c>
      <c r="N336" s="363"/>
      <c r="O336" s="1999"/>
      <c r="AB336" s="363"/>
      <c r="AC336" s="2563"/>
      <c r="AG336" s="1653"/>
    </row>
    <row r="337" spans="1:33" ht="12.75" customHeight="1" x14ac:dyDescent="0.2">
      <c r="A337" s="1916">
        <v>337</v>
      </c>
      <c r="B337" s="5148"/>
      <c r="C337" s="2261" t="str">
        <f t="shared" si="34"/>
        <v>Maestro marcial (2)</v>
      </c>
      <c r="D337" s="2266">
        <f t="shared" si="35"/>
        <v>89</v>
      </c>
      <c r="E337" s="119" t="s">
        <v>2714</v>
      </c>
      <c r="F337" s="373">
        <v>2</v>
      </c>
      <c r="G337" s="373">
        <f>COUNTIF(Principal!$C$35:$J$53,Tablas!E337)</f>
        <v>0</v>
      </c>
      <c r="H337" s="2274">
        <f t="shared" si="36"/>
        <v>0</v>
      </c>
      <c r="I337" s="2279"/>
      <c r="J337" s="2283" t="s">
        <v>3279</v>
      </c>
      <c r="N337" s="363"/>
      <c r="O337" s="1999"/>
      <c r="AB337" s="363"/>
      <c r="AC337" s="2563"/>
      <c r="AG337" s="1653"/>
    </row>
    <row r="338" spans="1:33" ht="12.75" customHeight="1" x14ac:dyDescent="0.2">
      <c r="A338" s="1916">
        <v>338</v>
      </c>
      <c r="B338" s="5148"/>
      <c r="C338" s="2261" t="str">
        <f t="shared" si="34"/>
        <v>Maestro marcial (3)</v>
      </c>
      <c r="D338" s="2266">
        <f t="shared" si="35"/>
        <v>90</v>
      </c>
      <c r="E338" s="119" t="s">
        <v>2715</v>
      </c>
      <c r="F338" s="373">
        <v>3</v>
      </c>
      <c r="G338" s="373">
        <f>COUNTIF(Principal!$C$35:$J$53,Tablas!E338)</f>
        <v>0</v>
      </c>
      <c r="H338" s="2274">
        <f t="shared" si="36"/>
        <v>0</v>
      </c>
      <c r="I338" s="2279"/>
      <c r="J338" s="2283" t="s">
        <v>3279</v>
      </c>
      <c r="N338" s="363"/>
      <c r="O338" s="1999"/>
      <c r="AB338" s="363"/>
      <c r="AC338" s="2563"/>
      <c r="AE338" s="2211"/>
      <c r="AG338" s="1653"/>
    </row>
    <row r="339" spans="1:33" ht="12.75" customHeight="1" x14ac:dyDescent="0.2">
      <c r="A339" s="1916">
        <v>339</v>
      </c>
      <c r="B339" s="5148"/>
      <c r="C339" s="2261" t="str">
        <f t="shared" si="34"/>
        <v>Mutación (1)</v>
      </c>
      <c r="D339" s="2266">
        <f t="shared" si="35"/>
        <v>59</v>
      </c>
      <c r="E339" s="119" t="s">
        <v>2716</v>
      </c>
      <c r="F339" s="373">
        <v>1</v>
      </c>
      <c r="G339" s="373">
        <f>COUNTIF(Principal!$C$35:$J$53,Tablas!E339)</f>
        <v>0</v>
      </c>
      <c r="H339" s="2274">
        <f t="shared" si="36"/>
        <v>0</v>
      </c>
      <c r="I339" s="2279"/>
      <c r="J339" s="2283" t="s">
        <v>3279</v>
      </c>
      <c r="N339" s="363"/>
      <c r="O339" s="1999"/>
      <c r="AB339" s="363"/>
      <c r="AC339" s="2563"/>
      <c r="AE339" s="2211"/>
      <c r="AG339" s="1653"/>
    </row>
    <row r="340" spans="1:33" ht="12.75" customHeight="1" x14ac:dyDescent="0.2">
      <c r="A340" s="1916">
        <v>340</v>
      </c>
      <c r="B340" s="5148"/>
      <c r="C340" s="2261" t="str">
        <f t="shared" si="34"/>
        <v>Mutación (2)</v>
      </c>
      <c r="D340" s="2266">
        <f t="shared" si="35"/>
        <v>60</v>
      </c>
      <c r="E340" s="119" t="s">
        <v>2717</v>
      </c>
      <c r="F340" s="373">
        <v>2</v>
      </c>
      <c r="G340" s="373">
        <f>COUNTIF(Principal!$C$35:$J$53,Tablas!E340)</f>
        <v>0</v>
      </c>
      <c r="H340" s="2274">
        <f t="shared" si="36"/>
        <v>0</v>
      </c>
      <c r="I340" s="2279"/>
      <c r="J340" s="2283" t="s">
        <v>3279</v>
      </c>
      <c r="N340" s="363"/>
      <c r="O340" s="1999"/>
      <c r="AB340" s="363"/>
      <c r="AC340" s="2563"/>
      <c r="AE340" s="2211"/>
      <c r="AG340" s="1653"/>
    </row>
    <row r="341" spans="1:33" ht="12.75" customHeight="1" x14ac:dyDescent="0.2">
      <c r="A341" s="1916">
        <v>341</v>
      </c>
      <c r="B341" s="5148"/>
      <c r="C341" s="2261" t="str">
        <f t="shared" si="34"/>
        <v>Mutación (3)</v>
      </c>
      <c r="D341" s="2266">
        <f t="shared" si="35"/>
        <v>61</v>
      </c>
      <c r="E341" s="119" t="s">
        <v>2718</v>
      </c>
      <c r="F341" s="373">
        <v>3</v>
      </c>
      <c r="G341" s="373">
        <f>COUNTIF(Principal!$C$35:$J$53,Tablas!E341)</f>
        <v>0</v>
      </c>
      <c r="H341" s="2274">
        <f t="shared" si="36"/>
        <v>0</v>
      </c>
      <c r="I341" s="2279"/>
      <c r="J341" s="2283" t="s">
        <v>3279</v>
      </c>
      <c r="N341" s="363"/>
      <c r="O341" s="1999"/>
      <c r="AB341" s="363"/>
      <c r="AC341" s="2563"/>
      <c r="AE341" s="2211"/>
      <c r="AG341" s="1653"/>
    </row>
    <row r="342" spans="1:33" ht="12.75" customHeight="1" x14ac:dyDescent="0.2">
      <c r="A342" s="1916">
        <v>342</v>
      </c>
      <c r="B342" s="5148"/>
      <c r="C342" s="2261" t="str">
        <f t="shared" si="34"/>
        <v>Percepción del Ki</v>
      </c>
      <c r="D342" s="2266">
        <f t="shared" si="35"/>
        <v>28</v>
      </c>
      <c r="E342" s="119" t="s">
        <v>2719</v>
      </c>
      <c r="F342" s="373">
        <v>1</v>
      </c>
      <c r="G342" s="373">
        <f>COUNTIF(Principal!$C$35:$J$53,Tablas!E342)</f>
        <v>0</v>
      </c>
      <c r="H342" s="2274">
        <f t="shared" si="36"/>
        <v>0</v>
      </c>
      <c r="I342" s="2279"/>
      <c r="J342" s="2283" t="s">
        <v>3279</v>
      </c>
      <c r="N342" s="363"/>
      <c r="O342" s="1999"/>
      <c r="AB342" s="363"/>
      <c r="AC342" s="2563"/>
      <c r="AE342" s="2211"/>
      <c r="AG342" s="1653"/>
    </row>
    <row r="343" spans="1:33" ht="12.75" customHeight="1" x14ac:dyDescent="0.2">
      <c r="A343" s="1916">
        <v>343</v>
      </c>
      <c r="B343" s="5148"/>
      <c r="C343" s="2261" t="str">
        <f t="shared" si="34"/>
        <v>Poder innato</v>
      </c>
      <c r="D343" s="2266">
        <f t="shared" si="35"/>
        <v>29</v>
      </c>
      <c r="E343" s="119" t="s">
        <v>2720</v>
      </c>
      <c r="F343" s="373">
        <v>2</v>
      </c>
      <c r="G343" s="373">
        <f>COUNTIF(Principal!$C$35:$J$53,Tablas!E343)</f>
        <v>0</v>
      </c>
      <c r="H343" s="2274">
        <f t="shared" si="36"/>
        <v>0</v>
      </c>
      <c r="I343" s="2279"/>
      <c r="J343" s="2283" t="s">
        <v>3279</v>
      </c>
      <c r="N343" s="363"/>
      <c r="O343" s="1999"/>
      <c r="AB343" s="363"/>
      <c r="AC343" s="2563"/>
      <c r="AG343" s="1653"/>
    </row>
    <row r="344" spans="1:33" ht="12.75" customHeight="1" x14ac:dyDescent="0.2">
      <c r="A344" s="1916">
        <v>344</v>
      </c>
      <c r="B344" s="5148"/>
      <c r="C344" s="2261" t="str">
        <f t="shared" si="34"/>
        <v>Recuperación de Ki (1)</v>
      </c>
      <c r="D344" s="2266">
        <f t="shared" si="35"/>
        <v>30</v>
      </c>
      <c r="E344" s="119" t="s">
        <v>2721</v>
      </c>
      <c r="F344" s="373">
        <v>3</v>
      </c>
      <c r="G344" s="373">
        <f>COUNTIF(Principal!$C$35:$J$53,Tablas!E344)</f>
        <v>0</v>
      </c>
      <c r="H344" s="2274">
        <f t="shared" ref="H344:H347" si="37">G344*F344</f>
        <v>0</v>
      </c>
      <c r="I344" s="2279"/>
      <c r="J344" s="2283" t="s">
        <v>3279</v>
      </c>
      <c r="N344" s="363"/>
      <c r="O344" s="1999"/>
      <c r="AB344" s="363"/>
      <c r="AC344" s="2563"/>
      <c r="AG344" s="1653"/>
    </row>
    <row r="345" spans="1:33" ht="12.75" customHeight="1" x14ac:dyDescent="0.2">
      <c r="A345" s="1916">
        <v>345</v>
      </c>
      <c r="B345" s="5148"/>
      <c r="C345" s="2261" t="str">
        <f t="shared" si="34"/>
        <v>Recuperación de Ki (2)</v>
      </c>
      <c r="D345" s="2266">
        <f t="shared" si="35"/>
        <v>83</v>
      </c>
      <c r="E345" s="119" t="s">
        <v>8535</v>
      </c>
      <c r="F345" s="373">
        <v>1</v>
      </c>
      <c r="G345" s="373">
        <f>COUNTIF(Principal!$C$35:$J$53,Tablas!E345)</f>
        <v>0</v>
      </c>
      <c r="H345" s="2274">
        <f t="shared" si="37"/>
        <v>0</v>
      </c>
      <c r="I345" s="2279"/>
      <c r="J345" s="2283" t="s">
        <v>3279</v>
      </c>
      <c r="N345" s="363"/>
      <c r="O345" s="1999"/>
      <c r="AB345" s="363"/>
      <c r="AC345" s="2563"/>
      <c r="AG345" s="1653"/>
    </row>
    <row r="346" spans="1:33" ht="12.75" customHeight="1" x14ac:dyDescent="0.2">
      <c r="A346" s="1916">
        <v>346</v>
      </c>
      <c r="B346" s="5148"/>
      <c r="C346" s="2261" t="str">
        <f t="shared" si="34"/>
        <v>Recuperación de Ki (3)</v>
      </c>
      <c r="D346" s="2266">
        <f t="shared" si="35"/>
        <v>84</v>
      </c>
      <c r="E346" s="119" t="s">
        <v>8536</v>
      </c>
      <c r="F346" s="373">
        <v>2</v>
      </c>
      <c r="G346" s="373">
        <f>COUNTIF(Principal!$C$35:$J$53,Tablas!E346)</f>
        <v>0</v>
      </c>
      <c r="H346" s="2274">
        <f t="shared" si="37"/>
        <v>0</v>
      </c>
      <c r="I346" s="2279"/>
      <c r="J346" s="2283" t="s">
        <v>3279</v>
      </c>
      <c r="N346" s="363"/>
      <c r="O346" s="1999"/>
      <c r="AB346" s="363"/>
      <c r="AC346" s="2563"/>
      <c r="AG346" s="1653"/>
    </row>
    <row r="347" spans="1:33" ht="12.75" customHeight="1" x14ac:dyDescent="0.2">
      <c r="A347" s="1916">
        <v>347</v>
      </c>
      <c r="B347" s="5148"/>
      <c r="C347" s="2261" t="str">
        <f t="shared" si="34"/>
        <v>Reflejos rápidos (1)</v>
      </c>
      <c r="D347" s="2266">
        <f t="shared" si="35"/>
        <v>85</v>
      </c>
      <c r="E347" s="119" t="s">
        <v>8537</v>
      </c>
      <c r="F347" s="373">
        <v>3</v>
      </c>
      <c r="G347" s="373">
        <f>COUNTIF(Principal!$C$35:$J$53,Tablas!E347)</f>
        <v>0</v>
      </c>
      <c r="H347" s="2274">
        <f t="shared" si="37"/>
        <v>0</v>
      </c>
      <c r="I347" s="2279"/>
      <c r="J347" s="2283" t="s">
        <v>3279</v>
      </c>
      <c r="N347" s="363"/>
      <c r="AB347" s="363"/>
      <c r="AC347" s="2563"/>
      <c r="AG347" s="1653"/>
    </row>
    <row r="348" spans="1:33" ht="12.75" customHeight="1" x14ac:dyDescent="0.2">
      <c r="A348" s="1916">
        <v>348</v>
      </c>
      <c r="B348" s="5148"/>
      <c r="C348" s="2261" t="str">
        <f t="shared" si="34"/>
        <v>Reflejos rápidos (2)</v>
      </c>
      <c r="D348" s="2266">
        <f t="shared" si="35"/>
        <v>-1</v>
      </c>
      <c r="E348" s="119" t="s">
        <v>2818</v>
      </c>
      <c r="F348" s="373"/>
      <c r="G348" s="373"/>
      <c r="H348" s="2274"/>
      <c r="I348" s="2279"/>
      <c r="J348" s="2283" t="s">
        <v>3279</v>
      </c>
      <c r="N348" s="363"/>
      <c r="AB348" s="363"/>
      <c r="AC348" s="2563"/>
      <c r="AG348" s="1653"/>
    </row>
    <row r="349" spans="1:33" ht="12.75" customHeight="1" x14ac:dyDescent="0.2">
      <c r="A349" s="1916">
        <v>349</v>
      </c>
      <c r="B349" s="5148"/>
      <c r="C349" s="2261" t="str">
        <f t="shared" si="34"/>
        <v>Reflejos rápidos (3)</v>
      </c>
      <c r="D349" s="2266">
        <f t="shared" si="35"/>
        <v>54</v>
      </c>
      <c r="E349" s="119" t="s">
        <v>2819</v>
      </c>
      <c r="F349" s="373">
        <v>1</v>
      </c>
      <c r="G349" s="373">
        <f>COUNTIF(Principal!$C$35:$J$53,Tablas!E349)</f>
        <v>0</v>
      </c>
      <c r="H349" s="2274">
        <f t="shared" ref="H349:H370" si="38">G349*F349</f>
        <v>0</v>
      </c>
      <c r="I349" s="2279">
        <v>2</v>
      </c>
      <c r="J349" s="2283" t="s">
        <v>3279</v>
      </c>
      <c r="N349" s="363"/>
      <c r="AB349" s="363"/>
      <c r="AC349" s="2563"/>
      <c r="AG349" s="1653"/>
    </row>
    <row r="350" spans="1:33" ht="12.75" customHeight="1" x14ac:dyDescent="0.2">
      <c r="A350" s="1916">
        <v>350</v>
      </c>
      <c r="B350" s="5148"/>
      <c r="C350" s="2261" t="str">
        <f t="shared" si="34"/>
        <v>Regeneración avanzada</v>
      </c>
      <c r="D350" s="2266">
        <f t="shared" si="35"/>
        <v>55</v>
      </c>
      <c r="E350" s="119" t="s">
        <v>2820</v>
      </c>
      <c r="F350" s="373">
        <v>2</v>
      </c>
      <c r="G350" s="373">
        <f>COUNTIF(Principal!$C$35:$J$53,Tablas!E350)</f>
        <v>0</v>
      </c>
      <c r="H350" s="2274">
        <f t="shared" si="38"/>
        <v>0</v>
      </c>
      <c r="I350" s="2279">
        <v>2</v>
      </c>
      <c r="J350" s="2283" t="s">
        <v>3279</v>
      </c>
      <c r="N350" s="363"/>
      <c r="AB350" s="363"/>
      <c r="AC350" s="2563"/>
      <c r="AG350" s="1653"/>
    </row>
    <row r="351" spans="1:33" ht="12.75" customHeight="1" x14ac:dyDescent="0.2">
      <c r="A351" s="1916">
        <v>351</v>
      </c>
      <c r="B351" s="5148"/>
      <c r="C351" s="2261" t="str">
        <f t="shared" si="34"/>
        <v>Regeneración básica</v>
      </c>
      <c r="D351" s="2266">
        <f t="shared" si="35"/>
        <v>56</v>
      </c>
      <c r="E351" s="119" t="s">
        <v>2821</v>
      </c>
      <c r="F351" s="373">
        <v>3</v>
      </c>
      <c r="G351" s="373">
        <f>COUNTIF(Principal!$C$35:$J$53,Tablas!E351)</f>
        <v>0</v>
      </c>
      <c r="H351" s="2274">
        <f t="shared" si="38"/>
        <v>0</v>
      </c>
      <c r="I351" s="2279">
        <v>2</v>
      </c>
      <c r="J351" s="2283" t="s">
        <v>3279</v>
      </c>
      <c r="N351" s="363"/>
      <c r="AB351" s="363"/>
      <c r="AC351" s="2563"/>
      <c r="AG351" s="1653"/>
    </row>
    <row r="352" spans="1:33" ht="12.75" customHeight="1" x14ac:dyDescent="0.2">
      <c r="A352" s="1916">
        <v>352</v>
      </c>
      <c r="B352" s="5148"/>
      <c r="C352" s="2261" t="str">
        <f t="shared" si="34"/>
        <v>Regeneración mayor</v>
      </c>
      <c r="D352" s="2266">
        <f t="shared" si="35"/>
        <v>12</v>
      </c>
      <c r="E352" s="119" t="s">
        <v>2822</v>
      </c>
      <c r="F352" s="373">
        <v>1</v>
      </c>
      <c r="G352" s="373">
        <f>COUNTIF(Principal!$C$35:$J$53,Tablas!E352)</f>
        <v>0</v>
      </c>
      <c r="H352" s="2274">
        <f t="shared" si="38"/>
        <v>0</v>
      </c>
      <c r="I352" s="2279"/>
      <c r="J352" s="2283" t="s">
        <v>3279</v>
      </c>
      <c r="N352" s="363"/>
      <c r="AB352" s="363"/>
      <c r="AC352" s="2563"/>
      <c r="AG352" s="1653"/>
    </row>
    <row r="353" spans="1:39" ht="12.75" customHeight="1" x14ac:dyDescent="0.2">
      <c r="A353" s="1916">
        <v>353</v>
      </c>
      <c r="B353" s="5148"/>
      <c r="C353" s="2261" t="str">
        <f t="shared" ref="C353:C384" si="39">VLOOKUP(A97,$D$257:$E$397,2,0)</f>
        <v>Repetir tirada de características</v>
      </c>
      <c r="D353" s="2266">
        <f t="shared" ref="D353:D384" si="40">COUNTIF($E$256:$E$392,"&lt;="&amp;E353)-COUNTIF($E$256:$E$392,"*&gt;*")</f>
        <v>72</v>
      </c>
      <c r="E353" s="119" t="s">
        <v>2823</v>
      </c>
      <c r="F353" s="373">
        <v>1</v>
      </c>
      <c r="G353" s="373">
        <f>COUNTIF(Principal!$C$35:$J$53,Tablas!E353)</f>
        <v>0</v>
      </c>
      <c r="H353" s="2274">
        <f t="shared" si="38"/>
        <v>0</v>
      </c>
      <c r="I353" s="2279"/>
      <c r="J353" s="2283" t="s">
        <v>3279</v>
      </c>
      <c r="N353" s="363"/>
      <c r="AB353" s="363"/>
      <c r="AC353" s="2563"/>
      <c r="AG353" s="1653"/>
    </row>
    <row r="354" spans="1:39" ht="12.75" customHeight="1" x14ac:dyDescent="0.2">
      <c r="A354" s="1916">
        <v>354</v>
      </c>
      <c r="B354" s="5148"/>
      <c r="C354" s="2261" t="str">
        <f t="shared" si="39"/>
        <v>Res. física excepcional (1)</v>
      </c>
      <c r="D354" s="2266">
        <f t="shared" si="40"/>
        <v>73</v>
      </c>
      <c r="E354" s="119" t="s">
        <v>2824</v>
      </c>
      <c r="F354" s="373">
        <v>2</v>
      </c>
      <c r="G354" s="373">
        <f>COUNTIF(Principal!$C$35:$J$53,Tablas!E354)</f>
        <v>0</v>
      </c>
      <c r="H354" s="2274">
        <f t="shared" si="38"/>
        <v>0</v>
      </c>
      <c r="I354" s="2279"/>
      <c r="J354" s="2283" t="s">
        <v>3279</v>
      </c>
      <c r="N354" s="363"/>
      <c r="AB354" s="363"/>
      <c r="AC354" s="2563"/>
      <c r="AG354" s="1653"/>
    </row>
    <row r="355" spans="1:39" ht="12.75" customHeight="1" x14ac:dyDescent="0.2">
      <c r="A355" s="1916">
        <v>355</v>
      </c>
      <c r="B355" s="5148"/>
      <c r="C355" s="2261" t="str">
        <f t="shared" si="39"/>
        <v>Res. física excepcional (2)</v>
      </c>
      <c r="D355" s="2266">
        <f t="shared" si="40"/>
        <v>74</v>
      </c>
      <c r="E355" s="119" t="s">
        <v>2825</v>
      </c>
      <c r="F355" s="373">
        <v>3</v>
      </c>
      <c r="G355" s="373">
        <f>COUNTIF(Principal!$C$35:$J$53,Tablas!E355)</f>
        <v>0</v>
      </c>
      <c r="H355" s="2274">
        <f t="shared" si="38"/>
        <v>0</v>
      </c>
      <c r="I355" s="2279"/>
      <c r="J355" s="2283" t="s">
        <v>3279</v>
      </c>
      <c r="N355" s="363"/>
      <c r="AB355" s="363"/>
      <c r="AC355" s="2563"/>
      <c r="AG355" s="1653"/>
    </row>
    <row r="356" spans="1:39" ht="12.75" customHeight="1" x14ac:dyDescent="0.2">
      <c r="A356" s="1916">
        <v>356</v>
      </c>
      <c r="B356" s="5148"/>
      <c r="C356" s="2261" t="str">
        <f t="shared" si="39"/>
        <v>Res. mágica excepcional (1)</v>
      </c>
      <c r="D356" s="2266">
        <f t="shared" si="40"/>
        <v>111</v>
      </c>
      <c r="E356" s="119" t="s">
        <v>2826</v>
      </c>
      <c r="F356" s="373">
        <v>2</v>
      </c>
      <c r="G356" s="373">
        <f>COUNTIF(Principal!$C$35:$J$53,Tablas!E356)</f>
        <v>0</v>
      </c>
      <c r="H356" s="2274">
        <f t="shared" si="38"/>
        <v>0</v>
      </c>
      <c r="I356" s="2279"/>
      <c r="J356" s="2283" t="s">
        <v>3279</v>
      </c>
      <c r="N356" s="363"/>
      <c r="AB356" s="363"/>
      <c r="AC356" s="2563"/>
      <c r="AG356" s="1653"/>
    </row>
    <row r="357" spans="1:39" ht="12.75" customHeight="1" x14ac:dyDescent="0.2">
      <c r="A357" s="1916">
        <v>357</v>
      </c>
      <c r="B357" s="5148"/>
      <c r="C357" s="2261" t="str">
        <f t="shared" si="39"/>
        <v>Res. mágica excepcional (2)</v>
      </c>
      <c r="D357" s="2266">
        <f t="shared" si="40"/>
        <v>106</v>
      </c>
      <c r="E357" s="119" t="s">
        <v>2827</v>
      </c>
      <c r="F357" s="373">
        <v>3</v>
      </c>
      <c r="G357" s="373">
        <f>COUNTIF(Principal!$C$35:$J$53,Tablas!E357)</f>
        <v>0</v>
      </c>
      <c r="H357" s="2274">
        <f t="shared" si="38"/>
        <v>0</v>
      </c>
      <c r="I357" s="2279">
        <v>1</v>
      </c>
      <c r="J357" s="2283" t="s">
        <v>3279</v>
      </c>
      <c r="N357" s="363"/>
      <c r="AB357" s="363"/>
      <c r="AC357" s="2563"/>
      <c r="AG357" s="1653"/>
    </row>
    <row r="358" spans="1:39" ht="12.75" customHeight="1" x14ac:dyDescent="0.2">
      <c r="A358" s="1916">
        <v>358</v>
      </c>
      <c r="B358" s="5148"/>
      <c r="C358" s="2261" t="str">
        <f t="shared" si="39"/>
        <v>Res. psi. excepcional (1)</v>
      </c>
      <c r="D358" s="2266">
        <f t="shared" si="40"/>
        <v>108</v>
      </c>
      <c r="E358" s="119" t="s">
        <v>2828</v>
      </c>
      <c r="F358" s="373">
        <v>3</v>
      </c>
      <c r="G358" s="373">
        <f>COUNTIF(Principal!$C$35:$J$53,Tablas!E358)</f>
        <v>0</v>
      </c>
      <c r="H358" s="2274">
        <f t="shared" si="38"/>
        <v>0</v>
      </c>
      <c r="I358" s="2279">
        <v>1</v>
      </c>
      <c r="J358" s="2283" t="s">
        <v>3279</v>
      </c>
      <c r="N358" s="363"/>
      <c r="AB358" s="363"/>
      <c r="AC358" s="2563"/>
      <c r="AG358" s="1653"/>
    </row>
    <row r="359" spans="1:39" ht="12.75" customHeight="1" x14ac:dyDescent="0.2">
      <c r="A359" s="1916">
        <v>359</v>
      </c>
      <c r="B359" s="5148"/>
      <c r="C359" s="2261" t="str">
        <f t="shared" si="39"/>
        <v>Res. psi. excepcional (2)</v>
      </c>
      <c r="D359" s="2266">
        <f t="shared" si="40"/>
        <v>107</v>
      </c>
      <c r="E359" s="119" t="s">
        <v>2829</v>
      </c>
      <c r="F359" s="373">
        <v>3</v>
      </c>
      <c r="G359" s="373">
        <f>COUNTIF(Principal!$C$35:$J$53,Tablas!E359)</f>
        <v>0</v>
      </c>
      <c r="H359" s="2274">
        <f t="shared" si="38"/>
        <v>0</v>
      </c>
      <c r="I359" s="2279">
        <v>1</v>
      </c>
      <c r="J359" s="2283" t="s">
        <v>3279</v>
      </c>
      <c r="N359" s="363"/>
      <c r="AB359" s="363"/>
      <c r="AC359" s="2563"/>
      <c r="AG359" s="1653"/>
    </row>
    <row r="360" spans="1:39" ht="12.75" customHeight="1" x14ac:dyDescent="0.2">
      <c r="A360" s="1916">
        <v>360</v>
      </c>
      <c r="B360" s="5148"/>
      <c r="C360" s="2261" t="str">
        <f t="shared" si="39"/>
        <v>Seductor</v>
      </c>
      <c r="D360" s="2266">
        <f t="shared" si="40"/>
        <v>47</v>
      </c>
      <c r="E360" s="119" t="s">
        <v>2830</v>
      </c>
      <c r="F360" s="373">
        <v>2</v>
      </c>
      <c r="G360" s="373">
        <f>COUNTIF(Principal!$C$35:$J$53,Tablas!E360)</f>
        <v>0</v>
      </c>
      <c r="H360" s="2274">
        <f t="shared" si="38"/>
        <v>0</v>
      </c>
      <c r="I360" s="2279">
        <v>1</v>
      </c>
      <c r="J360" s="2283" t="s">
        <v>3279</v>
      </c>
      <c r="N360" s="363"/>
      <c r="AB360" s="363"/>
      <c r="AC360" s="2563"/>
      <c r="AG360" s="1653"/>
    </row>
    <row r="361" spans="1:39" ht="12.75" customHeight="1" x14ac:dyDescent="0.2">
      <c r="A361" s="1916">
        <v>361</v>
      </c>
      <c r="B361" s="5148"/>
      <c r="C361" s="2261" t="str">
        <f t="shared" si="39"/>
        <v>Sellos magistrales</v>
      </c>
      <c r="D361" s="2266">
        <f t="shared" si="40"/>
        <v>127</v>
      </c>
      <c r="E361" s="119" t="s">
        <v>2831</v>
      </c>
      <c r="F361" s="373">
        <v>1</v>
      </c>
      <c r="G361" s="373">
        <f>COUNTIF(Principal!$C$35:$J$53,Tablas!E361)</f>
        <v>0</v>
      </c>
      <c r="H361" s="2274">
        <f t="shared" si="38"/>
        <v>0</v>
      </c>
      <c r="I361" s="2279">
        <v>1</v>
      </c>
      <c r="J361" s="2283" t="s">
        <v>3279</v>
      </c>
      <c r="N361" s="363"/>
      <c r="AB361" s="363"/>
      <c r="AC361" s="2563"/>
      <c r="AG361" s="1653"/>
    </row>
    <row r="362" spans="1:39" ht="12.75" customHeight="1" x14ac:dyDescent="0.2">
      <c r="A362" s="1916">
        <v>362</v>
      </c>
      <c r="B362" s="5148"/>
      <c r="C362" s="2261" t="str">
        <f t="shared" si="39"/>
        <v>Sentido del combate: Ataque</v>
      </c>
      <c r="D362" s="2266">
        <f t="shared" si="40"/>
        <v>128</v>
      </c>
      <c r="E362" s="119" t="s">
        <v>2832</v>
      </c>
      <c r="F362" s="373">
        <v>2</v>
      </c>
      <c r="G362" s="373">
        <f>COUNTIF(Principal!$C$35:$J$53,Tablas!E362)</f>
        <v>0</v>
      </c>
      <c r="H362" s="2274">
        <f t="shared" si="38"/>
        <v>0</v>
      </c>
      <c r="I362" s="2279">
        <v>1</v>
      </c>
      <c r="J362" s="2283" t="s">
        <v>3279</v>
      </c>
      <c r="N362" s="363"/>
      <c r="AB362" s="363"/>
      <c r="AC362" s="2563"/>
      <c r="AG362" s="1653"/>
    </row>
    <row r="363" spans="1:39" ht="12.75" customHeight="1" x14ac:dyDescent="0.2">
      <c r="A363" s="1916">
        <v>363</v>
      </c>
      <c r="B363" s="5148"/>
      <c r="C363" s="2261" t="str">
        <f t="shared" si="39"/>
        <v>Sentido del combate: Esquiva</v>
      </c>
      <c r="D363" s="2266">
        <f t="shared" si="40"/>
        <v>129</v>
      </c>
      <c r="E363" s="119" t="s">
        <v>2833</v>
      </c>
      <c r="F363" s="373">
        <v>3</v>
      </c>
      <c r="G363" s="373">
        <f>COUNTIF(Principal!$C$35:$J$53,Tablas!E363)</f>
        <v>0</v>
      </c>
      <c r="H363" s="2274">
        <f t="shared" si="38"/>
        <v>0</v>
      </c>
      <c r="I363" s="2279">
        <v>1</v>
      </c>
      <c r="J363" s="2283" t="s">
        <v>3279</v>
      </c>
      <c r="N363" s="363"/>
      <c r="AB363" s="363"/>
      <c r="AC363" s="2563"/>
      <c r="AG363" s="1653"/>
    </row>
    <row r="364" spans="1:39" ht="12.75" customHeight="1" x14ac:dyDescent="0.2">
      <c r="A364" s="1916">
        <v>364</v>
      </c>
      <c r="B364" s="5148"/>
      <c r="C364" s="2261" t="str">
        <f t="shared" si="39"/>
        <v>Sentido del combate: Parada</v>
      </c>
      <c r="D364" s="2266">
        <f t="shared" si="40"/>
        <v>131</v>
      </c>
      <c r="E364" s="119" t="s">
        <v>2834</v>
      </c>
      <c r="F364" s="373">
        <v>1</v>
      </c>
      <c r="G364" s="373">
        <f>COUNTIF(Principal!$C$35:$J$53,Tablas!E364)</f>
        <v>0</v>
      </c>
      <c r="H364" s="2274">
        <f t="shared" si="38"/>
        <v>0</v>
      </c>
      <c r="I364" s="2279">
        <v>1</v>
      </c>
      <c r="J364" s="2283" t="s">
        <v>3279</v>
      </c>
      <c r="N364" s="363"/>
      <c r="AB364" s="363"/>
      <c r="AC364" s="2563"/>
      <c r="AG364" s="1653"/>
      <c r="AM364" s="1999"/>
    </row>
    <row r="365" spans="1:39" ht="12.75" customHeight="1" x14ac:dyDescent="0.2">
      <c r="A365" s="1916">
        <v>365</v>
      </c>
      <c r="B365" s="5148"/>
      <c r="C365" s="2261" t="str">
        <f t="shared" si="39"/>
        <v>Sentido del peligro</v>
      </c>
      <c r="D365" s="2266">
        <f t="shared" si="40"/>
        <v>113</v>
      </c>
      <c r="E365" s="119" t="s">
        <v>2835</v>
      </c>
      <c r="F365" s="373">
        <v>1</v>
      </c>
      <c r="G365" s="373">
        <f>COUNTIF(Principal!$C$35:$J$53,Tablas!E365)</f>
        <v>0</v>
      </c>
      <c r="H365" s="2274">
        <f t="shared" si="38"/>
        <v>0</v>
      </c>
      <c r="I365" s="2279"/>
      <c r="J365" s="2283" t="s">
        <v>3279</v>
      </c>
      <c r="N365" s="363"/>
      <c r="AB365" s="363"/>
      <c r="AC365" s="2563"/>
      <c r="AG365" s="1653"/>
      <c r="AM365" s="1999"/>
    </row>
    <row r="366" spans="1:39" ht="12.75" customHeight="1" x14ac:dyDescent="0.2">
      <c r="A366" s="1916">
        <v>366</v>
      </c>
      <c r="B366" s="5148"/>
      <c r="C366" s="2261" t="str">
        <f t="shared" si="39"/>
        <v>Sentidos agudos</v>
      </c>
      <c r="D366" s="2266">
        <f t="shared" si="40"/>
        <v>126</v>
      </c>
      <c r="E366" s="119" t="s">
        <v>2836</v>
      </c>
      <c r="F366" s="373">
        <v>1</v>
      </c>
      <c r="G366" s="373">
        <f>COUNTIF(Principal!$C$35:$J$53,Tablas!E366)</f>
        <v>0</v>
      </c>
      <c r="H366" s="2274">
        <f t="shared" si="38"/>
        <v>0</v>
      </c>
      <c r="I366" s="2279"/>
      <c r="J366" s="2283" t="s">
        <v>3279</v>
      </c>
      <c r="N366" s="363"/>
      <c r="AB366" s="363"/>
      <c r="AC366" s="2563"/>
      <c r="AG366" s="1653"/>
      <c r="AM366" s="1999"/>
    </row>
    <row r="367" spans="1:39" ht="12.75" customHeight="1" x14ac:dyDescent="0.2">
      <c r="A367" s="1916">
        <v>367</v>
      </c>
      <c r="B367" s="5148"/>
      <c r="C367" s="2261" t="str">
        <f t="shared" si="39"/>
        <v>Sin límite de familiares</v>
      </c>
      <c r="D367" s="2266">
        <f t="shared" si="40"/>
        <v>71</v>
      </c>
      <c r="E367" s="119" t="s">
        <v>2837</v>
      </c>
      <c r="F367" s="373">
        <v>1</v>
      </c>
      <c r="G367" s="373">
        <f>COUNTIF(Principal!$C$35:$J$53,Tablas!E367)</f>
        <v>0</v>
      </c>
      <c r="H367" s="2274">
        <f t="shared" si="38"/>
        <v>0</v>
      </c>
      <c r="I367" s="2279"/>
      <c r="J367" s="2283" t="s">
        <v>3279</v>
      </c>
      <c r="N367" s="363"/>
      <c r="AB367" s="363"/>
      <c r="AC367" s="2563"/>
      <c r="AG367" s="1653"/>
      <c r="AM367" s="1999"/>
    </row>
    <row r="368" spans="1:39" ht="12.75" customHeight="1" x14ac:dyDescent="0.2">
      <c r="A368" s="1916">
        <v>368</v>
      </c>
      <c r="B368" s="5148"/>
      <c r="C368" s="2261" t="str">
        <f t="shared" si="39"/>
        <v>Sueño ligero</v>
      </c>
      <c r="D368" s="2266">
        <f t="shared" si="40"/>
        <v>66</v>
      </c>
      <c r="E368" s="119" t="s">
        <v>2838</v>
      </c>
      <c r="F368" s="373">
        <v>1</v>
      </c>
      <c r="G368" s="373">
        <f>COUNTIF(Principal!$C$35:$J$53,Tablas!E368)</f>
        <v>0</v>
      </c>
      <c r="H368" s="2274">
        <f t="shared" si="38"/>
        <v>0</v>
      </c>
      <c r="I368" s="2279">
        <v>2</v>
      </c>
      <c r="J368" s="2283" t="s">
        <v>3279</v>
      </c>
      <c r="N368" s="363"/>
      <c r="AB368" s="363"/>
      <c r="AC368" s="2563"/>
      <c r="AG368" s="1653"/>
      <c r="AM368" s="1999"/>
    </row>
    <row r="369" spans="1:39" ht="12.75" customHeight="1" x14ac:dyDescent="0.2">
      <c r="A369" s="1916">
        <v>369</v>
      </c>
      <c r="B369" s="5148"/>
      <c r="C369" s="2261" t="str">
        <f t="shared" si="39"/>
        <v>Superviviente</v>
      </c>
      <c r="D369" s="2266">
        <f t="shared" si="40"/>
        <v>78</v>
      </c>
      <c r="E369" s="119" t="s">
        <v>2839</v>
      </c>
      <c r="F369" s="373">
        <v>1</v>
      </c>
      <c r="G369" s="373">
        <f>COUNTIF(Principal!$C$35:$J$53,Tablas!E369)</f>
        <v>0</v>
      </c>
      <c r="H369" s="2274">
        <f t="shared" si="38"/>
        <v>0</v>
      </c>
      <c r="I369" s="2279"/>
      <c r="J369" s="2283" t="s">
        <v>3279</v>
      </c>
      <c r="N369" s="363"/>
      <c r="AB369" s="363"/>
      <c r="AC369" s="2563"/>
      <c r="AG369" s="1653"/>
      <c r="AM369" s="1999"/>
    </row>
    <row r="370" spans="1:39" ht="12.75" customHeight="1" x14ac:dyDescent="0.2">
      <c r="A370" s="1916">
        <v>370</v>
      </c>
      <c r="B370" s="5148"/>
      <c r="C370" s="2263" t="str">
        <f t="shared" si="39"/>
        <v>Sustituir característica por 9</v>
      </c>
      <c r="D370" s="2266">
        <f t="shared" si="40"/>
        <v>104</v>
      </c>
      <c r="E370" s="119" t="s">
        <v>2840</v>
      </c>
      <c r="F370" s="373">
        <v>1</v>
      </c>
      <c r="G370" s="373">
        <f>COUNTIF(Principal!$C$35:$J$53,Tablas!E370)</f>
        <v>0</v>
      </c>
      <c r="H370" s="2274">
        <f t="shared" si="38"/>
        <v>0</v>
      </c>
      <c r="I370" s="2279"/>
      <c r="J370" s="2283" t="s">
        <v>3279</v>
      </c>
      <c r="N370" s="363"/>
      <c r="AB370" s="363"/>
      <c r="AC370" s="2563"/>
      <c r="AG370" s="1653"/>
      <c r="AM370" s="1999"/>
    </row>
    <row r="371" spans="1:39" ht="12.75" customHeight="1" x14ac:dyDescent="0.2">
      <c r="A371" s="1916">
        <v>371</v>
      </c>
      <c r="B371" s="5148"/>
      <c r="C371" s="2263" t="str">
        <f t="shared" si="39"/>
        <v>Tamaño no natural +1</v>
      </c>
      <c r="D371" s="2266">
        <f t="shared" si="40"/>
        <v>-3</v>
      </c>
      <c r="E371" s="119" t="s">
        <v>2858</v>
      </c>
      <c r="F371" s="373"/>
      <c r="G371" s="373"/>
      <c r="H371" s="2274"/>
      <c r="I371" s="2279"/>
      <c r="J371" s="2283" t="s">
        <v>3279</v>
      </c>
      <c r="N371" s="363"/>
      <c r="AB371" s="363"/>
      <c r="AC371" s="2563"/>
      <c r="AG371" s="1653"/>
      <c r="AM371" s="1999"/>
    </row>
    <row r="372" spans="1:39" ht="12.75" customHeight="1" x14ac:dyDescent="0.2">
      <c r="A372" s="1916">
        <v>372</v>
      </c>
      <c r="B372" s="5148"/>
      <c r="C372" s="2263" t="str">
        <f t="shared" si="39"/>
        <v>Tamaño no natural +2</v>
      </c>
      <c r="D372" s="2266">
        <f t="shared" si="40"/>
        <v>8</v>
      </c>
      <c r="E372" s="119" t="s">
        <v>2859</v>
      </c>
      <c r="F372" s="373">
        <v>2</v>
      </c>
      <c r="G372" s="373">
        <f>COUNTIF(Principal!$C$35:$J$53,Tablas!E372)</f>
        <v>0</v>
      </c>
      <c r="H372" s="2274">
        <f t="shared" ref="H372:H382" si="41">G372*F372</f>
        <v>0</v>
      </c>
      <c r="I372" s="2279"/>
      <c r="J372" s="2283" t="s">
        <v>3279</v>
      </c>
      <c r="N372" s="363"/>
      <c r="AB372" s="363"/>
      <c r="AC372" s="2563"/>
      <c r="AG372" s="1653"/>
      <c r="AM372" s="1999"/>
    </row>
    <row r="373" spans="1:39" ht="12.75" customHeight="1" x14ac:dyDescent="0.2">
      <c r="A373" s="1916">
        <v>373</v>
      </c>
      <c r="B373" s="5148"/>
      <c r="C373" s="2263" t="str">
        <f t="shared" si="39"/>
        <v>Tamaño no natural +3</v>
      </c>
      <c r="D373" s="2266">
        <f t="shared" si="40"/>
        <v>31</v>
      </c>
      <c r="E373" s="119" t="s">
        <v>2860</v>
      </c>
      <c r="F373" s="373">
        <v>1</v>
      </c>
      <c r="G373" s="373">
        <f>COUNTIF(Principal!$C$35:$J$53,Tablas!E373)</f>
        <v>0</v>
      </c>
      <c r="H373" s="2274">
        <f t="shared" si="41"/>
        <v>0</v>
      </c>
      <c r="I373" s="2279"/>
      <c r="J373" s="2283" t="s">
        <v>3279</v>
      </c>
      <c r="N373" s="363"/>
      <c r="AB373" s="363"/>
      <c r="AC373" s="2563"/>
      <c r="AG373" s="1653"/>
      <c r="AM373" s="1999"/>
    </row>
    <row r="374" spans="1:39" ht="12.75" customHeight="1" x14ac:dyDescent="0.2">
      <c r="A374" s="1916">
        <v>374</v>
      </c>
      <c r="B374" s="5148"/>
      <c r="C374" s="2263" t="str">
        <f t="shared" si="39"/>
        <v>Tamaño no natural +4</v>
      </c>
      <c r="D374" s="2266">
        <f t="shared" si="40"/>
        <v>77</v>
      </c>
      <c r="E374" s="119" t="s">
        <v>2861</v>
      </c>
      <c r="F374" s="373">
        <v>1</v>
      </c>
      <c r="G374" s="373">
        <f>COUNTIF(Principal!$C$35:$J$53,Tablas!E374)</f>
        <v>0</v>
      </c>
      <c r="H374" s="2274">
        <f t="shared" si="41"/>
        <v>0</v>
      </c>
      <c r="I374" s="2279">
        <v>1</v>
      </c>
      <c r="J374" s="2283" t="s">
        <v>3279</v>
      </c>
      <c r="N374" s="363"/>
      <c r="AB374" s="363"/>
      <c r="AC374" s="2563"/>
      <c r="AG374" s="1653"/>
      <c r="AM374" s="1999"/>
    </row>
    <row r="375" spans="1:39" ht="12.75" customHeight="1" x14ac:dyDescent="0.2">
      <c r="A375" s="1916">
        <v>375</v>
      </c>
      <c r="B375" s="5148"/>
      <c r="C375" s="2263" t="str">
        <f t="shared" si="39"/>
        <v>Tamaño no natural +5</v>
      </c>
      <c r="D375" s="2266">
        <f t="shared" si="40"/>
        <v>87</v>
      </c>
      <c r="E375" s="119" t="s">
        <v>2862</v>
      </c>
      <c r="F375" s="373">
        <v>1</v>
      </c>
      <c r="G375" s="373">
        <f>COUNTIF(Principal!$C$35:$J$53,Tablas!E375)</f>
        <v>0</v>
      </c>
      <c r="H375" s="2274">
        <f t="shared" si="41"/>
        <v>0</v>
      </c>
      <c r="I375" s="2279">
        <v>1</v>
      </c>
      <c r="J375" s="2283" t="s">
        <v>3279</v>
      </c>
      <c r="N375" s="363"/>
      <c r="AB375" s="363"/>
      <c r="AC375" s="2563"/>
      <c r="AG375" s="1653"/>
      <c r="AM375" s="1999"/>
    </row>
    <row r="376" spans="1:39" ht="12.75" customHeight="1" x14ac:dyDescent="0.2">
      <c r="A376" s="1916">
        <v>376</v>
      </c>
      <c r="B376" s="5148"/>
      <c r="C376" s="2263" t="str">
        <f t="shared" si="39"/>
        <v>Tamaño no natural -1</v>
      </c>
      <c r="D376" s="2266">
        <f t="shared" si="40"/>
        <v>125</v>
      </c>
      <c r="E376" s="119" t="s">
        <v>2863</v>
      </c>
      <c r="F376" s="373">
        <v>1</v>
      </c>
      <c r="G376" s="373">
        <f>COUNTIF(Principal!$C$35:$J$53,Tablas!E376)</f>
        <v>0</v>
      </c>
      <c r="H376" s="2274">
        <f t="shared" si="41"/>
        <v>0</v>
      </c>
      <c r="I376" s="2279"/>
      <c r="J376" s="2283" t="s">
        <v>3279</v>
      </c>
      <c r="N376" s="363"/>
      <c r="AB376" s="363"/>
      <c r="AC376" s="2563"/>
      <c r="AG376" s="1653"/>
      <c r="AM376" s="1999"/>
    </row>
    <row r="377" spans="1:39" ht="12.75" customHeight="1" x14ac:dyDescent="0.2">
      <c r="A377" s="1916">
        <v>377</v>
      </c>
      <c r="B377" s="5148"/>
      <c r="C377" s="2263" t="str">
        <f t="shared" si="39"/>
        <v>Tamaño no natural -2</v>
      </c>
      <c r="D377" s="2266">
        <f t="shared" si="40"/>
        <v>1</v>
      </c>
      <c r="E377" s="119" t="s">
        <v>2864</v>
      </c>
      <c r="F377" s="373">
        <v>1</v>
      </c>
      <c r="G377" s="373">
        <f>COUNTIF(Principal!$C$35:$J$53,Tablas!E377)</f>
        <v>0</v>
      </c>
      <c r="H377" s="2274">
        <f t="shared" si="41"/>
        <v>0</v>
      </c>
      <c r="I377" s="2279"/>
      <c r="J377" s="2283" t="s">
        <v>3279</v>
      </c>
      <c r="N377" s="363"/>
      <c r="AB377" s="363"/>
      <c r="AC377" s="2563"/>
      <c r="AG377" s="1653"/>
      <c r="AM377" s="1999"/>
    </row>
    <row r="378" spans="1:39" ht="12.75" customHeight="1" x14ac:dyDescent="0.2">
      <c r="A378" s="1916">
        <v>378</v>
      </c>
      <c r="B378" s="5148"/>
      <c r="C378" s="2263" t="str">
        <f t="shared" si="39"/>
        <v>Tamaño no natural -3</v>
      </c>
      <c r="D378" s="2266">
        <f t="shared" si="40"/>
        <v>2</v>
      </c>
      <c r="E378" s="119" t="s">
        <v>2865</v>
      </c>
      <c r="F378" s="373">
        <v>2</v>
      </c>
      <c r="G378" s="373">
        <f>COUNTIF(Principal!$C$35:$J$53,Tablas!E378)</f>
        <v>0</v>
      </c>
      <c r="H378" s="2274">
        <f t="shared" si="41"/>
        <v>0</v>
      </c>
      <c r="I378" s="2279"/>
      <c r="J378" s="2283" t="s">
        <v>3279</v>
      </c>
      <c r="N378" s="363"/>
      <c r="AB378" s="363"/>
      <c r="AC378" s="2563"/>
      <c r="AG378" s="1653"/>
      <c r="AM378" s="1999"/>
    </row>
    <row r="379" spans="1:39" ht="12.75" customHeight="1" x14ac:dyDescent="0.2">
      <c r="A379" s="1916">
        <v>379</v>
      </c>
      <c r="B379" s="5148"/>
      <c r="C379" s="2263" t="str">
        <f t="shared" si="39"/>
        <v>Tamaño no natural -4</v>
      </c>
      <c r="D379" s="2266">
        <f t="shared" si="40"/>
        <v>86</v>
      </c>
      <c r="E379" s="119" t="s">
        <v>2866</v>
      </c>
      <c r="F379" s="373">
        <v>1</v>
      </c>
      <c r="G379" s="373">
        <f>COUNTIF(Principal!$C$35:$J$53,Tablas!E379)</f>
        <v>0</v>
      </c>
      <c r="H379" s="2274">
        <f t="shared" si="41"/>
        <v>0</v>
      </c>
      <c r="I379" s="2279">
        <v>1</v>
      </c>
      <c r="J379" s="2283" t="s">
        <v>3279</v>
      </c>
      <c r="N379" s="363"/>
      <c r="AB379" s="363"/>
      <c r="AC379" s="2563"/>
      <c r="AG379" s="1653"/>
      <c r="AM379" s="1999"/>
    </row>
    <row r="380" spans="1:39" ht="12.75" customHeight="1" x14ac:dyDescent="0.2">
      <c r="A380" s="1916">
        <v>380</v>
      </c>
      <c r="B380" s="5148"/>
      <c r="C380" s="2263" t="str">
        <f t="shared" si="39"/>
        <v>Tamaño no natural -5</v>
      </c>
      <c r="D380" s="2266">
        <f t="shared" si="40"/>
        <v>79</v>
      </c>
      <c r="E380" s="119" t="s">
        <v>2867</v>
      </c>
      <c r="F380" s="373">
        <v>1</v>
      </c>
      <c r="G380" s="373">
        <f>COUNTIF(Principal!$C$35:$J$53,Tablas!E380)</f>
        <v>0</v>
      </c>
      <c r="H380" s="2274">
        <f t="shared" si="41"/>
        <v>0</v>
      </c>
      <c r="I380" s="2279">
        <v>1</v>
      </c>
      <c r="J380" s="2283" t="s">
        <v>3279</v>
      </c>
      <c r="N380" s="363"/>
      <c r="AB380" s="363"/>
      <c r="AC380" s="2563"/>
      <c r="AG380" s="1653"/>
      <c r="AM380" s="1999"/>
    </row>
    <row r="381" spans="1:39" ht="12.75" customHeight="1" x14ac:dyDescent="0.2">
      <c r="A381" s="1916">
        <v>381</v>
      </c>
      <c r="B381" s="5148"/>
      <c r="C381" s="2263" t="str">
        <f t="shared" si="39"/>
        <v>Técnicas desvinculadas</v>
      </c>
      <c r="D381" s="2266">
        <f t="shared" si="40"/>
        <v>76</v>
      </c>
      <c r="E381" s="119" t="s">
        <v>2868</v>
      </c>
      <c r="F381" s="373">
        <v>1</v>
      </c>
      <c r="G381" s="373">
        <f>COUNTIF(Principal!$C$35:$J$53,Tablas!E381)</f>
        <v>0</v>
      </c>
      <c r="H381" s="2274">
        <f t="shared" si="41"/>
        <v>0</v>
      </c>
      <c r="I381" s="2279"/>
      <c r="J381" s="2283" t="s">
        <v>3279</v>
      </c>
      <c r="N381" s="363"/>
      <c r="AB381" s="363"/>
      <c r="AC381" s="2563"/>
      <c r="AG381" s="1653"/>
      <c r="AM381" s="1999"/>
    </row>
    <row r="382" spans="1:39" ht="12.75" customHeight="1" x14ac:dyDescent="0.2">
      <c r="A382" s="1916">
        <v>382</v>
      </c>
      <c r="B382" s="5148"/>
      <c r="C382" s="2263" t="str">
        <f t="shared" si="39"/>
        <v>Tocado por el Destino</v>
      </c>
      <c r="D382" s="2266">
        <f t="shared" si="40"/>
        <v>105</v>
      </c>
      <c r="E382" s="119" t="s">
        <v>2869</v>
      </c>
      <c r="F382" s="373">
        <v>1</v>
      </c>
      <c r="G382" s="373">
        <f>COUNTIF(Principal!$C$35:$J$53,Tablas!E382)</f>
        <v>0</v>
      </c>
      <c r="H382" s="2274">
        <f t="shared" si="41"/>
        <v>0</v>
      </c>
      <c r="I382" s="2279"/>
      <c r="J382" s="2283" t="s">
        <v>3279</v>
      </c>
      <c r="N382" s="363"/>
      <c r="AB382" s="363"/>
      <c r="AC382" s="2563"/>
      <c r="AG382" s="1653"/>
      <c r="AM382" s="1999"/>
    </row>
    <row r="383" spans="1:39" ht="12.75" customHeight="1" x14ac:dyDescent="0.2">
      <c r="A383" s="1916">
        <v>383</v>
      </c>
      <c r="B383" s="5148"/>
      <c r="C383" s="2263" t="str">
        <f t="shared" si="39"/>
        <v>Uso de armadura (1)</v>
      </c>
      <c r="D383" s="2266">
        <f t="shared" si="40"/>
        <v>-4</v>
      </c>
      <c r="E383" s="119" t="s">
        <v>2870</v>
      </c>
      <c r="F383" s="373"/>
      <c r="G383" s="373"/>
      <c r="H383" s="2274"/>
      <c r="I383" s="2279"/>
      <c r="J383" s="2283" t="s">
        <v>3279</v>
      </c>
      <c r="N383" s="363"/>
      <c r="AB383" s="363"/>
      <c r="AC383" s="2563"/>
      <c r="AG383" s="1653"/>
      <c r="AM383" s="1999"/>
    </row>
    <row r="384" spans="1:39" ht="12.75" customHeight="1" x14ac:dyDescent="0.2">
      <c r="A384" s="1916">
        <v>384</v>
      </c>
      <c r="B384" s="5148"/>
      <c r="C384" s="2263" t="str">
        <f t="shared" si="39"/>
        <v>Uso de armadura (2)</v>
      </c>
      <c r="D384" s="2266">
        <f t="shared" si="40"/>
        <v>58</v>
      </c>
      <c r="E384" s="119" t="s">
        <v>2871</v>
      </c>
      <c r="F384" s="373">
        <v>1</v>
      </c>
      <c r="G384" s="373">
        <f>COUNTIF(Principal!$C$35:$J$53,Tablas!E384)</f>
        <v>0</v>
      </c>
      <c r="H384" s="2274">
        <f t="shared" ref="H384:H390" si="42">G384*F384</f>
        <v>0</v>
      </c>
      <c r="I384" s="2279"/>
      <c r="J384" s="2283" t="s">
        <v>3279</v>
      </c>
      <c r="N384" s="363"/>
      <c r="AB384" s="363"/>
      <c r="AC384" s="2563"/>
      <c r="AG384" s="1653"/>
      <c r="AM384" s="1999"/>
    </row>
    <row r="385" spans="1:39" ht="12.75" customHeight="1" x14ac:dyDescent="0.2">
      <c r="A385" s="1916">
        <v>385</v>
      </c>
      <c r="B385" s="5148"/>
      <c r="C385" s="2263" t="str">
        <f t="shared" ref="C385:C388" si="43">VLOOKUP(A129,$D$257:$E$397,2,0)</f>
        <v>Uso de armadura (3)</v>
      </c>
      <c r="D385" s="2266">
        <f t="shared" ref="D385:D393" si="44">COUNTIF($E$256:$E$392,"&lt;="&amp;E385)-COUNTIF($E$256:$E$392,"*&gt;*")</f>
        <v>63</v>
      </c>
      <c r="E385" s="119" t="s">
        <v>7696</v>
      </c>
      <c r="F385" s="373">
        <v>1</v>
      </c>
      <c r="G385" s="373">
        <f>COUNTIF(Principal!$C$35:$J$53,Tablas!E385)</f>
        <v>0</v>
      </c>
      <c r="H385" s="2274">
        <f t="shared" si="42"/>
        <v>0</v>
      </c>
      <c r="I385" s="2279"/>
      <c r="J385" s="2283" t="s">
        <v>3279</v>
      </c>
      <c r="N385" s="363"/>
      <c r="AB385" s="363"/>
      <c r="AC385" s="2563"/>
      <c r="AG385" s="1653"/>
      <c r="AM385" s="1999"/>
    </row>
    <row r="386" spans="1:39" ht="12.75" customHeight="1" x14ac:dyDescent="0.2">
      <c r="A386" s="1916">
        <v>386</v>
      </c>
      <c r="B386" s="5148"/>
      <c r="C386" s="2263" t="str">
        <f t="shared" si="43"/>
        <v>Ver lo sobrenatural</v>
      </c>
      <c r="D386" s="2266">
        <f t="shared" si="44"/>
        <v>64</v>
      </c>
      <c r="E386" s="119" t="s">
        <v>2872</v>
      </c>
      <c r="F386" s="373">
        <v>2</v>
      </c>
      <c r="G386" s="373">
        <f>COUNTIF(Principal!$C$35:$J$53,Tablas!E386)</f>
        <v>0</v>
      </c>
      <c r="H386" s="2274">
        <f t="shared" si="42"/>
        <v>0</v>
      </c>
      <c r="I386" s="2279"/>
      <c r="J386" s="2283" t="s">
        <v>3279</v>
      </c>
      <c r="N386" s="363"/>
      <c r="AB386" s="363"/>
      <c r="AC386" s="2563"/>
      <c r="AG386" s="1653"/>
      <c r="AM386" s="1999"/>
    </row>
    <row r="387" spans="1:39" ht="12.75" customHeight="1" x14ac:dyDescent="0.2">
      <c r="A387" s="1916">
        <v>387</v>
      </c>
      <c r="B387" s="5148"/>
      <c r="C387" s="2263" t="str">
        <f t="shared" si="43"/>
        <v>Versátil</v>
      </c>
      <c r="D387" s="2266">
        <f t="shared" si="44"/>
        <v>65</v>
      </c>
      <c r="E387" s="119" t="s">
        <v>2873</v>
      </c>
      <c r="F387" s="373">
        <v>3</v>
      </c>
      <c r="G387" s="373">
        <f>COUNTIF(Principal!$C$35:$J$53,Tablas!E387)</f>
        <v>0</v>
      </c>
      <c r="H387" s="2274">
        <f t="shared" si="42"/>
        <v>0</v>
      </c>
      <c r="I387" s="2279"/>
      <c r="J387" s="2283" t="s">
        <v>3279</v>
      </c>
      <c r="N387" s="363"/>
      <c r="AB387" s="363"/>
      <c r="AC387" s="2563"/>
      <c r="AG387" s="1653"/>
      <c r="AM387" s="1999"/>
    </row>
    <row r="388" spans="1:39" ht="12.75" customHeight="1" x14ac:dyDescent="0.2">
      <c r="A388" s="1916">
        <v>388</v>
      </c>
      <c r="B388" s="5148"/>
      <c r="C388" s="2263" t="str">
        <f t="shared" si="43"/>
        <v>Visión nocturna</v>
      </c>
      <c r="D388" s="2266">
        <f t="shared" si="44"/>
        <v>50</v>
      </c>
      <c r="E388" s="119" t="s">
        <v>2874</v>
      </c>
      <c r="F388" s="373">
        <v>1</v>
      </c>
      <c r="G388" s="373">
        <f>COUNTIF(Principal!$C$35:$J$53,Tablas!E388)</f>
        <v>0</v>
      </c>
      <c r="H388" s="2274">
        <f t="shared" si="42"/>
        <v>0</v>
      </c>
      <c r="I388" s="2279">
        <v>1</v>
      </c>
      <c r="J388" s="2283" t="s">
        <v>3279</v>
      </c>
      <c r="N388" s="363"/>
      <c r="AB388" s="363"/>
      <c r="AC388" s="2563"/>
      <c r="AG388" s="1653"/>
      <c r="AM388" s="1999"/>
    </row>
    <row r="389" spans="1:39" ht="12.75" customHeight="1" x14ac:dyDescent="0.2">
      <c r="A389" s="1916">
        <v>389</v>
      </c>
      <c r="B389" s="5148"/>
      <c r="C389" s="2263" t="str">
        <f>E393</f>
        <v>&gt; VENTAJAS PRESONALIZADAS</v>
      </c>
      <c r="D389" s="2266">
        <f t="shared" si="44"/>
        <v>51</v>
      </c>
      <c r="E389" s="119" t="s">
        <v>2875</v>
      </c>
      <c r="F389" s="373">
        <v>2</v>
      </c>
      <c r="G389" s="373">
        <f>COUNTIF(Principal!$C$35:$J$53,Tablas!E389)</f>
        <v>0</v>
      </c>
      <c r="H389" s="2274">
        <f t="shared" si="42"/>
        <v>0</v>
      </c>
      <c r="I389" s="2279">
        <v>1</v>
      </c>
      <c r="J389" s="2283" t="s">
        <v>3279</v>
      </c>
      <c r="N389" s="363"/>
      <c r="AB389" s="363"/>
      <c r="AC389" s="2563"/>
      <c r="AG389" s="1653"/>
      <c r="AM389" s="1999"/>
    </row>
    <row r="390" spans="1:39" ht="12.75" customHeight="1" x14ac:dyDescent="0.2">
      <c r="A390" s="1916">
        <v>390</v>
      </c>
      <c r="B390" s="5148"/>
      <c r="C390" s="2263" t="str">
        <f>E394</f>
        <v>Ventaja #1</v>
      </c>
      <c r="D390" s="2266">
        <f t="shared" si="44"/>
        <v>52</v>
      </c>
      <c r="E390" s="119" t="s">
        <v>2876</v>
      </c>
      <c r="F390" s="373">
        <v>3</v>
      </c>
      <c r="G390" s="373">
        <f>COUNTIF(Principal!$C$35:$J$53,Tablas!E390)</f>
        <v>0</v>
      </c>
      <c r="H390" s="2274">
        <f t="shared" si="42"/>
        <v>0</v>
      </c>
      <c r="I390" s="2279">
        <v>1</v>
      </c>
      <c r="J390" s="2283" t="s">
        <v>3279</v>
      </c>
      <c r="N390" s="363"/>
      <c r="AB390" s="363"/>
      <c r="AC390" s="2563"/>
      <c r="AG390" s="1653"/>
      <c r="AM390" s="1999"/>
    </row>
    <row r="391" spans="1:39" ht="12.75" customHeight="1" x14ac:dyDescent="0.2">
      <c r="A391" s="1916">
        <v>391</v>
      </c>
      <c r="B391" s="5148"/>
      <c r="C391" s="2263" t="str">
        <f t="shared" ref="C391:C393" si="45">E395</f>
        <v>Ventaja #2</v>
      </c>
      <c r="D391" s="2266">
        <f t="shared" si="44"/>
        <v>-2</v>
      </c>
      <c r="E391" s="119" t="s">
        <v>2881</v>
      </c>
      <c r="F391" s="373"/>
      <c r="G391" s="373"/>
      <c r="H391" s="2274"/>
      <c r="I391" s="2279"/>
      <c r="J391" s="2283" t="s">
        <v>3279</v>
      </c>
      <c r="N391" s="363"/>
      <c r="AB391" s="363"/>
      <c r="AC391" s="2563"/>
      <c r="AG391" s="1653"/>
      <c r="AM391" s="1999"/>
    </row>
    <row r="392" spans="1:39" ht="12.75" customHeight="1" x14ac:dyDescent="0.2">
      <c r="A392" s="1916">
        <v>392</v>
      </c>
      <c r="B392" s="5148"/>
      <c r="C392" s="2263" t="str">
        <f t="shared" si="45"/>
        <v>Ventaja #3</v>
      </c>
      <c r="D392" s="2266">
        <f t="shared" si="44"/>
        <v>10</v>
      </c>
      <c r="E392" s="119" t="s">
        <v>2882</v>
      </c>
      <c r="F392" s="373">
        <v>1</v>
      </c>
      <c r="G392" s="373">
        <f>COUNTIF(Principal!$C$35:$J$53,Tablas!E392)</f>
        <v>0</v>
      </c>
      <c r="H392" s="2274">
        <f>G392*F392</f>
        <v>0</v>
      </c>
      <c r="I392" s="2279"/>
      <c r="J392" s="2283" t="s">
        <v>3279</v>
      </c>
      <c r="N392" s="363"/>
      <c r="AB392" s="363"/>
      <c r="AC392" s="2563"/>
      <c r="AG392" s="1653"/>
      <c r="AM392" s="1999"/>
    </row>
    <row r="393" spans="1:39" ht="12.75" customHeight="1" x14ac:dyDescent="0.2">
      <c r="A393" s="1916">
        <v>393</v>
      </c>
      <c r="B393" s="5148"/>
      <c r="C393" s="2263" t="str">
        <f t="shared" si="45"/>
        <v>Ventaja #4</v>
      </c>
      <c r="D393" s="2266">
        <f t="shared" si="44"/>
        <v>0</v>
      </c>
      <c r="E393" s="119" t="s">
        <v>2883</v>
      </c>
      <c r="F393" s="373"/>
      <c r="G393" s="373"/>
      <c r="H393" s="2274"/>
      <c r="I393" s="2279"/>
      <c r="J393" s="2283" t="s">
        <v>3279</v>
      </c>
      <c r="N393" s="363"/>
      <c r="AB393" s="363"/>
      <c r="AC393" s="2563"/>
      <c r="AG393" s="1653"/>
      <c r="AM393" s="1999"/>
    </row>
    <row r="394" spans="1:39" ht="12.75" customHeight="1" x14ac:dyDescent="0.2">
      <c r="A394" s="1916">
        <v>394</v>
      </c>
      <c r="B394" s="5148"/>
      <c r="C394" s="2263"/>
      <c r="D394" s="2266">
        <f>MAX(D257:D393)+1</f>
        <v>133</v>
      </c>
      <c r="E394" s="119" t="str">
        <f>IF(Personalización!C16=0,"Ventaja #1",Personalización!C16)</f>
        <v>Ventaja #1</v>
      </c>
      <c r="F394" s="373">
        <f>Personalización!G16</f>
        <v>0</v>
      </c>
      <c r="G394" s="373">
        <f>COUNTIF(Principal!$C$35:$J$53,Tablas!E394)</f>
        <v>0</v>
      </c>
      <c r="H394" s="2274">
        <f>G394*F394</f>
        <v>0</v>
      </c>
      <c r="I394" s="2279"/>
      <c r="J394" s="2283" t="s">
        <v>3279</v>
      </c>
      <c r="N394" s="363"/>
      <c r="AB394" s="363"/>
      <c r="AC394" s="2563"/>
      <c r="AG394" s="1653"/>
      <c r="AM394" s="1999"/>
    </row>
    <row r="395" spans="1:39" ht="12.75" customHeight="1" x14ac:dyDescent="0.2">
      <c r="A395" s="1916">
        <v>395</v>
      </c>
      <c r="B395" s="5148"/>
      <c r="C395" s="2263"/>
      <c r="D395" s="2266">
        <f>D394+1</f>
        <v>134</v>
      </c>
      <c r="E395" s="119" t="str">
        <f>IF(Personalización!C17=0,"Ventaja #2",Personalización!C17)</f>
        <v>Ventaja #2</v>
      </c>
      <c r="F395" s="373">
        <f>Personalización!G17</f>
        <v>0</v>
      </c>
      <c r="G395" s="373">
        <f>COUNTIF(Principal!$C$35:$J$53,Tablas!E395)</f>
        <v>0</v>
      </c>
      <c r="H395" s="2274">
        <f>G395*F395</f>
        <v>0</v>
      </c>
      <c r="I395" s="2279"/>
      <c r="J395" s="2283" t="s">
        <v>3279</v>
      </c>
      <c r="N395" s="363"/>
      <c r="AB395" s="363"/>
      <c r="AC395" s="2563"/>
      <c r="AG395" s="1653"/>
      <c r="AM395" s="1999"/>
    </row>
    <row r="396" spans="1:39" ht="12.75" customHeight="1" x14ac:dyDescent="0.2">
      <c r="A396" s="1916">
        <v>396</v>
      </c>
      <c r="B396" s="5148"/>
      <c r="C396" s="2263"/>
      <c r="D396" s="2266">
        <f>D395+1</f>
        <v>135</v>
      </c>
      <c r="E396" s="119" t="str">
        <f>IF(Personalización!C18=0,"Ventaja #3",Personalización!C18)</f>
        <v>Ventaja #3</v>
      </c>
      <c r="F396" s="373">
        <f>Personalización!G18</f>
        <v>0</v>
      </c>
      <c r="G396" s="373">
        <f>COUNTIF(Principal!$C$35:$J$53,Tablas!E396)</f>
        <v>0</v>
      </c>
      <c r="H396" s="2274">
        <f>G396*F396</f>
        <v>0</v>
      </c>
      <c r="I396" s="2279"/>
      <c r="J396" s="2283" t="s">
        <v>3279</v>
      </c>
      <c r="N396" s="363"/>
      <c r="AB396" s="363"/>
      <c r="AC396" s="2563"/>
      <c r="AG396" s="1653"/>
      <c r="AM396" s="1999"/>
    </row>
    <row r="397" spans="1:39" ht="12.75" customHeight="1" x14ac:dyDescent="0.2">
      <c r="A397" s="1916">
        <v>397</v>
      </c>
      <c r="B397" s="5148"/>
      <c r="C397" s="2265"/>
      <c r="D397" s="2266">
        <f>D396+1</f>
        <v>136</v>
      </c>
      <c r="E397" s="119" t="str">
        <f>IF(Personalización!C19=0,"Ventaja #4",Personalización!C19)</f>
        <v>Ventaja #4</v>
      </c>
      <c r="F397" s="373">
        <f>Personalización!G19</f>
        <v>0</v>
      </c>
      <c r="G397" s="373">
        <f>COUNTIF(Principal!$C$35:$J$53,Tablas!E397)</f>
        <v>0</v>
      </c>
      <c r="H397" s="2274">
        <f>G397*F397</f>
        <v>0</v>
      </c>
      <c r="I397" s="2279"/>
      <c r="J397" s="2283" t="s">
        <v>3279</v>
      </c>
      <c r="N397" s="363"/>
      <c r="AB397" s="363"/>
      <c r="AC397" s="2563"/>
      <c r="AG397" s="1653"/>
      <c r="AM397" s="1999"/>
    </row>
    <row r="398" spans="1:39" ht="12.75" customHeight="1" x14ac:dyDescent="0.2">
      <c r="A398" s="1916">
        <v>398</v>
      </c>
      <c r="B398" s="5148"/>
      <c r="C398" s="1658"/>
      <c r="D398" s="2267"/>
      <c r="E398" s="2262" t="s">
        <v>2722</v>
      </c>
      <c r="F398" s="1987"/>
      <c r="G398" s="1987"/>
      <c r="H398" s="2275"/>
      <c r="I398" s="2278"/>
      <c r="J398" s="2282" t="s">
        <v>2657</v>
      </c>
      <c r="N398" s="363"/>
      <c r="AB398" s="363"/>
      <c r="AC398" s="2563"/>
      <c r="AG398" s="1653"/>
      <c r="AM398" s="1999"/>
    </row>
    <row r="399" spans="1:39" ht="12.75" customHeight="1" x14ac:dyDescent="0.2">
      <c r="A399" s="1916">
        <v>399</v>
      </c>
      <c r="B399" s="5148"/>
      <c r="C399" s="1658"/>
      <c r="D399" s="2266">
        <f t="shared" ref="D399:D442" si="46">COUNTIF($E$399:$E$442,"&lt;="&amp;E399)-COUNTIF($E$399:$E$442,"*&gt;*")</f>
        <v>39</v>
      </c>
      <c r="E399" s="119" t="s">
        <v>2723</v>
      </c>
      <c r="F399" s="373">
        <v>1</v>
      </c>
      <c r="G399" s="373">
        <f>COUNTIF(Principal!$C$35:$J$53,Tablas!E399)</f>
        <v>0</v>
      </c>
      <c r="H399" s="2274">
        <f t="shared" ref="H399:H431" si="47">G399*F399</f>
        <v>0</v>
      </c>
      <c r="I399" s="2279">
        <v>1</v>
      </c>
      <c r="J399" s="2283" t="s">
        <v>2657</v>
      </c>
      <c r="N399" s="363"/>
      <c r="AB399" s="363"/>
      <c r="AC399" s="2563"/>
      <c r="AG399" s="1653"/>
      <c r="AM399" s="1999"/>
    </row>
    <row r="400" spans="1:39" ht="12.75" customHeight="1" x14ac:dyDescent="0.2">
      <c r="A400" s="1916">
        <v>400</v>
      </c>
      <c r="B400" s="5148"/>
      <c r="C400" s="1658" t="str">
        <f>E398</f>
        <v>&gt; VENTAJAS: DON</v>
      </c>
      <c r="D400" s="2266">
        <f t="shared" si="46"/>
        <v>40</v>
      </c>
      <c r="E400" s="119" t="s">
        <v>2724</v>
      </c>
      <c r="F400" s="373">
        <v>2</v>
      </c>
      <c r="G400" s="373">
        <f>COUNTIF(Principal!$C$35:$J$53,Tablas!E400)</f>
        <v>0</v>
      </c>
      <c r="H400" s="2274">
        <f t="shared" si="47"/>
        <v>0</v>
      </c>
      <c r="I400" s="2279">
        <v>1</v>
      </c>
      <c r="J400" s="2283" t="s">
        <v>2657</v>
      </c>
      <c r="N400" s="363"/>
      <c r="AB400" s="363"/>
      <c r="AC400" s="2563"/>
      <c r="AG400" s="1653"/>
      <c r="AM400" s="1999"/>
    </row>
    <row r="401" spans="1:39" ht="12.75" customHeight="1" x14ac:dyDescent="0.2">
      <c r="A401" s="1916">
        <v>401</v>
      </c>
      <c r="B401" s="5148"/>
      <c r="C401" s="2263" t="str">
        <f t="shared" ref="C401:C442" si="48">VLOOKUP(A1,$D$399:$E$442,2,0)</f>
        <v>Aprendizaje mágico gradual</v>
      </c>
      <c r="D401" s="2266">
        <f t="shared" si="46"/>
        <v>41</v>
      </c>
      <c r="E401" s="119" t="s">
        <v>2725</v>
      </c>
      <c r="F401" s="373">
        <v>3</v>
      </c>
      <c r="G401" s="373">
        <f>COUNTIF(Principal!$C$35:$J$53,Tablas!E401)</f>
        <v>0</v>
      </c>
      <c r="H401" s="2274">
        <f t="shared" si="47"/>
        <v>0</v>
      </c>
      <c r="I401" s="2279">
        <v>1</v>
      </c>
      <c r="J401" s="2283" t="s">
        <v>2657</v>
      </c>
      <c r="N401" s="363"/>
      <c r="AB401" s="363"/>
      <c r="AC401" s="2563"/>
      <c r="AG401" s="1653"/>
      <c r="AM401" s="1999"/>
    </row>
    <row r="402" spans="1:39" ht="12.75" customHeight="1" x14ac:dyDescent="0.2">
      <c r="A402" s="1916">
        <v>402</v>
      </c>
      <c r="B402" s="5148"/>
      <c r="C402" s="2263" t="str">
        <f t="shared" si="48"/>
        <v>Apto desarrollo de la magia</v>
      </c>
      <c r="D402" s="2266">
        <f t="shared" si="46"/>
        <v>2</v>
      </c>
      <c r="E402" s="119" t="s">
        <v>2726</v>
      </c>
      <c r="F402" s="373">
        <v>1</v>
      </c>
      <c r="G402" s="373">
        <f>COUNTIF(Principal!$C$35:$J$53,Tablas!E402)</f>
        <v>0</v>
      </c>
      <c r="H402" s="2274">
        <f t="shared" si="47"/>
        <v>0</v>
      </c>
      <c r="I402" s="2279">
        <v>1</v>
      </c>
      <c r="J402" s="2283" t="s">
        <v>2657</v>
      </c>
      <c r="N402" s="363"/>
      <c r="AB402" s="363"/>
      <c r="AC402" s="2563"/>
      <c r="AG402" s="1653"/>
      <c r="AM402" s="1999"/>
    </row>
    <row r="403" spans="1:39" ht="12.75" customHeight="1" x14ac:dyDescent="0.2">
      <c r="A403" s="1916">
        <v>403</v>
      </c>
      <c r="B403" s="5148"/>
      <c r="C403" s="2263" t="str">
        <f t="shared" si="48"/>
        <v>Con. natural de Vía: Agua</v>
      </c>
      <c r="D403" s="2266">
        <f t="shared" si="46"/>
        <v>10</v>
      </c>
      <c r="E403" s="119" t="s">
        <v>2727</v>
      </c>
      <c r="F403" s="373">
        <v>1</v>
      </c>
      <c r="G403" s="373">
        <f>COUNTIF(Principal!$C$35:$J$53,Tablas!E403)</f>
        <v>0</v>
      </c>
      <c r="H403" s="2274">
        <f t="shared" si="47"/>
        <v>0</v>
      </c>
      <c r="I403" s="2279">
        <v>1</v>
      </c>
      <c r="J403" s="2283" t="s">
        <v>2657</v>
      </c>
      <c r="N403" s="363"/>
      <c r="AB403" s="363"/>
      <c r="AC403" s="2563"/>
      <c r="AG403" s="1653"/>
      <c r="AM403" s="1999"/>
    </row>
    <row r="404" spans="1:39" ht="12.75" customHeight="1" x14ac:dyDescent="0.2">
      <c r="A404" s="1916">
        <v>404</v>
      </c>
      <c r="B404" s="5148"/>
      <c r="C404" s="2263" t="str">
        <f t="shared" si="48"/>
        <v>Con. natural de Vía: Aire</v>
      </c>
      <c r="D404" s="2266">
        <f t="shared" si="46"/>
        <v>12</v>
      </c>
      <c r="E404" s="119" t="s">
        <v>2728</v>
      </c>
      <c r="F404" s="373">
        <v>1</v>
      </c>
      <c r="G404" s="373">
        <f>COUNTIF(Principal!$C$35:$J$53,Tablas!E404)</f>
        <v>0</v>
      </c>
      <c r="H404" s="2274">
        <f t="shared" si="47"/>
        <v>0</v>
      </c>
      <c r="I404" s="2279">
        <v>1</v>
      </c>
      <c r="J404" s="2283" t="s">
        <v>2657</v>
      </c>
      <c r="N404" s="363"/>
      <c r="AB404" s="363"/>
      <c r="AC404" s="2563"/>
      <c r="AG404" s="1653"/>
      <c r="AM404" s="1999"/>
    </row>
    <row r="405" spans="1:39" ht="12.75" customHeight="1" x14ac:dyDescent="0.2">
      <c r="A405" s="1916">
        <v>405</v>
      </c>
      <c r="B405" s="5148"/>
      <c r="C405" s="2263" t="str">
        <f t="shared" si="48"/>
        <v>Con. natural de Vía: Creación</v>
      </c>
      <c r="D405" s="2266">
        <f t="shared" si="46"/>
        <v>8</v>
      </c>
      <c r="E405" s="119" t="s">
        <v>2729</v>
      </c>
      <c r="F405" s="373">
        <v>1</v>
      </c>
      <c r="G405" s="373">
        <f>COUNTIF(Principal!$C$35:$J$53,Tablas!E405)</f>
        <v>0</v>
      </c>
      <c r="H405" s="2274">
        <f t="shared" si="47"/>
        <v>0</v>
      </c>
      <c r="I405" s="2279">
        <v>1</v>
      </c>
      <c r="J405" s="2283" t="s">
        <v>2657</v>
      </c>
      <c r="N405" s="363"/>
      <c r="AB405" s="363"/>
      <c r="AC405" s="2563"/>
      <c r="AG405" s="1653"/>
      <c r="AM405" s="1999"/>
    </row>
    <row r="406" spans="1:39" ht="12.75" customHeight="1" x14ac:dyDescent="0.2">
      <c r="A406" s="1916">
        <v>406</v>
      </c>
      <c r="B406" s="5148"/>
      <c r="C406" s="2263" t="str">
        <f t="shared" si="48"/>
        <v>Con. natural de Vía: Destruc.</v>
      </c>
      <c r="D406" s="2266">
        <f t="shared" si="46"/>
        <v>3</v>
      </c>
      <c r="E406" s="119" t="s">
        <v>2730</v>
      </c>
      <c r="F406" s="373">
        <v>1</v>
      </c>
      <c r="G406" s="373">
        <f>COUNTIF(Principal!$C$35:$J$53,Tablas!E406)</f>
        <v>0</v>
      </c>
      <c r="H406" s="2274">
        <f t="shared" si="47"/>
        <v>0</v>
      </c>
      <c r="I406" s="2279">
        <v>1</v>
      </c>
      <c r="J406" s="2283" t="s">
        <v>2657</v>
      </c>
      <c r="N406" s="363"/>
      <c r="AB406" s="363"/>
      <c r="AC406" s="2563"/>
      <c r="AG406" s="1653"/>
      <c r="AM406" s="1999"/>
    </row>
    <row r="407" spans="1:39" ht="12.75" customHeight="1" x14ac:dyDescent="0.2">
      <c r="A407" s="1916">
        <v>407</v>
      </c>
      <c r="B407" s="5148"/>
      <c r="C407" s="2263" t="str">
        <f t="shared" si="48"/>
        <v>Con. natural de Vía: Esencia</v>
      </c>
      <c r="D407" s="2266">
        <f t="shared" si="46"/>
        <v>4</v>
      </c>
      <c r="E407" s="119" t="s">
        <v>2731</v>
      </c>
      <c r="F407" s="373">
        <v>1</v>
      </c>
      <c r="G407" s="373">
        <f>COUNTIF(Principal!$C$35:$J$53,Tablas!E407)</f>
        <v>0</v>
      </c>
      <c r="H407" s="2274">
        <f t="shared" si="47"/>
        <v>0</v>
      </c>
      <c r="I407" s="2279">
        <v>1</v>
      </c>
      <c r="J407" s="2283" t="s">
        <v>2657</v>
      </c>
      <c r="N407" s="363"/>
      <c r="AB407" s="363"/>
      <c r="AC407" s="2563"/>
    </row>
    <row r="408" spans="1:39" ht="12.75" customHeight="1" x14ac:dyDescent="0.2">
      <c r="A408" s="1916">
        <v>408</v>
      </c>
      <c r="B408" s="5148"/>
      <c r="C408" s="2263" t="str">
        <f t="shared" si="48"/>
        <v>Con. natural de Vía: Fuego</v>
      </c>
      <c r="D408" s="2266">
        <f t="shared" si="46"/>
        <v>13</v>
      </c>
      <c r="E408" s="119" t="s">
        <v>2732</v>
      </c>
      <c r="F408" s="373">
        <v>1</v>
      </c>
      <c r="G408" s="373">
        <f>COUNTIF(Principal!$C$35:$J$53,Tablas!E408)</f>
        <v>0</v>
      </c>
      <c r="H408" s="2274">
        <f t="shared" si="47"/>
        <v>0</v>
      </c>
      <c r="I408" s="2279">
        <v>1</v>
      </c>
      <c r="J408" s="2283" t="s">
        <v>2657</v>
      </c>
      <c r="N408" s="363"/>
      <c r="AB408" s="363"/>
      <c r="AC408" s="2563"/>
    </row>
    <row r="409" spans="1:39" ht="12.75" customHeight="1" x14ac:dyDescent="0.2">
      <c r="A409" s="1916">
        <v>409</v>
      </c>
      <c r="B409" s="5148"/>
      <c r="C409" s="2263" t="str">
        <f t="shared" si="48"/>
        <v>Con. natural de Vía: Ilusión</v>
      </c>
      <c r="D409" s="2266">
        <f t="shared" si="46"/>
        <v>5</v>
      </c>
      <c r="E409" s="119" t="s">
        <v>2733</v>
      </c>
      <c r="F409" s="373">
        <v>1</v>
      </c>
      <c r="G409" s="373">
        <f>COUNTIF(Principal!$C$35:$J$53,Tablas!E409)</f>
        <v>0</v>
      </c>
      <c r="H409" s="2274">
        <f t="shared" si="47"/>
        <v>0</v>
      </c>
      <c r="I409" s="2279">
        <v>1</v>
      </c>
      <c r="J409" s="2283" t="s">
        <v>2657</v>
      </c>
      <c r="N409" s="363"/>
      <c r="AB409" s="363"/>
      <c r="AC409" s="2563"/>
    </row>
    <row r="410" spans="1:39" ht="12.75" customHeight="1" x14ac:dyDescent="0.2">
      <c r="A410" s="1916">
        <v>410</v>
      </c>
      <c r="B410" s="5148"/>
      <c r="C410" s="2263" t="str">
        <f t="shared" si="48"/>
        <v>Con. natural de Vía: Luz</v>
      </c>
      <c r="D410" s="2266">
        <f t="shared" si="46"/>
        <v>6</v>
      </c>
      <c r="E410" s="119" t="s">
        <v>2734</v>
      </c>
      <c r="F410" s="373">
        <v>1</v>
      </c>
      <c r="G410" s="373">
        <f>COUNTIF(Principal!$C$35:$J$53,Tablas!E410)</f>
        <v>0</v>
      </c>
      <c r="H410" s="2274">
        <f t="shared" si="47"/>
        <v>0</v>
      </c>
      <c r="I410" s="2279">
        <v>1</v>
      </c>
      <c r="J410" s="2283" t="s">
        <v>2657</v>
      </c>
      <c r="N410" s="363"/>
      <c r="AB410" s="363"/>
      <c r="AC410" s="2563"/>
    </row>
    <row r="411" spans="1:39" ht="12.75" customHeight="1" x14ac:dyDescent="0.2">
      <c r="A411" s="1916">
        <v>411</v>
      </c>
      <c r="B411" s="5148"/>
      <c r="C411" s="2263" t="str">
        <f t="shared" si="48"/>
        <v>Con. natural de Vía: Nigro.</v>
      </c>
      <c r="D411" s="2266">
        <f t="shared" si="46"/>
        <v>7</v>
      </c>
      <c r="E411" s="119" t="s">
        <v>2735</v>
      </c>
      <c r="F411" s="373">
        <v>1</v>
      </c>
      <c r="G411" s="373">
        <f>COUNTIF(Principal!$C$35:$J$53,Tablas!E411)</f>
        <v>0</v>
      </c>
      <c r="H411" s="2274">
        <f t="shared" si="47"/>
        <v>0</v>
      </c>
      <c r="I411" s="2279">
        <v>1</v>
      </c>
      <c r="J411" s="2283" t="s">
        <v>2657</v>
      </c>
      <c r="N411" s="363"/>
      <c r="AB411" s="363"/>
      <c r="AC411" s="2563"/>
    </row>
    <row r="412" spans="1:39" ht="12.75" customHeight="1" x14ac:dyDescent="0.2">
      <c r="A412" s="1916">
        <v>412</v>
      </c>
      <c r="B412" s="5148"/>
      <c r="C412" s="2263" t="str">
        <f t="shared" si="48"/>
        <v>Con. natural de Vía: Osc.</v>
      </c>
      <c r="D412" s="2266">
        <f t="shared" si="46"/>
        <v>9</v>
      </c>
      <c r="E412" s="119" t="s">
        <v>2736</v>
      </c>
      <c r="F412" s="373">
        <v>1</v>
      </c>
      <c r="G412" s="373">
        <f>COUNTIF(Principal!$C$35:$J$53,Tablas!E412)</f>
        <v>0</v>
      </c>
      <c r="H412" s="2274">
        <f t="shared" si="47"/>
        <v>0</v>
      </c>
      <c r="I412" s="2279">
        <v>1</v>
      </c>
      <c r="J412" s="2283" t="s">
        <v>2657</v>
      </c>
      <c r="N412" s="363"/>
      <c r="AB412" s="363"/>
      <c r="AC412" s="2563"/>
    </row>
    <row r="413" spans="1:39" ht="12.75" customHeight="1" x14ac:dyDescent="0.2">
      <c r="A413" s="1916">
        <v>413</v>
      </c>
      <c r="B413" s="5148"/>
      <c r="C413" s="2263" t="str">
        <f t="shared" si="48"/>
        <v>Con. natural de Vía: Tierra</v>
      </c>
      <c r="D413" s="2266">
        <f t="shared" si="46"/>
        <v>11</v>
      </c>
      <c r="E413" s="119" t="s">
        <v>2737</v>
      </c>
      <c r="F413" s="373">
        <v>1</v>
      </c>
      <c r="G413" s="373">
        <f>COUNTIF(Principal!$C$35:$J$53,Tablas!E413)</f>
        <v>0</v>
      </c>
      <c r="H413" s="2274">
        <f t="shared" si="47"/>
        <v>0</v>
      </c>
      <c r="I413" s="2279">
        <v>1</v>
      </c>
      <c r="J413" s="2283" t="s">
        <v>2657</v>
      </c>
      <c r="N413" s="363"/>
      <c r="AB413" s="363"/>
      <c r="AC413" s="2563"/>
    </row>
    <row r="414" spans="1:39" ht="12.75" customHeight="1" x14ac:dyDescent="0.2">
      <c r="A414" s="1916">
        <v>414</v>
      </c>
      <c r="B414" s="5148"/>
      <c r="C414" s="2263" t="str">
        <f t="shared" si="48"/>
        <v>Des. elemental: Agua</v>
      </c>
      <c r="D414" s="2266">
        <f t="shared" si="46"/>
        <v>30</v>
      </c>
      <c r="E414" s="119" t="s">
        <v>2738</v>
      </c>
      <c r="F414" s="373">
        <v>1</v>
      </c>
      <c r="G414" s="373">
        <f>COUNTIF(Principal!$C$35:$J$53,Tablas!E414)</f>
        <v>0</v>
      </c>
      <c r="H414" s="2274">
        <f t="shared" si="47"/>
        <v>0</v>
      </c>
      <c r="I414" s="2279">
        <v>1</v>
      </c>
      <c r="J414" s="2283" t="s">
        <v>2657</v>
      </c>
      <c r="N414" s="363"/>
      <c r="AB414" s="363"/>
      <c r="AC414" s="2563"/>
    </row>
    <row r="415" spans="1:39" ht="12.75" customHeight="1" x14ac:dyDescent="0.2">
      <c r="A415" s="1916">
        <v>415</v>
      </c>
      <c r="B415" s="5148"/>
      <c r="C415" s="2263" t="str">
        <f t="shared" si="48"/>
        <v>Des. elemental: Aire</v>
      </c>
      <c r="D415" s="2266">
        <f t="shared" si="46"/>
        <v>31</v>
      </c>
      <c r="E415" s="119" t="s">
        <v>2739</v>
      </c>
      <c r="F415" s="373">
        <v>2</v>
      </c>
      <c r="G415" s="373">
        <f>COUNTIF(Principal!$C$35:$J$53,Tablas!E415)</f>
        <v>0</v>
      </c>
      <c r="H415" s="2274">
        <f t="shared" si="47"/>
        <v>0</v>
      </c>
      <c r="I415" s="2279">
        <v>1</v>
      </c>
      <c r="J415" s="2283" t="s">
        <v>2657</v>
      </c>
      <c r="N415" s="363"/>
      <c r="AB415" s="363"/>
      <c r="AC415" s="2563"/>
    </row>
    <row r="416" spans="1:39" ht="12.75" customHeight="1" x14ac:dyDescent="0.2">
      <c r="A416" s="1916">
        <v>416</v>
      </c>
      <c r="B416" s="5148"/>
      <c r="C416" s="2263" t="str">
        <f t="shared" si="48"/>
        <v>Des. elemental: Creación</v>
      </c>
      <c r="D416" s="2266">
        <f t="shared" si="46"/>
        <v>32</v>
      </c>
      <c r="E416" s="119" t="s">
        <v>2740</v>
      </c>
      <c r="F416" s="373">
        <v>3</v>
      </c>
      <c r="G416" s="373">
        <f>COUNTIF(Principal!$C$35:$J$53,Tablas!E416)</f>
        <v>0</v>
      </c>
      <c r="H416" s="2274">
        <f t="shared" si="47"/>
        <v>0</v>
      </c>
      <c r="I416" s="2279">
        <v>1</v>
      </c>
      <c r="J416" s="2283" t="s">
        <v>2657</v>
      </c>
      <c r="N416" s="363"/>
      <c r="AB416" s="363"/>
      <c r="AC416" s="2563"/>
    </row>
    <row r="417" spans="1:29" ht="12.75" customHeight="1" x14ac:dyDescent="0.2">
      <c r="A417" s="1916">
        <v>417</v>
      </c>
      <c r="B417" s="5148"/>
      <c r="C417" s="2263" t="str">
        <f t="shared" si="48"/>
        <v>Des. elemental: Destrucción</v>
      </c>
      <c r="D417" s="2266">
        <f t="shared" si="46"/>
        <v>38</v>
      </c>
      <c r="E417" s="119" t="s">
        <v>2741</v>
      </c>
      <c r="F417" s="373">
        <v>1</v>
      </c>
      <c r="G417" s="373">
        <f>COUNTIF(Principal!$C$35:$J$53,Tablas!E417)</f>
        <v>0</v>
      </c>
      <c r="H417" s="2274">
        <f t="shared" si="47"/>
        <v>0</v>
      </c>
      <c r="I417" s="2279"/>
      <c r="J417" s="2283" t="s">
        <v>2657</v>
      </c>
      <c r="N417" s="363"/>
      <c r="AB417" s="363"/>
      <c r="AC417" s="2563"/>
    </row>
    <row r="418" spans="1:29" ht="12.75" customHeight="1" x14ac:dyDescent="0.2">
      <c r="A418" s="1916">
        <v>418</v>
      </c>
      <c r="B418" s="5148"/>
      <c r="C418" s="2263" t="str">
        <f t="shared" si="48"/>
        <v>Des. elemental: Esencia</v>
      </c>
      <c r="D418" s="2266">
        <f t="shared" si="46"/>
        <v>29</v>
      </c>
      <c r="E418" s="119" t="s">
        <v>2742</v>
      </c>
      <c r="F418" s="373">
        <v>1</v>
      </c>
      <c r="G418" s="373">
        <f>COUNTIF(Principal!$C$35:$J$53,Tablas!E418)</f>
        <v>0</v>
      </c>
      <c r="H418" s="2274">
        <f t="shared" si="47"/>
        <v>0</v>
      </c>
      <c r="I418" s="2279"/>
      <c r="J418" s="2283" t="s">
        <v>2657</v>
      </c>
      <c r="N418" s="363"/>
      <c r="AB418" s="363"/>
      <c r="AC418" s="2563"/>
    </row>
    <row r="419" spans="1:29" ht="12.75" customHeight="1" x14ac:dyDescent="0.2">
      <c r="A419" s="1916">
        <v>419</v>
      </c>
      <c r="B419" s="5148"/>
      <c r="C419" s="2263" t="str">
        <f t="shared" si="48"/>
        <v>Des. elemental: Fuego</v>
      </c>
      <c r="D419" s="2266">
        <f t="shared" si="46"/>
        <v>28</v>
      </c>
      <c r="E419" s="119" t="s">
        <v>2743</v>
      </c>
      <c r="F419" s="373">
        <v>1</v>
      </c>
      <c r="G419" s="373">
        <f>COUNTIF(Principal!$C$35:$J$53,Tablas!E419)</f>
        <v>0</v>
      </c>
      <c r="H419" s="2274">
        <f t="shared" si="47"/>
        <v>0</v>
      </c>
      <c r="I419" s="2279"/>
      <c r="J419" s="2283" t="s">
        <v>2657</v>
      </c>
      <c r="N419" s="363"/>
      <c r="AB419" s="363"/>
      <c r="AC419" s="2563"/>
    </row>
    <row r="420" spans="1:29" ht="12.75" customHeight="1" x14ac:dyDescent="0.2">
      <c r="A420" s="1916">
        <v>420</v>
      </c>
      <c r="B420" s="5148"/>
      <c r="C420" s="2263" t="str">
        <f t="shared" si="48"/>
        <v>Des. elemental: Ilusión</v>
      </c>
      <c r="D420" s="2266">
        <f t="shared" si="46"/>
        <v>21</v>
      </c>
      <c r="E420" s="119" t="s">
        <v>2744</v>
      </c>
      <c r="F420" s="373">
        <v>1</v>
      </c>
      <c r="G420" s="373">
        <f>COUNTIF(Principal!$C$35:$J$53,Tablas!E420)</f>
        <v>0</v>
      </c>
      <c r="H420" s="2274">
        <f t="shared" si="47"/>
        <v>0</v>
      </c>
      <c r="I420" s="2279">
        <v>1</v>
      </c>
      <c r="J420" s="2283" t="s">
        <v>2657</v>
      </c>
      <c r="N420" s="363"/>
      <c r="AB420" s="363"/>
      <c r="AC420" s="2563"/>
    </row>
    <row r="421" spans="1:29" ht="12.75" customHeight="1" x14ac:dyDescent="0.2">
      <c r="A421" s="1916">
        <v>421</v>
      </c>
      <c r="B421" s="5148"/>
      <c r="C421" s="2263" t="str">
        <f t="shared" si="48"/>
        <v>Des. elemental: Luz</v>
      </c>
      <c r="D421" s="2266">
        <f t="shared" si="46"/>
        <v>23</v>
      </c>
      <c r="E421" s="119" t="s">
        <v>2745</v>
      </c>
      <c r="F421" s="373">
        <v>1</v>
      </c>
      <c r="G421" s="373">
        <f>COUNTIF(Principal!$C$35:$J$53,Tablas!E421)</f>
        <v>0</v>
      </c>
      <c r="H421" s="2274">
        <f t="shared" si="47"/>
        <v>0</v>
      </c>
      <c r="I421" s="2279">
        <v>1</v>
      </c>
      <c r="J421" s="2283" t="s">
        <v>2657</v>
      </c>
      <c r="N421" s="363"/>
      <c r="AB421" s="363"/>
      <c r="AC421" s="2563"/>
    </row>
    <row r="422" spans="1:29" ht="12.75" customHeight="1" x14ac:dyDescent="0.2">
      <c r="A422" s="1916">
        <v>422</v>
      </c>
      <c r="B422" s="5148"/>
      <c r="C422" s="2263" t="str">
        <f t="shared" si="48"/>
        <v>Des. elemental: Nigromancia</v>
      </c>
      <c r="D422" s="2266">
        <f t="shared" si="46"/>
        <v>19</v>
      </c>
      <c r="E422" s="119" t="s">
        <v>2746</v>
      </c>
      <c r="F422" s="373">
        <v>1</v>
      </c>
      <c r="G422" s="373">
        <f>COUNTIF(Principal!$C$35:$J$53,Tablas!E422)</f>
        <v>0</v>
      </c>
      <c r="H422" s="2274">
        <f t="shared" si="47"/>
        <v>0</v>
      </c>
      <c r="I422" s="2279">
        <v>1</v>
      </c>
      <c r="J422" s="2283" t="s">
        <v>2657</v>
      </c>
      <c r="N422" s="363"/>
      <c r="AB422" s="363"/>
      <c r="AC422" s="2563"/>
    </row>
    <row r="423" spans="1:29" ht="12.75" customHeight="1" x14ac:dyDescent="0.2">
      <c r="A423" s="1916">
        <v>423</v>
      </c>
      <c r="B423" s="5148"/>
      <c r="C423" s="2263" t="str">
        <f t="shared" si="48"/>
        <v>Des. elemental: Oscuridad</v>
      </c>
      <c r="D423" s="2266">
        <f t="shared" si="46"/>
        <v>14</v>
      </c>
      <c r="E423" s="119" t="s">
        <v>2747</v>
      </c>
      <c r="F423" s="373">
        <v>1</v>
      </c>
      <c r="G423" s="373">
        <f>COUNTIF(Principal!$C$35:$J$53,Tablas!E423)</f>
        <v>0</v>
      </c>
      <c r="H423" s="2274">
        <f t="shared" si="47"/>
        <v>0</v>
      </c>
      <c r="I423" s="2279">
        <v>1</v>
      </c>
      <c r="J423" s="2283" t="s">
        <v>2657</v>
      </c>
      <c r="N423" s="363"/>
      <c r="AB423" s="363"/>
      <c r="AC423" s="2563"/>
    </row>
    <row r="424" spans="1:29" ht="12.75" customHeight="1" x14ac:dyDescent="0.2">
      <c r="A424" s="1916">
        <v>424</v>
      </c>
      <c r="B424" s="5148"/>
      <c r="C424" s="2263" t="str">
        <f t="shared" si="48"/>
        <v>Des. elemental: Tierra</v>
      </c>
      <c r="D424" s="2266">
        <f t="shared" si="46"/>
        <v>15</v>
      </c>
      <c r="E424" s="119" t="s">
        <v>2748</v>
      </c>
      <c r="F424" s="373">
        <v>1</v>
      </c>
      <c r="G424" s="373">
        <f>COUNTIF(Principal!$C$35:$J$53,Tablas!E424)</f>
        <v>0</v>
      </c>
      <c r="H424" s="2274">
        <f t="shared" si="47"/>
        <v>0</v>
      </c>
      <c r="I424" s="2279">
        <v>1</v>
      </c>
      <c r="J424" s="2283" t="s">
        <v>2657</v>
      </c>
      <c r="N424" s="363"/>
      <c r="AB424" s="363"/>
      <c r="AC424" s="2563"/>
    </row>
    <row r="425" spans="1:29" ht="12.75" customHeight="1" x14ac:dyDescent="0.2">
      <c r="A425" s="1916">
        <v>425</v>
      </c>
      <c r="B425" s="5148"/>
      <c r="C425" s="2263" t="str">
        <f t="shared" si="48"/>
        <v>Desequilibrio sephirótico</v>
      </c>
      <c r="D425" s="2266">
        <f t="shared" si="46"/>
        <v>24</v>
      </c>
      <c r="E425" s="119" t="s">
        <v>2749</v>
      </c>
      <c r="F425" s="373">
        <v>1</v>
      </c>
      <c r="G425" s="373">
        <f>COUNTIF(Principal!$C$35:$J$53,Tablas!E425)</f>
        <v>0</v>
      </c>
      <c r="H425" s="2274">
        <f t="shared" si="47"/>
        <v>0</v>
      </c>
      <c r="I425" s="2279">
        <v>1</v>
      </c>
      <c r="J425" s="2283" t="s">
        <v>2657</v>
      </c>
      <c r="N425" s="363"/>
      <c r="AB425" s="363"/>
      <c r="AC425" s="2563"/>
    </row>
    <row r="426" spans="1:29" ht="12.75" customHeight="1" x14ac:dyDescent="0.2">
      <c r="A426" s="1916">
        <v>426</v>
      </c>
      <c r="B426" s="5148"/>
      <c r="C426" s="2263" t="str">
        <f t="shared" si="48"/>
        <v>Dicción mágica</v>
      </c>
      <c r="D426" s="2266">
        <f t="shared" si="46"/>
        <v>16</v>
      </c>
      <c r="E426" s="119" t="s">
        <v>2750</v>
      </c>
      <c r="F426" s="373">
        <v>1</v>
      </c>
      <c r="G426" s="373">
        <f>COUNTIF(Principal!$C$35:$J$53,Tablas!E426)</f>
        <v>0</v>
      </c>
      <c r="H426" s="2274">
        <f t="shared" si="47"/>
        <v>0</v>
      </c>
      <c r="I426" s="2279">
        <v>1</v>
      </c>
      <c r="J426" s="2283" t="s">
        <v>2657</v>
      </c>
      <c r="N426" s="363"/>
      <c r="AB426" s="363"/>
      <c r="AC426" s="2563"/>
    </row>
    <row r="427" spans="1:29" ht="12.75" customHeight="1" x14ac:dyDescent="0.2">
      <c r="A427" s="1916">
        <v>427</v>
      </c>
      <c r="B427" s="5148"/>
      <c r="C427" s="2263" t="str">
        <f t="shared" si="48"/>
        <v>Hechicero nato</v>
      </c>
      <c r="D427" s="2266">
        <f t="shared" si="46"/>
        <v>17</v>
      </c>
      <c r="E427" s="119" t="s">
        <v>2751</v>
      </c>
      <c r="F427" s="373">
        <v>1</v>
      </c>
      <c r="G427" s="373">
        <f>COUNTIF(Principal!$C$35:$J$53,Tablas!E427)</f>
        <v>0</v>
      </c>
      <c r="H427" s="2274">
        <f t="shared" si="47"/>
        <v>0</v>
      </c>
      <c r="I427" s="2279">
        <v>1</v>
      </c>
      <c r="J427" s="2283" t="s">
        <v>2657</v>
      </c>
      <c r="N427" s="363"/>
      <c r="AB427" s="363"/>
      <c r="AC427" s="2563"/>
    </row>
    <row r="428" spans="1:29" ht="12.75" customHeight="1" x14ac:dyDescent="0.2">
      <c r="A428" s="1916">
        <v>428</v>
      </c>
      <c r="B428" s="5148"/>
      <c r="C428" s="2263" t="str">
        <f t="shared" si="48"/>
        <v>Inutilidad oral</v>
      </c>
      <c r="D428" s="2266">
        <f t="shared" si="46"/>
        <v>18</v>
      </c>
      <c r="E428" s="119" t="s">
        <v>2752</v>
      </c>
      <c r="F428" s="373">
        <v>1</v>
      </c>
      <c r="G428" s="373">
        <f>COUNTIF(Principal!$C$35:$J$53,Tablas!E428)</f>
        <v>0</v>
      </c>
      <c r="H428" s="2274">
        <f t="shared" si="47"/>
        <v>0</v>
      </c>
      <c r="I428" s="2279">
        <v>1</v>
      </c>
      <c r="J428" s="2283" t="s">
        <v>2657</v>
      </c>
      <c r="N428" s="363"/>
      <c r="AB428" s="363"/>
      <c r="AC428" s="2563"/>
    </row>
    <row r="429" spans="1:29" ht="12.75" customHeight="1" x14ac:dyDescent="0.2">
      <c r="A429" s="1916">
        <v>429</v>
      </c>
      <c r="B429" s="5148"/>
      <c r="C429" s="2263" t="str">
        <f t="shared" si="48"/>
        <v>Inutilidad somática</v>
      </c>
      <c r="D429" s="2266">
        <f t="shared" si="46"/>
        <v>20</v>
      </c>
      <c r="E429" s="119" t="s">
        <v>2753</v>
      </c>
      <c r="F429" s="373">
        <v>1</v>
      </c>
      <c r="G429" s="373">
        <f>COUNTIF(Principal!$C$35:$J$53,Tablas!E429)</f>
        <v>0</v>
      </c>
      <c r="H429" s="2274">
        <f t="shared" si="47"/>
        <v>0</v>
      </c>
      <c r="I429" s="2279">
        <v>1</v>
      </c>
      <c r="J429" s="2283" t="s">
        <v>2657</v>
      </c>
      <c r="N429" s="363"/>
      <c r="AB429" s="363"/>
      <c r="AC429" s="2563"/>
    </row>
    <row r="430" spans="1:29" ht="12.75" customHeight="1" x14ac:dyDescent="0.2">
      <c r="A430" s="1916">
        <v>430</v>
      </c>
      <c r="B430" s="5148"/>
      <c r="C430" s="2263" t="str">
        <f t="shared" si="48"/>
        <v>Magia innata mejorada (1)</v>
      </c>
      <c r="D430" s="2266">
        <f t="shared" si="46"/>
        <v>22</v>
      </c>
      <c r="E430" s="119" t="s">
        <v>2754</v>
      </c>
      <c r="F430" s="373">
        <v>1</v>
      </c>
      <c r="G430" s="373">
        <f>COUNTIF(Principal!$C$35:$J$53,Tablas!E430)</f>
        <v>0</v>
      </c>
      <c r="H430" s="2274">
        <f t="shared" si="47"/>
        <v>0</v>
      </c>
      <c r="I430" s="2279">
        <v>1</v>
      </c>
      <c r="J430" s="2283" t="s">
        <v>2657</v>
      </c>
      <c r="N430" s="363"/>
      <c r="AB430" s="363"/>
      <c r="AC430" s="2563"/>
    </row>
    <row r="431" spans="1:29" ht="12.75" customHeight="1" x14ac:dyDescent="0.2">
      <c r="A431" s="1916">
        <v>431</v>
      </c>
      <c r="B431" s="5148"/>
      <c r="C431" s="2263" t="str">
        <f t="shared" si="48"/>
        <v>Magia innata mejorada (2)</v>
      </c>
      <c r="D431" s="2266">
        <f t="shared" si="46"/>
        <v>25</v>
      </c>
      <c r="E431" s="119" t="s">
        <v>2755</v>
      </c>
      <c r="F431" s="373">
        <v>2</v>
      </c>
      <c r="G431" s="373">
        <f>COUNTIF(Principal!$C$35:$J$53,Tablas!E431)</f>
        <v>0</v>
      </c>
      <c r="H431" s="2274">
        <f t="shared" si="47"/>
        <v>0</v>
      </c>
      <c r="I431" s="2279">
        <v>1</v>
      </c>
      <c r="J431" s="2283" t="s">
        <v>2657</v>
      </c>
      <c r="N431" s="363"/>
      <c r="AB431" s="363"/>
      <c r="AC431" s="2563"/>
    </row>
    <row r="432" spans="1:29" ht="12.75" customHeight="1" x14ac:dyDescent="0.2">
      <c r="A432" s="1916">
        <v>432</v>
      </c>
      <c r="B432" s="5148"/>
      <c r="C432" s="2263" t="str">
        <f t="shared" si="48"/>
        <v>Magia innata mejorada (3)</v>
      </c>
      <c r="D432" s="2266">
        <f t="shared" si="46"/>
        <v>0</v>
      </c>
      <c r="E432" s="119" t="s">
        <v>2841</v>
      </c>
      <c r="F432" s="373"/>
      <c r="G432" s="373"/>
      <c r="H432" s="2274"/>
      <c r="I432" s="2279"/>
      <c r="J432" s="2283" t="s">
        <v>2657</v>
      </c>
      <c r="N432" s="363"/>
      <c r="AB432" s="363"/>
      <c r="AC432" s="2563"/>
    </row>
    <row r="433" spans="1:29" ht="12.75" customHeight="1" x14ac:dyDescent="0.2">
      <c r="A433" s="1916">
        <v>433</v>
      </c>
      <c r="B433" s="5148"/>
      <c r="C433" s="2263" t="str">
        <f t="shared" si="48"/>
        <v>Magia opuesta</v>
      </c>
      <c r="D433" s="2266">
        <f t="shared" si="46"/>
        <v>33</v>
      </c>
      <c r="E433" s="119" t="s">
        <v>2842</v>
      </c>
      <c r="F433" s="373">
        <v>1</v>
      </c>
      <c r="G433" s="373">
        <f>COUNTIF(Principal!$C$35:$J$53,Tablas!E433)</f>
        <v>0</v>
      </c>
      <c r="H433" s="2274">
        <f t="shared" ref="H433:H438" si="49">G433*F433</f>
        <v>0</v>
      </c>
      <c r="I433" s="2279">
        <v>1</v>
      </c>
      <c r="J433" s="2283" t="s">
        <v>2657</v>
      </c>
      <c r="N433" s="363"/>
      <c r="AB433" s="363"/>
      <c r="AC433" s="2563"/>
    </row>
    <row r="434" spans="1:29" ht="12.75" customHeight="1" x14ac:dyDescent="0.2">
      <c r="A434" s="1916">
        <v>434</v>
      </c>
      <c r="B434" s="5148"/>
      <c r="C434" s="2263" t="str">
        <f t="shared" si="48"/>
        <v>Naturaleza mágica (1)</v>
      </c>
      <c r="D434" s="2266">
        <f t="shared" si="46"/>
        <v>34</v>
      </c>
      <c r="E434" s="119" t="s">
        <v>2843</v>
      </c>
      <c r="F434" s="373">
        <v>1</v>
      </c>
      <c r="G434" s="373">
        <f>COUNTIF(Principal!$C$35:$J$53,Tablas!E434)</f>
        <v>0</v>
      </c>
      <c r="H434" s="2274">
        <f t="shared" si="49"/>
        <v>0</v>
      </c>
      <c r="I434" s="2279">
        <v>1</v>
      </c>
      <c r="J434" s="2283" t="s">
        <v>2657</v>
      </c>
      <c r="N434" s="363"/>
      <c r="AB434" s="363"/>
      <c r="AC434" s="2563"/>
    </row>
    <row r="435" spans="1:29" ht="12.75" customHeight="1" x14ac:dyDescent="0.2">
      <c r="A435" s="1916">
        <v>435</v>
      </c>
      <c r="B435" s="5148"/>
      <c r="C435" s="2263" t="str">
        <f t="shared" si="48"/>
        <v>Naturaleza mágica (2)</v>
      </c>
      <c r="D435" s="2266">
        <f t="shared" si="46"/>
        <v>35</v>
      </c>
      <c r="E435" s="119" t="s">
        <v>2844</v>
      </c>
      <c r="F435" s="373">
        <v>2</v>
      </c>
      <c r="G435" s="373">
        <f>COUNTIF(Principal!$C$35:$J$53,Tablas!E435)</f>
        <v>0</v>
      </c>
      <c r="H435" s="2274">
        <f t="shared" si="49"/>
        <v>0</v>
      </c>
      <c r="I435" s="2279">
        <v>1</v>
      </c>
      <c r="J435" s="2283" t="s">
        <v>2657</v>
      </c>
      <c r="N435" s="363"/>
      <c r="AB435" s="363"/>
      <c r="AC435" s="2563"/>
    </row>
    <row r="436" spans="1:29" ht="12.75" customHeight="1" x14ac:dyDescent="0.2">
      <c r="A436" s="1916">
        <v>436</v>
      </c>
      <c r="B436" s="5148"/>
      <c r="C436" s="2263" t="str">
        <f t="shared" si="48"/>
        <v>Naturaleza mágica (3)</v>
      </c>
      <c r="D436" s="2266">
        <f t="shared" si="46"/>
        <v>36</v>
      </c>
      <c r="E436" s="119" t="s">
        <v>2845</v>
      </c>
      <c r="F436" s="373">
        <v>3</v>
      </c>
      <c r="G436" s="373">
        <f>COUNTIF(Principal!$C$35:$J$53,Tablas!E436)</f>
        <v>0</v>
      </c>
      <c r="H436" s="2274">
        <f t="shared" si="49"/>
        <v>0</v>
      </c>
      <c r="I436" s="2279">
        <v>1</v>
      </c>
      <c r="J436" s="2283" t="s">
        <v>2657</v>
      </c>
      <c r="N436" s="363"/>
      <c r="AB436" s="363"/>
      <c r="AC436" s="2563"/>
    </row>
    <row r="437" spans="1:29" ht="12.75" customHeight="1" x14ac:dyDescent="0.2">
      <c r="A437" s="1916">
        <v>437</v>
      </c>
      <c r="B437" s="5148"/>
      <c r="C437" s="2263" t="str">
        <f t="shared" si="48"/>
        <v>Poder natural</v>
      </c>
      <c r="D437" s="2266">
        <f t="shared" si="46"/>
        <v>37</v>
      </c>
      <c r="E437" s="119" t="s">
        <v>2846</v>
      </c>
      <c r="F437" s="373">
        <v>1</v>
      </c>
      <c r="G437" s="373">
        <f>COUNTIF(Principal!$C$35:$J$53,Tablas!E437)</f>
        <v>0</v>
      </c>
      <c r="H437" s="2274">
        <f t="shared" si="49"/>
        <v>0</v>
      </c>
      <c r="I437" s="2279"/>
      <c r="J437" s="2283" t="s">
        <v>2657</v>
      </c>
      <c r="N437" s="363"/>
      <c r="AB437" s="363"/>
      <c r="AC437" s="2563"/>
    </row>
    <row r="438" spans="1:29" ht="12.75" customHeight="1" x14ac:dyDescent="0.2">
      <c r="A438" s="1916">
        <v>438</v>
      </c>
      <c r="B438" s="5148"/>
      <c r="C438" s="2263" t="str">
        <f t="shared" si="48"/>
        <v>Potencial enfrentado</v>
      </c>
      <c r="D438" s="2266">
        <f t="shared" si="46"/>
        <v>26</v>
      </c>
      <c r="E438" s="119" t="s">
        <v>2847</v>
      </c>
      <c r="F438" s="373">
        <v>1</v>
      </c>
      <c r="G438" s="373">
        <f>COUNTIF(Principal!$C$35:$J$53,Tablas!E438)</f>
        <v>0</v>
      </c>
      <c r="H438" s="2274">
        <f t="shared" si="49"/>
        <v>0</v>
      </c>
      <c r="I438" s="2279"/>
      <c r="J438" s="2283" t="s">
        <v>2657</v>
      </c>
      <c r="N438" s="363"/>
      <c r="AB438" s="363"/>
      <c r="AC438" s="2563"/>
    </row>
    <row r="439" spans="1:29" ht="12.75" customHeight="1" x14ac:dyDescent="0.2">
      <c r="A439" s="1916">
        <v>439</v>
      </c>
      <c r="B439" s="5148"/>
      <c r="C439" s="2263" t="str">
        <f t="shared" si="48"/>
        <v>Rec. superior de magia (1)</v>
      </c>
      <c r="D439" s="2266">
        <f t="shared" si="46"/>
        <v>-1</v>
      </c>
      <c r="E439" s="119" t="s">
        <v>2877</v>
      </c>
      <c r="F439" s="373"/>
      <c r="G439" s="373"/>
      <c r="H439" s="2274"/>
      <c r="I439" s="2279"/>
      <c r="J439" s="2283" t="s">
        <v>2657</v>
      </c>
      <c r="N439" s="363"/>
      <c r="AB439" s="363"/>
      <c r="AC439" s="2563"/>
    </row>
    <row r="440" spans="1:29" ht="12.75" customHeight="1" x14ac:dyDescent="0.2">
      <c r="A440" s="1916">
        <v>440</v>
      </c>
      <c r="B440" s="5148"/>
      <c r="C440" s="2263" t="str">
        <f t="shared" si="48"/>
        <v>Rec. superior de magia (2)</v>
      </c>
      <c r="D440" s="2266">
        <f t="shared" si="46"/>
        <v>42</v>
      </c>
      <c r="E440" s="119" t="s">
        <v>2878</v>
      </c>
      <c r="F440" s="373">
        <v>1</v>
      </c>
      <c r="G440" s="373">
        <f>COUNTIF(Principal!$C$35:$J$53,Tablas!E440)</f>
        <v>0</v>
      </c>
      <c r="H440" s="2274">
        <f>G440*F440</f>
        <v>0</v>
      </c>
      <c r="I440" s="2279"/>
      <c r="J440" s="2283" t="s">
        <v>2657</v>
      </c>
      <c r="N440" s="363"/>
      <c r="AB440" s="363"/>
      <c r="AC440" s="2563"/>
    </row>
    <row r="441" spans="1:29" ht="12.75" customHeight="1" x14ac:dyDescent="0.2">
      <c r="A441" s="1916">
        <v>441</v>
      </c>
      <c r="B441" s="5148"/>
      <c r="C441" s="2263" t="str">
        <f t="shared" si="48"/>
        <v>Rec. superior de magia (3)</v>
      </c>
      <c r="D441" s="2266">
        <f t="shared" si="46"/>
        <v>27</v>
      </c>
      <c r="E441" s="119" t="s">
        <v>2879</v>
      </c>
      <c r="F441" s="373">
        <v>1</v>
      </c>
      <c r="G441" s="373">
        <f>COUNTIF(Principal!$C$35:$J$53,Tablas!E441)</f>
        <v>0</v>
      </c>
      <c r="H441" s="2274">
        <f>G441*F441</f>
        <v>0</v>
      </c>
      <c r="I441" s="2279"/>
      <c r="J441" s="2283" t="s">
        <v>2657</v>
      </c>
      <c r="N441" s="363"/>
      <c r="AB441" s="363"/>
      <c r="AC441" s="2563"/>
    </row>
    <row r="442" spans="1:29" ht="12.75" customHeight="1" x14ac:dyDescent="0.2">
      <c r="A442" s="1916">
        <v>442</v>
      </c>
      <c r="B442" s="5148"/>
      <c r="C442" s="2265" t="str">
        <f t="shared" si="48"/>
        <v>Versatilidad metamágica</v>
      </c>
      <c r="D442" s="2268">
        <f t="shared" si="46"/>
        <v>1</v>
      </c>
      <c r="E442" s="2269" t="s">
        <v>2880</v>
      </c>
      <c r="F442" s="2270">
        <v>2</v>
      </c>
      <c r="G442" s="2270">
        <f>COUNTIF(Principal!$C$35:$J$53,Tablas!E442)</f>
        <v>0</v>
      </c>
      <c r="H442" s="2276">
        <f>G442*F442</f>
        <v>0</v>
      </c>
      <c r="I442" s="2280">
        <v>1</v>
      </c>
      <c r="J442" s="2284" t="s">
        <v>2657</v>
      </c>
      <c r="N442" s="363"/>
      <c r="AB442" s="363"/>
      <c r="AC442" s="2563"/>
    </row>
    <row r="443" spans="1:29" ht="12.75" customHeight="1" x14ac:dyDescent="0.2">
      <c r="A443" s="1916">
        <v>443</v>
      </c>
      <c r="B443" s="5148"/>
      <c r="C443" s="1658" t="str">
        <f>E443</f>
        <v>&gt; VENTAJAS: PSIQUICOS</v>
      </c>
      <c r="D443" s="2266">
        <f t="shared" ref="D443:D467" si="50">COUNTIF($E$444:$E$467,"&lt;="&amp;E443)-COUNTIF($E$444:$E$467,"*&gt;*")</f>
        <v>0</v>
      </c>
      <c r="E443" s="119" t="s">
        <v>2756</v>
      </c>
      <c r="F443" s="373"/>
      <c r="G443" s="373"/>
      <c r="H443" s="2274"/>
      <c r="I443" s="2279"/>
      <c r="J443" s="2283" t="s">
        <v>8066</v>
      </c>
      <c r="N443" s="363"/>
      <c r="AB443" s="363"/>
      <c r="AC443" s="2563"/>
    </row>
    <row r="444" spans="1:29" ht="12.75" customHeight="1" x14ac:dyDescent="0.2">
      <c r="A444" s="1916">
        <v>444</v>
      </c>
      <c r="B444" s="5148"/>
      <c r="C444" s="1658" t="str">
        <f t="shared" ref="C444:C466" si="51">VLOOKUP(A1,$D$443:$E$467,2,0)</f>
        <v>Ambivalencia psíquica</v>
      </c>
      <c r="D444" s="2266">
        <f t="shared" si="50"/>
        <v>3</v>
      </c>
      <c r="E444" s="119" t="s">
        <v>2757</v>
      </c>
      <c r="F444" s="373">
        <v>2</v>
      </c>
      <c r="G444" s="373">
        <f>COUNTIF(Principal!$C$35:$J$53,Tablas!E444)</f>
        <v>0</v>
      </c>
      <c r="H444" s="2274">
        <f t="shared" ref="H444:H464" si="52">G444*F444</f>
        <v>0</v>
      </c>
      <c r="I444" s="2279">
        <v>1</v>
      </c>
      <c r="J444" s="2283" t="s">
        <v>8066</v>
      </c>
      <c r="N444" s="363"/>
      <c r="AB444" s="363"/>
      <c r="AC444" s="2563"/>
    </row>
    <row r="445" spans="1:29" ht="12.75" customHeight="1" x14ac:dyDescent="0.2">
      <c r="A445" s="1916">
        <v>445</v>
      </c>
      <c r="B445" s="5148"/>
      <c r="C445" s="1658" t="str">
        <f t="shared" si="51"/>
        <v>Calibre</v>
      </c>
      <c r="D445" s="2266">
        <f t="shared" si="50"/>
        <v>2</v>
      </c>
      <c r="E445" s="119" t="s">
        <v>2758</v>
      </c>
      <c r="F445" s="373">
        <v>1</v>
      </c>
      <c r="G445" s="373">
        <f>COUNTIF(Principal!$C$35:$J$53,Tablas!E445)</f>
        <v>0</v>
      </c>
      <c r="H445" s="2274">
        <f t="shared" si="52"/>
        <v>0</v>
      </c>
      <c r="I445" s="2279">
        <v>1</v>
      </c>
      <c r="J445" s="2283" t="s">
        <v>8066</v>
      </c>
      <c r="N445" s="363"/>
      <c r="AB445" s="363"/>
      <c r="AC445" s="2563"/>
    </row>
    <row r="446" spans="1:29" ht="12.75" customHeight="1" x14ac:dyDescent="0.2">
      <c r="A446" s="1916">
        <v>446</v>
      </c>
      <c r="B446" s="5148"/>
      <c r="C446" s="1658" t="str">
        <f t="shared" si="51"/>
        <v>Concentración extrema</v>
      </c>
      <c r="D446" s="2266">
        <f t="shared" si="50"/>
        <v>18</v>
      </c>
      <c r="E446" s="119" t="s">
        <v>2094</v>
      </c>
      <c r="F446" s="373">
        <v>2</v>
      </c>
      <c r="G446" s="373">
        <f>COUNTIF(Principal!$C$35:$J$53,Tablas!E446)</f>
        <v>0</v>
      </c>
      <c r="H446" s="2274">
        <f t="shared" si="52"/>
        <v>0</v>
      </c>
      <c r="I446" s="2279"/>
      <c r="J446" s="2283" t="s">
        <v>8066</v>
      </c>
      <c r="N446" s="363"/>
      <c r="AB446" s="363"/>
      <c r="AC446" s="2563"/>
    </row>
    <row r="447" spans="1:29" ht="12.75" customHeight="1" x14ac:dyDescent="0.2">
      <c r="A447" s="1916">
        <v>447</v>
      </c>
      <c r="B447" s="5148"/>
      <c r="C447" s="1658" t="str">
        <f t="shared" si="51"/>
        <v>Concentración pasiva</v>
      </c>
      <c r="D447" s="2266">
        <f t="shared" si="50"/>
        <v>23</v>
      </c>
      <c r="E447" s="119" t="s">
        <v>2759</v>
      </c>
      <c r="F447" s="373">
        <v>2</v>
      </c>
      <c r="G447" s="373">
        <f>COUNTIF(Principal!$C$35:$J$53,Tablas!E447)</f>
        <v>0</v>
      </c>
      <c r="H447" s="2274">
        <f t="shared" si="52"/>
        <v>0</v>
      </c>
      <c r="I447" s="2279"/>
      <c r="J447" s="2283" t="s">
        <v>8066</v>
      </c>
      <c r="N447" s="363"/>
      <c r="AB447" s="363"/>
      <c r="AC447" s="2563"/>
    </row>
    <row r="448" spans="1:29" ht="12.75" customHeight="1" x14ac:dyDescent="0.2">
      <c r="A448" s="1916">
        <v>448</v>
      </c>
      <c r="B448" s="5148"/>
      <c r="C448" s="1658" t="str">
        <f t="shared" si="51"/>
        <v>Des. psí: Electromagnetismo</v>
      </c>
      <c r="D448" s="2266">
        <f t="shared" si="50"/>
        <v>20</v>
      </c>
      <c r="E448" s="119" t="s">
        <v>2760</v>
      </c>
      <c r="F448" s="373">
        <v>1</v>
      </c>
      <c r="G448" s="373">
        <f>COUNTIF(Principal!$C$35:$J$53,Tablas!E448)</f>
        <v>0</v>
      </c>
      <c r="H448" s="2274">
        <f t="shared" si="52"/>
        <v>0</v>
      </c>
      <c r="I448" s="2279"/>
      <c r="J448" s="2283" t="s">
        <v>8066</v>
      </c>
      <c r="N448" s="363"/>
      <c r="AB448" s="363"/>
      <c r="AC448" s="2563"/>
    </row>
    <row r="449" spans="1:29" ht="12.75" customHeight="1" x14ac:dyDescent="0.2">
      <c r="A449" s="1916">
        <v>449</v>
      </c>
      <c r="B449" s="5148"/>
      <c r="C449" s="1658" t="str">
        <f t="shared" si="51"/>
        <v>Des. psí: Hipersensibilidad</v>
      </c>
      <c r="D449" s="2266">
        <f t="shared" si="50"/>
        <v>21</v>
      </c>
      <c r="E449" s="119" t="s">
        <v>2761</v>
      </c>
      <c r="F449" s="373">
        <v>2</v>
      </c>
      <c r="G449" s="373">
        <f>COUNTIF(Principal!$C$35:$J$53,Tablas!E449)</f>
        <v>0</v>
      </c>
      <c r="H449" s="2274">
        <f t="shared" si="52"/>
        <v>0</v>
      </c>
      <c r="I449" s="2279"/>
      <c r="J449" s="2283" t="s">
        <v>8066</v>
      </c>
      <c r="N449" s="363"/>
      <c r="AB449" s="363"/>
      <c r="AC449" s="2563"/>
    </row>
    <row r="450" spans="1:29" ht="12.75" customHeight="1" x14ac:dyDescent="0.2">
      <c r="A450" s="1916">
        <v>450</v>
      </c>
      <c r="B450" s="5148"/>
      <c r="C450" s="1658" t="str">
        <f t="shared" si="51"/>
        <v>Des. psíquico: Causalidad</v>
      </c>
      <c r="D450" s="2266">
        <f t="shared" si="50"/>
        <v>22</v>
      </c>
      <c r="E450" s="119" t="s">
        <v>2762</v>
      </c>
      <c r="F450" s="373">
        <v>3</v>
      </c>
      <c r="G450" s="373">
        <f>COUNTIF(Principal!$C$35:$J$53,Tablas!E450)</f>
        <v>0</v>
      </c>
      <c r="H450" s="2274">
        <f t="shared" si="52"/>
        <v>0</v>
      </c>
      <c r="I450" s="2279"/>
      <c r="J450" s="2283" t="s">
        <v>8066</v>
      </c>
      <c r="N450" s="363"/>
      <c r="AB450" s="363"/>
      <c r="AC450" s="2563"/>
    </row>
    <row r="451" spans="1:29" ht="12.75" customHeight="1" x14ac:dyDescent="0.2">
      <c r="A451" s="1916">
        <v>451</v>
      </c>
      <c r="B451" s="5148"/>
      <c r="C451" s="1658" t="str">
        <f t="shared" si="51"/>
        <v>Des. psíquico: Crioquinesis</v>
      </c>
      <c r="D451" s="2266">
        <f t="shared" si="50"/>
        <v>12</v>
      </c>
      <c r="E451" s="119" t="s">
        <v>2763</v>
      </c>
      <c r="F451" s="373">
        <v>2</v>
      </c>
      <c r="G451" s="373">
        <f>COUNTIF(Principal!$C$35:$J$53,Tablas!E451)</f>
        <v>0</v>
      </c>
      <c r="H451" s="2274">
        <f t="shared" si="52"/>
        <v>0</v>
      </c>
      <c r="I451" s="2279">
        <v>1</v>
      </c>
      <c r="J451" s="2283" t="s">
        <v>8066</v>
      </c>
      <c r="N451" s="363"/>
      <c r="AB451" s="363"/>
      <c r="AC451" s="2563"/>
    </row>
    <row r="452" spans="1:29" ht="12.75" customHeight="1" x14ac:dyDescent="0.2">
      <c r="A452" s="1916">
        <v>452</v>
      </c>
      <c r="B452" s="5148"/>
      <c r="C452" s="1658" t="str">
        <f t="shared" si="51"/>
        <v>Des. psíquico: Energía</v>
      </c>
      <c r="D452" s="2266">
        <f t="shared" si="50"/>
        <v>8</v>
      </c>
      <c r="E452" s="119" t="s">
        <v>2764</v>
      </c>
      <c r="F452" s="373">
        <v>2</v>
      </c>
      <c r="G452" s="373">
        <f>COUNTIF(Principal!$C$35:$J$53,Tablas!E452)</f>
        <v>0</v>
      </c>
      <c r="H452" s="2274">
        <f t="shared" si="52"/>
        <v>0</v>
      </c>
      <c r="I452" s="2279">
        <v>1</v>
      </c>
      <c r="J452" s="2283" t="s">
        <v>8066</v>
      </c>
      <c r="N452" s="363"/>
      <c r="AB452" s="363"/>
      <c r="AC452" s="2563"/>
    </row>
    <row r="453" spans="1:29" ht="12.75" customHeight="1" x14ac:dyDescent="0.2">
      <c r="A453" s="1916">
        <v>453</v>
      </c>
      <c r="B453" s="5148"/>
      <c r="C453" s="1658" t="str">
        <f t="shared" si="51"/>
        <v>Des. psíquico: Inc. Físico</v>
      </c>
      <c r="D453" s="2266">
        <f t="shared" si="50"/>
        <v>16</v>
      </c>
      <c r="E453" s="119" t="s">
        <v>2765</v>
      </c>
      <c r="F453" s="373">
        <v>2</v>
      </c>
      <c r="G453" s="373">
        <f>COUNTIF(Principal!$C$35:$J$53,Tablas!E453)</f>
        <v>0</v>
      </c>
      <c r="H453" s="2274">
        <f t="shared" si="52"/>
        <v>0</v>
      </c>
      <c r="I453" s="2279">
        <v>1</v>
      </c>
      <c r="J453" s="2283" t="s">
        <v>8066</v>
      </c>
      <c r="N453" s="363"/>
      <c r="AB453" s="363"/>
      <c r="AC453" s="2563"/>
    </row>
    <row r="454" spans="1:29" ht="12.75" customHeight="1" x14ac:dyDescent="0.2">
      <c r="A454" s="1916">
        <v>454</v>
      </c>
      <c r="B454" s="5148"/>
      <c r="C454" s="1658" t="str">
        <f t="shared" si="51"/>
        <v>Des. psíquico: Luz</v>
      </c>
      <c r="D454" s="2266">
        <f t="shared" si="50"/>
        <v>15</v>
      </c>
      <c r="E454" s="119" t="s">
        <v>2766</v>
      </c>
      <c r="F454" s="373">
        <v>2</v>
      </c>
      <c r="G454" s="373">
        <f>COUNTIF(Principal!$C$35:$J$53,Tablas!E454)</f>
        <v>0</v>
      </c>
      <c r="H454" s="2274">
        <f t="shared" si="52"/>
        <v>0</v>
      </c>
      <c r="I454" s="2279">
        <v>1</v>
      </c>
      <c r="J454" s="2283" t="s">
        <v>8066</v>
      </c>
      <c r="N454" s="363"/>
      <c r="AB454" s="363"/>
      <c r="AC454" s="2563"/>
    </row>
    <row r="455" spans="1:29" ht="12.75" customHeight="1" x14ac:dyDescent="0.2">
      <c r="A455" s="1916">
        <v>455</v>
      </c>
      <c r="B455" s="5148"/>
      <c r="C455" s="1658" t="str">
        <f t="shared" si="51"/>
        <v>Des. psíquico: Piroquinesis</v>
      </c>
      <c r="D455" s="2266">
        <f t="shared" si="50"/>
        <v>9</v>
      </c>
      <c r="E455" s="119" t="s">
        <v>2767</v>
      </c>
      <c r="F455" s="373">
        <v>2</v>
      </c>
      <c r="G455" s="373">
        <f>COUNTIF(Principal!$C$35:$J$53,Tablas!E455)</f>
        <v>0</v>
      </c>
      <c r="H455" s="2274">
        <f t="shared" si="52"/>
        <v>0</v>
      </c>
      <c r="I455" s="2279">
        <v>1</v>
      </c>
      <c r="J455" s="2283" t="s">
        <v>8066</v>
      </c>
      <c r="N455" s="363"/>
      <c r="AB455" s="363"/>
      <c r="AC455" s="2563"/>
    </row>
    <row r="456" spans="1:29" ht="12.75" customHeight="1" x14ac:dyDescent="0.2">
      <c r="A456" s="1916">
        <v>456</v>
      </c>
      <c r="B456" s="5148"/>
      <c r="C456" s="1658" t="str">
        <f t="shared" si="51"/>
        <v>Des. psíquico: Sentiente</v>
      </c>
      <c r="D456" s="2266">
        <f t="shared" si="50"/>
        <v>10</v>
      </c>
      <c r="E456" s="119" t="s">
        <v>2768</v>
      </c>
      <c r="F456" s="373">
        <v>2</v>
      </c>
      <c r="G456" s="373">
        <f>COUNTIF(Principal!$C$35:$J$53,Tablas!E456)</f>
        <v>0</v>
      </c>
      <c r="H456" s="2274">
        <f t="shared" si="52"/>
        <v>0</v>
      </c>
      <c r="I456" s="2279">
        <v>1</v>
      </c>
      <c r="J456" s="2283" t="s">
        <v>8066</v>
      </c>
      <c r="N456" s="363"/>
      <c r="AB456" s="363"/>
      <c r="AC456" s="2563"/>
    </row>
    <row r="457" spans="1:29" ht="12.75" customHeight="1" x14ac:dyDescent="0.2">
      <c r="A457" s="1916">
        <v>457</v>
      </c>
      <c r="B457" s="5148"/>
      <c r="C457" s="1658" t="str">
        <f t="shared" si="51"/>
        <v>Des. psíquico: Telemetría</v>
      </c>
      <c r="D457" s="2266">
        <f t="shared" si="50"/>
        <v>13</v>
      </c>
      <c r="E457" s="119" t="s">
        <v>2769</v>
      </c>
      <c r="F457" s="373">
        <v>2</v>
      </c>
      <c r="G457" s="373">
        <f>COUNTIF(Principal!$C$35:$J$53,Tablas!E457)</f>
        <v>0</v>
      </c>
      <c r="H457" s="2274">
        <f t="shared" si="52"/>
        <v>0</v>
      </c>
      <c r="I457" s="2279">
        <v>1</v>
      </c>
      <c r="J457" s="2283" t="s">
        <v>8066</v>
      </c>
      <c r="N457" s="363"/>
      <c r="AB457" s="363"/>
      <c r="AC457" s="2563"/>
    </row>
    <row r="458" spans="1:29" ht="12.75" customHeight="1" x14ac:dyDescent="0.2">
      <c r="A458" s="1916">
        <v>458</v>
      </c>
      <c r="B458" s="5148"/>
      <c r="C458" s="1658" t="str">
        <f t="shared" si="51"/>
        <v>Des. psíquico: Telepatía</v>
      </c>
      <c r="D458" s="2266">
        <f t="shared" si="50"/>
        <v>14</v>
      </c>
      <c r="E458" s="119" t="s">
        <v>2770</v>
      </c>
      <c r="F458" s="373">
        <v>2</v>
      </c>
      <c r="G458" s="373">
        <f>COUNTIF(Principal!$C$35:$J$53,Tablas!E458)</f>
        <v>0</v>
      </c>
      <c r="H458" s="2274">
        <f t="shared" si="52"/>
        <v>0</v>
      </c>
      <c r="I458" s="2279">
        <v>1</v>
      </c>
      <c r="J458" s="2283" t="s">
        <v>8066</v>
      </c>
      <c r="N458" s="363"/>
      <c r="AB458" s="363"/>
      <c r="AC458" s="2563"/>
    </row>
    <row r="459" spans="1:29" ht="12.75" customHeight="1" x14ac:dyDescent="0.2">
      <c r="A459" s="1916">
        <v>459</v>
      </c>
      <c r="B459" s="5148"/>
      <c r="C459" s="1658" t="str">
        <f t="shared" si="51"/>
        <v>Des. psíquico: Telequinesis</v>
      </c>
      <c r="D459" s="2266">
        <f t="shared" si="50"/>
        <v>7</v>
      </c>
      <c r="E459" s="119" t="s">
        <v>2771</v>
      </c>
      <c r="F459" s="373">
        <v>2</v>
      </c>
      <c r="G459" s="373">
        <f>COUNTIF(Principal!$C$35:$J$53,Tablas!E459)</f>
        <v>0</v>
      </c>
      <c r="H459" s="2274">
        <f t="shared" si="52"/>
        <v>0</v>
      </c>
      <c r="I459" s="2279">
        <v>1</v>
      </c>
      <c r="J459" s="2283" t="s">
        <v>8066</v>
      </c>
      <c r="N459" s="363"/>
      <c r="AB459" s="363"/>
      <c r="AC459" s="2563"/>
    </row>
    <row r="460" spans="1:29" ht="12.75" customHeight="1" x14ac:dyDescent="0.2">
      <c r="A460" s="1916">
        <v>460</v>
      </c>
      <c r="B460" s="5148"/>
      <c r="C460" s="1658" t="str">
        <f t="shared" si="51"/>
        <v>Des. psíquico: Teletransporte</v>
      </c>
      <c r="D460" s="2266">
        <f t="shared" si="50"/>
        <v>5</v>
      </c>
      <c r="E460" s="119" t="s">
        <v>2772</v>
      </c>
      <c r="F460" s="373">
        <v>2</v>
      </c>
      <c r="G460" s="373">
        <f>COUNTIF(Principal!$C$35:$J$53,Tablas!E460)</f>
        <v>0</v>
      </c>
      <c r="H460" s="2274">
        <f t="shared" si="52"/>
        <v>0</v>
      </c>
      <c r="I460" s="2279">
        <v>1</v>
      </c>
      <c r="J460" s="2283" t="s">
        <v>8066</v>
      </c>
      <c r="N460" s="363"/>
      <c r="AB460" s="363"/>
      <c r="AC460" s="2563"/>
    </row>
    <row r="461" spans="1:29" ht="12.75" customHeight="1" x14ac:dyDescent="0.2">
      <c r="A461" s="1916">
        <v>461</v>
      </c>
      <c r="B461" s="5148"/>
      <c r="C461" s="1658" t="str">
        <f t="shared" si="51"/>
        <v>Mantenimiento añadido</v>
      </c>
      <c r="D461" s="2266">
        <f t="shared" si="50"/>
        <v>17</v>
      </c>
      <c r="E461" s="119" t="s">
        <v>2773</v>
      </c>
      <c r="F461" s="373">
        <v>2</v>
      </c>
      <c r="G461" s="373">
        <f>COUNTIF(Principal!$C$35:$J$53,Tablas!E461)</f>
        <v>0</v>
      </c>
      <c r="H461" s="2274">
        <f t="shared" si="52"/>
        <v>0</v>
      </c>
      <c r="I461" s="2279">
        <v>1</v>
      </c>
      <c r="J461" s="2283" t="s">
        <v>8066</v>
      </c>
      <c r="N461" s="363"/>
      <c r="AB461" s="363"/>
      <c r="AC461" s="2563"/>
    </row>
    <row r="462" spans="1:29" ht="12.75" customHeight="1" x14ac:dyDescent="0.2">
      <c r="A462" s="1916">
        <v>462</v>
      </c>
      <c r="B462" s="5148"/>
      <c r="C462" s="1658" t="str">
        <f t="shared" si="51"/>
        <v>Mod. psíquico incrementado</v>
      </c>
      <c r="D462" s="2266">
        <f t="shared" si="50"/>
        <v>11</v>
      </c>
      <c r="E462" s="119" t="s">
        <v>2774</v>
      </c>
      <c r="F462" s="373">
        <v>2</v>
      </c>
      <c r="G462" s="373">
        <f>COUNTIF(Principal!$C$35:$J$53,Tablas!E462)</f>
        <v>0</v>
      </c>
      <c r="H462" s="2274">
        <f t="shared" si="52"/>
        <v>0</v>
      </c>
      <c r="I462" s="2279">
        <v>1</v>
      </c>
      <c r="J462" s="2283" t="s">
        <v>8066</v>
      </c>
      <c r="N462" s="363"/>
      <c r="AB462" s="363"/>
      <c r="AC462" s="2563"/>
    </row>
    <row r="463" spans="1:29" ht="12.75" customHeight="1" x14ac:dyDescent="0.2">
      <c r="A463" s="1916">
        <v>463</v>
      </c>
      <c r="B463" s="5148"/>
      <c r="C463" s="1658" t="str">
        <f t="shared" si="51"/>
        <v>Recuperación de CVs (1)</v>
      </c>
      <c r="D463" s="2266">
        <f t="shared" si="50"/>
        <v>6</v>
      </c>
      <c r="E463" s="119" t="s">
        <v>2775</v>
      </c>
      <c r="F463" s="373">
        <v>2</v>
      </c>
      <c r="G463" s="373">
        <f>COUNTIF(Principal!$C$35:$J$53,Tablas!E463)</f>
        <v>0</v>
      </c>
      <c r="H463" s="2274">
        <f t="shared" si="52"/>
        <v>0</v>
      </c>
      <c r="I463" s="2279">
        <v>1</v>
      </c>
      <c r="J463" s="2283" t="s">
        <v>8066</v>
      </c>
      <c r="N463" s="363"/>
      <c r="AB463" s="363"/>
      <c r="AC463" s="2563"/>
    </row>
    <row r="464" spans="1:29" ht="12.75" customHeight="1" x14ac:dyDescent="0.2">
      <c r="A464" s="1916">
        <v>464</v>
      </c>
      <c r="B464" s="5148"/>
      <c r="C464" s="1658" t="str">
        <f t="shared" si="51"/>
        <v>Recuperación de CVs (2)</v>
      </c>
      <c r="D464" s="2266">
        <f t="shared" si="50"/>
        <v>4</v>
      </c>
      <c r="E464" s="119" t="s">
        <v>2776</v>
      </c>
      <c r="F464" s="373">
        <v>2</v>
      </c>
      <c r="G464" s="373">
        <f>COUNTIF(Principal!$C$35:$J$53,Tablas!E464)</f>
        <v>0</v>
      </c>
      <c r="H464" s="2274">
        <f t="shared" si="52"/>
        <v>0</v>
      </c>
      <c r="I464" s="2279"/>
      <c r="J464" s="2283" t="s">
        <v>8066</v>
      </c>
      <c r="N464" s="363"/>
      <c r="AB464" s="363"/>
      <c r="AC464" s="2563"/>
    </row>
    <row r="465" spans="1:29" ht="12.75" customHeight="1" x14ac:dyDescent="0.2">
      <c r="A465" s="1916">
        <v>465</v>
      </c>
      <c r="B465" s="5148"/>
      <c r="C465" s="1658" t="str">
        <f t="shared" si="51"/>
        <v>Recuperación de CVs (3)</v>
      </c>
      <c r="D465" s="2266">
        <f t="shared" si="50"/>
        <v>0</v>
      </c>
      <c r="E465" s="119" t="s">
        <v>2848</v>
      </c>
      <c r="F465" s="373"/>
      <c r="G465" s="373"/>
      <c r="H465" s="2274"/>
      <c r="I465" s="2279"/>
      <c r="J465" s="2283" t="s">
        <v>8066</v>
      </c>
      <c r="N465" s="363"/>
      <c r="AB465" s="363"/>
      <c r="AC465" s="2563"/>
    </row>
    <row r="466" spans="1:29" ht="12.75" customHeight="1" x14ac:dyDescent="0.2">
      <c r="A466" s="1916">
        <v>466</v>
      </c>
      <c r="B466" s="5148"/>
      <c r="C466" s="1658" t="str">
        <f t="shared" si="51"/>
        <v>Res. a la fatiga psíquica</v>
      </c>
      <c r="D466" s="2266">
        <f t="shared" si="50"/>
        <v>1</v>
      </c>
      <c r="E466" s="119" t="s">
        <v>2849</v>
      </c>
      <c r="F466" s="373">
        <v>1</v>
      </c>
      <c r="G466" s="373">
        <f>COUNTIF(Principal!$C$35:$J$53,Tablas!E466)</f>
        <v>0</v>
      </c>
      <c r="H466" s="2274">
        <f>G466*F466</f>
        <v>0</v>
      </c>
      <c r="I466" s="2279"/>
      <c r="J466" s="2283" t="s">
        <v>8066</v>
      </c>
      <c r="N466" s="363"/>
      <c r="AB466" s="363"/>
      <c r="AC466" s="2563"/>
    </row>
    <row r="467" spans="1:29" ht="12.75" customHeight="1" x14ac:dyDescent="0.2">
      <c r="A467" s="1916">
        <v>467</v>
      </c>
      <c r="B467" s="5148"/>
      <c r="C467" s="2264"/>
      <c r="D467" s="2268">
        <f t="shared" si="50"/>
        <v>19</v>
      </c>
      <c r="E467" s="2269" t="s">
        <v>2850</v>
      </c>
      <c r="F467" s="2270">
        <v>1</v>
      </c>
      <c r="G467" s="2270">
        <f>COUNTIF(Principal!$C$35:$J$53,Tablas!E467)</f>
        <v>0</v>
      </c>
      <c r="H467" s="2276">
        <f>G467*F467</f>
        <v>0</v>
      </c>
      <c r="I467" s="2280"/>
      <c r="J467" s="2284" t="s">
        <v>8066</v>
      </c>
      <c r="N467" s="363"/>
      <c r="AB467" s="363"/>
      <c r="AC467" s="2563"/>
    </row>
    <row r="468" spans="1:29" ht="12.75" customHeight="1" x14ac:dyDescent="0.2">
      <c r="A468" s="1916">
        <v>468</v>
      </c>
      <c r="B468" s="5148"/>
      <c r="C468" s="1658" t="str">
        <f t="shared" ref="C468:C490" si="53">VLOOKUP(A1,$D$468:$E$490,2,0)</f>
        <v>&gt; VENTAJAS TRASFONDO</v>
      </c>
      <c r="D468" s="2266">
        <f t="shared" ref="D468:D490" si="54">COUNTIF($E$468:$E$490,"&lt;="&amp;E468)</f>
        <v>1</v>
      </c>
      <c r="E468" s="119" t="s">
        <v>2885</v>
      </c>
      <c r="F468" s="431"/>
      <c r="G468" s="373"/>
      <c r="H468" s="213"/>
      <c r="I468" s="2272"/>
      <c r="J468" s="2283" t="s">
        <v>8067</v>
      </c>
      <c r="N468" s="363"/>
      <c r="AB468" s="363"/>
      <c r="AC468" s="2563"/>
    </row>
    <row r="469" spans="1:29" ht="12.75" customHeight="1" x14ac:dyDescent="0.2">
      <c r="A469" s="1916">
        <v>469</v>
      </c>
      <c r="B469" s="5148"/>
      <c r="C469" s="1658" t="str">
        <f t="shared" si="53"/>
        <v>Aliado poderoso (1)</v>
      </c>
      <c r="D469" s="2266">
        <f t="shared" si="54"/>
        <v>17</v>
      </c>
      <c r="E469" s="119" t="s">
        <v>2886</v>
      </c>
      <c r="F469" s="437">
        <v>1</v>
      </c>
      <c r="G469" s="373">
        <f>COUNTIF(Principal!$C$35:$J$53,Tablas!E469)</f>
        <v>0</v>
      </c>
      <c r="H469" s="213">
        <f t="shared" ref="H469:H490" si="55">G469*F469</f>
        <v>0</v>
      </c>
      <c r="I469" s="2272"/>
      <c r="J469" s="2283" t="s">
        <v>8067</v>
      </c>
      <c r="N469" s="363"/>
      <c r="AB469" s="363"/>
      <c r="AC469" s="2563"/>
    </row>
    <row r="470" spans="1:29" ht="12.75" customHeight="1" x14ac:dyDescent="0.2">
      <c r="A470" s="1916">
        <v>470</v>
      </c>
      <c r="B470" s="5148"/>
      <c r="C470" s="1658" t="str">
        <f t="shared" si="53"/>
        <v>Aliado poderoso (2)</v>
      </c>
      <c r="D470" s="2266">
        <f t="shared" si="54"/>
        <v>18</v>
      </c>
      <c r="E470" s="119" t="s">
        <v>2887</v>
      </c>
      <c r="F470" s="437">
        <v>2</v>
      </c>
      <c r="G470" s="373">
        <f>COUNTIF(Principal!$C$35:$J$53,Tablas!E470)</f>
        <v>0</v>
      </c>
      <c r="H470" s="213">
        <f t="shared" si="55"/>
        <v>0</v>
      </c>
      <c r="I470" s="2272"/>
      <c r="J470" s="2283" t="s">
        <v>8067</v>
      </c>
      <c r="N470" s="363"/>
      <c r="AB470" s="363"/>
      <c r="AC470" s="2563"/>
    </row>
    <row r="471" spans="1:29" ht="12.75" customHeight="1" x14ac:dyDescent="0.2">
      <c r="A471" s="1916">
        <v>471</v>
      </c>
      <c r="B471" s="5148"/>
      <c r="C471" s="1658" t="str">
        <f t="shared" si="53"/>
        <v>Aliado poderoso (3)</v>
      </c>
      <c r="D471" s="2266">
        <f t="shared" si="54"/>
        <v>16</v>
      </c>
      <c r="E471" s="119" t="s">
        <v>2888</v>
      </c>
      <c r="F471" s="437">
        <v>3</v>
      </c>
      <c r="G471" s="373">
        <f>COUNTIF(Principal!$C$35:$J$53,Tablas!E471)</f>
        <v>0</v>
      </c>
      <c r="H471" s="213">
        <f t="shared" si="55"/>
        <v>0</v>
      </c>
      <c r="I471" s="2272"/>
      <c r="J471" s="2283" t="s">
        <v>8067</v>
      </c>
      <c r="N471" s="363"/>
      <c r="AB471" s="363"/>
      <c r="AC471" s="2563"/>
    </row>
    <row r="472" spans="1:29" ht="12.75" customHeight="1" x14ac:dyDescent="0.2">
      <c r="A472" s="1916">
        <v>472</v>
      </c>
      <c r="B472" s="5148"/>
      <c r="C472" s="1658" t="str">
        <f t="shared" si="53"/>
        <v>Artefacto (1)</v>
      </c>
      <c r="D472" s="2266">
        <f t="shared" si="54"/>
        <v>11</v>
      </c>
      <c r="E472" s="119" t="s">
        <v>2889</v>
      </c>
      <c r="F472" s="373">
        <v>1</v>
      </c>
      <c r="G472" s="373">
        <f>COUNTIF(Principal!$C$35:$J$53,Tablas!E472)</f>
        <v>0</v>
      </c>
      <c r="H472" s="213">
        <f t="shared" si="55"/>
        <v>0</v>
      </c>
      <c r="I472" s="2272"/>
      <c r="J472" s="2283" t="s">
        <v>8067</v>
      </c>
      <c r="N472" s="363"/>
      <c r="AB472" s="363"/>
      <c r="AC472" s="2563"/>
    </row>
    <row r="473" spans="1:29" ht="12.75" customHeight="1" x14ac:dyDescent="0.2">
      <c r="A473" s="1916">
        <v>473</v>
      </c>
      <c r="B473" s="5148"/>
      <c r="C473" s="1658" t="str">
        <f t="shared" si="53"/>
        <v>Artefacto (2)</v>
      </c>
      <c r="D473" s="2266">
        <f t="shared" si="54"/>
        <v>12</v>
      </c>
      <c r="E473" s="119" t="s">
        <v>2890</v>
      </c>
      <c r="F473" s="373">
        <v>2</v>
      </c>
      <c r="G473" s="373">
        <f>COUNTIF(Principal!$C$35:$J$53,Tablas!E473)</f>
        <v>0</v>
      </c>
      <c r="H473" s="213">
        <f t="shared" si="55"/>
        <v>0</v>
      </c>
      <c r="I473" s="2272"/>
      <c r="J473" s="2283" t="s">
        <v>8067</v>
      </c>
      <c r="N473" s="363"/>
      <c r="AB473" s="363"/>
      <c r="AC473" s="2563"/>
    </row>
    <row r="474" spans="1:29" ht="12.75" customHeight="1" x14ac:dyDescent="0.2">
      <c r="A474" s="1916">
        <v>474</v>
      </c>
      <c r="B474" s="5148"/>
      <c r="C474" s="1658" t="str">
        <f t="shared" si="53"/>
        <v>Artefacto (3)</v>
      </c>
      <c r="D474" s="2266">
        <f t="shared" si="54"/>
        <v>13</v>
      </c>
      <c r="E474" s="119" t="s">
        <v>2891</v>
      </c>
      <c r="F474" s="373">
        <v>3</v>
      </c>
      <c r="G474" s="373">
        <f>COUNTIF(Principal!$C$35:$J$53,Tablas!E474)</f>
        <v>0</v>
      </c>
      <c r="H474" s="213">
        <f t="shared" si="55"/>
        <v>0</v>
      </c>
      <c r="I474" s="2272"/>
      <c r="J474" s="2283" t="s">
        <v>8067</v>
      </c>
      <c r="N474" s="363"/>
      <c r="AB474" s="363"/>
      <c r="AC474" s="2563"/>
    </row>
    <row r="475" spans="1:29" ht="12.75" customHeight="1" x14ac:dyDescent="0.2">
      <c r="A475" s="1916">
        <v>475</v>
      </c>
      <c r="B475" s="5148"/>
      <c r="C475" s="1658" t="str">
        <f t="shared" si="53"/>
        <v>Contactos (1)</v>
      </c>
      <c r="D475" s="2266">
        <f t="shared" si="54"/>
        <v>5</v>
      </c>
      <c r="E475" s="119" t="s">
        <v>2892</v>
      </c>
      <c r="F475" s="373">
        <v>1</v>
      </c>
      <c r="G475" s="373">
        <f>COUNTIF(Principal!$C$35:$J$53,Tablas!E475)</f>
        <v>0</v>
      </c>
      <c r="H475" s="213">
        <f t="shared" si="55"/>
        <v>0</v>
      </c>
      <c r="I475" s="2272"/>
      <c r="J475" s="2283" t="s">
        <v>8067</v>
      </c>
      <c r="N475" s="363"/>
      <c r="AB475" s="363"/>
      <c r="AC475" s="2563"/>
    </row>
    <row r="476" spans="1:29" ht="12.75" customHeight="1" x14ac:dyDescent="0.2">
      <c r="A476" s="1916">
        <v>476</v>
      </c>
      <c r="B476" s="5148"/>
      <c r="C476" s="1658" t="str">
        <f t="shared" si="53"/>
        <v>Contactos (2)</v>
      </c>
      <c r="D476" s="2266">
        <f t="shared" si="54"/>
        <v>6</v>
      </c>
      <c r="E476" s="119" t="s">
        <v>2893</v>
      </c>
      <c r="F476" s="373">
        <v>2</v>
      </c>
      <c r="G476" s="373">
        <f>COUNTIF(Principal!$C$35:$J$53,Tablas!E476)</f>
        <v>0</v>
      </c>
      <c r="H476" s="213">
        <f t="shared" si="55"/>
        <v>0</v>
      </c>
      <c r="I476" s="2272"/>
      <c r="J476" s="2283" t="s">
        <v>8067</v>
      </c>
      <c r="N476" s="363"/>
      <c r="AB476" s="363"/>
      <c r="AC476" s="2563"/>
    </row>
    <row r="477" spans="1:29" ht="12.75" customHeight="1" x14ac:dyDescent="0.2">
      <c r="A477" s="1916">
        <v>477</v>
      </c>
      <c r="B477" s="5148"/>
      <c r="C477" s="1658" t="str">
        <f t="shared" si="53"/>
        <v>Contactos (3)</v>
      </c>
      <c r="D477" s="2266">
        <f t="shared" si="54"/>
        <v>7</v>
      </c>
      <c r="E477" s="119" t="s">
        <v>2894</v>
      </c>
      <c r="F477" s="373">
        <v>3</v>
      </c>
      <c r="G477" s="373">
        <f>COUNTIF(Principal!$C$35:$J$53,Tablas!E477)</f>
        <v>0</v>
      </c>
      <c r="H477" s="213">
        <f t="shared" si="55"/>
        <v>0</v>
      </c>
      <c r="I477" s="2272"/>
      <c r="J477" s="2283" t="s">
        <v>8067</v>
      </c>
      <c r="N477" s="363"/>
      <c r="AB477" s="363"/>
      <c r="AC477" s="2563"/>
    </row>
    <row r="478" spans="1:29" ht="12.75" customHeight="1" x14ac:dyDescent="0.2">
      <c r="A478" s="1916">
        <v>478</v>
      </c>
      <c r="B478" s="5148"/>
      <c r="C478" s="1658" t="str">
        <f t="shared" si="53"/>
        <v>Curtido (1)</v>
      </c>
      <c r="D478" s="2266">
        <f t="shared" si="54"/>
        <v>14</v>
      </c>
      <c r="E478" s="119" t="s">
        <v>2895</v>
      </c>
      <c r="F478" s="373">
        <v>1</v>
      </c>
      <c r="G478" s="373">
        <f>COUNTIF(Principal!$C$35:$J$53,Tablas!E478)</f>
        <v>0</v>
      </c>
      <c r="H478" s="213">
        <f t="shared" si="55"/>
        <v>0</v>
      </c>
      <c r="I478" s="2272"/>
      <c r="J478" s="2283" t="s">
        <v>8067</v>
      </c>
      <c r="N478" s="363"/>
      <c r="AB478" s="363"/>
      <c r="AC478" s="2563"/>
    </row>
    <row r="479" spans="1:29" ht="12.75" customHeight="1" x14ac:dyDescent="0.2">
      <c r="A479" s="1916">
        <v>479</v>
      </c>
      <c r="B479" s="5148"/>
      <c r="C479" s="1658" t="str">
        <f t="shared" si="53"/>
        <v>Curtido (2)</v>
      </c>
      <c r="D479" s="2266">
        <f t="shared" si="54"/>
        <v>15</v>
      </c>
      <c r="E479" s="119" t="s">
        <v>2896</v>
      </c>
      <c r="F479" s="373">
        <v>2</v>
      </c>
      <c r="G479" s="373">
        <f>COUNTIF(Principal!$C$35:$J$53,Tablas!E479)</f>
        <v>0</v>
      </c>
      <c r="H479" s="213">
        <f t="shared" si="55"/>
        <v>0</v>
      </c>
      <c r="I479" s="2272"/>
      <c r="J479" s="2283" t="s">
        <v>8067</v>
      </c>
      <c r="N479" s="363"/>
      <c r="AB479" s="363"/>
      <c r="AC479" s="2563"/>
    </row>
    <row r="480" spans="1:29" ht="12.75" customHeight="1" x14ac:dyDescent="0.2">
      <c r="A480" s="1916">
        <v>480</v>
      </c>
      <c r="B480" s="5148"/>
      <c r="C480" s="1658" t="str">
        <f t="shared" si="53"/>
        <v>Curtido (3)</v>
      </c>
      <c r="D480" s="2266">
        <f t="shared" si="54"/>
        <v>21</v>
      </c>
      <c r="E480" s="119" t="s">
        <v>2897</v>
      </c>
      <c r="F480" s="373">
        <v>1</v>
      </c>
      <c r="G480" s="373">
        <f>COUNTIF(Principal!$C$35:$J$53,Tablas!E480)</f>
        <v>0</v>
      </c>
      <c r="H480" s="213">
        <f t="shared" si="55"/>
        <v>0</v>
      </c>
      <c r="I480" s="2272"/>
      <c r="J480" s="2283" t="s">
        <v>8067</v>
      </c>
      <c r="N480" s="363"/>
      <c r="AB480" s="363"/>
      <c r="AC480" s="2563"/>
    </row>
    <row r="481" spans="1:29" ht="12.75" customHeight="1" x14ac:dyDescent="0.2">
      <c r="A481" s="1916">
        <v>481</v>
      </c>
      <c r="B481" s="5148"/>
      <c r="C481" s="1658" t="str">
        <f t="shared" si="53"/>
        <v>Fama (1)</v>
      </c>
      <c r="D481" s="2266">
        <f t="shared" si="54"/>
        <v>23</v>
      </c>
      <c r="E481" s="119" t="s">
        <v>2898</v>
      </c>
      <c r="F481" s="373">
        <v>2</v>
      </c>
      <c r="G481" s="373">
        <f>COUNTIF(Principal!$C$35:$J$53,Tablas!E481)</f>
        <v>0</v>
      </c>
      <c r="H481" s="213">
        <f t="shared" si="55"/>
        <v>0</v>
      </c>
      <c r="I481" s="2272"/>
      <c r="J481" s="2283" t="s">
        <v>8067</v>
      </c>
      <c r="N481" s="363"/>
      <c r="AB481" s="363"/>
      <c r="AC481" s="2563"/>
    </row>
    <row r="482" spans="1:29" ht="12.75" customHeight="1" x14ac:dyDescent="0.2">
      <c r="A482" s="1916">
        <v>482</v>
      </c>
      <c r="B482" s="5148"/>
      <c r="C482" s="1658" t="str">
        <f t="shared" si="53"/>
        <v>Fama (2)</v>
      </c>
      <c r="D482" s="2266">
        <f t="shared" si="54"/>
        <v>19</v>
      </c>
      <c r="E482" s="119" t="s">
        <v>2899</v>
      </c>
      <c r="F482" s="373">
        <v>1</v>
      </c>
      <c r="G482" s="373">
        <f>COUNTIF(Principal!$C$35:$J$53,Tablas!E482)</f>
        <v>0</v>
      </c>
      <c r="H482" s="213">
        <f t="shared" si="55"/>
        <v>0</v>
      </c>
      <c r="I482" s="2272"/>
      <c r="J482" s="2283" t="s">
        <v>8067</v>
      </c>
      <c r="N482" s="363"/>
      <c r="AB482" s="363"/>
      <c r="AC482" s="2563"/>
    </row>
    <row r="483" spans="1:29" ht="12.75" customHeight="1" x14ac:dyDescent="0.2">
      <c r="A483" s="1916">
        <v>483</v>
      </c>
      <c r="B483" s="5148"/>
      <c r="C483" s="1658" t="str">
        <f t="shared" si="53"/>
        <v>Fondos iniciales (10 000 mo)</v>
      </c>
      <c r="D483" s="2266">
        <f t="shared" si="54"/>
        <v>20</v>
      </c>
      <c r="E483" s="119" t="s">
        <v>2900</v>
      </c>
      <c r="F483" s="373">
        <v>2</v>
      </c>
      <c r="G483" s="373">
        <f>COUNTIF(Principal!$C$35:$J$53,Tablas!E483)</f>
        <v>0</v>
      </c>
      <c r="H483" s="213">
        <f t="shared" si="55"/>
        <v>0</v>
      </c>
      <c r="I483" s="2272"/>
      <c r="J483" s="2283" t="s">
        <v>8067</v>
      </c>
      <c r="N483" s="363"/>
      <c r="AB483" s="363"/>
      <c r="AC483" s="2563"/>
    </row>
    <row r="484" spans="1:29" ht="12.75" customHeight="1" x14ac:dyDescent="0.2">
      <c r="A484" s="1916">
        <v>484</v>
      </c>
      <c r="B484" s="5148"/>
      <c r="C484" s="1658" t="str">
        <f t="shared" si="53"/>
        <v>Fondos iniciales (2 000 mo)</v>
      </c>
      <c r="D484" s="2266">
        <f t="shared" si="54"/>
        <v>8</v>
      </c>
      <c r="E484" s="119" t="s">
        <v>2901</v>
      </c>
      <c r="F484" s="373">
        <v>1</v>
      </c>
      <c r="G484" s="373">
        <f>COUNTIF(Principal!$C$35:$J$53,Tablas!E484)</f>
        <v>0</v>
      </c>
      <c r="H484" s="213">
        <f t="shared" si="55"/>
        <v>0</v>
      </c>
      <c r="I484" s="2272"/>
      <c r="J484" s="2283" t="s">
        <v>8067</v>
      </c>
      <c r="N484" s="363"/>
      <c r="AB484" s="363"/>
      <c r="AC484" s="2563"/>
    </row>
    <row r="485" spans="1:29" ht="12.75" customHeight="1" x14ac:dyDescent="0.2">
      <c r="A485" s="1916">
        <v>485</v>
      </c>
      <c r="B485" s="5148"/>
      <c r="C485" s="1658" t="str">
        <f t="shared" si="53"/>
        <v>Fondos iniciales (5 000 mo)</v>
      </c>
      <c r="D485" s="2266">
        <f t="shared" si="54"/>
        <v>9</v>
      </c>
      <c r="E485" s="119" t="s">
        <v>2902</v>
      </c>
      <c r="F485" s="373">
        <v>2</v>
      </c>
      <c r="G485" s="373">
        <f>COUNTIF(Principal!$C$35:$J$53,Tablas!E485)</f>
        <v>0</v>
      </c>
      <c r="H485" s="213">
        <f t="shared" si="55"/>
        <v>0</v>
      </c>
      <c r="I485" s="2272"/>
      <c r="J485" s="2283" t="s">
        <v>8067</v>
      </c>
      <c r="N485" s="363"/>
      <c r="AB485" s="363"/>
      <c r="AC485" s="2563"/>
    </row>
    <row r="486" spans="1:29" ht="12.75" customHeight="1" x14ac:dyDescent="0.2">
      <c r="A486" s="1916">
        <v>486</v>
      </c>
      <c r="B486" s="5148"/>
      <c r="C486" s="1658" t="str">
        <f t="shared" si="53"/>
        <v>Posición social (1)</v>
      </c>
      <c r="D486" s="2266">
        <f t="shared" si="54"/>
        <v>10</v>
      </c>
      <c r="E486" s="119" t="s">
        <v>2903</v>
      </c>
      <c r="F486" s="373">
        <v>3</v>
      </c>
      <c r="G486" s="373">
        <f>COUNTIF(Principal!$C$35:$J$53,Tablas!E486)</f>
        <v>0</v>
      </c>
      <c r="H486" s="213">
        <f t="shared" si="55"/>
        <v>0</v>
      </c>
      <c r="I486" s="2272"/>
      <c r="J486" s="2283" t="s">
        <v>8067</v>
      </c>
      <c r="N486" s="363"/>
      <c r="AB486" s="363"/>
      <c r="AC486" s="2563"/>
    </row>
    <row r="487" spans="1:29" ht="12.75" customHeight="1" x14ac:dyDescent="0.2">
      <c r="A487" s="1916">
        <v>487</v>
      </c>
      <c r="B487" s="5148"/>
      <c r="C487" s="1658" t="str">
        <f t="shared" si="53"/>
        <v>Posición social (2)</v>
      </c>
      <c r="D487" s="2266">
        <f t="shared" si="54"/>
        <v>2</v>
      </c>
      <c r="E487" s="119" t="s">
        <v>2904</v>
      </c>
      <c r="F487" s="373">
        <v>1</v>
      </c>
      <c r="G487" s="373">
        <f>COUNTIF(Principal!$C$35:$J$53,Tablas!E487)</f>
        <v>0</v>
      </c>
      <c r="H487" s="213">
        <f t="shared" si="55"/>
        <v>0</v>
      </c>
      <c r="I487" s="2272"/>
      <c r="J487" s="2283" t="s">
        <v>8067</v>
      </c>
      <c r="N487" s="363"/>
      <c r="AB487" s="363"/>
      <c r="AC487" s="2563"/>
    </row>
    <row r="488" spans="1:29" ht="12.75" customHeight="1" x14ac:dyDescent="0.2">
      <c r="A488" s="1916">
        <v>488</v>
      </c>
      <c r="B488" s="5148"/>
      <c r="C488" s="1658" t="str">
        <f t="shared" si="53"/>
        <v>Raices culturales</v>
      </c>
      <c r="D488" s="2266">
        <f t="shared" si="54"/>
        <v>3</v>
      </c>
      <c r="E488" s="119" t="s">
        <v>2905</v>
      </c>
      <c r="F488" s="373">
        <v>2</v>
      </c>
      <c r="G488" s="373">
        <f>COUNTIF(Principal!$C$35:$J$53,Tablas!E488)</f>
        <v>0</v>
      </c>
      <c r="H488" s="213">
        <f t="shared" si="55"/>
        <v>0</v>
      </c>
      <c r="I488" s="2272"/>
      <c r="J488" s="2283" t="s">
        <v>8067</v>
      </c>
      <c r="N488" s="363"/>
      <c r="AB488" s="363"/>
      <c r="AC488" s="2563"/>
    </row>
    <row r="489" spans="1:29" ht="12.75" customHeight="1" x14ac:dyDescent="0.2">
      <c r="A489" s="1916">
        <v>489</v>
      </c>
      <c r="B489" s="5148"/>
      <c r="C489" s="1658" t="str">
        <f t="shared" si="53"/>
        <v>Sangre Antigua</v>
      </c>
      <c r="D489" s="2266">
        <f t="shared" si="54"/>
        <v>4</v>
      </c>
      <c r="E489" s="119" t="s">
        <v>2906</v>
      </c>
      <c r="F489" s="373">
        <v>3</v>
      </c>
      <c r="G489" s="373">
        <f>COUNTIF(Principal!$C$35:$J$53,Tablas!E489)</f>
        <v>0</v>
      </c>
      <c r="H489" s="213">
        <f t="shared" si="55"/>
        <v>0</v>
      </c>
      <c r="I489" s="2272"/>
      <c r="J489" s="2283" t="s">
        <v>8067</v>
      </c>
      <c r="N489" s="363"/>
      <c r="AB489" s="363"/>
      <c r="AC489" s="2563"/>
    </row>
    <row r="490" spans="1:29" ht="12.75" customHeight="1" x14ac:dyDescent="0.2">
      <c r="A490" s="1916">
        <v>490</v>
      </c>
      <c r="B490" s="5148"/>
      <c r="C490" s="2264" t="str">
        <f t="shared" si="53"/>
        <v>Santo</v>
      </c>
      <c r="D490" s="2268">
        <f t="shared" si="54"/>
        <v>22</v>
      </c>
      <c r="E490" s="2269" t="s">
        <v>2907</v>
      </c>
      <c r="F490" s="2270">
        <v>2</v>
      </c>
      <c r="G490" s="2270">
        <f>COUNTIF(Principal!$C$35:$J$53,Tablas!E490)</f>
        <v>0</v>
      </c>
      <c r="H490" s="1904">
        <f t="shared" si="55"/>
        <v>0</v>
      </c>
      <c r="I490" s="2273"/>
      <c r="J490" s="2284" t="s">
        <v>8067</v>
      </c>
      <c r="N490" s="363"/>
      <c r="AB490" s="363"/>
      <c r="AC490" s="2563"/>
    </row>
    <row r="491" spans="1:29" ht="12.75" customHeight="1" x14ac:dyDescent="0.2">
      <c r="A491" s="1916">
        <v>491</v>
      </c>
      <c r="B491" s="5148"/>
      <c r="C491" s="1658"/>
      <c r="D491" s="2266">
        <f t="shared" ref="D491:D535" si="56">COUNTIF($E$491:$E$535,"&lt;="&amp;E491)-COUNTIF($E$491:$E$535,"*&gt;*")</f>
        <v>0</v>
      </c>
      <c r="E491" s="119" t="s">
        <v>2777</v>
      </c>
      <c r="F491" s="373"/>
      <c r="G491" s="373"/>
      <c r="H491" s="2274"/>
      <c r="I491" s="2272"/>
      <c r="J491" s="2283" t="s">
        <v>3279</v>
      </c>
      <c r="N491" s="363"/>
      <c r="AB491" s="363"/>
      <c r="AC491" s="2563"/>
    </row>
    <row r="492" spans="1:29" ht="12.75" customHeight="1" x14ac:dyDescent="0.2">
      <c r="A492" s="1916">
        <v>492</v>
      </c>
      <c r="B492" s="5148"/>
      <c r="C492" s="1658" t="str">
        <f>E491</f>
        <v>&gt; DESVENTAJAS COMUNES</v>
      </c>
      <c r="D492" s="2266">
        <f t="shared" si="56"/>
        <v>1</v>
      </c>
      <c r="E492" s="2287" t="s">
        <v>8772</v>
      </c>
      <c r="F492" s="373">
        <v>-1</v>
      </c>
      <c r="G492" s="373">
        <f>COUNTIF(Principal!$C$35:$J$53,Tablas!E492)</f>
        <v>0</v>
      </c>
      <c r="H492" s="2274">
        <f t="shared" ref="H492:H526" si="57">G492*F492</f>
        <v>0</v>
      </c>
      <c r="I492" s="2279">
        <v>1</v>
      </c>
      <c r="J492" s="2283" t="s">
        <v>3279</v>
      </c>
      <c r="N492" s="363"/>
      <c r="AB492" s="363"/>
      <c r="AC492" s="2563"/>
    </row>
    <row r="493" spans="1:29" ht="12.75" customHeight="1" x14ac:dyDescent="0.2">
      <c r="A493" s="1916">
        <v>493</v>
      </c>
      <c r="B493" s="5148"/>
      <c r="C493" s="1658" t="str">
        <f t="shared" ref="C493:C535" si="58">VLOOKUP(A1,$D$491:$E$535,2,0)</f>
        <v>-2 a característica: AGI</v>
      </c>
      <c r="D493" s="2266">
        <f t="shared" si="56"/>
        <v>2</v>
      </c>
      <c r="E493" s="2287" t="s">
        <v>8773</v>
      </c>
      <c r="F493" s="373">
        <v>-1</v>
      </c>
      <c r="G493" s="373">
        <f>COUNTIF(Principal!$C$35:$J$53,Tablas!E493)</f>
        <v>0</v>
      </c>
      <c r="H493" s="2274">
        <f t="shared" si="57"/>
        <v>0</v>
      </c>
      <c r="I493" s="2279">
        <v>1</v>
      </c>
      <c r="J493" s="2283" t="s">
        <v>3279</v>
      </c>
      <c r="N493" s="363"/>
      <c r="AB493" s="363"/>
      <c r="AC493" s="2563"/>
    </row>
    <row r="494" spans="1:29" ht="12.75" customHeight="1" x14ac:dyDescent="0.2">
      <c r="A494" s="1916">
        <v>494</v>
      </c>
      <c r="B494" s="5148"/>
      <c r="C494" s="1658" t="str">
        <f t="shared" si="58"/>
        <v>-2 a característica: CON</v>
      </c>
      <c r="D494" s="2266">
        <f t="shared" si="56"/>
        <v>3</v>
      </c>
      <c r="E494" s="2287" t="s">
        <v>8774</v>
      </c>
      <c r="F494" s="373">
        <v>-1</v>
      </c>
      <c r="G494" s="373">
        <f>COUNTIF(Principal!$C$35:$J$53,Tablas!E494)</f>
        <v>0</v>
      </c>
      <c r="H494" s="2274">
        <f t="shared" si="57"/>
        <v>0</v>
      </c>
      <c r="I494" s="2279">
        <v>1</v>
      </c>
      <c r="J494" s="2283" t="s">
        <v>3279</v>
      </c>
      <c r="N494" s="363"/>
      <c r="AB494" s="363"/>
      <c r="AC494" s="2563"/>
    </row>
    <row r="495" spans="1:29" ht="12.75" customHeight="1" x14ac:dyDescent="0.2">
      <c r="A495" s="1916">
        <v>495</v>
      </c>
      <c r="B495" s="5148"/>
      <c r="C495" s="1658" t="str">
        <f t="shared" si="58"/>
        <v>-2 a característica: DES</v>
      </c>
      <c r="D495" s="2266">
        <f t="shared" si="56"/>
        <v>4</v>
      </c>
      <c r="E495" s="2287" t="s">
        <v>8775</v>
      </c>
      <c r="F495" s="373">
        <v>-1</v>
      </c>
      <c r="G495" s="373">
        <f>COUNTIF(Principal!$C$35:$J$53,Tablas!E495)</f>
        <v>0</v>
      </c>
      <c r="H495" s="2274">
        <f t="shared" si="57"/>
        <v>0</v>
      </c>
      <c r="I495" s="2279">
        <v>1</v>
      </c>
      <c r="J495" s="2283" t="s">
        <v>3279</v>
      </c>
      <c r="N495" s="363"/>
      <c r="AB495" s="363"/>
      <c r="AC495" s="2563"/>
    </row>
    <row r="496" spans="1:29" ht="12.75" customHeight="1" x14ac:dyDescent="0.2">
      <c r="A496" s="1916">
        <v>496</v>
      </c>
      <c r="B496" s="5148"/>
      <c r="C496" s="1658" t="str">
        <f t="shared" si="58"/>
        <v>-2 a característica: FUE</v>
      </c>
      <c r="D496" s="2266">
        <f t="shared" si="56"/>
        <v>5</v>
      </c>
      <c r="E496" s="2287" t="s">
        <v>8776</v>
      </c>
      <c r="F496" s="373">
        <v>-1</v>
      </c>
      <c r="G496" s="373">
        <f>COUNTIF(Principal!$C$35:$J$53,Tablas!E496)</f>
        <v>0</v>
      </c>
      <c r="H496" s="2274">
        <f t="shared" si="57"/>
        <v>0</v>
      </c>
      <c r="I496" s="2279">
        <v>1</v>
      </c>
      <c r="J496" s="2283" t="s">
        <v>3279</v>
      </c>
      <c r="N496" s="363"/>
      <c r="AB496" s="363"/>
      <c r="AC496" s="2563"/>
    </row>
    <row r="497" spans="1:29" ht="12.75" customHeight="1" x14ac:dyDescent="0.2">
      <c r="A497" s="1916">
        <v>497</v>
      </c>
      <c r="B497" s="5148"/>
      <c r="C497" s="1658" t="str">
        <f t="shared" si="58"/>
        <v>-2 a característica: INT</v>
      </c>
      <c r="D497" s="2266">
        <f t="shared" si="56"/>
        <v>6</v>
      </c>
      <c r="E497" s="2287" t="s">
        <v>8777</v>
      </c>
      <c r="F497" s="373">
        <v>-1</v>
      </c>
      <c r="G497" s="373">
        <f>COUNTIF(Principal!$C$35:$J$53,Tablas!E497)</f>
        <v>0</v>
      </c>
      <c r="H497" s="2274">
        <f t="shared" si="57"/>
        <v>0</v>
      </c>
      <c r="I497" s="2279">
        <v>1</v>
      </c>
      <c r="J497" s="2283" t="s">
        <v>3279</v>
      </c>
      <c r="N497" s="363"/>
      <c r="AB497" s="363"/>
      <c r="AC497" s="2563"/>
    </row>
    <row r="498" spans="1:29" ht="12.75" customHeight="1" x14ac:dyDescent="0.2">
      <c r="A498" s="1916">
        <v>498</v>
      </c>
      <c r="B498" s="5148"/>
      <c r="C498" s="1658" t="str">
        <f t="shared" si="58"/>
        <v>-2 a característica: PER</v>
      </c>
      <c r="D498" s="2266">
        <f t="shared" si="56"/>
        <v>7</v>
      </c>
      <c r="E498" s="2287" t="s">
        <v>8778</v>
      </c>
      <c r="F498" s="373">
        <v>-1</v>
      </c>
      <c r="G498" s="373">
        <f>COUNTIF(Principal!$C$35:$J$53,Tablas!E498)</f>
        <v>0</v>
      </c>
      <c r="H498" s="2274">
        <f t="shared" si="57"/>
        <v>0</v>
      </c>
      <c r="I498" s="2279">
        <v>1</v>
      </c>
      <c r="J498" s="2283" t="s">
        <v>3279</v>
      </c>
      <c r="N498" s="363"/>
      <c r="AB498" s="363"/>
      <c r="AC498" s="2563"/>
    </row>
    <row r="499" spans="1:29" ht="12.75" customHeight="1" x14ac:dyDescent="0.2">
      <c r="A499" s="1916">
        <v>499</v>
      </c>
      <c r="B499" s="5148"/>
      <c r="C499" s="1658" t="str">
        <f t="shared" si="58"/>
        <v>-2 a característica: POD</v>
      </c>
      <c r="D499" s="2266">
        <f t="shared" si="56"/>
        <v>8</v>
      </c>
      <c r="E499" s="2287" t="s">
        <v>8779</v>
      </c>
      <c r="F499" s="373">
        <v>-1</v>
      </c>
      <c r="G499" s="373">
        <f>COUNTIF(Principal!$C$35:$J$53,Tablas!E499)</f>
        <v>0</v>
      </c>
      <c r="H499" s="2274">
        <f t="shared" si="57"/>
        <v>0</v>
      </c>
      <c r="I499" s="2279">
        <v>1</v>
      </c>
      <c r="J499" s="2283" t="s">
        <v>3279</v>
      </c>
      <c r="N499" s="363"/>
      <c r="AB499" s="363"/>
      <c r="AC499" s="2563"/>
    </row>
    <row r="500" spans="1:29" ht="12.75" customHeight="1" x14ac:dyDescent="0.2">
      <c r="A500" s="1916">
        <v>500</v>
      </c>
      <c r="B500" s="5148"/>
      <c r="C500" s="1658" t="str">
        <f t="shared" si="58"/>
        <v>-2 a característica: VOL</v>
      </c>
      <c r="D500" s="2266">
        <f t="shared" si="56"/>
        <v>31</v>
      </c>
      <c r="E500" s="119" t="s">
        <v>2778</v>
      </c>
      <c r="F500" s="373">
        <v>-1</v>
      </c>
      <c r="G500" s="373">
        <f>COUNTIF(Principal!$C$35:$J$53,Tablas!E500)</f>
        <v>0</v>
      </c>
      <c r="H500" s="2274">
        <f t="shared" si="57"/>
        <v>0</v>
      </c>
      <c r="I500" s="2279">
        <v>2</v>
      </c>
      <c r="J500" s="2283" t="s">
        <v>3279</v>
      </c>
      <c r="N500" s="363"/>
      <c r="AB500" s="363"/>
      <c r="AC500" s="2563"/>
    </row>
    <row r="501" spans="1:29" ht="12.75" customHeight="1" x14ac:dyDescent="0.2">
      <c r="A501" s="1916">
        <v>501</v>
      </c>
      <c r="B501" s="5148"/>
      <c r="C501" s="1658" t="str">
        <f t="shared" si="58"/>
        <v>Adicción o vicio grave</v>
      </c>
      <c r="D501" s="2266">
        <f t="shared" si="56"/>
        <v>36</v>
      </c>
      <c r="E501" s="119" t="s">
        <v>2249</v>
      </c>
      <c r="F501" s="373">
        <v>-1</v>
      </c>
      <c r="G501" s="373">
        <f>COUNTIF(Principal!$C$35:$J$53,Tablas!E501)</f>
        <v>0</v>
      </c>
      <c r="H501" s="2274">
        <f t="shared" si="57"/>
        <v>0</v>
      </c>
      <c r="I501" s="2279">
        <v>1</v>
      </c>
      <c r="J501" s="2283" t="s">
        <v>3279</v>
      </c>
      <c r="N501" s="363"/>
      <c r="AB501" s="363"/>
      <c r="AC501" s="2563"/>
    </row>
    <row r="502" spans="1:29" ht="12.75" customHeight="1" x14ac:dyDescent="0.2">
      <c r="A502" s="1916">
        <v>502</v>
      </c>
      <c r="B502" s="5148"/>
      <c r="C502" s="1658" t="str">
        <f t="shared" si="58"/>
        <v>Alergia grave</v>
      </c>
      <c r="D502" s="2266">
        <f t="shared" si="56"/>
        <v>42</v>
      </c>
      <c r="E502" s="119" t="s">
        <v>2779</v>
      </c>
      <c r="F502" s="373">
        <v>-1</v>
      </c>
      <c r="G502" s="373">
        <f>COUNTIF(Principal!$C$35:$J$53,Tablas!E502)</f>
        <v>0</v>
      </c>
      <c r="H502" s="2274">
        <f t="shared" si="57"/>
        <v>0</v>
      </c>
      <c r="I502" s="2279">
        <v>1</v>
      </c>
      <c r="J502" s="2283" t="s">
        <v>3279</v>
      </c>
      <c r="N502" s="363"/>
      <c r="AB502" s="363"/>
      <c r="AC502" s="2563"/>
    </row>
    <row r="503" spans="1:29" ht="12.75" customHeight="1" x14ac:dyDescent="0.2">
      <c r="A503" s="1916">
        <v>503</v>
      </c>
      <c r="B503" s="5148"/>
      <c r="C503" s="1658" t="str">
        <f t="shared" si="58"/>
        <v>Aprendizaje lento (1)</v>
      </c>
      <c r="D503" s="2266">
        <f t="shared" si="56"/>
        <v>24</v>
      </c>
      <c r="E503" s="119" t="s">
        <v>2780</v>
      </c>
      <c r="F503" s="373">
        <v>-1</v>
      </c>
      <c r="G503" s="373">
        <f>COUNTIF(Principal!$C$35:$J$53,Tablas!E503)</f>
        <v>0</v>
      </c>
      <c r="H503" s="2274">
        <f t="shared" si="57"/>
        <v>0</v>
      </c>
      <c r="I503" s="2279"/>
      <c r="J503" s="2283" t="s">
        <v>3279</v>
      </c>
      <c r="N503" s="363"/>
      <c r="AB503" s="363"/>
      <c r="AC503" s="2563"/>
    </row>
    <row r="504" spans="1:29" ht="12.75" customHeight="1" x14ac:dyDescent="0.2">
      <c r="A504" s="1916">
        <v>504</v>
      </c>
      <c r="B504" s="5148"/>
      <c r="C504" s="1658" t="str">
        <f t="shared" si="58"/>
        <v>Aprendizaje lento (2)</v>
      </c>
      <c r="D504" s="2266">
        <f t="shared" si="56"/>
        <v>41</v>
      </c>
      <c r="E504" s="119" t="s">
        <v>2781</v>
      </c>
      <c r="F504" s="373">
        <v>-1</v>
      </c>
      <c r="G504" s="373">
        <f>COUNTIF(Principal!$C$35:$J$53,Tablas!E504)</f>
        <v>0</v>
      </c>
      <c r="H504" s="2274">
        <f t="shared" si="57"/>
        <v>0</v>
      </c>
      <c r="I504" s="2279">
        <v>1</v>
      </c>
      <c r="J504" s="2283" t="s">
        <v>3279</v>
      </c>
      <c r="N504" s="363"/>
      <c r="AB504" s="363"/>
      <c r="AC504" s="2563"/>
    </row>
    <row r="505" spans="1:29" ht="12.75" customHeight="1" x14ac:dyDescent="0.2">
      <c r="A505" s="1916">
        <v>505</v>
      </c>
      <c r="B505" s="5148"/>
      <c r="C505" s="1658" t="str">
        <f t="shared" si="58"/>
        <v>Arma exclusiva</v>
      </c>
      <c r="D505" s="2266">
        <f t="shared" si="56"/>
        <v>40</v>
      </c>
      <c r="E505" s="119" t="s">
        <v>2782</v>
      </c>
      <c r="F505" s="373">
        <v>-1</v>
      </c>
      <c r="G505" s="373">
        <f>COUNTIF(Principal!$C$35:$J$53,Tablas!E505)</f>
        <v>0</v>
      </c>
      <c r="H505" s="2274">
        <f t="shared" si="57"/>
        <v>0</v>
      </c>
      <c r="I505" s="2279"/>
      <c r="J505" s="2283" t="s">
        <v>3279</v>
      </c>
      <c r="N505" s="363"/>
      <c r="AB505" s="363"/>
      <c r="AC505" s="2563"/>
    </row>
    <row r="506" spans="1:29" ht="12.75" customHeight="1" x14ac:dyDescent="0.2">
      <c r="A506" s="1916">
        <v>506</v>
      </c>
      <c r="B506" s="5148"/>
      <c r="C506" s="1658" t="str">
        <f t="shared" si="58"/>
        <v>Aspecto desagradable</v>
      </c>
      <c r="D506" s="2266">
        <f t="shared" si="56"/>
        <v>23</v>
      </c>
      <c r="E506" s="119" t="s">
        <v>2783</v>
      </c>
      <c r="F506" s="373">
        <v>-1</v>
      </c>
      <c r="G506" s="373">
        <f>COUNTIF(Principal!$C$35:$J$53,Tablas!E506)</f>
        <v>0</v>
      </c>
      <c r="H506" s="2274">
        <f t="shared" si="57"/>
        <v>0</v>
      </c>
      <c r="I506" s="2279"/>
      <c r="J506" s="2283" t="s">
        <v>3279</v>
      </c>
      <c r="N506" s="363"/>
      <c r="AB506" s="363"/>
      <c r="AC506" s="2563"/>
    </row>
    <row r="507" spans="1:29" ht="12.75" customHeight="1" x14ac:dyDescent="0.2">
      <c r="A507" s="1916">
        <v>507</v>
      </c>
      <c r="B507" s="5148"/>
      <c r="C507" s="1658" t="str">
        <f t="shared" si="58"/>
        <v>Ciego</v>
      </c>
      <c r="D507" s="2266">
        <f t="shared" si="56"/>
        <v>17</v>
      </c>
      <c r="E507" s="119" t="s">
        <v>2784</v>
      </c>
      <c r="F507" s="373">
        <v>-1</v>
      </c>
      <c r="G507" s="373">
        <f>COUNTIF(Principal!$C$35:$J$53,Tablas!E507)</f>
        <v>0</v>
      </c>
      <c r="H507" s="2274">
        <f t="shared" si="57"/>
        <v>0</v>
      </c>
      <c r="I507" s="2279">
        <v>1</v>
      </c>
      <c r="J507" s="2283" t="s">
        <v>3279</v>
      </c>
      <c r="N507" s="363"/>
      <c r="AB507" s="363"/>
      <c r="AC507" s="2563"/>
    </row>
    <row r="508" spans="1:29" ht="12.75" customHeight="1" x14ac:dyDescent="0.2">
      <c r="A508" s="1916">
        <v>508</v>
      </c>
      <c r="B508" s="5148"/>
      <c r="C508" s="1658" t="str">
        <f t="shared" si="58"/>
        <v>Cobardía</v>
      </c>
      <c r="D508" s="2266">
        <f t="shared" si="56"/>
        <v>14</v>
      </c>
      <c r="E508" s="119" t="s">
        <v>2785</v>
      </c>
      <c r="F508" s="373">
        <v>-1</v>
      </c>
      <c r="G508" s="373">
        <f>COUNTIF(Principal!$C$35:$J$53,Tablas!E508)</f>
        <v>0</v>
      </c>
      <c r="H508" s="2274">
        <f t="shared" si="57"/>
        <v>0</v>
      </c>
      <c r="I508" s="2279"/>
      <c r="J508" s="2283" t="s">
        <v>3279</v>
      </c>
      <c r="N508" s="363"/>
      <c r="AB508" s="363"/>
      <c r="AC508" s="2563"/>
    </row>
    <row r="509" spans="1:29" ht="12.75" customHeight="1" x14ac:dyDescent="0.2">
      <c r="A509" s="1916">
        <v>509</v>
      </c>
      <c r="B509" s="5148"/>
      <c r="C509" s="1658" t="str">
        <f t="shared" si="58"/>
        <v>Debilidad física</v>
      </c>
      <c r="D509" s="2266">
        <f t="shared" si="56"/>
        <v>27</v>
      </c>
      <c r="E509" s="119" t="s">
        <v>2786</v>
      </c>
      <c r="F509" s="373">
        <v>-1</v>
      </c>
      <c r="G509" s="373">
        <f>COUNTIF(Principal!$C$35:$J$53,Tablas!E509)</f>
        <v>0</v>
      </c>
      <c r="H509" s="2274">
        <f t="shared" si="57"/>
        <v>0</v>
      </c>
      <c r="I509" s="2279"/>
      <c r="J509" s="2283" t="s">
        <v>3279</v>
      </c>
      <c r="N509" s="363"/>
      <c r="AB509" s="363"/>
      <c r="AC509" s="2563"/>
    </row>
    <row r="510" spans="1:29" ht="12.75" customHeight="1" x14ac:dyDescent="0.2">
      <c r="A510" s="1916">
        <v>510</v>
      </c>
      <c r="B510" s="5148"/>
      <c r="C510" s="1658" t="str">
        <f t="shared" si="58"/>
        <v>Desafortunado</v>
      </c>
      <c r="D510" s="2266">
        <f t="shared" si="56"/>
        <v>21</v>
      </c>
      <c r="E510" s="119" t="s">
        <v>2787</v>
      </c>
      <c r="F510" s="373">
        <v>-2</v>
      </c>
      <c r="G510" s="373">
        <f>COUNTIF(Principal!$C$35:$J$53,Tablas!E510)</f>
        <v>0</v>
      </c>
      <c r="H510" s="2274">
        <f t="shared" si="57"/>
        <v>0</v>
      </c>
      <c r="I510" s="2279"/>
      <c r="J510" s="2283" t="s">
        <v>3279</v>
      </c>
      <c r="N510" s="363"/>
      <c r="AB510" s="363"/>
      <c r="AC510" s="2563"/>
    </row>
    <row r="511" spans="1:29" ht="12.75" customHeight="1" x14ac:dyDescent="0.2">
      <c r="A511" s="1916">
        <v>511</v>
      </c>
      <c r="B511" s="5148"/>
      <c r="C511" s="1658" t="str">
        <f t="shared" si="58"/>
        <v>Destino aciago</v>
      </c>
      <c r="D511" s="2266">
        <f t="shared" si="56"/>
        <v>10</v>
      </c>
      <c r="E511" s="119" t="s">
        <v>2788</v>
      </c>
      <c r="F511" s="373">
        <v>-1</v>
      </c>
      <c r="G511" s="373">
        <f>COUNTIF(Principal!$C$35:$J$53,Tablas!E511)</f>
        <v>0</v>
      </c>
      <c r="H511" s="2274">
        <f t="shared" si="57"/>
        <v>0</v>
      </c>
      <c r="I511" s="2279"/>
      <c r="J511" s="2283" t="s">
        <v>3279</v>
      </c>
      <c r="N511" s="363"/>
      <c r="AB511" s="363"/>
      <c r="AC511" s="2563"/>
    </row>
    <row r="512" spans="1:29" ht="12.75" customHeight="1" x14ac:dyDescent="0.2">
      <c r="A512" s="1916">
        <v>512</v>
      </c>
      <c r="B512" s="5148"/>
      <c r="C512" s="1658" t="str">
        <f t="shared" si="58"/>
        <v>Endeble</v>
      </c>
      <c r="D512" s="2266">
        <f t="shared" si="56"/>
        <v>39</v>
      </c>
      <c r="E512" s="119" t="s">
        <v>2789</v>
      </c>
      <c r="F512" s="373">
        <v>-1</v>
      </c>
      <c r="G512" s="373">
        <f>COUNTIF(Principal!$C$35:$J$53,Tablas!E512)</f>
        <v>0</v>
      </c>
      <c r="H512" s="2274">
        <f t="shared" si="57"/>
        <v>0</v>
      </c>
      <c r="I512" s="2279"/>
      <c r="J512" s="2283" t="s">
        <v>3279</v>
      </c>
      <c r="N512" s="363"/>
      <c r="AB512" s="363"/>
      <c r="AC512" s="2563"/>
    </row>
    <row r="513" spans="1:29" ht="12.75" customHeight="1" x14ac:dyDescent="0.2">
      <c r="A513" s="1916">
        <v>513</v>
      </c>
      <c r="B513" s="5148"/>
      <c r="C513" s="1658" t="str">
        <f t="shared" si="58"/>
        <v>Enfermedad grave</v>
      </c>
      <c r="D513" s="2266">
        <f t="shared" si="56"/>
        <v>25</v>
      </c>
      <c r="E513" s="119" t="s">
        <v>2790</v>
      </c>
      <c r="F513" s="373">
        <v>-1</v>
      </c>
      <c r="G513" s="373">
        <f>COUNTIF(Principal!$C$35:$J$53,Tablas!E513)</f>
        <v>0</v>
      </c>
      <c r="H513" s="2274">
        <f t="shared" si="57"/>
        <v>0</v>
      </c>
      <c r="I513" s="2279"/>
      <c r="J513" s="2283" t="s">
        <v>3279</v>
      </c>
      <c r="N513" s="363"/>
      <c r="AB513" s="363"/>
      <c r="AC513" s="2563"/>
    </row>
    <row r="514" spans="1:29" ht="12.75" customHeight="1" x14ac:dyDescent="0.2">
      <c r="A514" s="1916">
        <v>514</v>
      </c>
      <c r="B514" s="5148"/>
      <c r="C514" s="1658" t="str">
        <f t="shared" si="58"/>
        <v>Exhausto</v>
      </c>
      <c r="D514" s="2266">
        <f t="shared" si="56"/>
        <v>28</v>
      </c>
      <c r="E514" s="119" t="s">
        <v>2791</v>
      </c>
      <c r="F514" s="373">
        <v>-1</v>
      </c>
      <c r="G514" s="373">
        <f>COUNTIF(Principal!$C$35:$J$53,Tablas!E514)</f>
        <v>0</v>
      </c>
      <c r="H514" s="2274">
        <f t="shared" si="57"/>
        <v>0</v>
      </c>
      <c r="I514" s="2279"/>
      <c r="J514" s="2283" t="s">
        <v>3279</v>
      </c>
      <c r="N514" s="363"/>
      <c r="AB514" s="363"/>
      <c r="AC514" s="2563"/>
    </row>
    <row r="515" spans="1:29" ht="12.75" customHeight="1" x14ac:dyDescent="0.2">
      <c r="A515" s="1916">
        <v>515</v>
      </c>
      <c r="B515" s="5148"/>
      <c r="C515" s="1658" t="str">
        <f t="shared" si="58"/>
        <v>Extremidad atrofiada</v>
      </c>
      <c r="D515" s="2266">
        <f t="shared" si="56"/>
        <v>18</v>
      </c>
      <c r="E515" s="119" t="s">
        <v>2792</v>
      </c>
      <c r="F515" s="373">
        <v>-1</v>
      </c>
      <c r="G515" s="373">
        <f>COUNTIF(Principal!$C$35:$J$53,Tablas!E515)</f>
        <v>0</v>
      </c>
      <c r="H515" s="2274">
        <f t="shared" si="57"/>
        <v>0</v>
      </c>
      <c r="I515" s="2279"/>
      <c r="J515" s="2283" t="s">
        <v>3279</v>
      </c>
      <c r="N515" s="363"/>
      <c r="AB515" s="363"/>
      <c r="AC515" s="2563"/>
    </row>
    <row r="516" spans="1:29" ht="12.75" customHeight="1" x14ac:dyDescent="0.2">
      <c r="A516" s="1916">
        <v>516</v>
      </c>
      <c r="B516" s="5148"/>
      <c r="C516" s="1658" t="str">
        <f t="shared" si="58"/>
        <v>Fácil posesión</v>
      </c>
      <c r="D516" s="2266">
        <f t="shared" si="56"/>
        <v>32</v>
      </c>
      <c r="E516" s="119" t="s">
        <v>2793</v>
      </c>
      <c r="F516" s="373">
        <v>-1</v>
      </c>
      <c r="G516" s="373">
        <f>COUNTIF(Principal!$C$35:$J$53,Tablas!E516)</f>
        <v>0</v>
      </c>
      <c r="H516" s="2274">
        <f t="shared" si="57"/>
        <v>0</v>
      </c>
      <c r="I516" s="2279"/>
      <c r="J516" s="2283" t="s">
        <v>3279</v>
      </c>
      <c r="N516" s="363"/>
      <c r="AB516" s="363"/>
      <c r="AC516" s="2563"/>
    </row>
    <row r="517" spans="1:29" ht="12.75" customHeight="1" x14ac:dyDescent="0.2">
      <c r="A517" s="1916">
        <v>517</v>
      </c>
      <c r="B517" s="5148"/>
      <c r="C517" s="1658" t="str">
        <f t="shared" si="58"/>
        <v>Fobia grave</v>
      </c>
      <c r="D517" s="2266">
        <f t="shared" si="56"/>
        <v>15</v>
      </c>
      <c r="E517" s="119" t="s">
        <v>2794</v>
      </c>
      <c r="F517" s="373">
        <v>-2</v>
      </c>
      <c r="G517" s="373">
        <f>COUNTIF(Principal!$C$35:$J$53,Tablas!E517)</f>
        <v>0</v>
      </c>
      <c r="H517" s="2274">
        <f t="shared" si="57"/>
        <v>0</v>
      </c>
      <c r="I517" s="2279"/>
      <c r="J517" s="2283" t="s">
        <v>3279</v>
      </c>
      <c r="N517" s="363"/>
      <c r="AB517" s="363"/>
      <c r="AC517" s="2563"/>
    </row>
    <row r="518" spans="1:29" ht="12.75" customHeight="1" x14ac:dyDescent="0.2">
      <c r="A518" s="1916">
        <v>518</v>
      </c>
      <c r="B518" s="5148"/>
      <c r="C518" s="1658" t="str">
        <f t="shared" si="58"/>
        <v>Insufrible</v>
      </c>
      <c r="D518" s="2266">
        <f t="shared" si="56"/>
        <v>38</v>
      </c>
      <c r="E518" s="119" t="s">
        <v>2795</v>
      </c>
      <c r="F518" s="373">
        <v>-1</v>
      </c>
      <c r="G518" s="373">
        <f>COUNTIF(Principal!$C$35:$J$53,Tablas!E518)</f>
        <v>0</v>
      </c>
      <c r="H518" s="2274">
        <f t="shared" si="57"/>
        <v>0</v>
      </c>
      <c r="I518" s="2279"/>
      <c r="J518" s="2283" t="s">
        <v>3279</v>
      </c>
      <c r="N518" s="363"/>
      <c r="AB518" s="363"/>
      <c r="AC518" s="2563"/>
    </row>
    <row r="519" spans="1:29" ht="12.75" customHeight="1" x14ac:dyDescent="0.2">
      <c r="A519" s="1916">
        <v>519</v>
      </c>
      <c r="B519" s="5148"/>
      <c r="C519" s="1658" t="str">
        <f t="shared" si="58"/>
        <v>Lenta curación</v>
      </c>
      <c r="D519" s="2266">
        <f t="shared" si="56"/>
        <v>13</v>
      </c>
      <c r="E519" s="119" t="s">
        <v>2796</v>
      </c>
      <c r="F519" s="373">
        <v>-1</v>
      </c>
      <c r="G519" s="373">
        <f>COUNTIF(Principal!$C$35:$J$53,Tablas!E519)</f>
        <v>0</v>
      </c>
      <c r="H519" s="2274">
        <f t="shared" si="57"/>
        <v>0</v>
      </c>
      <c r="I519" s="2279">
        <v>1</v>
      </c>
      <c r="J519" s="2283" t="s">
        <v>3279</v>
      </c>
      <c r="N519" s="363"/>
      <c r="AB519" s="363"/>
      <c r="AC519" s="2563"/>
    </row>
    <row r="520" spans="1:29" ht="12.75" customHeight="1" x14ac:dyDescent="0.2">
      <c r="A520" s="1916">
        <v>520</v>
      </c>
      <c r="B520" s="5148"/>
      <c r="C520" s="1658" t="str">
        <f t="shared" si="58"/>
        <v>Mala suerte</v>
      </c>
      <c r="D520" s="2266">
        <f t="shared" si="56"/>
        <v>34</v>
      </c>
      <c r="E520" s="119" t="s">
        <v>2797</v>
      </c>
      <c r="F520" s="373">
        <v>-1</v>
      </c>
      <c r="G520" s="373">
        <f>COUNTIF(Principal!$C$35:$J$53,Tablas!E520)</f>
        <v>0</v>
      </c>
      <c r="H520" s="2274">
        <f t="shared" si="57"/>
        <v>0</v>
      </c>
      <c r="I520" s="2279">
        <v>1</v>
      </c>
      <c r="J520" s="2283" t="s">
        <v>3279</v>
      </c>
      <c r="N520" s="363"/>
      <c r="AB520" s="363"/>
      <c r="AC520" s="2563"/>
    </row>
    <row r="521" spans="1:29" ht="12.75" customHeight="1" x14ac:dyDescent="0.2">
      <c r="A521" s="1916">
        <v>521</v>
      </c>
      <c r="B521" s="5148"/>
      <c r="C521" s="1658" t="str">
        <f t="shared" si="58"/>
        <v>Maldito (1)</v>
      </c>
      <c r="D521" s="2266">
        <f t="shared" si="56"/>
        <v>35</v>
      </c>
      <c r="E521" s="119" t="s">
        <v>2798</v>
      </c>
      <c r="F521" s="373">
        <v>-2</v>
      </c>
      <c r="G521" s="373">
        <f>COUNTIF(Principal!$C$35:$J$53,Tablas!E521)</f>
        <v>0</v>
      </c>
      <c r="H521" s="2274">
        <f t="shared" si="57"/>
        <v>0</v>
      </c>
      <c r="I521" s="2279">
        <v>1</v>
      </c>
      <c r="J521" s="2283" t="s">
        <v>3279</v>
      </c>
      <c r="N521" s="363"/>
      <c r="AB521" s="363"/>
      <c r="AC521" s="2563"/>
    </row>
    <row r="522" spans="1:29" ht="12.75" customHeight="1" x14ac:dyDescent="0.2">
      <c r="A522" s="1916">
        <v>522</v>
      </c>
      <c r="B522" s="5148"/>
      <c r="C522" s="1658" t="str">
        <f t="shared" si="58"/>
        <v>Maldito (2)</v>
      </c>
      <c r="D522" s="2266">
        <f t="shared" si="56"/>
        <v>9</v>
      </c>
      <c r="E522" s="119" t="s">
        <v>2799</v>
      </c>
      <c r="F522" s="373">
        <v>-1</v>
      </c>
      <c r="G522" s="373">
        <f>COUNTIF(Principal!$C$35:$J$53,Tablas!E522)</f>
        <v>0</v>
      </c>
      <c r="H522" s="2274">
        <f t="shared" si="57"/>
        <v>0</v>
      </c>
      <c r="I522" s="2279"/>
      <c r="J522" s="2283" t="s">
        <v>3279</v>
      </c>
      <c r="N522" s="363"/>
      <c r="AB522" s="363"/>
      <c r="AC522" s="2563"/>
    </row>
    <row r="523" spans="1:29" ht="12.75" customHeight="1" x14ac:dyDescent="0.2">
      <c r="A523" s="1916">
        <v>523</v>
      </c>
      <c r="B523" s="5148"/>
      <c r="C523" s="1658" t="str">
        <f t="shared" si="58"/>
        <v>Miopía</v>
      </c>
      <c r="D523" s="2266">
        <f t="shared" si="56"/>
        <v>11</v>
      </c>
      <c r="E523" s="119" t="s">
        <v>2800</v>
      </c>
      <c r="F523" s="373">
        <v>-1</v>
      </c>
      <c r="G523" s="373">
        <f>COUNTIF(Principal!$C$35:$J$53,Tablas!E523)</f>
        <v>0</v>
      </c>
      <c r="H523" s="2274">
        <f t="shared" si="57"/>
        <v>0</v>
      </c>
      <c r="I523" s="2279"/>
      <c r="J523" s="2283" t="s">
        <v>3279</v>
      </c>
      <c r="N523" s="363"/>
      <c r="AB523" s="363"/>
      <c r="AC523" s="2563"/>
    </row>
    <row r="524" spans="1:29" ht="12.75" customHeight="1" x14ac:dyDescent="0.2">
      <c r="A524" s="1916">
        <v>524</v>
      </c>
      <c r="B524" s="5148"/>
      <c r="C524" s="1658" t="str">
        <f t="shared" si="58"/>
        <v>Mudo</v>
      </c>
      <c r="D524" s="2266">
        <f t="shared" si="56"/>
        <v>12</v>
      </c>
      <c r="E524" s="119" t="s">
        <v>2801</v>
      </c>
      <c r="F524" s="373">
        <v>-2</v>
      </c>
      <c r="G524" s="373">
        <f>COUNTIF(Principal!$C$35:$J$53,Tablas!E524)</f>
        <v>0</v>
      </c>
      <c r="H524" s="2274">
        <f t="shared" si="57"/>
        <v>0</v>
      </c>
      <c r="I524" s="2279"/>
      <c r="J524" s="2283" t="s">
        <v>3279</v>
      </c>
      <c r="N524" s="363"/>
      <c r="AB524" s="363"/>
      <c r="AC524" s="2563"/>
    </row>
    <row r="525" spans="1:29" ht="12.75" customHeight="1" x14ac:dyDescent="0.2">
      <c r="A525" s="1916">
        <v>525</v>
      </c>
      <c r="B525" s="5148"/>
      <c r="C525" s="1658" t="str">
        <f t="shared" si="58"/>
        <v>Patoso</v>
      </c>
      <c r="D525" s="2266">
        <f t="shared" si="56"/>
        <v>43</v>
      </c>
      <c r="E525" s="119" t="s">
        <v>2802</v>
      </c>
      <c r="F525" s="373">
        <v>-1</v>
      </c>
      <c r="G525" s="373">
        <f>COUNTIF(Principal!$C$35:$J$53,Tablas!E525)</f>
        <v>0</v>
      </c>
      <c r="H525" s="2274">
        <f t="shared" si="57"/>
        <v>0</v>
      </c>
      <c r="I525" s="2279">
        <v>1</v>
      </c>
      <c r="J525" s="2283" t="s">
        <v>3279</v>
      </c>
      <c r="N525" s="363"/>
      <c r="AB525" s="363"/>
      <c r="AC525" s="2563"/>
    </row>
    <row r="526" spans="1:29" ht="12.75" customHeight="1" x14ac:dyDescent="0.2">
      <c r="A526" s="1916">
        <v>526</v>
      </c>
      <c r="B526" s="5148"/>
      <c r="C526" s="1658" t="str">
        <f t="shared" si="58"/>
        <v>Reacción lenta (1)</v>
      </c>
      <c r="D526" s="2266">
        <f t="shared" si="56"/>
        <v>22</v>
      </c>
      <c r="E526" s="119" t="s">
        <v>2803</v>
      </c>
      <c r="F526" s="373">
        <v>-1</v>
      </c>
      <c r="G526" s="373">
        <f>COUNTIF(Principal!$C$35:$J$53,Tablas!E526)</f>
        <v>0</v>
      </c>
      <c r="H526" s="2274">
        <f t="shared" si="57"/>
        <v>0</v>
      </c>
      <c r="I526" s="2279">
        <v>1</v>
      </c>
      <c r="J526" s="2283" t="s">
        <v>3279</v>
      </c>
      <c r="N526" s="363"/>
      <c r="AB526" s="363"/>
      <c r="AC526" s="2563"/>
    </row>
    <row r="527" spans="1:29" ht="12.75" customHeight="1" x14ac:dyDescent="0.2">
      <c r="A527" s="1916">
        <v>527</v>
      </c>
      <c r="B527" s="5148"/>
      <c r="C527" s="1658" t="str">
        <f t="shared" si="58"/>
        <v>Reacción lenta (2)</v>
      </c>
      <c r="D527" s="2266">
        <f t="shared" si="56"/>
        <v>-1</v>
      </c>
      <c r="E527" s="119" t="s">
        <v>2851</v>
      </c>
      <c r="F527" s="373"/>
      <c r="G527" s="373"/>
      <c r="H527" s="2274"/>
      <c r="I527" s="2279"/>
      <c r="J527" s="2283" t="s">
        <v>3279</v>
      </c>
      <c r="N527" s="363"/>
      <c r="AB527" s="363"/>
      <c r="AC527" s="2563"/>
    </row>
    <row r="528" spans="1:29" ht="12.75" customHeight="1" x14ac:dyDescent="0.2">
      <c r="A528" s="1916">
        <v>528</v>
      </c>
      <c r="B528" s="5148"/>
      <c r="C528" s="1658" t="str">
        <f t="shared" si="58"/>
        <v>Salud enfermiza</v>
      </c>
      <c r="D528" s="2266">
        <f t="shared" si="56"/>
        <v>20</v>
      </c>
      <c r="E528" s="119" t="s">
        <v>2852</v>
      </c>
      <c r="F528" s="373">
        <v>-1</v>
      </c>
      <c r="G528" s="373">
        <f>COUNTIF(Principal!$C$35:$J$53,Tablas!E528)</f>
        <v>0</v>
      </c>
      <c r="H528" s="2274">
        <f t="shared" ref="H528:H532" si="59">G528*F528</f>
        <v>0</v>
      </c>
      <c r="I528" s="2279"/>
      <c r="J528" s="2283" t="s">
        <v>3279</v>
      </c>
      <c r="N528" s="363"/>
      <c r="AB528" s="363"/>
      <c r="AC528" s="2563"/>
    </row>
    <row r="529" spans="1:29" ht="12.75" customHeight="1" x14ac:dyDescent="0.2">
      <c r="A529" s="1916">
        <v>529</v>
      </c>
      <c r="B529" s="5148"/>
      <c r="C529" s="1658" t="str">
        <f t="shared" si="58"/>
        <v>Sin bonificador natural</v>
      </c>
      <c r="D529" s="2266">
        <f t="shared" si="56"/>
        <v>16</v>
      </c>
      <c r="E529" s="119" t="s">
        <v>2853</v>
      </c>
      <c r="F529" s="373">
        <v>-1</v>
      </c>
      <c r="G529" s="373">
        <f>COUNTIF(Principal!$C$35:$J$53,Tablas!E529)</f>
        <v>0</v>
      </c>
      <c r="H529" s="2274">
        <f t="shared" si="59"/>
        <v>0</v>
      </c>
      <c r="I529" s="2279"/>
      <c r="J529" s="2283" t="s">
        <v>3279</v>
      </c>
      <c r="N529" s="363"/>
      <c r="AB529" s="363"/>
      <c r="AC529" s="2563"/>
    </row>
    <row r="530" spans="1:29" ht="12.75" customHeight="1" x14ac:dyDescent="0.2">
      <c r="A530" s="1916">
        <v>530</v>
      </c>
      <c r="B530" s="5148"/>
      <c r="C530" s="1658" t="str">
        <f t="shared" si="58"/>
        <v>Sordo</v>
      </c>
      <c r="D530" s="2266">
        <f t="shared" si="56"/>
        <v>33</v>
      </c>
      <c r="E530" s="119" t="s">
        <v>2854</v>
      </c>
      <c r="F530" s="373">
        <v>-1</v>
      </c>
      <c r="G530" s="373">
        <f>COUNTIF(Principal!$C$35:$J$53,Tablas!E530)</f>
        <v>0</v>
      </c>
      <c r="H530" s="2274">
        <f t="shared" si="59"/>
        <v>0</v>
      </c>
      <c r="I530" s="2279"/>
      <c r="J530" s="2283" t="s">
        <v>3279</v>
      </c>
      <c r="N530" s="363"/>
      <c r="AB530" s="363"/>
      <c r="AC530" s="2563"/>
    </row>
    <row r="531" spans="1:29" ht="12.75" customHeight="1" x14ac:dyDescent="0.2">
      <c r="A531" s="1916">
        <v>531</v>
      </c>
      <c r="B531" s="5148"/>
      <c r="C531" s="1658" t="str">
        <f t="shared" si="58"/>
        <v>Sueño profundo</v>
      </c>
      <c r="D531" s="2266">
        <f t="shared" si="56"/>
        <v>37</v>
      </c>
      <c r="E531" s="119" t="s">
        <v>2855</v>
      </c>
      <c r="F531" s="373">
        <v>-1</v>
      </c>
      <c r="G531" s="373">
        <f>COUNTIF(Principal!$C$35:$J$53,Tablas!E531)</f>
        <v>0</v>
      </c>
      <c r="H531" s="2274">
        <f t="shared" si="59"/>
        <v>0</v>
      </c>
      <c r="I531" s="2279">
        <v>1</v>
      </c>
      <c r="J531" s="2283" t="s">
        <v>3279</v>
      </c>
      <c r="N531" s="363"/>
      <c r="AB531" s="363"/>
      <c r="AC531" s="2563"/>
    </row>
    <row r="532" spans="1:29" ht="12.75" customHeight="1" x14ac:dyDescent="0.2">
      <c r="A532" s="1916">
        <v>532</v>
      </c>
      <c r="B532" s="5148"/>
      <c r="C532" s="1658" t="str">
        <f t="shared" si="58"/>
        <v>Vulnerable a frío o calor</v>
      </c>
      <c r="D532" s="2266">
        <f t="shared" si="56"/>
        <v>26</v>
      </c>
      <c r="E532" s="119" t="s">
        <v>2856</v>
      </c>
      <c r="F532" s="373">
        <v>-1</v>
      </c>
      <c r="G532" s="373">
        <f>COUNTIF(Principal!$C$35:$J$53,Tablas!E532)</f>
        <v>0</v>
      </c>
      <c r="H532" s="2274">
        <f t="shared" si="59"/>
        <v>0</v>
      </c>
      <c r="I532" s="2279"/>
      <c r="J532" s="2283" t="s">
        <v>3279</v>
      </c>
      <c r="N532" s="363"/>
      <c r="AB532" s="363"/>
      <c r="AC532" s="2563"/>
    </row>
    <row r="533" spans="1:29" ht="12.75" customHeight="1" x14ac:dyDescent="0.2">
      <c r="A533" s="1916">
        <v>533</v>
      </c>
      <c r="B533" s="5148"/>
      <c r="C533" s="1658" t="str">
        <f t="shared" si="58"/>
        <v>Vulnerable a la magia</v>
      </c>
      <c r="D533" s="2266">
        <f t="shared" si="56"/>
        <v>29</v>
      </c>
      <c r="E533" s="119" t="s">
        <v>2910</v>
      </c>
      <c r="F533" s="373">
        <v>-1</v>
      </c>
      <c r="G533" s="373">
        <f>COUNTIF(Principal!$C$35:$J$53,Tablas!E533)</f>
        <v>0</v>
      </c>
      <c r="H533" s="213">
        <f>G533*F533</f>
        <v>0</v>
      </c>
      <c r="I533" s="2272"/>
      <c r="J533" s="2283" t="s">
        <v>3279</v>
      </c>
      <c r="N533" s="363"/>
      <c r="AB533" s="363"/>
      <c r="AC533" s="2563"/>
    </row>
    <row r="534" spans="1:29" ht="12.75" customHeight="1" x14ac:dyDescent="0.2">
      <c r="A534" s="1916">
        <v>534</v>
      </c>
      <c r="B534" s="5148"/>
      <c r="C534" s="1658" t="str">
        <f t="shared" si="58"/>
        <v>Vulnerable a los venenos</v>
      </c>
      <c r="D534" s="2266">
        <f t="shared" si="56"/>
        <v>30</v>
      </c>
      <c r="E534" s="119" t="s">
        <v>2911</v>
      </c>
      <c r="F534" s="373">
        <v>-2</v>
      </c>
      <c r="G534" s="373">
        <f>COUNTIF(Principal!$C$35:$J$53,Tablas!E534)</f>
        <v>0</v>
      </c>
      <c r="H534" s="213">
        <f>G534*F534</f>
        <v>0</v>
      </c>
      <c r="I534" s="2272"/>
      <c r="J534" s="2283" t="s">
        <v>3279</v>
      </c>
      <c r="N534" s="363"/>
      <c r="AB534" s="363"/>
      <c r="AC534" s="2563"/>
    </row>
    <row r="535" spans="1:29" ht="12.75" customHeight="1" x14ac:dyDescent="0.2">
      <c r="A535" s="1916">
        <v>535</v>
      </c>
      <c r="B535" s="5148"/>
      <c r="C535" s="2264" t="str">
        <f t="shared" si="58"/>
        <v>Vulnerable al dolor</v>
      </c>
      <c r="D535" s="2268">
        <f t="shared" si="56"/>
        <v>19</v>
      </c>
      <c r="E535" s="2269" t="s">
        <v>2857</v>
      </c>
      <c r="F535" s="2270">
        <v>-2</v>
      </c>
      <c r="G535" s="2270">
        <f>COUNTIF(Principal!$C$35:$J$53,Tablas!E535)</f>
        <v>0</v>
      </c>
      <c r="H535" s="2276">
        <f>G535*F535</f>
        <v>0</v>
      </c>
      <c r="I535" s="2280"/>
      <c r="J535" s="2284" t="s">
        <v>3279</v>
      </c>
      <c r="N535" s="363"/>
      <c r="AB535" s="363"/>
      <c r="AC535" s="2563"/>
    </row>
    <row r="536" spans="1:29" ht="12.75" customHeight="1" x14ac:dyDescent="0.2">
      <c r="A536" s="1916">
        <v>536</v>
      </c>
      <c r="B536" s="5148"/>
      <c r="C536" s="1658" t="str">
        <f t="shared" ref="C536:C544" si="60">VLOOKUP(A1,$D$536:$E$544,2,0)</f>
        <v>&gt; DESVENTAJAS: DON</v>
      </c>
      <c r="D536" s="2266">
        <f t="shared" ref="D536:D544" si="61">COUNTIF($E$536:$E$544,"&lt;="&amp;E536)</f>
        <v>1</v>
      </c>
      <c r="E536" s="119" t="s">
        <v>2804</v>
      </c>
      <c r="F536" s="373"/>
      <c r="G536" s="373"/>
      <c r="H536" s="2274"/>
      <c r="I536" s="2279"/>
      <c r="J536" s="2283" t="s">
        <v>2657</v>
      </c>
      <c r="N536" s="363"/>
      <c r="AB536" s="363"/>
      <c r="AC536" s="2563"/>
    </row>
    <row r="537" spans="1:29" ht="12.75" customHeight="1" x14ac:dyDescent="0.2">
      <c r="A537" s="1916">
        <v>537</v>
      </c>
      <c r="B537" s="5148"/>
      <c r="C537" s="1658" t="str">
        <f t="shared" si="60"/>
        <v>Brujería</v>
      </c>
      <c r="D537" s="2266">
        <f t="shared" si="61"/>
        <v>8</v>
      </c>
      <c r="E537" s="119" t="s">
        <v>2805</v>
      </c>
      <c r="F537" s="373">
        <v>-1</v>
      </c>
      <c r="G537" s="373">
        <f>COUNTIF(Principal!$C$35:$J$53,Tablas!E537)</f>
        <v>0</v>
      </c>
      <c r="H537" s="2274">
        <f t="shared" ref="H537:H544" si="62">G537*F537</f>
        <v>0</v>
      </c>
      <c r="I537" s="2279"/>
      <c r="J537" s="2283" t="s">
        <v>2657</v>
      </c>
      <c r="N537" s="363"/>
      <c r="AB537" s="363"/>
      <c r="AC537" s="2563"/>
    </row>
    <row r="538" spans="1:29" ht="12.75" customHeight="1" x14ac:dyDescent="0.2">
      <c r="A538" s="1916">
        <v>538</v>
      </c>
      <c r="B538" s="5148"/>
      <c r="C538" s="1658" t="str">
        <f t="shared" si="60"/>
        <v>Extenuación mágica</v>
      </c>
      <c r="D538" s="2266">
        <f t="shared" si="61"/>
        <v>9</v>
      </c>
      <c r="E538" s="119" t="s">
        <v>2806</v>
      </c>
      <c r="F538" s="373">
        <v>-1</v>
      </c>
      <c r="G538" s="373">
        <f>COUNTIF(Principal!$C$35:$J$53,Tablas!E538)</f>
        <v>0</v>
      </c>
      <c r="H538" s="2274">
        <f t="shared" si="62"/>
        <v>0</v>
      </c>
      <c r="I538" s="2279"/>
      <c r="J538" s="2283" t="s">
        <v>2657</v>
      </c>
      <c r="N538" s="363"/>
      <c r="AB538" s="363"/>
      <c r="AC538" s="2563"/>
    </row>
    <row r="539" spans="1:29" ht="12.75" customHeight="1" x14ac:dyDescent="0.2">
      <c r="A539" s="1916">
        <v>539</v>
      </c>
      <c r="B539" s="5148"/>
      <c r="C539" s="1658" t="str">
        <f t="shared" si="60"/>
        <v>Lazo existencial</v>
      </c>
      <c r="D539" s="2266">
        <f t="shared" si="61"/>
        <v>3</v>
      </c>
      <c r="E539" s="119" t="s">
        <v>2807</v>
      </c>
      <c r="F539" s="373">
        <v>-1</v>
      </c>
      <c r="G539" s="373">
        <f>COUNTIF(Principal!$C$35:$J$53,Tablas!E539)</f>
        <v>0</v>
      </c>
      <c r="H539" s="2274">
        <f t="shared" si="62"/>
        <v>0</v>
      </c>
      <c r="I539" s="2279"/>
      <c r="J539" s="2283" t="s">
        <v>2657</v>
      </c>
      <c r="N539" s="363"/>
      <c r="AB539" s="363"/>
      <c r="AC539" s="2563"/>
    </row>
    <row r="540" spans="1:29" ht="12.75" customHeight="1" x14ac:dyDescent="0.2">
      <c r="A540" s="1916">
        <v>540</v>
      </c>
      <c r="B540" s="5148"/>
      <c r="C540" s="1658" t="str">
        <f t="shared" si="60"/>
        <v>Lenta recuperación de magia</v>
      </c>
      <c r="D540" s="2266">
        <f t="shared" si="61"/>
        <v>6</v>
      </c>
      <c r="E540" s="119" t="s">
        <v>2808</v>
      </c>
      <c r="F540" s="373">
        <v>-1</v>
      </c>
      <c r="G540" s="373">
        <f>COUNTIF(Principal!$C$35:$J$53,Tablas!E540)</f>
        <v>0</v>
      </c>
      <c r="H540" s="2274">
        <f t="shared" si="62"/>
        <v>0</v>
      </c>
      <c r="I540" s="2279"/>
      <c r="J540" s="2283" t="s">
        <v>2657</v>
      </c>
      <c r="N540" s="363"/>
      <c r="AB540" s="363"/>
      <c r="AC540" s="2563"/>
    </row>
    <row r="541" spans="1:29" ht="12.75" customHeight="1" x14ac:dyDescent="0.2">
      <c r="A541" s="1916">
        <v>541</v>
      </c>
      <c r="B541" s="5148"/>
      <c r="C541" s="1658" t="str">
        <f t="shared" si="60"/>
        <v>Magia atada a acción</v>
      </c>
      <c r="D541" s="2266">
        <f t="shared" si="61"/>
        <v>5</v>
      </c>
      <c r="E541" s="119" t="s">
        <v>2809</v>
      </c>
      <c r="F541" s="373">
        <v>-1</v>
      </c>
      <c r="G541" s="373">
        <f>COUNTIF(Principal!$C$35:$J$53,Tablas!E541)</f>
        <v>0</v>
      </c>
      <c r="H541" s="2274">
        <f t="shared" si="62"/>
        <v>0</v>
      </c>
      <c r="I541" s="2279">
        <v>1</v>
      </c>
      <c r="J541" s="2283" t="s">
        <v>2657</v>
      </c>
      <c r="N541" s="363"/>
      <c r="AB541" s="363"/>
      <c r="AC541" s="2563"/>
    </row>
    <row r="542" spans="1:29" ht="12.75" customHeight="1" x14ac:dyDescent="0.2">
      <c r="A542" s="1916">
        <v>542</v>
      </c>
      <c r="B542" s="5148"/>
      <c r="C542" s="1658" t="str">
        <f t="shared" si="60"/>
        <v>Magia estanca</v>
      </c>
      <c r="D542" s="2266">
        <f t="shared" si="61"/>
        <v>7</v>
      </c>
      <c r="E542" s="119" t="s">
        <v>2810</v>
      </c>
      <c r="F542" s="373">
        <v>-2</v>
      </c>
      <c r="G542" s="373">
        <f>COUNTIF(Principal!$C$35:$J$53,Tablas!E542)</f>
        <v>0</v>
      </c>
      <c r="H542" s="2274">
        <f t="shared" si="62"/>
        <v>0</v>
      </c>
      <c r="I542" s="2279">
        <v>1</v>
      </c>
      <c r="J542" s="2283" t="s">
        <v>2657</v>
      </c>
      <c r="N542" s="363"/>
      <c r="AB542" s="363"/>
      <c r="AC542" s="2563"/>
    </row>
    <row r="543" spans="1:29" ht="12.75" customHeight="1" x14ac:dyDescent="0.2">
      <c r="A543" s="1916">
        <v>543</v>
      </c>
      <c r="B543" s="5148"/>
      <c r="C543" s="1658" t="str">
        <f t="shared" si="60"/>
        <v>Obligación oral</v>
      </c>
      <c r="D543" s="2266">
        <f t="shared" si="61"/>
        <v>4</v>
      </c>
      <c r="E543" s="119" t="s">
        <v>2811</v>
      </c>
      <c r="F543" s="373">
        <v>-1</v>
      </c>
      <c r="G543" s="373">
        <f>COUNTIF(Principal!$C$35:$J$53,Tablas!E543)</f>
        <v>0</v>
      </c>
      <c r="H543" s="2274">
        <f t="shared" si="62"/>
        <v>0</v>
      </c>
      <c r="I543" s="2279">
        <v>2</v>
      </c>
      <c r="J543" s="2283" t="s">
        <v>2657</v>
      </c>
      <c r="N543" s="363"/>
      <c r="AB543" s="363"/>
      <c r="AC543" s="2563"/>
    </row>
    <row r="544" spans="1:29" ht="12.75" customHeight="1" x14ac:dyDescent="0.2">
      <c r="A544" s="1916">
        <v>544</v>
      </c>
      <c r="B544" s="5148"/>
      <c r="C544" s="2264" t="str">
        <f t="shared" si="60"/>
        <v>Obligación somática</v>
      </c>
      <c r="D544" s="2268">
        <f t="shared" si="61"/>
        <v>2</v>
      </c>
      <c r="E544" s="119" t="s">
        <v>2812</v>
      </c>
      <c r="F544" s="373">
        <v>-2</v>
      </c>
      <c r="G544" s="373">
        <f>COUNTIF(Principal!$C$35:$J$53,Tablas!E544)</f>
        <v>0</v>
      </c>
      <c r="H544" s="2274">
        <f t="shared" si="62"/>
        <v>0</v>
      </c>
      <c r="I544" s="2279"/>
      <c r="J544" s="2283" t="s">
        <v>2657</v>
      </c>
      <c r="N544" s="363"/>
      <c r="AB544" s="363"/>
      <c r="AC544" s="2563"/>
    </row>
    <row r="545" spans="1:29" ht="12.75" customHeight="1" x14ac:dyDescent="0.2">
      <c r="A545" s="1916">
        <v>545</v>
      </c>
      <c r="B545" s="5148"/>
      <c r="C545" s="1658" t="str">
        <f>VLOOKUP(A1,$D$545:$E$549,2,0)</f>
        <v>&gt; DESVENTAJAS: PSIQUICOS</v>
      </c>
      <c r="D545" s="2266">
        <f>COUNTIF($E$545:$E$549,"&lt;="&amp;E545)</f>
        <v>1</v>
      </c>
      <c r="E545" s="2262" t="s">
        <v>2813</v>
      </c>
      <c r="F545" s="1987"/>
      <c r="G545" s="1987"/>
      <c r="H545" s="2275"/>
      <c r="I545" s="2278"/>
      <c r="J545" s="2285" t="s">
        <v>8066</v>
      </c>
      <c r="N545" s="363"/>
      <c r="AB545" s="363"/>
      <c r="AC545" s="2563"/>
    </row>
    <row r="546" spans="1:29" ht="12.75" customHeight="1" x14ac:dyDescent="0.2">
      <c r="A546" s="1916">
        <v>546</v>
      </c>
      <c r="B546" s="5148"/>
      <c r="C546" s="1658" t="str">
        <f>VLOOKUP(A2,$D$545:$E$549,2,0)</f>
        <v>Consumición psíquica</v>
      </c>
      <c r="D546" s="2266">
        <f>COUNTIF($E$545:$E$549,"&lt;="&amp;E546)</f>
        <v>5</v>
      </c>
      <c r="E546" s="119" t="s">
        <v>2814</v>
      </c>
      <c r="F546" s="373">
        <v>-1</v>
      </c>
      <c r="G546" s="373">
        <f>COUNTIF(Principal!$C$35:$J$53,Tablas!E546)</f>
        <v>0</v>
      </c>
      <c r="H546" s="2274">
        <f>G546*F546</f>
        <v>0</v>
      </c>
      <c r="I546" s="2279">
        <v>1</v>
      </c>
      <c r="J546" s="2286" t="s">
        <v>8066</v>
      </c>
      <c r="N546" s="363"/>
      <c r="AB546" s="363"/>
      <c r="AC546" s="2563"/>
    </row>
    <row r="547" spans="1:29" ht="12.75" customHeight="1" x14ac:dyDescent="0.2">
      <c r="A547" s="1916">
        <v>547</v>
      </c>
      <c r="B547" s="5148"/>
      <c r="C547" s="1658" t="str">
        <f>VLOOKUP(A3,$D$545:$E$549,2,0)</f>
        <v>Extenuación psíquica</v>
      </c>
      <c r="D547" s="2266">
        <f>COUNTIF($E$545:$E$549,"&lt;="&amp;E547)</f>
        <v>3</v>
      </c>
      <c r="E547" s="119" t="s">
        <v>2815</v>
      </c>
      <c r="F547" s="373">
        <v>-1</v>
      </c>
      <c r="G547" s="373">
        <f>COUNTIF(Principal!$C$35:$J$53,Tablas!E547)</f>
        <v>0</v>
      </c>
      <c r="H547" s="2274">
        <f>G547*F547</f>
        <v>0</v>
      </c>
      <c r="I547" s="2279"/>
      <c r="J547" s="2286" t="s">
        <v>8066</v>
      </c>
      <c r="N547" s="363"/>
      <c r="AB547" s="363"/>
      <c r="AC547" s="2563"/>
    </row>
    <row r="548" spans="1:29" ht="12.75" customHeight="1" x14ac:dyDescent="0.2">
      <c r="A548" s="1916">
        <v>548</v>
      </c>
      <c r="B548" s="5148"/>
      <c r="C548" s="1658" t="str">
        <f>VLOOKUP(A4,$D$545:$E$549,2,0)</f>
        <v>Poder único</v>
      </c>
      <c r="D548" s="2266">
        <f>COUNTIF($E$545:$E$549,"&lt;="&amp;E548)</f>
        <v>4</v>
      </c>
      <c r="E548" s="119" t="s">
        <v>2816</v>
      </c>
      <c r="F548" s="373">
        <v>-1</v>
      </c>
      <c r="G548" s="373">
        <f>COUNTIF(Principal!$C$35:$J$53,Tablas!E548)</f>
        <v>0</v>
      </c>
      <c r="H548" s="2274">
        <f>G548*F548</f>
        <v>0</v>
      </c>
      <c r="I548" s="2279"/>
      <c r="J548" s="2286" t="s">
        <v>8066</v>
      </c>
      <c r="N548" s="363"/>
      <c r="AB548" s="363"/>
      <c r="AC548" s="2563"/>
    </row>
    <row r="549" spans="1:29" ht="12.75" customHeight="1" x14ac:dyDescent="0.2">
      <c r="A549" s="1916">
        <v>549</v>
      </c>
      <c r="B549" s="5148"/>
      <c r="C549" s="2264" t="str">
        <f>VLOOKUP(A5,$D$545:$E$549,2,0)</f>
        <v>Sin concentración</v>
      </c>
      <c r="D549" s="2268">
        <f>COUNTIF($E$545:$E$549,"&lt;="&amp;E549)</f>
        <v>2</v>
      </c>
      <c r="E549" s="119" t="s">
        <v>2817</v>
      </c>
      <c r="F549" s="373">
        <v>-2</v>
      </c>
      <c r="G549" s="373">
        <f>COUNTIF(Principal!$C$35:$J$53,Tablas!E549)</f>
        <v>0</v>
      </c>
      <c r="H549" s="2274">
        <f>G549*F549</f>
        <v>0</v>
      </c>
      <c r="I549" s="2279"/>
      <c r="J549" s="2283" t="s">
        <v>8066</v>
      </c>
      <c r="N549" s="363"/>
      <c r="AB549" s="363"/>
      <c r="AC549" s="2563"/>
    </row>
    <row r="550" spans="1:29" ht="12.75" customHeight="1" x14ac:dyDescent="0.2">
      <c r="A550" s="1916">
        <v>550</v>
      </c>
      <c r="B550" s="5148"/>
      <c r="C550" s="1658" t="str">
        <f t="shared" ref="C550:C557" si="63">VLOOKUP(A1,$D$550:$E$557,2,0)</f>
        <v>&gt; DESVENTAJAS TRASFONDO</v>
      </c>
      <c r="D550" s="2266">
        <f t="shared" ref="D550:D557" si="64">COUNTIF($E$550:$E$557,"&lt;="&amp;E550)</f>
        <v>1</v>
      </c>
      <c r="E550" s="2262" t="s">
        <v>2908</v>
      </c>
      <c r="F550" s="1989"/>
      <c r="G550" s="1987"/>
      <c r="H550" s="2277"/>
      <c r="I550" s="2271"/>
      <c r="J550" s="2282" t="s">
        <v>8067</v>
      </c>
      <c r="N550" s="363"/>
      <c r="AB550" s="363"/>
      <c r="AC550" s="2563"/>
    </row>
    <row r="551" spans="1:29" ht="12.75" customHeight="1" x14ac:dyDescent="0.2">
      <c r="A551" s="1916">
        <v>551</v>
      </c>
      <c r="B551" s="5148"/>
      <c r="C551" s="1658" t="str">
        <f t="shared" si="63"/>
        <v>Código de conducta</v>
      </c>
      <c r="D551" s="2266">
        <f t="shared" si="64"/>
        <v>6</v>
      </c>
      <c r="E551" s="119" t="s">
        <v>2909</v>
      </c>
      <c r="F551" s="373">
        <v>-1</v>
      </c>
      <c r="G551" s="373">
        <f>COUNTIF(Principal!$C$35:$J$53,Tablas!E551)</f>
        <v>0</v>
      </c>
      <c r="H551" s="213">
        <f>G551*F551</f>
        <v>0</v>
      </c>
      <c r="I551" s="2272"/>
      <c r="J551" s="2283" t="s">
        <v>8067</v>
      </c>
      <c r="N551" s="363"/>
      <c r="AB551" s="363"/>
      <c r="AC551" s="2563"/>
    </row>
    <row r="552" spans="1:29" ht="12.75" customHeight="1" x14ac:dyDescent="0.2">
      <c r="A552" s="1916">
        <v>552</v>
      </c>
      <c r="B552" s="5148"/>
      <c r="C552" s="1658" t="str">
        <f t="shared" si="63"/>
        <v>Deudas</v>
      </c>
      <c r="D552" s="2266">
        <f t="shared" si="64"/>
        <v>7</v>
      </c>
      <c r="E552" s="119" t="s">
        <v>2912</v>
      </c>
      <c r="F552" s="373">
        <v>-1</v>
      </c>
      <c r="G552" s="373">
        <f>COUNTIF(Principal!$C$35:$J$53,Tablas!E552)</f>
        <v>0</v>
      </c>
      <c r="H552" s="213">
        <f t="shared" ref="H552:H556" si="65">G552*F552</f>
        <v>0</v>
      </c>
      <c r="I552" s="2272"/>
      <c r="J552" s="2283" t="s">
        <v>8067</v>
      </c>
      <c r="N552" s="363"/>
      <c r="AB552" s="363"/>
      <c r="AC552" s="2563"/>
    </row>
    <row r="553" spans="1:29" ht="12.75" customHeight="1" x14ac:dyDescent="0.2">
      <c r="A553" s="1916">
        <v>553</v>
      </c>
      <c r="B553" s="5148"/>
      <c r="C553" s="1658" t="str">
        <f t="shared" si="63"/>
        <v>Enemigo poderoso (1)</v>
      </c>
      <c r="D553" s="2266">
        <f t="shared" si="64"/>
        <v>4</v>
      </c>
      <c r="E553" s="119" t="s">
        <v>2913</v>
      </c>
      <c r="F553" s="373">
        <v>-1</v>
      </c>
      <c r="G553" s="373">
        <f>COUNTIF(Principal!$C$35:$J$53,Tablas!E553)</f>
        <v>0</v>
      </c>
      <c r="H553" s="213">
        <f t="shared" si="65"/>
        <v>0</v>
      </c>
      <c r="I553" s="2281"/>
      <c r="J553" s="2283" t="s">
        <v>8067</v>
      </c>
      <c r="N553" s="363"/>
      <c r="AB553" s="363"/>
      <c r="AC553" s="2563"/>
    </row>
    <row r="554" spans="1:29" ht="12.75" customHeight="1" x14ac:dyDescent="0.2">
      <c r="A554" s="1916">
        <v>554</v>
      </c>
      <c r="B554" s="5148"/>
      <c r="C554" s="1658" t="str">
        <f t="shared" si="63"/>
        <v>Enemigo poderoso (2)</v>
      </c>
      <c r="D554" s="2266">
        <f t="shared" si="64"/>
        <v>5</v>
      </c>
      <c r="E554" s="119" t="s">
        <v>2914</v>
      </c>
      <c r="F554" s="373">
        <v>-2</v>
      </c>
      <c r="G554" s="373">
        <f>COUNTIF(Principal!$C$35:$J$53,Tablas!E554)</f>
        <v>0</v>
      </c>
      <c r="H554" s="213">
        <f t="shared" si="65"/>
        <v>0</v>
      </c>
      <c r="I554" s="2281"/>
      <c r="J554" s="2283" t="s">
        <v>8067</v>
      </c>
      <c r="N554" s="363"/>
      <c r="AB554" s="363"/>
      <c r="AC554" s="2563"/>
    </row>
    <row r="555" spans="1:29" ht="12.75" customHeight="1" x14ac:dyDescent="0.2">
      <c r="A555" s="1916">
        <v>555</v>
      </c>
      <c r="B555" s="5148"/>
      <c r="C555" s="1658" t="str">
        <f t="shared" si="63"/>
        <v>Novato</v>
      </c>
      <c r="D555" s="2266">
        <f t="shared" si="64"/>
        <v>3</v>
      </c>
      <c r="E555" s="119" t="s">
        <v>2915</v>
      </c>
      <c r="F555" s="373">
        <v>-1</v>
      </c>
      <c r="G555" s="373">
        <f>COUNTIF(Principal!$C$35:$J$53,Tablas!E555)</f>
        <v>0</v>
      </c>
      <c r="H555" s="213">
        <f t="shared" si="65"/>
        <v>0</v>
      </c>
      <c r="I555" s="2281"/>
      <c r="J555" s="2283" t="s">
        <v>8067</v>
      </c>
      <c r="N555" s="363"/>
      <c r="AB555" s="363"/>
      <c r="AC555" s="2563"/>
    </row>
    <row r="556" spans="1:29" ht="12.75" customHeight="1" x14ac:dyDescent="0.2">
      <c r="A556" s="1916">
        <v>556</v>
      </c>
      <c r="B556" s="5148"/>
      <c r="C556" s="1658" t="str">
        <f t="shared" si="63"/>
        <v>Paria</v>
      </c>
      <c r="D556" s="2266">
        <f t="shared" si="64"/>
        <v>2</v>
      </c>
      <c r="E556" s="119" t="s">
        <v>2916</v>
      </c>
      <c r="F556" s="373">
        <v>-1</v>
      </c>
      <c r="G556" s="373">
        <f>COUNTIF(Principal!$C$35:$J$53,Tablas!E556)</f>
        <v>0</v>
      </c>
      <c r="H556" s="213">
        <f t="shared" si="65"/>
        <v>0</v>
      </c>
      <c r="I556" s="2281"/>
      <c r="J556" s="2283" t="s">
        <v>8067</v>
      </c>
      <c r="N556" s="363"/>
      <c r="AB556" s="363"/>
      <c r="AC556" s="2563"/>
    </row>
    <row r="557" spans="1:29" ht="12.75" customHeight="1" x14ac:dyDescent="0.2">
      <c r="A557" s="1916">
        <v>557</v>
      </c>
      <c r="B557" s="5148"/>
      <c r="C557" s="1658" t="str">
        <f t="shared" si="63"/>
        <v>Secreto inconfesable</v>
      </c>
      <c r="D557" s="2266">
        <f t="shared" si="64"/>
        <v>8</v>
      </c>
      <c r="E557" s="119" t="s">
        <v>2917</v>
      </c>
      <c r="F557" s="373">
        <v>-1</v>
      </c>
      <c r="G557" s="373">
        <f>COUNTIF(Principal!$C$35:$J$53,Tablas!E557)</f>
        <v>0</v>
      </c>
      <c r="H557" s="213">
        <f>G557*F557</f>
        <v>0</v>
      </c>
      <c r="I557" s="2281"/>
      <c r="J557" s="2283" t="s">
        <v>8067</v>
      </c>
      <c r="N557" s="363"/>
      <c r="AB557" s="363"/>
      <c r="AC557" s="2563"/>
    </row>
    <row r="558" spans="1:29" ht="12.75" customHeight="1" x14ac:dyDescent="0.2">
      <c r="A558" s="1916">
        <v>558</v>
      </c>
      <c r="B558" s="5148"/>
      <c r="C558" s="2330" t="str">
        <f>E558</f>
        <v>&gt; DESVENTAJAS PRESONALIZADAS</v>
      </c>
      <c r="D558" s="2331"/>
      <c r="E558" s="2341" t="s">
        <v>8807</v>
      </c>
      <c r="F558" s="2332"/>
      <c r="G558" s="2344"/>
      <c r="H558" s="2333"/>
      <c r="I558" s="2347"/>
      <c r="J558" s="2334" t="s">
        <v>3279</v>
      </c>
      <c r="N558" s="363"/>
      <c r="AB558" s="363"/>
      <c r="AC558" s="2563"/>
    </row>
    <row r="559" spans="1:29" ht="12.75" customHeight="1" x14ac:dyDescent="0.2">
      <c r="A559" s="1916">
        <v>559</v>
      </c>
      <c r="B559" s="5148"/>
      <c r="C559" s="2335" t="str">
        <f t="shared" ref="C559:C562" si="66">E559</f>
        <v>Ventaja #1</v>
      </c>
      <c r="D559" s="447"/>
      <c r="E559" s="2342" t="str">
        <f>E394</f>
        <v>Ventaja #1</v>
      </c>
      <c r="F559" s="305">
        <f t="shared" ref="F559:H559" si="67">F394</f>
        <v>0</v>
      </c>
      <c r="G559" s="2345">
        <f t="shared" si="67"/>
        <v>0</v>
      </c>
      <c r="H559" s="305">
        <f t="shared" si="67"/>
        <v>0</v>
      </c>
      <c r="I559" s="2348"/>
      <c r="J559" s="2336" t="s">
        <v>3279</v>
      </c>
      <c r="N559" s="363"/>
      <c r="AB559" s="363"/>
      <c r="AC559" s="2563"/>
    </row>
    <row r="560" spans="1:29" ht="12.75" customHeight="1" x14ac:dyDescent="0.2">
      <c r="A560" s="1916">
        <v>560</v>
      </c>
      <c r="B560" s="5148"/>
      <c r="C560" s="2335" t="str">
        <f t="shared" si="66"/>
        <v>Ventaja #2</v>
      </c>
      <c r="D560" s="447"/>
      <c r="E560" s="2342" t="str">
        <f t="shared" ref="E560:H562" si="68">E395</f>
        <v>Ventaja #2</v>
      </c>
      <c r="F560" s="305">
        <f t="shared" si="68"/>
        <v>0</v>
      </c>
      <c r="G560" s="2345">
        <f t="shared" si="68"/>
        <v>0</v>
      </c>
      <c r="H560" s="305">
        <f t="shared" si="68"/>
        <v>0</v>
      </c>
      <c r="I560" s="2348"/>
      <c r="J560" s="2336" t="s">
        <v>3279</v>
      </c>
      <c r="N560" s="363"/>
      <c r="AB560" s="363"/>
      <c r="AC560" s="2563"/>
    </row>
    <row r="561" spans="1:30" ht="12.75" customHeight="1" x14ac:dyDescent="0.2">
      <c r="A561" s="1916">
        <v>561</v>
      </c>
      <c r="B561" s="5148"/>
      <c r="C561" s="2335" t="str">
        <f t="shared" si="66"/>
        <v>Ventaja #3</v>
      </c>
      <c r="D561" s="447"/>
      <c r="E561" s="2342" t="str">
        <f t="shared" si="68"/>
        <v>Ventaja #3</v>
      </c>
      <c r="F561" s="305">
        <f t="shared" si="68"/>
        <v>0</v>
      </c>
      <c r="G561" s="2345">
        <f t="shared" si="68"/>
        <v>0</v>
      </c>
      <c r="H561" s="305">
        <f t="shared" si="68"/>
        <v>0</v>
      </c>
      <c r="I561" s="2348"/>
      <c r="J561" s="2336" t="s">
        <v>3279</v>
      </c>
      <c r="N561" s="363"/>
      <c r="AB561" s="363"/>
      <c r="AC561" s="2563"/>
    </row>
    <row r="562" spans="1:30" ht="12.75" customHeight="1" x14ac:dyDescent="0.2">
      <c r="A562" s="1916">
        <v>562</v>
      </c>
      <c r="B562" s="5148"/>
      <c r="C562" s="2337" t="str">
        <f t="shared" si="66"/>
        <v>Ventaja #4</v>
      </c>
      <c r="D562" s="2338"/>
      <c r="E562" s="2343" t="str">
        <f t="shared" si="68"/>
        <v>Ventaja #4</v>
      </c>
      <c r="F562" s="2339">
        <f t="shared" si="68"/>
        <v>0</v>
      </c>
      <c r="G562" s="2346">
        <f t="shared" si="68"/>
        <v>0</v>
      </c>
      <c r="H562" s="2339">
        <f t="shared" si="68"/>
        <v>0</v>
      </c>
      <c r="I562" s="2349"/>
      <c r="J562" s="2340" t="s">
        <v>3279</v>
      </c>
      <c r="N562" s="363"/>
      <c r="AB562" s="363"/>
      <c r="AC562" s="2563"/>
    </row>
    <row r="563" spans="1:30" ht="12.75" customHeight="1" x14ac:dyDescent="0.2">
      <c r="A563" s="1916">
        <v>563</v>
      </c>
      <c r="B563" s="5148"/>
      <c r="H563" s="363"/>
      <c r="I563" s="1653"/>
      <c r="N563" s="363"/>
      <c r="O563" s="1999"/>
      <c r="AB563" s="363"/>
      <c r="AC563" s="2563"/>
    </row>
    <row r="564" spans="1:30" ht="12.75" customHeight="1" x14ac:dyDescent="0.2">
      <c r="A564" s="1916">
        <v>564</v>
      </c>
      <c r="B564" s="5148"/>
      <c r="H564" s="363"/>
      <c r="I564" s="1653"/>
      <c r="N564" s="363"/>
      <c r="O564" s="1999"/>
      <c r="AB564" s="363"/>
      <c r="AC564" s="2563"/>
    </row>
    <row r="565" spans="1:30" ht="12.75" customHeight="1" x14ac:dyDescent="0.2">
      <c r="A565" s="1916">
        <v>565</v>
      </c>
      <c r="B565" s="5148"/>
      <c r="H565" s="363"/>
      <c r="I565" s="1653"/>
      <c r="N565" s="363"/>
      <c r="O565" s="1999"/>
      <c r="AB565" s="363"/>
      <c r="AC565" s="2563"/>
    </row>
    <row r="566" spans="1:30" ht="12.75" customHeight="1" x14ac:dyDescent="0.2">
      <c r="A566" s="1916">
        <v>566</v>
      </c>
      <c r="B566" s="5148"/>
      <c r="H566" s="363"/>
      <c r="I566" s="1653"/>
      <c r="N566" s="363"/>
      <c r="O566" s="1999"/>
      <c r="AB566" s="363"/>
      <c r="AC566" s="2563"/>
    </row>
    <row r="567" spans="1:30" ht="12.75" customHeight="1" x14ac:dyDescent="0.2">
      <c r="A567" s="1916">
        <v>567</v>
      </c>
      <c r="B567" s="5148"/>
      <c r="H567" s="363"/>
      <c r="I567" s="1653"/>
      <c r="N567" s="363"/>
      <c r="O567" s="1999"/>
      <c r="AB567" s="363"/>
      <c r="AC567" s="2563"/>
    </row>
    <row r="568" spans="1:30" ht="12.75" customHeight="1" x14ac:dyDescent="0.2">
      <c r="A568" s="1916">
        <v>568</v>
      </c>
      <c r="B568" s="5148"/>
      <c r="C568" s="5143" t="s">
        <v>8947</v>
      </c>
      <c r="D568" s="5143"/>
      <c r="E568" s="5143"/>
      <c r="F568" s="5143"/>
      <c r="G568" s="5143"/>
      <c r="H568" s="5143"/>
      <c r="I568" s="5143"/>
      <c r="J568" s="5143"/>
      <c r="K568" s="5143"/>
      <c r="L568" s="5143"/>
      <c r="M568" s="5143"/>
      <c r="N568" s="5143"/>
      <c r="O568" s="5143"/>
      <c r="P568" s="5143"/>
      <c r="Q568" s="5143"/>
      <c r="R568" s="5143"/>
      <c r="S568" s="5143"/>
      <c r="T568" s="5143"/>
      <c r="U568" s="5143"/>
      <c r="V568" s="5143"/>
      <c r="W568" s="5143"/>
      <c r="X568" s="5143"/>
      <c r="Y568" s="5143"/>
      <c r="Z568" s="5143"/>
      <c r="AA568" s="5143"/>
      <c r="AB568" s="5143"/>
      <c r="AC568" s="5143"/>
      <c r="AD568" s="5143"/>
    </row>
    <row r="569" spans="1:30" ht="12.75" customHeight="1" x14ac:dyDescent="0.2">
      <c r="A569" s="1916">
        <v>569</v>
      </c>
      <c r="B569" s="5148"/>
      <c r="C569" s="5143"/>
      <c r="D569" s="5143"/>
      <c r="E569" s="5143"/>
      <c r="F569" s="5143"/>
      <c r="G569" s="5143"/>
      <c r="H569" s="5143"/>
      <c r="I569" s="5143"/>
      <c r="J569" s="5143"/>
      <c r="K569" s="5143"/>
      <c r="L569" s="5143"/>
      <c r="M569" s="5143"/>
      <c r="N569" s="5143"/>
      <c r="O569" s="5143"/>
      <c r="P569" s="5143"/>
      <c r="Q569" s="5143"/>
      <c r="R569" s="5143"/>
      <c r="S569" s="5143"/>
      <c r="T569" s="5143"/>
      <c r="U569" s="5143"/>
      <c r="V569" s="5143"/>
      <c r="W569" s="5143"/>
      <c r="X569" s="5143"/>
      <c r="Y569" s="5143"/>
      <c r="Z569" s="5143"/>
      <c r="AA569" s="5143"/>
      <c r="AB569" s="5143"/>
      <c r="AC569" s="5143"/>
      <c r="AD569" s="5143"/>
    </row>
    <row r="570" spans="1:30" ht="12.75" customHeight="1" x14ac:dyDescent="0.2">
      <c r="A570" s="1916">
        <v>570</v>
      </c>
      <c r="B570" s="5148"/>
      <c r="C570" s="5143"/>
      <c r="D570" s="5143"/>
      <c r="E570" s="5143"/>
      <c r="F570" s="5143"/>
      <c r="G570" s="5143"/>
      <c r="H570" s="5143"/>
      <c r="I570" s="5143"/>
      <c r="J570" s="5143"/>
      <c r="K570" s="5143"/>
      <c r="L570" s="5143"/>
      <c r="M570" s="5143"/>
      <c r="N570" s="5143"/>
      <c r="O570" s="5143"/>
      <c r="P570" s="5143"/>
      <c r="Q570" s="5143"/>
      <c r="R570" s="5143"/>
      <c r="S570" s="5143"/>
      <c r="T570" s="5143"/>
      <c r="U570" s="5143"/>
      <c r="V570" s="5143"/>
      <c r="W570" s="5143"/>
      <c r="X570" s="5143"/>
      <c r="Y570" s="5143"/>
      <c r="Z570" s="5143"/>
      <c r="AA570" s="5143"/>
      <c r="AB570" s="5143"/>
      <c r="AC570" s="5143"/>
      <c r="AD570" s="5143"/>
    </row>
    <row r="571" spans="1:30" ht="12.75" customHeight="1" thickBot="1" x14ac:dyDescent="0.25">
      <c r="A571" s="1916">
        <v>571</v>
      </c>
      <c r="B571" s="5148"/>
      <c r="H571" s="363"/>
      <c r="I571" s="1653"/>
      <c r="N571" s="363"/>
      <c r="O571" s="1999"/>
      <c r="AA571" s="1653"/>
      <c r="AB571" s="363"/>
      <c r="AC571" s="2563"/>
    </row>
    <row r="572" spans="1:30" ht="12.75" customHeight="1" thickBot="1" x14ac:dyDescent="0.25">
      <c r="A572" s="1916">
        <v>572</v>
      </c>
      <c r="B572" s="5148"/>
      <c r="C572" s="5326" t="s">
        <v>1455</v>
      </c>
      <c r="D572" s="5327"/>
      <c r="E572" s="5327"/>
      <c r="F572" s="5327"/>
      <c r="G572" s="5327"/>
      <c r="H572" s="5327"/>
      <c r="I572" s="5327"/>
      <c r="J572" s="5327"/>
      <c r="K572" s="5327"/>
      <c r="L572" s="5327"/>
      <c r="M572" s="5327"/>
      <c r="N572" s="5327"/>
      <c r="O572" s="5327"/>
      <c r="P572" s="5327"/>
      <c r="Q572" s="5327"/>
      <c r="R572" s="5328"/>
      <c r="T572" s="5271" t="s">
        <v>1508</v>
      </c>
      <c r="U572" s="5271"/>
      <c r="X572" s="4252" t="s">
        <v>2946</v>
      </c>
      <c r="Y572" s="4093"/>
      <c r="Z572" s="4093"/>
      <c r="AA572" s="4248"/>
      <c r="AB572" s="363"/>
      <c r="AC572" s="5237" t="s">
        <v>1449</v>
      </c>
    </row>
    <row r="573" spans="1:30" ht="12.75" customHeight="1" thickBot="1" x14ac:dyDescent="0.25">
      <c r="A573" s="1916">
        <v>573</v>
      </c>
      <c r="B573" s="5148"/>
      <c r="C573" s="5329"/>
      <c r="D573" s="5330"/>
      <c r="E573" s="5330"/>
      <c r="F573" s="5330"/>
      <c r="G573" s="5330"/>
      <c r="H573" s="5330"/>
      <c r="I573" s="5330"/>
      <c r="J573" s="5330"/>
      <c r="K573" s="5330"/>
      <c r="L573" s="5330"/>
      <c r="M573" s="5330"/>
      <c r="N573" s="5330"/>
      <c r="O573" s="5330"/>
      <c r="P573" s="5330"/>
      <c r="Q573" s="5330"/>
      <c r="R573" s="5331"/>
      <c r="T573" s="366" t="s">
        <v>2459</v>
      </c>
      <c r="U573" s="368" t="s">
        <v>1509</v>
      </c>
      <c r="X573" s="5211"/>
      <c r="Y573" s="5172"/>
      <c r="Z573" s="5172"/>
      <c r="AA573" s="5212"/>
      <c r="AB573" s="363"/>
      <c r="AC573" s="5237"/>
    </row>
    <row r="574" spans="1:30" ht="12.75" customHeight="1" thickBot="1" x14ac:dyDescent="0.25">
      <c r="A574" s="1916">
        <v>574</v>
      </c>
      <c r="B574" s="5148"/>
      <c r="C574" s="2825"/>
      <c r="D574" s="2826">
        <v>1</v>
      </c>
      <c r="E574" s="2826">
        <v>2</v>
      </c>
      <c r="F574" s="2826">
        <v>3</v>
      </c>
      <c r="G574" s="2826">
        <v>4</v>
      </c>
      <c r="H574" s="2826">
        <v>5</v>
      </c>
      <c r="I574" s="2829">
        <v>6</v>
      </c>
      <c r="J574" s="2826">
        <v>7</v>
      </c>
      <c r="K574" s="2826">
        <v>8</v>
      </c>
      <c r="L574" s="2826">
        <v>9</v>
      </c>
      <c r="M574" s="2828">
        <v>10</v>
      </c>
      <c r="N574" s="2828">
        <v>11</v>
      </c>
      <c r="O574" s="2003">
        <v>12</v>
      </c>
      <c r="P574" s="2828">
        <v>13</v>
      </c>
      <c r="Q574" s="2828">
        <v>14</v>
      </c>
      <c r="R574" s="2877">
        <v>15</v>
      </c>
      <c r="T574" s="482" t="s">
        <v>1510</v>
      </c>
      <c r="U574" s="387">
        <v>0</v>
      </c>
      <c r="X574" s="2410" t="s">
        <v>2947</v>
      </c>
      <c r="Y574" s="2397" t="s">
        <v>1801</v>
      </c>
      <c r="Z574" s="458" t="s">
        <v>1861</v>
      </c>
      <c r="AA574" s="2412" t="s">
        <v>2637</v>
      </c>
      <c r="AB574" s="363"/>
      <c r="AC574" s="2612" t="s">
        <v>2309</v>
      </c>
    </row>
    <row r="575" spans="1:30" ht="12.75" customHeight="1" thickBot="1" x14ac:dyDescent="0.25">
      <c r="A575" s="1916">
        <v>575</v>
      </c>
      <c r="B575" s="5148"/>
      <c r="C575" s="2825"/>
      <c r="D575" s="2826" t="s">
        <v>1860</v>
      </c>
      <c r="E575" s="2826" t="s">
        <v>2163</v>
      </c>
      <c r="F575" s="2826" t="s">
        <v>1709</v>
      </c>
      <c r="G575" s="2826" t="s">
        <v>1456</v>
      </c>
      <c r="H575" s="2826" t="s">
        <v>2301</v>
      </c>
      <c r="I575" s="2829" t="s">
        <v>2460</v>
      </c>
      <c r="J575" s="2826" t="s">
        <v>1630</v>
      </c>
      <c r="K575" s="2826" t="s">
        <v>1679</v>
      </c>
      <c r="L575" s="2826" t="s">
        <v>1863</v>
      </c>
      <c r="M575" s="2826" t="s">
        <v>1809</v>
      </c>
      <c r="N575" s="2826" t="s">
        <v>1864</v>
      </c>
      <c r="O575" s="2829" t="s">
        <v>1865</v>
      </c>
      <c r="P575" s="2826" t="s">
        <v>1866</v>
      </c>
      <c r="Q575" s="2826" t="s">
        <v>1867</v>
      </c>
      <c r="R575" s="1946" t="s">
        <v>1868</v>
      </c>
      <c r="T575" s="484" t="s">
        <v>1511</v>
      </c>
      <c r="U575" s="234">
        <v>-60</v>
      </c>
      <c r="X575" s="2423" t="s">
        <v>2948</v>
      </c>
      <c r="Y575" s="213">
        <v>10</v>
      </c>
      <c r="Z575" s="2001" t="s">
        <v>2949</v>
      </c>
      <c r="AA575" s="1865"/>
      <c r="AB575" s="363"/>
      <c r="AC575" s="2612" t="s">
        <v>1450</v>
      </c>
    </row>
    <row r="576" spans="1:30" ht="12.75" customHeight="1" thickBot="1" x14ac:dyDescent="0.25">
      <c r="A576" s="1916">
        <v>576</v>
      </c>
      <c r="B576" s="5148"/>
      <c r="C576" s="2878"/>
      <c r="D576" s="452" t="s">
        <v>1457</v>
      </c>
      <c r="E576" s="401">
        <v>0</v>
      </c>
      <c r="F576" s="401">
        <v>0</v>
      </c>
      <c r="G576" s="401">
        <v>0</v>
      </c>
      <c r="H576" s="401">
        <v>0</v>
      </c>
      <c r="I576" s="453">
        <v>0</v>
      </c>
      <c r="J576" s="401" t="s">
        <v>1766</v>
      </c>
      <c r="K576" s="401" t="s">
        <v>1766</v>
      </c>
      <c r="L576" s="401">
        <v>0</v>
      </c>
      <c r="M576" s="401">
        <v>0</v>
      </c>
      <c r="N576" s="401">
        <v>0</v>
      </c>
      <c r="O576" s="453">
        <v>0</v>
      </c>
      <c r="P576" s="401">
        <v>0</v>
      </c>
      <c r="Q576" s="401">
        <v>0</v>
      </c>
      <c r="R576" s="2879">
        <v>0</v>
      </c>
      <c r="T576" s="484" t="s">
        <v>1512</v>
      </c>
      <c r="U576" s="234">
        <v>-40</v>
      </c>
      <c r="X576" s="2423" t="s">
        <v>2950</v>
      </c>
      <c r="Y576" s="213">
        <v>15</v>
      </c>
      <c r="Z576" s="2001" t="s">
        <v>2951</v>
      </c>
      <c r="AA576" s="1865"/>
      <c r="AB576" s="363"/>
      <c r="AC576" s="2613" t="s">
        <v>1451</v>
      </c>
    </row>
    <row r="577" spans="1:30" ht="12.75" customHeight="1" thickBot="1" x14ac:dyDescent="0.25">
      <c r="A577" s="1916">
        <v>577</v>
      </c>
      <c r="B577" s="5148"/>
      <c r="C577" s="1691"/>
      <c r="D577" s="203" t="s">
        <v>1458</v>
      </c>
      <c r="E577" s="2827">
        <v>0</v>
      </c>
      <c r="F577" s="2827">
        <v>-5</v>
      </c>
      <c r="G577" s="2827">
        <v>0</v>
      </c>
      <c r="H577" s="2827">
        <v>10</v>
      </c>
      <c r="I577" s="2408">
        <v>25</v>
      </c>
      <c r="J577" s="2827" t="s">
        <v>1452</v>
      </c>
      <c r="K577" s="2827" t="s">
        <v>1450</v>
      </c>
      <c r="L577" s="2827">
        <v>1</v>
      </c>
      <c r="M577" s="2827">
        <v>1</v>
      </c>
      <c r="N577" s="2827">
        <v>1</v>
      </c>
      <c r="O577" s="2408">
        <v>1</v>
      </c>
      <c r="P577" s="2827">
        <v>2</v>
      </c>
      <c r="Q577" s="2827">
        <v>2</v>
      </c>
      <c r="R577" s="2880">
        <v>0</v>
      </c>
      <c r="T577" s="485" t="s">
        <v>1513</v>
      </c>
      <c r="U577" s="376">
        <v>-20</v>
      </c>
      <c r="X577" s="2423" t="s">
        <v>2952</v>
      </c>
      <c r="Y577" s="213">
        <v>20</v>
      </c>
      <c r="Z577" s="2001" t="s">
        <v>2953</v>
      </c>
      <c r="AA577" s="1865"/>
      <c r="AB577" s="363"/>
      <c r="AC577" s="2563"/>
    </row>
    <row r="578" spans="1:30" ht="12.75" customHeight="1" thickBot="1" x14ac:dyDescent="0.25">
      <c r="A578" s="1916">
        <v>578</v>
      </c>
      <c r="B578" s="5148"/>
      <c r="C578" s="1691"/>
      <c r="D578" s="203" t="s">
        <v>1459</v>
      </c>
      <c r="E578" s="2827">
        <v>0</v>
      </c>
      <c r="F578" s="2827">
        <v>0</v>
      </c>
      <c r="G578" s="2827">
        <v>0</v>
      </c>
      <c r="H578" s="2827">
        <v>12</v>
      </c>
      <c r="I578" s="2408">
        <v>25</v>
      </c>
      <c r="J578" s="2827" t="s">
        <v>1452</v>
      </c>
      <c r="K578" s="2827" t="s">
        <v>1450</v>
      </c>
      <c r="L578" s="2827">
        <v>1</v>
      </c>
      <c r="M578" s="2827">
        <v>0</v>
      </c>
      <c r="N578" s="2827">
        <v>2</v>
      </c>
      <c r="O578" s="2408">
        <v>1</v>
      </c>
      <c r="P578" s="2827">
        <v>2</v>
      </c>
      <c r="Q578" s="2827">
        <v>1</v>
      </c>
      <c r="R578" s="2880">
        <v>0</v>
      </c>
      <c r="X578" s="2423" t="s">
        <v>2954</v>
      </c>
      <c r="Y578" s="213">
        <v>50</v>
      </c>
      <c r="Z578" s="2001" t="s">
        <v>2955</v>
      </c>
      <c r="AA578" s="1865"/>
      <c r="AB578" s="363"/>
      <c r="AC578" s="2667" t="s">
        <v>1630</v>
      </c>
    </row>
    <row r="579" spans="1:30" ht="12.75" customHeight="1" thickBot="1" x14ac:dyDescent="0.25">
      <c r="A579" s="1916">
        <v>579</v>
      </c>
      <c r="B579" s="5148"/>
      <c r="C579" s="1691"/>
      <c r="D579" s="203" t="s">
        <v>1460</v>
      </c>
      <c r="E579" s="2827">
        <v>0</v>
      </c>
      <c r="F579" s="2827">
        <v>-5</v>
      </c>
      <c r="G579" s="2827">
        <v>0</v>
      </c>
      <c r="H579" s="2827">
        <v>10</v>
      </c>
      <c r="I579" s="2408">
        <v>25</v>
      </c>
      <c r="J579" s="2827" t="s">
        <v>1454</v>
      </c>
      <c r="K579" s="2827" t="s">
        <v>1450</v>
      </c>
      <c r="L579" s="2827">
        <v>1</v>
      </c>
      <c r="M579" s="2827">
        <v>0</v>
      </c>
      <c r="N579" s="2827">
        <v>2</v>
      </c>
      <c r="O579" s="2408">
        <v>1</v>
      </c>
      <c r="P579" s="2827">
        <v>2</v>
      </c>
      <c r="Q579" s="2827">
        <v>2</v>
      </c>
      <c r="R579" s="2880">
        <v>0</v>
      </c>
      <c r="X579" s="2424" t="s">
        <v>2956</v>
      </c>
      <c r="Y579" s="213">
        <v>50</v>
      </c>
      <c r="Z579" s="2001" t="s">
        <v>2957</v>
      </c>
      <c r="AA579" s="1865"/>
      <c r="AB579" s="363"/>
      <c r="AC579" s="2614" t="s">
        <v>1452</v>
      </c>
    </row>
    <row r="580" spans="1:30" ht="12.75" customHeight="1" thickBot="1" x14ac:dyDescent="0.25">
      <c r="A580" s="1916">
        <v>580</v>
      </c>
      <c r="B580" s="5148"/>
      <c r="C580" s="1691"/>
      <c r="D580" s="203" t="s">
        <v>1461</v>
      </c>
      <c r="E580" s="2827">
        <v>10</v>
      </c>
      <c r="F580" s="2827">
        <v>-10</v>
      </c>
      <c r="G580" s="2827">
        <v>0</v>
      </c>
      <c r="H580" s="2827">
        <v>11</v>
      </c>
      <c r="I580" s="2408">
        <v>25</v>
      </c>
      <c r="J580" s="2827" t="s">
        <v>1452</v>
      </c>
      <c r="K580" s="2827" t="s">
        <v>1450</v>
      </c>
      <c r="L580" s="2827">
        <v>2</v>
      </c>
      <c r="M580" s="2827">
        <v>1</v>
      </c>
      <c r="N580" s="2827">
        <v>2</v>
      </c>
      <c r="O580" s="2408">
        <v>0</v>
      </c>
      <c r="P580" s="2827">
        <v>2</v>
      </c>
      <c r="Q580" s="2827">
        <v>2</v>
      </c>
      <c r="R580" s="2880">
        <v>0</v>
      </c>
      <c r="T580" s="5151" t="s">
        <v>8696</v>
      </c>
      <c r="U580" s="5152"/>
      <c r="V580" s="5153"/>
      <c r="X580" s="2425" t="s">
        <v>2958</v>
      </c>
      <c r="Y580" s="1491">
        <v>50</v>
      </c>
      <c r="Z580" s="2411" t="s">
        <v>2959</v>
      </c>
      <c r="AA580" s="1893"/>
      <c r="AB580" s="363"/>
      <c r="AC580" s="2612" t="s">
        <v>1453</v>
      </c>
    </row>
    <row r="581" spans="1:30" ht="12.75" customHeight="1" x14ac:dyDescent="0.2">
      <c r="A581" s="1916">
        <v>581</v>
      </c>
      <c r="B581" s="5148"/>
      <c r="C581" s="1691"/>
      <c r="D581" s="203" t="s">
        <v>1462</v>
      </c>
      <c r="E581" s="2827">
        <v>10</v>
      </c>
      <c r="F581" s="2827">
        <v>-10</v>
      </c>
      <c r="G581" s="2827">
        <v>0</v>
      </c>
      <c r="H581" s="2827">
        <v>10</v>
      </c>
      <c r="I581" s="2408">
        <v>25</v>
      </c>
      <c r="J581" s="2827" t="s">
        <v>1452</v>
      </c>
      <c r="K581" s="2827" t="s">
        <v>1450</v>
      </c>
      <c r="L581" s="2827">
        <v>2</v>
      </c>
      <c r="M581" s="2827">
        <v>1</v>
      </c>
      <c r="N581" s="2827">
        <v>2</v>
      </c>
      <c r="O581" s="2408">
        <v>1</v>
      </c>
      <c r="P581" s="2827">
        <v>2</v>
      </c>
      <c r="Q581" s="2827">
        <v>2</v>
      </c>
      <c r="R581" s="2880">
        <v>0</v>
      </c>
      <c r="T581" s="5360" t="s">
        <v>1838</v>
      </c>
      <c r="U581" s="4917"/>
      <c r="V581" s="2209" t="s">
        <v>2637</v>
      </c>
      <c r="X581" s="5213" t="str">
        <f>X580</f>
        <v>Tabla de armas arquetípicas</v>
      </c>
      <c r="Y581" s="5214"/>
      <c r="Z581" s="5214"/>
      <c r="AA581" s="5215"/>
      <c r="AB581" s="363"/>
      <c r="AC581" s="2612" t="s">
        <v>1454</v>
      </c>
    </row>
    <row r="582" spans="1:30" ht="12.75" customHeight="1" thickBot="1" x14ac:dyDescent="0.25">
      <c r="A582" s="1916">
        <v>582</v>
      </c>
      <c r="B582" s="5148"/>
      <c r="C582" s="1691"/>
      <c r="D582" s="203" t="s">
        <v>1463</v>
      </c>
      <c r="E582" s="2827">
        <v>10</v>
      </c>
      <c r="F582" s="2827">
        <v>0</v>
      </c>
      <c r="G582" s="2827">
        <v>1</v>
      </c>
      <c r="H582" s="2827">
        <v>12</v>
      </c>
      <c r="I582" s="2408">
        <v>25</v>
      </c>
      <c r="J582" s="2827" t="s">
        <v>1454</v>
      </c>
      <c r="K582" s="2827" t="s">
        <v>1450</v>
      </c>
      <c r="L582" s="2827">
        <v>1</v>
      </c>
      <c r="M582" s="2827">
        <v>0</v>
      </c>
      <c r="N582" s="2827">
        <v>2</v>
      </c>
      <c r="O582" s="2408">
        <v>1</v>
      </c>
      <c r="P582" s="2827">
        <v>2</v>
      </c>
      <c r="Q582" s="2827">
        <v>1</v>
      </c>
      <c r="R582" s="2880">
        <v>0</v>
      </c>
      <c r="T582" s="5149" t="s">
        <v>1956</v>
      </c>
      <c r="U582" s="5150"/>
      <c r="V582" s="2212">
        <f>COUNTIF(Personalización!$W$20:$Y$21,Tablas!$T582)</f>
        <v>2</v>
      </c>
      <c r="X582" s="2335" t="str">
        <f>IF(Personalización!Y47=0,"Tabla personalizada #1",Personalización!Y47)</f>
        <v>Tabla personalizada #1</v>
      </c>
      <c r="Y582" s="447"/>
      <c r="Z582" s="447" t="str">
        <f>IF(COUNTIF(PDs!$Y$40:$AA$45,Personalización!$Y$47)&gt;0,Personalización!$Y$49&amp;IF(Personalización!$Y$50="","",", "&amp;Personalización!$Y$50)&amp;IF(Personalización!$Y$51="","",", "&amp;Personalización!$Y$51)&amp;IF(Personalización!$Y$52="","",", "&amp;Personalización!$Y$52)&amp;IF(Personalización!$Y$53="","",", "&amp;Personalización!$Y$53),"")</f>
        <v/>
      </c>
      <c r="AA582" s="2266">
        <f>COUNTIF(PDs!$Y$40:$AA$45,Tablas!X582)</f>
        <v>0</v>
      </c>
      <c r="AB582" s="363"/>
      <c r="AC582" s="2613" t="s">
        <v>1875</v>
      </c>
    </row>
    <row r="583" spans="1:30" ht="12.75" customHeight="1" thickBot="1" x14ac:dyDescent="0.25">
      <c r="A583" s="1916">
        <v>583</v>
      </c>
      <c r="B583" s="5148"/>
      <c r="C583" s="1691"/>
      <c r="D583" s="203" t="s">
        <v>1464</v>
      </c>
      <c r="E583" s="2827">
        <v>20</v>
      </c>
      <c r="F583" s="2827">
        <v>-10</v>
      </c>
      <c r="G583" s="2827">
        <v>0</v>
      </c>
      <c r="H583" s="2827">
        <v>12</v>
      </c>
      <c r="I583" s="2408">
        <v>25</v>
      </c>
      <c r="J583" s="2827" t="s">
        <v>1452</v>
      </c>
      <c r="K583" s="2827" t="s">
        <v>1450</v>
      </c>
      <c r="L583" s="2827">
        <v>3</v>
      </c>
      <c r="M583" s="2827">
        <v>1</v>
      </c>
      <c r="N583" s="2827">
        <v>1</v>
      </c>
      <c r="O583" s="2408">
        <v>0</v>
      </c>
      <c r="P583" s="2827">
        <v>2</v>
      </c>
      <c r="Q583" s="2827">
        <v>2</v>
      </c>
      <c r="R583" s="2880">
        <v>0</v>
      </c>
      <c r="T583" s="5149" t="s">
        <v>1959</v>
      </c>
      <c r="U583" s="5150"/>
      <c r="V583" s="2212">
        <f>COUNTIF(Personalización!$W$20:$Y$21,Tablas!$T583)</f>
        <v>0</v>
      </c>
      <c r="X583" s="2335" t="str">
        <f>IF(Personalización!AB47=0,"Tabla personalizada #2",Personalización!AB47)</f>
        <v>Tabla personalizada #2</v>
      </c>
      <c r="Y583" s="447"/>
      <c r="Z583" s="447"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66">
        <f>COUNTIF(PDs!$Y$40:$AA$45,Tablas!X583)</f>
        <v>0</v>
      </c>
      <c r="AB583" s="363"/>
      <c r="AC583" s="2563"/>
    </row>
    <row r="584" spans="1:30" ht="12.75" customHeight="1" thickBot="1" x14ac:dyDescent="0.25">
      <c r="A584" s="1916">
        <v>584</v>
      </c>
      <c r="B584" s="5148"/>
      <c r="C584" s="1691"/>
      <c r="D584" s="203" t="s">
        <v>1465</v>
      </c>
      <c r="E584" s="2827">
        <v>25</v>
      </c>
      <c r="F584" s="2827">
        <v>-10</v>
      </c>
      <c r="G584" s="2827">
        <v>0</v>
      </c>
      <c r="H584" s="2827">
        <v>12</v>
      </c>
      <c r="I584" s="2408">
        <v>25</v>
      </c>
      <c r="J584" s="2827" t="s">
        <v>1452</v>
      </c>
      <c r="K584" s="2827" t="s">
        <v>1450</v>
      </c>
      <c r="L584" s="2827">
        <v>3</v>
      </c>
      <c r="M584" s="2827">
        <v>2</v>
      </c>
      <c r="N584" s="2827">
        <v>3</v>
      </c>
      <c r="O584" s="2408">
        <v>1</v>
      </c>
      <c r="P584" s="2827">
        <v>0</v>
      </c>
      <c r="Q584" s="2827">
        <v>1</v>
      </c>
      <c r="R584" s="2880">
        <v>0</v>
      </c>
      <c r="T584" s="5149" t="s">
        <v>2498</v>
      </c>
      <c r="U584" s="5150"/>
      <c r="V584" s="2212">
        <f>COUNTIF(Personalización!$W$20:$Y$21,Tablas!$T584)</f>
        <v>0</v>
      </c>
      <c r="X584" s="2335" t="str">
        <f>IF(Personalización!AE47=0,"Tabla personalizada #3",Personalización!AE47)</f>
        <v>Tabla personalizada #3</v>
      </c>
      <c r="Y584" s="447"/>
      <c r="Z584" s="447"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66">
        <f>COUNTIF(PDs!$Y$40:$AA$45,Tablas!X584)</f>
        <v>0</v>
      </c>
      <c r="AB584" s="363"/>
      <c r="AC584" s="5205" t="s">
        <v>1483</v>
      </c>
    </row>
    <row r="585" spans="1:30" ht="12.75" customHeight="1" thickBot="1" x14ac:dyDescent="0.25">
      <c r="A585" s="1916">
        <v>585</v>
      </c>
      <c r="B585" s="5148"/>
      <c r="C585" s="1691"/>
      <c r="D585" s="203" t="s">
        <v>1466</v>
      </c>
      <c r="E585" s="2827">
        <v>30</v>
      </c>
      <c r="F585" s="2827">
        <v>-15</v>
      </c>
      <c r="G585" s="2827">
        <v>1</v>
      </c>
      <c r="H585" s="2827">
        <v>15</v>
      </c>
      <c r="I585" s="2408">
        <v>30</v>
      </c>
      <c r="J585" s="2827" t="s">
        <v>1454</v>
      </c>
      <c r="K585" s="2827" t="s">
        <v>1450</v>
      </c>
      <c r="L585" s="2827">
        <v>4</v>
      </c>
      <c r="M585" s="2827">
        <v>2</v>
      </c>
      <c r="N585" s="2827">
        <v>1</v>
      </c>
      <c r="O585" s="2408">
        <v>2</v>
      </c>
      <c r="P585" s="2827">
        <v>0</v>
      </c>
      <c r="Q585" s="2827">
        <v>1</v>
      </c>
      <c r="R585" s="2880">
        <v>0</v>
      </c>
      <c r="T585" s="5149" t="s">
        <v>8697</v>
      </c>
      <c r="U585" s="5150"/>
      <c r="V585" s="2212">
        <f>COUNTIF(Personalización!$W$20:$Y$21,Tablas!$T585)</f>
        <v>0</v>
      </c>
      <c r="X585" s="2335" t="str">
        <f>IF(Personalización!AH47=0,"Tabla personalizada #4",Personalización!AH47)</f>
        <v>Tabla personalizada #4</v>
      </c>
      <c r="Y585" s="447"/>
      <c r="Z585" s="447"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66">
        <f>COUNTIF(PDs!$Y$40:$AA$45,Tablas!X585)</f>
        <v>0</v>
      </c>
      <c r="AB585" s="363"/>
      <c r="AC585" s="5205"/>
    </row>
    <row r="586" spans="1:30" ht="12.75" customHeight="1" x14ac:dyDescent="0.2">
      <c r="A586" s="1916">
        <v>586</v>
      </c>
      <c r="B586" s="5148"/>
      <c r="C586" s="1691"/>
      <c r="D586" s="203" t="s">
        <v>1467</v>
      </c>
      <c r="E586" s="2827">
        <v>60</v>
      </c>
      <c r="F586" s="2827">
        <v>-20</v>
      </c>
      <c r="G586" s="2827">
        <v>2</v>
      </c>
      <c r="H586" s="2827">
        <v>15</v>
      </c>
      <c r="I586" s="2408">
        <v>30</v>
      </c>
      <c r="J586" s="2827" t="s">
        <v>1452</v>
      </c>
      <c r="K586" s="2827" t="s">
        <v>1450</v>
      </c>
      <c r="L586" s="2827">
        <v>4</v>
      </c>
      <c r="M586" s="2827">
        <v>3</v>
      </c>
      <c r="N586" s="2827">
        <v>1</v>
      </c>
      <c r="O586" s="2408">
        <v>2</v>
      </c>
      <c r="P586" s="2827">
        <v>0</v>
      </c>
      <c r="Q586" s="2827">
        <v>1</v>
      </c>
      <c r="R586" s="2880">
        <v>0</v>
      </c>
      <c r="T586" s="5149" t="s">
        <v>8698</v>
      </c>
      <c r="U586" s="5150"/>
      <c r="V586" s="2212">
        <f>COUNTIF(Personalización!$W$20:$Y$21,Tablas!$T586)</f>
        <v>0</v>
      </c>
      <c r="X586" s="2335" t="s">
        <v>2960</v>
      </c>
      <c r="Y586" s="447"/>
      <c r="Z586" s="447" t="s">
        <v>2961</v>
      </c>
      <c r="AA586" s="2266">
        <f>COUNTIF(PDs!$Y$40:$AA$45,Tablas!X586)</f>
        <v>0</v>
      </c>
      <c r="AB586" s="363"/>
      <c r="AC586" s="474">
        <v>-10</v>
      </c>
      <c r="AD586" s="1653"/>
    </row>
    <row r="587" spans="1:30" ht="12.75" customHeight="1" x14ac:dyDescent="0.2">
      <c r="A587" s="1916">
        <v>587</v>
      </c>
      <c r="B587" s="5148"/>
      <c r="C587" s="1691"/>
      <c r="D587" s="203" t="s">
        <v>1468</v>
      </c>
      <c r="E587" s="2827">
        <v>0</v>
      </c>
      <c r="F587" s="2827">
        <v>0</v>
      </c>
      <c r="G587" s="2827">
        <v>0</v>
      </c>
      <c r="H587" s="2827">
        <v>0</v>
      </c>
      <c r="I587" s="2408">
        <v>0</v>
      </c>
      <c r="J587" s="2827" t="s">
        <v>1766</v>
      </c>
      <c r="K587" s="2827" t="s">
        <v>1766</v>
      </c>
      <c r="L587" s="2827">
        <v>0</v>
      </c>
      <c r="M587" s="2827">
        <v>0</v>
      </c>
      <c r="N587" s="2827">
        <v>0</v>
      </c>
      <c r="O587" s="2408">
        <v>0</v>
      </c>
      <c r="P587" s="2827">
        <v>0</v>
      </c>
      <c r="Q587" s="2827">
        <v>0</v>
      </c>
      <c r="R587" s="2880">
        <v>0</v>
      </c>
      <c r="T587" s="5149" t="s">
        <v>8699</v>
      </c>
      <c r="U587" s="5150"/>
      <c r="V587" s="2212">
        <f>COUNTIF(Personalización!$W$20:$Y$21,Tablas!$T587)</f>
        <v>0</v>
      </c>
      <c r="X587" s="2335" t="s">
        <v>2962</v>
      </c>
      <c r="Y587" s="447"/>
      <c r="Z587" s="447" t="s">
        <v>2963</v>
      </c>
      <c r="AA587" s="2266">
        <f>COUNTIF(PDs!$Y$40:$AA$45,Tablas!X587)</f>
        <v>0</v>
      </c>
      <c r="AB587" s="363"/>
      <c r="AC587" s="475">
        <v>-5</v>
      </c>
      <c r="AD587" s="1653"/>
    </row>
    <row r="588" spans="1:30" ht="12.75" customHeight="1" x14ac:dyDescent="0.2">
      <c r="A588" s="1916">
        <v>588</v>
      </c>
      <c r="B588" s="5148"/>
      <c r="C588" s="1691"/>
      <c r="D588" s="203" t="s">
        <v>1469</v>
      </c>
      <c r="E588" s="2827">
        <v>20</v>
      </c>
      <c r="F588" s="2827">
        <v>-10</v>
      </c>
      <c r="G588" s="2827">
        <v>0</v>
      </c>
      <c r="H588" s="2827">
        <v>13</v>
      </c>
      <c r="I588" s="2408">
        <v>25</v>
      </c>
      <c r="J588" s="2827" t="s">
        <v>1453</v>
      </c>
      <c r="K588" s="2827" t="s">
        <v>1451</v>
      </c>
      <c r="L588" s="2827">
        <v>2</v>
      </c>
      <c r="M588" s="2827">
        <v>2</v>
      </c>
      <c r="N588" s="2827">
        <v>2</v>
      </c>
      <c r="O588" s="2408">
        <v>2</v>
      </c>
      <c r="P588" s="2827">
        <v>2</v>
      </c>
      <c r="Q588" s="2827">
        <v>2</v>
      </c>
      <c r="R588" s="2880">
        <v>0</v>
      </c>
      <c r="T588" s="5149" t="s">
        <v>8700</v>
      </c>
      <c r="U588" s="5150"/>
      <c r="V588" s="2212">
        <f>COUNTIF(Personalización!$W$20:$Y$21,Tablas!$T588)</f>
        <v>0</v>
      </c>
      <c r="X588" s="2335" t="s">
        <v>2964</v>
      </c>
      <c r="Y588" s="447"/>
      <c r="Z588" s="447" t="s">
        <v>2965</v>
      </c>
      <c r="AA588" s="2266">
        <f>COUNTIF(PDs!$Y$40:$AA$45,Tablas!X588)</f>
        <v>0</v>
      </c>
      <c r="AB588" s="363"/>
      <c r="AC588" s="475">
        <v>0</v>
      </c>
    </row>
    <row r="589" spans="1:30" ht="12.75" customHeight="1" x14ac:dyDescent="0.2">
      <c r="A589" s="1916">
        <v>589</v>
      </c>
      <c r="B589" s="5148"/>
      <c r="C589" s="1691"/>
      <c r="D589" s="203" t="s">
        <v>1470</v>
      </c>
      <c r="E589" s="2827">
        <v>25</v>
      </c>
      <c r="F589" s="2827">
        <v>-10</v>
      </c>
      <c r="G589" s="2827">
        <v>1</v>
      </c>
      <c r="H589" s="2827">
        <v>14</v>
      </c>
      <c r="I589" s="2408">
        <v>25</v>
      </c>
      <c r="J589" s="2827" t="s">
        <v>1453</v>
      </c>
      <c r="K589" s="2827" t="s">
        <v>1451</v>
      </c>
      <c r="L589" s="2827">
        <v>3</v>
      </c>
      <c r="M589" s="2827">
        <v>1</v>
      </c>
      <c r="N589" s="2827">
        <v>2</v>
      </c>
      <c r="O589" s="2408">
        <v>2</v>
      </c>
      <c r="P589" s="2827">
        <v>1</v>
      </c>
      <c r="Q589" s="2827">
        <v>2</v>
      </c>
      <c r="R589" s="2880">
        <v>0</v>
      </c>
      <c r="T589" s="5149" t="s">
        <v>8701</v>
      </c>
      <c r="U589" s="5150"/>
      <c r="V589" s="2212">
        <f>COUNTIF(Personalización!$W$20:$Y$21,Tablas!$T589)</f>
        <v>0</v>
      </c>
      <c r="X589" s="2335" t="s">
        <v>2966</v>
      </c>
      <c r="Y589" s="447"/>
      <c r="Z589" s="447" t="s">
        <v>2967</v>
      </c>
      <c r="AA589" s="2266">
        <f>COUNTIF(PDs!$Y$40:$AA$45,Tablas!X589)</f>
        <v>0</v>
      </c>
      <c r="AB589" s="363"/>
      <c r="AC589" s="475">
        <v>5</v>
      </c>
    </row>
    <row r="590" spans="1:30" ht="12.75" customHeight="1" thickBot="1" x14ac:dyDescent="0.25">
      <c r="A590" s="1916">
        <v>590</v>
      </c>
      <c r="B590" s="5148"/>
      <c r="C590" s="1691"/>
      <c r="D590" s="203" t="s">
        <v>1471</v>
      </c>
      <c r="E590" s="2827">
        <v>30</v>
      </c>
      <c r="F590" s="2827">
        <v>-15</v>
      </c>
      <c r="G590" s="2827">
        <v>0</v>
      </c>
      <c r="H590" s="2827">
        <v>13</v>
      </c>
      <c r="I590" s="2408">
        <v>25</v>
      </c>
      <c r="J590" s="2827" t="s">
        <v>1452</v>
      </c>
      <c r="K590" s="2827" t="s">
        <v>1451</v>
      </c>
      <c r="L590" s="2827">
        <v>4</v>
      </c>
      <c r="M590" s="2827">
        <v>3</v>
      </c>
      <c r="N590" s="2827">
        <v>3</v>
      </c>
      <c r="O590" s="2408">
        <v>2</v>
      </c>
      <c r="P590" s="2827">
        <v>0</v>
      </c>
      <c r="Q590" s="2827">
        <v>2</v>
      </c>
      <c r="R590" s="2880">
        <v>0</v>
      </c>
      <c r="T590" s="5322" t="s">
        <v>8702</v>
      </c>
      <c r="U590" s="5323"/>
      <c r="V590" s="2215">
        <f>COUNTIF(Personalización!$W$20:$Y$21,Tablas!$T590)</f>
        <v>0</v>
      </c>
      <c r="X590" s="2335" t="s">
        <v>2968</v>
      </c>
      <c r="Y590" s="447"/>
      <c r="Z590" s="447" t="s">
        <v>2969</v>
      </c>
      <c r="AA590" s="2266">
        <f>COUNTIF(PDs!$Y$40:$AA$45,Tablas!X590)</f>
        <v>0</v>
      </c>
      <c r="AB590" s="363"/>
      <c r="AC590" s="475">
        <v>10</v>
      </c>
    </row>
    <row r="591" spans="1:30" ht="12.75" customHeight="1" thickBot="1" x14ac:dyDescent="0.25">
      <c r="A591" s="1916">
        <v>591</v>
      </c>
      <c r="B591" s="5148"/>
      <c r="C591" s="1691"/>
      <c r="D591" s="203" t="s">
        <v>1453</v>
      </c>
      <c r="E591" s="2827">
        <v>40</v>
      </c>
      <c r="F591" s="2827">
        <v>-15</v>
      </c>
      <c r="G591" s="2827">
        <v>1</v>
      </c>
      <c r="H591" s="2827">
        <v>16</v>
      </c>
      <c r="I591" s="2408">
        <v>30</v>
      </c>
      <c r="J591" s="2827" t="s">
        <v>1453</v>
      </c>
      <c r="K591" s="2827" t="s">
        <v>1451</v>
      </c>
      <c r="L591" s="2827">
        <v>4</v>
      </c>
      <c r="M591" s="2827">
        <v>5</v>
      </c>
      <c r="N591" s="2827">
        <v>4</v>
      </c>
      <c r="O591" s="2408">
        <v>1</v>
      </c>
      <c r="P591" s="2827">
        <v>0</v>
      </c>
      <c r="Q591" s="2827">
        <v>1</v>
      </c>
      <c r="R591" s="2880">
        <v>0</v>
      </c>
      <c r="U591" s="2211"/>
      <c r="X591" s="2335" t="s">
        <v>2970</v>
      </c>
      <c r="Y591" s="447"/>
      <c r="Z591" s="447" t="s">
        <v>2971</v>
      </c>
      <c r="AA591" s="2266">
        <f>COUNTIF(PDs!$Y$40:$AA$45,Tablas!X591)</f>
        <v>0</v>
      </c>
      <c r="AB591" s="363"/>
      <c r="AC591" s="475">
        <v>15</v>
      </c>
    </row>
    <row r="592" spans="1:30" ht="12.75" customHeight="1" x14ac:dyDescent="0.2">
      <c r="A592" s="1916">
        <v>592</v>
      </c>
      <c r="B592" s="5148"/>
      <c r="C592" s="1691"/>
      <c r="D592" s="203" t="s">
        <v>1472</v>
      </c>
      <c r="E592" s="2827">
        <v>50</v>
      </c>
      <c r="F592" s="2827">
        <v>-20</v>
      </c>
      <c r="G592" s="2827">
        <v>2</v>
      </c>
      <c r="H592" s="2827">
        <v>15</v>
      </c>
      <c r="I592" s="2408">
        <v>30</v>
      </c>
      <c r="J592" s="2827" t="s">
        <v>1454</v>
      </c>
      <c r="K592" s="2827" t="s">
        <v>1451</v>
      </c>
      <c r="L592" s="2827">
        <v>4</v>
      </c>
      <c r="M592" s="2827">
        <v>3</v>
      </c>
      <c r="N592" s="2827">
        <v>2</v>
      </c>
      <c r="O592" s="2408">
        <v>3</v>
      </c>
      <c r="P592" s="2827">
        <v>2</v>
      </c>
      <c r="Q592" s="2827">
        <v>2</v>
      </c>
      <c r="R592" s="2880">
        <v>0</v>
      </c>
      <c r="T592" s="5151" t="s">
        <v>8704</v>
      </c>
      <c r="U592" s="5152"/>
      <c r="V592" s="5153"/>
      <c r="X592" s="2335" t="s">
        <v>2420</v>
      </c>
      <c r="Y592" s="447"/>
      <c r="Z592" s="447" t="s">
        <v>2972</v>
      </c>
      <c r="AA592" s="2266">
        <f>COUNTIF(PDs!$Y$40:$AA$45,Tablas!X592)</f>
        <v>0</v>
      </c>
      <c r="AB592" s="363"/>
      <c r="AC592" s="475">
        <v>20</v>
      </c>
    </row>
    <row r="593" spans="1:30" ht="12.75" customHeight="1" x14ac:dyDescent="0.2">
      <c r="A593" s="1916">
        <v>593</v>
      </c>
      <c r="B593" s="5148"/>
      <c r="C593" s="1691"/>
      <c r="D593" s="203" t="s">
        <v>1473</v>
      </c>
      <c r="E593" s="2827">
        <v>70</v>
      </c>
      <c r="F593" s="2827">
        <v>-20</v>
      </c>
      <c r="G593" s="2827">
        <v>3</v>
      </c>
      <c r="H593" s="2827">
        <v>16</v>
      </c>
      <c r="I593" s="2408">
        <v>35</v>
      </c>
      <c r="J593" s="2827" t="s">
        <v>1454</v>
      </c>
      <c r="K593" s="2827" t="s">
        <v>1451</v>
      </c>
      <c r="L593" s="2827">
        <v>4</v>
      </c>
      <c r="M593" s="2827">
        <v>4</v>
      </c>
      <c r="N593" s="2827">
        <v>4</v>
      </c>
      <c r="O593" s="2408">
        <v>2</v>
      </c>
      <c r="P593" s="2827">
        <v>0</v>
      </c>
      <c r="Q593" s="2827">
        <v>1</v>
      </c>
      <c r="R593" s="2880">
        <v>1</v>
      </c>
      <c r="T593" s="5154" t="s">
        <v>7912</v>
      </c>
      <c r="U593" s="5155"/>
      <c r="V593" s="2212">
        <f>COUNTIF(Combate!$AB$55:$AG$64,$E$980)*COUNTIF(Personalización!$AB$19:$AE$21,Tablas!$T593)</f>
        <v>0</v>
      </c>
      <c r="X593" s="2335" t="s">
        <v>2973</v>
      </c>
      <c r="Y593" s="447"/>
      <c r="Z593" s="447" t="s">
        <v>2974</v>
      </c>
      <c r="AA593" s="2266">
        <f>COUNTIF(PDs!$Y$40:$AA$45,Tablas!X593)</f>
        <v>0</v>
      </c>
      <c r="AB593" s="363"/>
      <c r="AC593" s="475">
        <v>25</v>
      </c>
    </row>
    <row r="594" spans="1:30" ht="12.75" customHeight="1" thickBot="1" x14ac:dyDescent="0.25">
      <c r="A594" s="1916">
        <v>594</v>
      </c>
      <c r="B594" s="5148"/>
      <c r="C594" s="1691"/>
      <c r="D594" s="203" t="s">
        <v>2264</v>
      </c>
      <c r="E594" s="2827">
        <v>80</v>
      </c>
      <c r="F594" s="2827">
        <v>-25</v>
      </c>
      <c r="G594" s="2827">
        <v>3</v>
      </c>
      <c r="H594" s="2827">
        <v>17</v>
      </c>
      <c r="I594" s="2408">
        <v>35</v>
      </c>
      <c r="J594" s="2827" t="s">
        <v>1454</v>
      </c>
      <c r="K594" s="2827" t="s">
        <v>1451</v>
      </c>
      <c r="L594" s="2827">
        <v>4</v>
      </c>
      <c r="M594" s="2827">
        <v>4</v>
      </c>
      <c r="N594" s="2827">
        <v>4</v>
      </c>
      <c r="O594" s="2408">
        <v>3</v>
      </c>
      <c r="P594" s="2827">
        <v>0</v>
      </c>
      <c r="Q594" s="2827">
        <v>3</v>
      </c>
      <c r="R594" s="2880">
        <v>1</v>
      </c>
      <c r="T594" s="5154" t="s">
        <v>8706</v>
      </c>
      <c r="U594" s="5155"/>
      <c r="V594" s="2212">
        <f>COUNTIF(Combate!$AB$55:$AG$64,$E$980)*COUNTIF(Personalización!$AB$19:$AE$21,Tablas!$T594)</f>
        <v>0</v>
      </c>
      <c r="X594" s="2335" t="s">
        <v>2975</v>
      </c>
      <c r="Y594" s="447"/>
      <c r="Z594" s="447" t="s">
        <v>2976</v>
      </c>
      <c r="AA594" s="2266">
        <f>COUNTIF(PDs!$Y$40:$AA$45,Tablas!X594)</f>
        <v>0</v>
      </c>
      <c r="AB594" s="363"/>
      <c r="AC594" s="476">
        <v>30</v>
      </c>
    </row>
    <row r="595" spans="1:30" ht="12.75" customHeight="1" x14ac:dyDescent="0.2">
      <c r="A595" s="1916">
        <v>595</v>
      </c>
      <c r="B595" s="5148"/>
      <c r="C595" s="1691"/>
      <c r="D595" s="203" t="s">
        <v>1474</v>
      </c>
      <c r="E595" s="2827">
        <v>90</v>
      </c>
      <c r="F595" s="2827">
        <v>-35</v>
      </c>
      <c r="G595" s="2827">
        <v>4</v>
      </c>
      <c r="H595" s="2827">
        <v>17</v>
      </c>
      <c r="I595" s="2408">
        <v>40</v>
      </c>
      <c r="J595" s="2827" t="s">
        <v>1454</v>
      </c>
      <c r="K595" s="2827" t="s">
        <v>1451</v>
      </c>
      <c r="L595" s="2827">
        <v>5</v>
      </c>
      <c r="M595" s="2827">
        <v>4</v>
      </c>
      <c r="N595" s="2827">
        <v>5</v>
      </c>
      <c r="O595" s="2408">
        <v>3</v>
      </c>
      <c r="P595" s="2827">
        <v>0</v>
      </c>
      <c r="Q595" s="2827">
        <v>3</v>
      </c>
      <c r="R595" s="2880">
        <v>1</v>
      </c>
      <c r="T595" s="5154" t="s">
        <v>135</v>
      </c>
      <c r="U595" s="5155"/>
      <c r="V595" s="2212">
        <f>COUNTIF(Combate!$AB$55:$AG$64,$E$980)*COUNTIF(Personalización!$AB$19:$AE$21,Tablas!$T595)</f>
        <v>0</v>
      </c>
      <c r="X595" s="2335" t="s">
        <v>2977</v>
      </c>
      <c r="Y595" s="447"/>
      <c r="Z595" s="447" t="s">
        <v>2978</v>
      </c>
      <c r="AA595" s="2266">
        <f>COUNTIF(PDs!$Y$40:$AA$45,Tablas!X595)</f>
        <v>0</v>
      </c>
      <c r="AB595" s="363"/>
      <c r="AC595" s="2563"/>
    </row>
    <row r="596" spans="1:30" ht="12.75" customHeight="1" x14ac:dyDescent="0.2">
      <c r="A596" s="1916">
        <v>596</v>
      </c>
      <c r="B596" s="5148"/>
      <c r="C596" s="1691"/>
      <c r="D596" s="203" t="s">
        <v>1454</v>
      </c>
      <c r="E596" s="2827">
        <v>100</v>
      </c>
      <c r="F596" s="2827">
        <v>-50</v>
      </c>
      <c r="G596" s="2827">
        <v>4</v>
      </c>
      <c r="H596" s="2827">
        <v>18</v>
      </c>
      <c r="I596" s="2408">
        <v>45</v>
      </c>
      <c r="J596" s="2827" t="s">
        <v>1454</v>
      </c>
      <c r="K596" s="2827" t="s">
        <v>1451</v>
      </c>
      <c r="L596" s="2827">
        <v>5</v>
      </c>
      <c r="M596" s="2827">
        <v>5</v>
      </c>
      <c r="N596" s="2827">
        <v>5</v>
      </c>
      <c r="O596" s="2408">
        <v>4</v>
      </c>
      <c r="P596" s="2827">
        <v>0</v>
      </c>
      <c r="Q596" s="2827">
        <v>4</v>
      </c>
      <c r="R596" s="2880">
        <v>2</v>
      </c>
      <c r="T596" s="5154" t="s">
        <v>8709</v>
      </c>
      <c r="U596" s="5155"/>
      <c r="V596" s="2212">
        <f>COUNTIF(Combate!$AB$55:$AG$64,$E$980)*COUNTIF(Personalización!$AB$19:$AE$21,Tablas!$T596)</f>
        <v>0</v>
      </c>
      <c r="X596" s="2335" t="s">
        <v>2979</v>
      </c>
      <c r="Y596" s="447"/>
      <c r="Z596" s="447" t="s">
        <v>2980</v>
      </c>
      <c r="AA596" s="2266">
        <f>COUNTIF(PDs!$Y$40:$AA$45,Tablas!X596)</f>
        <v>0</v>
      </c>
      <c r="AB596" s="363"/>
      <c r="AC596" s="2563"/>
    </row>
    <row r="597" spans="1:30" ht="12.75" customHeight="1" thickBot="1" x14ac:dyDescent="0.25">
      <c r="A597" s="1916">
        <v>597</v>
      </c>
      <c r="B597" s="5148"/>
      <c r="C597" s="1691"/>
      <c r="D597" s="203" t="s">
        <v>1475</v>
      </c>
      <c r="E597" s="2827">
        <v>120</v>
      </c>
      <c r="F597" s="2827">
        <v>-60</v>
      </c>
      <c r="G597" s="2827">
        <v>5</v>
      </c>
      <c r="H597" s="2827">
        <v>19</v>
      </c>
      <c r="I597" s="2408">
        <v>45</v>
      </c>
      <c r="J597" s="2827" t="s">
        <v>1454</v>
      </c>
      <c r="K597" s="2827" t="s">
        <v>1451</v>
      </c>
      <c r="L597" s="2827">
        <v>6</v>
      </c>
      <c r="M597" s="2827">
        <v>6</v>
      </c>
      <c r="N597" s="2827">
        <v>6</v>
      </c>
      <c r="O597" s="2408">
        <v>4</v>
      </c>
      <c r="P597" s="2827">
        <v>0</v>
      </c>
      <c r="Q597" s="2827">
        <v>4</v>
      </c>
      <c r="R597" s="2880">
        <v>2</v>
      </c>
      <c r="T597" s="5154" t="s">
        <v>8711</v>
      </c>
      <c r="U597" s="5155"/>
      <c r="V597" s="2212">
        <f>COUNTIF(Combate!$AB$55:$AG$64,$E$980)*COUNTIF(Personalización!$AB$19:$AE$21,Tablas!$T597)</f>
        <v>0</v>
      </c>
      <c r="X597" s="2337" t="s">
        <v>2981</v>
      </c>
      <c r="Y597" s="2338"/>
      <c r="Z597" s="2338" t="s">
        <v>2982</v>
      </c>
      <c r="AA597" s="2268">
        <f>COUNTIF(PDs!$Y$40:$AA$45,Tablas!X597)</f>
        <v>0</v>
      </c>
      <c r="AB597" s="363"/>
      <c r="AC597" s="2563"/>
      <c r="AD597" s="1653"/>
    </row>
    <row r="598" spans="1:30" ht="12.75" customHeight="1" thickBot="1" x14ac:dyDescent="0.25">
      <c r="A598" s="1916">
        <v>598</v>
      </c>
      <c r="B598" s="5148"/>
      <c r="C598" s="1691"/>
      <c r="D598" s="203" t="s">
        <v>1476</v>
      </c>
      <c r="E598" s="2827">
        <v>150</v>
      </c>
      <c r="F598" s="2827">
        <v>-70</v>
      </c>
      <c r="G598" s="2827">
        <v>6</v>
      </c>
      <c r="H598" s="2827">
        <v>20</v>
      </c>
      <c r="I598" s="2408">
        <v>50</v>
      </c>
      <c r="J598" s="2827" t="s">
        <v>1454</v>
      </c>
      <c r="K598" s="2827" t="s">
        <v>1451</v>
      </c>
      <c r="L598" s="2827">
        <v>7</v>
      </c>
      <c r="M598" s="2827">
        <v>7</v>
      </c>
      <c r="N598" s="2827">
        <v>7</v>
      </c>
      <c r="O598" s="2408">
        <v>4</v>
      </c>
      <c r="P598" s="2827">
        <v>0</v>
      </c>
      <c r="Q598" s="2827">
        <v>4</v>
      </c>
      <c r="R598" s="2880">
        <v>2</v>
      </c>
      <c r="T598" s="5306" t="s">
        <v>8713</v>
      </c>
      <c r="U598" s="5307"/>
      <c r="V598" s="2215">
        <f>COUNTIF(Combate!$AB$55:$AG$64,$E$980)*COUNTIF(Personalización!$AB$19:$AE$21,Tablas!$T598)</f>
        <v>0</v>
      </c>
      <c r="X598" s="5213" t="str">
        <f>X578</f>
        <v>Tabla de tipología</v>
      </c>
      <c r="Y598" s="5214"/>
      <c r="Z598" s="5214"/>
      <c r="AA598" s="5215"/>
      <c r="AB598" s="363"/>
      <c r="AC598" s="2563"/>
      <c r="AD598" s="1653"/>
    </row>
    <row r="599" spans="1:30" ht="12.75" customHeight="1" thickBot="1" x14ac:dyDescent="0.25">
      <c r="A599" s="1916">
        <v>599</v>
      </c>
      <c r="B599" s="5148"/>
      <c r="C599" s="1691"/>
      <c r="D599" s="203" t="s">
        <v>1477</v>
      </c>
      <c r="E599" s="2827">
        <v>0</v>
      </c>
      <c r="F599" s="2827">
        <v>0</v>
      </c>
      <c r="G599" s="2827">
        <v>0</v>
      </c>
      <c r="H599" s="2827">
        <v>0</v>
      </c>
      <c r="I599" s="2408">
        <v>0</v>
      </c>
      <c r="J599" s="2827" t="s">
        <v>1766</v>
      </c>
      <c r="K599" s="2827" t="s">
        <v>1766</v>
      </c>
      <c r="L599" s="2827">
        <v>0</v>
      </c>
      <c r="M599" s="2827">
        <v>0</v>
      </c>
      <c r="N599" s="2827">
        <v>0</v>
      </c>
      <c r="O599" s="2408">
        <v>0</v>
      </c>
      <c r="P599" s="2827">
        <v>0</v>
      </c>
      <c r="Q599" s="2827">
        <v>0</v>
      </c>
      <c r="R599" s="2880">
        <v>0</v>
      </c>
      <c r="X599" s="2335" t="s">
        <v>1766</v>
      </c>
      <c r="Y599" s="447"/>
      <c r="Z599" s="447"/>
      <c r="AA599" s="2266"/>
      <c r="AB599" s="363"/>
      <c r="AC599" s="2563"/>
      <c r="AD599" s="1653"/>
    </row>
    <row r="600" spans="1:30" ht="12.75" customHeight="1" x14ac:dyDescent="0.2">
      <c r="A600" s="1916">
        <v>600</v>
      </c>
      <c r="B600" s="5148"/>
      <c r="C600" s="1691"/>
      <c r="D600" s="203" t="s">
        <v>1478</v>
      </c>
      <c r="E600" s="2827">
        <v>25</v>
      </c>
      <c r="F600" s="2827">
        <v>-10</v>
      </c>
      <c r="G600" s="2827">
        <v>0</v>
      </c>
      <c r="H600" s="2827">
        <v>13</v>
      </c>
      <c r="I600" s="2408">
        <v>25</v>
      </c>
      <c r="J600" s="2827" t="s">
        <v>1452</v>
      </c>
      <c r="K600" s="2827" t="s">
        <v>1450</v>
      </c>
      <c r="L600" s="2827">
        <v>3</v>
      </c>
      <c r="M600" s="2827">
        <v>1</v>
      </c>
      <c r="N600" s="2827">
        <v>1</v>
      </c>
      <c r="O600" s="2408">
        <v>2</v>
      </c>
      <c r="P600" s="2827">
        <v>0</v>
      </c>
      <c r="Q600" s="2827">
        <v>1</v>
      </c>
      <c r="R600" s="2880">
        <v>0</v>
      </c>
      <c r="T600" s="5151" t="s">
        <v>8703</v>
      </c>
      <c r="U600" s="5153"/>
      <c r="X600" s="2335" t="s">
        <v>2470</v>
      </c>
      <c r="Y600" s="447"/>
      <c r="Z600" s="447" t="s">
        <v>9976</v>
      </c>
      <c r="AA600" s="2266">
        <f>COUNTIF(PDs!$Y$40:$AA$45,Tablas!X600)</f>
        <v>0</v>
      </c>
      <c r="AB600" s="363"/>
      <c r="AC600" s="2563"/>
      <c r="AD600" s="1653"/>
    </row>
    <row r="601" spans="1:30" ht="12.75" customHeight="1" x14ac:dyDescent="0.2">
      <c r="A601" s="1916">
        <v>601</v>
      </c>
      <c r="B601" s="5148"/>
      <c r="C601" s="1691"/>
      <c r="D601" s="203" t="s">
        <v>1479</v>
      </c>
      <c r="E601" s="2827">
        <v>30</v>
      </c>
      <c r="F601" s="2827">
        <v>-10</v>
      </c>
      <c r="G601" s="2827">
        <v>0</v>
      </c>
      <c r="H601" s="2827">
        <v>14</v>
      </c>
      <c r="I601" s="2408">
        <v>25</v>
      </c>
      <c r="J601" s="2827" t="s">
        <v>1454</v>
      </c>
      <c r="K601" s="2827" t="s">
        <v>1451</v>
      </c>
      <c r="L601" s="2827">
        <v>3</v>
      </c>
      <c r="M601" s="2827">
        <v>2</v>
      </c>
      <c r="N601" s="2827">
        <v>2</v>
      </c>
      <c r="O601" s="2408">
        <v>2</v>
      </c>
      <c r="P601" s="2827">
        <v>0</v>
      </c>
      <c r="Q601" s="2827">
        <v>1</v>
      </c>
      <c r="R601" s="2880">
        <v>0</v>
      </c>
      <c r="T601" s="2216" t="s">
        <v>8697</v>
      </c>
      <c r="U601" s="2212">
        <f>COUNTIF(Combate!$AB$55:$AG$64,$E$974)*COUNTIF(Personalización!$AG$18:$AJ$20,Tablas!$T601)</f>
        <v>0</v>
      </c>
      <c r="X601" s="2335" t="s">
        <v>2484</v>
      </c>
      <c r="Y601" s="447"/>
      <c r="Z601" s="447" t="s">
        <v>9977</v>
      </c>
      <c r="AA601" s="2266">
        <f>COUNTIF(PDs!$Y$40:$AA$45,Tablas!X601)</f>
        <v>0</v>
      </c>
      <c r="AB601" s="363"/>
      <c r="AC601" s="2563"/>
      <c r="AD601" s="1653"/>
    </row>
    <row r="602" spans="1:30" ht="12.75" customHeight="1" x14ac:dyDescent="0.2">
      <c r="A602" s="1916">
        <v>602</v>
      </c>
      <c r="B602" s="5148"/>
      <c r="C602" s="1691"/>
      <c r="D602" s="203" t="s">
        <v>1480</v>
      </c>
      <c r="E602" s="2827">
        <v>30</v>
      </c>
      <c r="F602" s="2827">
        <v>-10</v>
      </c>
      <c r="G602" s="2827">
        <v>1</v>
      </c>
      <c r="H602" s="2827">
        <v>15</v>
      </c>
      <c r="I602" s="2408">
        <v>30</v>
      </c>
      <c r="J602" s="2827" t="s">
        <v>1454</v>
      </c>
      <c r="K602" s="2827" t="s">
        <v>1451</v>
      </c>
      <c r="L602" s="2827">
        <v>3</v>
      </c>
      <c r="M602" s="2827">
        <v>2</v>
      </c>
      <c r="N602" s="2827">
        <v>3</v>
      </c>
      <c r="O602" s="2408">
        <v>2</v>
      </c>
      <c r="P602" s="2827">
        <v>2</v>
      </c>
      <c r="Q602" s="2827">
        <v>2</v>
      </c>
      <c r="R602" s="2880">
        <v>0</v>
      </c>
      <c r="T602" s="2213" t="s">
        <v>8705</v>
      </c>
      <c r="U602" s="2212">
        <f>COUNTIF(Combate!$AB$55:$AG$64,$E$974)*COUNTIF(Personalización!$AG$18:$AJ$20,Tablas!$T602)</f>
        <v>0</v>
      </c>
      <c r="X602" s="2335" t="s">
        <v>2481</v>
      </c>
      <c r="Y602" s="447"/>
      <c r="Z602" s="447" t="s">
        <v>9978</v>
      </c>
      <c r="AA602" s="2266">
        <f>COUNTIF(PDs!$Y$40:$AA$45,Tablas!X602)</f>
        <v>0</v>
      </c>
      <c r="AB602" s="363"/>
      <c r="AC602" s="2563"/>
      <c r="AD602" s="1653"/>
    </row>
    <row r="603" spans="1:30" ht="12.75" customHeight="1" x14ac:dyDescent="0.2">
      <c r="A603" s="1916">
        <v>603</v>
      </c>
      <c r="B603" s="5148"/>
      <c r="C603" s="1691"/>
      <c r="D603" s="203" t="s">
        <v>1481</v>
      </c>
      <c r="E603" s="2827">
        <v>35</v>
      </c>
      <c r="F603" s="2827">
        <v>-15</v>
      </c>
      <c r="G603" s="2827">
        <v>1</v>
      </c>
      <c r="H603" s="2827">
        <v>14</v>
      </c>
      <c r="I603" s="2408">
        <v>25</v>
      </c>
      <c r="J603" s="2827" t="s">
        <v>1452</v>
      </c>
      <c r="K603" s="2827" t="s">
        <v>1451</v>
      </c>
      <c r="L603" s="2827">
        <v>4</v>
      </c>
      <c r="M603" s="2827">
        <v>2</v>
      </c>
      <c r="N603" s="2827">
        <v>3</v>
      </c>
      <c r="O603" s="2408">
        <v>1</v>
      </c>
      <c r="P603" s="2827">
        <v>0</v>
      </c>
      <c r="Q603" s="2827">
        <v>1</v>
      </c>
      <c r="R603" s="2880">
        <v>0</v>
      </c>
      <c r="T603" s="2213" t="s">
        <v>8707</v>
      </c>
      <c r="U603" s="2212">
        <f>COUNTIF(Combate!$AB$55:$AG$64,$E$974)*COUNTIF(Personalización!$AG$18:$AJ$20,Tablas!$T603)</f>
        <v>0</v>
      </c>
      <c r="X603" s="2335" t="s">
        <v>2541</v>
      </c>
      <c r="Y603" s="447"/>
      <c r="Z603" s="447" t="s">
        <v>9979</v>
      </c>
      <c r="AA603" s="2266">
        <f>COUNTIF(PDs!$Y$40:$AA$45,Tablas!X603)</f>
        <v>0</v>
      </c>
      <c r="AB603" s="363"/>
      <c r="AC603" s="2563"/>
      <c r="AD603" s="1653"/>
    </row>
    <row r="604" spans="1:30" ht="12.75" customHeight="1" x14ac:dyDescent="0.2">
      <c r="A604" s="1916">
        <v>604</v>
      </c>
      <c r="B604" s="5148"/>
      <c r="C604" s="1691"/>
      <c r="D604" s="203" t="s">
        <v>1482</v>
      </c>
      <c r="E604" s="2827">
        <v>0</v>
      </c>
      <c r="F604" s="2827">
        <v>0</v>
      </c>
      <c r="G604" s="2827">
        <v>0</v>
      </c>
      <c r="H604" s="2827">
        <v>0</v>
      </c>
      <c r="I604" s="2408">
        <v>0</v>
      </c>
      <c r="J604" s="2827" t="s">
        <v>1766</v>
      </c>
      <c r="K604" s="2827" t="s">
        <v>1766</v>
      </c>
      <c r="L604" s="2827">
        <v>0</v>
      </c>
      <c r="M604" s="2827">
        <v>0</v>
      </c>
      <c r="N604" s="2827">
        <v>0</v>
      </c>
      <c r="O604" s="2408">
        <v>0</v>
      </c>
      <c r="P604" s="2827">
        <v>0</v>
      </c>
      <c r="Q604" s="2827">
        <v>0</v>
      </c>
      <c r="R604" s="2880">
        <v>0</v>
      </c>
      <c r="T604" s="2213" t="s">
        <v>8708</v>
      </c>
      <c r="U604" s="2212">
        <f>COUNTIF(Combate!$AB$55:$AG$64,$E$974)*COUNTIF(Personalización!$AG$18:$AJ$20,Tablas!$T604)</f>
        <v>0</v>
      </c>
      <c r="X604" s="2335" t="s">
        <v>2486</v>
      </c>
      <c r="Y604" s="447"/>
      <c r="Z604" s="447" t="s">
        <v>9980</v>
      </c>
      <c r="AA604" s="2266">
        <f>COUNTIF(PDs!$Y$40:$AA$45,Tablas!X604)</f>
        <v>0</v>
      </c>
      <c r="AB604" s="363"/>
      <c r="AC604" s="2563"/>
      <c r="AD604" s="1653"/>
    </row>
    <row r="605" spans="1:30" ht="12.75" customHeight="1" x14ac:dyDescent="0.2">
      <c r="A605" s="1916">
        <v>605</v>
      </c>
      <c r="B605" s="5148"/>
      <c r="C605" s="1691"/>
      <c r="D605" s="203" t="str">
        <f>IF(Personalización!Y37=0,"Armadura #1",Personalización!Y37)</f>
        <v>Armadura #1</v>
      </c>
      <c r="E605" s="2827">
        <f>Personalización!W39</f>
        <v>0</v>
      </c>
      <c r="F605" s="2827">
        <f>Personalización!Y39</f>
        <v>0</v>
      </c>
      <c r="G605" s="2827">
        <f>Personalización!AA39</f>
        <v>0</v>
      </c>
      <c r="H605" s="2827">
        <f>Personalización!AC43</f>
        <v>0</v>
      </c>
      <c r="I605" s="2408">
        <f>Personalización!AC44</f>
        <v>0</v>
      </c>
      <c r="J605" s="2827">
        <f>Personalización!Y44</f>
        <v>0</v>
      </c>
      <c r="K605" s="2827">
        <f>Personalización!Y43</f>
        <v>0</v>
      </c>
      <c r="L605" s="2827">
        <f>Personalización!W41</f>
        <v>0</v>
      </c>
      <c r="M605" s="2827">
        <f>Personalización!X41</f>
        <v>0</v>
      </c>
      <c r="N605" s="2827">
        <f>Personalización!Y41</f>
        <v>0</v>
      </c>
      <c r="O605" s="2408">
        <f>Personalización!Z41</f>
        <v>0</v>
      </c>
      <c r="P605" s="2827">
        <f>Personalización!AA41</f>
        <v>0</v>
      </c>
      <c r="Q605" s="2827">
        <f>Personalización!AB41</f>
        <v>0</v>
      </c>
      <c r="R605" s="2880">
        <f>Personalización!AC41</f>
        <v>0</v>
      </c>
      <c r="T605" s="2213" t="s">
        <v>8710</v>
      </c>
      <c r="U605" s="2212">
        <f>COUNTIF(Combate!$AB$55:$AG$64,$E$974)*COUNTIF(Personalización!$AG$18:$AJ$20,Tablas!$T605)</f>
        <v>0</v>
      </c>
      <c r="X605" s="2335" t="s">
        <v>2510</v>
      </c>
      <c r="Y605" s="447"/>
      <c r="Z605" s="447" t="s">
        <v>9981</v>
      </c>
      <c r="AA605" s="2266">
        <f>COUNTIF(PDs!$Y$40:$AA$45,Tablas!X605)</f>
        <v>0</v>
      </c>
      <c r="AB605" s="363"/>
      <c r="AC605" s="448"/>
    </row>
    <row r="606" spans="1:30" ht="12.75" customHeight="1" thickBot="1" x14ac:dyDescent="0.25">
      <c r="A606" s="1916">
        <v>606</v>
      </c>
      <c r="B606" s="5148"/>
      <c r="C606" s="1692"/>
      <c r="D606" s="2881" t="str">
        <f>IF(Personalización!AF37=0,"Armadura #2",Personalización!AF37)</f>
        <v>Armadura #2</v>
      </c>
      <c r="E606" s="1491">
        <f>Personalización!AD39</f>
        <v>0</v>
      </c>
      <c r="F606" s="1491">
        <f>Personalización!AF39</f>
        <v>0</v>
      </c>
      <c r="G606" s="1491">
        <f>Personalización!AH39</f>
        <v>0</v>
      </c>
      <c r="H606" s="1491">
        <f>Personalización!AJ43</f>
        <v>0</v>
      </c>
      <c r="I606" s="1753">
        <f>Personalización!AJ44</f>
        <v>0</v>
      </c>
      <c r="J606" s="1491">
        <f>Personalización!AF44</f>
        <v>0</v>
      </c>
      <c r="K606" s="1491">
        <f>Personalización!AF43</f>
        <v>0</v>
      </c>
      <c r="L606" s="1491">
        <f>Personalización!AD41</f>
        <v>0</v>
      </c>
      <c r="M606" s="1491">
        <f>Personalización!AE41</f>
        <v>0</v>
      </c>
      <c r="N606" s="1491">
        <f>Personalización!AF41</f>
        <v>0</v>
      </c>
      <c r="O606" s="1753">
        <f>Personalización!AG41</f>
        <v>0</v>
      </c>
      <c r="P606" s="1491">
        <f>Personalización!AH41</f>
        <v>0</v>
      </c>
      <c r="Q606" s="1491">
        <f>Personalización!AI41</f>
        <v>0</v>
      </c>
      <c r="R606" s="1893">
        <f>Personalización!AJ41</f>
        <v>0</v>
      </c>
      <c r="T606" s="2214" t="s">
        <v>8712</v>
      </c>
      <c r="U606" s="2215">
        <f>COUNTIF(Combate!$AB$55:$AG$64,$E$974)*COUNTIF(Personalización!$AG$18:$AJ$20,Tablas!$T606)</f>
        <v>0</v>
      </c>
      <c r="X606" s="2335" t="s">
        <v>2471</v>
      </c>
      <c r="Y606" s="447"/>
      <c r="Z606" s="447" t="s">
        <v>9982</v>
      </c>
      <c r="AA606" s="2266">
        <f>COUNTIF(PDs!$Y$40:$AA$45,Tablas!X606)</f>
        <v>0</v>
      </c>
      <c r="AB606" s="363"/>
      <c r="AC606" s="448"/>
    </row>
    <row r="607" spans="1:30" ht="12.75" customHeight="1" x14ac:dyDescent="0.2">
      <c r="A607" s="1916">
        <v>607</v>
      </c>
      <c r="B607" s="5148"/>
      <c r="C607" s="5160" t="s">
        <v>8948</v>
      </c>
      <c r="D607" s="5161"/>
      <c r="E607" s="5161"/>
      <c r="F607" s="5161"/>
      <c r="G607" s="5161"/>
      <c r="H607" s="5161"/>
      <c r="I607" s="1653"/>
      <c r="N607" s="363"/>
      <c r="O607" s="1999"/>
      <c r="X607" s="2335" t="s">
        <v>2506</v>
      </c>
      <c r="Y607" s="447"/>
      <c r="Z607" s="447" t="s">
        <v>9983</v>
      </c>
      <c r="AA607" s="2266">
        <f>COUNTIF(PDs!$Y$40:$AA$45,Tablas!X607)</f>
        <v>0</v>
      </c>
      <c r="AB607" s="363"/>
      <c r="AC607" s="448"/>
    </row>
    <row r="608" spans="1:30" ht="12.75" customHeight="1" thickBot="1" x14ac:dyDescent="0.25">
      <c r="A608" s="1916">
        <v>608</v>
      </c>
      <c r="B608" s="5148"/>
      <c r="H608" s="363"/>
      <c r="I608" s="1653"/>
      <c r="N608" s="363"/>
      <c r="O608" s="1999"/>
      <c r="X608" s="2335" t="s">
        <v>2475</v>
      </c>
      <c r="Y608" s="447"/>
      <c r="Z608" s="447" t="s">
        <v>9984</v>
      </c>
      <c r="AA608" s="2266">
        <f>COUNTIF(PDs!$Y$40:$AA$45,Tablas!X608)</f>
        <v>0</v>
      </c>
      <c r="AB608" s="363"/>
      <c r="AC608" s="448"/>
    </row>
    <row r="609" spans="1:469" ht="12.75" customHeight="1" x14ac:dyDescent="0.2">
      <c r="A609" s="1916">
        <v>609</v>
      </c>
      <c r="B609" s="5148"/>
      <c r="C609" s="5216" t="s">
        <v>1484</v>
      </c>
      <c r="D609" s="5216"/>
      <c r="E609" s="5216"/>
      <c r="F609" s="5216"/>
      <c r="G609" s="5216"/>
      <c r="H609" s="5216"/>
      <c r="I609" s="5216"/>
      <c r="J609" s="5216"/>
      <c r="K609" s="5216"/>
      <c r="L609" s="5216"/>
      <c r="M609" s="5216"/>
      <c r="N609" s="5216"/>
      <c r="O609" s="5216"/>
      <c r="P609" s="5216"/>
      <c r="Q609" s="5216"/>
      <c r="X609" s="2335" t="s">
        <v>2574</v>
      </c>
      <c r="Y609" s="447"/>
      <c r="Z609" s="447" t="s">
        <v>10006</v>
      </c>
      <c r="AA609" s="2266">
        <f>COUNTIF(PDs!$Y$40:$AA$45,Tablas!X609)</f>
        <v>0</v>
      </c>
      <c r="AB609" s="363"/>
      <c r="AC609" s="2563"/>
      <c r="AD609" s="1653"/>
    </row>
    <row r="610" spans="1:469" ht="12.75" customHeight="1" thickBot="1" x14ac:dyDescent="0.25">
      <c r="A610" s="1916">
        <v>610</v>
      </c>
      <c r="B610" s="5148"/>
      <c r="C610" s="398"/>
      <c r="D610" s="2062" t="s">
        <v>1860</v>
      </c>
      <c r="E610" s="2062" t="s">
        <v>2163</v>
      </c>
      <c r="F610" s="2062" t="s">
        <v>1485</v>
      </c>
      <c r="G610" s="2062" t="s">
        <v>2301</v>
      </c>
      <c r="H610" s="2062" t="s">
        <v>2460</v>
      </c>
      <c r="I610" s="2062" t="s">
        <v>1630</v>
      </c>
      <c r="J610" s="2062" t="s">
        <v>1679</v>
      </c>
      <c r="K610" s="2062" t="s">
        <v>1863</v>
      </c>
      <c r="L610" s="2062" t="s">
        <v>1809</v>
      </c>
      <c r="M610" s="2062" t="s">
        <v>1864</v>
      </c>
      <c r="N610" s="2062" t="s">
        <v>1865</v>
      </c>
      <c r="O610" s="2062" t="s">
        <v>1866</v>
      </c>
      <c r="P610" s="2062" t="s">
        <v>1867</v>
      </c>
      <c r="Q610" s="400" t="s">
        <v>1868</v>
      </c>
      <c r="X610" s="2337" t="s">
        <v>1899</v>
      </c>
      <c r="Y610" s="2338"/>
      <c r="Z610" s="2338" t="s">
        <v>9985</v>
      </c>
      <c r="AA610" s="2268">
        <f>COUNTIF(PDs!$Y$40:$AA$45,Tablas!X610)</f>
        <v>0</v>
      </c>
      <c r="AB610" s="363"/>
      <c r="AD610" s="1653"/>
    </row>
    <row r="611" spans="1:469" ht="12.75" customHeight="1" thickBot="1" x14ac:dyDescent="0.25">
      <c r="A611" s="1916">
        <v>611</v>
      </c>
      <c r="B611" s="5148"/>
      <c r="C611" s="216"/>
      <c r="D611" s="203" t="s">
        <v>1486</v>
      </c>
      <c r="E611" s="2352">
        <v>0</v>
      </c>
      <c r="F611" s="2352">
        <v>0</v>
      </c>
      <c r="G611" s="2352">
        <v>0</v>
      </c>
      <c r="H611" s="2352">
        <v>0</v>
      </c>
      <c r="I611" s="2352" t="s">
        <v>1766</v>
      </c>
      <c r="J611" s="2352" t="s">
        <v>1766</v>
      </c>
      <c r="K611" s="2352">
        <v>0</v>
      </c>
      <c r="L611" s="2352">
        <v>0</v>
      </c>
      <c r="M611" s="2352">
        <v>0</v>
      </c>
      <c r="N611" s="2352">
        <v>0</v>
      </c>
      <c r="O611" s="2352">
        <v>0</v>
      </c>
      <c r="P611" s="2352">
        <v>0</v>
      </c>
      <c r="Q611" s="454">
        <v>0</v>
      </c>
      <c r="AB611" s="363"/>
      <c r="AD611" s="1653"/>
    </row>
    <row r="612" spans="1:469" ht="12.75" customHeight="1" x14ac:dyDescent="0.2">
      <c r="A612" s="1916">
        <v>612</v>
      </c>
      <c r="B612" s="5148"/>
      <c r="C612" s="216"/>
      <c r="D612" s="477" t="str">
        <f>IF(Personalización!Y37=0,"Armadura #1",Personalización!Y37)</f>
        <v>Armadura #1</v>
      </c>
      <c r="E612" s="2352">
        <f>Personalización!W39</f>
        <v>0</v>
      </c>
      <c r="F612" s="2352">
        <f>Personalización!Y39</f>
        <v>0</v>
      </c>
      <c r="G612" s="2352">
        <f>Personalización!AC43</f>
        <v>0</v>
      </c>
      <c r="H612" s="2352">
        <f>Personalización!AC44</f>
        <v>0</v>
      </c>
      <c r="I612" s="2352">
        <f>Personalización!Y44</f>
        <v>0</v>
      </c>
      <c r="J612" s="2352">
        <f>Personalización!Y43</f>
        <v>0</v>
      </c>
      <c r="K612" s="2395">
        <f>Personalización!W41</f>
        <v>0</v>
      </c>
      <c r="L612" s="2352">
        <f>Personalización!X41</f>
        <v>0</v>
      </c>
      <c r="M612" s="2352">
        <f>Personalización!Y41</f>
        <v>0</v>
      </c>
      <c r="N612" s="2352">
        <f>Personalización!Z41</f>
        <v>0</v>
      </c>
      <c r="O612" s="2352">
        <f>Personalización!AA41</f>
        <v>0</v>
      </c>
      <c r="P612" s="2352">
        <f>Personalización!AB41</f>
        <v>0</v>
      </c>
      <c r="Q612" s="454">
        <f>Personalización!AC41</f>
        <v>0</v>
      </c>
      <c r="S612" s="5211" t="s">
        <v>8884</v>
      </c>
      <c r="T612" s="5172"/>
      <c r="U612" s="5172"/>
      <c r="V612" s="5172"/>
      <c r="W612" s="5172"/>
      <c r="X612" s="5172"/>
      <c r="Y612" s="5172"/>
      <c r="Z612" s="5172"/>
      <c r="AA612" s="5172"/>
      <c r="AC612" s="5259" t="s">
        <v>1494</v>
      </c>
      <c r="AD612" s="5259"/>
      <c r="AE612" s="5259"/>
      <c r="AF612" s="5259"/>
      <c r="AG612" s="5259"/>
      <c r="AH612" s="5259"/>
      <c r="AI612" s="5259"/>
    </row>
    <row r="613" spans="1:469" ht="12.75" customHeight="1" thickBot="1" x14ac:dyDescent="0.25">
      <c r="A613" s="1916">
        <v>613</v>
      </c>
      <c r="B613" s="5148"/>
      <c r="C613" s="216"/>
      <c r="D613" s="203" t="str">
        <f>IF(Personalización!AF37=0,"Armadura #2",Personalización!AF37)</f>
        <v>Armadura #2</v>
      </c>
      <c r="E613" s="2352">
        <f>Personalización!AD39</f>
        <v>0</v>
      </c>
      <c r="F613" s="2352">
        <f>Personalización!AF39</f>
        <v>0</v>
      </c>
      <c r="G613" s="2352">
        <f>Personalización!AJ43</f>
        <v>0</v>
      </c>
      <c r="H613" s="2352">
        <f>Personalización!AJ44</f>
        <v>0</v>
      </c>
      <c r="I613" s="2352">
        <f>Personalización!AF44</f>
        <v>0</v>
      </c>
      <c r="J613" s="2352">
        <f>Personalización!AF43</f>
        <v>0</v>
      </c>
      <c r="K613" s="2352">
        <f>Personalización!AD41</f>
        <v>0</v>
      </c>
      <c r="L613" s="2352">
        <f>Personalización!AE41</f>
        <v>0</v>
      </c>
      <c r="M613" s="2352">
        <f>Personalización!AF41</f>
        <v>0</v>
      </c>
      <c r="N613" s="2352">
        <f>Personalización!AG41</f>
        <v>0</v>
      </c>
      <c r="O613" s="2352">
        <f>Personalización!AH41</f>
        <v>0</v>
      </c>
      <c r="P613" s="2352">
        <f>Personalización!AI41</f>
        <v>0</v>
      </c>
      <c r="Q613" s="454">
        <f>Personalización!AJ41</f>
        <v>0</v>
      </c>
      <c r="S613" s="5211"/>
      <c r="T613" s="5172"/>
      <c r="U613" s="5172"/>
      <c r="V613" s="5172"/>
      <c r="W613" s="5172"/>
      <c r="X613" s="5172"/>
      <c r="Y613" s="5172"/>
      <c r="Z613" s="5172"/>
      <c r="AA613" s="5172"/>
      <c r="AC613" s="478" t="s">
        <v>1495</v>
      </c>
      <c r="AD613" s="479" t="s">
        <v>1496</v>
      </c>
      <c r="AE613" s="479" t="s">
        <v>1497</v>
      </c>
      <c r="AF613" s="479" t="s">
        <v>1498</v>
      </c>
      <c r="AG613" s="479" t="s">
        <v>1499</v>
      </c>
      <c r="AH613" s="479" t="s">
        <v>1500</v>
      </c>
      <c r="AI613" s="1759" t="s">
        <v>1501</v>
      </c>
    </row>
    <row r="614" spans="1:469" ht="12.75" customHeight="1" x14ac:dyDescent="0.2">
      <c r="A614" s="1916">
        <v>614</v>
      </c>
      <c r="B614" s="5148"/>
      <c r="C614" s="216"/>
      <c r="D614" s="203" t="s">
        <v>1487</v>
      </c>
      <c r="E614" s="2352">
        <v>0</v>
      </c>
      <c r="F614" s="2352">
        <v>0</v>
      </c>
      <c r="G614" s="2352">
        <v>8</v>
      </c>
      <c r="H614" s="2352">
        <v>15</v>
      </c>
      <c r="I614" s="2352" t="s">
        <v>1875</v>
      </c>
      <c r="J614" s="2352" t="s">
        <v>1451</v>
      </c>
      <c r="K614" s="2352">
        <v>2</v>
      </c>
      <c r="L614" s="2352">
        <v>2</v>
      </c>
      <c r="M614" s="2352">
        <v>1</v>
      </c>
      <c r="N614" s="2352">
        <v>1</v>
      </c>
      <c r="O614" s="2352">
        <v>1</v>
      </c>
      <c r="P614" s="2352">
        <v>1</v>
      </c>
      <c r="Q614" s="454">
        <v>0</v>
      </c>
      <c r="S614" s="5370" t="s">
        <v>9986</v>
      </c>
      <c r="T614" s="5371"/>
      <c r="U614" s="2651" t="str">
        <f>Arma_Desarrollada</f>
        <v>Hacha a dos manos</v>
      </c>
      <c r="V614" s="2649"/>
      <c r="W614" s="2649"/>
      <c r="X614" s="2649"/>
      <c r="Y614" s="2649"/>
      <c r="Z614" s="2649"/>
      <c r="AA614" s="2650"/>
      <c r="AC614" s="480" t="s">
        <v>1893</v>
      </c>
      <c r="AD614" s="386">
        <v>1</v>
      </c>
      <c r="AE614" s="386">
        <v>1</v>
      </c>
      <c r="AF614" s="386">
        <v>0</v>
      </c>
      <c r="AG614" s="386">
        <v>1</v>
      </c>
      <c r="AH614" s="386">
        <v>0</v>
      </c>
      <c r="AI614" s="1760">
        <v>0</v>
      </c>
    </row>
    <row r="615" spans="1:469" ht="12.75" customHeight="1" x14ac:dyDescent="0.2">
      <c r="A615" s="1916">
        <v>615</v>
      </c>
      <c r="B615" s="5148"/>
      <c r="C615" s="216"/>
      <c r="D615" s="203" t="s">
        <v>1488</v>
      </c>
      <c r="E615" s="2352">
        <v>0</v>
      </c>
      <c r="F615" s="2352">
        <v>0</v>
      </c>
      <c r="G615" s="2352">
        <v>10</v>
      </c>
      <c r="H615" s="2352">
        <v>15</v>
      </c>
      <c r="I615" s="2352" t="s">
        <v>1875</v>
      </c>
      <c r="J615" s="2352" t="s">
        <v>1450</v>
      </c>
      <c r="K615" s="2352">
        <v>1</v>
      </c>
      <c r="L615" s="2352">
        <v>0</v>
      </c>
      <c r="M615" s="2352">
        <v>2</v>
      </c>
      <c r="N615" s="2352">
        <v>1</v>
      </c>
      <c r="O615" s="2352">
        <v>3</v>
      </c>
      <c r="P615" s="2352">
        <v>1</v>
      </c>
      <c r="Q615" s="454">
        <v>0</v>
      </c>
      <c r="S615" s="5304" t="s">
        <v>9990</v>
      </c>
      <c r="T615" s="5305"/>
      <c r="U615" s="2651" t="str">
        <f>IF(V615="","",", "&amp;V615)&amp;IF(W615="","",", "&amp;W615)&amp;IF(X615="","",", "&amp;X615)&amp;IF(Y615="","",", "&amp;Y615)&amp;IF(Z615="","",", "&amp;Z615)&amp;IF(AA615="","",", "&amp;AA615)</f>
        <v/>
      </c>
      <c r="V615" s="2649" t="str">
        <f>IF(OR(ISNUMBER(SEARCH("similar",INDEX(Compra_TablasArmas,Tablas!A1,18))),ISNUMBER(SEARCH("mixta",INDEX(Compra_TablasArmas,Tablas!A1,18))),ISNUMBER(SEARCH("distinta",INDEX(Compra_TablasArmas,Tablas!A1,18)))),INDEX(Compra_TablasArmas,Tablas!A1,21),"")</f>
        <v/>
      </c>
      <c r="W615" s="2649" t="str">
        <f>IF(OR(ISNUMBER(SEARCH("similar",INDEX(Compra_TablasArmas,Tablas!B1,18))),ISNUMBER(SEARCH("mixta",INDEX(Compra_TablasArmas,Tablas!B1,18))),ISNUMBER(SEARCH("distinta",INDEX(Compra_TablasArmas,Tablas!B1,18)))),INDEX(Compra_TablasArmas,Tablas!B1,21),"")</f>
        <v/>
      </c>
      <c r="X615" s="2649" t="str">
        <f>IF(OR(ISNUMBER(SEARCH("similar",INDEX(Compra_TablasArmas,Tablas!C1,18))),ISNUMBER(SEARCH("mixta",INDEX(Compra_TablasArmas,Tablas!C1,18))),ISNUMBER(SEARCH("distinta",INDEX(Compra_TablasArmas,Tablas!C1,18)))),INDEX(Compra_TablasArmas,Tablas!C1,21),"")</f>
        <v/>
      </c>
      <c r="Y615" s="2649" t="str">
        <f>IF(OR(ISNUMBER(SEARCH("similar",INDEX(Compra_TablasArmas,Tablas!D1,18))),ISNUMBER(SEARCH("mixta",INDEX(Compra_TablasArmas,Tablas!D1,18))),ISNUMBER(SEARCH("distinta",INDEX(Compra_TablasArmas,Tablas!D1,18)))),INDEX(Compra_TablasArmas,Tablas!D1,21),"")</f>
        <v/>
      </c>
      <c r="Z615" s="2649" t="str">
        <f>IF(OR(ISNUMBER(SEARCH("similar",INDEX(Compra_TablasArmas,Tablas!E1,18))),ISNUMBER(SEARCH("mixta",INDEX(Compra_TablasArmas,Tablas!E1,18))),ISNUMBER(SEARCH("distinta",INDEX(Compra_TablasArmas,Tablas!E1,18)))),INDEX(Compra_TablasArmas,Tablas!E1,21),"")</f>
        <v/>
      </c>
      <c r="AA615" s="2650" t="str">
        <f>IF(OR(ISNUMBER(SEARCH("similar",INDEX(Compra_TablasArmas,Tablas!F1,18))),ISNUMBER(SEARCH("mixta",INDEX(Compra_TablasArmas,Tablas!F1,18))),ISNUMBER(SEARCH("distinta",INDEX(Compra_TablasArmas,Tablas!F1,18)))),INDEX(Compra_TablasArmas,Tablas!F1,21),"")</f>
        <v/>
      </c>
      <c r="AC615" s="186" t="s">
        <v>2305</v>
      </c>
      <c r="AD615" s="213">
        <v>9</v>
      </c>
      <c r="AE615" s="213">
        <v>23</v>
      </c>
      <c r="AF615" s="213">
        <v>2</v>
      </c>
      <c r="AG615" s="213">
        <v>1.5</v>
      </c>
      <c r="AH615" s="213">
        <v>6</v>
      </c>
      <c r="AI615" s="295">
        <v>3</v>
      </c>
    </row>
    <row r="616" spans="1:469" ht="12.75" customHeight="1" thickBot="1" x14ac:dyDescent="0.25">
      <c r="A616" s="1916">
        <v>616</v>
      </c>
      <c r="B616" s="5148"/>
      <c r="C616" s="216"/>
      <c r="D616" s="203" t="s">
        <v>1489</v>
      </c>
      <c r="E616" s="2352">
        <v>0</v>
      </c>
      <c r="F616" s="2352">
        <v>-10</v>
      </c>
      <c r="G616" s="2352">
        <v>13</v>
      </c>
      <c r="H616" s="2352">
        <v>20</v>
      </c>
      <c r="I616" s="2352" t="s">
        <v>1875</v>
      </c>
      <c r="J616" s="2352" t="s">
        <v>1450</v>
      </c>
      <c r="K616" s="2352">
        <v>4</v>
      </c>
      <c r="L616" s="2352">
        <v>2</v>
      </c>
      <c r="M616" s="2352">
        <v>1</v>
      </c>
      <c r="N616" s="2352">
        <v>2</v>
      </c>
      <c r="O616" s="2352">
        <v>0</v>
      </c>
      <c r="P616" s="2352">
        <v>1</v>
      </c>
      <c r="Q616" s="454">
        <v>0</v>
      </c>
      <c r="S616" s="5304" t="s">
        <v>9987</v>
      </c>
      <c r="T616" s="5305"/>
      <c r="U616" s="2651" t="str">
        <f>IF(V616="","",", "&amp;V616)&amp;IF(W616="","",", "&amp;W616)&amp;IF(X616="","",", "&amp;X616)&amp;IF(Y616="","",", "&amp;Y616)&amp;IF(Z616="","",", "&amp;Z616)&amp;IF(AA616="","",", "&amp;AA616)</f>
        <v/>
      </c>
      <c r="V616" s="2649" t="str">
        <f>IF(ISNUMBER(SEARCH("profesión",INDEX(Compra_TablasArmas,Tablas!A1,18))),VLOOKUP(INDEX(Compra_TablasArmas,Tablas!A1,21),Tabla_ArmasArquetípicas,3,FALSE),"")</f>
        <v/>
      </c>
      <c r="W616" s="2649" t="str">
        <f>IF(ISNUMBER(SEARCH("profesión",INDEX(Compra_TablasArmas,Tablas!B1,18))),VLOOKUP(INDEX(Compra_TablasArmas,Tablas!B1,21),Tabla_ArmasArquetípicas,3,FALSE),"")</f>
        <v/>
      </c>
      <c r="X616" s="2649" t="str">
        <f>IF(ISNUMBER(SEARCH("profesión",INDEX(Compra_TablasArmas,Tablas!C1,18))),VLOOKUP(INDEX(Compra_TablasArmas,Tablas!C1,21),Tabla_ArmasArquetípicas,3,FALSE),"")</f>
        <v/>
      </c>
      <c r="Y616" s="2649" t="str">
        <f>IF(ISNUMBER(SEARCH("profesión",INDEX(Compra_TablasArmas,Tablas!D1,18))),VLOOKUP(INDEX(Compra_TablasArmas,Tablas!D1,21),Tabla_ArmasArquetípicas,3,FALSE),"")</f>
        <v/>
      </c>
      <c r="Z616" s="2649" t="str">
        <f>IF(ISNUMBER(SEARCH("profesión",INDEX(Compra_TablasArmas,Tablas!E1,18))),VLOOKUP(INDEX(Compra_TablasArmas,Tablas!E1,21),Tabla_ArmasArquetípicas,3,FALSE),"")</f>
        <v/>
      </c>
      <c r="AA616" s="2650" t="str">
        <f>IF(ISNUMBER(SEARCH("profesión",INDEX(Compra_TablasArmas,Tablas!F1,18))),VLOOKUP(INDEX(Compra_TablasArmas,Tablas!F1,21),Tabla_ArmasArquetípicas,3,FALSE),"")</f>
        <v/>
      </c>
      <c r="AC616" s="427" t="s">
        <v>1502</v>
      </c>
      <c r="AD616" s="384">
        <v>23</v>
      </c>
      <c r="AE616" s="384">
        <v>29</v>
      </c>
      <c r="AF616" s="384">
        <v>5</v>
      </c>
      <c r="AG616" s="384">
        <v>2</v>
      </c>
      <c r="AH616" s="384">
        <v>16</v>
      </c>
      <c r="AI616" s="1752">
        <v>8</v>
      </c>
    </row>
    <row r="617" spans="1:469" ht="12.75" customHeight="1" x14ac:dyDescent="0.2">
      <c r="A617" s="1916">
        <v>617</v>
      </c>
      <c r="B617" s="5148"/>
      <c r="C617" s="216"/>
      <c r="D617" s="203" t="s">
        <v>1490</v>
      </c>
      <c r="E617" s="2352">
        <v>0</v>
      </c>
      <c r="F617" s="2352">
        <v>0</v>
      </c>
      <c r="G617" s="2352">
        <v>12</v>
      </c>
      <c r="H617" s="2352">
        <v>15</v>
      </c>
      <c r="I617" s="2352" t="s">
        <v>1875</v>
      </c>
      <c r="J617" s="2352" t="s">
        <v>1451</v>
      </c>
      <c r="K617" s="2352">
        <v>4</v>
      </c>
      <c r="L617" s="2352">
        <v>4</v>
      </c>
      <c r="M617" s="2352">
        <v>3</v>
      </c>
      <c r="N617" s="2352">
        <v>2</v>
      </c>
      <c r="O617" s="2352">
        <v>0</v>
      </c>
      <c r="P617" s="2352">
        <v>3</v>
      </c>
      <c r="Q617" s="454">
        <v>0</v>
      </c>
      <c r="S617" s="5304" t="s">
        <v>9988</v>
      </c>
      <c r="T617" s="5305"/>
      <c r="U617" s="2651" t="str">
        <f>IF(V617="","",", "&amp;V617)&amp;IF(W617="","",", "&amp;W617)&amp;IF(X617="","",", "&amp;X617)</f>
        <v/>
      </c>
      <c r="V617" s="2649" t="str">
        <f>IF(INDEX(PDs!$E$75:$E$77,Tablas!A1)="","",VLOOKUP(INDEX(PDs!$E$75:$E$77,Tablas!A1),Tabla_AM_Armas,5,FALSE))</f>
        <v/>
      </c>
      <c r="W617" s="2649" t="str">
        <f>IF(INDEX(PDs!$E$75:$E$77,Tablas!B1)="","",VLOOKUP(INDEX(PDs!$E$75:$E$77,Tablas!B1),Tabla_AM_Armas,5,FALSE))</f>
        <v/>
      </c>
      <c r="X617" s="2649" t="str">
        <f>IF(INDEX(PDs!$E$75:$E$77,Tablas!C1)="","",VLOOKUP(INDEX(PDs!$E$75:$E$77,Tablas!C1),Tabla_AM_Armas,5,FALSE))</f>
        <v/>
      </c>
      <c r="Y617" s="2649"/>
      <c r="Z617" s="2649"/>
      <c r="AA617" s="2650"/>
    </row>
    <row r="618" spans="1:469" ht="12.75" customHeight="1" x14ac:dyDescent="0.2">
      <c r="A618" s="1916">
        <v>618</v>
      </c>
      <c r="B618" s="5148"/>
      <c r="C618" s="216"/>
      <c r="D618" s="203" t="s">
        <v>1491</v>
      </c>
      <c r="E618" s="2352">
        <v>0</v>
      </c>
      <c r="F618" s="2352">
        <v>0</v>
      </c>
      <c r="G618" s="2352">
        <v>12</v>
      </c>
      <c r="H618" s="2352">
        <v>15</v>
      </c>
      <c r="I618" s="2352" t="s">
        <v>1875</v>
      </c>
      <c r="J618" s="2352" t="s">
        <v>1451</v>
      </c>
      <c r="K618" s="2352">
        <v>3</v>
      </c>
      <c r="L618" s="2352">
        <v>3</v>
      </c>
      <c r="M618" s="2352">
        <v>3</v>
      </c>
      <c r="N618" s="2352">
        <v>1</v>
      </c>
      <c r="O618" s="2352">
        <v>1</v>
      </c>
      <c r="P618" s="2352">
        <v>2</v>
      </c>
      <c r="Q618" s="454">
        <v>0</v>
      </c>
      <c r="S618" s="5304" t="s">
        <v>9989</v>
      </c>
      <c r="T618" s="5305"/>
      <c r="U618" s="2652" t="str">
        <f>IF(V618="","",", "&amp;V618)&amp;IF(W618="","",", "&amp;W618)&amp;IF(X618="","",", "&amp;X618)&amp;IF(Y618="","",", "&amp;Y618)&amp;IF(Z618="","",", "&amp;Z618)&amp;IF(AA618="","",", "&amp;AA618)</f>
        <v/>
      </c>
      <c r="V618" s="2649" t="str">
        <f>IF(ISNUMBER(SEARCH("tipología",INDEX(Compra_TablasArmas,Tablas!A1,18))),VLOOKUP(INDEX(Compra_TablasArmas,Tablas!A1,21),Tipologías,3,FALSE),"")</f>
        <v/>
      </c>
      <c r="W618" s="2649" t="str">
        <f>IF(ISNUMBER(SEARCH("tipología",INDEX(Compra_TablasArmas,Tablas!B1,18))),VLOOKUP(INDEX(Compra_TablasArmas,Tablas!B1,21),Tipologías,3,FALSE),"")</f>
        <v/>
      </c>
      <c r="X618" s="2649" t="str">
        <f>IF(ISNUMBER(SEARCH("tipología",INDEX(Compra_TablasArmas,Tablas!C1,18))),VLOOKUP(INDEX(Compra_TablasArmas,Tablas!C1,21),Tipologías,3,FALSE),"")</f>
        <v/>
      </c>
      <c r="Y618" s="2649" t="str">
        <f>IF(ISNUMBER(SEARCH("tipología",INDEX(Compra_TablasArmas,Tablas!D1,18))),VLOOKUP(INDEX(Compra_TablasArmas,Tablas!D1,21),Tipologías,3,FALSE),"")</f>
        <v/>
      </c>
      <c r="Z618" s="2649" t="str">
        <f>IF(ISNUMBER(SEARCH("tipología",INDEX(Compra_TablasArmas,Tablas!E1,18))),VLOOKUP(INDEX(Compra_TablasArmas,Tablas!E1,21),Tipologías,3,FALSE),"")</f>
        <v/>
      </c>
      <c r="AA618" s="2650" t="str">
        <f>IF(ISNUMBER(SEARCH("tipología",INDEX(Compra_TablasArmas,Tablas!F1,18))),VLOOKUP(INDEX(Compra_TablasArmas,Tablas!F1,21),Tipologías,3,FALSE),"")</f>
        <v/>
      </c>
    </row>
    <row r="619" spans="1:469" ht="12.75" customHeight="1" thickBot="1" x14ac:dyDescent="0.25">
      <c r="A619" s="1916">
        <v>619</v>
      </c>
      <c r="B619" s="5148"/>
      <c r="C619" s="216"/>
      <c r="D619" s="203" t="s">
        <v>1492</v>
      </c>
      <c r="E619" s="2352">
        <v>5</v>
      </c>
      <c r="F619" s="2352">
        <v>-20</v>
      </c>
      <c r="G619" s="2352">
        <v>16</v>
      </c>
      <c r="H619" s="2352">
        <v>25</v>
      </c>
      <c r="I619" s="2352" t="s">
        <v>1875</v>
      </c>
      <c r="J619" s="2352" t="s">
        <v>1451</v>
      </c>
      <c r="K619" s="2352">
        <v>5</v>
      </c>
      <c r="L619" s="2352">
        <v>4</v>
      </c>
      <c r="M619" s="2352">
        <v>5</v>
      </c>
      <c r="N619" s="2352">
        <v>3</v>
      </c>
      <c r="O619" s="2352">
        <v>0</v>
      </c>
      <c r="P619" s="2352">
        <v>3</v>
      </c>
      <c r="Q619" s="454">
        <v>1</v>
      </c>
      <c r="S619" s="5343" t="s">
        <v>4551</v>
      </c>
      <c r="T619" s="5344"/>
      <c r="U619" s="2653" t="str">
        <f>U614&amp;U615&amp;U616&amp;U617&amp;U618</f>
        <v>Hacha a dos manos</v>
      </c>
      <c r="V619" s="2654"/>
      <c r="W619" s="2654"/>
      <c r="X619" s="2654"/>
      <c r="Y619" s="2654"/>
      <c r="Z619" s="2654"/>
      <c r="AA619" s="2655"/>
    </row>
    <row r="620" spans="1:469" ht="12.75" customHeight="1" thickBot="1" x14ac:dyDescent="0.25">
      <c r="A620" s="1916">
        <v>620</v>
      </c>
      <c r="B620" s="5148"/>
      <c r="C620" s="383"/>
      <c r="D620" s="473" t="s">
        <v>1493</v>
      </c>
      <c r="E620" s="2353">
        <v>10</v>
      </c>
      <c r="F620" s="2353">
        <v>-30</v>
      </c>
      <c r="G620" s="2353">
        <v>16</v>
      </c>
      <c r="H620" s="2353">
        <v>25</v>
      </c>
      <c r="I620" s="2353" t="s">
        <v>1875</v>
      </c>
      <c r="J620" s="2353" t="s">
        <v>1451</v>
      </c>
      <c r="K620" s="2353">
        <v>5</v>
      </c>
      <c r="L620" s="2353">
        <v>5</v>
      </c>
      <c r="M620" s="2353">
        <v>5</v>
      </c>
      <c r="N620" s="2353">
        <v>4</v>
      </c>
      <c r="O620" s="2353">
        <v>0</v>
      </c>
      <c r="P620" s="2353">
        <v>4</v>
      </c>
      <c r="Q620" s="455">
        <v>2</v>
      </c>
    </row>
    <row r="621" spans="1:469" ht="12.75" customHeight="1" x14ac:dyDescent="0.2">
      <c r="A621" s="1916">
        <v>621</v>
      </c>
      <c r="B621" s="5148"/>
    </row>
    <row r="622" spans="1:469" ht="12.75" customHeight="1" x14ac:dyDescent="0.2">
      <c r="A622" s="1916">
        <v>622</v>
      </c>
      <c r="B622" s="5148"/>
      <c r="FN622" s="363" t="str">
        <f t="shared" ref="FN622:HA622" si="69">IF(INDEX(Tabla_ArmasyEscudos,EK$1,9)="Conocida",INDEX(Tabla_ArmasyEscudos,EK$1,8),"")</f>
        <v/>
      </c>
      <c r="FO622" s="363" t="str">
        <f t="shared" si="69"/>
        <v/>
      </c>
      <c r="FP622" s="363" t="str">
        <f t="shared" si="69"/>
        <v/>
      </c>
      <c r="FQ622" s="363" t="str">
        <f t="shared" si="69"/>
        <v/>
      </c>
      <c r="FR622" s="363" t="str">
        <f t="shared" si="69"/>
        <v/>
      </c>
      <c r="FS622" s="363" t="str">
        <f t="shared" si="69"/>
        <v/>
      </c>
      <c r="FT622" s="363" t="str">
        <f t="shared" si="69"/>
        <v/>
      </c>
      <c r="FU622" s="363" t="str">
        <f t="shared" si="69"/>
        <v/>
      </c>
      <c r="FV622" s="363" t="str">
        <f t="shared" si="69"/>
        <v/>
      </c>
      <c r="FW622" s="363" t="str">
        <f t="shared" si="69"/>
        <v/>
      </c>
      <c r="FX622" s="363" t="str">
        <f t="shared" si="69"/>
        <v/>
      </c>
      <c r="FY622" s="363" t="str">
        <f t="shared" si="69"/>
        <v/>
      </c>
      <c r="FZ622" s="363" t="str">
        <f t="shared" si="69"/>
        <v/>
      </c>
      <c r="GA622" s="363" t="str">
        <f t="shared" si="69"/>
        <v/>
      </c>
      <c r="GB622" s="363" t="str">
        <f t="shared" si="69"/>
        <v/>
      </c>
      <c r="GC622" s="363" t="str">
        <f t="shared" si="69"/>
        <v/>
      </c>
      <c r="GD622" s="363" t="str">
        <f t="shared" si="69"/>
        <v/>
      </c>
      <c r="GE622" s="363" t="str">
        <f t="shared" si="69"/>
        <v/>
      </c>
      <c r="GF622" s="363" t="str">
        <f t="shared" si="69"/>
        <v/>
      </c>
      <c r="GG622" s="363" t="str">
        <f t="shared" si="69"/>
        <v/>
      </c>
      <c r="GH622" s="363" t="str">
        <f t="shared" si="69"/>
        <v/>
      </c>
      <c r="GI622" s="363" t="str">
        <f t="shared" si="69"/>
        <v/>
      </c>
      <c r="GJ622" s="363" t="str">
        <f t="shared" si="69"/>
        <v/>
      </c>
      <c r="GK622" s="363" t="str">
        <f t="shared" si="69"/>
        <v/>
      </c>
      <c r="GL622" s="363" t="str">
        <f t="shared" si="69"/>
        <v/>
      </c>
      <c r="GM622" s="363" t="str">
        <f t="shared" si="69"/>
        <v/>
      </c>
      <c r="GN622" s="363" t="e">
        <f t="shared" si="69"/>
        <v>#REF!</v>
      </c>
      <c r="GO622" s="363" t="e">
        <f t="shared" si="69"/>
        <v>#REF!</v>
      </c>
      <c r="GP622" s="363" t="e">
        <f t="shared" si="69"/>
        <v>#REF!</v>
      </c>
      <c r="GQ622" s="363" t="e">
        <f t="shared" si="69"/>
        <v>#REF!</v>
      </c>
      <c r="GR622" s="363" t="e">
        <f t="shared" si="69"/>
        <v>#REF!</v>
      </c>
      <c r="GS622" s="363" t="e">
        <f t="shared" si="69"/>
        <v>#REF!</v>
      </c>
      <c r="GT622" s="363" t="e">
        <f t="shared" si="69"/>
        <v>#REF!</v>
      </c>
      <c r="GU622" s="363" t="e">
        <f t="shared" si="69"/>
        <v>#REF!</v>
      </c>
      <c r="GV622" s="363" t="e">
        <f t="shared" si="69"/>
        <v>#REF!</v>
      </c>
      <c r="GW622" s="363" t="e">
        <f t="shared" si="69"/>
        <v>#REF!</v>
      </c>
      <c r="GX622" s="363" t="e">
        <f t="shared" si="69"/>
        <v>#REF!</v>
      </c>
      <c r="GY622" s="363" t="e">
        <f t="shared" si="69"/>
        <v>#REF!</v>
      </c>
      <c r="GZ622" s="363" t="e">
        <f t="shared" si="69"/>
        <v>#REF!</v>
      </c>
      <c r="HA622" s="363" t="e">
        <f t="shared" si="69"/>
        <v>#REF!</v>
      </c>
      <c r="HB622" s="363" t="e">
        <f t="shared" ref="HB622:JM622" si="70">IF(INDEX(Tabla_ArmasyEscudos,FY$1,9)="Conocida",INDEX(Tabla_ArmasyEscudos,FY$1,8),"")</f>
        <v>#REF!</v>
      </c>
      <c r="HC622" s="363" t="e">
        <f t="shared" si="70"/>
        <v>#REF!</v>
      </c>
      <c r="HD622" s="363" t="e">
        <f t="shared" si="70"/>
        <v>#REF!</v>
      </c>
      <c r="HE622" s="363" t="e">
        <f t="shared" si="70"/>
        <v>#REF!</v>
      </c>
      <c r="HF622" s="363" t="e">
        <f t="shared" si="70"/>
        <v>#REF!</v>
      </c>
      <c r="HG622" s="363" t="e">
        <f t="shared" si="70"/>
        <v>#REF!</v>
      </c>
      <c r="HH622" s="363" t="e">
        <f t="shared" si="70"/>
        <v>#REF!</v>
      </c>
      <c r="HI622" s="363" t="e">
        <f t="shared" si="70"/>
        <v>#REF!</v>
      </c>
      <c r="HJ622" s="363" t="e">
        <f t="shared" si="70"/>
        <v>#REF!</v>
      </c>
      <c r="HK622" s="363" t="e">
        <f t="shared" si="70"/>
        <v>#REF!</v>
      </c>
      <c r="HL622" s="363" t="e">
        <f t="shared" si="70"/>
        <v>#REF!</v>
      </c>
      <c r="HM622" s="363" t="e">
        <f t="shared" si="70"/>
        <v>#REF!</v>
      </c>
      <c r="HN622" s="363" t="e">
        <f t="shared" si="70"/>
        <v>#REF!</v>
      </c>
      <c r="HO622" s="363" t="e">
        <f t="shared" si="70"/>
        <v>#REF!</v>
      </c>
      <c r="HP622" s="363" t="e">
        <f t="shared" si="70"/>
        <v>#REF!</v>
      </c>
      <c r="HQ622" s="363" t="e">
        <f t="shared" si="70"/>
        <v>#REF!</v>
      </c>
      <c r="HR622" s="363" t="e">
        <f t="shared" si="70"/>
        <v>#REF!</v>
      </c>
      <c r="HS622" s="363" t="e">
        <f t="shared" si="70"/>
        <v>#REF!</v>
      </c>
      <c r="HT622" s="363" t="e">
        <f t="shared" si="70"/>
        <v>#REF!</v>
      </c>
      <c r="HU622" s="363" t="e">
        <f t="shared" si="70"/>
        <v>#REF!</v>
      </c>
      <c r="HV622" s="363" t="e">
        <f t="shared" si="70"/>
        <v>#REF!</v>
      </c>
      <c r="HW622" s="363" t="e">
        <f t="shared" si="70"/>
        <v>#REF!</v>
      </c>
      <c r="HX622" s="363" t="e">
        <f t="shared" si="70"/>
        <v>#REF!</v>
      </c>
      <c r="HY622" s="363" t="e">
        <f t="shared" si="70"/>
        <v>#REF!</v>
      </c>
      <c r="HZ622" s="363" t="e">
        <f t="shared" si="70"/>
        <v>#REF!</v>
      </c>
      <c r="IA622" s="363" t="e">
        <f t="shared" si="70"/>
        <v>#REF!</v>
      </c>
      <c r="IB622" s="363" t="e">
        <f t="shared" si="70"/>
        <v>#REF!</v>
      </c>
      <c r="IC622" s="363" t="e">
        <f t="shared" si="70"/>
        <v>#REF!</v>
      </c>
      <c r="ID622" s="363" t="e">
        <f t="shared" si="70"/>
        <v>#REF!</v>
      </c>
      <c r="IE622" s="363" t="e">
        <f t="shared" si="70"/>
        <v>#REF!</v>
      </c>
      <c r="IF622" s="363" t="e">
        <f t="shared" si="70"/>
        <v>#REF!</v>
      </c>
      <c r="IG622" s="363" t="e">
        <f t="shared" si="70"/>
        <v>#REF!</v>
      </c>
      <c r="IH622" s="363" t="e">
        <f t="shared" si="70"/>
        <v>#REF!</v>
      </c>
      <c r="II622" s="363" t="e">
        <f t="shared" si="70"/>
        <v>#REF!</v>
      </c>
      <c r="IJ622" s="363" t="e">
        <f t="shared" si="70"/>
        <v>#REF!</v>
      </c>
      <c r="IK622" s="363" t="e">
        <f t="shared" si="70"/>
        <v>#REF!</v>
      </c>
      <c r="IL622" s="363" t="e">
        <f t="shared" si="70"/>
        <v>#REF!</v>
      </c>
      <c r="IM622" s="363" t="e">
        <f t="shared" si="70"/>
        <v>#REF!</v>
      </c>
      <c r="IN622" s="363" t="e">
        <f t="shared" si="70"/>
        <v>#REF!</v>
      </c>
      <c r="IO622" s="363" t="e">
        <f t="shared" si="70"/>
        <v>#REF!</v>
      </c>
      <c r="IP622" s="363" t="e">
        <f t="shared" si="70"/>
        <v>#REF!</v>
      </c>
      <c r="IQ622" s="363" t="e">
        <f t="shared" si="70"/>
        <v>#REF!</v>
      </c>
      <c r="IR622" s="363" t="e">
        <f t="shared" si="70"/>
        <v>#REF!</v>
      </c>
      <c r="IS622" s="363" t="e">
        <f t="shared" si="70"/>
        <v>#REF!</v>
      </c>
      <c r="IT622" s="363" t="e">
        <f t="shared" si="70"/>
        <v>#REF!</v>
      </c>
      <c r="IU622" s="363" t="e">
        <f t="shared" si="70"/>
        <v>#REF!</v>
      </c>
      <c r="IV622" s="363" t="e">
        <f t="shared" si="70"/>
        <v>#REF!</v>
      </c>
      <c r="IW622" s="363" t="e">
        <f t="shared" si="70"/>
        <v>#REF!</v>
      </c>
      <c r="IX622" s="363" t="e">
        <f t="shared" si="70"/>
        <v>#REF!</v>
      </c>
      <c r="IY622" s="363" t="e">
        <f t="shared" si="70"/>
        <v>#REF!</v>
      </c>
      <c r="IZ622" s="363" t="e">
        <f t="shared" si="70"/>
        <v>#REF!</v>
      </c>
      <c r="JA622" s="363" t="e">
        <f t="shared" si="70"/>
        <v>#REF!</v>
      </c>
      <c r="JB622" s="363" t="e">
        <f t="shared" si="70"/>
        <v>#REF!</v>
      </c>
      <c r="JC622" s="363" t="e">
        <f t="shared" si="70"/>
        <v>#REF!</v>
      </c>
      <c r="JD622" s="363" t="e">
        <f t="shared" si="70"/>
        <v>#REF!</v>
      </c>
      <c r="JE622" s="363" t="e">
        <f t="shared" si="70"/>
        <v>#REF!</v>
      </c>
      <c r="JF622" s="363" t="e">
        <f t="shared" si="70"/>
        <v>#REF!</v>
      </c>
      <c r="JG622" s="363" t="e">
        <f t="shared" si="70"/>
        <v>#REF!</v>
      </c>
      <c r="JH622" s="363" t="e">
        <f t="shared" si="70"/>
        <v>#REF!</v>
      </c>
      <c r="JI622" s="363" t="e">
        <f t="shared" si="70"/>
        <v>#REF!</v>
      </c>
      <c r="JJ622" s="363" t="e">
        <f t="shared" si="70"/>
        <v>#REF!</v>
      </c>
      <c r="JK622" s="363" t="e">
        <f t="shared" si="70"/>
        <v>#REF!</v>
      </c>
      <c r="JL622" s="363" t="e">
        <f t="shared" si="70"/>
        <v>#REF!</v>
      </c>
      <c r="JM622" s="363" t="e">
        <f t="shared" si="70"/>
        <v>#REF!</v>
      </c>
      <c r="JN622" s="363" t="e">
        <f t="shared" ref="JN622:LY622" si="71">IF(INDEX(Tabla_ArmasyEscudos,IK$1,9)="Conocida",INDEX(Tabla_ArmasyEscudos,IK$1,8),"")</f>
        <v>#REF!</v>
      </c>
      <c r="JO622" s="363" t="e">
        <f t="shared" si="71"/>
        <v>#REF!</v>
      </c>
      <c r="JP622" s="363" t="e">
        <f t="shared" si="71"/>
        <v>#REF!</v>
      </c>
      <c r="JQ622" s="363" t="e">
        <f t="shared" si="71"/>
        <v>#REF!</v>
      </c>
      <c r="JR622" s="363" t="e">
        <f t="shared" si="71"/>
        <v>#REF!</v>
      </c>
      <c r="JS622" s="363" t="e">
        <f t="shared" si="71"/>
        <v>#REF!</v>
      </c>
      <c r="JT622" s="363" t="e">
        <f t="shared" si="71"/>
        <v>#REF!</v>
      </c>
      <c r="JU622" s="363" t="e">
        <f t="shared" si="71"/>
        <v>#REF!</v>
      </c>
      <c r="JV622" s="363" t="e">
        <f t="shared" si="71"/>
        <v>#REF!</v>
      </c>
      <c r="JW622" s="363" t="e">
        <f t="shared" si="71"/>
        <v>#REF!</v>
      </c>
      <c r="JX622" s="363" t="e">
        <f t="shared" si="71"/>
        <v>#REF!</v>
      </c>
      <c r="JY622" s="363" t="e">
        <f t="shared" si="71"/>
        <v>#REF!</v>
      </c>
      <c r="JZ622" s="363" t="e">
        <f t="shared" si="71"/>
        <v>#REF!</v>
      </c>
      <c r="KA622" s="363" t="e">
        <f t="shared" si="71"/>
        <v>#REF!</v>
      </c>
      <c r="KB622" s="363" t="e">
        <f t="shared" si="71"/>
        <v>#REF!</v>
      </c>
      <c r="KC622" s="363" t="e">
        <f t="shared" si="71"/>
        <v>#REF!</v>
      </c>
      <c r="KD622" s="363" t="e">
        <f t="shared" si="71"/>
        <v>#REF!</v>
      </c>
      <c r="KE622" s="363" t="e">
        <f t="shared" si="71"/>
        <v>#REF!</v>
      </c>
      <c r="KF622" s="363" t="e">
        <f t="shared" si="71"/>
        <v>#REF!</v>
      </c>
      <c r="KG622" s="363" t="e">
        <f t="shared" si="71"/>
        <v>#VALUE!</v>
      </c>
      <c r="KH622" s="363" t="e">
        <f t="shared" si="71"/>
        <v>#VALUE!</v>
      </c>
      <c r="KI622" s="363" t="e">
        <f t="shared" si="71"/>
        <v>#VALUE!</v>
      </c>
      <c r="KJ622" s="363" t="e">
        <f t="shared" si="71"/>
        <v>#VALUE!</v>
      </c>
      <c r="KK622" s="363" t="e">
        <f t="shared" si="71"/>
        <v>#VALUE!</v>
      </c>
      <c r="KL622" s="363" t="e">
        <f t="shared" si="71"/>
        <v>#VALUE!</v>
      </c>
      <c r="KM622" s="363" t="e">
        <f t="shared" si="71"/>
        <v>#VALUE!</v>
      </c>
      <c r="KN622" s="363" t="e">
        <f t="shared" si="71"/>
        <v>#VALUE!</v>
      </c>
      <c r="KO622" s="363" t="e">
        <f t="shared" si="71"/>
        <v>#VALUE!</v>
      </c>
      <c r="KP622" s="363" t="e">
        <f t="shared" si="71"/>
        <v>#VALUE!</v>
      </c>
      <c r="KQ622" s="363" t="e">
        <f t="shared" si="71"/>
        <v>#VALUE!</v>
      </c>
      <c r="KR622" s="363" t="e">
        <f t="shared" si="71"/>
        <v>#VALUE!</v>
      </c>
      <c r="KS622" s="363" t="e">
        <f t="shared" si="71"/>
        <v>#VALUE!</v>
      </c>
      <c r="KT622" s="363" t="e">
        <f t="shared" si="71"/>
        <v>#VALUE!</v>
      </c>
      <c r="KU622" s="363" t="e">
        <f t="shared" si="71"/>
        <v>#VALUE!</v>
      </c>
      <c r="KV622" s="363" t="e">
        <f t="shared" si="71"/>
        <v>#VALUE!</v>
      </c>
      <c r="KW622" s="363" t="e">
        <f t="shared" si="71"/>
        <v>#VALUE!</v>
      </c>
      <c r="KX622" s="363" t="e">
        <f t="shared" si="71"/>
        <v>#VALUE!</v>
      </c>
      <c r="KY622" s="363" t="e">
        <f t="shared" si="71"/>
        <v>#VALUE!</v>
      </c>
      <c r="KZ622" s="363" t="e">
        <f t="shared" si="71"/>
        <v>#VALUE!</v>
      </c>
      <c r="LA622" s="363" t="e">
        <f t="shared" si="71"/>
        <v>#VALUE!</v>
      </c>
      <c r="LB622" s="363" t="e">
        <f t="shared" si="71"/>
        <v>#VALUE!</v>
      </c>
      <c r="LC622" s="363" t="e">
        <f t="shared" si="71"/>
        <v>#VALUE!</v>
      </c>
      <c r="LD622" s="363" t="e">
        <f t="shared" si="71"/>
        <v>#VALUE!</v>
      </c>
      <c r="LE622" s="363" t="e">
        <f t="shared" si="71"/>
        <v>#VALUE!</v>
      </c>
      <c r="LF622" s="363" t="e">
        <f t="shared" si="71"/>
        <v>#VALUE!</v>
      </c>
      <c r="LG622" s="363" t="e">
        <f t="shared" si="71"/>
        <v>#VALUE!</v>
      </c>
      <c r="LH622" s="363" t="e">
        <f t="shared" si="71"/>
        <v>#VALUE!</v>
      </c>
      <c r="LI622" s="363" t="e">
        <f t="shared" si="71"/>
        <v>#VALUE!</v>
      </c>
      <c r="LJ622" s="363" t="e">
        <f t="shared" si="71"/>
        <v>#VALUE!</v>
      </c>
      <c r="LK622" s="363" t="e">
        <f t="shared" si="71"/>
        <v>#VALUE!</v>
      </c>
      <c r="LL622" s="363" t="e">
        <f t="shared" si="71"/>
        <v>#VALUE!</v>
      </c>
      <c r="LM622" s="363" t="e">
        <f t="shared" si="71"/>
        <v>#VALUE!</v>
      </c>
      <c r="LN622" s="363" t="e">
        <f t="shared" si="71"/>
        <v>#VALUE!</v>
      </c>
      <c r="LO622" s="363" t="e">
        <f t="shared" si="71"/>
        <v>#VALUE!</v>
      </c>
      <c r="LP622" s="363" t="e">
        <f t="shared" si="71"/>
        <v>#VALUE!</v>
      </c>
      <c r="LQ622" s="363" t="e">
        <f t="shared" si="71"/>
        <v>#VALUE!</v>
      </c>
      <c r="LR622" s="363" t="e">
        <f t="shared" si="71"/>
        <v>#VALUE!</v>
      </c>
      <c r="LS622" s="363" t="e">
        <f t="shared" si="71"/>
        <v>#VALUE!</v>
      </c>
      <c r="LT622" s="363" t="e">
        <f t="shared" si="71"/>
        <v>#VALUE!</v>
      </c>
      <c r="LU622" s="363" t="e">
        <f t="shared" si="71"/>
        <v>#VALUE!</v>
      </c>
      <c r="LV622" s="363" t="e">
        <f t="shared" si="71"/>
        <v>#VALUE!</v>
      </c>
      <c r="LW622" s="363" t="e">
        <f t="shared" si="71"/>
        <v>#VALUE!</v>
      </c>
      <c r="LX622" s="363" t="e">
        <f t="shared" si="71"/>
        <v>#VALUE!</v>
      </c>
      <c r="LY622" s="363" t="e">
        <f t="shared" si="71"/>
        <v>#VALUE!</v>
      </c>
      <c r="LZ622" s="363" t="e">
        <f t="shared" ref="LZ622:OK622" si="72">IF(INDEX(Tabla_ArmasyEscudos,KW$1,9)="Conocida",INDEX(Tabla_ArmasyEscudos,KW$1,8),"")</f>
        <v>#VALUE!</v>
      </c>
      <c r="MA622" s="363" t="e">
        <f t="shared" si="72"/>
        <v>#VALUE!</v>
      </c>
      <c r="MB622" s="363" t="e">
        <f t="shared" si="72"/>
        <v>#VALUE!</v>
      </c>
      <c r="MC622" s="363" t="e">
        <f t="shared" si="72"/>
        <v>#VALUE!</v>
      </c>
      <c r="MD622" s="363" t="e">
        <f t="shared" si="72"/>
        <v>#VALUE!</v>
      </c>
      <c r="ME622" s="363" t="e">
        <f t="shared" si="72"/>
        <v>#VALUE!</v>
      </c>
      <c r="MF622" s="363" t="e">
        <f t="shared" si="72"/>
        <v>#VALUE!</v>
      </c>
      <c r="MG622" s="363" t="e">
        <f t="shared" si="72"/>
        <v>#VALUE!</v>
      </c>
      <c r="MH622" s="363" t="e">
        <f t="shared" si="72"/>
        <v>#VALUE!</v>
      </c>
      <c r="MI622" s="363" t="e">
        <f t="shared" si="72"/>
        <v>#VALUE!</v>
      </c>
      <c r="MJ622" s="363" t="e">
        <f t="shared" si="72"/>
        <v>#VALUE!</v>
      </c>
      <c r="MK622" s="363" t="e">
        <f t="shared" si="72"/>
        <v>#VALUE!</v>
      </c>
      <c r="ML622" s="363" t="e">
        <f t="shared" si="72"/>
        <v>#VALUE!</v>
      </c>
      <c r="MM622" s="363" t="e">
        <f t="shared" si="72"/>
        <v>#VALUE!</v>
      </c>
      <c r="MN622" s="363" t="e">
        <f t="shared" si="72"/>
        <v>#VALUE!</v>
      </c>
      <c r="MO622" s="363" t="e">
        <f t="shared" si="72"/>
        <v>#VALUE!</v>
      </c>
      <c r="MP622" s="363" t="e">
        <f t="shared" si="72"/>
        <v>#VALUE!</v>
      </c>
      <c r="MQ622" s="363" t="e">
        <f t="shared" si="72"/>
        <v>#VALUE!</v>
      </c>
      <c r="MR622" s="363" t="e">
        <f t="shared" si="72"/>
        <v>#VALUE!</v>
      </c>
      <c r="MS622" s="363" t="e">
        <f t="shared" si="72"/>
        <v>#VALUE!</v>
      </c>
      <c r="MT622" s="363" t="e">
        <f t="shared" si="72"/>
        <v>#VALUE!</v>
      </c>
      <c r="MU622" s="363" t="e">
        <f t="shared" si="72"/>
        <v>#VALUE!</v>
      </c>
      <c r="MV622" s="363" t="e">
        <f t="shared" si="72"/>
        <v>#VALUE!</v>
      </c>
      <c r="MW622" s="363" t="e">
        <f t="shared" si="72"/>
        <v>#VALUE!</v>
      </c>
      <c r="MX622" s="363" t="e">
        <f t="shared" si="72"/>
        <v>#VALUE!</v>
      </c>
      <c r="MY622" s="363" t="e">
        <f t="shared" si="72"/>
        <v>#VALUE!</v>
      </c>
      <c r="MZ622" s="363" t="e">
        <f t="shared" si="72"/>
        <v>#VALUE!</v>
      </c>
      <c r="NA622" s="363" t="e">
        <f t="shared" si="72"/>
        <v>#VALUE!</v>
      </c>
      <c r="NB622" s="363" t="e">
        <f t="shared" si="72"/>
        <v>#VALUE!</v>
      </c>
      <c r="NC622" s="363" t="e">
        <f t="shared" si="72"/>
        <v>#VALUE!</v>
      </c>
      <c r="ND622" s="363" t="e">
        <f t="shared" si="72"/>
        <v>#VALUE!</v>
      </c>
      <c r="NE622" s="363" t="e">
        <f t="shared" si="72"/>
        <v>#VALUE!</v>
      </c>
      <c r="NF622" s="363" t="e">
        <f t="shared" si="72"/>
        <v>#VALUE!</v>
      </c>
      <c r="NG622" s="363" t="e">
        <f t="shared" si="72"/>
        <v>#VALUE!</v>
      </c>
      <c r="NH622" s="363" t="e">
        <f t="shared" si="72"/>
        <v>#VALUE!</v>
      </c>
      <c r="NI622" s="363" t="e">
        <f t="shared" si="72"/>
        <v>#VALUE!</v>
      </c>
      <c r="NJ622" s="363" t="e">
        <f t="shared" si="72"/>
        <v>#VALUE!</v>
      </c>
      <c r="NK622" s="363" t="e">
        <f t="shared" si="72"/>
        <v>#VALUE!</v>
      </c>
      <c r="NL622" s="363" t="e">
        <f t="shared" si="72"/>
        <v>#VALUE!</v>
      </c>
      <c r="NM622" s="363" t="e">
        <f t="shared" si="72"/>
        <v>#VALUE!</v>
      </c>
      <c r="NN622" s="363" t="e">
        <f t="shared" si="72"/>
        <v>#VALUE!</v>
      </c>
      <c r="NO622" s="363" t="e">
        <f t="shared" si="72"/>
        <v>#VALUE!</v>
      </c>
      <c r="NP622" s="363" t="e">
        <f t="shared" si="72"/>
        <v>#VALUE!</v>
      </c>
      <c r="NQ622" s="363" t="e">
        <f t="shared" si="72"/>
        <v>#VALUE!</v>
      </c>
      <c r="NR622" s="363" t="e">
        <f t="shared" si="72"/>
        <v>#VALUE!</v>
      </c>
      <c r="NS622" s="363" t="e">
        <f t="shared" si="72"/>
        <v>#VALUE!</v>
      </c>
      <c r="NT622" s="363" t="e">
        <f t="shared" si="72"/>
        <v>#VALUE!</v>
      </c>
      <c r="NU622" s="363" t="e">
        <f t="shared" si="72"/>
        <v>#VALUE!</v>
      </c>
      <c r="NV622" s="363" t="e">
        <f t="shared" si="72"/>
        <v>#VALUE!</v>
      </c>
      <c r="NW622" s="363" t="e">
        <f t="shared" si="72"/>
        <v>#VALUE!</v>
      </c>
      <c r="NX622" s="363" t="e">
        <f t="shared" si="72"/>
        <v>#VALUE!</v>
      </c>
      <c r="NY622" s="363" t="e">
        <f t="shared" si="72"/>
        <v>#VALUE!</v>
      </c>
      <c r="NZ622" s="363" t="e">
        <f t="shared" si="72"/>
        <v>#VALUE!</v>
      </c>
      <c r="OA622" s="363" t="e">
        <f t="shared" si="72"/>
        <v>#VALUE!</v>
      </c>
      <c r="OB622" s="363" t="e">
        <f t="shared" si="72"/>
        <v>#VALUE!</v>
      </c>
      <c r="OC622" s="363" t="e">
        <f t="shared" si="72"/>
        <v>#VALUE!</v>
      </c>
      <c r="OD622" s="363" t="e">
        <f t="shared" si="72"/>
        <v>#VALUE!</v>
      </c>
      <c r="OE622" s="363" t="e">
        <f t="shared" si="72"/>
        <v>#VALUE!</v>
      </c>
      <c r="OF622" s="363" t="e">
        <f t="shared" si="72"/>
        <v>#VALUE!</v>
      </c>
      <c r="OG622" s="363" t="e">
        <f t="shared" si="72"/>
        <v>#VALUE!</v>
      </c>
      <c r="OH622" s="363" t="e">
        <f t="shared" si="72"/>
        <v>#VALUE!</v>
      </c>
      <c r="OI622" s="363" t="e">
        <f t="shared" si="72"/>
        <v>#VALUE!</v>
      </c>
      <c r="OJ622" s="363" t="e">
        <f t="shared" si="72"/>
        <v>#VALUE!</v>
      </c>
      <c r="OK622" s="363" t="e">
        <f t="shared" si="72"/>
        <v>#VALUE!</v>
      </c>
      <c r="OL622" s="363" t="e">
        <f t="shared" ref="OL622:QW622" si="73">IF(INDEX(Tabla_ArmasyEscudos,NI$1,9)="Conocida",INDEX(Tabla_ArmasyEscudos,NI$1,8),"")</f>
        <v>#VALUE!</v>
      </c>
      <c r="OM622" s="363" t="e">
        <f t="shared" si="73"/>
        <v>#VALUE!</v>
      </c>
      <c r="ON622" s="363" t="e">
        <f t="shared" si="73"/>
        <v>#VALUE!</v>
      </c>
      <c r="OO622" s="363" t="e">
        <f t="shared" si="73"/>
        <v>#VALUE!</v>
      </c>
      <c r="OP622" s="363" t="e">
        <f t="shared" si="73"/>
        <v>#VALUE!</v>
      </c>
      <c r="OQ622" s="363" t="e">
        <f t="shared" si="73"/>
        <v>#VALUE!</v>
      </c>
      <c r="OR622" s="363" t="e">
        <f t="shared" si="73"/>
        <v>#VALUE!</v>
      </c>
      <c r="OS622" s="363" t="e">
        <f t="shared" si="73"/>
        <v>#VALUE!</v>
      </c>
      <c r="OT622" s="363" t="e">
        <f t="shared" si="73"/>
        <v>#VALUE!</v>
      </c>
      <c r="OU622" s="363" t="e">
        <f t="shared" si="73"/>
        <v>#VALUE!</v>
      </c>
      <c r="OV622" s="363" t="e">
        <f t="shared" si="73"/>
        <v>#VALUE!</v>
      </c>
      <c r="OW622" s="363" t="e">
        <f t="shared" si="73"/>
        <v>#VALUE!</v>
      </c>
      <c r="OX622" s="363" t="e">
        <f t="shared" si="73"/>
        <v>#VALUE!</v>
      </c>
      <c r="OY622" s="363" t="e">
        <f t="shared" si="73"/>
        <v>#VALUE!</v>
      </c>
      <c r="OZ622" s="363" t="e">
        <f t="shared" si="73"/>
        <v>#VALUE!</v>
      </c>
      <c r="PA622" s="363" t="e">
        <f t="shared" si="73"/>
        <v>#VALUE!</v>
      </c>
      <c r="PB622" s="363" t="e">
        <f t="shared" si="73"/>
        <v>#VALUE!</v>
      </c>
      <c r="PC622" s="363" t="e">
        <f t="shared" si="73"/>
        <v>#VALUE!</v>
      </c>
      <c r="PD622" s="363" t="e">
        <f t="shared" si="73"/>
        <v>#VALUE!</v>
      </c>
      <c r="PE622" s="363" t="e">
        <f t="shared" si="73"/>
        <v>#VALUE!</v>
      </c>
      <c r="PF622" s="363" t="e">
        <f t="shared" si="73"/>
        <v>#VALUE!</v>
      </c>
      <c r="PG622" s="363" t="e">
        <f t="shared" si="73"/>
        <v>#VALUE!</v>
      </c>
      <c r="PH622" s="363" t="e">
        <f t="shared" si="73"/>
        <v>#VALUE!</v>
      </c>
      <c r="PI622" s="363" t="e">
        <f t="shared" si="73"/>
        <v>#VALUE!</v>
      </c>
      <c r="PJ622" s="363" t="e">
        <f t="shared" si="73"/>
        <v>#VALUE!</v>
      </c>
      <c r="PK622" s="363" t="e">
        <f t="shared" si="73"/>
        <v>#VALUE!</v>
      </c>
      <c r="PL622" s="363" t="e">
        <f t="shared" si="73"/>
        <v>#VALUE!</v>
      </c>
      <c r="PM622" s="363" t="e">
        <f t="shared" si="73"/>
        <v>#VALUE!</v>
      </c>
      <c r="PN622" s="363" t="e">
        <f t="shared" si="73"/>
        <v>#VALUE!</v>
      </c>
      <c r="PO622" s="363" t="e">
        <f t="shared" si="73"/>
        <v>#VALUE!</v>
      </c>
      <c r="PP622" s="363" t="e">
        <f t="shared" si="73"/>
        <v>#VALUE!</v>
      </c>
      <c r="PQ622" s="363" t="e">
        <f t="shared" si="73"/>
        <v>#VALUE!</v>
      </c>
      <c r="PR622" s="363" t="e">
        <f t="shared" si="73"/>
        <v>#VALUE!</v>
      </c>
      <c r="PS622" s="363" t="e">
        <f t="shared" si="73"/>
        <v>#VALUE!</v>
      </c>
      <c r="PT622" s="363" t="e">
        <f t="shared" si="73"/>
        <v>#VALUE!</v>
      </c>
      <c r="PU622" s="363" t="e">
        <f t="shared" si="73"/>
        <v>#VALUE!</v>
      </c>
      <c r="PV622" s="363" t="e">
        <f t="shared" si="73"/>
        <v>#VALUE!</v>
      </c>
      <c r="PW622" s="363" t="e">
        <f t="shared" si="73"/>
        <v>#VALUE!</v>
      </c>
      <c r="PX622" s="363" t="e">
        <f t="shared" si="73"/>
        <v>#VALUE!</v>
      </c>
      <c r="PY622" s="363" t="e">
        <f t="shared" si="73"/>
        <v>#VALUE!</v>
      </c>
      <c r="PZ622" s="363" t="e">
        <f t="shared" si="73"/>
        <v>#VALUE!</v>
      </c>
      <c r="QA622" s="363" t="e">
        <f t="shared" si="73"/>
        <v>#VALUE!</v>
      </c>
      <c r="QB622" s="363" t="e">
        <f t="shared" si="73"/>
        <v>#VALUE!</v>
      </c>
      <c r="QC622" s="363" t="e">
        <f t="shared" si="73"/>
        <v>#VALUE!</v>
      </c>
      <c r="QD622" s="363" t="e">
        <f t="shared" si="73"/>
        <v>#VALUE!</v>
      </c>
      <c r="QE622" s="363" t="e">
        <f t="shared" si="73"/>
        <v>#VALUE!</v>
      </c>
      <c r="QF622" s="363" t="e">
        <f t="shared" si="73"/>
        <v>#VALUE!</v>
      </c>
      <c r="QG622" s="363" t="e">
        <f t="shared" si="73"/>
        <v>#VALUE!</v>
      </c>
      <c r="QH622" s="363" t="e">
        <f t="shared" si="73"/>
        <v>#VALUE!</v>
      </c>
      <c r="QI622" s="363" t="e">
        <f t="shared" si="73"/>
        <v>#VALUE!</v>
      </c>
      <c r="QJ622" s="363" t="e">
        <f t="shared" si="73"/>
        <v>#VALUE!</v>
      </c>
      <c r="QK622" s="363" t="e">
        <f t="shared" si="73"/>
        <v>#VALUE!</v>
      </c>
      <c r="QL622" s="363" t="e">
        <f t="shared" si="73"/>
        <v>#VALUE!</v>
      </c>
      <c r="QM622" s="363" t="e">
        <f t="shared" si="73"/>
        <v>#VALUE!</v>
      </c>
      <c r="QN622" s="363" t="e">
        <f t="shared" si="73"/>
        <v>#VALUE!</v>
      </c>
      <c r="QO622" s="363" t="e">
        <f t="shared" si="73"/>
        <v>#VALUE!</v>
      </c>
      <c r="QP622" s="363" t="e">
        <f t="shared" si="73"/>
        <v>#VALUE!</v>
      </c>
      <c r="QQ622" s="363" t="e">
        <f t="shared" si="73"/>
        <v>#VALUE!</v>
      </c>
      <c r="QR622" s="363" t="e">
        <f t="shared" si="73"/>
        <v>#VALUE!</v>
      </c>
      <c r="QS622" s="363" t="e">
        <f t="shared" si="73"/>
        <v>#VALUE!</v>
      </c>
      <c r="QT622" s="363" t="e">
        <f t="shared" si="73"/>
        <v>#VALUE!</v>
      </c>
      <c r="QU622" s="363" t="e">
        <f t="shared" si="73"/>
        <v>#VALUE!</v>
      </c>
      <c r="QV622" s="363" t="e">
        <f t="shared" si="73"/>
        <v>#VALUE!</v>
      </c>
      <c r="QW622" s="363" t="e">
        <f t="shared" si="73"/>
        <v>#VALUE!</v>
      </c>
      <c r="QX622" s="363" t="e">
        <f t="shared" ref="QX622:RA622" si="74">IF(INDEX(Tabla_ArmasyEscudos,PU$1,9)="Conocida",INDEX(Tabla_ArmasyEscudos,PU$1,8),"")</f>
        <v>#VALUE!</v>
      </c>
      <c r="QY622" s="363" t="e">
        <f t="shared" si="74"/>
        <v>#VALUE!</v>
      </c>
      <c r="QZ622" s="363" t="e">
        <f t="shared" si="74"/>
        <v>#VALUE!</v>
      </c>
      <c r="RA622" s="363" t="e">
        <f t="shared" si="74"/>
        <v>#VALUE!</v>
      </c>
    </row>
    <row r="623" spans="1:469" ht="12.75" customHeight="1" x14ac:dyDescent="0.2">
      <c r="A623" s="1916">
        <v>623</v>
      </c>
      <c r="B623" s="5148"/>
    </row>
    <row r="624" spans="1:469" ht="12.75" customHeight="1" x14ac:dyDescent="0.2">
      <c r="A624" s="1916">
        <v>624</v>
      </c>
      <c r="B624" s="5148"/>
    </row>
    <row r="625" spans="1:38" ht="12.75" customHeight="1" thickBot="1" x14ac:dyDescent="0.25">
      <c r="A625" s="1916">
        <v>625</v>
      </c>
      <c r="B625" s="5148"/>
      <c r="AG625" s="5355" t="s">
        <v>10065</v>
      </c>
      <c r="AH625" s="5356"/>
      <c r="AI625" s="5356"/>
      <c r="AJ625" s="5356"/>
      <c r="AK625" s="5356"/>
      <c r="AL625" s="5357"/>
    </row>
    <row r="626" spans="1:38" ht="12.75" customHeight="1" thickBot="1" x14ac:dyDescent="0.25">
      <c r="A626" s="1916">
        <v>626</v>
      </c>
      <c r="B626" s="5148"/>
      <c r="C626" s="5347" t="s">
        <v>2454</v>
      </c>
      <c r="D626" s="5348"/>
      <c r="E626" s="5348"/>
      <c r="F626" s="5348"/>
      <c r="G626" s="5348"/>
      <c r="H626" s="5348"/>
      <c r="I626" s="5348"/>
      <c r="J626" s="5348"/>
      <c r="K626" s="5348"/>
      <c r="L626" s="5348"/>
      <c r="M626" s="5348"/>
      <c r="N626" s="5348"/>
      <c r="O626" s="5348"/>
      <c r="P626" s="5348"/>
      <c r="Q626" s="5348"/>
      <c r="R626" s="5348"/>
      <c r="S626" s="5348"/>
      <c r="T626" s="5348"/>
      <c r="U626" s="5348"/>
      <c r="V626" s="5348"/>
      <c r="W626" s="5348"/>
      <c r="X626" s="5349"/>
      <c r="AB626" s="363"/>
      <c r="AC626" s="2563"/>
      <c r="AG626" s="4070" t="s">
        <v>10063</v>
      </c>
      <c r="AH626" s="4071"/>
      <c r="AI626" s="4071"/>
      <c r="AJ626" s="4071"/>
      <c r="AK626" s="4071"/>
      <c r="AL626" s="5353"/>
    </row>
    <row r="627" spans="1:38" ht="12.75" customHeight="1" thickBot="1" x14ac:dyDescent="0.25">
      <c r="A627" s="1916">
        <v>627</v>
      </c>
      <c r="B627" s="5148"/>
      <c r="C627" s="5350"/>
      <c r="D627" s="5351"/>
      <c r="E627" s="5351"/>
      <c r="F627" s="5351"/>
      <c r="G627" s="5351"/>
      <c r="H627" s="5351"/>
      <c r="I627" s="5351"/>
      <c r="J627" s="5351"/>
      <c r="K627" s="5351"/>
      <c r="L627" s="5351"/>
      <c r="M627" s="5351"/>
      <c r="N627" s="5351"/>
      <c r="O627" s="5351"/>
      <c r="P627" s="5351"/>
      <c r="Q627" s="5351"/>
      <c r="R627" s="5351"/>
      <c r="S627" s="5351"/>
      <c r="T627" s="5351"/>
      <c r="U627" s="5351"/>
      <c r="V627" s="5351"/>
      <c r="W627" s="5351"/>
      <c r="X627" s="5352"/>
      <c r="Z627" s="5235" t="s">
        <v>8854</v>
      </c>
      <c r="AB627" s="363"/>
      <c r="AC627" s="2563"/>
      <c r="AG627" s="2896" t="s">
        <v>1513</v>
      </c>
      <c r="AH627" s="2897" t="s">
        <v>1512</v>
      </c>
      <c r="AI627" s="1946" t="s">
        <v>1511</v>
      </c>
      <c r="AJ627" s="2897" t="s">
        <v>1513</v>
      </c>
      <c r="AK627" s="2897" t="s">
        <v>1512</v>
      </c>
      <c r="AL627" s="1946" t="s">
        <v>1511</v>
      </c>
    </row>
    <row r="628" spans="1:38" ht="12.75" customHeight="1" x14ac:dyDescent="0.2">
      <c r="A628" s="1916">
        <v>628</v>
      </c>
      <c r="B628" s="5148"/>
      <c r="C628" s="2695"/>
      <c r="D628" s="2391">
        <v>1</v>
      </c>
      <c r="E628" s="2391">
        <v>2</v>
      </c>
      <c r="F628" s="2391">
        <v>3</v>
      </c>
      <c r="G628" s="2391">
        <v>4</v>
      </c>
      <c r="H628" s="2391">
        <v>5</v>
      </c>
      <c r="I628" s="2391">
        <v>6</v>
      </c>
      <c r="J628" s="2391">
        <v>7</v>
      </c>
      <c r="K628" s="2391">
        <v>8</v>
      </c>
      <c r="L628" s="2391">
        <v>9</v>
      </c>
      <c r="M628" s="2391">
        <v>10</v>
      </c>
      <c r="N628" s="2391">
        <v>11</v>
      </c>
      <c r="O628" s="2391">
        <v>12</v>
      </c>
      <c r="P628" s="2391">
        <v>13</v>
      </c>
      <c r="Q628" s="2391">
        <v>14</v>
      </c>
      <c r="R628" s="2391">
        <v>15</v>
      </c>
      <c r="S628" s="2391">
        <v>16</v>
      </c>
      <c r="T628" s="2391">
        <v>17</v>
      </c>
      <c r="U628" s="2391">
        <v>18</v>
      </c>
      <c r="V628" s="2391">
        <v>19</v>
      </c>
      <c r="W628" s="2391">
        <v>20</v>
      </c>
      <c r="X628" s="2696">
        <v>21</v>
      </c>
      <c r="Z628" s="5236"/>
      <c r="AB628" s="4252" t="s">
        <v>1506</v>
      </c>
      <c r="AC628" s="4093"/>
      <c r="AD628" s="4093"/>
      <c r="AE628" s="4248"/>
      <c r="AG628" s="2896" t="s">
        <v>10062</v>
      </c>
      <c r="AH628" s="2897" t="s">
        <v>10062</v>
      </c>
      <c r="AI628" s="2897" t="s">
        <v>10062</v>
      </c>
      <c r="AJ628" s="2897" t="s">
        <v>3064</v>
      </c>
      <c r="AK628" s="2897" t="s">
        <v>3064</v>
      </c>
      <c r="AL628" s="1946" t="s">
        <v>3064</v>
      </c>
    </row>
    <row r="629" spans="1:38" ht="12.75" customHeight="1" thickBot="1" x14ac:dyDescent="0.25">
      <c r="A629" s="1916">
        <v>629</v>
      </c>
      <c r="B629" s="5148"/>
      <c r="C629" s="2697"/>
      <c r="D629" s="2077" t="s">
        <v>1725</v>
      </c>
      <c r="E629" s="2077" t="s">
        <v>1882</v>
      </c>
      <c r="F629" s="2077" t="s">
        <v>1702</v>
      </c>
      <c r="G629" s="2077" t="s">
        <v>2455</v>
      </c>
      <c r="H629" s="2077" t="s">
        <v>2456</v>
      </c>
      <c r="I629" s="2077" t="s">
        <v>2457</v>
      </c>
      <c r="J629" s="2077" t="s">
        <v>2458</v>
      </c>
      <c r="K629" s="2077" t="s">
        <v>2459</v>
      </c>
      <c r="L629" s="2077" t="s">
        <v>8908</v>
      </c>
      <c r="M629" s="2077" t="s">
        <v>2301</v>
      </c>
      <c r="N629" s="2077" t="s">
        <v>1886</v>
      </c>
      <c r="O629" s="2077" t="s">
        <v>2460</v>
      </c>
      <c r="P629" s="2077" t="s">
        <v>2461</v>
      </c>
      <c r="Q629" s="2077" t="s">
        <v>2462</v>
      </c>
      <c r="R629" s="2077" t="s">
        <v>2463</v>
      </c>
      <c r="S629" s="2077" t="s">
        <v>2464</v>
      </c>
      <c r="T629" s="2077" t="s">
        <v>2465</v>
      </c>
      <c r="U629" s="2077" t="s">
        <v>2466</v>
      </c>
      <c r="V629" s="2422" t="s">
        <v>1788</v>
      </c>
      <c r="W629" s="2422"/>
      <c r="X629" s="2698"/>
      <c r="Y629" s="2407"/>
      <c r="Z629" s="2555"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Hacha/Mandoble</v>
      </c>
      <c r="AB629" s="5211"/>
      <c r="AC629" s="5172"/>
      <c r="AD629" s="5172"/>
      <c r="AE629" s="5212"/>
      <c r="AG629" s="2906" t="e">
        <f>Tablas!$AG$630:INDEX(Tablas!$AG$630:$AG$766,SUMPRODUCT(--(Tablas!$AG$630:$AG$766&lt;&gt;"")))</f>
        <v>#VALUE!</v>
      </c>
      <c r="AH629" s="2901" t="e">
        <f>Tablas!$AH$630:INDEX(Tablas!$AH$630:$AH$766,SUMPRODUCT(--(Tablas!$AH$630:$AH$766&lt;&gt;"")))</f>
        <v>#VALUE!</v>
      </c>
      <c r="AI629" s="2901" t="e">
        <f>Tablas!$AI$630:INDEX(Tablas!$AI$630:$AI$766,SUMPRODUCT(--(Tablas!$AI$630:$AI$766&lt;&gt;"")))</f>
        <v>#VALUE!</v>
      </c>
      <c r="AJ629" s="2903"/>
      <c r="AK629" s="2904"/>
      <c r="AL629" s="2907"/>
    </row>
    <row r="630" spans="1:38" ht="12.75" customHeight="1" thickBot="1" x14ac:dyDescent="0.25">
      <c r="A630" s="1916">
        <v>630</v>
      </c>
      <c r="B630" s="5148"/>
      <c r="C630" s="2913"/>
      <c r="D630" s="2914" t="s">
        <v>2467</v>
      </c>
      <c r="E630" s="2915"/>
      <c r="F630" s="2915"/>
      <c r="G630" s="2915"/>
      <c r="H630" s="2915"/>
      <c r="I630" s="2915"/>
      <c r="J630" s="2915"/>
      <c r="K630" s="2420" t="s">
        <v>8907</v>
      </c>
      <c r="L630" s="2916" t="str">
        <f>IF(ISNUMBER(SEARCH($D630,Armas_Conocidas)),"Conocida",IF(ISNUMBER(SEARCH(LEFT($K630,SEARCH("/",$K630)),Tipologías_Conocidas)),IF(ISNUMBER(SEARCH($K630,Tipologías_Conocidas)),"Similar","Mixta"),"Distinta"))</f>
        <v>Distinta</v>
      </c>
      <c r="M630" s="2915"/>
      <c r="N630" s="2915"/>
      <c r="O630" s="2915"/>
      <c r="P630" s="2915"/>
      <c r="Q630" s="2915"/>
      <c r="R630" s="2915"/>
      <c r="S630" s="2915"/>
      <c r="T630" s="2915"/>
      <c r="U630" s="2915"/>
      <c r="V630" s="2420"/>
      <c r="W630" s="2915"/>
      <c r="X630" s="2917"/>
      <c r="Z630" s="2647" t="str">
        <f>IF(AND(K630&lt;&gt;"Natural/-",ISNUMBER(SEARCH(D630,Armas_Conocidas))),", "&amp;K630,"")</f>
        <v/>
      </c>
      <c r="AA630" s="363" t="s">
        <v>3228</v>
      </c>
      <c r="AB630" s="2247" t="s">
        <v>1507</v>
      </c>
      <c r="AC630" s="2248" t="s">
        <v>1897</v>
      </c>
      <c r="AD630" s="2248" t="s">
        <v>2574</v>
      </c>
      <c r="AE630" s="1946" t="s">
        <v>1899</v>
      </c>
      <c r="AG630" s="2221" t="str">
        <f t="shared" ref="AG630:AG661" si="75">IF(ISNA(INDEX(Lista_Armas,MATCH($A1,AJ$630:AJ$766,0))),"",INDEX(Lista_Armas,MATCH($A1,AJ$630:AJ$766,0)))</f>
        <v>&gt; ARMAS COMUNES</v>
      </c>
      <c r="AH630" s="2001" t="str">
        <f t="shared" ref="AH630:AH661" si="76">IF(ISNA(INDEX(Lista_Armas,MATCH($A1,AK$630:AK$766,0))),"",INDEX(Lista_Armas,MATCH($A1,AK$630:AK$766,0)))</f>
        <v>&gt; ARMAS COMUNES</v>
      </c>
      <c r="AI630" s="2001" t="str">
        <f t="shared" ref="AI630:AI661" si="77">IF(ISNA(INDEX(Lista_Armas,MATCH($A1,AL$630:AL$766,0))),"",INDEX(Lista_Armas,MATCH($A1,AL$630:AL$766,0)))</f>
        <v>Desarmado</v>
      </c>
      <c r="AJ630" s="2905">
        <f>IF($L630=AJ$627,COUNTIF($L$630:$L630,AJ$627),0)</f>
        <v>0</v>
      </c>
      <c r="AK630" s="2902">
        <f>IF($L630=AK$627,COUNTIF($L$630:$L630,AK$627),0)</f>
        <v>0</v>
      </c>
      <c r="AL630" s="2908">
        <f>IF($L630=AL$627,COUNTIF($L$630:$L630,AL$627),0)</f>
        <v>1</v>
      </c>
    </row>
    <row r="631" spans="1:38" ht="12.75" customHeight="1" x14ac:dyDescent="0.2">
      <c r="A631" s="1916">
        <v>631</v>
      </c>
      <c r="B631" s="5148"/>
      <c r="C631" s="2918"/>
      <c r="D631" s="2919" t="s">
        <v>2251</v>
      </c>
      <c r="E631" s="188">
        <f>IF(Raza="Tuan Dalyr",40,IF(Raza="Ebudan",60,IF(Raza="Turak",40,IF(OR(Raza="Daimah",Raza="Jayán",Nephilim="Nephilim Turak"),30,VLOOKUP(Tamaño,Tabla_CreaciónSeres,8)+25*$V$582))))</f>
        <v>90</v>
      </c>
      <c r="F631" s="188">
        <f>IF(Raza="Ebudan","20",IF(OR(Raza="Daimah",Raza="Jayán",Raza="Turak",General!$J$23="Turak"),20+VLOOKUP(Tamaño,$W$47:$AF$54,3),20+VLOOKUP(Tamaño,$W$47:$AF$54,3)+20*$V$583))</f>
        <v>40</v>
      </c>
      <c r="G631" s="188">
        <v>0</v>
      </c>
      <c r="H631" s="188">
        <v>0</v>
      </c>
      <c r="I631" s="188" t="str">
        <f>IF(Raza="Ebudan","FIL",IF(Raza="Turak","FIL",IF(OR(Raza="Daimah",Raza="Jayán"),"FIL",IF(Nephilim="Nehpilim Turak","FIL",Personalización!$Y$17))))</f>
        <v>-</v>
      </c>
      <c r="J631" s="188" t="str">
        <f>IF(Raza="Ebudan","-",IF(Raza="Turak","-",IF(OR(Raza="Daimah",Raza="Jayán"),"PEN",IF(General!$J$23="Nephilim Turak","-",Personalización!$Y$18))))</f>
        <v>-</v>
      </c>
      <c r="K631" s="2001" t="str">
        <f>IF(Raza="Ebudan","Mandoble/-","Natural/-")</f>
        <v>Natural/-</v>
      </c>
      <c r="L631" s="2920" t="str">
        <f>IF(OR(Arma_Desarrollada=$D631,COUNTIF(PDs!Y40:AA45,$D631)&gt;0,$R$1193&gt;0,$P$256&gt;0),"Conocida","Distinta")</f>
        <v>Distinta</v>
      </c>
      <c r="M631" s="2921">
        <f>IF(Raza="Ebudan","20",VLOOKUP(Tamaño,$W$47:$AF$54,10))</f>
        <v>12</v>
      </c>
      <c r="N631" s="2921">
        <f>IF(Raza="Ebudan","5",VLOOKUP(Tamaño,$W$47:$AF$54,9))</f>
        <v>0</v>
      </c>
      <c r="O631" s="2922"/>
      <c r="P631" s="188"/>
      <c r="Q631" s="188"/>
      <c r="R631" s="188"/>
      <c r="S631" s="188"/>
      <c r="T631" s="188"/>
      <c r="U631" s="188"/>
      <c r="V631" s="2001" t="str">
        <f>IF(Raza="Ebudan",IF(General!#REF!="Conseguido","Uso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2895"/>
      <c r="X631" s="2923"/>
      <c r="Z631" s="2647" t="str">
        <f>IF(AND(K631&lt;&gt;"Natural/-",ISNUMBER(SEARCH(D631,Armas_Conocidas))),", "&amp;K631,"")</f>
        <v/>
      </c>
      <c r="AB631" s="2219" t="str">
        <f t="shared" ref="AB631:AD634" si="78">$D631</f>
        <v>Armas naturales</v>
      </c>
      <c r="AC631" s="461" t="str">
        <f t="shared" si="78"/>
        <v>Armas naturales</v>
      </c>
      <c r="AD631" s="461" t="str">
        <f t="shared" si="78"/>
        <v>Armas naturales</v>
      </c>
      <c r="AE631" s="2220" t="str">
        <f>$D632</f>
        <v>Arma #1</v>
      </c>
      <c r="AF631" s="363" t="str">
        <f>IF(AND($L631=AG$627,COUNTIF($L$629:$L630,AG$627)&gt;$A2),$D631,"")</f>
        <v/>
      </c>
      <c r="AG631" s="2221" t="str">
        <f t="shared" si="75"/>
        <v>&gt; ESCUDOS</v>
      </c>
      <c r="AH631" s="2001" t="str">
        <f t="shared" si="76"/>
        <v>Alabarda</v>
      </c>
      <c r="AI631" s="2001" t="str">
        <f t="shared" si="77"/>
        <v>Armas naturales</v>
      </c>
      <c r="AJ631" s="2905">
        <f>IF($L631=AJ$627,COUNTIF($L$630:$L631,AJ$627),0)</f>
        <v>0</v>
      </c>
      <c r="AK631" s="2902">
        <f>IF($L631=AK$627,COUNTIF($L$630:$L631,AK$627),0)</f>
        <v>0</v>
      </c>
      <c r="AL631" s="2908">
        <f>IF($L631=AL$627,COUNTIF($L$630:$L631,AL$627),0)</f>
        <v>2</v>
      </c>
    </row>
    <row r="632" spans="1:38" ht="12.75" customHeight="1" x14ac:dyDescent="0.2">
      <c r="A632" s="1916">
        <v>632</v>
      </c>
      <c r="B632" s="5148"/>
      <c r="C632" s="2918"/>
      <c r="D632" s="2919" t="str">
        <f>IF(Personalización!X24=0,"Arma #1",Personalización!X24)</f>
        <v>Arma #1</v>
      </c>
      <c r="E632" s="188">
        <f>Personalización!$Z$26</f>
        <v>0</v>
      </c>
      <c r="F632" s="188">
        <f>Personalización!$Y$26</f>
        <v>0</v>
      </c>
      <c r="G632" s="188">
        <f>Personalización!$AC$25</f>
        <v>0</v>
      </c>
      <c r="H632" s="188">
        <f>Personalización!$AE$25</f>
        <v>0</v>
      </c>
      <c r="I632" s="188">
        <f>Personalización!$AA$27</f>
        <v>0</v>
      </c>
      <c r="J632" s="188">
        <f>Personalización!$AB$27</f>
        <v>0</v>
      </c>
      <c r="K632" s="2001" t="str">
        <f>Personalización!$W$26&amp;"/"&amp;Personalización!$X$26</f>
        <v>/</v>
      </c>
      <c r="L632" s="2920" t="str">
        <f>IF(Personalización!$X$25="Si","Conocida","Distinta")</f>
        <v>Distinta</v>
      </c>
      <c r="M632" s="2921">
        <f>Personalización!$AC$27</f>
        <v>0</v>
      </c>
      <c r="N632" s="2921">
        <f>Personalización!$AD$27</f>
        <v>0</v>
      </c>
      <c r="O632" s="2921">
        <f>Personalización!$AE$27</f>
        <v>0</v>
      </c>
      <c r="P632" s="188">
        <f>IF(ISNUMBER(SEARCH("Escudo",$K632)),Personalización!$AJ$25,0)</f>
        <v>0</v>
      </c>
      <c r="Q632" s="188">
        <f>IF(ISNUMBER(SEARCH("Escudo",$K632)),Personalización!$AJ$26,0)</f>
        <v>0</v>
      </c>
      <c r="R632" s="188" t="s">
        <v>1766</v>
      </c>
      <c r="S632" s="188">
        <f>IF(ISNUMBER(SEARCH("Proyectiles",$K632)),Personalización!$AJ$26,0)</f>
        <v>0</v>
      </c>
      <c r="T632" s="188">
        <f>Personalización!$AJ$27</f>
        <v>0</v>
      </c>
      <c r="U632" s="188" t="str">
        <f>IF(ISNUMBER(SEARCH("Proyectiles",$K632)),Personalización!$AJ$25,"")</f>
        <v/>
      </c>
      <c r="V632" s="2001">
        <f>Personalización!$AB$24</f>
        <v>0</v>
      </c>
      <c r="W632" s="2895"/>
      <c r="X632" s="2923"/>
      <c r="Z632" s="2648" t="str">
        <f>IF(L632="Conocida",", "&amp;K632,"")</f>
        <v/>
      </c>
      <c r="AB632" s="2221" t="str">
        <f t="shared" si="78"/>
        <v>Arma #1</v>
      </c>
      <c r="AC632" s="2001" t="str">
        <f t="shared" si="78"/>
        <v>Arma #1</v>
      </c>
      <c r="AD632" s="2001" t="str">
        <f t="shared" si="78"/>
        <v>Arma #1</v>
      </c>
      <c r="AE632" s="2222" t="str">
        <f>$D633</f>
        <v>Arma #2</v>
      </c>
      <c r="AG632" s="2221" t="str">
        <f t="shared" si="75"/>
        <v>&gt; ARMAS EXÓTICAS</v>
      </c>
      <c r="AH632" s="2001" t="str">
        <f t="shared" si="76"/>
        <v>Espada bastarda</v>
      </c>
      <c r="AI632" s="2001" t="str">
        <f t="shared" si="77"/>
        <v>Arma #1</v>
      </c>
      <c r="AJ632" s="2905">
        <f>IF($L632=AJ$627,COUNTIF($L$630:$L632,AJ$627),0)</f>
        <v>0</v>
      </c>
      <c r="AK632" s="2902">
        <f>IF($L632=AK$627,COUNTIF($L$630:$L632,AK$627),0)</f>
        <v>0</v>
      </c>
      <c r="AL632" s="2908">
        <f>IF($L632=AL$627,COUNTIF($L$630:$L632,AL$627),0)</f>
        <v>3</v>
      </c>
    </row>
    <row r="633" spans="1:38" ht="12.75" customHeight="1" x14ac:dyDescent="0.2">
      <c r="A633" s="1916">
        <v>633</v>
      </c>
      <c r="B633" s="5148"/>
      <c r="C633" s="2918"/>
      <c r="D633" s="2919" t="str">
        <f>IF(Personalización!X28=0,"Arma #2",Personalización!X28)</f>
        <v>Arma #2</v>
      </c>
      <c r="E633" s="188">
        <f>Personalización!$Z$30</f>
        <v>0</v>
      </c>
      <c r="F633" s="188">
        <f>Personalización!$Y$30</f>
        <v>0</v>
      </c>
      <c r="G633" s="188">
        <f>Personalización!$AC$29</f>
        <v>0</v>
      </c>
      <c r="H633" s="188">
        <f>Personalización!$AE$29</f>
        <v>0</v>
      </c>
      <c r="I633" s="188">
        <f>Personalización!$AA$31</f>
        <v>0</v>
      </c>
      <c r="J633" s="188">
        <f>Personalización!$AB$31</f>
        <v>0</v>
      </c>
      <c r="K633" s="2001" t="str">
        <f>Personalización!$W$30&amp;"/"&amp;Personalización!$X$30</f>
        <v>/</v>
      </c>
      <c r="L633" s="2920" t="str">
        <f>IF(Personalización!$X$29="Si","Conocida","Distinta")</f>
        <v>Distinta</v>
      </c>
      <c r="M633" s="2921">
        <f>Personalización!$AC$31</f>
        <v>0</v>
      </c>
      <c r="N633" s="2921">
        <f>Personalización!$AD$31</f>
        <v>0</v>
      </c>
      <c r="O633" s="2921">
        <f>Personalización!$AE$31</f>
        <v>0</v>
      </c>
      <c r="P633" s="188">
        <f>IF(ISNUMBER(SEARCH("Escudo",$K633)),Personalización!$AJ$29,0)</f>
        <v>0</v>
      </c>
      <c r="Q633" s="188">
        <f>IF(ISNUMBER(SEARCH("Escudo",$K633)),Personalización!$AJ$30,0)</f>
        <v>0</v>
      </c>
      <c r="R633" s="188" t="s">
        <v>1766</v>
      </c>
      <c r="S633" s="188">
        <f>IF(ISNUMBER(SEARCH("Proyectiles",$K633)),Personalización!$AJ$30,0)</f>
        <v>0</v>
      </c>
      <c r="T633" s="188">
        <f>Personalización!$AJ$31</f>
        <v>0</v>
      </c>
      <c r="U633" s="188" t="str">
        <f>IF(ISNUMBER(SEARCH("Proyectiles",$K633)),Personalización!$AJ$29,"")</f>
        <v/>
      </c>
      <c r="V633" s="2001">
        <f>Personalización!$AB$24</f>
        <v>0</v>
      </c>
      <c r="W633" s="2895"/>
      <c r="X633" s="2923"/>
      <c r="Z633" s="2648" t="str">
        <f>IF(L633="Conocida",", "&amp;K633,"")</f>
        <v/>
      </c>
      <c r="AB633" s="2221" t="str">
        <f t="shared" si="78"/>
        <v>Arma #2</v>
      </c>
      <c r="AC633" s="2001" t="str">
        <f t="shared" si="78"/>
        <v>Arma #2</v>
      </c>
      <c r="AD633" s="2001" t="str">
        <f t="shared" si="78"/>
        <v>Arma #2</v>
      </c>
      <c r="AE633" s="2222" t="str">
        <f>$D634</f>
        <v>Arma #3</v>
      </c>
      <c r="AG633" s="2221" t="str">
        <f t="shared" si="75"/>
        <v>&gt; A. DE PROYECTILES</v>
      </c>
      <c r="AH633" s="2001" t="str">
        <f t="shared" si="76"/>
        <v>Falcata</v>
      </c>
      <c r="AI633" s="2001" t="str">
        <f t="shared" si="77"/>
        <v>Arma #2</v>
      </c>
      <c r="AJ633" s="2905">
        <f>IF($L633=AJ$627,COUNTIF($L$630:$L633,AJ$627),0)</f>
        <v>0</v>
      </c>
      <c r="AK633" s="2902">
        <f>IF($L633=AK$627,COUNTIF($L$630:$L633,AK$627),0)</f>
        <v>0</v>
      </c>
      <c r="AL633" s="2908">
        <f>IF($L633=AL$627,COUNTIF($L$630:$L633,AL$627),0)</f>
        <v>4</v>
      </c>
    </row>
    <row r="634" spans="1:38" ht="12.75" customHeight="1" x14ac:dyDescent="0.2">
      <c r="A634" s="1916">
        <v>634</v>
      </c>
      <c r="B634" s="5148"/>
      <c r="C634" s="2918"/>
      <c r="D634" s="2919" t="str">
        <f>IF(Personalización!X32=0,"Arma #3",Personalización!X32)</f>
        <v>Arma #3</v>
      </c>
      <c r="E634" s="188">
        <f>Personalización!$Z$34</f>
        <v>0</v>
      </c>
      <c r="F634" s="188">
        <f>Personalización!$Y$34</f>
        <v>0</v>
      </c>
      <c r="G634" s="188">
        <f>Personalización!$AC$33</f>
        <v>0</v>
      </c>
      <c r="H634" s="188">
        <f>Personalización!$AE$33</f>
        <v>0</v>
      </c>
      <c r="I634" s="188">
        <f>Personalización!$AA$35</f>
        <v>0</v>
      </c>
      <c r="J634" s="188">
        <f>Personalización!$AB$35</f>
        <v>0</v>
      </c>
      <c r="K634" s="2001" t="str">
        <f>Personalización!$W$34&amp;"/"&amp;Personalización!$X$34</f>
        <v>/</v>
      </c>
      <c r="L634" s="2920" t="str">
        <f>IF(Personalización!$X$33="Si","Conocida","Distinta")</f>
        <v>Distinta</v>
      </c>
      <c r="M634" s="2921">
        <f>Personalización!$AC$35</f>
        <v>0</v>
      </c>
      <c r="N634" s="2921">
        <f>Personalización!$AD$35</f>
        <v>0</v>
      </c>
      <c r="O634" s="2921">
        <f>Personalización!$AE$35</f>
        <v>0</v>
      </c>
      <c r="P634" s="188">
        <f>IF(ISNUMBER(SEARCH("Escudo",$K634)),Personalización!$AJ$33,0)</f>
        <v>0</v>
      </c>
      <c r="Q634" s="188">
        <f>IF(ISNUMBER(SEARCH("Escudo",$K634)),Personalización!$AJ$34,0)</f>
        <v>0</v>
      </c>
      <c r="R634" s="188" t="s">
        <v>1766</v>
      </c>
      <c r="S634" s="188">
        <f>IF(ISNUMBER(SEARCH("Proyectiles",$K634)),Personalización!$AJ$34,0)</f>
        <v>0</v>
      </c>
      <c r="T634" s="188">
        <f>Personalización!$AJ$35</f>
        <v>0</v>
      </c>
      <c r="U634" s="188" t="str">
        <f>IF(ISNUMBER(SEARCH("Proyectiles",$K634)),Personalización!$AJ$33,"")</f>
        <v/>
      </c>
      <c r="V634" s="2001">
        <f>Personalización!$AB$24</f>
        <v>0</v>
      </c>
      <c r="W634" s="2895"/>
      <c r="X634" s="2923"/>
      <c r="Z634" s="2648" t="str">
        <f>IF(L634="Conocida",", "&amp;K634,"")</f>
        <v/>
      </c>
      <c r="AB634" s="2221" t="str">
        <f t="shared" si="78"/>
        <v>Arma #3</v>
      </c>
      <c r="AC634" s="2001" t="str">
        <f t="shared" si="78"/>
        <v>Arma #3</v>
      </c>
      <c r="AD634" s="2001" t="str">
        <f t="shared" si="78"/>
        <v>Arma #3</v>
      </c>
      <c r="AE634" s="2222" t="s">
        <v>2586</v>
      </c>
      <c r="AG634" s="2221" t="str">
        <f t="shared" si="75"/>
        <v>&gt; ARMAS DE ASEDIO</v>
      </c>
      <c r="AH634" s="2001" t="str">
        <f t="shared" si="76"/>
        <v>Guadaña</v>
      </c>
      <c r="AI634" s="2001" t="str">
        <f t="shared" si="77"/>
        <v>Arma #3</v>
      </c>
      <c r="AJ634" s="2905">
        <f>IF($L634=AJ$627,COUNTIF($L$630:$L634,AJ$627),0)</f>
        <v>0</v>
      </c>
      <c r="AK634" s="2902">
        <f>IF($L634=AK$627,COUNTIF($L$630:$L634,AK$627),0)</f>
        <v>0</v>
      </c>
      <c r="AL634" s="2908">
        <f>IF($L634=AL$627,COUNTIF($L$630:$L634,AL$627),0)</f>
        <v>5</v>
      </c>
    </row>
    <row r="635" spans="1:38" ht="12.75" customHeight="1" x14ac:dyDescent="0.2">
      <c r="A635" s="1916">
        <v>635</v>
      </c>
      <c r="B635" s="5148"/>
      <c r="C635" s="2918"/>
      <c r="D635" s="2919" t="s">
        <v>2468</v>
      </c>
      <c r="E635" s="2924"/>
      <c r="F635" s="2924"/>
      <c r="G635" s="2924"/>
      <c r="H635" s="2924"/>
      <c r="I635" s="2924"/>
      <c r="J635" s="2924"/>
      <c r="K635" s="2421" t="s">
        <v>8885</v>
      </c>
      <c r="L635" s="2924"/>
      <c r="M635" s="2924"/>
      <c r="N635" s="2924"/>
      <c r="O635" s="2924"/>
      <c r="P635" s="2924"/>
      <c r="Q635" s="2924"/>
      <c r="R635" s="2924"/>
      <c r="S635" s="2924"/>
      <c r="T635" s="2924"/>
      <c r="U635" s="2924"/>
      <c r="V635" s="2421"/>
      <c r="W635" s="2421"/>
      <c r="X635" s="2925"/>
      <c r="Z635" s="2647" t="str">
        <f t="shared" ref="Z635:Z666" si="79">IF(AND(K635&lt;&gt;"Natural/-",ISNUMBER(SEARCH(D635,Armas_Conocidas))),", "&amp;K635,"")</f>
        <v/>
      </c>
      <c r="AB635" s="2221" t="s">
        <v>2468</v>
      </c>
      <c r="AC635" s="2001" t="s">
        <v>2468</v>
      </c>
      <c r="AD635" s="2001" t="s">
        <v>2572</v>
      </c>
      <c r="AE635" s="2222" t="s">
        <v>2587</v>
      </c>
      <c r="AG635" s="2221" t="str">
        <f t="shared" si="75"/>
        <v/>
      </c>
      <c r="AH635" s="2001" t="str">
        <f t="shared" si="76"/>
        <v>Hacha de guerra</v>
      </c>
      <c r="AI635" s="2001" t="str">
        <f t="shared" si="77"/>
        <v>&gt; ARMAS COMUNES</v>
      </c>
      <c r="AJ635" s="2905">
        <f>MAX(AJ$630:AJ634)+1</f>
        <v>1</v>
      </c>
      <c r="AK635" s="2902">
        <f>MAX(AK$630:AK634)+1</f>
        <v>1</v>
      </c>
      <c r="AL635" s="2908">
        <f>MAX(AL$630:AL634)+1</f>
        <v>6</v>
      </c>
    </row>
    <row r="636" spans="1:38" ht="12.75" customHeight="1" x14ac:dyDescent="0.2">
      <c r="A636" s="1916">
        <v>636</v>
      </c>
      <c r="B636" s="5148"/>
      <c r="C636" s="2918"/>
      <c r="D636" s="2919" t="s">
        <v>2469</v>
      </c>
      <c r="E636" s="2926">
        <v>60</v>
      </c>
      <c r="F636" s="2916">
        <v>-15</v>
      </c>
      <c r="G636" s="2916">
        <v>11</v>
      </c>
      <c r="H636" s="2916">
        <v>6</v>
      </c>
      <c r="I636" s="2916" t="s">
        <v>1863</v>
      </c>
      <c r="J636" s="2916" t="s">
        <v>1809</v>
      </c>
      <c r="K636" s="2898" t="s">
        <v>8886</v>
      </c>
      <c r="L636" s="2916" t="str">
        <f t="shared" ref="L636:L667" si="80">IF(ISNUMBER(SEARCH($D636,Armas_Conocidas)),"Conocida",IF(OR(ISNUMBER(SEARCH(LEFT($K636,SEARCH("/",$K636)),Tipologías_Conocidas)),AND(NOT(ISNUMBER(SEARCH("/-",$K636))),ISNUMBER(SEARCH(MID($K636,SEARCH("/",$K636)+1,LEN($K636)),Tipologías_Conocidas)))),IF(ISNUMBER(SEARCH($K636,Tipologías_Conocidas)),"Similar","Mixta"),"Distinta"))</f>
        <v>Mixta</v>
      </c>
      <c r="M636" s="2927">
        <v>15</v>
      </c>
      <c r="N636" s="2927">
        <v>4</v>
      </c>
      <c r="O636" s="2927">
        <v>20</v>
      </c>
      <c r="P636" s="2916"/>
      <c r="Q636" s="2916"/>
      <c r="R636" s="2916" t="s">
        <v>1766</v>
      </c>
      <c r="S636" s="2916" t="s">
        <v>1766</v>
      </c>
      <c r="T636" s="2916" t="s">
        <v>1766</v>
      </c>
      <c r="U636" s="2916"/>
      <c r="V636" s="2898" t="s">
        <v>1897</v>
      </c>
      <c r="W636" s="2898"/>
      <c r="X636" s="2899"/>
      <c r="Z636" s="2647" t="str">
        <f t="shared" si="79"/>
        <v/>
      </c>
      <c r="AB636" s="2221" t="s">
        <v>2472</v>
      </c>
      <c r="AC636" s="2001" t="s">
        <v>2469</v>
      </c>
      <c r="AD636" s="2001" t="s">
        <v>2573</v>
      </c>
      <c r="AE636" s="2615" t="s">
        <v>2589</v>
      </c>
      <c r="AG636" s="2221" t="str">
        <f t="shared" si="75"/>
        <v/>
      </c>
      <c r="AH636" s="2001" t="str">
        <f t="shared" si="76"/>
        <v>Hacha de mano</v>
      </c>
      <c r="AI636" s="2001" t="str">
        <f t="shared" si="77"/>
        <v>Arpón</v>
      </c>
      <c r="AJ636" s="2905">
        <f>IF($L636=AJ$627,COUNTIF($L$630:$L636,AJ$627)+1,0)</f>
        <v>0</v>
      </c>
      <c r="AK636" s="2902">
        <f>IF($L636=AK$627,COUNTIF($L$630:$L636,AK$627)+1,0)</f>
        <v>2</v>
      </c>
      <c r="AL636" s="2908">
        <f>IF($L636=AL$627,COUNTIF($L$630:$L636,AL$627)+1,0)</f>
        <v>0</v>
      </c>
    </row>
    <row r="637" spans="1:38" ht="12.75" customHeight="1" x14ac:dyDescent="0.2">
      <c r="A637" s="1916">
        <v>637</v>
      </c>
      <c r="B637" s="5148"/>
      <c r="C637" s="2918"/>
      <c r="D637" s="2919" t="s">
        <v>2472</v>
      </c>
      <c r="E637" s="2926">
        <v>35</v>
      </c>
      <c r="F637" s="2916">
        <v>-5</v>
      </c>
      <c r="G637" s="2916">
        <v>5</v>
      </c>
      <c r="H637" s="2916">
        <v>5</v>
      </c>
      <c r="I637" s="2916" t="s">
        <v>1864</v>
      </c>
      <c r="J637" s="2916" t="s">
        <v>1766</v>
      </c>
      <c r="K637" s="2898" t="s">
        <v>8887</v>
      </c>
      <c r="L637" s="2916" t="str">
        <f t="shared" si="80"/>
        <v>Distinta</v>
      </c>
      <c r="M637" s="2927">
        <v>11</v>
      </c>
      <c r="N637" s="2927">
        <v>0</v>
      </c>
      <c r="O637" s="2927">
        <v>15</v>
      </c>
      <c r="P637" s="2916"/>
      <c r="Q637" s="2916"/>
      <c r="R637" s="2927">
        <v>100</v>
      </c>
      <c r="S637" s="2916" t="s">
        <v>1766</v>
      </c>
      <c r="T637" s="2916">
        <v>20</v>
      </c>
      <c r="U637" s="2916"/>
      <c r="V637" s="2898" t="s">
        <v>2473</v>
      </c>
      <c r="W637" s="2898"/>
      <c r="X637" s="2899"/>
      <c r="Z637" s="2647" t="str">
        <f t="shared" si="79"/>
        <v/>
      </c>
      <c r="AB637" s="2221" t="s">
        <v>8558</v>
      </c>
      <c r="AC637" s="2001" t="s">
        <v>2472</v>
      </c>
      <c r="AD637" s="2001" t="s">
        <v>2575</v>
      </c>
      <c r="AE637" s="2222" t="s">
        <v>2591</v>
      </c>
      <c r="AG637" s="2221" t="str">
        <f t="shared" si="75"/>
        <v/>
      </c>
      <c r="AH637" s="2001" t="str">
        <f t="shared" si="76"/>
        <v>Mangual</v>
      </c>
      <c r="AI637" s="2001" t="str">
        <f t="shared" si="77"/>
        <v>Bastón de Combate</v>
      </c>
      <c r="AJ637" s="2905">
        <f>IF($L637=AJ$627,COUNTIF($L$630:$L637,AJ$627)+1,0)</f>
        <v>0</v>
      </c>
      <c r="AK637" s="2902">
        <f>IF($L637=AK$627,COUNTIF($L$630:$L637,AK$627)+1,0)</f>
        <v>0</v>
      </c>
      <c r="AL637" s="2908">
        <f>IF($L637=AL$627,COUNTIF($L$630:$L637,AL$627)+1,0)</f>
        <v>7</v>
      </c>
    </row>
    <row r="638" spans="1:38" ht="12.75" customHeight="1" x14ac:dyDescent="0.2">
      <c r="A638" s="1916">
        <v>638</v>
      </c>
      <c r="B638" s="5148"/>
      <c r="C638" s="2918"/>
      <c r="D638" s="2919" t="s">
        <v>8558</v>
      </c>
      <c r="E638" s="2926">
        <v>25</v>
      </c>
      <c r="F638" s="2916">
        <v>15</v>
      </c>
      <c r="G638" s="2916">
        <v>5</v>
      </c>
      <c r="H638" s="2916">
        <v>5</v>
      </c>
      <c r="I638" s="2916" t="s">
        <v>1809</v>
      </c>
      <c r="J638" s="2916" t="s">
        <v>1766</v>
      </c>
      <c r="K638" s="2898" t="s">
        <v>8887</v>
      </c>
      <c r="L638" s="2916" t="str">
        <f t="shared" si="80"/>
        <v>Distinta</v>
      </c>
      <c r="M638" s="2927">
        <v>10</v>
      </c>
      <c r="N638" s="2927">
        <v>-1</v>
      </c>
      <c r="O638" s="2927">
        <v>15</v>
      </c>
      <c r="P638" s="2916"/>
      <c r="Q638" s="2916"/>
      <c r="R638" s="2916" t="s">
        <v>1766</v>
      </c>
      <c r="S638" s="2916" t="s">
        <v>1766</v>
      </c>
      <c r="T638" s="2916" t="s">
        <v>1766</v>
      </c>
      <c r="U638" s="2916"/>
      <c r="V638" s="2898" t="s">
        <v>1766</v>
      </c>
      <c r="W638" s="2898"/>
      <c r="X638" s="2899"/>
      <c r="Z638" s="2647" t="str">
        <f t="shared" si="79"/>
        <v/>
      </c>
      <c r="AB638" s="2221" t="s">
        <v>2474</v>
      </c>
      <c r="AC638" s="2001" t="s">
        <v>8559</v>
      </c>
      <c r="AD638" s="2001" t="s">
        <v>8561</v>
      </c>
      <c r="AE638" s="2222" t="s">
        <v>2593</v>
      </c>
      <c r="AG638" s="2221" t="str">
        <f t="shared" si="75"/>
        <v/>
      </c>
      <c r="AH638" s="2001" t="str">
        <f t="shared" si="76"/>
        <v>Maza pesada</v>
      </c>
      <c r="AI638" s="2001" t="str">
        <f t="shared" si="77"/>
        <v>Bec deCorbin</v>
      </c>
      <c r="AJ638" s="2905">
        <f>IF($L638=AJ$627,COUNTIF($L$630:$L638,AJ$627)+1,0)</f>
        <v>0</v>
      </c>
      <c r="AK638" s="2902">
        <f>IF($L638=AK$627,COUNTIF($L$630:$L638,AK$627)+1,0)</f>
        <v>0</v>
      </c>
      <c r="AL638" s="2908">
        <f>IF($L638=AL$627,COUNTIF($L$630:$L638,AL$627)+1,0)</f>
        <v>8</v>
      </c>
    </row>
    <row r="639" spans="1:38" ht="12.75" customHeight="1" x14ac:dyDescent="0.2">
      <c r="A639" s="1916">
        <v>639</v>
      </c>
      <c r="B639" s="5148"/>
      <c r="C639" s="2918"/>
      <c r="D639" s="2919" t="s">
        <v>8559</v>
      </c>
      <c r="E639" s="2926">
        <v>50</v>
      </c>
      <c r="F639" s="2916">
        <v>-10</v>
      </c>
      <c r="G639" s="2916" t="s">
        <v>1766</v>
      </c>
      <c r="H639" s="2916">
        <v>6</v>
      </c>
      <c r="I639" s="2916" t="s">
        <v>1864</v>
      </c>
      <c r="J639" s="2916" t="s">
        <v>8611</v>
      </c>
      <c r="K639" s="2898" t="s">
        <v>8888</v>
      </c>
      <c r="L639" s="2916" t="str">
        <f t="shared" si="80"/>
        <v>Distinta</v>
      </c>
      <c r="M639" s="2927">
        <v>12</v>
      </c>
      <c r="N639" s="2927">
        <v>2</v>
      </c>
      <c r="O639" s="2927">
        <v>20</v>
      </c>
      <c r="P639" s="2916"/>
      <c r="Q639" s="2916"/>
      <c r="R639" s="2916" t="s">
        <v>1766</v>
      </c>
      <c r="S639" s="2916" t="s">
        <v>1766</v>
      </c>
      <c r="T639" s="2916" t="s">
        <v>1766</v>
      </c>
      <c r="U639" s="2916"/>
      <c r="V639" s="2898" t="s">
        <v>1897</v>
      </c>
      <c r="W639" s="2898"/>
      <c r="X639" s="2899"/>
      <c r="Z639" s="2647" t="str">
        <f t="shared" si="79"/>
        <v/>
      </c>
      <c r="AB639" s="2221" t="s">
        <v>2477</v>
      </c>
      <c r="AC639" s="2001" t="s">
        <v>8560</v>
      </c>
      <c r="AD639" s="2001" t="s">
        <v>2576</v>
      </c>
      <c r="AE639" s="2222" t="s">
        <v>2595</v>
      </c>
      <c r="AG639" s="2221" t="str">
        <f t="shared" si="75"/>
        <v/>
      </c>
      <c r="AH639" s="2001" t="str">
        <f t="shared" si="76"/>
        <v>Valaska</v>
      </c>
      <c r="AI639" s="2001" t="str">
        <f t="shared" si="77"/>
        <v>Berdiche</v>
      </c>
      <c r="AJ639" s="2905">
        <f>IF($L639=AJ$627,COUNTIF($L$630:$L639,AJ$627)+1,0)</f>
        <v>0</v>
      </c>
      <c r="AK639" s="2902">
        <f>IF($L639=AK$627,COUNTIF($L$630:$L639,AK$627)+1,0)</f>
        <v>0</v>
      </c>
      <c r="AL639" s="2908">
        <f>IF($L639=AL$627,COUNTIF($L$630:$L639,AL$627)+1,0)</f>
        <v>9</v>
      </c>
    </row>
    <row r="640" spans="1:38" ht="12.75" customHeight="1" x14ac:dyDescent="0.2">
      <c r="A640" s="1916">
        <v>640</v>
      </c>
      <c r="B640" s="5148"/>
      <c r="C640" s="2918"/>
      <c r="D640" s="2919" t="s">
        <v>8560</v>
      </c>
      <c r="E640" s="2926">
        <v>50</v>
      </c>
      <c r="F640" s="2916">
        <v>-15</v>
      </c>
      <c r="G640" s="2916" t="s">
        <v>1766</v>
      </c>
      <c r="H640" s="2916">
        <v>6</v>
      </c>
      <c r="I640" s="2916" t="s">
        <v>1863</v>
      </c>
      <c r="J640" s="2916" t="s">
        <v>1809</v>
      </c>
      <c r="K640" s="2898" t="s">
        <v>8887</v>
      </c>
      <c r="L640" s="2916" t="str">
        <f t="shared" si="80"/>
        <v>Distinta</v>
      </c>
      <c r="M640" s="2927">
        <v>12</v>
      </c>
      <c r="N640" s="2927">
        <v>4</v>
      </c>
      <c r="O640" s="2927">
        <v>20</v>
      </c>
      <c r="P640" s="2916"/>
      <c r="Q640" s="2916"/>
      <c r="R640" s="2916" t="s">
        <v>1766</v>
      </c>
      <c r="S640" s="2916" t="s">
        <v>1766</v>
      </c>
      <c r="T640" s="2916" t="s">
        <v>1766</v>
      </c>
      <c r="U640" s="2916"/>
      <c r="V640" s="2898" t="s">
        <v>1897</v>
      </c>
      <c r="W640" s="2898"/>
      <c r="X640" s="2899"/>
      <c r="Z640" s="2647" t="str">
        <f t="shared" si="79"/>
        <v/>
      </c>
      <c r="AB640" s="2221" t="s">
        <v>8563</v>
      </c>
      <c r="AC640" s="2001" t="s">
        <v>8562</v>
      </c>
      <c r="AD640" s="2001" t="s">
        <v>8565</v>
      </c>
      <c r="AE640" s="2222" t="s">
        <v>2597</v>
      </c>
      <c r="AG640" s="2221" t="str">
        <f t="shared" si="75"/>
        <v/>
      </c>
      <c r="AH640" s="2001" t="str">
        <f t="shared" si="76"/>
        <v>&gt; ESCUDOS</v>
      </c>
      <c r="AI640" s="2001" t="str">
        <f t="shared" si="77"/>
        <v>Bolas</v>
      </c>
      <c r="AJ640" s="2905">
        <f>IF($L640=AJ$627,COUNTIF($L$630:$L640,AJ$627)+1,0)</f>
        <v>0</v>
      </c>
      <c r="AK640" s="2902">
        <f>IF($L640=AK$627,COUNTIF($L$630:$L640,AK$627)+1,0)</f>
        <v>0</v>
      </c>
      <c r="AL640" s="2908">
        <f>IF($L640=AL$627,COUNTIF($L$630:$L640,AL$627)+1,0)</f>
        <v>10</v>
      </c>
    </row>
    <row r="641" spans="1:38" ht="12.75" customHeight="1" x14ac:dyDescent="0.2">
      <c r="A641" s="1916">
        <v>641</v>
      </c>
      <c r="B641" s="5148"/>
      <c r="C641" s="2918"/>
      <c r="D641" s="2919" t="s">
        <v>2474</v>
      </c>
      <c r="E641" s="2916">
        <v>20</v>
      </c>
      <c r="F641" s="2916">
        <v>0</v>
      </c>
      <c r="G641" s="2916">
        <v>5</v>
      </c>
      <c r="H641" s="2916">
        <v>5</v>
      </c>
      <c r="I641" s="2916" t="s">
        <v>1809</v>
      </c>
      <c r="J641" s="2916" t="s">
        <v>1766</v>
      </c>
      <c r="K641" s="2898" t="s">
        <v>8889</v>
      </c>
      <c r="L641" s="2916" t="str">
        <f t="shared" si="80"/>
        <v>Distinta</v>
      </c>
      <c r="M641" s="2927">
        <v>10</v>
      </c>
      <c r="N641" s="2927">
        <v>2</v>
      </c>
      <c r="O641" s="2927">
        <v>15</v>
      </c>
      <c r="P641" s="2916"/>
      <c r="Q641" s="2916"/>
      <c r="R641" s="2927">
        <v>50</v>
      </c>
      <c r="S641" s="2916" t="s">
        <v>1766</v>
      </c>
      <c r="T641" s="2916">
        <v>20</v>
      </c>
      <c r="U641" s="2916"/>
      <c r="V641" s="2898" t="s">
        <v>2476</v>
      </c>
      <c r="W641" s="2898"/>
      <c r="X641" s="2899"/>
      <c r="Z641" s="2647" t="str">
        <f t="shared" si="79"/>
        <v/>
      </c>
      <c r="AB641" s="2221" t="s">
        <v>2480</v>
      </c>
      <c r="AC641" s="2001" t="s">
        <v>8564</v>
      </c>
      <c r="AD641" s="19" t="s">
        <v>2577</v>
      </c>
      <c r="AE641" s="2615" t="s">
        <v>2599</v>
      </c>
      <c r="AG641" s="2221" t="str">
        <f t="shared" si="75"/>
        <v/>
      </c>
      <c r="AH641" s="2001" t="str">
        <f t="shared" si="76"/>
        <v>&gt; ARMAS EXÓTICAS</v>
      </c>
      <c r="AI641" s="2001" t="str">
        <f t="shared" si="77"/>
        <v>Boleadoras</v>
      </c>
      <c r="AJ641" s="2905">
        <f>IF($L641=AJ$627,COUNTIF($L$630:$L641,AJ$627)+1,0)</f>
        <v>0</v>
      </c>
      <c r="AK641" s="2902">
        <f>IF($L641=AK$627,COUNTIF($L$630:$L641,AK$627)+1,0)</f>
        <v>0</v>
      </c>
      <c r="AL641" s="2908">
        <f>IF($L641=AL$627,COUNTIF($L$630:$L641,AL$627)+1,0)</f>
        <v>11</v>
      </c>
    </row>
    <row r="642" spans="1:38" ht="12.75" customHeight="1" x14ac:dyDescent="0.2">
      <c r="A642" s="1916">
        <v>642</v>
      </c>
      <c r="B642" s="5148"/>
      <c r="C642" s="2918"/>
      <c r="D642" s="2919" t="s">
        <v>2477</v>
      </c>
      <c r="E642" s="2916">
        <v>30</v>
      </c>
      <c r="F642" s="2916">
        <v>-10</v>
      </c>
      <c r="G642" s="2916">
        <v>5</v>
      </c>
      <c r="H642" s="2916">
        <v>5</v>
      </c>
      <c r="I642" s="2916" t="s">
        <v>2478</v>
      </c>
      <c r="J642" s="2916" t="s">
        <v>1809</v>
      </c>
      <c r="K642" s="2898" t="s">
        <v>8889</v>
      </c>
      <c r="L642" s="2916" t="str">
        <f t="shared" si="80"/>
        <v>Distinta</v>
      </c>
      <c r="M642" s="2927">
        <v>6</v>
      </c>
      <c r="N642" s="2927">
        <v>2</v>
      </c>
      <c r="O642" s="2927">
        <v>15</v>
      </c>
      <c r="P642" s="2916"/>
      <c r="Q642" s="2916"/>
      <c r="R642" s="2927">
        <v>80</v>
      </c>
      <c r="S642" s="2916" t="s">
        <v>1766</v>
      </c>
      <c r="T642" s="2916">
        <v>20</v>
      </c>
      <c r="U642" s="2916"/>
      <c r="V642" s="2898" t="s">
        <v>2479</v>
      </c>
      <c r="W642" s="2898"/>
      <c r="X642" s="2899"/>
      <c r="Z642" s="2647" t="str">
        <f t="shared" si="79"/>
        <v/>
      </c>
      <c r="AB642" s="2221" t="s">
        <v>2483</v>
      </c>
      <c r="AC642" s="2001" t="s">
        <v>2493</v>
      </c>
      <c r="AD642" s="19" t="s">
        <v>2579</v>
      </c>
      <c r="AE642" s="2222" t="s">
        <v>2601</v>
      </c>
      <c r="AG642" s="2221" t="str">
        <f t="shared" si="75"/>
        <v/>
      </c>
      <c r="AH642" s="2001" t="str">
        <f t="shared" si="76"/>
        <v>Ram Dao</v>
      </c>
      <c r="AI642" s="2001" t="str">
        <f t="shared" si="77"/>
        <v>Bracamarte</v>
      </c>
      <c r="AJ642" s="2905">
        <f>IF($L642=AJ$627,COUNTIF($L$630:$L642,AJ$627)+1,0)</f>
        <v>0</v>
      </c>
      <c r="AK642" s="2902">
        <f>IF($L642=AK$627,COUNTIF($L$630:$L642,AK$627)+1,0)</f>
        <v>0</v>
      </c>
      <c r="AL642" s="2908">
        <f>IF($L642=AL$627,COUNTIF($L$630:$L642,AL$627)+1,0)</f>
        <v>12</v>
      </c>
    </row>
    <row r="643" spans="1:38" ht="12.75" customHeight="1" x14ac:dyDescent="0.2">
      <c r="A643" s="1916">
        <v>643</v>
      </c>
      <c r="B643" s="5148"/>
      <c r="C643" s="2918"/>
      <c r="D643" s="2919" t="s">
        <v>8563</v>
      </c>
      <c r="E643" s="2926">
        <v>60</v>
      </c>
      <c r="F643" s="2916">
        <v>-10</v>
      </c>
      <c r="G643" s="2916">
        <v>7</v>
      </c>
      <c r="H643" s="2916">
        <v>7</v>
      </c>
      <c r="I643" s="2916" t="s">
        <v>1863</v>
      </c>
      <c r="J643" s="2916" t="s">
        <v>1766</v>
      </c>
      <c r="K643" s="2898" t="s">
        <v>8890</v>
      </c>
      <c r="L643" s="2916" t="str">
        <f t="shared" si="80"/>
        <v>Distinta</v>
      </c>
      <c r="M643" s="2927">
        <v>15</v>
      </c>
      <c r="N643" s="2927">
        <v>4</v>
      </c>
      <c r="O643" s="2927">
        <v>20</v>
      </c>
      <c r="P643" s="2916"/>
      <c r="Q643" s="2916"/>
      <c r="R643" s="2916" t="s">
        <v>1766</v>
      </c>
      <c r="S643" s="2916" t="s">
        <v>1766</v>
      </c>
      <c r="T643" s="2916" t="s">
        <v>1766</v>
      </c>
      <c r="U643" s="2916"/>
      <c r="V643" s="2898" t="s">
        <v>1766</v>
      </c>
      <c r="W643" s="2898"/>
      <c r="X643" s="2899"/>
      <c r="Z643" s="2647" t="str">
        <f t="shared" si="79"/>
        <v/>
      </c>
      <c r="AB643" s="2221" t="s">
        <v>8566</v>
      </c>
      <c r="AC643" s="2001" t="s">
        <v>2496</v>
      </c>
      <c r="AD643" s="19" t="s">
        <v>2580</v>
      </c>
      <c r="AE643" s="2222" t="s">
        <v>2603</v>
      </c>
      <c r="AG643" s="2221" t="str">
        <f t="shared" si="75"/>
        <v/>
      </c>
      <c r="AH643" s="2001" t="str">
        <f t="shared" si="76"/>
        <v>&gt; A. DE PROYECTILES</v>
      </c>
      <c r="AI643" s="2001" t="str">
        <f t="shared" si="77"/>
        <v>Brandistock</v>
      </c>
      <c r="AJ643" s="2905">
        <f>IF($L643=AJ$627,COUNTIF($L$630:$L643,AJ$627)+1,0)</f>
        <v>0</v>
      </c>
      <c r="AK643" s="2902">
        <f>IF($L643=AK$627,COUNTIF($L$630:$L643,AK$627)+1,0)</f>
        <v>0</v>
      </c>
      <c r="AL643" s="2908">
        <f>IF($L643=AL$627,COUNTIF($L$630:$L643,AL$627)+1,0)</f>
        <v>13</v>
      </c>
    </row>
    <row r="644" spans="1:38" ht="12.75" customHeight="1" x14ac:dyDescent="0.2">
      <c r="A644" s="1916">
        <v>644</v>
      </c>
      <c r="B644" s="5148"/>
      <c r="C644" s="2918"/>
      <c r="D644" s="2919" t="s">
        <v>8562</v>
      </c>
      <c r="E644" s="2926">
        <v>40</v>
      </c>
      <c r="F644" s="2916">
        <v>0</v>
      </c>
      <c r="G644" s="2916" t="s">
        <v>1766</v>
      </c>
      <c r="H644" s="2916">
        <v>6</v>
      </c>
      <c r="I644" s="2916" t="s">
        <v>1864</v>
      </c>
      <c r="J644" s="2916" t="s">
        <v>1809</v>
      </c>
      <c r="K644" s="2898" t="s">
        <v>8887</v>
      </c>
      <c r="L644" s="2916" t="str">
        <f t="shared" si="80"/>
        <v>Distinta</v>
      </c>
      <c r="M644" s="2927">
        <v>9</v>
      </c>
      <c r="N644" s="2927">
        <v>3</v>
      </c>
      <c r="O644" s="2927">
        <v>25</v>
      </c>
      <c r="P644" s="2916"/>
      <c r="Q644" s="2916"/>
      <c r="R644" s="2916" t="s">
        <v>1766</v>
      </c>
      <c r="S644" s="2916" t="s">
        <v>1766</v>
      </c>
      <c r="T644" s="2916" t="s">
        <v>1766</v>
      </c>
      <c r="U644" s="2916"/>
      <c r="V644" s="2898" t="s">
        <v>8612</v>
      </c>
      <c r="W644" s="2898"/>
      <c r="X644" s="2899"/>
      <c r="Z644" s="2647" t="str">
        <f t="shared" si="79"/>
        <v/>
      </c>
      <c r="AB644" s="2221" t="s">
        <v>2485</v>
      </c>
      <c r="AC644" s="2001" t="s">
        <v>8567</v>
      </c>
      <c r="AD644" s="2001" t="s">
        <v>2581</v>
      </c>
      <c r="AE644" s="2222" t="s">
        <v>2605</v>
      </c>
      <c r="AG644" s="2221" t="str">
        <f t="shared" si="75"/>
        <v/>
      </c>
      <c r="AH644" s="2001" t="str">
        <f t="shared" si="76"/>
        <v>&gt; ARMAS DE ASEDIO</v>
      </c>
      <c r="AI644" s="2001" t="str">
        <f t="shared" si="77"/>
        <v>Cadena</v>
      </c>
      <c r="AJ644" s="2905">
        <f>IF($L644=AJ$627,COUNTIF($L$630:$L644,AJ$627)+1,0)</f>
        <v>0</v>
      </c>
      <c r="AK644" s="2902">
        <f>IF($L644=AK$627,COUNTIF($L$630:$L644,AK$627)+1,0)</f>
        <v>0</v>
      </c>
      <c r="AL644" s="2908">
        <f>IF($L644=AL$627,COUNTIF($L$630:$L644,AL$627)+1,0)</f>
        <v>14</v>
      </c>
    </row>
    <row r="645" spans="1:38" ht="12.75" customHeight="1" x14ac:dyDescent="0.2">
      <c r="A645" s="1916">
        <v>645</v>
      </c>
      <c r="B645" s="5148"/>
      <c r="C645" s="2918"/>
      <c r="D645" s="2919" t="s">
        <v>2480</v>
      </c>
      <c r="E645" s="2926">
        <v>25</v>
      </c>
      <c r="F645" s="2916">
        <v>0</v>
      </c>
      <c r="G645" s="2916">
        <v>6</v>
      </c>
      <c r="H645" s="2916">
        <v>6</v>
      </c>
      <c r="I645" s="2916" t="s">
        <v>1809</v>
      </c>
      <c r="J645" s="2916" t="s">
        <v>1766</v>
      </c>
      <c r="K645" s="2898" t="s">
        <v>8891</v>
      </c>
      <c r="L645" s="2916" t="str">
        <f t="shared" si="80"/>
        <v>Distinta</v>
      </c>
      <c r="M645" s="2927">
        <v>13</v>
      </c>
      <c r="N645" s="2927">
        <v>2</v>
      </c>
      <c r="O645" s="2927">
        <v>15</v>
      </c>
      <c r="P645" s="2916"/>
      <c r="Q645" s="2916"/>
      <c r="R645" s="2916" t="s">
        <v>1766</v>
      </c>
      <c r="S645" s="2916" t="s">
        <v>1766</v>
      </c>
      <c r="T645" s="2916" t="s">
        <v>1766</v>
      </c>
      <c r="U645" s="2916"/>
      <c r="V645" s="2898" t="s">
        <v>2482</v>
      </c>
      <c r="W645" s="2898"/>
      <c r="X645" s="2899"/>
      <c r="Z645" s="2647" t="str">
        <f t="shared" si="79"/>
        <v/>
      </c>
      <c r="AB645" s="2221" t="s">
        <v>8569</v>
      </c>
      <c r="AC645" s="2001" t="s">
        <v>8568</v>
      </c>
      <c r="AD645" s="2001" t="s">
        <v>2582</v>
      </c>
      <c r="AE645" s="2616"/>
      <c r="AG645" s="2221" t="str">
        <f t="shared" si="75"/>
        <v/>
      </c>
      <c r="AH645" s="2001" t="str">
        <f t="shared" si="76"/>
        <v/>
      </c>
      <c r="AI645" s="2001" t="str">
        <f t="shared" si="77"/>
        <v>Cestus</v>
      </c>
      <c r="AJ645" s="2905">
        <f>IF($L645=AJ$627,COUNTIF($L$630:$L645,AJ$627)+1,0)</f>
        <v>0</v>
      </c>
      <c r="AK645" s="2902">
        <f>IF($L645=AK$627,COUNTIF($L$630:$L645,AK$627)+1,0)</f>
        <v>0</v>
      </c>
      <c r="AL645" s="2908">
        <f>IF($L645=AL$627,COUNTIF($L$630:$L645,AL$627)+1,0)</f>
        <v>15</v>
      </c>
    </row>
    <row r="646" spans="1:38" ht="12.75" customHeight="1" x14ac:dyDescent="0.2">
      <c r="A646" s="1916">
        <v>646</v>
      </c>
      <c r="B646" s="5148"/>
      <c r="C646" s="2918"/>
      <c r="D646" s="2919" t="s">
        <v>2483</v>
      </c>
      <c r="E646" s="2926">
        <v>25</v>
      </c>
      <c r="F646" s="2916">
        <v>10</v>
      </c>
      <c r="G646" s="2916">
        <v>3</v>
      </c>
      <c r="H646" s="2916">
        <v>3</v>
      </c>
      <c r="I646" s="2916" t="s">
        <v>1864</v>
      </c>
      <c r="J646" s="2916" t="s">
        <v>1863</v>
      </c>
      <c r="K646" s="2898" t="s">
        <v>8892</v>
      </c>
      <c r="L646" s="2916" t="str">
        <f t="shared" si="80"/>
        <v>Distinta</v>
      </c>
      <c r="M646" s="2927">
        <v>11</v>
      </c>
      <c r="N646" s="2927">
        <v>-2</v>
      </c>
      <c r="O646" s="2927">
        <v>15</v>
      </c>
      <c r="P646" s="2916"/>
      <c r="Q646" s="2916"/>
      <c r="R646" s="2916" t="s">
        <v>1766</v>
      </c>
      <c r="S646" s="2916" t="s">
        <v>1766</v>
      </c>
      <c r="T646" s="2916" t="s">
        <v>1766</v>
      </c>
      <c r="U646" s="2916"/>
      <c r="V646" s="2898" t="s">
        <v>1766</v>
      </c>
      <c r="W646" s="2898"/>
      <c r="X646" s="2899"/>
      <c r="Z646" s="2647" t="str">
        <f t="shared" si="79"/>
        <v/>
      </c>
      <c r="AB646" s="2221" t="s">
        <v>2487</v>
      </c>
      <c r="AC646" s="2001" t="s">
        <v>8570</v>
      </c>
      <c r="AD646" s="2001" t="s">
        <v>8571</v>
      </c>
      <c r="AE646" s="2617"/>
      <c r="AG646" s="2221" t="str">
        <f t="shared" si="75"/>
        <v/>
      </c>
      <c r="AH646" s="2001" t="str">
        <f t="shared" si="76"/>
        <v/>
      </c>
      <c r="AI646" s="2001" t="str">
        <f t="shared" si="77"/>
        <v>Chui</v>
      </c>
      <c r="AJ646" s="2905">
        <f>IF($L646=AJ$627,COUNTIF($L$630:$L646,AJ$627)+1,0)</f>
        <v>0</v>
      </c>
      <c r="AK646" s="2902">
        <f>IF($L646=AK$627,COUNTIF($L$630:$L646,AK$627)+1,0)</f>
        <v>0</v>
      </c>
      <c r="AL646" s="2908">
        <f>IF($L646=AL$627,COUNTIF($L$630:$L646,AL$627)+1,0)</f>
        <v>16</v>
      </c>
    </row>
    <row r="647" spans="1:38" ht="12.75" customHeight="1" x14ac:dyDescent="0.2">
      <c r="A647" s="1916">
        <v>647</v>
      </c>
      <c r="B647" s="5148"/>
      <c r="C647" s="2918"/>
      <c r="D647" s="2919" t="s">
        <v>8566</v>
      </c>
      <c r="E647" s="2926">
        <v>40</v>
      </c>
      <c r="F647" s="2916">
        <v>5</v>
      </c>
      <c r="G647" s="2916">
        <v>6</v>
      </c>
      <c r="H647" s="2916">
        <v>6</v>
      </c>
      <c r="I647" s="2916" t="s">
        <v>1809</v>
      </c>
      <c r="J647" s="2916" t="s">
        <v>1766</v>
      </c>
      <c r="K647" s="2898" t="s">
        <v>8893</v>
      </c>
      <c r="L647" s="2916" t="str">
        <f t="shared" si="80"/>
        <v>Distinta</v>
      </c>
      <c r="M647" s="2927">
        <v>13</v>
      </c>
      <c r="N647" s="2927">
        <v>3</v>
      </c>
      <c r="O647" s="2927">
        <v>15</v>
      </c>
      <c r="P647" s="2916"/>
      <c r="Q647" s="2916"/>
      <c r="R647" s="2916" t="s">
        <v>1766</v>
      </c>
      <c r="S647" s="2916" t="s">
        <v>1766</v>
      </c>
      <c r="T647" s="2916" t="s">
        <v>1766</v>
      </c>
      <c r="U647" s="2916"/>
      <c r="V647" s="2898" t="s">
        <v>1766</v>
      </c>
      <c r="W647" s="2898"/>
      <c r="X647" s="2899"/>
      <c r="Z647" s="2647" t="str">
        <f t="shared" si="79"/>
        <v/>
      </c>
      <c r="AB647" s="2221" t="s">
        <v>2489</v>
      </c>
      <c r="AC647" s="2001" t="s">
        <v>2507</v>
      </c>
      <c r="AD647" s="19" t="s">
        <v>2583</v>
      </c>
      <c r="AE647" s="2617"/>
      <c r="AG647" s="2221" t="str">
        <f t="shared" si="75"/>
        <v/>
      </c>
      <c r="AH647" s="2001" t="str">
        <f t="shared" si="76"/>
        <v/>
      </c>
      <c r="AI647" s="2001" t="str">
        <f t="shared" si="77"/>
        <v>Cimitarra</v>
      </c>
      <c r="AJ647" s="2905">
        <f>IF($L647=AJ$627,COUNTIF($L$630:$L647,AJ$627)+1,0)</f>
        <v>0</v>
      </c>
      <c r="AK647" s="2902">
        <f>IF($L647=AK$627,COUNTIF($L$630:$L647,AK$627)+1,0)</f>
        <v>0</v>
      </c>
      <c r="AL647" s="2908">
        <f>IF($L647=AL$627,COUNTIF($L$630:$L647,AL$627)+1,0)</f>
        <v>17</v>
      </c>
    </row>
    <row r="648" spans="1:38" ht="12.75" customHeight="1" x14ac:dyDescent="0.2">
      <c r="A648" s="1916">
        <v>648</v>
      </c>
      <c r="B648" s="5148"/>
      <c r="C648" s="2918"/>
      <c r="D648" s="2919" t="s">
        <v>2485</v>
      </c>
      <c r="E648" s="2926">
        <v>50</v>
      </c>
      <c r="F648" s="2916">
        <v>-5</v>
      </c>
      <c r="G648" s="2916">
        <v>5</v>
      </c>
      <c r="H648" s="2916">
        <v>5</v>
      </c>
      <c r="I648" s="2916" t="s">
        <v>1863</v>
      </c>
      <c r="J648" s="2916" t="s">
        <v>1766</v>
      </c>
      <c r="K648" s="2898" t="s">
        <v>8890</v>
      </c>
      <c r="L648" s="2916" t="str">
        <f t="shared" si="80"/>
        <v>Distinta</v>
      </c>
      <c r="M648" s="2927">
        <v>13</v>
      </c>
      <c r="N648" s="2927">
        <v>4</v>
      </c>
      <c r="O648" s="2927">
        <v>20</v>
      </c>
      <c r="P648" s="2916"/>
      <c r="Q648" s="2916"/>
      <c r="R648" s="2916" t="s">
        <v>1766</v>
      </c>
      <c r="S648" s="2916" t="s">
        <v>1766</v>
      </c>
      <c r="T648" s="2916" t="s">
        <v>1766</v>
      </c>
      <c r="U648" s="2916"/>
      <c r="V648" s="2898" t="s">
        <v>1766</v>
      </c>
      <c r="W648" s="2898"/>
      <c r="X648" s="2899"/>
      <c r="Z648" s="2647" t="str">
        <f t="shared" si="79"/>
        <v/>
      </c>
      <c r="AB648" s="2221" t="s">
        <v>2491</v>
      </c>
      <c r="AC648" s="2001" t="s">
        <v>2508</v>
      </c>
      <c r="AD648" s="19" t="s">
        <v>2584</v>
      </c>
      <c r="AE648" s="2617"/>
      <c r="AG648" s="2221" t="str">
        <f t="shared" si="75"/>
        <v/>
      </c>
      <c r="AH648" s="2001" t="str">
        <f t="shared" si="76"/>
        <v/>
      </c>
      <c r="AI648" s="2001" t="str">
        <f t="shared" si="77"/>
        <v>Cinquedea</v>
      </c>
      <c r="AJ648" s="2905">
        <f>IF($L648=AJ$627,COUNTIF($L$630:$L648,AJ$627)+1,0)</f>
        <v>0</v>
      </c>
      <c r="AK648" s="2902">
        <f>IF($L648=AK$627,COUNTIF($L$630:$L648,AK$627)+1,0)</f>
        <v>0</v>
      </c>
      <c r="AL648" s="2908">
        <f>IF($L648=AL$627,COUNTIF($L$630:$L648,AL$627)+1,0)</f>
        <v>18</v>
      </c>
    </row>
    <row r="649" spans="1:38" ht="12.75" customHeight="1" x14ac:dyDescent="0.2">
      <c r="A649" s="1916">
        <v>649</v>
      </c>
      <c r="B649" s="5148"/>
      <c r="C649" s="2918"/>
      <c r="D649" s="2919" t="s">
        <v>8569</v>
      </c>
      <c r="E649" s="2926">
        <v>35</v>
      </c>
      <c r="F649" s="2916">
        <v>0</v>
      </c>
      <c r="G649" s="2916">
        <v>4</v>
      </c>
      <c r="H649" s="2916">
        <v>4</v>
      </c>
      <c r="I649" s="2916" t="s">
        <v>1864</v>
      </c>
      <c r="J649" s="2916" t="s">
        <v>1863</v>
      </c>
      <c r="K649" s="2898" t="s">
        <v>8892</v>
      </c>
      <c r="L649" s="2916" t="str">
        <f t="shared" si="80"/>
        <v>Distinta</v>
      </c>
      <c r="M649" s="2927">
        <v>12</v>
      </c>
      <c r="N649" s="2927">
        <v>0</v>
      </c>
      <c r="O649" s="2927">
        <v>20</v>
      </c>
      <c r="P649" s="2916"/>
      <c r="Q649" s="2916"/>
      <c r="R649" s="2916" t="s">
        <v>1766</v>
      </c>
      <c r="S649" s="2916" t="s">
        <v>1766</v>
      </c>
      <c r="T649" s="2916" t="s">
        <v>1766</v>
      </c>
      <c r="U649" s="2916"/>
      <c r="V649" s="2898" t="s">
        <v>2498</v>
      </c>
      <c r="W649" s="2898"/>
      <c r="X649" s="2899"/>
      <c r="Z649" s="2647" t="str">
        <f t="shared" si="79"/>
        <v/>
      </c>
      <c r="AB649" s="2221" t="s">
        <v>8573</v>
      </c>
      <c r="AC649" s="2001" t="s">
        <v>8572</v>
      </c>
      <c r="AD649" s="19" t="s">
        <v>2585</v>
      </c>
      <c r="AE649" s="2617"/>
      <c r="AG649" s="2221" t="str">
        <f t="shared" si="75"/>
        <v/>
      </c>
      <c r="AH649" s="2001" t="str">
        <f t="shared" si="76"/>
        <v/>
      </c>
      <c r="AI649" s="2001" t="str">
        <f t="shared" si="77"/>
        <v>Claymore</v>
      </c>
      <c r="AJ649" s="2905">
        <f>IF($L649=AJ$627,COUNTIF($L$630:$L649,AJ$627)+1,0)</f>
        <v>0</v>
      </c>
      <c r="AK649" s="2902">
        <f>IF($L649=AK$627,COUNTIF($L$630:$L649,AK$627)+1,0)</f>
        <v>0</v>
      </c>
      <c r="AL649" s="2908">
        <f>IF($L649=AL$627,COUNTIF($L$630:$L649,AL$627)+1,0)</f>
        <v>19</v>
      </c>
    </row>
    <row r="650" spans="1:38" ht="12.75" customHeight="1" x14ac:dyDescent="0.2">
      <c r="A650" s="1916">
        <v>650</v>
      </c>
      <c r="B650" s="5148"/>
      <c r="C650" s="2918"/>
      <c r="D650" s="2919" t="s">
        <v>8564</v>
      </c>
      <c r="E650" s="2926">
        <v>65</v>
      </c>
      <c r="F650" s="2916">
        <v>-20</v>
      </c>
      <c r="G650" s="2916" t="s">
        <v>1766</v>
      </c>
      <c r="H650" s="2916">
        <v>7</v>
      </c>
      <c r="I650" s="2916" t="s">
        <v>1863</v>
      </c>
      <c r="J650" s="2916" t="s">
        <v>1809</v>
      </c>
      <c r="K650" s="2898" t="s">
        <v>8894</v>
      </c>
      <c r="L650" s="2916" t="str">
        <f t="shared" si="80"/>
        <v>Distinta</v>
      </c>
      <c r="M650" s="2927">
        <v>6</v>
      </c>
      <c r="N650" s="2927">
        <v>5</v>
      </c>
      <c r="O650" s="2927">
        <v>25</v>
      </c>
      <c r="P650" s="2916"/>
      <c r="Q650" s="2916"/>
      <c r="R650" s="2916" t="s">
        <v>1766</v>
      </c>
      <c r="S650" s="2916" t="s">
        <v>1766</v>
      </c>
      <c r="T650" s="2916" t="s">
        <v>1766</v>
      </c>
      <c r="U650" s="2916"/>
      <c r="V650" s="2898" t="s">
        <v>1897</v>
      </c>
      <c r="W650" s="2898"/>
      <c r="X650" s="2899"/>
      <c r="Z650" s="2647" t="str">
        <f t="shared" si="79"/>
        <v/>
      </c>
      <c r="AB650" s="2221" t="s">
        <v>8574</v>
      </c>
      <c r="AC650" s="2001" t="s">
        <v>2509</v>
      </c>
      <c r="AD650" s="19" t="s">
        <v>10002</v>
      </c>
      <c r="AE650" s="2617"/>
      <c r="AG650" s="2221" t="str">
        <f t="shared" si="75"/>
        <v/>
      </c>
      <c r="AH650" s="2001" t="str">
        <f t="shared" si="76"/>
        <v/>
      </c>
      <c r="AI650" s="2001" t="str">
        <f t="shared" si="77"/>
        <v>Daga</v>
      </c>
      <c r="AJ650" s="2905">
        <f>IF($L650=AJ$627,COUNTIF($L$630:$L650,AJ$627)+1,0)</f>
        <v>0</v>
      </c>
      <c r="AK650" s="2902">
        <f>IF($L650=AK$627,COUNTIF($L$630:$L650,AK$627)+1,0)</f>
        <v>0</v>
      </c>
      <c r="AL650" s="2908">
        <f>IF($L650=AL$627,COUNTIF($L$630:$L650,AL$627)+1,0)</f>
        <v>20</v>
      </c>
    </row>
    <row r="651" spans="1:38" ht="12.75" customHeight="1" x14ac:dyDescent="0.2">
      <c r="A651" s="1916">
        <v>651</v>
      </c>
      <c r="B651" s="5148"/>
      <c r="C651" s="2918"/>
      <c r="D651" s="2919" t="s">
        <v>2487</v>
      </c>
      <c r="E651" s="2926">
        <v>30</v>
      </c>
      <c r="F651" s="2916">
        <v>20</v>
      </c>
      <c r="G651" s="2916">
        <v>3</v>
      </c>
      <c r="H651" s="2916">
        <v>3</v>
      </c>
      <c r="I651" s="2916" t="s">
        <v>1864</v>
      </c>
      <c r="J651" s="2916" t="s">
        <v>1863</v>
      </c>
      <c r="K651" s="2898" t="s">
        <v>8892</v>
      </c>
      <c r="L651" s="2916" t="str">
        <f t="shared" si="80"/>
        <v>Distinta</v>
      </c>
      <c r="M651" s="2927">
        <v>10</v>
      </c>
      <c r="N651" s="2927">
        <v>-2</v>
      </c>
      <c r="O651" s="2927">
        <v>15</v>
      </c>
      <c r="P651" s="2916"/>
      <c r="Q651" s="2916"/>
      <c r="R651" s="2927">
        <v>50</v>
      </c>
      <c r="S651" s="2916" t="s">
        <v>1766</v>
      </c>
      <c r="T651" s="2916">
        <v>20</v>
      </c>
      <c r="U651" s="2916"/>
      <c r="V651" s="2898" t="s">
        <v>2488</v>
      </c>
      <c r="W651" s="2898"/>
      <c r="X651" s="2899"/>
      <c r="Z651" s="2647" t="str">
        <f t="shared" si="79"/>
        <v/>
      </c>
      <c r="AB651" s="2221" t="s">
        <v>2493</v>
      </c>
      <c r="AC651" s="2001" t="s">
        <v>2517</v>
      </c>
      <c r="AD651" s="19" t="s">
        <v>10003</v>
      </c>
      <c r="AE651" s="2617"/>
      <c r="AG651" s="2221" t="str">
        <f t="shared" si="75"/>
        <v/>
      </c>
      <c r="AH651" s="2001" t="str">
        <f t="shared" si="76"/>
        <v/>
      </c>
      <c r="AI651" s="2001" t="str">
        <f t="shared" si="77"/>
        <v>Daga de parada</v>
      </c>
      <c r="AJ651" s="2905">
        <f>IF($L651=AJ$627,COUNTIF($L$630:$L651,AJ$627)+1,0)</f>
        <v>0</v>
      </c>
      <c r="AK651" s="2902">
        <f>IF($L651=AK$627,COUNTIF($L$630:$L651,AK$627)+1,0)</f>
        <v>0</v>
      </c>
      <c r="AL651" s="2908">
        <f>IF($L651=AL$627,COUNTIF($L$630:$L651,AL$627)+1,0)</f>
        <v>21</v>
      </c>
    </row>
    <row r="652" spans="1:38" ht="12.75" customHeight="1" x14ac:dyDescent="0.2">
      <c r="A652" s="1916">
        <v>652</v>
      </c>
      <c r="B652" s="5148"/>
      <c r="C652" s="2918"/>
      <c r="D652" s="2919" t="s">
        <v>2489</v>
      </c>
      <c r="E652" s="2926">
        <v>30</v>
      </c>
      <c r="F652" s="2916">
        <v>15</v>
      </c>
      <c r="G652" s="2916">
        <v>3</v>
      </c>
      <c r="H652" s="2916">
        <v>3</v>
      </c>
      <c r="I652" s="2916" t="s">
        <v>1864</v>
      </c>
      <c r="J652" s="2916" t="s">
        <v>1863</v>
      </c>
      <c r="K652" s="2898" t="s">
        <v>8892</v>
      </c>
      <c r="L652" s="2916" t="str">
        <f t="shared" si="80"/>
        <v>Distinta</v>
      </c>
      <c r="M652" s="2927">
        <v>12</v>
      </c>
      <c r="N652" s="2927">
        <v>0</v>
      </c>
      <c r="O652" s="2927">
        <v>20</v>
      </c>
      <c r="P652" s="2916"/>
      <c r="Q652" s="2916"/>
      <c r="R652" s="2927">
        <v>50</v>
      </c>
      <c r="S652" s="2916" t="s">
        <v>1766</v>
      </c>
      <c r="T652" s="2916">
        <v>15</v>
      </c>
      <c r="U652" s="2916"/>
      <c r="V652" s="2898" t="s">
        <v>2490</v>
      </c>
      <c r="W652" s="2898"/>
      <c r="X652" s="2899"/>
      <c r="Z652" s="2647" t="str">
        <f t="shared" si="79"/>
        <v/>
      </c>
      <c r="AB652" s="2221" t="s">
        <v>2495</v>
      </c>
      <c r="AC652" s="2001" t="s">
        <v>8575</v>
      </c>
      <c r="AD652" s="19" t="s">
        <v>10004</v>
      </c>
      <c r="AE652" s="2617"/>
      <c r="AG652" s="2221" t="str">
        <f t="shared" si="75"/>
        <v/>
      </c>
      <c r="AH652" s="2001" t="str">
        <f t="shared" si="76"/>
        <v/>
      </c>
      <c r="AI652" s="2001" t="str">
        <f t="shared" si="77"/>
        <v>Dardos de mano</v>
      </c>
      <c r="AJ652" s="2905">
        <f>IF($L652=AJ$627,COUNTIF($L$630:$L652,AJ$627)+1,0)</f>
        <v>0</v>
      </c>
      <c r="AK652" s="2902">
        <f>IF($L652=AK$627,COUNTIF($L$630:$L652,AK$627)+1,0)</f>
        <v>0</v>
      </c>
      <c r="AL652" s="2908">
        <f>IF($L652=AL$627,COUNTIF($L$630:$L652,AL$627)+1,0)</f>
        <v>22</v>
      </c>
    </row>
    <row r="653" spans="1:38" ht="12.75" customHeight="1" x14ac:dyDescent="0.2">
      <c r="A653" s="1916">
        <v>653</v>
      </c>
      <c r="B653" s="5148"/>
      <c r="C653" s="2918"/>
      <c r="D653" s="2919" t="s">
        <v>2491</v>
      </c>
      <c r="E653" s="2916">
        <v>20</v>
      </c>
      <c r="F653" s="2916">
        <v>20</v>
      </c>
      <c r="G653" s="2916">
        <v>3</v>
      </c>
      <c r="H653" s="2916">
        <v>3</v>
      </c>
      <c r="I653" s="2916" t="s">
        <v>1864</v>
      </c>
      <c r="J653" s="2916" t="s">
        <v>1766</v>
      </c>
      <c r="K653" s="2898" t="s">
        <v>8889</v>
      </c>
      <c r="L653" s="2916" t="str">
        <f t="shared" si="80"/>
        <v>Distinta</v>
      </c>
      <c r="M653" s="2927">
        <v>3</v>
      </c>
      <c r="N653" s="2927">
        <v>-4</v>
      </c>
      <c r="O653" s="2927">
        <v>15</v>
      </c>
      <c r="P653" s="2916"/>
      <c r="Q653" s="2916"/>
      <c r="R653" s="2927">
        <v>40</v>
      </c>
      <c r="S653" s="2916" t="s">
        <v>1766</v>
      </c>
      <c r="T653" s="2916">
        <v>20</v>
      </c>
      <c r="U653" s="2916"/>
      <c r="V653" s="2898" t="s">
        <v>2492</v>
      </c>
      <c r="W653" s="2898"/>
      <c r="X653" s="2899"/>
      <c r="Z653" s="2647" t="str">
        <f t="shared" si="79"/>
        <v/>
      </c>
      <c r="AB653" s="2221" t="s">
        <v>2496</v>
      </c>
      <c r="AC653" s="2001" t="s">
        <v>8576</v>
      </c>
      <c r="AD653" s="19" t="s">
        <v>10005</v>
      </c>
      <c r="AE653" s="2617"/>
      <c r="AG653" s="2221" t="str">
        <f t="shared" si="75"/>
        <v/>
      </c>
      <c r="AH653" s="2001" t="str">
        <f t="shared" si="76"/>
        <v/>
      </c>
      <c r="AI653" s="2001" t="str">
        <f t="shared" si="77"/>
        <v>Dirk</v>
      </c>
      <c r="AJ653" s="2905">
        <f>IF($L653=AJ$627,COUNTIF($L$630:$L653,AJ$627)+1,0)</f>
        <v>0</v>
      </c>
      <c r="AK653" s="2902">
        <f>IF($L653=AK$627,COUNTIF($L$630:$L653,AK$627)+1,0)</f>
        <v>0</v>
      </c>
      <c r="AL653" s="2908">
        <f>IF($L653=AL$627,COUNTIF($L$630:$L653,AL$627)+1,0)</f>
        <v>23</v>
      </c>
    </row>
    <row r="654" spans="1:38" ht="12.75" customHeight="1" x14ac:dyDescent="0.2">
      <c r="A654" s="1916">
        <v>654</v>
      </c>
      <c r="B654" s="5148"/>
      <c r="C654" s="2918"/>
      <c r="D654" s="2919" t="s">
        <v>8573</v>
      </c>
      <c r="E654" s="2926">
        <v>35</v>
      </c>
      <c r="F654" s="2916">
        <v>15</v>
      </c>
      <c r="G654" s="2916">
        <v>5</v>
      </c>
      <c r="H654" s="2916">
        <v>5</v>
      </c>
      <c r="I654" s="2916" t="s">
        <v>1864</v>
      </c>
      <c r="J654" s="2916" t="s">
        <v>1766</v>
      </c>
      <c r="K654" s="2898" t="s">
        <v>8892</v>
      </c>
      <c r="L654" s="2916" t="str">
        <f t="shared" si="80"/>
        <v>Distinta</v>
      </c>
      <c r="M654" s="2927">
        <v>10</v>
      </c>
      <c r="N654" s="2927">
        <v>-2</v>
      </c>
      <c r="O654" s="2927">
        <v>15</v>
      </c>
      <c r="P654" s="2916"/>
      <c r="Q654" s="2916"/>
      <c r="R654" s="2916" t="s">
        <v>1766</v>
      </c>
      <c r="S654" s="2916" t="s">
        <v>1766</v>
      </c>
      <c r="T654" s="2916" t="s">
        <v>1766</v>
      </c>
      <c r="U654" s="2916"/>
      <c r="V654" s="2898" t="s">
        <v>2498</v>
      </c>
      <c r="W654" s="2898"/>
      <c r="X654" s="2899"/>
      <c r="Z654" s="2647" t="str">
        <f t="shared" si="79"/>
        <v/>
      </c>
      <c r="AB654" s="2221" t="s">
        <v>2497</v>
      </c>
      <c r="AC654" s="2001" t="s">
        <v>2530</v>
      </c>
      <c r="AD654" s="19" t="s">
        <v>2607</v>
      </c>
      <c r="AE654" s="2617"/>
      <c r="AG654" s="2221" t="str">
        <f t="shared" si="75"/>
        <v/>
      </c>
      <c r="AH654" s="2001" t="str">
        <f t="shared" si="76"/>
        <v/>
      </c>
      <c r="AI654" s="2001" t="str">
        <f t="shared" si="77"/>
        <v>Escramasajón</v>
      </c>
      <c r="AJ654" s="2905">
        <f>IF($L654=AJ$627,COUNTIF($L$630:$L654,AJ$627)+1,0)</f>
        <v>0</v>
      </c>
      <c r="AK654" s="2902">
        <f>IF($L654=AK$627,COUNTIF($L$630:$L654,AK$627)+1,0)</f>
        <v>0</v>
      </c>
      <c r="AL654" s="2908">
        <f>IF($L654=AL$627,COUNTIF($L$630:$L654,AL$627)+1,0)</f>
        <v>24</v>
      </c>
    </row>
    <row r="655" spans="1:38" ht="12.75" customHeight="1" x14ac:dyDescent="0.2">
      <c r="A655" s="1916">
        <v>655</v>
      </c>
      <c r="B655" s="5148"/>
      <c r="C655" s="2918"/>
      <c r="D655" s="2919" t="s">
        <v>8574</v>
      </c>
      <c r="E655" s="2926">
        <v>45</v>
      </c>
      <c r="F655" s="2916">
        <v>0</v>
      </c>
      <c r="G655" s="2916">
        <v>4</v>
      </c>
      <c r="H655" s="2916">
        <v>4</v>
      </c>
      <c r="I655" s="2916" t="s">
        <v>1863</v>
      </c>
      <c r="J655" s="2916" t="s">
        <v>1864</v>
      </c>
      <c r="K655" s="2898" t="s">
        <v>8892</v>
      </c>
      <c r="L655" s="2916" t="str">
        <f t="shared" si="80"/>
        <v>Distinta</v>
      </c>
      <c r="M655" s="2927">
        <v>14</v>
      </c>
      <c r="N655" s="2927">
        <v>4</v>
      </c>
      <c r="O655" s="2927">
        <v>20</v>
      </c>
      <c r="P655" s="2916"/>
      <c r="Q655" s="2916"/>
      <c r="R655" s="2916" t="s">
        <v>1766</v>
      </c>
      <c r="S655" s="2916" t="s">
        <v>1766</v>
      </c>
      <c r="T655" s="2916" t="s">
        <v>1766</v>
      </c>
      <c r="U655" s="2916"/>
      <c r="V655" s="2898" t="s">
        <v>1766</v>
      </c>
      <c r="W655" s="2898"/>
      <c r="X655" s="2899"/>
      <c r="Z655" s="2647" t="str">
        <f t="shared" si="79"/>
        <v/>
      </c>
      <c r="AB655" s="2221" t="s">
        <v>2499</v>
      </c>
      <c r="AC655" s="19" t="s">
        <v>8577</v>
      </c>
      <c r="AD655" s="19" t="s">
        <v>2617</v>
      </c>
      <c r="AE655" s="2617"/>
      <c r="AG655" s="2221" t="str">
        <f t="shared" si="75"/>
        <v/>
      </c>
      <c r="AH655" s="2001" t="str">
        <f t="shared" si="76"/>
        <v/>
      </c>
      <c r="AI655" s="2001" t="str">
        <f t="shared" si="77"/>
        <v>Espada a dos manos</v>
      </c>
      <c r="AJ655" s="2905">
        <f>IF($L655=AJ$627,COUNTIF($L$630:$L655,AJ$627)+1,0)</f>
        <v>0</v>
      </c>
      <c r="AK655" s="2902">
        <f>IF($L655=AK$627,COUNTIF($L$630:$L655,AK$627)+1,0)</f>
        <v>0</v>
      </c>
      <c r="AL655" s="2908">
        <f>IF($L655=AL$627,COUNTIF($L$630:$L655,AL$627)+1,0)</f>
        <v>25</v>
      </c>
    </row>
    <row r="656" spans="1:38" ht="12.75" customHeight="1" x14ac:dyDescent="0.2">
      <c r="A656" s="1916">
        <v>656</v>
      </c>
      <c r="B656" s="5148"/>
      <c r="C656" s="2918"/>
      <c r="D656" s="2919" t="s">
        <v>2493</v>
      </c>
      <c r="E656" s="2926">
        <v>90</v>
      </c>
      <c r="F656" s="2916">
        <v>-60</v>
      </c>
      <c r="G656" s="2916">
        <v>10</v>
      </c>
      <c r="H656" s="2916">
        <v>8</v>
      </c>
      <c r="I656" s="2916" t="s">
        <v>1863</v>
      </c>
      <c r="J656" s="2916" t="s">
        <v>1809</v>
      </c>
      <c r="K656" s="2898" t="s">
        <v>8894</v>
      </c>
      <c r="L656" s="2916" t="str">
        <f t="shared" si="80"/>
        <v>Distinta</v>
      </c>
      <c r="M656" s="2927">
        <v>18</v>
      </c>
      <c r="N656" s="2927">
        <v>6</v>
      </c>
      <c r="O656" s="2927">
        <v>30</v>
      </c>
      <c r="P656" s="2916"/>
      <c r="Q656" s="2916"/>
      <c r="R656" s="2916" t="s">
        <v>1766</v>
      </c>
      <c r="S656" s="2916" t="s">
        <v>1766</v>
      </c>
      <c r="T656" s="2916" t="s">
        <v>1766</v>
      </c>
      <c r="U656" s="2916"/>
      <c r="V656" s="2898" t="s">
        <v>2494</v>
      </c>
      <c r="W656" s="2898"/>
      <c r="X656" s="2899"/>
      <c r="Z656" s="2647" t="str">
        <f t="shared" si="79"/>
        <v/>
      </c>
      <c r="AB656" s="2221" t="s">
        <v>2500</v>
      </c>
      <c r="AC656" s="19" t="s">
        <v>8579</v>
      </c>
      <c r="AD656" s="19" t="s">
        <v>2619</v>
      </c>
      <c r="AE656" s="2617"/>
      <c r="AG656" s="2221" t="str">
        <f t="shared" si="75"/>
        <v/>
      </c>
      <c r="AH656" s="2001" t="str">
        <f t="shared" si="76"/>
        <v/>
      </c>
      <c r="AI656" s="2001" t="str">
        <f t="shared" si="77"/>
        <v>Espada ancha</v>
      </c>
      <c r="AJ656" s="2905">
        <f>IF($L656=AJ$627,COUNTIF($L$630:$L656,AJ$627)+1,0)</f>
        <v>0</v>
      </c>
      <c r="AK656" s="2902">
        <f>IF($L656=AK$627,COUNTIF($L$630:$L656,AK$627)+1,0)</f>
        <v>0</v>
      </c>
      <c r="AL656" s="2908">
        <f>IF($L656=AL$627,COUNTIF($L$630:$L656,AL$627)+1,0)</f>
        <v>26</v>
      </c>
    </row>
    <row r="657" spans="1:38" ht="12.75" customHeight="1" x14ac:dyDescent="0.2">
      <c r="A657" s="1916">
        <v>657</v>
      </c>
      <c r="B657" s="5148"/>
      <c r="C657" s="2918"/>
      <c r="D657" s="2919" t="s">
        <v>2495</v>
      </c>
      <c r="E657" s="2926">
        <v>55</v>
      </c>
      <c r="F657" s="2916">
        <v>-5</v>
      </c>
      <c r="G657" s="2916">
        <v>5</v>
      </c>
      <c r="H657" s="2916">
        <v>5</v>
      </c>
      <c r="I657" s="2916" t="s">
        <v>1863</v>
      </c>
      <c r="J657" s="2916" t="s">
        <v>1766</v>
      </c>
      <c r="K657" s="2898" t="s">
        <v>8890</v>
      </c>
      <c r="L657" s="2916" t="str">
        <f t="shared" si="80"/>
        <v>Distinta</v>
      </c>
      <c r="M657" s="2927">
        <v>15</v>
      </c>
      <c r="N657" s="2927">
        <v>3</v>
      </c>
      <c r="O657" s="2927">
        <v>25</v>
      </c>
      <c r="P657" s="2916"/>
      <c r="Q657" s="2916"/>
      <c r="R657" s="2916" t="s">
        <v>1766</v>
      </c>
      <c r="S657" s="2916" t="s">
        <v>1766</v>
      </c>
      <c r="T657" s="2916" t="s">
        <v>1766</v>
      </c>
      <c r="U657" s="2916"/>
      <c r="V657" s="2898" t="s">
        <v>1766</v>
      </c>
      <c r="W657" s="2898"/>
      <c r="X657" s="2899"/>
      <c r="Z657" s="2647" t="str">
        <f t="shared" si="79"/>
        <v/>
      </c>
      <c r="AB657" s="2221" t="s">
        <v>2502</v>
      </c>
      <c r="AC657" s="19" t="s">
        <v>2534</v>
      </c>
      <c r="AD657" s="19" t="s">
        <v>2620</v>
      </c>
      <c r="AE657" s="2617"/>
      <c r="AG657" s="2221" t="str">
        <f t="shared" si="75"/>
        <v/>
      </c>
      <c r="AH657" s="2001" t="str">
        <f t="shared" si="76"/>
        <v/>
      </c>
      <c r="AI657" s="2001" t="str">
        <f t="shared" si="77"/>
        <v>Espada corta</v>
      </c>
      <c r="AJ657" s="2905">
        <f>IF($L657=AJ$627,COUNTIF($L$630:$L657,AJ$627)+1,0)</f>
        <v>0</v>
      </c>
      <c r="AK657" s="2902">
        <f>IF($L657=AK$627,COUNTIF($L$630:$L657,AK$627)+1,0)</f>
        <v>0</v>
      </c>
      <c r="AL657" s="2908">
        <f>IF($L657=AL$627,COUNTIF($L$630:$L657,AL$627)+1,0)</f>
        <v>27</v>
      </c>
    </row>
    <row r="658" spans="1:38" ht="12.75" customHeight="1" x14ac:dyDescent="0.2">
      <c r="A658" s="1916">
        <v>658</v>
      </c>
      <c r="B658" s="5148"/>
      <c r="C658" s="2918"/>
      <c r="D658" s="2919" t="s">
        <v>2496</v>
      </c>
      <c r="E658" s="2926">
        <v>70</v>
      </c>
      <c r="F658" s="2916">
        <v>-30</v>
      </c>
      <c r="G658" s="2916">
        <v>7</v>
      </c>
      <c r="H658" s="2916">
        <v>7</v>
      </c>
      <c r="I658" s="2916" t="s">
        <v>1863</v>
      </c>
      <c r="J658" s="2916" t="s">
        <v>1809</v>
      </c>
      <c r="K658" s="2898" t="s">
        <v>8895</v>
      </c>
      <c r="L658" s="2916" t="str">
        <f t="shared" si="80"/>
        <v>Mixta</v>
      </c>
      <c r="M658" s="2927">
        <v>15</v>
      </c>
      <c r="N658" s="2927">
        <v>5</v>
      </c>
      <c r="O658" s="2927">
        <v>25</v>
      </c>
      <c r="P658" s="2916"/>
      <c r="Q658" s="2916"/>
      <c r="R658" s="2916" t="s">
        <v>1766</v>
      </c>
      <c r="S658" s="2916" t="s">
        <v>1766</v>
      </c>
      <c r="T658" s="2916" t="s">
        <v>1766</v>
      </c>
      <c r="U658" s="2916"/>
      <c r="V658" s="2898" t="s">
        <v>2494</v>
      </c>
      <c r="W658" s="2898"/>
      <c r="X658" s="2899"/>
      <c r="Z658" s="2647" t="str">
        <f t="shared" si="79"/>
        <v/>
      </c>
      <c r="AB658" s="2221" t="s">
        <v>8581</v>
      </c>
      <c r="AC658" s="19" t="s">
        <v>8580</v>
      </c>
      <c r="AD658" s="19"/>
      <c r="AE658" s="2617"/>
      <c r="AG658" s="2221" t="str">
        <f t="shared" si="75"/>
        <v/>
      </c>
      <c r="AH658" s="2001" t="str">
        <f t="shared" si="76"/>
        <v/>
      </c>
      <c r="AI658" s="2001" t="str">
        <f t="shared" si="77"/>
        <v>Espada larga</v>
      </c>
      <c r="AJ658" s="2905">
        <f>IF($L658=AJ$627,COUNTIF($L$630:$L658,AJ$627)+1,0)</f>
        <v>0</v>
      </c>
      <c r="AK658" s="2902">
        <f>IF($L658=AK$627,COUNTIF($L$630:$L658,AK$627)+1,0)</f>
        <v>3</v>
      </c>
      <c r="AL658" s="2908">
        <f>IF($L658=AL$627,COUNTIF($L$630:$L658,AL$627)+1,0)</f>
        <v>0</v>
      </c>
    </row>
    <row r="659" spans="1:38" ht="12.75" customHeight="1" x14ac:dyDescent="0.2">
      <c r="A659" s="1916">
        <v>659</v>
      </c>
      <c r="B659" s="5148"/>
      <c r="C659" s="2918"/>
      <c r="D659" s="2919" t="s">
        <v>2497</v>
      </c>
      <c r="E659" s="2926">
        <v>40</v>
      </c>
      <c r="F659" s="2916">
        <v>15</v>
      </c>
      <c r="G659" s="2916">
        <v>4</v>
      </c>
      <c r="H659" s="2916">
        <v>4</v>
      </c>
      <c r="I659" s="2916" t="s">
        <v>1864</v>
      </c>
      <c r="J659" s="2916" t="s">
        <v>1863</v>
      </c>
      <c r="K659" s="2898" t="s">
        <v>8892</v>
      </c>
      <c r="L659" s="2916" t="str">
        <f t="shared" si="80"/>
        <v>Distinta</v>
      </c>
      <c r="M659" s="2927">
        <v>12</v>
      </c>
      <c r="N659" s="2927">
        <v>1</v>
      </c>
      <c r="O659" s="2927">
        <v>20</v>
      </c>
      <c r="P659" s="2916"/>
      <c r="Q659" s="2916"/>
      <c r="R659" s="2916" t="s">
        <v>1766</v>
      </c>
      <c r="S659" s="2916" t="s">
        <v>1766</v>
      </c>
      <c r="T659" s="2916" t="s">
        <v>1766</v>
      </c>
      <c r="U659" s="2916"/>
      <c r="V659" s="2898" t="s">
        <v>2498</v>
      </c>
      <c r="W659" s="2898"/>
      <c r="X659" s="2899"/>
      <c r="Z659" s="2647" t="str">
        <f t="shared" si="79"/>
        <v/>
      </c>
      <c r="AB659" s="2221" t="s">
        <v>2503</v>
      </c>
      <c r="AC659" s="19" t="s">
        <v>2538</v>
      </c>
      <c r="AD659" s="19"/>
      <c r="AE659" s="2617"/>
      <c r="AG659" s="2221" t="str">
        <f t="shared" si="75"/>
        <v/>
      </c>
      <c r="AH659" s="2001" t="str">
        <f t="shared" si="76"/>
        <v/>
      </c>
      <c r="AI659" s="2001" t="str">
        <f t="shared" si="77"/>
        <v>Estilete</v>
      </c>
      <c r="AJ659" s="2905">
        <f>IF($L659=AJ$627,COUNTIF($L$630:$L659,AJ$627)+1,0)</f>
        <v>0</v>
      </c>
      <c r="AK659" s="2902">
        <f>IF($L659=AK$627,COUNTIF($L$630:$L659,AK$627)+1,0)</f>
        <v>0</v>
      </c>
      <c r="AL659" s="2908">
        <f>IF($L659=AL$627,COUNTIF($L$630:$L659,AL$627)+1,0)</f>
        <v>28</v>
      </c>
    </row>
    <row r="660" spans="1:38" ht="12.75" customHeight="1" x14ac:dyDescent="0.2">
      <c r="A660" s="1916">
        <v>660</v>
      </c>
      <c r="B660" s="5148"/>
      <c r="C660" s="2918"/>
      <c r="D660" s="2919" t="s">
        <v>2499</v>
      </c>
      <c r="E660" s="2926">
        <v>50</v>
      </c>
      <c r="F660" s="2916">
        <v>0</v>
      </c>
      <c r="G660" s="2916">
        <v>6</v>
      </c>
      <c r="H660" s="2916">
        <v>6</v>
      </c>
      <c r="I660" s="2916" t="s">
        <v>1863</v>
      </c>
      <c r="J660" s="2916" t="s">
        <v>1766</v>
      </c>
      <c r="K660" s="2898" t="s">
        <v>8890</v>
      </c>
      <c r="L660" s="2916" t="str">
        <f t="shared" si="80"/>
        <v>Distinta</v>
      </c>
      <c r="M660" s="2927">
        <v>13</v>
      </c>
      <c r="N660" s="2927">
        <v>3</v>
      </c>
      <c r="O660" s="2927">
        <v>25</v>
      </c>
      <c r="P660" s="2916"/>
      <c r="Q660" s="2916"/>
      <c r="R660" s="2916" t="s">
        <v>1766</v>
      </c>
      <c r="S660" s="2916" t="s">
        <v>1766</v>
      </c>
      <c r="T660" s="2916" t="s">
        <v>1766</v>
      </c>
      <c r="U660" s="2916"/>
      <c r="V660" s="2898" t="s">
        <v>1766</v>
      </c>
      <c r="W660" s="2898"/>
      <c r="X660" s="2899"/>
      <c r="Z660" s="2647" t="str">
        <f t="shared" si="79"/>
        <v/>
      </c>
      <c r="AB660" s="2221" t="s">
        <v>2504</v>
      </c>
      <c r="AC660" s="19" t="s">
        <v>2544</v>
      </c>
      <c r="AD660" s="19"/>
      <c r="AE660" s="2617"/>
      <c r="AG660" s="2221" t="str">
        <f t="shared" si="75"/>
        <v/>
      </c>
      <c r="AH660" s="2001" t="str">
        <f t="shared" si="76"/>
        <v/>
      </c>
      <c r="AI660" s="2001" t="str">
        <f t="shared" si="77"/>
        <v>Estoque</v>
      </c>
      <c r="AJ660" s="2905">
        <f>IF($L660=AJ$627,COUNTIF($L$630:$L660,AJ$627)+1,0)</f>
        <v>0</v>
      </c>
      <c r="AK660" s="2902">
        <f>IF($L660=AK$627,COUNTIF($L$630:$L660,AK$627)+1,0)</f>
        <v>0</v>
      </c>
      <c r="AL660" s="2908">
        <f>IF($L660=AL$627,COUNTIF($L$630:$L660,AL$627)+1,0)</f>
        <v>29</v>
      </c>
    </row>
    <row r="661" spans="1:38" ht="12.75" customHeight="1" x14ac:dyDescent="0.2">
      <c r="A661" s="1916">
        <v>661</v>
      </c>
      <c r="B661" s="5148"/>
      <c r="C661" s="2918"/>
      <c r="D661" s="2919" t="s">
        <v>2500</v>
      </c>
      <c r="E661" s="2926">
        <v>25</v>
      </c>
      <c r="F661" s="2916">
        <v>20</v>
      </c>
      <c r="G661" s="2916">
        <v>3</v>
      </c>
      <c r="H661" s="2916">
        <v>3</v>
      </c>
      <c r="I661" s="2916" t="s">
        <v>1864</v>
      </c>
      <c r="J661" s="2916" t="s">
        <v>1766</v>
      </c>
      <c r="K661" s="2898" t="s">
        <v>8892</v>
      </c>
      <c r="L661" s="2916" t="str">
        <f t="shared" si="80"/>
        <v>Distinta</v>
      </c>
      <c r="M661" s="2927">
        <v>8</v>
      </c>
      <c r="N661" s="2927">
        <v>-3</v>
      </c>
      <c r="O661" s="2927">
        <v>15</v>
      </c>
      <c r="P661" s="2916"/>
      <c r="Q661" s="2916"/>
      <c r="R661" s="2927">
        <v>30</v>
      </c>
      <c r="S661" s="2916" t="s">
        <v>1766</v>
      </c>
      <c r="T661" s="2916">
        <v>30</v>
      </c>
      <c r="U661" s="2916"/>
      <c r="V661" s="2898" t="s">
        <v>2501</v>
      </c>
      <c r="W661" s="2898"/>
      <c r="X661" s="2899"/>
      <c r="Z661" s="2647" t="str">
        <f t="shared" si="79"/>
        <v/>
      </c>
      <c r="AB661" s="2221" t="s">
        <v>2505</v>
      </c>
      <c r="AC661" s="19" t="s">
        <v>2547</v>
      </c>
      <c r="AD661" s="19"/>
      <c r="AE661" s="2617"/>
      <c r="AG661" s="2221" t="str">
        <f t="shared" si="75"/>
        <v/>
      </c>
      <c r="AH661" s="2001" t="str">
        <f t="shared" si="76"/>
        <v/>
      </c>
      <c r="AI661" s="2001" t="str">
        <f t="shared" si="77"/>
        <v>Florete</v>
      </c>
      <c r="AJ661" s="2905">
        <f>IF($L661=AJ$627,COUNTIF($L$630:$L661,AJ$627)+1,0)</f>
        <v>0</v>
      </c>
      <c r="AK661" s="2902">
        <f>IF($L661=AK$627,COUNTIF($L$630:$L661,AK$627)+1,0)</f>
        <v>0</v>
      </c>
      <c r="AL661" s="2908">
        <f>IF($L661=AL$627,COUNTIF($L$630:$L661,AL$627)+1,0)</f>
        <v>30</v>
      </c>
    </row>
    <row r="662" spans="1:38" ht="12.75" customHeight="1" x14ac:dyDescent="0.2">
      <c r="A662" s="1916">
        <v>662</v>
      </c>
      <c r="B662" s="5148"/>
      <c r="C662" s="2918"/>
      <c r="D662" s="2919" t="s">
        <v>2502</v>
      </c>
      <c r="E662" s="2926">
        <v>40</v>
      </c>
      <c r="F662" s="2916">
        <v>15</v>
      </c>
      <c r="G662" s="2916">
        <v>4</v>
      </c>
      <c r="H662" s="2916">
        <v>4</v>
      </c>
      <c r="I662" s="2916" t="s">
        <v>1864</v>
      </c>
      <c r="J662" s="2916" t="s">
        <v>1863</v>
      </c>
      <c r="K662" s="2898" t="s">
        <v>8890</v>
      </c>
      <c r="L662" s="2916" t="str">
        <f t="shared" si="80"/>
        <v>Distinta</v>
      </c>
      <c r="M662" s="2927">
        <v>11</v>
      </c>
      <c r="N662" s="2927">
        <v>2</v>
      </c>
      <c r="O662" s="2927">
        <v>20</v>
      </c>
      <c r="P662" s="2916"/>
      <c r="Q662" s="2916"/>
      <c r="R662" s="2916" t="s">
        <v>1766</v>
      </c>
      <c r="S662" s="2916" t="s">
        <v>1766</v>
      </c>
      <c r="T662" s="2916" t="s">
        <v>1766</v>
      </c>
      <c r="U662" s="2916"/>
      <c r="V662" s="2898" t="s">
        <v>2498</v>
      </c>
      <c r="W662" s="2898"/>
      <c r="X662" s="2899"/>
      <c r="Z662" s="2647" t="str">
        <f t="shared" si="79"/>
        <v/>
      </c>
      <c r="AB662" s="2221" t="s">
        <v>8567</v>
      </c>
      <c r="AC662" s="19" t="s">
        <v>2554</v>
      </c>
      <c r="AD662" s="19"/>
      <c r="AE662" s="2617"/>
      <c r="AG662" s="2221" t="str">
        <f t="shared" ref="AG662:AG693" si="81">IF(ISNA(INDEX(Lista_Armas,MATCH($A33,AJ$630:AJ$766,0))),"",INDEX(Lista_Armas,MATCH($A33,AJ$630:AJ$766,0)))</f>
        <v/>
      </c>
      <c r="AH662" s="2001" t="str">
        <f t="shared" ref="AH662:AH693" si="82">IF(ISNA(INDEX(Lista_Armas,MATCH($A33,AK$630:AK$766,0))),"",INDEX(Lista_Armas,MATCH($A33,AK$630:AK$766,0)))</f>
        <v/>
      </c>
      <c r="AI662" s="2001" t="str">
        <f t="shared" ref="AI662:AI693" si="83">IF(ISNA(INDEX(Lista_Armas,MATCH($A33,AL$630:AL$766,0))),"",INDEX(Lista_Armas,MATCH($A33,AL$630:AL$766,0)))</f>
        <v>Garfio</v>
      </c>
      <c r="AJ662" s="2905">
        <f>IF($L662=AJ$627,COUNTIF($L$630:$L662,AJ$627)+1,0)</f>
        <v>0</v>
      </c>
      <c r="AK662" s="2902">
        <f>IF($L662=AK$627,COUNTIF($L$630:$L662,AK$627)+1,0)</f>
        <v>0</v>
      </c>
      <c r="AL662" s="2908">
        <f>IF($L662=AL$627,COUNTIF($L$630:$L662,AL$627)+1,0)</f>
        <v>31</v>
      </c>
    </row>
    <row r="663" spans="1:38" ht="12.75" customHeight="1" x14ac:dyDescent="0.2">
      <c r="A663" s="1916">
        <v>663</v>
      </c>
      <c r="B663" s="5148"/>
      <c r="C663" s="2918"/>
      <c r="D663" s="2919" t="s">
        <v>8581</v>
      </c>
      <c r="E663" s="2926">
        <v>60</v>
      </c>
      <c r="F663" s="2916">
        <v>-10</v>
      </c>
      <c r="G663" s="2916">
        <v>7</v>
      </c>
      <c r="H663" s="2916">
        <v>7</v>
      </c>
      <c r="I663" s="2916" t="s">
        <v>1863</v>
      </c>
      <c r="J663" s="2916" t="s">
        <v>1766</v>
      </c>
      <c r="K663" s="2898" t="s">
        <v>8896</v>
      </c>
      <c r="L663" s="2916" t="str">
        <f t="shared" si="80"/>
        <v>Mixta</v>
      </c>
      <c r="M663" s="2927">
        <v>12</v>
      </c>
      <c r="N663" s="2927">
        <v>5</v>
      </c>
      <c r="O663" s="2927">
        <v>20</v>
      </c>
      <c r="P663" s="2916"/>
      <c r="Q663" s="2916"/>
      <c r="R663" s="2916" t="s">
        <v>1766</v>
      </c>
      <c r="S663" s="2916" t="s">
        <v>1766</v>
      </c>
      <c r="T663" s="2916" t="s">
        <v>1766</v>
      </c>
      <c r="U663" s="2916"/>
      <c r="V663" s="2898" t="s">
        <v>1766</v>
      </c>
      <c r="W663" s="2898"/>
      <c r="X663" s="2899"/>
      <c r="Z663" s="2647" t="str">
        <f t="shared" si="79"/>
        <v/>
      </c>
      <c r="AB663" s="2221" t="s">
        <v>8568</v>
      </c>
      <c r="AC663" s="19" t="s">
        <v>2555</v>
      </c>
      <c r="AD663" s="19"/>
      <c r="AE663" s="2617"/>
      <c r="AG663" s="2221" t="str">
        <f t="shared" si="81"/>
        <v/>
      </c>
      <c r="AH663" s="2001" t="str">
        <f t="shared" si="82"/>
        <v/>
      </c>
      <c r="AI663" s="2001" t="str">
        <f t="shared" si="83"/>
        <v>Garrote</v>
      </c>
      <c r="AJ663" s="2905">
        <f>IF($L663=AJ$627,COUNTIF($L$630:$L663,AJ$627)+1,0)</f>
        <v>0</v>
      </c>
      <c r="AK663" s="2902">
        <f>IF($L663=AK$627,COUNTIF($L$630:$L663,AK$627)+1,0)</f>
        <v>4</v>
      </c>
      <c r="AL663" s="2908">
        <f>IF($L663=AL$627,COUNTIF($L$630:$L663,AL$627)+1,0)</f>
        <v>0</v>
      </c>
    </row>
    <row r="664" spans="1:38" ht="12.75" customHeight="1" x14ac:dyDescent="0.2">
      <c r="A664" s="1916">
        <v>664</v>
      </c>
      <c r="B664" s="5148"/>
      <c r="C664" s="2918"/>
      <c r="D664" s="2919" t="s">
        <v>2503</v>
      </c>
      <c r="E664" s="2926">
        <v>35</v>
      </c>
      <c r="F664" s="2916">
        <v>15</v>
      </c>
      <c r="G664" s="2916">
        <v>3</v>
      </c>
      <c r="H664" s="2916">
        <v>3</v>
      </c>
      <c r="I664" s="2916" t="s">
        <v>1864</v>
      </c>
      <c r="J664" s="2916" t="s">
        <v>1766</v>
      </c>
      <c r="K664" s="2898" t="s">
        <v>8897</v>
      </c>
      <c r="L664" s="2916" t="str">
        <f t="shared" si="80"/>
        <v>Distinta</v>
      </c>
      <c r="M664" s="2927">
        <v>9</v>
      </c>
      <c r="N664" s="2927">
        <v>-2</v>
      </c>
      <c r="O664" s="2927">
        <v>20</v>
      </c>
      <c r="P664" s="2916"/>
      <c r="Q664" s="2916"/>
      <c r="R664" s="2916" t="s">
        <v>1766</v>
      </c>
      <c r="S664" s="2916" t="s">
        <v>1766</v>
      </c>
      <c r="T664" s="2916" t="s">
        <v>1766</v>
      </c>
      <c r="U664" s="2916"/>
      <c r="V664" s="2898" t="s">
        <v>2498</v>
      </c>
      <c r="W664" s="2898"/>
      <c r="X664" s="2899"/>
      <c r="Z664" s="2647" t="str">
        <f t="shared" si="79"/>
        <v/>
      </c>
      <c r="AB664" s="2221" t="s">
        <v>2507</v>
      </c>
      <c r="AC664" s="19" t="s">
        <v>2559</v>
      </c>
      <c r="AD664" s="19"/>
      <c r="AE664" s="2617"/>
      <c r="AG664" s="2221" t="str">
        <f t="shared" si="81"/>
        <v/>
      </c>
      <c r="AH664" s="2001" t="str">
        <f t="shared" si="82"/>
        <v/>
      </c>
      <c r="AI664" s="2001" t="str">
        <f t="shared" si="83"/>
        <v>Glavius</v>
      </c>
      <c r="AJ664" s="2905">
        <f>IF($L664=AJ$627,COUNTIF($L$630:$L664,AJ$627)+1,0)</f>
        <v>0</v>
      </c>
      <c r="AK664" s="2902">
        <f>IF($L664=AK$627,COUNTIF($L$630:$L664,AK$627)+1,0)</f>
        <v>0</v>
      </c>
      <c r="AL664" s="2908">
        <f>IF($L664=AL$627,COUNTIF($L$630:$L664,AL$627)+1,0)</f>
        <v>32</v>
      </c>
    </row>
    <row r="665" spans="1:38" ht="12.75" customHeight="1" x14ac:dyDescent="0.2">
      <c r="A665" s="1916">
        <v>665</v>
      </c>
      <c r="B665" s="5148"/>
      <c r="C665" s="2918"/>
      <c r="D665" s="2919" t="s">
        <v>2504</v>
      </c>
      <c r="E665" s="2926">
        <v>30</v>
      </c>
      <c r="F665" s="2916">
        <v>10</v>
      </c>
      <c r="G665" s="2916">
        <v>3</v>
      </c>
      <c r="H665" s="2916">
        <v>3</v>
      </c>
      <c r="I665" s="2916" t="s">
        <v>1864</v>
      </c>
      <c r="J665" s="2916" t="s">
        <v>1766</v>
      </c>
      <c r="K665" s="2898" t="s">
        <v>8892</v>
      </c>
      <c r="L665" s="2916" t="str">
        <f t="shared" si="80"/>
        <v>Distinta</v>
      </c>
      <c r="M665" s="2927">
        <v>11</v>
      </c>
      <c r="N665" s="2927">
        <v>-2</v>
      </c>
      <c r="O665" s="2927">
        <v>15</v>
      </c>
      <c r="P665" s="2916"/>
      <c r="Q665" s="2916"/>
      <c r="R665" s="2916" t="s">
        <v>1766</v>
      </c>
      <c r="S665" s="2916" t="s">
        <v>1766</v>
      </c>
      <c r="T665" s="2916" t="s">
        <v>1766</v>
      </c>
      <c r="U665" s="2916"/>
      <c r="V665" s="2898" t="s">
        <v>1766</v>
      </c>
      <c r="W665" s="2898"/>
      <c r="X665" s="2899"/>
      <c r="Z665" s="2647" t="str">
        <f t="shared" si="79"/>
        <v/>
      </c>
      <c r="AB665" s="2221" t="s">
        <v>2508</v>
      </c>
      <c r="AC665" s="19" t="s">
        <v>2562</v>
      </c>
      <c r="AD665" s="19"/>
      <c r="AE665" s="2617"/>
      <c r="AG665" s="2221" t="str">
        <f t="shared" si="81"/>
        <v/>
      </c>
      <c r="AH665" s="2001" t="str">
        <f t="shared" si="82"/>
        <v/>
      </c>
      <c r="AI665" s="2001" t="str">
        <f t="shared" si="83"/>
        <v>Goedendag</v>
      </c>
      <c r="AJ665" s="2905">
        <f>IF($L665=AJ$627,COUNTIF($L$630:$L665,AJ$627)+1,0)</f>
        <v>0</v>
      </c>
      <c r="AK665" s="2902">
        <f>IF($L665=AK$627,COUNTIF($L$630:$L665,AK$627)+1,0)</f>
        <v>0</v>
      </c>
      <c r="AL665" s="2908">
        <f>IF($L665=AL$627,COUNTIF($L$630:$L665,AL$627)+1,0)</f>
        <v>33</v>
      </c>
    </row>
    <row r="666" spans="1:38" ht="12.75" customHeight="1" x14ac:dyDescent="0.2">
      <c r="A666" s="1916">
        <v>666</v>
      </c>
      <c r="B666" s="5148"/>
      <c r="C666" s="2918"/>
      <c r="D666" s="2919" t="s">
        <v>2505</v>
      </c>
      <c r="E666" s="2926">
        <v>30</v>
      </c>
      <c r="F666" s="2916">
        <v>0</v>
      </c>
      <c r="G666" s="2916">
        <v>5</v>
      </c>
      <c r="H666" s="2916">
        <v>5</v>
      </c>
      <c r="I666" s="2916" t="s">
        <v>1809</v>
      </c>
      <c r="J666" s="2916" t="s">
        <v>1766</v>
      </c>
      <c r="K666" s="2898" t="s">
        <v>8893</v>
      </c>
      <c r="L666" s="2916" t="str">
        <f t="shared" si="80"/>
        <v>Distinta</v>
      </c>
      <c r="M666" s="2927">
        <v>11</v>
      </c>
      <c r="N666" s="2927">
        <v>-2</v>
      </c>
      <c r="O666" s="2927">
        <v>15</v>
      </c>
      <c r="P666" s="2916"/>
      <c r="Q666" s="2916"/>
      <c r="R666" s="2916" t="s">
        <v>1766</v>
      </c>
      <c r="S666" s="2916" t="s">
        <v>1766</v>
      </c>
      <c r="T666" s="2916" t="s">
        <v>1766</v>
      </c>
      <c r="U666" s="2916"/>
      <c r="V666" s="2898" t="s">
        <v>1766</v>
      </c>
      <c r="W666" s="2898"/>
      <c r="X666" s="2899"/>
      <c r="Z666" s="2647" t="str">
        <f t="shared" si="79"/>
        <v/>
      </c>
      <c r="AB666" s="2221" t="s">
        <v>2509</v>
      </c>
      <c r="AC666" s="19" t="s">
        <v>2564</v>
      </c>
      <c r="AD666" s="19"/>
      <c r="AE666" s="2617"/>
      <c r="AG666" s="2221" t="str">
        <f t="shared" si="81"/>
        <v/>
      </c>
      <c r="AH666" s="2001" t="str">
        <f t="shared" si="82"/>
        <v/>
      </c>
      <c r="AI666" s="2001" t="str">
        <f t="shared" si="83"/>
        <v>Gosse Messer</v>
      </c>
      <c r="AJ666" s="2905">
        <f>IF($L666=AJ$627,COUNTIF($L$630:$L666,AJ$627)+1,0)</f>
        <v>0</v>
      </c>
      <c r="AK666" s="2902">
        <f>IF($L666=AK$627,COUNTIF($L$630:$L666,AK$627)+1,0)</f>
        <v>0</v>
      </c>
      <c r="AL666" s="2908">
        <f>IF($L666=AL$627,COUNTIF($L$630:$L666,AL$627)+1,0)</f>
        <v>34</v>
      </c>
    </row>
    <row r="667" spans="1:38" ht="12.75" customHeight="1" x14ac:dyDescent="0.2">
      <c r="A667" s="1916">
        <v>667</v>
      </c>
      <c r="B667" s="5148"/>
      <c r="C667" s="2918"/>
      <c r="D667" s="2919" t="s">
        <v>8567</v>
      </c>
      <c r="E667" s="2926">
        <v>40</v>
      </c>
      <c r="F667" s="2916">
        <v>0</v>
      </c>
      <c r="G667" s="2916">
        <v>6</v>
      </c>
      <c r="H667" s="2916">
        <v>7</v>
      </c>
      <c r="I667" s="2916" t="s">
        <v>1864</v>
      </c>
      <c r="J667" s="2916" t="s">
        <v>1863</v>
      </c>
      <c r="K667" s="2898" t="s">
        <v>8887</v>
      </c>
      <c r="L667" s="2916" t="str">
        <f t="shared" si="80"/>
        <v>Distinta</v>
      </c>
      <c r="M667" s="2927">
        <v>12</v>
      </c>
      <c r="N667" s="2927">
        <v>1</v>
      </c>
      <c r="O667" s="2927">
        <v>20</v>
      </c>
      <c r="P667" s="2916"/>
      <c r="Q667" s="2916"/>
      <c r="R667" s="2916" t="s">
        <v>1766</v>
      </c>
      <c r="S667" s="2916" t="s">
        <v>1766</v>
      </c>
      <c r="T667" s="2916" t="s">
        <v>1766</v>
      </c>
      <c r="U667" s="2916"/>
      <c r="V667" s="2898" t="s">
        <v>2494</v>
      </c>
      <c r="W667" s="2898"/>
      <c r="X667" s="2899"/>
      <c r="Z667" s="2647" t="str">
        <f t="shared" ref="Z667:Z698" si="84">IF(AND(K667&lt;&gt;"Natural/-",ISNUMBER(SEARCH(D667,Armas_Conocidas))),", "&amp;K667,"")</f>
        <v/>
      </c>
      <c r="AB667" s="2221" t="s">
        <v>2511</v>
      </c>
      <c r="AC667" s="19" t="s">
        <v>8582</v>
      </c>
      <c r="AD667" s="19"/>
      <c r="AE667" s="2617"/>
      <c r="AG667" s="2221" t="str">
        <f t="shared" si="81"/>
        <v/>
      </c>
      <c r="AH667" s="2001" t="str">
        <f t="shared" si="82"/>
        <v/>
      </c>
      <c r="AI667" s="2001" t="str">
        <f t="shared" si="83"/>
        <v>Gran martillo guerra</v>
      </c>
      <c r="AJ667" s="2905">
        <f>IF($L667=AJ$627,COUNTIF($L$630:$L667,AJ$627)+1,0)</f>
        <v>0</v>
      </c>
      <c r="AK667" s="2902">
        <f>IF($L667=AK$627,COUNTIF($L$630:$L667,AK$627)+1,0)</f>
        <v>0</v>
      </c>
      <c r="AL667" s="2908">
        <f>IF($L667=AL$627,COUNTIF($L$630:$L667,AL$627)+1,0)</f>
        <v>35</v>
      </c>
    </row>
    <row r="668" spans="1:38" ht="12.75" customHeight="1" x14ac:dyDescent="0.2">
      <c r="A668" s="1916">
        <v>668</v>
      </c>
      <c r="B668" s="5148"/>
      <c r="C668" s="2918"/>
      <c r="D668" s="2919" t="s">
        <v>8568</v>
      </c>
      <c r="E668" s="2926">
        <v>35</v>
      </c>
      <c r="F668" s="2916">
        <v>5</v>
      </c>
      <c r="G668" s="2916">
        <v>4</v>
      </c>
      <c r="H668" s="2916">
        <v>6</v>
      </c>
      <c r="I668" s="2916" t="s">
        <v>1864</v>
      </c>
      <c r="J668" s="2916" t="s">
        <v>1809</v>
      </c>
      <c r="K668" s="2898" t="s">
        <v>8887</v>
      </c>
      <c r="L668" s="2916" t="str">
        <f t="shared" ref="L668:L699" si="85">IF(ISNUMBER(SEARCH($D668,Armas_Conocidas)),"Conocida",IF(OR(ISNUMBER(SEARCH(LEFT($K668,SEARCH("/",$K668)),Tipologías_Conocidas)),AND(NOT(ISNUMBER(SEARCH("/-",$K668))),ISNUMBER(SEARCH(MID($K668,SEARCH("/",$K668)+1,LEN($K668)),Tipologías_Conocidas)))),IF(ISNUMBER(SEARCH($K668,Tipologías_Conocidas)),"Similar","Mixta"),"Distinta"))</f>
        <v>Distinta</v>
      </c>
      <c r="M668" s="2927">
        <v>10</v>
      </c>
      <c r="N668" s="2927">
        <v>2</v>
      </c>
      <c r="O668" s="2927">
        <v>20</v>
      </c>
      <c r="P668" s="2916"/>
      <c r="Q668" s="2916"/>
      <c r="R668" s="2916" t="s">
        <v>1766</v>
      </c>
      <c r="S668" s="2916" t="s">
        <v>1766</v>
      </c>
      <c r="T668" s="2916" t="s">
        <v>1766</v>
      </c>
      <c r="U668" s="2916"/>
      <c r="V668" s="2898" t="s">
        <v>8613</v>
      </c>
      <c r="W668" s="2898"/>
      <c r="X668" s="2899"/>
      <c r="Z668" s="2647" t="str">
        <f t="shared" si="84"/>
        <v/>
      </c>
      <c r="AB668" s="2221" t="s">
        <v>2513</v>
      </c>
      <c r="AC668" s="19" t="s">
        <v>8583</v>
      </c>
      <c r="AD668" s="19"/>
      <c r="AE668" s="2617"/>
      <c r="AG668" s="2221" t="str">
        <f t="shared" si="81"/>
        <v/>
      </c>
      <c r="AH668" s="2001" t="str">
        <f t="shared" si="82"/>
        <v/>
      </c>
      <c r="AI668" s="2001" t="str">
        <f t="shared" si="83"/>
        <v>Guandao</v>
      </c>
      <c r="AJ668" s="2905">
        <f>IF($L668=AJ$627,COUNTIF($L$630:$L668,AJ$627)+1,0)</f>
        <v>0</v>
      </c>
      <c r="AK668" s="2902">
        <f>IF($L668=AK$627,COUNTIF($L$630:$L668,AK$627)+1,0)</f>
        <v>0</v>
      </c>
      <c r="AL668" s="2908">
        <f>IF($L668=AL$627,COUNTIF($L$630:$L668,AL$627)+1,0)</f>
        <v>36</v>
      </c>
    </row>
    <row r="669" spans="1:38" ht="12.75" customHeight="1" x14ac:dyDescent="0.2">
      <c r="A669" s="1916">
        <v>669</v>
      </c>
      <c r="B669" s="5148"/>
      <c r="C669" s="2918"/>
      <c r="D669" s="2919" t="s">
        <v>8570</v>
      </c>
      <c r="E669" s="2926">
        <v>65</v>
      </c>
      <c r="F669" s="2916">
        <v>-20</v>
      </c>
      <c r="G669" s="2916">
        <v>6</v>
      </c>
      <c r="H669" s="2916">
        <v>9</v>
      </c>
      <c r="I669" s="2916" t="s">
        <v>1863</v>
      </c>
      <c r="J669" s="2916" t="s">
        <v>1766</v>
      </c>
      <c r="K669" s="2898" t="s">
        <v>8894</v>
      </c>
      <c r="L669" s="2916" t="str">
        <f t="shared" si="85"/>
        <v>Distinta</v>
      </c>
      <c r="M669" s="2927">
        <v>12</v>
      </c>
      <c r="N669" s="2927">
        <v>3</v>
      </c>
      <c r="O669" s="2927">
        <v>20</v>
      </c>
      <c r="P669" s="2916"/>
      <c r="Q669" s="2916"/>
      <c r="R669" s="2916" t="s">
        <v>1766</v>
      </c>
      <c r="S669" s="2916" t="s">
        <v>1766</v>
      </c>
      <c r="T669" s="2916" t="s">
        <v>1766</v>
      </c>
      <c r="U669" s="2916"/>
      <c r="V669" s="2898" t="s">
        <v>1897</v>
      </c>
      <c r="W669" s="2898"/>
      <c r="X669" s="2899"/>
      <c r="Z669" s="2647" t="str">
        <f t="shared" si="84"/>
        <v/>
      </c>
      <c r="AB669" s="2221" t="s">
        <v>8586</v>
      </c>
      <c r="AC669" s="19" t="s">
        <v>8585</v>
      </c>
      <c r="AD669" s="19"/>
      <c r="AE669" s="2617"/>
      <c r="AG669" s="2221" t="str">
        <f t="shared" si="81"/>
        <v/>
      </c>
      <c r="AH669" s="2001" t="str">
        <f t="shared" si="82"/>
        <v/>
      </c>
      <c r="AI669" s="2001" t="str">
        <f t="shared" si="83"/>
        <v>Hu Die Dao</v>
      </c>
      <c r="AJ669" s="2905">
        <f>IF($L669=AJ$627,COUNTIF($L$630:$L669,AJ$627)+1,0)</f>
        <v>0</v>
      </c>
      <c r="AK669" s="2902">
        <f>IF($L669=AK$627,COUNTIF($L$630:$L669,AK$627)+1,0)</f>
        <v>0</v>
      </c>
      <c r="AL669" s="2908">
        <f>IF($L669=AL$627,COUNTIF($L$630:$L669,AL$627)+1,0)</f>
        <v>37</v>
      </c>
    </row>
    <row r="670" spans="1:38" ht="12.75" customHeight="1" x14ac:dyDescent="0.2">
      <c r="A670" s="1916">
        <v>670</v>
      </c>
      <c r="B670" s="5148"/>
      <c r="C670" s="2918"/>
      <c r="D670" s="2919" t="s">
        <v>2507</v>
      </c>
      <c r="E670" s="2926">
        <v>70</v>
      </c>
      <c r="F670" s="2916">
        <v>-35</v>
      </c>
      <c r="G670" s="2916">
        <v>10</v>
      </c>
      <c r="H670" s="2916">
        <v>7</v>
      </c>
      <c r="I670" s="2916" t="s">
        <v>1809</v>
      </c>
      <c r="J670" s="2916" t="s">
        <v>1766</v>
      </c>
      <c r="K670" s="2898" t="s">
        <v>8893</v>
      </c>
      <c r="L670" s="2916" t="str">
        <f t="shared" si="85"/>
        <v>Distinta</v>
      </c>
      <c r="M670" s="2927">
        <v>16</v>
      </c>
      <c r="N670" s="2927">
        <v>6</v>
      </c>
      <c r="O670" s="2927">
        <v>20</v>
      </c>
      <c r="P670" s="2916"/>
      <c r="Q670" s="2916"/>
      <c r="R670" s="2916" t="s">
        <v>1766</v>
      </c>
      <c r="S670" s="2916" t="s">
        <v>1766</v>
      </c>
      <c r="T670" s="2916" t="s">
        <v>1766</v>
      </c>
      <c r="U670" s="2916"/>
      <c r="V670" s="2898" t="s">
        <v>2494</v>
      </c>
      <c r="W670" s="2898"/>
      <c r="X670" s="2899"/>
      <c r="Z670" s="2647" t="str">
        <f t="shared" si="84"/>
        <v/>
      </c>
      <c r="AB670" s="2221" t="s">
        <v>2515</v>
      </c>
      <c r="AC670" s="19" t="s">
        <v>8587</v>
      </c>
      <c r="AD670" s="19"/>
      <c r="AE670" s="2617"/>
      <c r="AG670" s="2221" t="str">
        <f t="shared" si="81"/>
        <v/>
      </c>
      <c r="AH670" s="2001" t="str">
        <f t="shared" si="82"/>
        <v/>
      </c>
      <c r="AI670" s="2001" t="str">
        <f t="shared" si="83"/>
        <v>Jabalina</v>
      </c>
      <c r="AJ670" s="2905">
        <f>IF($L670=AJ$627,COUNTIF($L$630:$L670,AJ$627)+1,0)</f>
        <v>0</v>
      </c>
      <c r="AK670" s="2902">
        <f>IF($L670=AK$627,COUNTIF($L$630:$L670,AK$627)+1,0)</f>
        <v>0</v>
      </c>
      <c r="AL670" s="2908">
        <f>IF($L670=AL$627,COUNTIF($L$630:$L670,AL$627)+1,0)</f>
        <v>38</v>
      </c>
    </row>
    <row r="671" spans="1:38" ht="12.75" customHeight="1" x14ac:dyDescent="0.2">
      <c r="A671" s="1916">
        <v>671</v>
      </c>
      <c r="B671" s="5148"/>
      <c r="C671" s="2918"/>
      <c r="D671" s="2919" t="s">
        <v>2508</v>
      </c>
      <c r="E671" s="2926">
        <v>35</v>
      </c>
      <c r="F671" s="2916">
        <v>0</v>
      </c>
      <c r="G671" s="2916">
        <v>9</v>
      </c>
      <c r="H671" s="2916">
        <v>5</v>
      </c>
      <c r="I671" s="2916" t="s">
        <v>1863</v>
      </c>
      <c r="J671" s="2916" t="s">
        <v>1809</v>
      </c>
      <c r="K671" s="2898" t="s">
        <v>8886</v>
      </c>
      <c r="L671" s="2916" t="str">
        <f t="shared" si="85"/>
        <v>Mixta</v>
      </c>
      <c r="M671" s="2927">
        <v>12</v>
      </c>
      <c r="N671" s="2927">
        <v>2</v>
      </c>
      <c r="O671" s="2927">
        <v>25</v>
      </c>
      <c r="P671" s="2916"/>
      <c r="Q671" s="2916"/>
      <c r="R671" s="2916" t="s">
        <v>1766</v>
      </c>
      <c r="S671" s="2916" t="s">
        <v>1766</v>
      </c>
      <c r="T671" s="2916" t="s">
        <v>1766</v>
      </c>
      <c r="U671" s="2916"/>
      <c r="V671" s="2898" t="s">
        <v>2494</v>
      </c>
      <c r="W671" s="2898"/>
      <c r="X671" s="2899"/>
      <c r="Z671" s="2647" t="str">
        <f t="shared" si="84"/>
        <v/>
      </c>
      <c r="AB671" s="2221" t="s">
        <v>8589</v>
      </c>
      <c r="AC671" s="19" t="s">
        <v>8588</v>
      </c>
      <c r="AD671" s="19"/>
      <c r="AE671" s="2617"/>
      <c r="AG671" s="2221" t="str">
        <f t="shared" si="81"/>
        <v/>
      </c>
      <c r="AH671" s="2001" t="str">
        <f t="shared" si="82"/>
        <v/>
      </c>
      <c r="AI671" s="2001" t="str">
        <f t="shared" si="83"/>
        <v>Katzbalger</v>
      </c>
      <c r="AJ671" s="2905">
        <f>IF($L671=AJ$627,COUNTIF($L$630:$L671,AJ$627)+1,0)</f>
        <v>0</v>
      </c>
      <c r="AK671" s="2902">
        <f>IF($L671=AK$627,COUNTIF($L$630:$L671,AK$627)+1,0)</f>
        <v>5</v>
      </c>
      <c r="AL671" s="2908">
        <f>IF($L671=AL$627,COUNTIF($L$630:$L671,AL$627)+1,0)</f>
        <v>0</v>
      </c>
    </row>
    <row r="672" spans="1:38" ht="12.75" customHeight="1" x14ac:dyDescent="0.2">
      <c r="A672" s="1916">
        <v>672</v>
      </c>
      <c r="B672" s="5148"/>
      <c r="C672" s="2918"/>
      <c r="D672" s="2919" t="s">
        <v>8572</v>
      </c>
      <c r="E672" s="2926">
        <v>65</v>
      </c>
      <c r="F672" s="2916">
        <v>-20</v>
      </c>
      <c r="G672" s="2916">
        <v>7</v>
      </c>
      <c r="H672" s="2916">
        <v>11</v>
      </c>
      <c r="I672" s="2916" t="s">
        <v>1863</v>
      </c>
      <c r="J672" s="2916" t="s">
        <v>1864</v>
      </c>
      <c r="K672" s="2898" t="s">
        <v>8887</v>
      </c>
      <c r="L672" s="2916" t="str">
        <f t="shared" si="85"/>
        <v>Distinta</v>
      </c>
      <c r="M672" s="2927">
        <v>13</v>
      </c>
      <c r="N672" s="2927">
        <v>3</v>
      </c>
      <c r="O672" s="2927">
        <v>20</v>
      </c>
      <c r="P672" s="2916"/>
      <c r="Q672" s="2916"/>
      <c r="R672" s="2916" t="s">
        <v>1766</v>
      </c>
      <c r="S672" s="2916" t="s">
        <v>1766</v>
      </c>
      <c r="T672" s="2916" t="s">
        <v>1766</v>
      </c>
      <c r="U672" s="2916"/>
      <c r="V672" s="2898" t="s">
        <v>1897</v>
      </c>
      <c r="W672" s="2898"/>
      <c r="X672" s="2899"/>
      <c r="Z672" s="2647" t="str">
        <f t="shared" si="84"/>
        <v/>
      </c>
      <c r="AB672" s="2221" t="s">
        <v>8591</v>
      </c>
      <c r="AC672" s="19" t="s">
        <v>8590</v>
      </c>
      <c r="AD672" s="19"/>
      <c r="AE672" s="2617"/>
      <c r="AG672" s="2221" t="str">
        <f t="shared" si="81"/>
        <v/>
      </c>
      <c r="AH672" s="2001" t="str">
        <f t="shared" si="82"/>
        <v/>
      </c>
      <c r="AI672" s="2001" t="str">
        <f t="shared" si="83"/>
        <v>Kerambit</v>
      </c>
      <c r="AJ672" s="2905">
        <f>IF($L672=AJ$627,COUNTIF($L$630:$L672,AJ$627)+1,0)</f>
        <v>0</v>
      </c>
      <c r="AK672" s="2902">
        <f>IF($L672=AK$627,COUNTIF($L$630:$L672,AK$627)+1,0)</f>
        <v>0</v>
      </c>
      <c r="AL672" s="2908">
        <f>IF($L672=AL$627,COUNTIF($L$630:$L672,AL$627)+1,0)</f>
        <v>39</v>
      </c>
    </row>
    <row r="673" spans="1:38" ht="12.75" customHeight="1" x14ac:dyDescent="0.2">
      <c r="A673" s="1916">
        <v>673</v>
      </c>
      <c r="B673" s="5148"/>
      <c r="C673" s="2918"/>
      <c r="D673" s="2919" t="s">
        <v>2509</v>
      </c>
      <c r="E673" s="2926">
        <v>100</v>
      </c>
      <c r="F673" s="2916">
        <v>-70</v>
      </c>
      <c r="G673" s="2916">
        <v>11</v>
      </c>
      <c r="H673" s="2916">
        <v>9</v>
      </c>
      <c r="I673" s="2916" t="s">
        <v>1863</v>
      </c>
      <c r="J673" s="2916" t="s">
        <v>1809</v>
      </c>
      <c r="K673" s="2898" t="s">
        <v>8898</v>
      </c>
      <c r="L673" s="2916" t="str">
        <f t="shared" si="85"/>
        <v>Conocida</v>
      </c>
      <c r="M673" s="2927">
        <v>17</v>
      </c>
      <c r="N673" s="2927">
        <v>7</v>
      </c>
      <c r="O673" s="2927">
        <v>30</v>
      </c>
      <c r="P673" s="2916"/>
      <c r="Q673" s="2916"/>
      <c r="R673" s="2916" t="s">
        <v>1766</v>
      </c>
      <c r="S673" s="2916" t="s">
        <v>1766</v>
      </c>
      <c r="T673" s="2916" t="s">
        <v>1766</v>
      </c>
      <c r="U673" s="2916"/>
      <c r="V673" s="2898" t="s">
        <v>2494</v>
      </c>
      <c r="W673" s="2898"/>
      <c r="X673" s="2899"/>
      <c r="Z673" s="2647" t="str">
        <f t="shared" si="84"/>
        <v>, Hacha/Mandoble</v>
      </c>
      <c r="AB673" s="2221" t="s">
        <v>8592</v>
      </c>
      <c r="AC673" s="19" t="s">
        <v>2607</v>
      </c>
      <c r="AD673" s="19"/>
      <c r="AE673" s="2617"/>
      <c r="AG673" s="2221" t="str">
        <f t="shared" si="81"/>
        <v/>
      </c>
      <c r="AH673" s="2001" t="str">
        <f t="shared" si="82"/>
        <v/>
      </c>
      <c r="AI673" s="2001" t="str">
        <f t="shared" si="83"/>
        <v>Koncerz</v>
      </c>
      <c r="AJ673" s="2905">
        <f>IF($L673=AJ$627,COUNTIF($L$630:$L673,AJ$627)+1,0)</f>
        <v>0</v>
      </c>
      <c r="AK673" s="2902">
        <f>IF($L673=AK$627,COUNTIF($L$630:$L673,AK$627)+1,0)</f>
        <v>0</v>
      </c>
      <c r="AL673" s="2908">
        <f>IF($L673=AL$627,COUNTIF($L$630:$L673,AL$627)+1,0)</f>
        <v>0</v>
      </c>
    </row>
    <row r="674" spans="1:38" ht="12.75" customHeight="1" x14ac:dyDescent="0.2">
      <c r="A674" s="1916">
        <v>674</v>
      </c>
      <c r="B674" s="5148"/>
      <c r="C674" s="2918"/>
      <c r="D674" s="2919" t="s">
        <v>2511</v>
      </c>
      <c r="E674" s="2926">
        <v>70</v>
      </c>
      <c r="F674" s="2916">
        <v>-30</v>
      </c>
      <c r="G674" s="2916">
        <v>7</v>
      </c>
      <c r="H674" s="2916">
        <v>7</v>
      </c>
      <c r="I674" s="2916" t="s">
        <v>1863</v>
      </c>
      <c r="J674" s="2916" t="s">
        <v>1809</v>
      </c>
      <c r="K674" s="2898" t="s">
        <v>8899</v>
      </c>
      <c r="L674" s="2916" t="str">
        <f t="shared" si="85"/>
        <v>Mixta</v>
      </c>
      <c r="M674" s="2927">
        <v>15</v>
      </c>
      <c r="N674" s="2927">
        <v>5</v>
      </c>
      <c r="O674" s="2927">
        <v>25</v>
      </c>
      <c r="P674" s="2916"/>
      <c r="Q674" s="2916"/>
      <c r="R674" s="2927">
        <v>100</v>
      </c>
      <c r="S674" s="2916" t="s">
        <v>1766</v>
      </c>
      <c r="T674" s="2927">
        <v>5</v>
      </c>
      <c r="U674" s="2916"/>
      <c r="V674" s="2898" t="s">
        <v>2512</v>
      </c>
      <c r="W674" s="2898"/>
      <c r="X674" s="2899"/>
      <c r="Z674" s="2647" t="str">
        <f t="shared" si="84"/>
        <v/>
      </c>
      <c r="AB674" s="2221" t="s">
        <v>8593</v>
      </c>
      <c r="AC674" s="19" t="s">
        <v>2612</v>
      </c>
      <c r="AD674" s="19"/>
      <c r="AE674" s="2617"/>
      <c r="AG674" s="2221" t="str">
        <f t="shared" si="81"/>
        <v/>
      </c>
      <c r="AH674" s="2001" t="str">
        <f t="shared" si="82"/>
        <v/>
      </c>
      <c r="AI674" s="2001" t="str">
        <f t="shared" si="83"/>
        <v>Kukri</v>
      </c>
      <c r="AJ674" s="2905">
        <f>IF($L674=AJ$627,COUNTIF($L$630:$L674,AJ$627)+1,0)</f>
        <v>0</v>
      </c>
      <c r="AK674" s="2902">
        <f>IF($L674=AK$627,COUNTIF($L$630:$L674,AK$627)+1,0)</f>
        <v>6</v>
      </c>
      <c r="AL674" s="2908">
        <f>IF($L674=AL$627,COUNTIF($L$630:$L674,AL$627)+1,0)</f>
        <v>0</v>
      </c>
    </row>
    <row r="675" spans="1:38" ht="12.75" customHeight="1" x14ac:dyDescent="0.2">
      <c r="A675" s="1916">
        <v>675</v>
      </c>
      <c r="B675" s="5148"/>
      <c r="C675" s="2918"/>
      <c r="D675" s="2919" t="s">
        <v>2513</v>
      </c>
      <c r="E675" s="2926">
        <v>45</v>
      </c>
      <c r="F675" s="2916">
        <v>0</v>
      </c>
      <c r="G675" s="2916">
        <v>5</v>
      </c>
      <c r="H675" s="2916">
        <v>5</v>
      </c>
      <c r="I675" s="2916" t="s">
        <v>1863</v>
      </c>
      <c r="J675" s="2916" t="s">
        <v>1766</v>
      </c>
      <c r="K675" s="2898" t="s">
        <v>8899</v>
      </c>
      <c r="L675" s="2916" t="str">
        <f t="shared" si="85"/>
        <v>Mixta</v>
      </c>
      <c r="M675" s="2927">
        <v>13</v>
      </c>
      <c r="N675" s="2927">
        <v>4</v>
      </c>
      <c r="O675" s="2927">
        <v>15</v>
      </c>
      <c r="P675" s="2916"/>
      <c r="Q675" s="2916"/>
      <c r="R675" s="2927">
        <v>80</v>
      </c>
      <c r="S675" s="2916" t="s">
        <v>1766</v>
      </c>
      <c r="T675" s="2927">
        <v>10</v>
      </c>
      <c r="U675" s="2916"/>
      <c r="V675" s="2898" t="s">
        <v>2514</v>
      </c>
      <c r="W675" s="2898"/>
      <c r="X675" s="2899"/>
      <c r="Z675" s="2647" t="str">
        <f t="shared" si="84"/>
        <v/>
      </c>
      <c r="AB675" s="2221" t="s">
        <v>2517</v>
      </c>
      <c r="AC675" s="19" t="s">
        <v>2614</v>
      </c>
      <c r="AD675" s="19"/>
      <c r="AE675" s="2617"/>
      <c r="AG675" s="2221" t="str">
        <f t="shared" si="81"/>
        <v/>
      </c>
      <c r="AH675" s="2001" t="str">
        <f t="shared" si="82"/>
        <v/>
      </c>
      <c r="AI675" s="2001" t="str">
        <f t="shared" si="83"/>
        <v>Lanza</v>
      </c>
      <c r="AJ675" s="2905">
        <f>IF($L675=AJ$627,COUNTIF($L$630:$L675,AJ$627)+1,0)</f>
        <v>0</v>
      </c>
      <c r="AK675" s="2902">
        <f>IF($L675=AK$627,COUNTIF($L$630:$L675,AK$627)+1,0)</f>
        <v>7</v>
      </c>
      <c r="AL675" s="2908">
        <f>IF($L675=AL$627,COUNTIF($L$630:$L675,AL$627)+1,0)</f>
        <v>0</v>
      </c>
    </row>
    <row r="676" spans="1:38" ht="12.75" customHeight="1" x14ac:dyDescent="0.2">
      <c r="A676" s="1916">
        <v>676</v>
      </c>
      <c r="B676" s="5148"/>
      <c r="C676" s="2918"/>
      <c r="D676" s="2919" t="s">
        <v>8586</v>
      </c>
      <c r="E676" s="2926">
        <v>30</v>
      </c>
      <c r="F676" s="2916">
        <v>15</v>
      </c>
      <c r="G676" s="2916">
        <v>5</v>
      </c>
      <c r="H676" s="2916">
        <v>5</v>
      </c>
      <c r="I676" s="2916" t="s">
        <v>1863</v>
      </c>
      <c r="J676" s="2916" t="s">
        <v>1809</v>
      </c>
      <c r="K676" s="2898" t="s">
        <v>8892</v>
      </c>
      <c r="L676" s="2916" t="str">
        <f t="shared" si="85"/>
        <v>Distinta</v>
      </c>
      <c r="M676" s="2927">
        <v>10</v>
      </c>
      <c r="N676" s="2927">
        <v>-2</v>
      </c>
      <c r="O676" s="2927">
        <v>20</v>
      </c>
      <c r="P676" s="2916"/>
      <c r="Q676" s="2916"/>
      <c r="R676" s="2916" t="s">
        <v>1766</v>
      </c>
      <c r="S676" s="2916" t="s">
        <v>1766</v>
      </c>
      <c r="T676" s="2916" t="s">
        <v>1766</v>
      </c>
      <c r="U676" s="2916"/>
      <c r="V676" s="2898" t="s">
        <v>8614</v>
      </c>
      <c r="W676" s="2898"/>
      <c r="X676" s="2899"/>
      <c r="Z676" s="2647" t="str">
        <f t="shared" si="84"/>
        <v/>
      </c>
      <c r="AB676" s="2221" t="s">
        <v>2519</v>
      </c>
      <c r="AC676" s="19" t="s">
        <v>2616</v>
      </c>
      <c r="AD676" s="19"/>
      <c r="AE676" s="2617"/>
      <c r="AG676" s="2221" t="str">
        <f t="shared" si="81"/>
        <v/>
      </c>
      <c r="AH676" s="2001" t="str">
        <f t="shared" si="82"/>
        <v/>
      </c>
      <c r="AI676" s="2001" t="str">
        <f t="shared" si="83"/>
        <v>Lanza de caballería</v>
      </c>
      <c r="AJ676" s="2905">
        <f>IF($L676=AJ$627,COUNTIF($L$630:$L676,AJ$627)+1,0)</f>
        <v>0</v>
      </c>
      <c r="AK676" s="2902">
        <f>IF($L676=AK$627,COUNTIF($L$630:$L676,AK$627)+1,0)</f>
        <v>0</v>
      </c>
      <c r="AL676" s="2908">
        <f>IF($L676=AL$627,COUNTIF($L$630:$L676,AL$627)+1,0)</f>
        <v>40</v>
      </c>
    </row>
    <row r="677" spans="1:38" ht="12.75" customHeight="1" x14ac:dyDescent="0.2">
      <c r="A677" s="1916">
        <v>677</v>
      </c>
      <c r="B677" s="5148"/>
      <c r="C677" s="2918"/>
      <c r="D677" s="2919" t="s">
        <v>2515</v>
      </c>
      <c r="E677" s="2926">
        <v>35</v>
      </c>
      <c r="F677" s="2916">
        <v>5</v>
      </c>
      <c r="G677" s="2916">
        <v>4</v>
      </c>
      <c r="H677" s="2916">
        <v>4</v>
      </c>
      <c r="I677" s="2916" t="s">
        <v>1864</v>
      </c>
      <c r="J677" s="2916" t="s">
        <v>1766</v>
      </c>
      <c r="K677" s="2898" t="s">
        <v>8887</v>
      </c>
      <c r="L677" s="2916" t="str">
        <f t="shared" si="85"/>
        <v>Distinta</v>
      </c>
      <c r="M677" s="2927">
        <v>10</v>
      </c>
      <c r="N677" s="2927">
        <v>-2</v>
      </c>
      <c r="O677" s="2927">
        <v>20</v>
      </c>
      <c r="P677" s="2916"/>
      <c r="Q677" s="2916"/>
      <c r="R677" s="2927">
        <v>100</v>
      </c>
      <c r="S677" s="2916" t="s">
        <v>1766</v>
      </c>
      <c r="T677" s="2927">
        <v>30</v>
      </c>
      <c r="U677" s="2916"/>
      <c r="V677" s="2898" t="s">
        <v>2516</v>
      </c>
      <c r="W677" s="2898"/>
      <c r="X677" s="2899"/>
      <c r="Z677" s="2647" t="str">
        <f t="shared" si="84"/>
        <v/>
      </c>
      <c r="AB677" s="2221" t="s">
        <v>2521</v>
      </c>
      <c r="AC677" s="19" t="s">
        <v>2617</v>
      </c>
      <c r="AD677" s="19"/>
      <c r="AE677" s="2617"/>
      <c r="AG677" s="2221" t="str">
        <f t="shared" si="81"/>
        <v/>
      </c>
      <c r="AH677" s="2001" t="str">
        <f t="shared" si="82"/>
        <v/>
      </c>
      <c r="AI677" s="2001" t="str">
        <f t="shared" si="83"/>
        <v>Látigo</v>
      </c>
      <c r="AJ677" s="2905">
        <f>IF($L677=AJ$627,COUNTIF($L$630:$L677,AJ$627)+1,0)</f>
        <v>0</v>
      </c>
      <c r="AK677" s="2902">
        <f>IF($L677=AK$627,COUNTIF($L$630:$L677,AK$627)+1,0)</f>
        <v>0</v>
      </c>
      <c r="AL677" s="2908">
        <f>IF($L677=AL$627,COUNTIF($L$630:$L677,AL$627)+1,0)</f>
        <v>41</v>
      </c>
    </row>
    <row r="678" spans="1:38" ht="12.75" customHeight="1" x14ac:dyDescent="0.2">
      <c r="A678" s="1916">
        <v>678</v>
      </c>
      <c r="B678" s="5148"/>
      <c r="C678" s="2918"/>
      <c r="D678" s="2919" t="s">
        <v>8589</v>
      </c>
      <c r="E678" s="2926">
        <v>45</v>
      </c>
      <c r="F678" s="2916">
        <v>10</v>
      </c>
      <c r="G678" s="2916">
        <v>5</v>
      </c>
      <c r="H678" s="2916">
        <v>5</v>
      </c>
      <c r="I678" s="2916" t="s">
        <v>1863</v>
      </c>
      <c r="J678" s="2916" t="s">
        <v>1766</v>
      </c>
      <c r="K678" s="2898" t="s">
        <v>8892</v>
      </c>
      <c r="L678" s="2916" t="str">
        <f t="shared" si="85"/>
        <v>Distinta</v>
      </c>
      <c r="M678" s="2927">
        <v>13</v>
      </c>
      <c r="N678" s="2927">
        <v>2</v>
      </c>
      <c r="O678" s="2927">
        <v>20</v>
      </c>
      <c r="P678" s="2916"/>
      <c r="Q678" s="2916"/>
      <c r="R678" s="2916" t="s">
        <v>1766</v>
      </c>
      <c r="S678" s="2916" t="s">
        <v>1766</v>
      </c>
      <c r="T678" s="2916" t="s">
        <v>1766</v>
      </c>
      <c r="U678" s="2916"/>
      <c r="V678" s="2898" t="s">
        <v>1766</v>
      </c>
      <c r="W678" s="2898"/>
      <c r="X678" s="2899"/>
      <c r="Z678" s="2647" t="str">
        <f t="shared" si="84"/>
        <v/>
      </c>
      <c r="AB678" s="2221" t="s">
        <v>2523</v>
      </c>
      <c r="AC678" s="19" t="s">
        <v>2619</v>
      </c>
      <c r="AD678" s="19"/>
      <c r="AE678" s="2617"/>
      <c r="AG678" s="2221" t="str">
        <f t="shared" si="81"/>
        <v/>
      </c>
      <c r="AH678" s="2001" t="str">
        <f t="shared" si="82"/>
        <v/>
      </c>
      <c r="AI678" s="2001" t="str">
        <f t="shared" si="83"/>
        <v>Lazo</v>
      </c>
      <c r="AJ678" s="2905">
        <f>IF($L678=AJ$627,COUNTIF($L$630:$L678,AJ$627)+1,0)</f>
        <v>0</v>
      </c>
      <c r="AK678" s="2902">
        <f>IF($L678=AK$627,COUNTIF($L$630:$L678,AK$627)+1,0)</f>
        <v>0</v>
      </c>
      <c r="AL678" s="2908">
        <f>IF($L678=AL$627,COUNTIF($L$630:$L678,AL$627)+1,0)</f>
        <v>42</v>
      </c>
    </row>
    <row r="679" spans="1:38" ht="12.75" customHeight="1" x14ac:dyDescent="0.2">
      <c r="A679" s="1916">
        <v>679</v>
      </c>
      <c r="B679" s="5148"/>
      <c r="C679" s="2918"/>
      <c r="D679" s="2919" t="s">
        <v>8591</v>
      </c>
      <c r="E679" s="2926">
        <v>25</v>
      </c>
      <c r="F679" s="2916">
        <v>20</v>
      </c>
      <c r="G679" s="2916">
        <v>4</v>
      </c>
      <c r="H679" s="2916">
        <v>4</v>
      </c>
      <c r="I679" s="2916" t="s">
        <v>1863</v>
      </c>
      <c r="J679" s="2916" t="s">
        <v>1809</v>
      </c>
      <c r="K679" s="2898" t="s">
        <v>8892</v>
      </c>
      <c r="L679" s="2916" t="str">
        <f t="shared" si="85"/>
        <v>Distinta</v>
      </c>
      <c r="M679" s="2927">
        <v>10</v>
      </c>
      <c r="N679" s="2927">
        <v>-2</v>
      </c>
      <c r="O679" s="2927">
        <v>15</v>
      </c>
      <c r="P679" s="2916"/>
      <c r="Q679" s="2916"/>
      <c r="R679" s="2916" t="s">
        <v>1766</v>
      </c>
      <c r="S679" s="2916" t="s">
        <v>1766</v>
      </c>
      <c r="T679" s="2916" t="s">
        <v>1766</v>
      </c>
      <c r="U679" s="2916"/>
      <c r="V679" s="2898" t="s">
        <v>8614</v>
      </c>
      <c r="W679" s="2898"/>
      <c r="X679" s="2899"/>
      <c r="Z679" s="2647" t="str">
        <f t="shared" si="84"/>
        <v/>
      </c>
      <c r="AB679" s="2221" t="s">
        <v>8594</v>
      </c>
      <c r="AC679" s="19" t="s">
        <v>2620</v>
      </c>
      <c r="AD679" s="19"/>
      <c r="AE679" s="2617"/>
      <c r="AG679" s="2221" t="str">
        <f t="shared" si="81"/>
        <v/>
      </c>
      <c r="AH679" s="2001" t="str">
        <f t="shared" si="82"/>
        <v/>
      </c>
      <c r="AI679" s="2001" t="str">
        <f t="shared" si="83"/>
        <v>Liu Xing Chui</v>
      </c>
      <c r="AJ679" s="2905">
        <f>IF($L679=AJ$627,COUNTIF($L$630:$L679,AJ$627)+1,0)</f>
        <v>0</v>
      </c>
      <c r="AK679" s="2902">
        <f>IF($L679=AK$627,COUNTIF($L$630:$L679,AK$627)+1,0)</f>
        <v>0</v>
      </c>
      <c r="AL679" s="2908">
        <f>IF($L679=AL$627,COUNTIF($L$630:$L679,AL$627)+1,0)</f>
        <v>43</v>
      </c>
    </row>
    <row r="680" spans="1:38" ht="12.75" customHeight="1" x14ac:dyDescent="0.2">
      <c r="A680" s="1916">
        <v>680</v>
      </c>
      <c r="B680" s="5148"/>
      <c r="C680" s="2918"/>
      <c r="D680" s="2919" t="s">
        <v>8592</v>
      </c>
      <c r="E680" s="2926">
        <v>60</v>
      </c>
      <c r="F680" s="2916">
        <v>-30</v>
      </c>
      <c r="G680" s="2916">
        <v>8</v>
      </c>
      <c r="H680" s="2916">
        <v>8</v>
      </c>
      <c r="I680" s="2916" t="s">
        <v>1864</v>
      </c>
      <c r="J680" s="2916" t="s">
        <v>1766</v>
      </c>
      <c r="K680" s="2898" t="s">
        <v>8890</v>
      </c>
      <c r="L680" s="2916" t="str">
        <f t="shared" si="85"/>
        <v>Distinta</v>
      </c>
      <c r="M680" s="2927">
        <v>9</v>
      </c>
      <c r="N680" s="2927">
        <v>2</v>
      </c>
      <c r="O680" s="2927">
        <v>20</v>
      </c>
      <c r="P680" s="2916"/>
      <c r="Q680" s="2916"/>
      <c r="R680" s="2916" t="s">
        <v>1766</v>
      </c>
      <c r="S680" s="2916" t="s">
        <v>1766</v>
      </c>
      <c r="T680" s="2916" t="s">
        <v>1766</v>
      </c>
      <c r="U680" s="2916"/>
      <c r="V680" s="2898" t="s">
        <v>2520</v>
      </c>
      <c r="W680" s="2898"/>
      <c r="X680" s="2899"/>
      <c r="Z680" s="2647" t="str">
        <f t="shared" si="84"/>
        <v/>
      </c>
      <c r="AB680" s="2221" t="s">
        <v>2525</v>
      </c>
      <c r="AC680" s="19" t="s">
        <v>2634</v>
      </c>
      <c r="AD680" s="19"/>
      <c r="AE680" s="2617"/>
      <c r="AG680" s="2221" t="str">
        <f t="shared" si="81"/>
        <v/>
      </c>
      <c r="AH680" s="2001" t="str">
        <f t="shared" si="82"/>
        <v/>
      </c>
      <c r="AI680" s="2001" t="str">
        <f t="shared" si="83"/>
        <v>Lujiaodao</v>
      </c>
      <c r="AJ680" s="2905">
        <f>IF($L680=AJ$627,COUNTIF($L$630:$L680,AJ$627)+1,0)</f>
        <v>0</v>
      </c>
      <c r="AK680" s="2902">
        <f>IF($L680=AK$627,COUNTIF($L$630:$L680,AK$627)+1,0)</f>
        <v>0</v>
      </c>
      <c r="AL680" s="2908">
        <f>IF($L680=AL$627,COUNTIF($L$630:$L680,AL$627)+1,0)</f>
        <v>44</v>
      </c>
    </row>
    <row r="681" spans="1:38" ht="12.75" customHeight="1" x14ac:dyDescent="0.2">
      <c r="A681" s="1916">
        <v>681</v>
      </c>
      <c r="B681" s="5148"/>
      <c r="C681" s="2918"/>
      <c r="D681" s="2919" t="s">
        <v>8593</v>
      </c>
      <c r="E681" s="2926">
        <v>35</v>
      </c>
      <c r="F681" s="2916">
        <v>10</v>
      </c>
      <c r="G681" s="2916">
        <v>6</v>
      </c>
      <c r="H681" s="2916">
        <v>6</v>
      </c>
      <c r="I681" s="2916" t="s">
        <v>1863</v>
      </c>
      <c r="J681" s="2916" t="s">
        <v>1766</v>
      </c>
      <c r="K681" s="2898" t="s">
        <v>8892</v>
      </c>
      <c r="L681" s="2916" t="str">
        <f t="shared" si="85"/>
        <v>Distinta</v>
      </c>
      <c r="M681" s="2927">
        <v>12</v>
      </c>
      <c r="N681" s="2927">
        <v>3</v>
      </c>
      <c r="O681" s="2927">
        <v>20</v>
      </c>
      <c r="P681" s="2916"/>
      <c r="Q681" s="2916"/>
      <c r="R681" s="2916" t="s">
        <v>1766</v>
      </c>
      <c r="S681" s="2916" t="s">
        <v>1766</v>
      </c>
      <c r="T681" s="2916" t="s">
        <v>1766</v>
      </c>
      <c r="U681" s="2916"/>
      <c r="V681" s="2898" t="s">
        <v>1766</v>
      </c>
      <c r="W681" s="2898"/>
      <c r="X681" s="2899"/>
      <c r="Z681" s="2647" t="str">
        <f t="shared" si="84"/>
        <v/>
      </c>
      <c r="AB681" s="2221" t="s">
        <v>2527</v>
      </c>
      <c r="AC681" s="19"/>
      <c r="AD681" s="19"/>
      <c r="AE681" s="2617"/>
      <c r="AG681" s="2221" t="str">
        <f t="shared" si="81"/>
        <v/>
      </c>
      <c r="AH681" s="2001" t="str">
        <f t="shared" si="82"/>
        <v/>
      </c>
      <c r="AI681" s="2001" t="str">
        <f t="shared" si="83"/>
        <v>Martillo de guerra</v>
      </c>
      <c r="AJ681" s="2905">
        <f>IF($L681=AJ$627,COUNTIF($L$630:$L681,AJ$627)+1,0)</f>
        <v>0</v>
      </c>
      <c r="AK681" s="2902">
        <f>IF($L681=AK$627,COUNTIF($L$630:$L681,AK$627)+1,0)</f>
        <v>0</v>
      </c>
      <c r="AL681" s="2908">
        <f>IF($L681=AL$627,COUNTIF($L$630:$L681,AL$627)+1,0)</f>
        <v>45</v>
      </c>
    </row>
    <row r="682" spans="1:38" ht="12.75" customHeight="1" x14ac:dyDescent="0.2">
      <c r="A682" s="1916">
        <v>682</v>
      </c>
      <c r="B682" s="5148"/>
      <c r="C682" s="2918"/>
      <c r="D682" s="2919" t="s">
        <v>2517</v>
      </c>
      <c r="E682" s="2926">
        <v>40</v>
      </c>
      <c r="F682" s="2916">
        <v>5</v>
      </c>
      <c r="G682" s="2916">
        <v>4</v>
      </c>
      <c r="H682" s="2916">
        <v>4</v>
      </c>
      <c r="I682" s="2916" t="s">
        <v>1864</v>
      </c>
      <c r="J682" s="2916" t="s">
        <v>1766</v>
      </c>
      <c r="K682" s="2898" t="s">
        <v>8887</v>
      </c>
      <c r="L682" s="2916" t="str">
        <f t="shared" si="85"/>
        <v>Distinta</v>
      </c>
      <c r="M682" s="2927">
        <v>13</v>
      </c>
      <c r="N682" s="2927">
        <v>2</v>
      </c>
      <c r="O682" s="2927">
        <v>25</v>
      </c>
      <c r="P682" s="2916"/>
      <c r="Q682" s="2916"/>
      <c r="R682" s="2927">
        <v>80</v>
      </c>
      <c r="S682" s="2916" t="s">
        <v>1766</v>
      </c>
      <c r="T682" s="2927">
        <v>30</v>
      </c>
      <c r="U682" s="2916"/>
      <c r="V682" s="2898" t="s">
        <v>2518</v>
      </c>
      <c r="W682" s="2898"/>
      <c r="X682" s="2899"/>
      <c r="Z682" s="2647" t="str">
        <f t="shared" si="84"/>
        <v/>
      </c>
      <c r="AB682" s="2221" t="s">
        <v>2528</v>
      </c>
      <c r="AC682" s="19"/>
      <c r="AD682" s="19"/>
      <c r="AE682" s="2617"/>
      <c r="AG682" s="2221" t="str">
        <f t="shared" si="81"/>
        <v/>
      </c>
      <c r="AH682" s="2001" t="str">
        <f t="shared" si="82"/>
        <v/>
      </c>
      <c r="AI682" s="2001" t="str">
        <f t="shared" si="83"/>
        <v>Mayal</v>
      </c>
      <c r="AJ682" s="2905">
        <f>IF($L682=AJ$627,COUNTIF($L$630:$L682,AJ$627)+1,0)</f>
        <v>0</v>
      </c>
      <c r="AK682" s="2902">
        <f>IF($L682=AK$627,COUNTIF($L$630:$L682,AK$627)+1,0)</f>
        <v>0</v>
      </c>
      <c r="AL682" s="2908">
        <f>IF($L682=AL$627,COUNTIF($L$630:$L682,AL$627)+1,0)</f>
        <v>46</v>
      </c>
    </row>
    <row r="683" spans="1:38" ht="12.75" customHeight="1" x14ac:dyDescent="0.2">
      <c r="A683" s="1916">
        <v>683</v>
      </c>
      <c r="B683" s="5148"/>
      <c r="C683" s="2918"/>
      <c r="D683" s="2919" t="s">
        <v>2519</v>
      </c>
      <c r="E683" s="2926">
        <v>80</v>
      </c>
      <c r="F683" s="2916">
        <v>-30</v>
      </c>
      <c r="G683" s="2916">
        <v>8</v>
      </c>
      <c r="H683" s="2916">
        <v>8</v>
      </c>
      <c r="I683" s="2916" t="s">
        <v>1864</v>
      </c>
      <c r="J683" s="2916" t="s">
        <v>1766</v>
      </c>
      <c r="K683" s="2898" t="s">
        <v>8887</v>
      </c>
      <c r="L683" s="2916" t="str">
        <f t="shared" si="85"/>
        <v>Distinta</v>
      </c>
      <c r="M683" s="2927">
        <v>12</v>
      </c>
      <c r="N683" s="2927">
        <v>7</v>
      </c>
      <c r="O683" s="2927">
        <v>25</v>
      </c>
      <c r="P683" s="2916"/>
      <c r="Q683" s="2916"/>
      <c r="R683" s="2916" t="s">
        <v>1766</v>
      </c>
      <c r="S683" s="2916" t="s">
        <v>1766</v>
      </c>
      <c r="T683" s="2916" t="s">
        <v>1766</v>
      </c>
      <c r="U683" s="2916"/>
      <c r="V683" s="2898" t="s">
        <v>2520</v>
      </c>
      <c r="W683" s="2898"/>
      <c r="X683" s="2899"/>
      <c r="Z683" s="2647" t="str">
        <f t="shared" si="84"/>
        <v/>
      </c>
      <c r="AB683" s="2221" t="s">
        <v>8576</v>
      </c>
      <c r="AC683" s="19"/>
      <c r="AD683" s="19"/>
      <c r="AE683" s="2617"/>
      <c r="AG683" s="2221" t="str">
        <f t="shared" si="81"/>
        <v/>
      </c>
      <c r="AH683" s="2001" t="str">
        <f t="shared" si="82"/>
        <v/>
      </c>
      <c r="AI683" s="2001" t="str">
        <f t="shared" si="83"/>
        <v>Maza Barra</v>
      </c>
      <c r="AJ683" s="2905">
        <f>IF($L683=AJ$627,COUNTIF($L$630:$L683,AJ$627)+1,0)</f>
        <v>0</v>
      </c>
      <c r="AK683" s="2902">
        <f>IF($L683=AK$627,COUNTIF($L$630:$L683,AK$627)+1,0)</f>
        <v>0</v>
      </c>
      <c r="AL683" s="2908">
        <f>IF($L683=AL$627,COUNTIF($L$630:$L683,AL$627)+1,0)</f>
        <v>47</v>
      </c>
    </row>
    <row r="684" spans="1:38" ht="12.75" customHeight="1" x14ac:dyDescent="0.2">
      <c r="A684" s="1916">
        <v>684</v>
      </c>
      <c r="B684" s="5148"/>
      <c r="C684" s="2918"/>
      <c r="D684" s="2919" t="s">
        <v>2521</v>
      </c>
      <c r="E684" s="2926">
        <v>35</v>
      </c>
      <c r="F684" s="2916">
        <v>-20</v>
      </c>
      <c r="G684" s="2916">
        <v>4</v>
      </c>
      <c r="H684" s="2916">
        <v>4</v>
      </c>
      <c r="I684" s="2916" t="s">
        <v>1863</v>
      </c>
      <c r="J684" s="2916" t="s">
        <v>1809</v>
      </c>
      <c r="K684" s="2898" t="s">
        <v>8891</v>
      </c>
      <c r="L684" s="2916" t="str">
        <f t="shared" si="85"/>
        <v>Distinta</v>
      </c>
      <c r="M684" s="2927">
        <v>9</v>
      </c>
      <c r="N684" s="2927">
        <v>-3</v>
      </c>
      <c r="O684" s="2927">
        <v>20</v>
      </c>
      <c r="P684" s="2916"/>
      <c r="Q684" s="2916"/>
      <c r="R684" s="2916" t="s">
        <v>1766</v>
      </c>
      <c r="S684" s="2916" t="s">
        <v>1766</v>
      </c>
      <c r="T684" s="2916" t="s">
        <v>1766</v>
      </c>
      <c r="U684" s="2916"/>
      <c r="V684" s="2898" t="s">
        <v>2522</v>
      </c>
      <c r="W684" s="2898"/>
      <c r="X684" s="2899"/>
      <c r="Z684" s="2647" t="str">
        <f t="shared" si="84"/>
        <v/>
      </c>
      <c r="AB684" s="2221" t="s">
        <v>2529</v>
      </c>
      <c r="AC684" s="19"/>
      <c r="AD684" s="19"/>
      <c r="AE684" s="2617"/>
      <c r="AG684" s="2221" t="str">
        <f t="shared" si="81"/>
        <v/>
      </c>
      <c r="AH684" s="2001" t="str">
        <f t="shared" si="82"/>
        <v/>
      </c>
      <c r="AI684" s="2001" t="str">
        <f t="shared" si="83"/>
        <v>Maza ligera</v>
      </c>
      <c r="AJ684" s="2905">
        <f>IF($L684=AJ$627,COUNTIF($L$630:$L684,AJ$627)+1,0)</f>
        <v>0</v>
      </c>
      <c r="AK684" s="2902">
        <f>IF($L684=AK$627,COUNTIF($L$630:$L684,AK$627)+1,0)</f>
        <v>0</v>
      </c>
      <c r="AL684" s="2908">
        <f>IF($L684=AL$627,COUNTIF($L$630:$L684,AL$627)+1,0)</f>
        <v>48</v>
      </c>
    </row>
    <row r="685" spans="1:38" ht="12.75" customHeight="1" x14ac:dyDescent="0.2">
      <c r="A685" s="1916">
        <v>685</v>
      </c>
      <c r="B685" s="5148"/>
      <c r="C685" s="2918"/>
      <c r="D685" s="2919" t="s">
        <v>2523</v>
      </c>
      <c r="E685" s="2926">
        <v>5</v>
      </c>
      <c r="F685" s="2916">
        <v>10</v>
      </c>
      <c r="G685" s="2916">
        <v>4</v>
      </c>
      <c r="H685" s="2916">
        <v>4</v>
      </c>
      <c r="I685" s="2916" t="s">
        <v>1809</v>
      </c>
      <c r="J685" s="2916" t="s">
        <v>1766</v>
      </c>
      <c r="K685" s="2898" t="s">
        <v>8891</v>
      </c>
      <c r="L685" s="2916" t="str">
        <f t="shared" si="85"/>
        <v>Distinta</v>
      </c>
      <c r="M685" s="2927">
        <v>9</v>
      </c>
      <c r="N685" s="2927">
        <v>-4</v>
      </c>
      <c r="O685" s="2927">
        <v>20</v>
      </c>
      <c r="P685" s="2916"/>
      <c r="Q685" s="2916"/>
      <c r="R685" s="2916" t="s">
        <v>1766</v>
      </c>
      <c r="S685" s="2916" t="s">
        <v>1766</v>
      </c>
      <c r="T685" s="2916" t="s">
        <v>1766</v>
      </c>
      <c r="U685" s="2916"/>
      <c r="V685" s="2898" t="s">
        <v>2524</v>
      </c>
      <c r="W685" s="2898"/>
      <c r="X685" s="2899"/>
      <c r="Z685" s="2647" t="str">
        <f t="shared" si="84"/>
        <v/>
      </c>
      <c r="AB685" s="2221" t="s">
        <v>2530</v>
      </c>
      <c r="AC685" s="19"/>
      <c r="AD685" s="19"/>
      <c r="AE685" s="2617"/>
      <c r="AG685" s="2221" t="str">
        <f t="shared" si="81"/>
        <v/>
      </c>
      <c r="AH685" s="2001" t="str">
        <f t="shared" si="82"/>
        <v/>
      </c>
      <c r="AI685" s="2001" t="str">
        <f t="shared" si="83"/>
        <v>Montante</v>
      </c>
      <c r="AJ685" s="2905">
        <f>IF($L685=AJ$627,COUNTIF($L$630:$L685,AJ$627)+1,0)</f>
        <v>0</v>
      </c>
      <c r="AK685" s="2902">
        <f>IF($L685=AK$627,COUNTIF($L$630:$L685,AK$627)+1,0)</f>
        <v>0</v>
      </c>
      <c r="AL685" s="2908">
        <f>IF($L685=AL$627,COUNTIF($L$630:$L685,AL$627)+1,0)</f>
        <v>49</v>
      </c>
    </row>
    <row r="686" spans="1:38" ht="12.75" customHeight="1" x14ac:dyDescent="0.2">
      <c r="A686" s="1916">
        <v>686</v>
      </c>
      <c r="B686" s="5148"/>
      <c r="C686" s="2918"/>
      <c r="D686" s="2919" t="s">
        <v>8575</v>
      </c>
      <c r="E686" s="2926">
        <v>30</v>
      </c>
      <c r="F686" s="2916">
        <v>15</v>
      </c>
      <c r="G686" s="2916">
        <v>5</v>
      </c>
      <c r="H686" s="2916">
        <v>5</v>
      </c>
      <c r="I686" s="2916" t="s">
        <v>1809</v>
      </c>
      <c r="J686" s="2916" t="s">
        <v>1766</v>
      </c>
      <c r="K686" s="2898" t="s">
        <v>8891</v>
      </c>
      <c r="L686" s="2916" t="str">
        <f t="shared" si="85"/>
        <v>Distinta</v>
      </c>
      <c r="M686" s="2927">
        <v>8</v>
      </c>
      <c r="N686" s="2927">
        <v>1</v>
      </c>
      <c r="O686" s="2927">
        <v>15</v>
      </c>
      <c r="P686" s="2916"/>
      <c r="Q686" s="2916"/>
      <c r="R686" s="2916" t="s">
        <v>1766</v>
      </c>
      <c r="S686" s="2916" t="s">
        <v>1766</v>
      </c>
      <c r="T686" s="2916" t="s">
        <v>1766</v>
      </c>
      <c r="U686" s="2916"/>
      <c r="V686" s="2898" t="s">
        <v>8615</v>
      </c>
      <c r="W686" s="2898"/>
      <c r="X686" s="2899"/>
      <c r="Z686" s="2647" t="str">
        <f t="shared" si="84"/>
        <v/>
      </c>
      <c r="AB686" s="2221" t="s">
        <v>8595</v>
      </c>
      <c r="AC686" s="19"/>
      <c r="AD686" s="19"/>
      <c r="AE686" s="2617"/>
      <c r="AG686" s="2221" t="str">
        <f t="shared" si="81"/>
        <v/>
      </c>
      <c r="AH686" s="2001" t="str">
        <f t="shared" si="82"/>
        <v/>
      </c>
      <c r="AI686" s="2001" t="str">
        <f t="shared" si="83"/>
        <v>Pata</v>
      </c>
      <c r="AJ686" s="2905">
        <f>IF($L686=AJ$627,COUNTIF($L$630:$L686,AJ$627)+1,0)</f>
        <v>0</v>
      </c>
      <c r="AK686" s="2902">
        <f>IF($L686=AK$627,COUNTIF($L$630:$L686,AK$627)+1,0)</f>
        <v>0</v>
      </c>
      <c r="AL686" s="2908">
        <f>IF($L686=AL$627,COUNTIF($L$630:$L686,AL$627)+1,0)</f>
        <v>50</v>
      </c>
    </row>
    <row r="687" spans="1:38" ht="12.75" customHeight="1" x14ac:dyDescent="0.2">
      <c r="A687" s="1916">
        <v>687</v>
      </c>
      <c r="B687" s="5148"/>
      <c r="C687" s="2918"/>
      <c r="D687" s="2919" t="s">
        <v>8594</v>
      </c>
      <c r="E687" s="2926">
        <v>25</v>
      </c>
      <c r="F687" s="2916">
        <v>20</v>
      </c>
      <c r="G687" s="2916">
        <v>5</v>
      </c>
      <c r="H687" s="2916">
        <v>5</v>
      </c>
      <c r="I687" s="2916" t="s">
        <v>1863</v>
      </c>
      <c r="J687" s="2916" t="s">
        <v>1766</v>
      </c>
      <c r="K687" s="2898" t="s">
        <v>8892</v>
      </c>
      <c r="L687" s="2916" t="str">
        <f t="shared" si="85"/>
        <v>Distinta</v>
      </c>
      <c r="M687" s="2927">
        <v>12</v>
      </c>
      <c r="N687" s="2927">
        <v>5</v>
      </c>
      <c r="O687" s="2927">
        <v>15</v>
      </c>
      <c r="P687" s="2916"/>
      <c r="Q687" s="2916"/>
      <c r="R687" s="2916" t="s">
        <v>1766</v>
      </c>
      <c r="S687" s="2916" t="s">
        <v>1766</v>
      </c>
      <c r="T687" s="2916" t="s">
        <v>1766</v>
      </c>
      <c r="U687" s="2916"/>
      <c r="V687" s="2898" t="s">
        <v>8616</v>
      </c>
      <c r="W687" s="2898"/>
      <c r="X687" s="2899"/>
      <c r="Z687" s="2647" t="str">
        <f t="shared" si="84"/>
        <v/>
      </c>
      <c r="AB687" s="2221" t="s">
        <v>8579</v>
      </c>
      <c r="AC687" s="19"/>
      <c r="AD687" s="19"/>
      <c r="AE687" s="2617"/>
      <c r="AG687" s="2221" t="str">
        <f t="shared" si="81"/>
        <v/>
      </c>
      <c r="AH687" s="2001" t="str">
        <f t="shared" si="82"/>
        <v/>
      </c>
      <c r="AI687" s="2001" t="str">
        <f t="shared" si="83"/>
        <v>Pica</v>
      </c>
      <c r="AJ687" s="2905">
        <f>IF($L687=AJ$627,COUNTIF($L$630:$L687,AJ$627)+1,0)</f>
        <v>0</v>
      </c>
      <c r="AK687" s="2902">
        <f>IF($L687=AK$627,COUNTIF($L$630:$L687,AK$627)+1,0)</f>
        <v>0</v>
      </c>
      <c r="AL687" s="2908">
        <f>IF($L687=AL$627,COUNTIF($L$630:$L687,AL$627)+1,0)</f>
        <v>51</v>
      </c>
    </row>
    <row r="688" spans="1:38" ht="12.75" customHeight="1" x14ac:dyDescent="0.2">
      <c r="A688" s="1916">
        <v>688</v>
      </c>
      <c r="B688" s="5148"/>
      <c r="C688" s="2918"/>
      <c r="D688" s="2919" t="s">
        <v>2525</v>
      </c>
      <c r="E688" s="2926">
        <v>80</v>
      </c>
      <c r="F688" s="2916">
        <v>-50</v>
      </c>
      <c r="G688" s="2916">
        <v>10</v>
      </c>
      <c r="H688" s="2916">
        <v>8</v>
      </c>
      <c r="I688" s="2916" t="s">
        <v>1809</v>
      </c>
      <c r="J688" s="2916" t="s">
        <v>1766</v>
      </c>
      <c r="K688" s="2898" t="s">
        <v>8900</v>
      </c>
      <c r="L688" s="2916" t="str">
        <f t="shared" si="85"/>
        <v>Mixta</v>
      </c>
      <c r="M688" s="2927">
        <v>14</v>
      </c>
      <c r="N688" s="2927">
        <v>6</v>
      </c>
      <c r="O688" s="2927">
        <v>20</v>
      </c>
      <c r="P688" s="2916"/>
      <c r="Q688" s="2916"/>
      <c r="R688" s="2916" t="s">
        <v>1766</v>
      </c>
      <c r="S688" s="2916" t="s">
        <v>1766</v>
      </c>
      <c r="T688" s="2916" t="s">
        <v>1766</v>
      </c>
      <c r="U688" s="2916"/>
      <c r="V688" s="2898" t="s">
        <v>2526</v>
      </c>
      <c r="W688" s="2898"/>
      <c r="X688" s="2899"/>
      <c r="Z688" s="2647" t="str">
        <f t="shared" si="84"/>
        <v/>
      </c>
      <c r="AB688" s="2221" t="s">
        <v>2531</v>
      </c>
      <c r="AC688" s="19"/>
      <c r="AD688" s="19"/>
      <c r="AE688" s="2617"/>
      <c r="AG688" s="2221" t="str">
        <f t="shared" si="81"/>
        <v/>
      </c>
      <c r="AH688" s="2001" t="str">
        <f t="shared" si="82"/>
        <v/>
      </c>
      <c r="AI688" s="2001" t="str">
        <f t="shared" si="83"/>
        <v>Pudao</v>
      </c>
      <c r="AJ688" s="2905">
        <f>IF($L688=AJ$627,COUNTIF($L$630:$L688,AJ$627)+1,0)</f>
        <v>0</v>
      </c>
      <c r="AK688" s="2902">
        <f>IF($L688=AK$627,COUNTIF($L$630:$L688,AK$627)+1,0)</f>
        <v>8</v>
      </c>
      <c r="AL688" s="2908">
        <f>IF($L688=AL$627,COUNTIF($L$630:$L688,AL$627)+1,0)</f>
        <v>0</v>
      </c>
    </row>
    <row r="689" spans="1:38" ht="12.75" customHeight="1" x14ac:dyDescent="0.2">
      <c r="A689" s="1916">
        <v>689</v>
      </c>
      <c r="B689" s="5148"/>
      <c r="C689" s="2918"/>
      <c r="D689" s="2919" t="s">
        <v>2527</v>
      </c>
      <c r="E689" s="2926">
        <v>50</v>
      </c>
      <c r="F689" s="2916">
        <v>-5</v>
      </c>
      <c r="G689" s="2916">
        <v>6</v>
      </c>
      <c r="H689" s="2916">
        <v>6</v>
      </c>
      <c r="I689" s="2916" t="s">
        <v>1809</v>
      </c>
      <c r="J689" s="2916" t="s">
        <v>1766</v>
      </c>
      <c r="K689" s="2898" t="s">
        <v>8893</v>
      </c>
      <c r="L689" s="2916" t="str">
        <f t="shared" si="85"/>
        <v>Distinta</v>
      </c>
      <c r="M689" s="2927">
        <v>15</v>
      </c>
      <c r="N689" s="2927">
        <v>4</v>
      </c>
      <c r="O689" s="2927">
        <v>15</v>
      </c>
      <c r="P689" s="2916"/>
      <c r="Q689" s="2916"/>
      <c r="R689" s="2916" t="s">
        <v>1766</v>
      </c>
      <c r="S689" s="2916" t="s">
        <v>1766</v>
      </c>
      <c r="T689" s="2916" t="s">
        <v>1766</v>
      </c>
      <c r="U689" s="2916"/>
      <c r="V689" s="2898" t="s">
        <v>1766</v>
      </c>
      <c r="W689" s="2898"/>
      <c r="X689" s="2899"/>
      <c r="Z689" s="2647" t="str">
        <f t="shared" si="84"/>
        <v/>
      </c>
      <c r="AB689" s="2221" t="s">
        <v>2533</v>
      </c>
      <c r="AC689" s="19"/>
      <c r="AD689" s="19"/>
      <c r="AE689" s="2617"/>
      <c r="AG689" s="2221" t="str">
        <f t="shared" si="81"/>
        <v/>
      </c>
      <c r="AH689" s="2001" t="str">
        <f t="shared" si="82"/>
        <v/>
      </c>
      <c r="AI689" s="2001" t="str">
        <f t="shared" si="83"/>
        <v>Red</v>
      </c>
      <c r="AJ689" s="2905">
        <f>IF($L689=AJ$627,COUNTIF($L$630:$L689,AJ$627)+1,0)</f>
        <v>0</v>
      </c>
      <c r="AK689" s="2902">
        <f>IF($L689=AK$627,COUNTIF($L$630:$L689,AK$627)+1,0)</f>
        <v>0</v>
      </c>
      <c r="AL689" s="2908">
        <f>IF($L689=AL$627,COUNTIF($L$630:$L689,AL$627)+1,0)</f>
        <v>52</v>
      </c>
    </row>
    <row r="690" spans="1:38" ht="12.75" customHeight="1" x14ac:dyDescent="0.2">
      <c r="A690" s="1916">
        <v>690</v>
      </c>
      <c r="B690" s="5148"/>
      <c r="C690" s="2918"/>
      <c r="D690" s="2919" t="s">
        <v>2528</v>
      </c>
      <c r="E690" s="2926">
        <v>40</v>
      </c>
      <c r="F690" s="2916">
        <v>0</v>
      </c>
      <c r="G690" s="2916">
        <v>6</v>
      </c>
      <c r="H690" s="2916">
        <v>6</v>
      </c>
      <c r="I690" s="2916" t="s">
        <v>1809</v>
      </c>
      <c r="J690" s="2916" t="s">
        <v>1766</v>
      </c>
      <c r="K690" s="2898" t="s">
        <v>8901</v>
      </c>
      <c r="L690" s="2916" t="str">
        <f t="shared" si="85"/>
        <v>Distinta</v>
      </c>
      <c r="M690" s="2927">
        <v>13</v>
      </c>
      <c r="N690" s="2927">
        <v>4</v>
      </c>
      <c r="O690" s="2927">
        <v>15</v>
      </c>
      <c r="P690" s="2916"/>
      <c r="Q690" s="2916"/>
      <c r="R690" s="2916" t="s">
        <v>1766</v>
      </c>
      <c r="S690" s="2916" t="s">
        <v>1766</v>
      </c>
      <c r="T690" s="2916" t="s">
        <v>1766</v>
      </c>
      <c r="U690" s="2916"/>
      <c r="V690" s="2898" t="s">
        <v>2526</v>
      </c>
      <c r="W690" s="2898"/>
      <c r="X690" s="2899"/>
      <c r="Z690" s="2647" t="str">
        <f t="shared" si="84"/>
        <v/>
      </c>
      <c r="AB690" s="2221" t="s">
        <v>8596</v>
      </c>
      <c r="AC690" s="19"/>
      <c r="AD690" s="19"/>
      <c r="AE690" s="2617"/>
      <c r="AG690" s="2221" t="str">
        <f t="shared" si="81"/>
        <v/>
      </c>
      <c r="AH690" s="2001" t="str">
        <f t="shared" si="82"/>
        <v/>
      </c>
      <c r="AI690" s="2001" t="str">
        <f t="shared" si="83"/>
        <v>Sable</v>
      </c>
      <c r="AJ690" s="2905">
        <f>IF($L690=AJ$627,COUNTIF($L$630:$L690,AJ$627)+1,0)</f>
        <v>0</v>
      </c>
      <c r="AK690" s="2902">
        <f>IF($L690=AK$627,COUNTIF($L$630:$L690,AK$627)+1,0)</f>
        <v>0</v>
      </c>
      <c r="AL690" s="2908">
        <f>IF($L690=AL$627,COUNTIF($L$630:$L690,AL$627)+1,0)</f>
        <v>53</v>
      </c>
    </row>
    <row r="691" spans="1:38" ht="12.75" customHeight="1" x14ac:dyDescent="0.2">
      <c r="A691" s="1916">
        <v>691</v>
      </c>
      <c r="B691" s="5148"/>
      <c r="C691" s="2918"/>
      <c r="D691" s="2919" t="s">
        <v>8576</v>
      </c>
      <c r="E691" s="2926">
        <v>50</v>
      </c>
      <c r="F691" s="2916">
        <v>0</v>
      </c>
      <c r="G691" s="2916">
        <v>6</v>
      </c>
      <c r="H691" s="2916">
        <v>7</v>
      </c>
      <c r="I691" s="2916" t="s">
        <v>1809</v>
      </c>
      <c r="J691" s="2916" t="s">
        <v>1766</v>
      </c>
      <c r="K691" s="2898" t="s">
        <v>8893</v>
      </c>
      <c r="L691" s="2916" t="str">
        <f t="shared" si="85"/>
        <v>Distinta</v>
      </c>
      <c r="M691" s="2927">
        <v>14</v>
      </c>
      <c r="N691" s="2927">
        <v>4</v>
      </c>
      <c r="O691" s="2927">
        <v>20</v>
      </c>
      <c r="P691" s="2916"/>
      <c r="Q691" s="2916"/>
      <c r="R691" s="2916" t="s">
        <v>1766</v>
      </c>
      <c r="S691" s="2916" t="s">
        <v>1766</v>
      </c>
      <c r="T691" s="2916" t="s">
        <v>1766</v>
      </c>
      <c r="U691" s="2916"/>
      <c r="V691" s="2898" t="s">
        <v>2494</v>
      </c>
      <c r="W691" s="2898"/>
      <c r="X691" s="2899"/>
      <c r="Z691" s="2647" t="str">
        <f t="shared" si="84"/>
        <v/>
      </c>
      <c r="AB691" s="2221" t="s">
        <v>8597</v>
      </c>
      <c r="AC691" s="19"/>
      <c r="AD691" s="19"/>
      <c r="AE691" s="2617"/>
      <c r="AG691" s="2221" t="str">
        <f t="shared" si="81"/>
        <v/>
      </c>
      <c r="AH691" s="2001" t="str">
        <f t="shared" si="82"/>
        <v/>
      </c>
      <c r="AI691" s="2001" t="str">
        <f t="shared" si="83"/>
        <v>Shang Gou</v>
      </c>
      <c r="AJ691" s="2905">
        <f>IF($L691=AJ$627,COUNTIF($L$630:$L691,AJ$627)+1,0)</f>
        <v>0</v>
      </c>
      <c r="AK691" s="2902">
        <f>IF($L691=AK$627,COUNTIF($L$630:$L691,AK$627)+1,0)</f>
        <v>0</v>
      </c>
      <c r="AL691" s="2908">
        <f>IF($L691=AL$627,COUNTIF($L$630:$L691,AL$627)+1,0)</f>
        <v>54</v>
      </c>
    </row>
    <row r="692" spans="1:38" ht="12.75" customHeight="1" x14ac:dyDescent="0.2">
      <c r="A692" s="1916">
        <v>692</v>
      </c>
      <c r="B692" s="5148"/>
      <c r="C692" s="2918"/>
      <c r="D692" s="2919" t="s">
        <v>2529</v>
      </c>
      <c r="E692" s="2926">
        <v>40</v>
      </c>
      <c r="F692" s="2916">
        <v>0</v>
      </c>
      <c r="G692" s="2916">
        <v>6</v>
      </c>
      <c r="H692" s="2916">
        <v>6</v>
      </c>
      <c r="I692" s="2916" t="s">
        <v>1809</v>
      </c>
      <c r="J692" s="2916" t="s">
        <v>1766</v>
      </c>
      <c r="K692" s="2898" t="s">
        <v>8893</v>
      </c>
      <c r="L692" s="2916" t="str">
        <f t="shared" si="85"/>
        <v>Distinta</v>
      </c>
      <c r="M692" s="2927">
        <v>14</v>
      </c>
      <c r="N692" s="2927">
        <v>4</v>
      </c>
      <c r="O692" s="2927">
        <v>15</v>
      </c>
      <c r="P692" s="2916"/>
      <c r="Q692" s="2916"/>
      <c r="R692" s="2916" t="s">
        <v>1766</v>
      </c>
      <c r="S692" s="2916" t="s">
        <v>1766</v>
      </c>
      <c r="T692" s="2916" t="s">
        <v>1766</v>
      </c>
      <c r="U692" s="2916"/>
      <c r="V692" s="2898" t="s">
        <v>1766</v>
      </c>
      <c r="W692" s="2898"/>
      <c r="X692" s="2899"/>
      <c r="Z692" s="2647" t="str">
        <f t="shared" si="84"/>
        <v/>
      </c>
      <c r="AB692" s="2221" t="s">
        <v>2534</v>
      </c>
      <c r="AC692" s="19"/>
      <c r="AD692" s="19"/>
      <c r="AE692" s="2617"/>
      <c r="AG692" s="2221" t="str">
        <f t="shared" si="81"/>
        <v/>
      </c>
      <c r="AH692" s="2001" t="str">
        <f t="shared" si="82"/>
        <v/>
      </c>
      <c r="AI692" s="2001" t="str">
        <f t="shared" si="83"/>
        <v>Spatha</v>
      </c>
      <c r="AJ692" s="2905">
        <f>IF($L692=AJ$627,COUNTIF($L$630:$L692,AJ$627)+1,0)</f>
        <v>0</v>
      </c>
      <c r="AK692" s="2902">
        <f>IF($L692=AK$627,COUNTIF($L$630:$L692,AK$627)+1,0)</f>
        <v>0</v>
      </c>
      <c r="AL692" s="2908">
        <f>IF($L692=AL$627,COUNTIF($L$630:$L692,AL$627)+1,0)</f>
        <v>55</v>
      </c>
    </row>
    <row r="693" spans="1:38" ht="12.75" customHeight="1" x14ac:dyDescent="0.2">
      <c r="A693" s="1916">
        <v>693</v>
      </c>
      <c r="B693" s="5148"/>
      <c r="C693" s="2918"/>
      <c r="D693" s="2919" t="s">
        <v>2530</v>
      </c>
      <c r="E693" s="2926">
        <v>60</v>
      </c>
      <c r="F693" s="2916">
        <v>-15</v>
      </c>
      <c r="G693" s="2916">
        <v>10</v>
      </c>
      <c r="H693" s="2916">
        <v>6</v>
      </c>
      <c r="I693" s="2916" t="s">
        <v>1809</v>
      </c>
      <c r="J693" s="2916" t="s">
        <v>1766</v>
      </c>
      <c r="K693" s="2898" t="s">
        <v>8900</v>
      </c>
      <c r="L693" s="2916" t="str">
        <f t="shared" si="85"/>
        <v>Mixta</v>
      </c>
      <c r="M693" s="2927">
        <v>16</v>
      </c>
      <c r="N693" s="2927">
        <v>5</v>
      </c>
      <c r="O693" s="2927">
        <v>15</v>
      </c>
      <c r="P693" s="2916"/>
      <c r="Q693" s="2916"/>
      <c r="R693" s="2916" t="s">
        <v>1766</v>
      </c>
      <c r="S693" s="2916" t="s">
        <v>1766</v>
      </c>
      <c r="T693" s="2916" t="s">
        <v>1766</v>
      </c>
      <c r="U693" s="2916"/>
      <c r="V693" s="2898" t="s">
        <v>2494</v>
      </c>
      <c r="W693" s="2898"/>
      <c r="X693" s="2899"/>
      <c r="Z693" s="2647" t="str">
        <f t="shared" si="84"/>
        <v/>
      </c>
      <c r="AB693" s="2221" t="s">
        <v>2536</v>
      </c>
      <c r="AC693" s="19"/>
      <c r="AD693" s="19"/>
      <c r="AE693" s="2617"/>
      <c r="AG693" s="2221" t="str">
        <f t="shared" si="81"/>
        <v/>
      </c>
      <c r="AH693" s="2001" t="str">
        <f t="shared" si="82"/>
        <v/>
      </c>
      <c r="AI693" s="2001" t="str">
        <f t="shared" si="83"/>
        <v>Tridente</v>
      </c>
      <c r="AJ693" s="2905">
        <f>IF($L693=AJ$627,COUNTIF($L$630:$L693,AJ$627)+1,0)</f>
        <v>0</v>
      </c>
      <c r="AK693" s="2902">
        <f>IF($L693=AK$627,COUNTIF($L$630:$L693,AK$627)+1,0)</f>
        <v>9</v>
      </c>
      <c r="AL693" s="2908">
        <f>IF($L693=AL$627,COUNTIF($L$630:$L693,AL$627)+1,0)</f>
        <v>0</v>
      </c>
    </row>
    <row r="694" spans="1:38" ht="12.75" customHeight="1" x14ac:dyDescent="0.2">
      <c r="A694" s="1916">
        <v>694</v>
      </c>
      <c r="B694" s="5148"/>
      <c r="C694" s="2918"/>
      <c r="D694" s="2919" t="s">
        <v>8577</v>
      </c>
      <c r="E694" s="2926">
        <v>80</v>
      </c>
      <c r="F694" s="2916">
        <v>-50</v>
      </c>
      <c r="G694" s="2916">
        <v>8</v>
      </c>
      <c r="H694" s="2916">
        <v>11</v>
      </c>
      <c r="I694" s="2916" t="s">
        <v>1864</v>
      </c>
      <c r="J694" s="2916" t="s">
        <v>1863</v>
      </c>
      <c r="K694" s="2898" t="s">
        <v>8894</v>
      </c>
      <c r="L694" s="2916" t="str">
        <f t="shared" si="85"/>
        <v>Distinta</v>
      </c>
      <c r="M694" s="2927">
        <v>18</v>
      </c>
      <c r="N694" s="2927">
        <v>5</v>
      </c>
      <c r="O694" s="2927">
        <v>25</v>
      </c>
      <c r="P694" s="2916"/>
      <c r="Q694" s="2916"/>
      <c r="R694" s="2916" t="s">
        <v>1766</v>
      </c>
      <c r="S694" s="2916" t="s">
        <v>1766</v>
      </c>
      <c r="T694" s="2916" t="s">
        <v>1766</v>
      </c>
      <c r="U694" s="2916"/>
      <c r="V694" s="2898" t="s">
        <v>1897</v>
      </c>
      <c r="W694" s="2898"/>
      <c r="X694" s="2899"/>
      <c r="Z694" s="2647" t="str">
        <f t="shared" si="84"/>
        <v/>
      </c>
      <c r="AB694" s="2223" t="s">
        <v>8598</v>
      </c>
      <c r="AC694" s="19"/>
      <c r="AD694" s="19"/>
      <c r="AE694" s="2617"/>
      <c r="AG694" s="2221" t="str">
        <f t="shared" ref="AG694:AG725" si="86">IF(ISNA(INDEX(Lista_Armas,MATCH($A65,AJ$630:AJ$766,0))),"",INDEX(Lista_Armas,MATCH($A65,AJ$630:AJ$766,0)))</f>
        <v/>
      </c>
      <c r="AH694" s="2001" t="str">
        <f t="shared" ref="AH694:AH725" si="87">IF(ISNA(INDEX(Lista_Armas,MATCH($A65,AK$630:AK$766,0))),"",INDEX(Lista_Armas,MATCH($A65,AK$630:AK$766,0)))</f>
        <v/>
      </c>
      <c r="AI694" s="2001" t="str">
        <f t="shared" ref="AI694:AI725" si="88">IF(ISNA(INDEX(Lista_Armas,MATCH($A65,AL$630:AL$766,0))),"",INDEX(Lista_Armas,MATCH($A65,AL$630:AL$766,0)))</f>
        <v>Turcus</v>
      </c>
      <c r="AJ694" s="2905">
        <f>IF($L694=AJ$627,COUNTIF($L$630:$L694,AJ$627)+1,0)</f>
        <v>0</v>
      </c>
      <c r="AK694" s="2902">
        <f>IF($L694=AK$627,COUNTIF($L$630:$L694,AK$627)+1,0)</f>
        <v>0</v>
      </c>
      <c r="AL694" s="2908">
        <f>IF($L694=AL$627,COUNTIF($L$630:$L694,AL$627)+1,0)</f>
        <v>56</v>
      </c>
    </row>
    <row r="695" spans="1:38" ht="12.75" customHeight="1" x14ac:dyDescent="0.2">
      <c r="A695" s="1916">
        <v>695</v>
      </c>
      <c r="B695" s="5148"/>
      <c r="C695" s="2918"/>
      <c r="D695" s="2919" t="s">
        <v>8595</v>
      </c>
      <c r="E695" s="2926">
        <v>40</v>
      </c>
      <c r="F695" s="2916">
        <v>15</v>
      </c>
      <c r="G695" s="2916">
        <v>6</v>
      </c>
      <c r="H695" s="2916" t="s">
        <v>1766</v>
      </c>
      <c r="I695" s="2916" t="s">
        <v>1863</v>
      </c>
      <c r="J695" s="2916" t="s">
        <v>1864</v>
      </c>
      <c r="K695" s="2898" t="s">
        <v>8892</v>
      </c>
      <c r="L695" s="2916" t="str">
        <f t="shared" si="85"/>
        <v>Distinta</v>
      </c>
      <c r="M695" s="2927">
        <v>13</v>
      </c>
      <c r="N695" s="2927">
        <v>2</v>
      </c>
      <c r="O695" s="2927">
        <v>20</v>
      </c>
      <c r="P695" s="2916"/>
      <c r="Q695" s="2916"/>
      <c r="R695" s="2916" t="s">
        <v>1766</v>
      </c>
      <c r="S695" s="2916" t="s">
        <v>1766</v>
      </c>
      <c r="T695" s="2916" t="s">
        <v>1766</v>
      </c>
      <c r="U695" s="2916"/>
      <c r="V695" s="2898" t="s">
        <v>2498</v>
      </c>
      <c r="W695" s="2898"/>
      <c r="X695" s="2899"/>
      <c r="Z695" s="2647" t="str">
        <f t="shared" si="84"/>
        <v/>
      </c>
      <c r="AB695" s="2223" t="s">
        <v>8580</v>
      </c>
      <c r="AC695" s="19"/>
      <c r="AD695" s="19"/>
      <c r="AE695" s="2617"/>
      <c r="AG695" s="2221" t="str">
        <f t="shared" si="86"/>
        <v/>
      </c>
      <c r="AH695" s="2001" t="str">
        <f t="shared" si="87"/>
        <v/>
      </c>
      <c r="AI695" s="2001" t="str">
        <f t="shared" si="88"/>
        <v>Urumi</v>
      </c>
      <c r="AJ695" s="2905">
        <f>IF($L695=AJ$627,COUNTIF($L$630:$L695,AJ$627)+1,0)</f>
        <v>0</v>
      </c>
      <c r="AK695" s="2902">
        <f>IF($L695=AK$627,COUNTIF($L$630:$L695,AK$627)+1,0)</f>
        <v>0</v>
      </c>
      <c r="AL695" s="2908">
        <f>IF($L695=AL$627,COUNTIF($L$630:$L695,AL$627)+1,0)</f>
        <v>57</v>
      </c>
    </row>
    <row r="696" spans="1:38" ht="12.75" customHeight="1" x14ac:dyDescent="0.2">
      <c r="A696" s="1916">
        <v>696</v>
      </c>
      <c r="B696" s="5148"/>
      <c r="C696" s="2918"/>
      <c r="D696" s="2919" t="s">
        <v>8578</v>
      </c>
      <c r="E696" s="2926">
        <v>60</v>
      </c>
      <c r="F696" s="2916">
        <v>-30</v>
      </c>
      <c r="G696" s="2916" t="s">
        <v>1766</v>
      </c>
      <c r="H696" s="2916">
        <v>6</v>
      </c>
      <c r="I696" s="2916" t="s">
        <v>1864</v>
      </c>
      <c r="J696" s="2916" t="s">
        <v>1766</v>
      </c>
      <c r="K696" s="2898" t="s">
        <v>8887</v>
      </c>
      <c r="L696" s="2916" t="str">
        <f t="shared" si="85"/>
        <v>Distinta</v>
      </c>
      <c r="M696" s="2927">
        <v>12</v>
      </c>
      <c r="N696" s="2927">
        <v>4</v>
      </c>
      <c r="O696" s="2927">
        <v>15</v>
      </c>
      <c r="P696" s="2916"/>
      <c r="Q696" s="2916"/>
      <c r="R696" s="2916" t="s">
        <v>1766</v>
      </c>
      <c r="S696" s="2916" t="s">
        <v>1766</v>
      </c>
      <c r="T696" s="2916" t="s">
        <v>1766</v>
      </c>
      <c r="U696" s="2916"/>
      <c r="V696" s="2898" t="s">
        <v>8617</v>
      </c>
      <c r="W696" s="2898"/>
      <c r="X696" s="2899"/>
      <c r="Z696" s="2647" t="str">
        <f t="shared" si="84"/>
        <v/>
      </c>
      <c r="AB696" s="2223" t="s">
        <v>2539</v>
      </c>
      <c r="AC696" s="19"/>
      <c r="AD696" s="19"/>
      <c r="AE696" s="2617"/>
      <c r="AG696" s="2221" t="str">
        <f t="shared" si="86"/>
        <v/>
      </c>
      <c r="AH696" s="2001" t="str">
        <f t="shared" si="87"/>
        <v/>
      </c>
      <c r="AI696" s="2001" t="str">
        <f t="shared" si="88"/>
        <v>Vara</v>
      </c>
      <c r="AJ696" s="2905">
        <f>IF($L696=AJ$627,COUNTIF($L$630:$L696,AJ$627)+1,0)</f>
        <v>0</v>
      </c>
      <c r="AK696" s="2902">
        <f>IF($L696=AK$627,COUNTIF($L$630:$L696,AK$627)+1,0)</f>
        <v>0</v>
      </c>
      <c r="AL696" s="2908">
        <f>IF($L696=AL$627,COUNTIF($L$630:$L696,AL$627)+1,0)</f>
        <v>58</v>
      </c>
    </row>
    <row r="697" spans="1:38" ht="12.75" customHeight="1" x14ac:dyDescent="0.2">
      <c r="A697" s="1916">
        <v>697</v>
      </c>
      <c r="B697" s="5148"/>
      <c r="C697" s="2918"/>
      <c r="D697" s="2919" t="s">
        <v>8579</v>
      </c>
      <c r="E697" s="2926">
        <v>40</v>
      </c>
      <c r="F697" s="2916">
        <v>-5</v>
      </c>
      <c r="G697" s="2916">
        <v>6</v>
      </c>
      <c r="H697" s="2916">
        <v>7</v>
      </c>
      <c r="I697" s="2916" t="s">
        <v>1863</v>
      </c>
      <c r="J697" s="2916" t="s">
        <v>1809</v>
      </c>
      <c r="K697" s="2898" t="s">
        <v>8887</v>
      </c>
      <c r="L697" s="2916" t="str">
        <f t="shared" si="85"/>
        <v>Distinta</v>
      </c>
      <c r="M697" s="2927">
        <v>12</v>
      </c>
      <c r="N697" s="2927">
        <v>2</v>
      </c>
      <c r="O697" s="2927">
        <v>20</v>
      </c>
      <c r="P697" s="2916"/>
      <c r="Q697" s="2916"/>
      <c r="R697" s="2916" t="s">
        <v>1766</v>
      </c>
      <c r="S697" s="2916" t="s">
        <v>1766</v>
      </c>
      <c r="T697" s="2916" t="s">
        <v>1766</v>
      </c>
      <c r="U697" s="2916"/>
      <c r="V697" s="2898" t="s">
        <v>2494</v>
      </c>
      <c r="W697" s="2898"/>
      <c r="X697" s="2899"/>
      <c r="Z697" s="2647" t="str">
        <f t="shared" si="84"/>
        <v/>
      </c>
      <c r="AB697" s="2223" t="s">
        <v>2540</v>
      </c>
      <c r="AC697" s="19"/>
      <c r="AD697" s="19"/>
      <c r="AE697" s="2617"/>
      <c r="AG697" s="2221" t="str">
        <f t="shared" si="86"/>
        <v/>
      </c>
      <c r="AH697" s="2001" t="str">
        <f t="shared" si="87"/>
        <v/>
      </c>
      <c r="AI697" s="2001" t="str">
        <f t="shared" si="88"/>
        <v>&gt; ESCUDOS</v>
      </c>
      <c r="AJ697" s="2905">
        <f>IF($L697=AJ$627,COUNTIF($L$630:$L697,AJ$627)+1,0)</f>
        <v>0</v>
      </c>
      <c r="AK697" s="2902">
        <f>IF($L697=AK$627,COUNTIF($L$630:$L697,AK$627)+1,0)</f>
        <v>0</v>
      </c>
      <c r="AL697" s="2908">
        <f>IF($L697=AL$627,COUNTIF($L$630:$L697,AL$627)+1,0)</f>
        <v>59</v>
      </c>
    </row>
    <row r="698" spans="1:38" ht="12.75" customHeight="1" x14ac:dyDescent="0.2">
      <c r="A698" s="1916">
        <v>698</v>
      </c>
      <c r="B698" s="5148"/>
      <c r="C698" s="2918"/>
      <c r="D698" s="2919" t="s">
        <v>2531</v>
      </c>
      <c r="E698" s="2926">
        <v>5</v>
      </c>
      <c r="F698" s="2916">
        <v>0</v>
      </c>
      <c r="G698" s="2916">
        <v>4</v>
      </c>
      <c r="H698" s="2916">
        <v>4</v>
      </c>
      <c r="I698" s="2916" t="s">
        <v>2478</v>
      </c>
      <c r="J698" s="2916" t="s">
        <v>1863</v>
      </c>
      <c r="K698" s="2898" t="s">
        <v>8891</v>
      </c>
      <c r="L698" s="2916" t="str">
        <f t="shared" si="85"/>
        <v>Distinta</v>
      </c>
      <c r="M698" s="2927">
        <v>13</v>
      </c>
      <c r="N698" s="2927">
        <v>-4</v>
      </c>
      <c r="O698" s="2927">
        <v>15</v>
      </c>
      <c r="P698" s="2916"/>
      <c r="Q698" s="2916"/>
      <c r="R698" s="2927">
        <v>100</v>
      </c>
      <c r="S698" s="2916" t="s">
        <v>1766</v>
      </c>
      <c r="T698" s="2916">
        <v>5</v>
      </c>
      <c r="U698" s="2916"/>
      <c r="V698" s="2898" t="s">
        <v>2532</v>
      </c>
      <c r="W698" s="2898"/>
      <c r="X698" s="2899"/>
      <c r="Z698" s="2647" t="str">
        <f t="shared" si="84"/>
        <v/>
      </c>
      <c r="AB698" s="2223" t="s">
        <v>2542</v>
      </c>
      <c r="AC698" s="19"/>
      <c r="AD698" s="19"/>
      <c r="AE698" s="2617"/>
      <c r="AG698" s="2221" t="str">
        <f t="shared" si="86"/>
        <v/>
      </c>
      <c r="AH698" s="2001" t="str">
        <f t="shared" si="87"/>
        <v/>
      </c>
      <c r="AI698" s="2001" t="str">
        <f t="shared" si="88"/>
        <v>Escudo corporal</v>
      </c>
      <c r="AJ698" s="2905">
        <f>IF($L698=AJ$627,COUNTIF($L$630:$L698,AJ$627)+1,0)</f>
        <v>0</v>
      </c>
      <c r="AK698" s="2902">
        <f>IF($L698=AK$627,COUNTIF($L$630:$L698,AK$627)+1,0)</f>
        <v>0</v>
      </c>
      <c r="AL698" s="2908">
        <f>IF($L698=AL$627,COUNTIF($L$630:$L698,AL$627)+1,0)</f>
        <v>60</v>
      </c>
    </row>
    <row r="699" spans="1:38" ht="12.75" customHeight="1" x14ac:dyDescent="0.2">
      <c r="A699" s="1916">
        <v>699</v>
      </c>
      <c r="B699" s="5148"/>
      <c r="C699" s="2918"/>
      <c r="D699" s="2919" t="s">
        <v>2533</v>
      </c>
      <c r="E699" s="2926">
        <v>45</v>
      </c>
      <c r="F699" s="2916">
        <v>10</v>
      </c>
      <c r="G699" s="2916">
        <v>6</v>
      </c>
      <c r="H699" s="2916">
        <v>6</v>
      </c>
      <c r="I699" s="2916" t="s">
        <v>1863</v>
      </c>
      <c r="J699" s="2916" t="s">
        <v>1864</v>
      </c>
      <c r="K699" s="2898" t="s">
        <v>8890</v>
      </c>
      <c r="L699" s="2916" t="str">
        <f t="shared" si="85"/>
        <v>Distinta</v>
      </c>
      <c r="M699" s="2927">
        <v>12</v>
      </c>
      <c r="N699" s="2927">
        <v>3</v>
      </c>
      <c r="O699" s="2927">
        <v>20</v>
      </c>
      <c r="P699" s="2916"/>
      <c r="Q699" s="2916"/>
      <c r="R699" s="2916" t="s">
        <v>1766</v>
      </c>
      <c r="S699" s="2916" t="s">
        <v>1766</v>
      </c>
      <c r="T699" s="2916" t="s">
        <v>1766</v>
      </c>
      <c r="U699" s="2916"/>
      <c r="V699" s="2898" t="s">
        <v>1766</v>
      </c>
      <c r="W699" s="2898"/>
      <c r="X699" s="2899"/>
      <c r="Z699" s="2647" t="str">
        <f t="shared" ref="Z699:Z730" si="89">IF(AND(K699&lt;&gt;"Natural/-",ISNUMBER(SEARCH(D699,Armas_Conocidas))),", "&amp;K699,"")</f>
        <v/>
      </c>
      <c r="AB699" s="2223" t="s">
        <v>2543</v>
      </c>
      <c r="AC699" s="19"/>
      <c r="AD699" s="19"/>
      <c r="AE699" s="2617"/>
      <c r="AG699" s="2221" t="str">
        <f t="shared" si="86"/>
        <v/>
      </c>
      <c r="AH699" s="2001" t="str">
        <f t="shared" si="87"/>
        <v/>
      </c>
      <c r="AI699" s="2001" t="str">
        <f t="shared" si="88"/>
        <v>Escudo medio</v>
      </c>
      <c r="AJ699" s="2905">
        <f>IF($L699=AJ$627,COUNTIF($L$630:$L699,AJ$627)+1,0)</f>
        <v>0</v>
      </c>
      <c r="AK699" s="2902">
        <f>IF($L699=AK$627,COUNTIF($L$630:$L699,AK$627)+1,0)</f>
        <v>0</v>
      </c>
      <c r="AL699" s="2908">
        <f>IF($L699=AL$627,COUNTIF($L$630:$L699,AL$627)+1,0)</f>
        <v>61</v>
      </c>
    </row>
    <row r="700" spans="1:38" ht="12.75" customHeight="1" x14ac:dyDescent="0.2">
      <c r="A700" s="1916">
        <v>700</v>
      </c>
      <c r="B700" s="5148"/>
      <c r="C700" s="2918"/>
      <c r="D700" s="2919" t="s">
        <v>8596</v>
      </c>
      <c r="E700" s="2926">
        <v>40</v>
      </c>
      <c r="F700" s="2916">
        <v>5</v>
      </c>
      <c r="G700" s="2916">
        <v>5</v>
      </c>
      <c r="H700" s="2916">
        <v>5</v>
      </c>
      <c r="I700" s="2916" t="s">
        <v>1863</v>
      </c>
      <c r="J700" s="2916" t="s">
        <v>1766</v>
      </c>
      <c r="K700" s="2898" t="s">
        <v>8890</v>
      </c>
      <c r="L700" s="2916" t="str">
        <f t="shared" ref="L700:L706" si="90">IF(ISNUMBER(SEARCH($D700,Armas_Conocidas)),"Conocida",IF(OR(ISNUMBER(SEARCH(LEFT($K700,SEARCH("/",$K700)),Tipologías_Conocidas)),AND(NOT(ISNUMBER(SEARCH("/-",$K700))),ISNUMBER(SEARCH(MID($K700,SEARCH("/",$K700)+1,LEN($K700)),Tipologías_Conocidas)))),IF(ISNUMBER(SEARCH($K700,Tipologías_Conocidas)),"Similar","Mixta"),"Distinta"))</f>
        <v>Distinta</v>
      </c>
      <c r="M700" s="2927">
        <v>12</v>
      </c>
      <c r="N700" s="2927">
        <v>1</v>
      </c>
      <c r="O700" s="2927">
        <v>20</v>
      </c>
      <c r="P700" s="2916"/>
      <c r="Q700" s="2916"/>
      <c r="R700" s="2916" t="s">
        <v>1766</v>
      </c>
      <c r="S700" s="2916" t="s">
        <v>1766</v>
      </c>
      <c r="T700" s="2916" t="s">
        <v>1766</v>
      </c>
      <c r="U700" s="2916"/>
      <c r="V700" s="2898" t="s">
        <v>8618</v>
      </c>
      <c r="W700" s="2898"/>
      <c r="X700" s="2899"/>
      <c r="Z700" s="2647" t="str">
        <f t="shared" si="89"/>
        <v/>
      </c>
      <c r="AB700" s="2224" t="s">
        <v>2544</v>
      </c>
      <c r="AC700" s="19"/>
      <c r="AD700" s="19"/>
      <c r="AE700" s="2617"/>
      <c r="AG700" s="2221" t="str">
        <f t="shared" si="86"/>
        <v/>
      </c>
      <c r="AH700" s="2001" t="str">
        <f t="shared" si="87"/>
        <v/>
      </c>
      <c r="AI700" s="2001" t="str">
        <f t="shared" si="88"/>
        <v>Rodela</v>
      </c>
      <c r="AJ700" s="2905">
        <f>IF($L700=AJ$627,COUNTIF($L$630:$L700,AJ$627)+1,0)</f>
        <v>0</v>
      </c>
      <c r="AK700" s="2902">
        <f>IF($L700=AK$627,COUNTIF($L$630:$L700,AK$627)+1,0)</f>
        <v>0</v>
      </c>
      <c r="AL700" s="2908">
        <f>IF($L700=AL$627,COUNTIF($L$630:$L700,AL$627)+1,0)</f>
        <v>62</v>
      </c>
    </row>
    <row r="701" spans="1:38" ht="12.75" customHeight="1" x14ac:dyDescent="0.2">
      <c r="A701" s="1916">
        <v>701</v>
      </c>
      <c r="B701" s="5148"/>
      <c r="C701" s="2918"/>
      <c r="D701" s="2919" t="s">
        <v>8597</v>
      </c>
      <c r="E701" s="2926">
        <v>45</v>
      </c>
      <c r="F701" s="2916">
        <v>5</v>
      </c>
      <c r="G701" s="2916">
        <v>6</v>
      </c>
      <c r="H701" s="2916">
        <v>6</v>
      </c>
      <c r="I701" s="2916" t="s">
        <v>1864</v>
      </c>
      <c r="J701" s="2916" t="s">
        <v>1863</v>
      </c>
      <c r="K701" s="2898" t="s">
        <v>8890</v>
      </c>
      <c r="L701" s="2916" t="str">
        <f t="shared" si="90"/>
        <v>Distinta</v>
      </c>
      <c r="M701" s="2927">
        <v>14</v>
      </c>
      <c r="N701" s="2927">
        <v>3</v>
      </c>
      <c r="O701" s="2927">
        <v>20</v>
      </c>
      <c r="P701" s="2916"/>
      <c r="Q701" s="2916"/>
      <c r="R701" s="2916" t="s">
        <v>1766</v>
      </c>
      <c r="S701" s="2916" t="s">
        <v>1766</v>
      </c>
      <c r="T701" s="2916" t="s">
        <v>1766</v>
      </c>
      <c r="U701" s="2916"/>
      <c r="V701" s="2898" t="s">
        <v>1766</v>
      </c>
      <c r="W701" s="2898"/>
      <c r="X701" s="2899"/>
      <c r="Z701" s="2647" t="str">
        <f t="shared" si="89"/>
        <v/>
      </c>
      <c r="AB701" s="2224" t="s">
        <v>2545</v>
      </c>
      <c r="AC701" s="19"/>
      <c r="AD701" s="19"/>
      <c r="AE701" s="2617"/>
      <c r="AG701" s="2221" t="str">
        <f t="shared" si="86"/>
        <v/>
      </c>
      <c r="AH701" s="2001" t="str">
        <f t="shared" si="87"/>
        <v/>
      </c>
      <c r="AI701" s="2001" t="str">
        <f t="shared" si="88"/>
        <v>&gt; ARMAS EXÓTICAS</v>
      </c>
      <c r="AJ701" s="2905">
        <f>IF($L701=AJ$627,COUNTIF($L$630:$L701,AJ$627)+1,0)</f>
        <v>0</v>
      </c>
      <c r="AK701" s="2902">
        <f>IF($L701=AK$627,COUNTIF($L$630:$L701,AK$627)+1,0)</f>
        <v>0</v>
      </c>
      <c r="AL701" s="2908">
        <f>IF($L701=AL$627,COUNTIF($L$630:$L701,AL$627)+1,0)</f>
        <v>63</v>
      </c>
    </row>
    <row r="702" spans="1:38" ht="12.75" customHeight="1" x14ac:dyDescent="0.2">
      <c r="A702" s="1916">
        <v>702</v>
      </c>
      <c r="B702" s="5148"/>
      <c r="C702" s="2918"/>
      <c r="D702" s="2919" t="s">
        <v>2534</v>
      </c>
      <c r="E702" s="2926">
        <v>40</v>
      </c>
      <c r="F702" s="2916">
        <v>-10</v>
      </c>
      <c r="G702" s="2916">
        <v>6</v>
      </c>
      <c r="H702" s="2916">
        <v>6</v>
      </c>
      <c r="I702" s="2916" t="s">
        <v>1864</v>
      </c>
      <c r="J702" s="2916" t="s">
        <v>1766</v>
      </c>
      <c r="K702" s="2898" t="s">
        <v>8887</v>
      </c>
      <c r="L702" s="2916" t="str">
        <f t="shared" si="90"/>
        <v>Distinta</v>
      </c>
      <c r="M702" s="2927">
        <v>12</v>
      </c>
      <c r="N702" s="2927">
        <v>3</v>
      </c>
      <c r="O702" s="2927">
        <v>15</v>
      </c>
      <c r="P702" s="2916"/>
      <c r="Q702" s="2916"/>
      <c r="R702" s="2927">
        <v>100</v>
      </c>
      <c r="S702" s="2916" t="s">
        <v>1766</v>
      </c>
      <c r="T702" s="2916">
        <v>15</v>
      </c>
      <c r="U702" s="2916"/>
      <c r="V702" s="2898" t="s">
        <v>2535</v>
      </c>
      <c r="W702" s="2898"/>
      <c r="X702" s="2899"/>
      <c r="Z702" s="2647" t="str">
        <f t="shared" si="89"/>
        <v/>
      </c>
      <c r="AB702" s="2223" t="s">
        <v>2549</v>
      </c>
      <c r="AC702" s="19"/>
      <c r="AD702" s="19"/>
      <c r="AE702" s="2617"/>
      <c r="AG702" s="2221" t="str">
        <f t="shared" si="86"/>
        <v/>
      </c>
      <c r="AH702" s="2001" t="str">
        <f t="shared" si="87"/>
        <v/>
      </c>
      <c r="AI702" s="2001" t="str">
        <f t="shared" si="88"/>
        <v>Abanico de combate</v>
      </c>
      <c r="AJ702" s="2905">
        <f>IF($L702=AJ$627,COUNTIF($L$630:$L702,AJ$627)+1,0)</f>
        <v>0</v>
      </c>
      <c r="AK702" s="2902">
        <f>IF($L702=AK$627,COUNTIF($L$630:$L702,AK$627)+1,0)</f>
        <v>0</v>
      </c>
      <c r="AL702" s="2908">
        <f>IF($L702=AL$627,COUNTIF($L$630:$L702,AL$627)+1,0)</f>
        <v>64</v>
      </c>
    </row>
    <row r="703" spans="1:38" ht="12.75" customHeight="1" x14ac:dyDescent="0.2">
      <c r="A703" s="1916">
        <v>703</v>
      </c>
      <c r="B703" s="5148"/>
      <c r="C703" s="2918"/>
      <c r="D703" s="2919" t="s">
        <v>2536</v>
      </c>
      <c r="E703" s="2916">
        <v>40</v>
      </c>
      <c r="F703" s="2916">
        <v>0</v>
      </c>
      <c r="G703" s="2916">
        <v>6</v>
      </c>
      <c r="H703" s="2916">
        <v>6</v>
      </c>
      <c r="I703" s="2916" t="s">
        <v>1863</v>
      </c>
      <c r="J703" s="2916" t="s">
        <v>1766</v>
      </c>
      <c r="K703" s="2898" t="s">
        <v>8889</v>
      </c>
      <c r="L703" s="2916" t="str">
        <f t="shared" si="90"/>
        <v>Distinta</v>
      </c>
      <c r="M703" s="2927">
        <v>9</v>
      </c>
      <c r="N703" s="2927">
        <v>2</v>
      </c>
      <c r="O703" s="2927">
        <v>20</v>
      </c>
      <c r="P703" s="2916"/>
      <c r="Q703" s="2916"/>
      <c r="R703" s="2927">
        <v>80</v>
      </c>
      <c r="S703" s="2916" t="s">
        <v>1766</v>
      </c>
      <c r="T703" s="2916">
        <v>30</v>
      </c>
      <c r="U703" s="2916"/>
      <c r="V703" s="2898" t="s">
        <v>2537</v>
      </c>
      <c r="W703" s="2898"/>
      <c r="X703" s="2899"/>
      <c r="Z703" s="2647" t="str">
        <f t="shared" si="89"/>
        <v/>
      </c>
      <c r="AB703" s="2223" t="s">
        <v>2551</v>
      </c>
      <c r="AC703" s="19"/>
      <c r="AD703" s="19"/>
      <c r="AE703" s="2617"/>
      <c r="AG703" s="2221" t="str">
        <f t="shared" si="86"/>
        <v/>
      </c>
      <c r="AH703" s="2001" t="str">
        <f t="shared" si="87"/>
        <v/>
      </c>
      <c r="AI703" s="2001" t="str">
        <f t="shared" si="88"/>
        <v>Anciano de primavera</v>
      </c>
      <c r="AJ703" s="2905">
        <f>IF($L703=AJ$627,COUNTIF($L$630:$L703,AJ$627)+1,0)</f>
        <v>0</v>
      </c>
      <c r="AK703" s="2902">
        <f>IF($L703=AK$627,COUNTIF($L$630:$L703,AK$627)+1,0)</f>
        <v>0</v>
      </c>
      <c r="AL703" s="2908">
        <f>IF($L703=AL$627,COUNTIF($L$630:$L703,AL$627)+1,0)</f>
        <v>65</v>
      </c>
    </row>
    <row r="704" spans="1:38" ht="12.75" customHeight="1" x14ac:dyDescent="0.2">
      <c r="A704" s="1916">
        <v>704</v>
      </c>
      <c r="B704" s="5148"/>
      <c r="C704" s="2918"/>
      <c r="D704" s="2919" t="s">
        <v>8598</v>
      </c>
      <c r="E704" s="2926">
        <v>25</v>
      </c>
      <c r="F704" s="2916">
        <v>15</v>
      </c>
      <c r="G704" s="2916">
        <v>4</v>
      </c>
      <c r="H704" s="2916">
        <v>4</v>
      </c>
      <c r="I704" s="2916" t="s">
        <v>1863</v>
      </c>
      <c r="J704" s="2916" t="s">
        <v>1766</v>
      </c>
      <c r="K704" s="2898" t="s">
        <v>8891</v>
      </c>
      <c r="L704" s="2916" t="str">
        <f t="shared" si="90"/>
        <v>Distinta</v>
      </c>
      <c r="M704" s="2927">
        <v>7</v>
      </c>
      <c r="N704" s="2927">
        <v>-3</v>
      </c>
      <c r="O704" s="2927">
        <v>15</v>
      </c>
      <c r="P704" s="2916"/>
      <c r="Q704" s="2916"/>
      <c r="R704" s="2916" t="s">
        <v>1766</v>
      </c>
      <c r="S704" s="2916" t="s">
        <v>1766</v>
      </c>
      <c r="T704" s="2916" t="s">
        <v>1766</v>
      </c>
      <c r="U704" s="2916"/>
      <c r="V704" s="2898" t="s">
        <v>2558</v>
      </c>
      <c r="W704" s="2898"/>
      <c r="X704" s="2899"/>
      <c r="Z704" s="2647" t="str">
        <f t="shared" si="89"/>
        <v/>
      </c>
      <c r="AB704" s="2223" t="s">
        <v>2553</v>
      </c>
      <c r="AC704" s="19"/>
      <c r="AD704" s="19"/>
      <c r="AE704" s="2617"/>
      <c r="AG704" s="2221" t="str">
        <f t="shared" si="86"/>
        <v/>
      </c>
      <c r="AH704" s="2001" t="str">
        <f t="shared" si="87"/>
        <v/>
      </c>
      <c r="AI704" s="2001" t="str">
        <f t="shared" si="88"/>
        <v>Bumerang</v>
      </c>
      <c r="AJ704" s="2905">
        <f>IF($L704=AJ$627,COUNTIF($L$630:$L704,AJ$627)+1,0)</f>
        <v>0</v>
      </c>
      <c r="AK704" s="2902">
        <f>IF($L704=AK$627,COUNTIF($L$630:$L704,AK$627)+1,0)</f>
        <v>0</v>
      </c>
      <c r="AL704" s="2908">
        <f>IF($L704=AL$627,COUNTIF($L$630:$L704,AL$627)+1,0)</f>
        <v>66</v>
      </c>
    </row>
    <row r="705" spans="1:38" ht="12.75" customHeight="1" x14ac:dyDescent="0.2">
      <c r="A705" s="1916">
        <v>705</v>
      </c>
      <c r="B705" s="5148"/>
      <c r="C705" s="2918"/>
      <c r="D705" s="2919" t="s">
        <v>8580</v>
      </c>
      <c r="E705" s="2926">
        <v>40</v>
      </c>
      <c r="F705" s="2916">
        <v>0</v>
      </c>
      <c r="G705" s="2916">
        <v>5</v>
      </c>
      <c r="H705" s="2916">
        <v>8</v>
      </c>
      <c r="I705" s="2916" t="s">
        <v>1863</v>
      </c>
      <c r="J705" s="2916" t="s">
        <v>1809</v>
      </c>
      <c r="K705" s="2898" t="s">
        <v>8902</v>
      </c>
      <c r="L705" s="2916" t="str">
        <f t="shared" si="90"/>
        <v>Mixta</v>
      </c>
      <c r="M705" s="2927">
        <v>11</v>
      </c>
      <c r="N705" s="2927">
        <v>2</v>
      </c>
      <c r="O705" s="2927">
        <v>20</v>
      </c>
      <c r="P705" s="2916"/>
      <c r="Q705" s="2916"/>
      <c r="R705" s="2916" t="s">
        <v>1766</v>
      </c>
      <c r="S705" s="2916" t="s">
        <v>1766</v>
      </c>
      <c r="T705" s="2916" t="s">
        <v>1766</v>
      </c>
      <c r="U705" s="2916"/>
      <c r="V705" s="2898" t="s">
        <v>2494</v>
      </c>
      <c r="W705" s="2898"/>
      <c r="X705" s="2899"/>
      <c r="Z705" s="2647" t="str">
        <f t="shared" si="89"/>
        <v/>
      </c>
      <c r="AB705" s="2223" t="s">
        <v>2554</v>
      </c>
      <c r="AC705" s="19"/>
      <c r="AD705" s="19"/>
      <c r="AE705" s="2617"/>
      <c r="AG705" s="2221" t="str">
        <f t="shared" si="86"/>
        <v/>
      </c>
      <c r="AH705" s="2001" t="str">
        <f t="shared" si="87"/>
        <v/>
      </c>
      <c r="AI705" s="2001" t="str">
        <f t="shared" si="88"/>
        <v>Cuervo</v>
      </c>
      <c r="AJ705" s="2905">
        <f>IF($L705=AJ$627,COUNTIF($L$630:$L705,AJ$627)+1,0)</f>
        <v>0</v>
      </c>
      <c r="AK705" s="2902">
        <f>IF($L705=AK$627,COUNTIF($L$630:$L705,AK$627)+1,0)</f>
        <v>10</v>
      </c>
      <c r="AL705" s="2908">
        <f>IF($L705=AL$627,COUNTIF($L$630:$L705,AL$627)+1,0)</f>
        <v>0</v>
      </c>
    </row>
    <row r="706" spans="1:38" ht="12.75" customHeight="1" x14ac:dyDescent="0.2">
      <c r="A706" s="1916">
        <v>706</v>
      </c>
      <c r="B706" s="5148"/>
      <c r="C706" s="2918"/>
      <c r="D706" s="2919" t="s">
        <v>2538</v>
      </c>
      <c r="E706" s="2926">
        <v>30</v>
      </c>
      <c r="F706" s="2916">
        <v>10</v>
      </c>
      <c r="G706" s="2916">
        <v>4</v>
      </c>
      <c r="H706" s="2916">
        <v>4</v>
      </c>
      <c r="I706" s="2916" t="s">
        <v>1809</v>
      </c>
      <c r="J706" s="2916" t="s">
        <v>1766</v>
      </c>
      <c r="K706" s="2898" t="s">
        <v>8887</v>
      </c>
      <c r="L706" s="2916" t="str">
        <f t="shared" si="90"/>
        <v>Distinta</v>
      </c>
      <c r="M706" s="2927">
        <v>11</v>
      </c>
      <c r="N706" s="2927">
        <v>0</v>
      </c>
      <c r="O706" s="2927">
        <v>30</v>
      </c>
      <c r="P706" s="2916"/>
      <c r="Q706" s="2916"/>
      <c r="R706" s="2916" t="s">
        <v>1766</v>
      </c>
      <c r="S706" s="2916" t="s">
        <v>1766</v>
      </c>
      <c r="T706" s="2916" t="s">
        <v>1766</v>
      </c>
      <c r="U706" s="2916"/>
      <c r="V706" s="2898" t="s">
        <v>1897</v>
      </c>
      <c r="W706" s="2898"/>
      <c r="X706" s="2899"/>
      <c r="Z706" s="2647" t="str">
        <f t="shared" si="89"/>
        <v/>
      </c>
      <c r="AB706" s="2223" t="s">
        <v>2557</v>
      </c>
      <c r="AC706" s="19"/>
      <c r="AD706" s="19"/>
      <c r="AE706" s="2617"/>
      <c r="AG706" s="2221" t="str">
        <f t="shared" si="86"/>
        <v/>
      </c>
      <c r="AH706" s="2001" t="str">
        <f t="shared" si="87"/>
        <v/>
      </c>
      <c r="AI706" s="2001" t="str">
        <f t="shared" si="88"/>
        <v>Garras</v>
      </c>
      <c r="AJ706" s="2905">
        <f>IF($L706=AJ$627,COUNTIF($L$630:$L706,AJ$627)+1,0)</f>
        <v>0</v>
      </c>
      <c r="AK706" s="2902">
        <f>IF($L706=AK$627,COUNTIF($L$630:$L706,AK$627)+1,0)</f>
        <v>0</v>
      </c>
      <c r="AL706" s="2908">
        <f>IF($L706=AL$627,COUNTIF($L$630:$L706,AL$627)+1,0)</f>
        <v>67</v>
      </c>
    </row>
    <row r="707" spans="1:38" ht="12.75" customHeight="1" x14ac:dyDescent="0.2">
      <c r="A707" s="1916">
        <v>707</v>
      </c>
      <c r="B707" s="5148"/>
      <c r="C707" s="2918"/>
      <c r="D707" s="2919" t="s">
        <v>2539</v>
      </c>
      <c r="E707" s="2924"/>
      <c r="F707" s="2924"/>
      <c r="G707" s="2924"/>
      <c r="H707" s="2924"/>
      <c r="I707" s="2924"/>
      <c r="J707" s="2924"/>
      <c r="K707" s="2421" t="s">
        <v>8885</v>
      </c>
      <c r="L707" s="2924"/>
      <c r="M707" s="2924"/>
      <c r="N707" s="2924"/>
      <c r="O707" s="2924"/>
      <c r="P707" s="2924"/>
      <c r="Q707" s="2924"/>
      <c r="R707" s="2924"/>
      <c r="S707" s="2924"/>
      <c r="T707" s="2924"/>
      <c r="U707" s="2924"/>
      <c r="V707" s="2421"/>
      <c r="W707" s="2421"/>
      <c r="X707" s="2925"/>
      <c r="Z707" s="2647" t="str">
        <f t="shared" si="89"/>
        <v/>
      </c>
      <c r="AB707" s="2223" t="s">
        <v>2562</v>
      </c>
      <c r="AC707" s="19"/>
      <c r="AD707" s="19"/>
      <c r="AE707" s="2617"/>
      <c r="AG707" s="2221" t="str">
        <f t="shared" si="86"/>
        <v/>
      </c>
      <c r="AH707" s="2001" t="str">
        <f t="shared" si="87"/>
        <v/>
      </c>
      <c r="AI707" s="2001" t="str">
        <f t="shared" si="88"/>
        <v>Katana</v>
      </c>
      <c r="AJ707" s="2905">
        <f>MAX(AJ$630:AJ706)+1</f>
        <v>2</v>
      </c>
      <c r="AK707" s="2902">
        <f>MAX(AK$630:AK706)+1</f>
        <v>11</v>
      </c>
      <c r="AL707" s="2908">
        <f>MAX(AL$630:AL706)+1</f>
        <v>68</v>
      </c>
    </row>
    <row r="708" spans="1:38" ht="12.75" customHeight="1" x14ac:dyDescent="0.2">
      <c r="A708" s="1916">
        <v>708</v>
      </c>
      <c r="B708" s="5148"/>
      <c r="C708" s="2918"/>
      <c r="D708" s="2919" t="s">
        <v>2540</v>
      </c>
      <c r="E708" s="2926">
        <v>25</v>
      </c>
      <c r="F708" s="2916">
        <v>-40</v>
      </c>
      <c r="G708" s="2916">
        <v>10</v>
      </c>
      <c r="H708" s="2916">
        <v>10</v>
      </c>
      <c r="I708" s="2916" t="s">
        <v>1809</v>
      </c>
      <c r="J708" s="2916" t="s">
        <v>1766</v>
      </c>
      <c r="K708" s="2898" t="s">
        <v>8903</v>
      </c>
      <c r="L708" s="2916" t="str">
        <f>IF(ISNUMBER(SEARCH($D708,Armas_Conocidas)),"Conocida",IF(OR(ISNUMBER(SEARCH(LEFT($K708,SEARCH("/",$K708)),Tipologías_Conocidas)),AND(NOT(ISNUMBER(SEARCH("/-",$K708))),ISNUMBER(SEARCH(MID($K708,SEARCH("/",$K708)+1,LEN($K708)),Tipologías_Conocidas)))),IF(ISNUMBER(SEARCH($K708,Tipologías_Conocidas)),"Similar","Mixta"),"Distinta"))</f>
        <v>Distinta</v>
      </c>
      <c r="M708" s="2927">
        <v>18</v>
      </c>
      <c r="N708" s="2927">
        <v>1</v>
      </c>
      <c r="O708" s="2927">
        <v>25</v>
      </c>
      <c r="P708" s="2927">
        <v>30</v>
      </c>
      <c r="Q708" s="2927">
        <f>IF(COUNTIF(Compra_TablasEstilo,"Tabla de Esquiva con Escudo")&gt;0,P708,15)</f>
        <v>15</v>
      </c>
      <c r="R708" s="2916" t="s">
        <v>1766</v>
      </c>
      <c r="S708" s="2916" t="s">
        <v>1766</v>
      </c>
      <c r="T708" s="2916" t="s">
        <v>1766</v>
      </c>
      <c r="U708" s="2916"/>
      <c r="V708" s="5183" t="str">
        <f>"Escudo. -"&amp;P708&amp;" HP/-"&amp;Q708&amp;" HE si se usa para atacar."</f>
        <v>Escudo. -30 HP/-15 HE si se usa para atacar.</v>
      </c>
      <c r="W708" s="5183"/>
      <c r="X708" s="5184"/>
      <c r="Z708" s="2647" t="str">
        <f t="shared" si="89"/>
        <v/>
      </c>
      <c r="AB708" s="2221" t="s">
        <v>2563</v>
      </c>
      <c r="AC708" s="19"/>
      <c r="AD708" s="19"/>
      <c r="AE708" s="2617"/>
      <c r="AG708" s="2221" t="str">
        <f t="shared" si="86"/>
        <v/>
      </c>
      <c r="AH708" s="2001" t="str">
        <f t="shared" si="87"/>
        <v/>
      </c>
      <c r="AI708" s="2001" t="str">
        <f t="shared" si="88"/>
        <v>Katana de doble hoja</v>
      </c>
      <c r="AJ708" s="2905">
        <f>IF($L708=AJ$627,COUNTIF($L$630:$L708,AJ$627)+2,0)</f>
        <v>0</v>
      </c>
      <c r="AK708" s="2902">
        <f>IF($L708=AK$627,COUNTIF($L$630:$L708,AK$627)+2,0)</f>
        <v>0</v>
      </c>
      <c r="AL708" s="2908">
        <f>IF($L708=AL$627,COUNTIF($L$630:$L708,AL$627)+2,0)</f>
        <v>69</v>
      </c>
    </row>
    <row r="709" spans="1:38" ht="12.75" customHeight="1" x14ac:dyDescent="0.2">
      <c r="A709" s="1916">
        <v>709</v>
      </c>
      <c r="B709" s="5148"/>
      <c r="C709" s="2918"/>
      <c r="D709" s="2919" t="s">
        <v>2542</v>
      </c>
      <c r="E709" s="2926">
        <v>20</v>
      </c>
      <c r="F709" s="2916">
        <v>-25</v>
      </c>
      <c r="G709" s="2916">
        <v>7</v>
      </c>
      <c r="H709" s="2916">
        <v>7</v>
      </c>
      <c r="I709" s="2916" t="s">
        <v>1809</v>
      </c>
      <c r="J709" s="2916" t="s">
        <v>1766</v>
      </c>
      <c r="K709" s="2898" t="s">
        <v>8903</v>
      </c>
      <c r="L709" s="2916" t="str">
        <f>IF(ISNUMBER(SEARCH($D709,Armas_Conocidas)),"Conocida",IF(OR(ISNUMBER(SEARCH(LEFT($K709,SEARCH("/",$K709)),Tipologías_Conocidas)),AND(NOT(ISNUMBER(SEARCH("/-",$K709))),ISNUMBER(SEARCH(MID($K709,SEARCH("/",$K709)+1,LEN($K709)),Tipologías_Conocidas)))),IF(ISNUMBER(SEARCH($K709,Tipologías_Conocidas)),"Similar","Mixta"),"Distinta"))</f>
        <v>Distinta</v>
      </c>
      <c r="M709" s="2927">
        <v>16</v>
      </c>
      <c r="N709" s="2927">
        <v>0</v>
      </c>
      <c r="O709" s="2927">
        <v>25</v>
      </c>
      <c r="P709" s="2927">
        <v>20</v>
      </c>
      <c r="Q709" s="2927">
        <f>IF(COUNTIF(Compra_TablasEstilo,"Tabla de Esquiva con Escudo")&gt;0,P709,10)</f>
        <v>10</v>
      </c>
      <c r="R709" s="2916" t="s">
        <v>1766</v>
      </c>
      <c r="S709" s="2916" t="s">
        <v>1766</v>
      </c>
      <c r="T709" s="2916" t="s">
        <v>1766</v>
      </c>
      <c r="U709" s="2916"/>
      <c r="V709" s="5183" t="str">
        <f>"Escudo. -"&amp;P709&amp;" HP/-"&amp;Q709&amp;" HE si se usa para atacar."</f>
        <v>Escudo. -20 HP/-10 HE si se usa para atacar.</v>
      </c>
      <c r="W709" s="5183"/>
      <c r="X709" s="5184"/>
      <c r="Z709" s="2647" t="str">
        <f t="shared" si="89"/>
        <v/>
      </c>
      <c r="AB709" s="2223" t="s">
        <v>2564</v>
      </c>
      <c r="AC709" s="19"/>
      <c r="AD709" s="19"/>
      <c r="AE709" s="2617"/>
      <c r="AG709" s="2221" t="str">
        <f t="shared" si="86"/>
        <v/>
      </c>
      <c r="AH709" s="2001" t="str">
        <f t="shared" si="87"/>
        <v/>
      </c>
      <c r="AI709" s="2001" t="str">
        <f t="shared" si="88"/>
        <v>Katar</v>
      </c>
      <c r="AJ709" s="2905">
        <f>IF($L709=AJ$627,COUNTIF($L$630:$L709,AJ$627)+2,0)</f>
        <v>0</v>
      </c>
      <c r="AK709" s="2902">
        <f>IF($L709=AK$627,COUNTIF($L$630:$L709,AK$627)+2,0)</f>
        <v>0</v>
      </c>
      <c r="AL709" s="2908">
        <f>IF($L709=AL$627,COUNTIF($L$630:$L709,AL$627)+2,0)</f>
        <v>70</v>
      </c>
    </row>
    <row r="710" spans="1:38" ht="12.75" customHeight="1" x14ac:dyDescent="0.2">
      <c r="A710" s="1916">
        <v>710</v>
      </c>
      <c r="B710" s="5148"/>
      <c r="C710" s="2918"/>
      <c r="D710" s="2919" t="s">
        <v>2543</v>
      </c>
      <c r="E710" s="2926">
        <v>15</v>
      </c>
      <c r="F710" s="2916">
        <v>-15</v>
      </c>
      <c r="G710" s="2916">
        <v>5</v>
      </c>
      <c r="H710" s="2916">
        <v>5</v>
      </c>
      <c r="I710" s="2916" t="s">
        <v>1809</v>
      </c>
      <c r="J710" s="2916" t="s">
        <v>1766</v>
      </c>
      <c r="K710" s="2898" t="s">
        <v>8903</v>
      </c>
      <c r="L710" s="2916" t="str">
        <f>IF(ISNUMBER(SEARCH($D710,Armas_Conocidas)),"Conocida",IF(OR(ISNUMBER(SEARCH(LEFT($K710,SEARCH("/",$K710)),Tipologías_Conocidas)),AND(NOT(ISNUMBER(SEARCH("/-",$K710))),ISNUMBER(SEARCH(MID($K710,SEARCH("/",$K710)+1,LEN($K710)),Tipologías_Conocidas)))),IF(ISNUMBER(SEARCH($K710,Tipologías_Conocidas)),"Similar","Mixta"),"Distinta"))</f>
        <v>Distinta</v>
      </c>
      <c r="M710" s="2927">
        <v>14</v>
      </c>
      <c r="N710" s="2927">
        <v>0</v>
      </c>
      <c r="O710" s="2927">
        <v>20</v>
      </c>
      <c r="P710" s="2927">
        <v>10</v>
      </c>
      <c r="Q710" s="2927">
        <f>IF(COUNTIF(Compra_TablasEstilo,"Tabla de Esquiva con Escudo")&gt;0,P710,5)</f>
        <v>5</v>
      </c>
      <c r="R710" s="2916" t="s">
        <v>1766</v>
      </c>
      <c r="S710" s="2916" t="s">
        <v>1766</v>
      </c>
      <c r="T710" s="2916" t="s">
        <v>1766</v>
      </c>
      <c r="U710" s="2916"/>
      <c r="V710" s="5183" t="str">
        <f>"Escudo. -"&amp;P710&amp;" HP/-"&amp;Q710&amp;" HE si se usa para atacar."</f>
        <v>Escudo. -10 HP/-5 HE si se usa para atacar.</v>
      </c>
      <c r="W710" s="5183"/>
      <c r="X710" s="5184"/>
      <c r="Z710" s="2647" t="str">
        <f t="shared" si="89"/>
        <v/>
      </c>
      <c r="AB710" s="2221" t="s">
        <v>2565</v>
      </c>
      <c r="AC710" s="19"/>
      <c r="AD710" s="19"/>
      <c r="AE710" s="2617"/>
      <c r="AG710" s="2221" t="str">
        <f t="shared" si="86"/>
        <v/>
      </c>
      <c r="AH710" s="2001" t="str">
        <f t="shared" si="87"/>
        <v/>
      </c>
      <c r="AI710" s="2001" t="str">
        <f t="shared" si="88"/>
        <v>Kusari-Gama</v>
      </c>
      <c r="AJ710" s="2905">
        <f>IF($L710=AJ$627,COUNTIF($L$630:$L710,AJ$627)+2,0)</f>
        <v>0</v>
      </c>
      <c r="AK710" s="2902">
        <f>IF($L710=AK$627,COUNTIF($L$630:$L710,AK$627)+2,0)</f>
        <v>0</v>
      </c>
      <c r="AL710" s="2908">
        <f>IF($L710=AL$627,COUNTIF($L$630:$L710,AL$627)+2,0)</f>
        <v>71</v>
      </c>
    </row>
    <row r="711" spans="1:38" ht="12.75" customHeight="1" x14ac:dyDescent="0.2">
      <c r="A711" s="1916">
        <v>711</v>
      </c>
      <c r="B711" s="5148"/>
      <c r="C711" s="2918"/>
      <c r="D711" s="2919" t="s">
        <v>2544</v>
      </c>
      <c r="E711" s="2924"/>
      <c r="F711" s="2924"/>
      <c r="G711" s="2924"/>
      <c r="H711" s="2924"/>
      <c r="I711" s="2924"/>
      <c r="J711" s="2924"/>
      <c r="K711" s="2421" t="s">
        <v>8885</v>
      </c>
      <c r="L711" s="2924"/>
      <c r="M711" s="2924"/>
      <c r="N711" s="2924"/>
      <c r="O711" s="2924"/>
      <c r="P711" s="2924"/>
      <c r="Q711" s="2924"/>
      <c r="R711" s="2924"/>
      <c r="S711" s="2924"/>
      <c r="T711" s="2924"/>
      <c r="U711" s="2924"/>
      <c r="V711" s="2421"/>
      <c r="W711" s="2421"/>
      <c r="X711" s="2925"/>
      <c r="Z711" s="2647" t="str">
        <f t="shared" si="89"/>
        <v/>
      </c>
      <c r="AB711" s="2223" t="s">
        <v>2567</v>
      </c>
      <c r="AC711" s="19"/>
      <c r="AD711" s="19"/>
      <c r="AE711" s="2617"/>
      <c r="AG711" s="2221" t="str">
        <f t="shared" si="86"/>
        <v/>
      </c>
      <c r="AH711" s="2001" t="str">
        <f t="shared" si="87"/>
        <v/>
      </c>
      <c r="AI711" s="2001" t="str">
        <f t="shared" si="88"/>
        <v>Nodachi</v>
      </c>
      <c r="AJ711" s="2905">
        <f>MAX(AJ$630:AJ710)+1</f>
        <v>3</v>
      </c>
      <c r="AK711" s="2902">
        <f>MAX(AK$630:AK710)+1</f>
        <v>12</v>
      </c>
      <c r="AL711" s="2908">
        <f>MAX(AL$630:AL710)+1</f>
        <v>72</v>
      </c>
    </row>
    <row r="712" spans="1:38" ht="12.75" customHeight="1" x14ac:dyDescent="0.2">
      <c r="A712" s="1916">
        <v>712</v>
      </c>
      <c r="B712" s="5148"/>
      <c r="C712" s="2918"/>
      <c r="D712" s="2919" t="s">
        <v>2545</v>
      </c>
      <c r="E712" s="2926">
        <v>30</v>
      </c>
      <c r="F712" s="2916">
        <v>20</v>
      </c>
      <c r="G712" s="2916">
        <v>4</v>
      </c>
      <c r="H712" s="2916">
        <v>4</v>
      </c>
      <c r="I712" s="2916" t="s">
        <v>1863</v>
      </c>
      <c r="J712" s="2916" t="s">
        <v>1809</v>
      </c>
      <c r="K712" s="2898" t="s">
        <v>8892</v>
      </c>
      <c r="L712" s="2916" t="str">
        <f>IF(ISNUMBER(SEARCH($D712,Armas_Conocidas)),"Conocida",IF(OR(ISNUMBER(SEARCH(LEFT($K712,SEARCH("/",$K712)),Tipologías_Conocidas)),AND(NOT(ISNUMBER(SEARCH("/-",$K712))),ISNUMBER(SEARCH(MID($K712,SEARCH("/",$K712)+1,LEN($K712)),Tipologías_Conocidas)))),IF(ISNUMBER(SEARCH($K712,Tipologías_Conocidas)),"Similar","Mixta"),"Distinta"))</f>
        <v>Distinta</v>
      </c>
      <c r="M712" s="2927">
        <v>8</v>
      </c>
      <c r="N712" s="2927">
        <v>0</v>
      </c>
      <c r="O712" s="2927">
        <v>25</v>
      </c>
      <c r="P712" s="2916"/>
      <c r="Q712" s="2916"/>
      <c r="R712" s="2927">
        <v>40</v>
      </c>
      <c r="S712" s="2916" t="s">
        <v>1766</v>
      </c>
      <c r="T712" s="2916">
        <v>20</v>
      </c>
      <c r="U712" s="2916"/>
      <c r="V712" s="5183" t="s">
        <v>2546</v>
      </c>
      <c r="W712" s="5183"/>
      <c r="X712" s="5184"/>
      <c r="Z712" s="2647" t="str">
        <f t="shared" si="89"/>
        <v/>
      </c>
      <c r="AB712" s="2223" t="s">
        <v>2568</v>
      </c>
      <c r="AC712" s="19"/>
      <c r="AD712" s="19"/>
      <c r="AE712" s="2617"/>
      <c r="AG712" s="2221" t="str">
        <f t="shared" si="86"/>
        <v/>
      </c>
      <c r="AH712" s="2001" t="str">
        <f t="shared" si="87"/>
        <v/>
      </c>
      <c r="AI712" s="2001" t="str">
        <f t="shared" si="88"/>
        <v>Nunchaku</v>
      </c>
      <c r="AJ712" s="2905">
        <f>IF($L712=AJ$627,COUNTIF($L$630:$L712,AJ$627)+3,0)</f>
        <v>0</v>
      </c>
      <c r="AK712" s="2902">
        <f>IF($L712=AK$627,COUNTIF($L$630:$L712,AK$627)+3,0)</f>
        <v>0</v>
      </c>
      <c r="AL712" s="2908">
        <f>IF($L712=AL$627,COUNTIF($L$630:$L712,AL$627)+3,0)</f>
        <v>73</v>
      </c>
    </row>
    <row r="713" spans="1:38" ht="12.75" customHeight="1" x14ac:dyDescent="0.2">
      <c r="A713" s="1916">
        <v>713</v>
      </c>
      <c r="B713" s="5148"/>
      <c r="C713" s="2918"/>
      <c r="D713" s="2919" t="s">
        <v>2547</v>
      </c>
      <c r="E713" s="2926">
        <v>35</v>
      </c>
      <c r="F713" s="2916">
        <v>15</v>
      </c>
      <c r="G713" s="2916">
        <v>4</v>
      </c>
      <c r="H713" s="2916">
        <v>4</v>
      </c>
      <c r="I713" s="2916" t="s">
        <v>1863</v>
      </c>
      <c r="J713" s="2916" t="s">
        <v>1864</v>
      </c>
      <c r="K713" s="2898" t="s">
        <v>8887</v>
      </c>
      <c r="L713" s="2916" t="str">
        <f>IF(ISNUMBER(SEARCH($D713,Armas_Conocidas)),"Conocida",IF(OR(ISNUMBER(SEARCH(LEFT($K713,SEARCH("/",$K713)),Tipologías_Conocidas)),AND(NOT(ISNUMBER(SEARCH("/-",$K713))),ISNUMBER(SEARCH(MID($K713,SEARCH("/",$K713)+1,LEN($K713)),Tipologías_Conocidas)))),IF(ISNUMBER(SEARCH($K713,Tipologías_Conocidas)),"Similar","Mixta"),"Distinta"))</f>
        <v>Distinta</v>
      </c>
      <c r="M713" s="2927">
        <v>12</v>
      </c>
      <c r="N713" s="2927">
        <v>2</v>
      </c>
      <c r="O713" s="2927">
        <v>25</v>
      </c>
      <c r="P713" s="2916"/>
      <c r="Q713" s="2916"/>
      <c r="R713" s="2916" t="s">
        <v>1766</v>
      </c>
      <c r="S713" s="2916" t="s">
        <v>1766</v>
      </c>
      <c r="T713" s="2916" t="s">
        <v>1766</v>
      </c>
      <c r="U713" s="2916"/>
      <c r="V713" s="5183" t="s">
        <v>2548</v>
      </c>
      <c r="W713" s="5183"/>
      <c r="X713" s="5184"/>
      <c r="Z713" s="2647" t="str">
        <f t="shared" si="89"/>
        <v/>
      </c>
      <c r="AB713" s="2223" t="s">
        <v>2570</v>
      </c>
      <c r="AC713" s="19"/>
      <c r="AD713" s="19"/>
      <c r="AE713" s="2617"/>
      <c r="AG713" s="2221" t="str">
        <f t="shared" si="86"/>
        <v/>
      </c>
      <c r="AH713" s="2001" t="str">
        <f t="shared" si="87"/>
        <v/>
      </c>
      <c r="AI713" s="2001" t="str">
        <f t="shared" si="88"/>
        <v>Quebradora</v>
      </c>
      <c r="AJ713" s="2905">
        <f>IF($L713=AJ$627,COUNTIF($L$630:$L713,AJ$627)+3,0)</f>
        <v>0</v>
      </c>
      <c r="AK713" s="2902">
        <f>IF($L713=AK$627,COUNTIF($L$630:$L713,AK$627)+3,0)</f>
        <v>0</v>
      </c>
      <c r="AL713" s="2908">
        <f>IF($L713=AL$627,COUNTIF($L$630:$L713,AL$627)+3,0)</f>
        <v>74</v>
      </c>
    </row>
    <row r="714" spans="1:38" ht="12.75" customHeight="1" x14ac:dyDescent="0.2">
      <c r="A714" s="1916">
        <v>714</v>
      </c>
      <c r="B714" s="5148"/>
      <c r="C714" s="2918"/>
      <c r="D714" s="2919" t="s">
        <v>2549</v>
      </c>
      <c r="E714" s="2926">
        <v>30</v>
      </c>
      <c r="F714" s="2916">
        <v>10</v>
      </c>
      <c r="G714" s="2916">
        <v>4</v>
      </c>
      <c r="H714" s="2916">
        <v>4</v>
      </c>
      <c r="I714" s="2916" t="s">
        <v>1809</v>
      </c>
      <c r="J714" s="2916" t="s">
        <v>1863</v>
      </c>
      <c r="K714" s="2898" t="s">
        <v>8892</v>
      </c>
      <c r="L714" s="2916" t="str">
        <f>IF(ISNUMBER(SEARCH($D714,Armas_Conocidas)),"Conocida",IF(OR(ISNUMBER(SEARCH(LEFT($K714,SEARCH("/",$K714)),Tipologías_Conocidas)),AND(NOT(ISNUMBER(SEARCH("/-",$K714))),ISNUMBER(SEARCH(MID($K714,SEARCH("/",$K714)+1,LEN($K714)),Tipologías_Conocidas)))),IF(ISNUMBER(SEARCH($K714,Tipologías_Conocidas)),"Similar","Mixta"),"Distinta"))</f>
        <v>Distinta</v>
      </c>
      <c r="M714" s="2927">
        <v>10</v>
      </c>
      <c r="N714" s="2927">
        <v>0</v>
      </c>
      <c r="O714" s="2927">
        <v>15</v>
      </c>
      <c r="P714" s="2916"/>
      <c r="Q714" s="2916"/>
      <c r="R714" s="2927">
        <v>60</v>
      </c>
      <c r="S714" s="2916" t="s">
        <v>1766</v>
      </c>
      <c r="T714" s="2916">
        <v>20</v>
      </c>
      <c r="U714" s="2916"/>
      <c r="V714" s="5183" t="s">
        <v>2550</v>
      </c>
      <c r="W714" s="5183"/>
      <c r="X714" s="5184"/>
      <c r="Z714" s="2647" t="str">
        <f t="shared" si="89"/>
        <v/>
      </c>
      <c r="AB714" s="2223" t="s">
        <v>2571</v>
      </c>
      <c r="AC714" s="19"/>
      <c r="AD714" s="19"/>
      <c r="AE714" s="2617"/>
      <c r="AG714" s="2221" t="str">
        <f t="shared" si="86"/>
        <v/>
      </c>
      <c r="AH714" s="2001" t="str">
        <f t="shared" si="87"/>
        <v/>
      </c>
      <c r="AI714" s="2001" t="str">
        <f t="shared" si="88"/>
        <v>Sai</v>
      </c>
      <c r="AJ714" s="2905">
        <f>IF($L714=AJ$627,COUNTIF($L$630:$L714,AJ$627)+3,0)</f>
        <v>0</v>
      </c>
      <c r="AK714" s="2902">
        <f>IF($L714=AK$627,COUNTIF($L$630:$L714,AK$627)+3,0)</f>
        <v>0</v>
      </c>
      <c r="AL714" s="2908">
        <f>IF($L714=AL$627,COUNTIF($L$630:$L714,AL$627)+3,0)</f>
        <v>75</v>
      </c>
    </row>
    <row r="715" spans="1:38" ht="12.75" customHeight="1" x14ac:dyDescent="0.2">
      <c r="A715" s="1916">
        <v>715</v>
      </c>
      <c r="B715" s="5148"/>
      <c r="C715" s="2918"/>
      <c r="D715" s="2919" t="s">
        <v>2551</v>
      </c>
      <c r="E715" s="2926">
        <v>35</v>
      </c>
      <c r="F715" s="2916">
        <v>10</v>
      </c>
      <c r="G715" s="2916">
        <v>4</v>
      </c>
      <c r="H715" s="2916">
        <v>4</v>
      </c>
      <c r="I715" s="2916" t="s">
        <v>1809</v>
      </c>
      <c r="J715" s="2916" t="s">
        <v>1863</v>
      </c>
      <c r="K715" s="2898" t="s">
        <v>8892</v>
      </c>
      <c r="L715" s="2916" t="str">
        <f>IF(ISNUMBER(SEARCH($D715,Armas_Conocidas)),"Conocida",IF(OR(ISNUMBER(SEARCH(LEFT($K715,SEARCH("/",$K715)),Tipologías_Conocidas)),AND(NOT(ISNUMBER(SEARCH("/-",$K715))),ISNUMBER(SEARCH(MID($K715,SEARCH("/",$K715)+1,LEN($K715)),Tipologías_Conocidas)))),IF(ISNUMBER(SEARCH($K715,Tipologías_Conocidas)),"Similar","Mixta"),"Distinta"))</f>
        <v>Distinta</v>
      </c>
      <c r="M715" s="2927">
        <v>11</v>
      </c>
      <c r="N715" s="2927">
        <v>2</v>
      </c>
      <c r="O715" s="2927">
        <v>25</v>
      </c>
      <c r="P715" s="2916"/>
      <c r="Q715" s="2916"/>
      <c r="R715" s="2916" t="s">
        <v>1766</v>
      </c>
      <c r="S715" s="2916" t="s">
        <v>1766</v>
      </c>
      <c r="T715" s="2916" t="s">
        <v>1766</v>
      </c>
      <c r="U715" s="2916"/>
      <c r="V715" s="5183" t="s">
        <v>2552</v>
      </c>
      <c r="W715" s="5183"/>
      <c r="X715" s="5184"/>
      <c r="Z715" s="2647" t="str">
        <f t="shared" si="89"/>
        <v/>
      </c>
      <c r="AB715" s="2223" t="s">
        <v>8582</v>
      </c>
      <c r="AC715" s="19"/>
      <c r="AD715" s="19"/>
      <c r="AE715" s="2617"/>
      <c r="AG715" s="2221" t="str">
        <f t="shared" si="86"/>
        <v/>
      </c>
      <c r="AH715" s="2001" t="str">
        <f t="shared" si="87"/>
        <v/>
      </c>
      <c r="AI715" s="2001" t="str">
        <f t="shared" si="88"/>
        <v>Shuko</v>
      </c>
      <c r="AJ715" s="2905">
        <f>IF($L715=AJ$627,COUNTIF($L$630:$L715,AJ$627)+3,0)</f>
        <v>0</v>
      </c>
      <c r="AK715" s="2902">
        <f>IF($L715=AK$627,COUNTIF($L$630:$L715,AK$627)+3,0)</f>
        <v>0</v>
      </c>
      <c r="AL715" s="2908">
        <f>IF($L715=AL$627,COUNTIF($L$630:$L715,AL$627)+3,0)</f>
        <v>76</v>
      </c>
    </row>
    <row r="716" spans="1:38" ht="12.75" customHeight="1" x14ac:dyDescent="0.2">
      <c r="A716" s="1916">
        <v>716</v>
      </c>
      <c r="B716" s="5148"/>
      <c r="C716" s="2918"/>
      <c r="D716" s="2919" t="s">
        <v>2553</v>
      </c>
      <c r="E716" s="2926">
        <v>30</v>
      </c>
      <c r="F716" s="2916">
        <v>15</v>
      </c>
      <c r="G716" s="2916">
        <v>4</v>
      </c>
      <c r="H716" s="2916">
        <v>4</v>
      </c>
      <c r="I716" s="2916" t="s">
        <v>1863</v>
      </c>
      <c r="J716" s="2916" t="s">
        <v>1864</v>
      </c>
      <c r="K716" s="2898" t="s">
        <v>8892</v>
      </c>
      <c r="L716" s="2916" t="str">
        <f>IF(ISNUMBER(SEARCH($D716,Armas_Conocidas)),"Conocida",IF(OR(ISNUMBER(SEARCH(LEFT($K716,SEARCH("/",$K716)),Tipologías_Conocidas)),AND(NOT(ISNUMBER(SEARCH("/-",$K716))),ISNUMBER(SEARCH(MID($K716,SEARCH("/",$K716)+1,LEN($K716)),Tipologías_Conocidas)))),IF(ISNUMBER(SEARCH($K716,Tipologías_Conocidas)),"Similar","Mixta"),"Distinta"))</f>
        <v>Distinta</v>
      </c>
      <c r="M716" s="2927">
        <v>12</v>
      </c>
      <c r="N716" s="2927">
        <v>2</v>
      </c>
      <c r="O716" s="2927">
        <v>15</v>
      </c>
      <c r="P716" s="2916"/>
      <c r="Q716" s="2916"/>
      <c r="R716" s="2916" t="s">
        <v>1766</v>
      </c>
      <c r="S716" s="2916" t="s">
        <v>1766</v>
      </c>
      <c r="T716" s="2916" t="s">
        <v>1766</v>
      </c>
      <c r="U716" s="2916"/>
      <c r="V716" s="5183" t="s">
        <v>1766</v>
      </c>
      <c r="W716" s="5183"/>
      <c r="X716" s="5184"/>
      <c r="Z716" s="2647" t="str">
        <f t="shared" si="89"/>
        <v/>
      </c>
      <c r="AB716" s="2223" t="s">
        <v>8599</v>
      </c>
      <c r="AC716" s="19"/>
      <c r="AD716" s="19"/>
      <c r="AE716" s="2617"/>
      <c r="AG716" s="2221" t="str">
        <f t="shared" si="86"/>
        <v/>
      </c>
      <c r="AH716" s="2001" t="str">
        <f t="shared" si="87"/>
        <v/>
      </c>
      <c r="AI716" s="2001" t="str">
        <f t="shared" si="88"/>
        <v>Shuriken</v>
      </c>
      <c r="AJ716" s="2905">
        <f>IF($L716=AJ$627,COUNTIF($L$630:$L716,AJ$627)+3,0)</f>
        <v>0</v>
      </c>
      <c r="AK716" s="2902">
        <f>IF($L716=AK$627,COUNTIF($L$630:$L716,AK$627)+3,0)</f>
        <v>0</v>
      </c>
      <c r="AL716" s="2908">
        <f>IF($L716=AL$627,COUNTIF($L$630:$L716,AL$627)+3,0)</f>
        <v>77</v>
      </c>
    </row>
    <row r="717" spans="1:38" ht="12.75" customHeight="1" x14ac:dyDescent="0.2">
      <c r="A717" s="1916">
        <v>717</v>
      </c>
      <c r="B717" s="5148"/>
      <c r="C717" s="2918"/>
      <c r="D717" s="2919" t="s">
        <v>2554</v>
      </c>
      <c r="E717" s="2926">
        <v>50</v>
      </c>
      <c r="F717" s="2916">
        <v>0</v>
      </c>
      <c r="G717" s="2916">
        <v>6</v>
      </c>
      <c r="H717" s="2916">
        <v>5</v>
      </c>
      <c r="I717" s="2916" t="s">
        <v>1863</v>
      </c>
      <c r="J717" s="2916" t="s">
        <v>1766</v>
      </c>
      <c r="K717" s="2898" t="s">
        <v>8890</v>
      </c>
      <c r="L717" s="2929"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927">
        <v>11</v>
      </c>
      <c r="N717" s="2927">
        <v>3</v>
      </c>
      <c r="O717" s="2927">
        <v>40</v>
      </c>
      <c r="P717" s="2916"/>
      <c r="Q717" s="2916"/>
      <c r="R717" s="2916" t="s">
        <v>1766</v>
      </c>
      <c r="S717" s="2916" t="s">
        <v>1766</v>
      </c>
      <c r="T717" s="2916" t="s">
        <v>1766</v>
      </c>
      <c r="U717" s="2916"/>
      <c r="V717" s="5183" t="s">
        <v>2494</v>
      </c>
      <c r="W717" s="5183"/>
      <c r="X717" s="5184"/>
      <c r="Z717" s="2647" t="str">
        <f t="shared" si="89"/>
        <v/>
      </c>
      <c r="AB717" s="2224" t="s">
        <v>8600</v>
      </c>
      <c r="AC717" s="19"/>
      <c r="AD717" s="19"/>
      <c r="AE717" s="2617"/>
      <c r="AG717" s="2221" t="str">
        <f t="shared" si="86"/>
        <v/>
      </c>
      <c r="AH717" s="2001" t="str">
        <f t="shared" si="87"/>
        <v/>
      </c>
      <c r="AI717" s="2001" t="str">
        <f t="shared" si="88"/>
        <v>Tanto</v>
      </c>
      <c r="AJ717" s="2905">
        <f>IF($L717=AJ$627,COUNTIF($L$630:$L717,AJ$627)+3,0)</f>
        <v>0</v>
      </c>
      <c r="AK717" s="2902">
        <f>IF($L717=AK$627,COUNTIF($L$630:$L717,AK$627)+3,0)</f>
        <v>0</v>
      </c>
      <c r="AL717" s="2908">
        <f>IF($L717=AL$627,COUNTIF($L$630:$L717,AL$627)+3,0)</f>
        <v>78</v>
      </c>
    </row>
    <row r="718" spans="1:38" ht="12.75" customHeight="1" x14ac:dyDescent="0.2">
      <c r="A718" s="1916">
        <v>718</v>
      </c>
      <c r="B718" s="5148"/>
      <c r="C718" s="2918"/>
      <c r="D718" s="2919" t="s">
        <v>2555</v>
      </c>
      <c r="E718" s="2926">
        <v>55</v>
      </c>
      <c r="F718" s="2916">
        <v>-5</v>
      </c>
      <c r="G718" s="2916">
        <v>8</v>
      </c>
      <c r="H718" s="2916">
        <v>8</v>
      </c>
      <c r="I718" s="2916" t="s">
        <v>1863</v>
      </c>
      <c r="J718" s="2916" t="s">
        <v>1766</v>
      </c>
      <c r="K718" s="2898" t="s">
        <v>8890</v>
      </c>
      <c r="L718" s="2916" t="str">
        <f t="shared" ref="L718:L728" si="91">IF(ISNUMBER(SEARCH($D718,Armas_Conocidas)),"Conocida",IF(OR(ISNUMBER(SEARCH(LEFT($K718,SEARCH("/",$K718)),Tipologías_Conocidas)),AND(NOT(ISNUMBER(SEARCH("/-",$K718))),ISNUMBER(SEARCH(MID($K718,SEARCH("/",$K718)+1,LEN($K718)),Tipologías_Conocidas)))),IF(ISNUMBER(SEARCH($K718,Tipologías_Conocidas)),"Similar","Mixta"),"Distinta"))</f>
        <v>Distinta</v>
      </c>
      <c r="M718" s="2927">
        <v>11</v>
      </c>
      <c r="N718" s="2927">
        <v>3</v>
      </c>
      <c r="O718" s="2927">
        <v>40</v>
      </c>
      <c r="P718" s="2916"/>
      <c r="Q718" s="2916"/>
      <c r="R718" s="2916" t="s">
        <v>1766</v>
      </c>
      <c r="S718" s="2916" t="s">
        <v>1766</v>
      </c>
      <c r="T718" s="2916" t="s">
        <v>1766</v>
      </c>
      <c r="U718" s="2916"/>
      <c r="V718" s="5183" t="s">
        <v>2556</v>
      </c>
      <c r="W718" s="5183"/>
      <c r="X718" s="5184"/>
      <c r="Z718" s="2647" t="str">
        <f t="shared" si="89"/>
        <v/>
      </c>
      <c r="AB718" s="2224" t="s">
        <v>8601</v>
      </c>
      <c r="AC718" s="19"/>
      <c r="AD718" s="19"/>
      <c r="AE718" s="2617"/>
      <c r="AG718" s="2221" t="str">
        <f t="shared" si="86"/>
        <v/>
      </c>
      <c r="AH718" s="2001" t="str">
        <f t="shared" si="87"/>
        <v/>
      </c>
      <c r="AI718" s="2001" t="str">
        <f t="shared" si="88"/>
        <v>Tonfa</v>
      </c>
      <c r="AJ718" s="2905">
        <f>IF($L718=AJ$627,COUNTIF($L$630:$L718,AJ$627)+3,0)</f>
        <v>0</v>
      </c>
      <c r="AK718" s="2902">
        <f>IF($L718=AK$627,COUNTIF($L$630:$L718,AK$627)+3,0)</f>
        <v>0</v>
      </c>
      <c r="AL718" s="2908">
        <f>IF($L718=AL$627,COUNTIF($L$630:$L718,AL$627)+3,0)</f>
        <v>79</v>
      </c>
    </row>
    <row r="719" spans="1:38" ht="12.75" customHeight="1" x14ac:dyDescent="0.2">
      <c r="A719" s="1916">
        <v>719</v>
      </c>
      <c r="B719" s="5148"/>
      <c r="C719" s="2918"/>
      <c r="D719" s="2919" t="s">
        <v>2557</v>
      </c>
      <c r="E719" s="2926">
        <v>40</v>
      </c>
      <c r="F719" s="2916">
        <v>10</v>
      </c>
      <c r="G719" s="2916">
        <v>8</v>
      </c>
      <c r="H719" s="2916">
        <v>8</v>
      </c>
      <c r="I719" s="2916" t="s">
        <v>1864</v>
      </c>
      <c r="J719" s="2916" t="s">
        <v>1863</v>
      </c>
      <c r="K719" s="2898" t="s">
        <v>8892</v>
      </c>
      <c r="L719" s="2916" t="str">
        <f t="shared" si="91"/>
        <v>Distinta</v>
      </c>
      <c r="M719" s="2927">
        <v>13</v>
      </c>
      <c r="N719" s="2927">
        <v>3</v>
      </c>
      <c r="O719" s="2927">
        <v>25</v>
      </c>
      <c r="P719" s="2916"/>
      <c r="Q719" s="2916"/>
      <c r="R719" s="2916" t="s">
        <v>1766</v>
      </c>
      <c r="S719" s="2916" t="s">
        <v>1766</v>
      </c>
      <c r="T719" s="2916" t="s">
        <v>1766</v>
      </c>
      <c r="U719" s="2916"/>
      <c r="V719" s="5183" t="s">
        <v>2558</v>
      </c>
      <c r="W719" s="5183"/>
      <c r="X719" s="5184"/>
      <c r="Z719" s="2647" t="str">
        <f t="shared" si="89"/>
        <v/>
      </c>
      <c r="AB719" s="2223" t="s">
        <v>8602</v>
      </c>
      <c r="AC719" s="19"/>
      <c r="AD719" s="19"/>
      <c r="AE719" s="2617"/>
      <c r="AG719" s="2221" t="str">
        <f t="shared" si="86"/>
        <v/>
      </c>
      <c r="AH719" s="2001" t="str">
        <f t="shared" si="87"/>
        <v/>
      </c>
      <c r="AI719" s="2001" t="str">
        <f t="shared" si="88"/>
        <v>Boku-to</v>
      </c>
      <c r="AJ719" s="2905">
        <f>IF($L719=AJ$627,COUNTIF($L$630:$L719,AJ$627)+3,0)</f>
        <v>0</v>
      </c>
      <c r="AK719" s="2902">
        <f>IF($L719=AK$627,COUNTIF($L$630:$L719,AK$627)+3,0)</f>
        <v>0</v>
      </c>
      <c r="AL719" s="2908">
        <f>IF($L719=AL$627,COUNTIF($L$630:$L719,AL$627)+3,0)</f>
        <v>80</v>
      </c>
    </row>
    <row r="720" spans="1:38" ht="12.75" customHeight="1" x14ac:dyDescent="0.2">
      <c r="A720" s="1916">
        <v>720</v>
      </c>
      <c r="B720" s="5148"/>
      <c r="C720" s="2918"/>
      <c r="D720" s="2919" t="s">
        <v>2559</v>
      </c>
      <c r="E720" s="2926">
        <f>40-Bono_Fue</f>
        <v>40</v>
      </c>
      <c r="F720" s="2916">
        <v>5</v>
      </c>
      <c r="G720" s="2916">
        <v>5</v>
      </c>
      <c r="H720" s="2916">
        <v>5</v>
      </c>
      <c r="I720" s="2916" t="s">
        <v>1863</v>
      </c>
      <c r="J720" s="2916" t="s">
        <v>2560</v>
      </c>
      <c r="K720" s="2898" t="s">
        <v>8904</v>
      </c>
      <c r="L720" s="2916" t="str">
        <f t="shared" si="91"/>
        <v>Distinta</v>
      </c>
      <c r="M720" s="2927">
        <v>12</v>
      </c>
      <c r="N720" s="2927">
        <v>4</v>
      </c>
      <c r="O720" s="2927">
        <v>25</v>
      </c>
      <c r="P720" s="2916"/>
      <c r="Q720" s="2916"/>
      <c r="R720" s="2916" t="s">
        <v>1766</v>
      </c>
      <c r="S720" s="2916" t="s">
        <v>1766</v>
      </c>
      <c r="T720" s="2916" t="s">
        <v>1766</v>
      </c>
      <c r="U720" s="2916"/>
      <c r="V720" s="5183" t="s">
        <v>2561</v>
      </c>
      <c r="W720" s="5183"/>
      <c r="X720" s="5184"/>
      <c r="Z720" s="2647" t="str">
        <f t="shared" si="89"/>
        <v/>
      </c>
      <c r="AB720" s="2223" t="s">
        <v>8603</v>
      </c>
      <c r="AC720" s="19"/>
      <c r="AD720" s="19"/>
      <c r="AE720" s="2617"/>
      <c r="AG720" s="2221" t="str">
        <f t="shared" si="86"/>
        <v/>
      </c>
      <c r="AH720" s="2001" t="str">
        <f t="shared" si="87"/>
        <v/>
      </c>
      <c r="AI720" s="2001" t="str">
        <f t="shared" si="88"/>
        <v>Jutte</v>
      </c>
      <c r="AJ720" s="2905">
        <f>IF($L720=AJ$627,COUNTIF($L$630:$L720,AJ$627)+3,0)</f>
        <v>0</v>
      </c>
      <c r="AK720" s="2902">
        <f>IF($L720=AK$627,COUNTIF($L$630:$L720,AK$627)+3,0)</f>
        <v>0</v>
      </c>
      <c r="AL720" s="2908">
        <f>IF($L720=AL$627,COUNTIF($L$630:$L720,AL$627)+3,0)</f>
        <v>81</v>
      </c>
    </row>
    <row r="721" spans="1:38" ht="12.75" customHeight="1" x14ac:dyDescent="0.2">
      <c r="A721" s="1916">
        <v>721</v>
      </c>
      <c r="B721" s="5148"/>
      <c r="C721" s="2918"/>
      <c r="D721" s="2919" t="s">
        <v>2562</v>
      </c>
      <c r="E721" s="2926">
        <v>80</v>
      </c>
      <c r="F721" s="2916">
        <v>-35</v>
      </c>
      <c r="G721" s="2916">
        <v>10</v>
      </c>
      <c r="H721" s="2916">
        <v>8</v>
      </c>
      <c r="I721" s="2916" t="s">
        <v>1863</v>
      </c>
      <c r="J721" s="2916" t="s">
        <v>1766</v>
      </c>
      <c r="K721" s="2898" t="s">
        <v>8894</v>
      </c>
      <c r="L721" s="2916" t="str">
        <f t="shared" si="91"/>
        <v>Distinta</v>
      </c>
      <c r="M721" s="2927">
        <v>14</v>
      </c>
      <c r="N721" s="2927">
        <v>4</v>
      </c>
      <c r="O721" s="2927">
        <v>40</v>
      </c>
      <c r="P721" s="2916"/>
      <c r="Q721" s="2916"/>
      <c r="R721" s="2916" t="s">
        <v>1766</v>
      </c>
      <c r="S721" s="2916" t="s">
        <v>1766</v>
      </c>
      <c r="T721" s="2916" t="s">
        <v>1766</v>
      </c>
      <c r="U721" s="2916"/>
      <c r="V721" s="5183" t="s">
        <v>2494</v>
      </c>
      <c r="W721" s="5183"/>
      <c r="X721" s="5184"/>
      <c r="Z721" s="2647" t="str">
        <f t="shared" si="89"/>
        <v/>
      </c>
      <c r="AB721" s="2223" t="s">
        <v>8604</v>
      </c>
      <c r="AC721" s="19"/>
      <c r="AD721" s="19"/>
      <c r="AE721" s="2617"/>
      <c r="AG721" s="2221" t="str">
        <f t="shared" si="86"/>
        <v/>
      </c>
      <c r="AH721" s="2001" t="str">
        <f t="shared" si="87"/>
        <v/>
      </c>
      <c r="AI721" s="2001" t="str">
        <f t="shared" si="88"/>
        <v>Kama</v>
      </c>
      <c r="AJ721" s="2905">
        <f>IF($L721=AJ$627,COUNTIF($L$630:$L721,AJ$627)+3,0)</f>
        <v>0</v>
      </c>
      <c r="AK721" s="2902">
        <f>IF($L721=AK$627,COUNTIF($L$630:$L721,AK$627)+3,0)</f>
        <v>0</v>
      </c>
      <c r="AL721" s="2908">
        <f>IF($L721=AL$627,COUNTIF($L$630:$L721,AL$627)+3,0)</f>
        <v>82</v>
      </c>
    </row>
    <row r="722" spans="1:38" ht="12.75" customHeight="1" x14ac:dyDescent="0.2">
      <c r="A722" s="1916">
        <v>722</v>
      </c>
      <c r="B722" s="5148"/>
      <c r="C722" s="2918"/>
      <c r="D722" s="2919" t="s">
        <v>2563</v>
      </c>
      <c r="E722" s="2926">
        <v>30</v>
      </c>
      <c r="F722" s="2916">
        <v>15</v>
      </c>
      <c r="G722" s="2916">
        <v>5</v>
      </c>
      <c r="H722" s="2916">
        <v>5</v>
      </c>
      <c r="I722" s="2916" t="s">
        <v>1809</v>
      </c>
      <c r="J722" s="2916" t="s">
        <v>1766</v>
      </c>
      <c r="K722" s="2898" t="s">
        <v>8891</v>
      </c>
      <c r="L722" s="2916" t="str">
        <f t="shared" si="91"/>
        <v>Distinta</v>
      </c>
      <c r="M722" s="2927">
        <v>11</v>
      </c>
      <c r="N722" s="2927">
        <v>0</v>
      </c>
      <c r="O722" s="2927">
        <v>15</v>
      </c>
      <c r="P722" s="2916"/>
      <c r="Q722" s="2916"/>
      <c r="R722" s="2916" t="s">
        <v>1766</v>
      </c>
      <c r="S722" s="2916" t="s">
        <v>1766</v>
      </c>
      <c r="T722" s="2916" t="s">
        <v>1766</v>
      </c>
      <c r="U722" s="2916"/>
      <c r="V722" s="5183" t="s">
        <v>1766</v>
      </c>
      <c r="W722" s="5183"/>
      <c r="X722" s="5184"/>
      <c r="Z722" s="2647" t="str">
        <f t="shared" si="89"/>
        <v/>
      </c>
      <c r="AB722" s="2223" t="s">
        <v>8605</v>
      </c>
      <c r="AC722" s="19"/>
      <c r="AD722" s="19"/>
      <c r="AE722" s="2617"/>
      <c r="AG722" s="2221" t="str">
        <f t="shared" si="86"/>
        <v/>
      </c>
      <c r="AH722" s="2001" t="str">
        <f t="shared" si="87"/>
        <v/>
      </c>
      <c r="AI722" s="2001" t="str">
        <f t="shared" si="88"/>
        <v>Kau Sin Ke</v>
      </c>
      <c r="AJ722" s="2905">
        <f>IF($L722=AJ$627,COUNTIF($L$630:$L722,AJ$627)+3,0)</f>
        <v>0</v>
      </c>
      <c r="AK722" s="2902">
        <f>IF($L722=AK$627,COUNTIF($L$630:$L722,AK$627)+3,0)</f>
        <v>0</v>
      </c>
      <c r="AL722" s="2908">
        <f>IF($L722=AL$627,COUNTIF($L$630:$L722,AL$627)+3,0)</f>
        <v>83</v>
      </c>
    </row>
    <row r="723" spans="1:38" ht="12.75" customHeight="1" x14ac:dyDescent="0.2">
      <c r="A723" s="1916">
        <v>723</v>
      </c>
      <c r="B723" s="5148"/>
      <c r="C723" s="2918"/>
      <c r="D723" s="2919" t="s">
        <v>2564</v>
      </c>
      <c r="E723" s="2926">
        <v>50</v>
      </c>
      <c r="F723" s="2916">
        <v>-20</v>
      </c>
      <c r="G723" s="2916">
        <v>10</v>
      </c>
      <c r="H723" s="2916">
        <v>8</v>
      </c>
      <c r="I723" s="2916" t="s">
        <v>1809</v>
      </c>
      <c r="J723" s="2916" t="s">
        <v>1863</v>
      </c>
      <c r="K723" s="2898" t="s">
        <v>8894</v>
      </c>
      <c r="L723" s="2916" t="str">
        <f t="shared" si="91"/>
        <v>Distinta</v>
      </c>
      <c r="M723" s="2927">
        <v>16</v>
      </c>
      <c r="N723" s="2927">
        <v>8</v>
      </c>
      <c r="O723" s="2927">
        <v>25</v>
      </c>
      <c r="P723" s="2916"/>
      <c r="Q723" s="2916"/>
      <c r="R723" s="2916" t="s">
        <v>1766</v>
      </c>
      <c r="S723" s="2916" t="s">
        <v>1766</v>
      </c>
      <c r="T723" s="2916" t="s">
        <v>1766</v>
      </c>
      <c r="U723" s="2916"/>
      <c r="V723" s="5183" t="s">
        <v>2494</v>
      </c>
      <c r="W723" s="5183"/>
      <c r="X723" s="5184"/>
      <c r="Z723" s="2647" t="str">
        <f t="shared" si="89"/>
        <v/>
      </c>
      <c r="AB723" s="2223" t="s">
        <v>8606</v>
      </c>
      <c r="AC723" s="19"/>
      <c r="AD723" s="19"/>
      <c r="AE723" s="2617"/>
      <c r="AG723" s="2221" t="str">
        <f t="shared" si="86"/>
        <v/>
      </c>
      <c r="AH723" s="2001" t="str">
        <f t="shared" si="87"/>
        <v/>
      </c>
      <c r="AI723" s="2001" t="str">
        <f t="shared" si="88"/>
        <v>Kiseru</v>
      </c>
      <c r="AJ723" s="2905">
        <f>IF($L723=AJ$627,COUNTIF($L$630:$L723,AJ$627)+3,0)</f>
        <v>0</v>
      </c>
      <c r="AK723" s="2902">
        <f>IF($L723=AK$627,COUNTIF($L$630:$L723,AK$627)+3,0)</f>
        <v>0</v>
      </c>
      <c r="AL723" s="2908">
        <f>IF($L723=AL$627,COUNTIF($L$630:$L723,AL$627)+3,0)</f>
        <v>84</v>
      </c>
    </row>
    <row r="724" spans="1:38" ht="12.75" customHeight="1" x14ac:dyDescent="0.2">
      <c r="A724" s="1916">
        <v>724</v>
      </c>
      <c r="B724" s="5148"/>
      <c r="C724" s="2918"/>
      <c r="D724" s="2919" t="s">
        <v>2565</v>
      </c>
      <c r="E724" s="2926">
        <v>35</v>
      </c>
      <c r="F724" s="2916">
        <v>15</v>
      </c>
      <c r="G724" s="2916">
        <v>4</v>
      </c>
      <c r="H724" s="2916">
        <v>4</v>
      </c>
      <c r="I724" s="2916" t="s">
        <v>1864</v>
      </c>
      <c r="J724" s="2916" t="s">
        <v>1863</v>
      </c>
      <c r="K724" s="2898" t="s">
        <v>8892</v>
      </c>
      <c r="L724" s="2916" t="str">
        <f t="shared" si="91"/>
        <v>Distinta</v>
      </c>
      <c r="M724" s="2927">
        <v>12</v>
      </c>
      <c r="N724" s="2927">
        <v>0</v>
      </c>
      <c r="O724" s="2927">
        <v>25</v>
      </c>
      <c r="P724" s="2916"/>
      <c r="Q724" s="2916"/>
      <c r="R724" s="2916" t="s">
        <v>1766</v>
      </c>
      <c r="S724" s="2916" t="s">
        <v>1766</v>
      </c>
      <c r="T724" s="2916" t="s">
        <v>1766</v>
      </c>
      <c r="U724" s="2916"/>
      <c r="V724" s="5183" t="s">
        <v>2566</v>
      </c>
      <c r="W724" s="5183"/>
      <c r="X724" s="5184"/>
      <c r="Z724" s="2647" t="str">
        <f t="shared" si="89"/>
        <v/>
      </c>
      <c r="AB724" s="2221" t="s">
        <v>8585</v>
      </c>
      <c r="AC724" s="19"/>
      <c r="AD724" s="19"/>
      <c r="AE724" s="2617"/>
      <c r="AG724" s="2221" t="str">
        <f t="shared" si="86"/>
        <v/>
      </c>
      <c r="AH724" s="2001" t="str">
        <f t="shared" si="87"/>
        <v/>
      </c>
      <c r="AI724" s="2001" t="str">
        <f t="shared" si="88"/>
        <v>Kris</v>
      </c>
      <c r="AJ724" s="2905">
        <f>IF($L724=AJ$627,COUNTIF($L$630:$L724,AJ$627)+3,0)</f>
        <v>0</v>
      </c>
      <c r="AK724" s="2902">
        <f>IF($L724=AK$627,COUNTIF($L$630:$L724,AK$627)+3,0)</f>
        <v>0</v>
      </c>
      <c r="AL724" s="2908">
        <f>IF($L724=AL$627,COUNTIF($L$630:$L724,AL$627)+3,0)</f>
        <v>85</v>
      </c>
    </row>
    <row r="725" spans="1:38" ht="12.75" customHeight="1" x14ac:dyDescent="0.2">
      <c r="A725" s="1916">
        <v>725</v>
      </c>
      <c r="B725" s="5148"/>
      <c r="C725" s="2918"/>
      <c r="D725" s="2919" t="s">
        <v>2567</v>
      </c>
      <c r="E725" s="2926">
        <v>20</v>
      </c>
      <c r="F725" s="2916">
        <v>10</v>
      </c>
      <c r="G725" s="2916">
        <v>4</v>
      </c>
      <c r="H725" s="2916">
        <v>4</v>
      </c>
      <c r="I725" s="2916" t="s">
        <v>1864</v>
      </c>
      <c r="J725" s="2916" t="s">
        <v>1766</v>
      </c>
      <c r="K725" s="2898" t="s">
        <v>8892</v>
      </c>
      <c r="L725" s="2916" t="str">
        <f t="shared" si="91"/>
        <v>Distinta</v>
      </c>
      <c r="M725" s="2927">
        <v>9</v>
      </c>
      <c r="N725" s="2927">
        <v>-2</v>
      </c>
      <c r="O725" s="2927">
        <v>25</v>
      </c>
      <c r="P725" s="2916"/>
      <c r="Q725" s="2916"/>
      <c r="R725" s="2916" t="s">
        <v>1766</v>
      </c>
      <c r="S725" s="2916" t="s">
        <v>1766</v>
      </c>
      <c r="T725" s="2916" t="s">
        <v>1766</v>
      </c>
      <c r="U725" s="2916"/>
      <c r="V725" s="5183" t="s">
        <v>2520</v>
      </c>
      <c r="W725" s="5183"/>
      <c r="X725" s="5184"/>
      <c r="Z725" s="2647" t="str">
        <f t="shared" si="89"/>
        <v/>
      </c>
      <c r="AB725" s="2223" t="s">
        <v>8607</v>
      </c>
      <c r="AC725" s="19"/>
      <c r="AD725" s="19"/>
      <c r="AE725" s="2617"/>
      <c r="AG725" s="2221" t="str">
        <f t="shared" si="86"/>
        <v/>
      </c>
      <c r="AH725" s="2001" t="str">
        <f t="shared" si="87"/>
        <v/>
      </c>
      <c r="AI725" s="2001" t="str">
        <f t="shared" si="88"/>
        <v>Kumade</v>
      </c>
      <c r="AJ725" s="2905">
        <f>IF($L725=AJ$627,COUNTIF($L$630:$L725,AJ$627)+3,0)</f>
        <v>0</v>
      </c>
      <c r="AK725" s="2902">
        <f>IF($L725=AK$627,COUNTIF($L$630:$L725,AK$627)+3,0)</f>
        <v>0</v>
      </c>
      <c r="AL725" s="2908">
        <f>IF($L725=AL$627,COUNTIF($L$630:$L725,AL$627)+3,0)</f>
        <v>86</v>
      </c>
    </row>
    <row r="726" spans="1:38" ht="12.75" customHeight="1" x14ac:dyDescent="0.2">
      <c r="A726" s="1916">
        <v>726</v>
      </c>
      <c r="B726" s="5148"/>
      <c r="C726" s="2918"/>
      <c r="D726" s="2919" t="s">
        <v>2568</v>
      </c>
      <c r="E726" s="2926">
        <v>25</v>
      </c>
      <c r="F726" s="2916">
        <v>20</v>
      </c>
      <c r="G726" s="2916">
        <v>4</v>
      </c>
      <c r="H726" s="2916">
        <v>4</v>
      </c>
      <c r="I726" s="2916" t="s">
        <v>1863</v>
      </c>
      <c r="J726" s="2916" t="s">
        <v>1864</v>
      </c>
      <c r="K726" s="2898" t="s">
        <v>8892</v>
      </c>
      <c r="L726" s="2916" t="str">
        <f t="shared" si="91"/>
        <v>Distinta</v>
      </c>
      <c r="M726" s="2927">
        <v>10</v>
      </c>
      <c r="N726" s="2927">
        <v>1</v>
      </c>
      <c r="O726" s="2927">
        <v>20</v>
      </c>
      <c r="P726" s="2916"/>
      <c r="Q726" s="2916"/>
      <c r="R726" s="2927">
        <v>30</v>
      </c>
      <c r="S726" s="2916" t="s">
        <v>1766</v>
      </c>
      <c r="T726" s="2916">
        <v>20</v>
      </c>
      <c r="U726" s="2916"/>
      <c r="V726" s="5183" t="s">
        <v>2569</v>
      </c>
      <c r="W726" s="5183"/>
      <c r="X726" s="5184"/>
      <c r="Z726" s="2647" t="str">
        <f t="shared" si="89"/>
        <v/>
      </c>
      <c r="AB726" s="2223" t="s">
        <v>8587</v>
      </c>
      <c r="AC726" s="19"/>
      <c r="AD726" s="19"/>
      <c r="AE726" s="2617"/>
      <c r="AG726" s="2221" t="str">
        <f t="shared" ref="AG726:AG757" si="92">IF(ISNA(INDEX(Lista_Armas,MATCH($A97,AJ$630:AJ$766,0))),"",INDEX(Lista_Armas,MATCH($A97,AJ$630:AJ$766,0)))</f>
        <v/>
      </c>
      <c r="AH726" s="2001" t="str">
        <f t="shared" ref="AH726:AH757" si="93">IF(ISNA(INDEX(Lista_Armas,MATCH($A97,AK$630:AK$766,0))),"",INDEX(Lista_Armas,MATCH($A97,AK$630:AK$766,0)))</f>
        <v/>
      </c>
      <c r="AI726" s="2001" t="str">
        <f t="shared" ref="AI726:AI757" si="94">IF(ISNA(INDEX(Lista_Armas,MATCH($A97,AL$630:AL$766,0))),"",INDEX(Lista_Armas,MATCH($A97,AL$630:AL$766,0)))</f>
        <v>Kunai</v>
      </c>
      <c r="AJ726" s="2905">
        <f>IF($L726=AJ$627,COUNTIF($L$630:$L726,AJ$627)+3,0)</f>
        <v>0</v>
      </c>
      <c r="AK726" s="2902">
        <f>IF($L726=AK$627,COUNTIF($L$630:$L726,AK$627)+3,0)</f>
        <v>0</v>
      </c>
      <c r="AL726" s="2908">
        <f>IF($L726=AL$627,COUNTIF($L$630:$L726,AL$627)+3,0)</f>
        <v>87</v>
      </c>
    </row>
    <row r="727" spans="1:38" ht="12.75" customHeight="1" x14ac:dyDescent="0.2">
      <c r="A727" s="1916">
        <v>727</v>
      </c>
      <c r="B727" s="5148"/>
      <c r="C727" s="2918"/>
      <c r="D727" s="2919" t="s">
        <v>2570</v>
      </c>
      <c r="E727" s="2926">
        <v>40</v>
      </c>
      <c r="F727" s="2916">
        <v>20</v>
      </c>
      <c r="G727" s="2916">
        <v>3</v>
      </c>
      <c r="H727" s="2916">
        <v>3</v>
      </c>
      <c r="I727" s="2916" t="s">
        <v>1863</v>
      </c>
      <c r="J727" s="2916" t="s">
        <v>1766</v>
      </c>
      <c r="K727" s="2898" t="s">
        <v>8892</v>
      </c>
      <c r="L727" s="2916" t="str">
        <f t="shared" si="91"/>
        <v>Distinta</v>
      </c>
      <c r="M727" s="2927">
        <v>9</v>
      </c>
      <c r="N727" s="2927">
        <v>1</v>
      </c>
      <c r="O727" s="2927">
        <v>40</v>
      </c>
      <c r="P727" s="2916"/>
      <c r="Q727" s="2916"/>
      <c r="R727" s="2916" t="s">
        <v>1766</v>
      </c>
      <c r="S727" s="2916" t="s">
        <v>1766</v>
      </c>
      <c r="T727" s="2916" t="s">
        <v>1766</v>
      </c>
      <c r="U727" s="2916"/>
      <c r="V727" s="5183" t="s">
        <v>2498</v>
      </c>
      <c r="W727" s="5183"/>
      <c r="X727" s="5184"/>
      <c r="Z727" s="2647" t="str">
        <f t="shared" si="89"/>
        <v/>
      </c>
      <c r="AB727" s="2223" t="s">
        <v>8608</v>
      </c>
      <c r="AC727" s="19"/>
      <c r="AD727" s="19"/>
      <c r="AE727" s="2617"/>
      <c r="AG727" s="2221" t="str">
        <f t="shared" si="92"/>
        <v/>
      </c>
      <c r="AH727" s="2001" t="str">
        <f t="shared" si="93"/>
        <v/>
      </c>
      <c r="AI727" s="2001" t="str">
        <f t="shared" si="94"/>
        <v>Kyoketsu-shogui</v>
      </c>
      <c r="AJ727" s="2905">
        <f>IF($L727=AJ$627,COUNTIF($L$630:$L727,AJ$627)+3,0)</f>
        <v>0</v>
      </c>
      <c r="AK727" s="2902">
        <f>IF($L727=AK$627,COUNTIF($L$630:$L727,AK$627)+3,0)</f>
        <v>0</v>
      </c>
      <c r="AL727" s="2908">
        <f>IF($L727=AL$627,COUNTIF($L$630:$L727,AL$627)+3,0)</f>
        <v>88</v>
      </c>
    </row>
    <row r="728" spans="1:38" ht="12.75" customHeight="1" x14ac:dyDescent="0.2">
      <c r="A728" s="1916">
        <v>728</v>
      </c>
      <c r="B728" s="5148"/>
      <c r="C728" s="2918"/>
      <c r="D728" s="2919" t="s">
        <v>2571</v>
      </c>
      <c r="E728" s="2926">
        <v>30</v>
      </c>
      <c r="F728" s="2916">
        <v>20</v>
      </c>
      <c r="G728" s="2916">
        <v>4</v>
      </c>
      <c r="H728" s="2916">
        <v>4</v>
      </c>
      <c r="I728" s="2916" t="s">
        <v>1809</v>
      </c>
      <c r="J728" s="2916" t="s">
        <v>1766</v>
      </c>
      <c r="K728" s="2898" t="s">
        <v>8892</v>
      </c>
      <c r="L728" s="2916" t="str">
        <f t="shared" si="91"/>
        <v>Distinta</v>
      </c>
      <c r="M728" s="2927">
        <v>13</v>
      </c>
      <c r="N728" s="2927">
        <v>0</v>
      </c>
      <c r="O728" s="2927">
        <v>25</v>
      </c>
      <c r="P728" s="2916"/>
      <c r="Q728" s="2916"/>
      <c r="R728" s="2916" t="s">
        <v>1766</v>
      </c>
      <c r="S728" s="2916" t="s">
        <v>1766</v>
      </c>
      <c r="T728" s="2916" t="s">
        <v>1766</v>
      </c>
      <c r="U728" s="2916"/>
      <c r="V728" s="5183" t="s">
        <v>2498</v>
      </c>
      <c r="W728" s="5183"/>
      <c r="X728" s="5184"/>
      <c r="Z728" s="2647" t="str">
        <f t="shared" si="89"/>
        <v/>
      </c>
      <c r="AB728" s="2223" t="s">
        <v>8590</v>
      </c>
      <c r="AC728" s="19"/>
      <c r="AD728" s="19"/>
      <c r="AE728" s="2617"/>
      <c r="AG728" s="2221" t="str">
        <f t="shared" si="92"/>
        <v/>
      </c>
      <c r="AH728" s="2001" t="str">
        <f t="shared" si="93"/>
        <v/>
      </c>
      <c r="AI728" s="2001" t="str">
        <f t="shared" si="94"/>
        <v>Lajatang</v>
      </c>
      <c r="AJ728" s="2905">
        <f>IF($L728=AJ$627,COUNTIF($L$630:$L728,AJ$627)+3,0)</f>
        <v>0</v>
      </c>
      <c r="AK728" s="2902">
        <f>IF($L728=AK$627,COUNTIF($L$630:$L728,AK$627)+3,0)</f>
        <v>0</v>
      </c>
      <c r="AL728" s="2908">
        <f>IF($L728=AL$627,COUNTIF($L$630:$L728,AL$627)+3,0)</f>
        <v>89</v>
      </c>
    </row>
    <row r="729" spans="1:38" ht="12.75" customHeight="1" x14ac:dyDescent="0.2">
      <c r="A729" s="1916">
        <v>729</v>
      </c>
      <c r="B729" s="5148"/>
      <c r="C729" s="2918"/>
      <c r="D729" s="2919" t="s">
        <v>8582</v>
      </c>
      <c r="E729" s="2926">
        <v>25</v>
      </c>
      <c r="F729" s="2916">
        <v>0</v>
      </c>
      <c r="G729" s="2916">
        <v>5</v>
      </c>
      <c r="H729" s="2916">
        <v>6</v>
      </c>
      <c r="I729" s="2916" t="s">
        <v>1809</v>
      </c>
      <c r="J729" s="2916" t="s">
        <v>1766</v>
      </c>
      <c r="K729" s="2898" t="s">
        <v>8890</v>
      </c>
      <c r="L729" s="2929" t="str">
        <f>L717</f>
        <v>Distinta</v>
      </c>
      <c r="M729" s="2927">
        <v>8</v>
      </c>
      <c r="N729" s="2927">
        <v>-1</v>
      </c>
      <c r="O729" s="2927">
        <v>15</v>
      </c>
      <c r="P729" s="2916"/>
      <c r="Q729" s="2916"/>
      <c r="R729" s="2916" t="s">
        <v>1766</v>
      </c>
      <c r="S729" s="2916" t="s">
        <v>1766</v>
      </c>
      <c r="T729" s="2916" t="s">
        <v>1766</v>
      </c>
      <c r="U729" s="2916"/>
      <c r="V729" s="2898" t="s">
        <v>2578</v>
      </c>
      <c r="W729" s="2898"/>
      <c r="X729" s="2899"/>
      <c r="Z729" s="2647" t="str">
        <f t="shared" si="89"/>
        <v/>
      </c>
      <c r="AB729" s="2223" t="s">
        <v>8609</v>
      </c>
      <c r="AC729" s="19"/>
      <c r="AD729" s="19"/>
      <c r="AE729" s="2617"/>
      <c r="AG729" s="2221" t="str">
        <f t="shared" si="92"/>
        <v/>
      </c>
      <c r="AH729" s="2001" t="str">
        <f t="shared" si="93"/>
        <v/>
      </c>
      <c r="AI729" s="2001" t="str">
        <f t="shared" si="94"/>
        <v>Nagimaki</v>
      </c>
      <c r="AJ729" s="2905">
        <f>IF($L729=AJ$627,COUNTIF($L$630:$L729,AJ$627)+3,0)</f>
        <v>0</v>
      </c>
      <c r="AK729" s="2902">
        <f>IF($L729=AK$627,COUNTIF($L$630:$L729,AK$627)+3,0)</f>
        <v>0</v>
      </c>
      <c r="AL729" s="2908">
        <f>IF($L729=AL$627,COUNTIF($L$630:$L729,AL$627)+3,0)</f>
        <v>90</v>
      </c>
    </row>
    <row r="730" spans="1:38" ht="12.75" customHeight="1" x14ac:dyDescent="0.2">
      <c r="A730" s="1916">
        <v>730</v>
      </c>
      <c r="B730" s="5148"/>
      <c r="C730" s="2918"/>
      <c r="D730" s="2919" t="s">
        <v>8599</v>
      </c>
      <c r="E730" s="2926">
        <v>20</v>
      </c>
      <c r="F730" s="2916">
        <v>15</v>
      </c>
      <c r="G730" s="2916">
        <v>4</v>
      </c>
      <c r="H730" s="2916">
        <v>4</v>
      </c>
      <c r="I730" s="2916" t="s">
        <v>1809</v>
      </c>
      <c r="J730" s="2916" t="s">
        <v>1766</v>
      </c>
      <c r="K730" s="2898" t="s">
        <v>8892</v>
      </c>
      <c r="L730" s="2916" t="str">
        <f t="shared" ref="L730:L747" si="95">IF(ISNUMBER(SEARCH($D730,Armas_Conocidas)),"Conocida",IF(OR(ISNUMBER(SEARCH(LEFT($K730,SEARCH("/",$K730)),Tipologías_Conocidas)),AND(NOT(ISNUMBER(SEARCH("/-",$K730))),ISNUMBER(SEARCH(MID($K730,SEARCH("/",$K730)+1,LEN($K730)),Tipologías_Conocidas)))),IF(ISNUMBER(SEARCH($K730,Tipologías_Conocidas)),"Similar","Mixta"),"Distinta"))</f>
        <v>Distinta</v>
      </c>
      <c r="M730" s="2927">
        <v>13</v>
      </c>
      <c r="N730" s="2927">
        <v>2</v>
      </c>
      <c r="O730" s="2927">
        <v>20</v>
      </c>
      <c r="P730" s="2916"/>
      <c r="Q730" s="2916"/>
      <c r="R730" s="2916" t="s">
        <v>1766</v>
      </c>
      <c r="S730" s="2916" t="s">
        <v>1766</v>
      </c>
      <c r="T730" s="2916" t="s">
        <v>1766</v>
      </c>
      <c r="U730" s="2916"/>
      <c r="V730" s="2898" t="s">
        <v>8619</v>
      </c>
      <c r="W730" s="2898"/>
      <c r="X730" s="2899"/>
      <c r="Z730" s="2647" t="str">
        <f t="shared" si="89"/>
        <v/>
      </c>
      <c r="AB730" s="2223" t="s">
        <v>8610</v>
      </c>
      <c r="AC730" s="19"/>
      <c r="AD730" s="19"/>
      <c r="AE730" s="2617"/>
      <c r="AG730" s="2221" t="str">
        <f t="shared" si="92"/>
        <v/>
      </c>
      <c r="AH730" s="2001" t="str">
        <f t="shared" si="93"/>
        <v/>
      </c>
      <c r="AI730" s="2001" t="str">
        <f t="shared" si="94"/>
        <v>Naginata</v>
      </c>
      <c r="AJ730" s="2905">
        <f>IF($L730=AJ$627,COUNTIF($L$630:$L730,AJ$627)+3,0)</f>
        <v>0</v>
      </c>
      <c r="AK730" s="2902">
        <f>IF($L730=AK$627,COUNTIF($L$630:$L730,AK$627)+3,0)</f>
        <v>0</v>
      </c>
      <c r="AL730" s="2908">
        <f>IF($L730=AL$627,COUNTIF($L$630:$L730,AL$627)+3,0)</f>
        <v>91</v>
      </c>
    </row>
    <row r="731" spans="1:38" ht="12.75" customHeight="1" x14ac:dyDescent="0.2">
      <c r="A731" s="1916">
        <v>731</v>
      </c>
      <c r="B731" s="5148"/>
      <c r="C731" s="2918"/>
      <c r="D731" s="2919" t="s">
        <v>8600</v>
      </c>
      <c r="E731" s="2926">
        <v>40</v>
      </c>
      <c r="F731" s="2916">
        <v>5</v>
      </c>
      <c r="G731" s="2916">
        <v>4</v>
      </c>
      <c r="H731" s="2916">
        <v>4</v>
      </c>
      <c r="I731" s="2916" t="s">
        <v>1863</v>
      </c>
      <c r="J731" s="2916" t="s">
        <v>1864</v>
      </c>
      <c r="K731" s="2898" t="s">
        <v>8892</v>
      </c>
      <c r="L731" s="2916" t="str">
        <f t="shared" si="95"/>
        <v>Distinta</v>
      </c>
      <c r="M731" s="2927">
        <v>12</v>
      </c>
      <c r="N731" s="2927">
        <v>1</v>
      </c>
      <c r="O731" s="2927">
        <v>20</v>
      </c>
      <c r="P731" s="2916"/>
      <c r="Q731" s="2916"/>
      <c r="R731" s="2916" t="s">
        <v>1766</v>
      </c>
      <c r="S731" s="2916" t="s">
        <v>1766</v>
      </c>
      <c r="T731" s="2916" t="s">
        <v>1766</v>
      </c>
      <c r="U731" s="2916"/>
      <c r="V731" s="2898" t="s">
        <v>1766</v>
      </c>
      <c r="W731" s="2898"/>
      <c r="X731" s="2899"/>
      <c r="Z731" s="2647" t="str">
        <f t="shared" ref="Z731:Z754" si="96">IF(AND(K731&lt;&gt;"Natural/-",ISNUMBER(SEARCH(D731,Armas_Conocidas))),", "&amp;K731,"")</f>
        <v/>
      </c>
      <c r="AB731" s="2224" t="s">
        <v>2607</v>
      </c>
      <c r="AC731" s="19"/>
      <c r="AD731" s="19"/>
      <c r="AE731" s="2617"/>
      <c r="AG731" s="2221" t="str">
        <f t="shared" si="92"/>
        <v/>
      </c>
      <c r="AH731" s="2001" t="str">
        <f t="shared" si="93"/>
        <v/>
      </c>
      <c r="AI731" s="2001" t="str">
        <f t="shared" si="94"/>
        <v>Ninja-to</v>
      </c>
      <c r="AJ731" s="2905">
        <f>IF($L731=AJ$627,COUNTIF($L$630:$L731,AJ$627)+3,0)</f>
        <v>0</v>
      </c>
      <c r="AK731" s="2902">
        <f>IF($L731=AK$627,COUNTIF($L$630:$L731,AK$627)+3,0)</f>
        <v>0</v>
      </c>
      <c r="AL731" s="2908">
        <f>IF($L731=AL$627,COUNTIF($L$630:$L731,AL$627)+3,0)</f>
        <v>92</v>
      </c>
    </row>
    <row r="732" spans="1:38" ht="12.75" customHeight="1" x14ac:dyDescent="0.2">
      <c r="A732" s="1916">
        <v>732</v>
      </c>
      <c r="B732" s="5148"/>
      <c r="C732" s="2918"/>
      <c r="D732" s="2919" t="s">
        <v>8601</v>
      </c>
      <c r="E732" s="2926">
        <v>30</v>
      </c>
      <c r="F732" s="2916">
        <v>0</v>
      </c>
      <c r="G732" s="2916">
        <v>6</v>
      </c>
      <c r="H732" s="2916">
        <v>6</v>
      </c>
      <c r="I732" s="2916" t="s">
        <v>1809</v>
      </c>
      <c r="J732" s="2916" t="s">
        <v>1766</v>
      </c>
      <c r="K732" s="2898" t="s">
        <v>8891</v>
      </c>
      <c r="L732" s="2916" t="str">
        <f t="shared" si="95"/>
        <v>Distinta</v>
      </c>
      <c r="M732" s="2927">
        <v>13</v>
      </c>
      <c r="N732" s="2927">
        <v>3</v>
      </c>
      <c r="O732" s="2927">
        <v>20</v>
      </c>
      <c r="P732" s="2916"/>
      <c r="Q732" s="2916"/>
      <c r="R732" s="2916" t="s">
        <v>1766</v>
      </c>
      <c r="S732" s="2916" t="s">
        <v>1766</v>
      </c>
      <c r="T732" s="2916" t="s">
        <v>1766</v>
      </c>
      <c r="U732" s="2916"/>
      <c r="V732" s="2898" t="s">
        <v>8620</v>
      </c>
      <c r="W732" s="2898"/>
      <c r="X732" s="2899"/>
      <c r="Z732" s="2647" t="str">
        <f t="shared" si="96"/>
        <v/>
      </c>
      <c r="AB732" s="2224" t="s">
        <v>2631</v>
      </c>
      <c r="AC732" s="19"/>
      <c r="AD732" s="19"/>
      <c r="AE732" s="2617"/>
      <c r="AG732" s="2221" t="str">
        <f t="shared" si="92"/>
        <v/>
      </c>
      <c r="AH732" s="2001" t="str">
        <f t="shared" si="93"/>
        <v/>
      </c>
      <c r="AI732" s="2001" t="str">
        <f t="shared" si="94"/>
        <v>Sang Kauw</v>
      </c>
      <c r="AJ732" s="2905">
        <f>IF($L732=AJ$627,COUNTIF($L$630:$L732,AJ$627)+3,0)</f>
        <v>0</v>
      </c>
      <c r="AK732" s="2902">
        <f>IF($L732=AK$627,COUNTIF($L$630:$L732,AK$627)+3,0)</f>
        <v>0</v>
      </c>
      <c r="AL732" s="2908">
        <f>IF($L732=AL$627,COUNTIF($L$630:$L732,AL$627)+3,0)</f>
        <v>93</v>
      </c>
    </row>
    <row r="733" spans="1:38" ht="12.75" customHeight="1" x14ac:dyDescent="0.2">
      <c r="A733" s="1916">
        <v>733</v>
      </c>
      <c r="B733" s="5148"/>
      <c r="C733" s="2918"/>
      <c r="D733" s="2919" t="s">
        <v>8602</v>
      </c>
      <c r="E733" s="2926">
        <v>20</v>
      </c>
      <c r="F733" s="2916">
        <v>15</v>
      </c>
      <c r="G733" s="2916">
        <v>4</v>
      </c>
      <c r="H733" s="2916">
        <v>4</v>
      </c>
      <c r="I733" s="2916" t="s">
        <v>1809</v>
      </c>
      <c r="J733" s="2916" t="s">
        <v>1766</v>
      </c>
      <c r="K733" s="2898" t="s">
        <v>8893</v>
      </c>
      <c r="L733" s="2916" t="str">
        <f t="shared" si="95"/>
        <v>Distinta</v>
      </c>
      <c r="M733" s="2927">
        <v>13</v>
      </c>
      <c r="N733" s="2927">
        <v>3</v>
      </c>
      <c r="O733" s="2927">
        <v>20</v>
      </c>
      <c r="P733" s="2916"/>
      <c r="Q733" s="2916"/>
      <c r="R733" s="2916" t="s">
        <v>1766</v>
      </c>
      <c r="S733" s="2916" t="s">
        <v>1766</v>
      </c>
      <c r="T733" s="2916" t="s">
        <v>1766</v>
      </c>
      <c r="U733" s="2916"/>
      <c r="V733" s="2898" t="s">
        <v>1766</v>
      </c>
      <c r="W733" s="2898"/>
      <c r="X733" s="2899"/>
      <c r="Z733" s="2647" t="str">
        <f t="shared" si="96"/>
        <v/>
      </c>
      <c r="AB733" s="2223" t="s">
        <v>2629</v>
      </c>
      <c r="AC733" s="19"/>
      <c r="AD733" s="19"/>
      <c r="AE733" s="2617"/>
      <c r="AG733" s="2221" t="str">
        <f t="shared" si="92"/>
        <v/>
      </c>
      <c r="AH733" s="2001" t="str">
        <f t="shared" si="93"/>
        <v/>
      </c>
      <c r="AI733" s="2001" t="str">
        <f t="shared" si="94"/>
        <v>Sode Garami</v>
      </c>
      <c r="AJ733" s="2905">
        <f>IF($L733=AJ$627,COUNTIF($L$630:$L733,AJ$627)+3,0)</f>
        <v>0</v>
      </c>
      <c r="AK733" s="2902">
        <f>IF($L733=AK$627,COUNTIF($L$630:$L733,AK$627)+3,0)</f>
        <v>0</v>
      </c>
      <c r="AL733" s="2908">
        <f>IF($L733=AL$627,COUNTIF($L$630:$L733,AL$627)+3,0)</f>
        <v>94</v>
      </c>
    </row>
    <row r="734" spans="1:38" ht="12.75" customHeight="1" x14ac:dyDescent="0.2">
      <c r="A734" s="1916">
        <v>734</v>
      </c>
      <c r="B734" s="5148"/>
      <c r="C734" s="2918"/>
      <c r="D734" s="2919" t="s">
        <v>8603</v>
      </c>
      <c r="E734" s="2926">
        <v>30</v>
      </c>
      <c r="F734" s="2916">
        <v>15</v>
      </c>
      <c r="G734" s="2916">
        <v>4</v>
      </c>
      <c r="H734" s="2916">
        <v>4</v>
      </c>
      <c r="I734" s="2916" t="s">
        <v>1864</v>
      </c>
      <c r="J734" s="2916" t="s">
        <v>1863</v>
      </c>
      <c r="K734" s="2898" t="s">
        <v>8892</v>
      </c>
      <c r="L734" s="2916" t="str">
        <f t="shared" si="95"/>
        <v>Distinta</v>
      </c>
      <c r="M734" s="2927">
        <v>11</v>
      </c>
      <c r="N734" s="2927">
        <v>1</v>
      </c>
      <c r="O734" s="2927">
        <v>20</v>
      </c>
      <c r="P734" s="2916"/>
      <c r="Q734" s="2916"/>
      <c r="R734" s="2916" t="s">
        <v>1766</v>
      </c>
      <c r="S734" s="2916" t="s">
        <v>1766</v>
      </c>
      <c r="T734" s="2916" t="s">
        <v>1766</v>
      </c>
      <c r="U734" s="2916"/>
      <c r="V734" s="2898" t="s">
        <v>2498</v>
      </c>
      <c r="W734" s="2898"/>
      <c r="X734" s="2899"/>
      <c r="Z734" s="2647" t="str">
        <f t="shared" si="96"/>
        <v/>
      </c>
      <c r="AB734" s="2223" t="s">
        <v>2617</v>
      </c>
      <c r="AC734" s="19"/>
      <c r="AD734" s="19"/>
      <c r="AE734" s="2617"/>
      <c r="AG734" s="2221" t="str">
        <f t="shared" si="92"/>
        <v/>
      </c>
      <c r="AH734" s="2001" t="str">
        <f t="shared" si="93"/>
        <v/>
      </c>
      <c r="AI734" s="2001" t="str">
        <f t="shared" si="94"/>
        <v>Tetsubo</v>
      </c>
      <c r="AJ734" s="2905">
        <f>IF($L734=AJ$627,COUNTIF($L$630:$L734,AJ$627)+3,0)</f>
        <v>0</v>
      </c>
      <c r="AK734" s="2902">
        <f>IF($L734=AK$627,COUNTIF($L$630:$L734,AK$627)+3,0)</f>
        <v>0</v>
      </c>
      <c r="AL734" s="2908">
        <f>IF($L734=AL$627,COUNTIF($L$630:$L734,AL$627)+3,0)</f>
        <v>95</v>
      </c>
    </row>
    <row r="735" spans="1:38" ht="12.75" customHeight="1" x14ac:dyDescent="0.2">
      <c r="A735" s="1916">
        <v>735</v>
      </c>
      <c r="B735" s="5148"/>
      <c r="C735" s="2918"/>
      <c r="D735" s="2919" t="s">
        <v>8604</v>
      </c>
      <c r="E735" s="2926">
        <v>35</v>
      </c>
      <c r="F735" s="2916">
        <v>-10</v>
      </c>
      <c r="G735" s="2916">
        <v>4</v>
      </c>
      <c r="H735" s="2916">
        <v>4</v>
      </c>
      <c r="I735" s="2916" t="s">
        <v>1864</v>
      </c>
      <c r="J735" s="2916" t="s">
        <v>1766</v>
      </c>
      <c r="K735" s="2898" t="s">
        <v>8887</v>
      </c>
      <c r="L735" s="2916" t="str">
        <f t="shared" si="95"/>
        <v>Distinta</v>
      </c>
      <c r="M735" s="2927">
        <v>13</v>
      </c>
      <c r="N735" s="2927">
        <v>2</v>
      </c>
      <c r="O735" s="2927">
        <v>25</v>
      </c>
      <c r="P735" s="2916"/>
      <c r="Q735" s="2916"/>
      <c r="R735" s="2916" t="s">
        <v>1766</v>
      </c>
      <c r="S735" s="2916" t="s">
        <v>1766</v>
      </c>
      <c r="T735" s="2916" t="s">
        <v>1766</v>
      </c>
      <c r="U735" s="2916"/>
      <c r="V735" s="2898" t="s">
        <v>2520</v>
      </c>
      <c r="W735" s="2898"/>
      <c r="X735" s="2899"/>
      <c r="Z735" s="2647" t="str">
        <f t="shared" si="96"/>
        <v/>
      </c>
      <c r="AB735" s="2223" t="s">
        <v>2619</v>
      </c>
      <c r="AC735" s="19"/>
      <c r="AD735" s="19"/>
      <c r="AE735" s="2617"/>
      <c r="AG735" s="2221" t="str">
        <f t="shared" si="92"/>
        <v/>
      </c>
      <c r="AH735" s="2001" t="str">
        <f t="shared" si="93"/>
        <v/>
      </c>
      <c r="AI735" s="2001" t="str">
        <f t="shared" si="94"/>
        <v>Uchi-ne</v>
      </c>
      <c r="AJ735" s="2905">
        <f>IF($L735=AJ$627,COUNTIF($L$630:$L735,AJ$627)+3,0)</f>
        <v>0</v>
      </c>
      <c r="AK735" s="2902">
        <f>IF($L735=AK$627,COUNTIF($L$630:$L735,AK$627)+3,0)</f>
        <v>0</v>
      </c>
      <c r="AL735" s="2908">
        <f>IF($L735=AL$627,COUNTIF($L$630:$L735,AL$627)+3,0)</f>
        <v>96</v>
      </c>
    </row>
    <row r="736" spans="1:38" ht="12.75" customHeight="1" x14ac:dyDescent="0.2">
      <c r="A736" s="1916">
        <v>736</v>
      </c>
      <c r="B736" s="5148"/>
      <c r="C736" s="2918"/>
      <c r="D736" s="2919" t="s">
        <v>8605</v>
      </c>
      <c r="E736" s="2926">
        <v>25</v>
      </c>
      <c r="F736" s="2916">
        <v>20</v>
      </c>
      <c r="G736" s="2916">
        <v>4</v>
      </c>
      <c r="H736" s="2916">
        <v>4</v>
      </c>
      <c r="I736" s="2916" t="s">
        <v>1864</v>
      </c>
      <c r="J736" s="2916" t="s">
        <v>1766</v>
      </c>
      <c r="K736" s="2898" t="s">
        <v>8892</v>
      </c>
      <c r="L736" s="2916" t="str">
        <f t="shared" si="95"/>
        <v>Distinta</v>
      </c>
      <c r="M736" s="2927">
        <v>10</v>
      </c>
      <c r="N736" s="2927">
        <v>2</v>
      </c>
      <c r="O736" s="2927">
        <v>15</v>
      </c>
      <c r="P736" s="2916"/>
      <c r="Q736" s="2916"/>
      <c r="R736" s="2916">
        <v>40</v>
      </c>
      <c r="S736" s="2916" t="s">
        <v>1766</v>
      </c>
      <c r="T736" s="2916">
        <v>20</v>
      </c>
      <c r="U736" s="2916"/>
      <c r="V736" s="2898" t="s">
        <v>2492</v>
      </c>
      <c r="W736" s="2898"/>
      <c r="X736" s="2899"/>
      <c r="Z736" s="2647" t="str">
        <f t="shared" si="96"/>
        <v/>
      </c>
      <c r="AB736" s="2223" t="s">
        <v>2623</v>
      </c>
      <c r="AC736" s="19"/>
      <c r="AD736" s="19"/>
      <c r="AE736" s="2617"/>
      <c r="AG736" s="2221" t="str">
        <f t="shared" si="92"/>
        <v/>
      </c>
      <c r="AH736" s="2001" t="str">
        <f t="shared" si="93"/>
        <v/>
      </c>
      <c r="AI736" s="2001" t="str">
        <f t="shared" si="94"/>
        <v>Wakizasi</v>
      </c>
      <c r="AJ736" s="2905">
        <f>IF($L736=AJ$627,COUNTIF($L$630:$L736,AJ$627)+3,0)</f>
        <v>0</v>
      </c>
      <c r="AK736" s="2902">
        <f>IF($L736=AK$627,COUNTIF($L$630:$L736,AK$627)+3,0)</f>
        <v>0</v>
      </c>
      <c r="AL736" s="2908">
        <f>IF($L736=AL$627,COUNTIF($L$630:$L736,AL$627)+3,0)</f>
        <v>97</v>
      </c>
    </row>
    <row r="737" spans="1:38" ht="12.75" customHeight="1" x14ac:dyDescent="0.2">
      <c r="A737" s="1916">
        <v>737</v>
      </c>
      <c r="B737" s="5148"/>
      <c r="C737" s="2918"/>
      <c r="D737" s="2919" t="s">
        <v>8606</v>
      </c>
      <c r="E737" s="2926">
        <v>25</v>
      </c>
      <c r="F737" s="2916">
        <v>10</v>
      </c>
      <c r="G737" s="2916">
        <v>4</v>
      </c>
      <c r="H737" s="2916">
        <v>4</v>
      </c>
      <c r="I737" s="2916" t="s">
        <v>1864</v>
      </c>
      <c r="J737" s="2916" t="s">
        <v>1766</v>
      </c>
      <c r="K737" s="2898" t="s">
        <v>8904</v>
      </c>
      <c r="L737" s="2916" t="str">
        <f t="shared" si="95"/>
        <v>Distinta</v>
      </c>
      <c r="M737" s="2927">
        <v>9</v>
      </c>
      <c r="N737" s="2927">
        <v>-3</v>
      </c>
      <c r="O737" s="2927">
        <v>20</v>
      </c>
      <c r="P737" s="2916"/>
      <c r="Q737" s="2916"/>
      <c r="R737" s="2916" t="s">
        <v>1766</v>
      </c>
      <c r="S737" s="2916" t="s">
        <v>1766</v>
      </c>
      <c r="T737" s="2916" t="s">
        <v>1766</v>
      </c>
      <c r="U737" s="2916"/>
      <c r="V737" s="2898" t="s">
        <v>8621</v>
      </c>
      <c r="W737" s="2898"/>
      <c r="X737" s="2899"/>
      <c r="Z737" s="2647" t="str">
        <f t="shared" si="96"/>
        <v/>
      </c>
      <c r="AB737" s="2221" t="s">
        <v>2632</v>
      </c>
      <c r="AC737" s="19"/>
      <c r="AD737" s="19"/>
      <c r="AE737" s="2617"/>
      <c r="AG737" s="2221" t="str">
        <f t="shared" si="92"/>
        <v/>
      </c>
      <c r="AH737" s="2001" t="str">
        <f t="shared" si="93"/>
        <v/>
      </c>
      <c r="AI737" s="2001" t="str">
        <f t="shared" si="94"/>
        <v>&gt; A. DE PROYECTILES</v>
      </c>
      <c r="AJ737" s="2905">
        <f>IF($L737=AJ$627,COUNTIF($L$630:$L737,AJ$627)+3,0)</f>
        <v>0</v>
      </c>
      <c r="AK737" s="2902">
        <f>IF($L737=AK$627,COUNTIF($L$630:$L737,AK$627)+3,0)</f>
        <v>0</v>
      </c>
      <c r="AL737" s="2908">
        <f>IF($L737=AL$627,COUNTIF($L$630:$L737,AL$627)+3,0)</f>
        <v>98</v>
      </c>
    </row>
    <row r="738" spans="1:38" ht="12.75" customHeight="1" x14ac:dyDescent="0.2">
      <c r="A738" s="1916">
        <v>738</v>
      </c>
      <c r="B738" s="5148"/>
      <c r="C738" s="2918"/>
      <c r="D738" s="2919" t="s">
        <v>8583</v>
      </c>
      <c r="E738" s="2926">
        <v>40</v>
      </c>
      <c r="F738" s="2916">
        <v>-5</v>
      </c>
      <c r="G738" s="2916">
        <v>6</v>
      </c>
      <c r="H738" s="2916">
        <v>6</v>
      </c>
      <c r="I738" s="2916" t="s">
        <v>1863</v>
      </c>
      <c r="J738" s="2916" t="s">
        <v>1766</v>
      </c>
      <c r="K738" s="2898" t="s">
        <v>8887</v>
      </c>
      <c r="L738" s="2916" t="str">
        <f t="shared" si="95"/>
        <v>Distinta</v>
      </c>
      <c r="M738" s="2927">
        <v>13</v>
      </c>
      <c r="N738" s="2927">
        <v>3</v>
      </c>
      <c r="O738" s="2927">
        <v>25</v>
      </c>
      <c r="P738" s="2916"/>
      <c r="Q738" s="2916"/>
      <c r="R738" s="2916" t="s">
        <v>1766</v>
      </c>
      <c r="S738" s="2916" t="s">
        <v>1766</v>
      </c>
      <c r="T738" s="2916" t="s">
        <v>1766</v>
      </c>
      <c r="U738" s="2916"/>
      <c r="V738" s="2898" t="s">
        <v>8622</v>
      </c>
      <c r="W738" s="2898"/>
      <c r="X738" s="2899"/>
      <c r="Z738" s="2647" t="str">
        <f t="shared" si="96"/>
        <v/>
      </c>
      <c r="AB738" s="2223" t="s">
        <v>2628</v>
      </c>
      <c r="AC738" s="19"/>
      <c r="AD738" s="19"/>
      <c r="AE738" s="2617"/>
      <c r="AG738" s="2221" t="str">
        <f t="shared" si="92"/>
        <v/>
      </c>
      <c r="AH738" s="2001" t="str">
        <f t="shared" si="93"/>
        <v/>
      </c>
      <c r="AI738" s="2001" t="str">
        <f t="shared" si="94"/>
        <v>Arco compuesto</v>
      </c>
      <c r="AJ738" s="2905">
        <f>IF($L738=AJ$627,COUNTIF($L$630:$L738,AJ$627)+3,0)</f>
        <v>0</v>
      </c>
      <c r="AK738" s="2902">
        <f>IF($L738=AK$627,COUNTIF($L$630:$L738,AK$627)+3,0)</f>
        <v>0</v>
      </c>
      <c r="AL738" s="2908">
        <f>IF($L738=AL$627,COUNTIF($L$630:$L738,AL$627)+3,0)</f>
        <v>99</v>
      </c>
    </row>
    <row r="739" spans="1:38" ht="12.75" customHeight="1" x14ac:dyDescent="0.2">
      <c r="A739" s="1916">
        <v>739</v>
      </c>
      <c r="B739" s="5148"/>
      <c r="C739" s="2918"/>
      <c r="D739" s="2919" t="s">
        <v>8584</v>
      </c>
      <c r="E739" s="2926">
        <v>40</v>
      </c>
      <c r="F739" s="2916">
        <v>10</v>
      </c>
      <c r="G739" s="2916">
        <v>6</v>
      </c>
      <c r="H739" s="2916">
        <v>6</v>
      </c>
      <c r="I739" s="2916" t="s">
        <v>1863</v>
      </c>
      <c r="J739" s="2916" t="s">
        <v>1766</v>
      </c>
      <c r="K739" s="2898" t="s">
        <v>8887</v>
      </c>
      <c r="L739" s="2916" t="str">
        <f t="shared" si="95"/>
        <v>Distinta</v>
      </c>
      <c r="M739" s="2927">
        <v>12</v>
      </c>
      <c r="N739" s="2927">
        <v>2</v>
      </c>
      <c r="O739" s="2927">
        <v>20</v>
      </c>
      <c r="P739" s="2916"/>
      <c r="Q739" s="2916"/>
      <c r="R739" s="2916" t="s">
        <v>1766</v>
      </c>
      <c r="S739" s="2916" t="s">
        <v>1766</v>
      </c>
      <c r="T739" s="2916" t="s">
        <v>1766</v>
      </c>
      <c r="U739" s="2916"/>
      <c r="V739" s="2898" t="s">
        <v>8623</v>
      </c>
      <c r="W739" s="2898"/>
      <c r="X739" s="2899"/>
      <c r="Z739" s="2647" t="str">
        <f t="shared" si="96"/>
        <v/>
      </c>
      <c r="AB739" s="2223" t="s">
        <v>2626</v>
      </c>
      <c r="AC739" s="19"/>
      <c r="AD739" s="19"/>
      <c r="AE739" s="2617"/>
      <c r="AG739" s="2221" t="str">
        <f t="shared" si="92"/>
        <v/>
      </c>
      <c r="AH739" s="2001" t="str">
        <f t="shared" si="93"/>
        <v/>
      </c>
      <c r="AI739" s="2001" t="str">
        <f t="shared" si="94"/>
        <v>Arco corto</v>
      </c>
      <c r="AJ739" s="2905">
        <f>IF($L739=AJ$627,COUNTIF($L$630:$L739,AJ$627)+3,0)</f>
        <v>0</v>
      </c>
      <c r="AK739" s="2902">
        <f>IF($L739=AK$627,COUNTIF($L$630:$L739,AK$627)+3,0)</f>
        <v>0</v>
      </c>
      <c r="AL739" s="2908">
        <f>IF($L739=AL$627,COUNTIF($L$630:$L739,AL$627)+3,0)</f>
        <v>100</v>
      </c>
    </row>
    <row r="740" spans="1:38" ht="12.75" customHeight="1" x14ac:dyDescent="0.2">
      <c r="A740" s="1916">
        <v>740</v>
      </c>
      <c r="B740" s="5148"/>
      <c r="C740" s="2918"/>
      <c r="D740" s="2919" t="s">
        <v>8585</v>
      </c>
      <c r="E740" s="2926">
        <v>55</v>
      </c>
      <c r="F740" s="2916">
        <v>-10</v>
      </c>
      <c r="G740" s="2916">
        <v>6</v>
      </c>
      <c r="H740" s="2916">
        <v>8</v>
      </c>
      <c r="I740" s="2916" t="s">
        <v>1863</v>
      </c>
      <c r="J740" s="2916" t="s">
        <v>1864</v>
      </c>
      <c r="K740" s="2898" t="s">
        <v>8887</v>
      </c>
      <c r="L740" s="2916" t="str">
        <f t="shared" si="95"/>
        <v>Distinta</v>
      </c>
      <c r="M740" s="2927">
        <v>13</v>
      </c>
      <c r="N740" s="2927">
        <v>3</v>
      </c>
      <c r="O740" s="2927">
        <v>25</v>
      </c>
      <c r="P740" s="2916"/>
      <c r="Q740" s="2916"/>
      <c r="R740" s="2916" t="s">
        <v>1766</v>
      </c>
      <c r="S740" s="2916" t="s">
        <v>1766</v>
      </c>
      <c r="T740" s="2916" t="s">
        <v>1766</v>
      </c>
      <c r="U740" s="2916"/>
      <c r="V740" s="2898" t="s">
        <v>2494</v>
      </c>
      <c r="W740" s="2898"/>
      <c r="X740" s="2899"/>
      <c r="Z740" s="2647" t="str">
        <f t="shared" si="96"/>
        <v/>
      </c>
      <c r="AB740" s="2223" t="s">
        <v>2614</v>
      </c>
      <c r="AC740" s="19"/>
      <c r="AD740" s="19"/>
      <c r="AE740" s="2617"/>
      <c r="AG740" s="2221" t="str">
        <f t="shared" si="92"/>
        <v/>
      </c>
      <c r="AH740" s="2001" t="str">
        <f t="shared" si="93"/>
        <v/>
      </c>
      <c r="AI740" s="2001" t="str">
        <f t="shared" si="94"/>
        <v>Arco de balas</v>
      </c>
      <c r="AJ740" s="2905">
        <f>IF($L740=AJ$627,COUNTIF($L$630:$L740,AJ$627)+3,0)</f>
        <v>0</v>
      </c>
      <c r="AK740" s="2902">
        <f>IF($L740=AK$627,COUNTIF($L$630:$L740,AK$627)+3,0)</f>
        <v>0</v>
      </c>
      <c r="AL740" s="2908">
        <f>IF($L740=AL$627,COUNTIF($L$630:$L740,AL$627)+3,0)</f>
        <v>101</v>
      </c>
    </row>
    <row r="741" spans="1:38" ht="12.75" customHeight="1" x14ac:dyDescent="0.2">
      <c r="A741" s="1916">
        <v>741</v>
      </c>
      <c r="B741" s="5148"/>
      <c r="C741" s="2918"/>
      <c r="D741" s="2919" t="s">
        <v>8607</v>
      </c>
      <c r="E741" s="2926">
        <v>45</v>
      </c>
      <c r="F741" s="2916">
        <v>10</v>
      </c>
      <c r="G741" s="2916">
        <v>4</v>
      </c>
      <c r="H741" s="2916">
        <v>4</v>
      </c>
      <c r="I741" s="2916" t="s">
        <v>1863</v>
      </c>
      <c r="J741" s="2916" t="s">
        <v>1864</v>
      </c>
      <c r="K741" s="2898" t="s">
        <v>8890</v>
      </c>
      <c r="L741" s="2916" t="str">
        <f t="shared" si="95"/>
        <v>Distinta</v>
      </c>
      <c r="M741" s="2927">
        <v>12</v>
      </c>
      <c r="N741" s="2927">
        <v>1</v>
      </c>
      <c r="O741" s="2927">
        <v>25</v>
      </c>
      <c r="P741" s="2916"/>
      <c r="Q741" s="2916"/>
      <c r="R741" s="2916" t="s">
        <v>1766</v>
      </c>
      <c r="S741" s="2916" t="s">
        <v>1766</v>
      </c>
      <c r="T741" s="2916" t="s">
        <v>1766</v>
      </c>
      <c r="U741" s="2916"/>
      <c r="V741" s="2898" t="s">
        <v>1766</v>
      </c>
      <c r="W741" s="2898"/>
      <c r="X741" s="2899"/>
      <c r="Z741" s="2647" t="str">
        <f t="shared" si="96"/>
        <v/>
      </c>
      <c r="AB741" s="2223" t="s">
        <v>2622</v>
      </c>
      <c r="AC741" s="19"/>
      <c r="AD741" s="19"/>
      <c r="AE741" s="2617"/>
      <c r="AG741" s="2221" t="str">
        <f t="shared" si="92"/>
        <v/>
      </c>
      <c r="AH741" s="2001" t="str">
        <f t="shared" si="93"/>
        <v/>
      </c>
      <c r="AI741" s="2001" t="str">
        <f t="shared" si="94"/>
        <v>Arco largo</v>
      </c>
      <c r="AJ741" s="2905">
        <f>IF($L741=AJ$627,COUNTIF($L$630:$L741,AJ$627)+3,0)</f>
        <v>0</v>
      </c>
      <c r="AK741" s="2902">
        <f>IF($L741=AK$627,COUNTIF($L$630:$L741,AK$627)+3,0)</f>
        <v>0</v>
      </c>
      <c r="AL741" s="2908">
        <f>IF($L741=AL$627,COUNTIF($L$630:$L741,AL$627)+3,0)</f>
        <v>102</v>
      </c>
    </row>
    <row r="742" spans="1:38" ht="12.75" customHeight="1" thickBot="1" x14ac:dyDescent="0.25">
      <c r="A742" s="1916">
        <v>742</v>
      </c>
      <c r="B742" s="5148"/>
      <c r="C742" s="2918"/>
      <c r="D742" s="2919" t="s">
        <v>8587</v>
      </c>
      <c r="E742" s="2926">
        <v>60</v>
      </c>
      <c r="F742" s="2916">
        <v>-20</v>
      </c>
      <c r="G742" s="2916">
        <v>7</v>
      </c>
      <c r="H742" s="2916">
        <v>9</v>
      </c>
      <c r="I742" s="2916" t="s">
        <v>1863</v>
      </c>
      <c r="J742" s="2916" t="s">
        <v>1766</v>
      </c>
      <c r="K742" s="2898" t="s">
        <v>8895</v>
      </c>
      <c r="L742" s="2916" t="str">
        <f t="shared" si="95"/>
        <v>Mixta</v>
      </c>
      <c r="M742" s="2927">
        <v>16</v>
      </c>
      <c r="N742" s="2927">
        <v>7</v>
      </c>
      <c r="O742" s="2927">
        <v>30</v>
      </c>
      <c r="P742" s="2916"/>
      <c r="Q742" s="2916"/>
      <c r="R742" s="2916" t="s">
        <v>1766</v>
      </c>
      <c r="S742" s="2916" t="s">
        <v>1766</v>
      </c>
      <c r="T742" s="2916" t="s">
        <v>1766</v>
      </c>
      <c r="U742" s="2916"/>
      <c r="V742" s="2898" t="s">
        <v>2494</v>
      </c>
      <c r="W742" s="2898"/>
      <c r="X742" s="2899"/>
      <c r="Z742" s="2647" t="str">
        <f t="shared" si="96"/>
        <v/>
      </c>
      <c r="AB742" s="2225" t="s">
        <v>2608</v>
      </c>
      <c r="AC742" s="2226"/>
      <c r="AD742" s="2226"/>
      <c r="AE742" s="2618"/>
      <c r="AG742" s="2221" t="str">
        <f t="shared" si="92"/>
        <v/>
      </c>
      <c r="AH742" s="2001" t="str">
        <f t="shared" si="93"/>
        <v/>
      </c>
      <c r="AI742" s="2001" t="str">
        <f t="shared" si="94"/>
        <v>Atlatl</v>
      </c>
      <c r="AJ742" s="2905">
        <f>IF($L742=AJ$627,COUNTIF($L$630:$L742,AJ$627)+3,0)</f>
        <v>0</v>
      </c>
      <c r="AK742" s="2902">
        <f>IF($L742=AK$627,COUNTIF($L$630:$L742,AK$627)+3,0)</f>
        <v>13</v>
      </c>
      <c r="AL742" s="2908">
        <f>IF($L742=AL$627,COUNTIF($L$630:$L742,AL$627)+3,0)</f>
        <v>0</v>
      </c>
    </row>
    <row r="743" spans="1:38" ht="12.75" customHeight="1" x14ac:dyDescent="0.2">
      <c r="A743" s="1916">
        <v>743</v>
      </c>
      <c r="B743" s="5148"/>
      <c r="C743" s="2918"/>
      <c r="D743" s="2919" t="s">
        <v>8608</v>
      </c>
      <c r="E743" s="2926">
        <v>50</v>
      </c>
      <c r="F743" s="2916">
        <v>-10</v>
      </c>
      <c r="G743" s="2916">
        <v>6</v>
      </c>
      <c r="H743" s="2916">
        <v>6</v>
      </c>
      <c r="I743" s="2916" t="s">
        <v>1863</v>
      </c>
      <c r="J743" s="2916" t="s">
        <v>1864</v>
      </c>
      <c r="K743" s="2898" t="s">
        <v>8887</v>
      </c>
      <c r="L743" s="2916" t="str">
        <f t="shared" si="95"/>
        <v>Distinta</v>
      </c>
      <c r="M743" s="2928">
        <v>10</v>
      </c>
      <c r="N743" s="2927">
        <v>2</v>
      </c>
      <c r="O743" s="2927">
        <v>25</v>
      </c>
      <c r="P743" s="2927"/>
      <c r="Q743" s="2916"/>
      <c r="R743" s="2916" t="s">
        <v>1766</v>
      </c>
      <c r="S743" s="2916" t="s">
        <v>1766</v>
      </c>
      <c r="T743" s="2916" t="s">
        <v>1766</v>
      </c>
      <c r="U743" s="2916"/>
      <c r="V743" s="2898" t="s">
        <v>2520</v>
      </c>
      <c r="W743" s="2898"/>
      <c r="X743" s="2899"/>
      <c r="Z743" s="2647" t="str">
        <f t="shared" si="96"/>
        <v/>
      </c>
      <c r="AG743" s="2221" t="str">
        <f t="shared" si="92"/>
        <v/>
      </c>
      <c r="AH743" s="2001" t="str">
        <f t="shared" si="93"/>
        <v/>
      </c>
      <c r="AI743" s="2001" t="str">
        <f t="shared" si="94"/>
        <v>Ballesta</v>
      </c>
      <c r="AJ743" s="2905">
        <f>IF($L743=AJ$627,COUNTIF($L$630:$L743,AJ$627)+3,0)</f>
        <v>0</v>
      </c>
      <c r="AK743" s="2902">
        <f>IF($L743=AK$627,COUNTIF($L$630:$L743,AK$627)+3,0)</f>
        <v>0</v>
      </c>
      <c r="AL743" s="2908">
        <f>IF($L743=AL$627,COUNTIF($L$630:$L743,AL$627)+3,0)</f>
        <v>103</v>
      </c>
    </row>
    <row r="744" spans="1:38" ht="12.75" customHeight="1" x14ac:dyDescent="0.2">
      <c r="A744" s="1916">
        <v>744</v>
      </c>
      <c r="B744" s="5148"/>
      <c r="C744" s="2918"/>
      <c r="D744" s="2919" t="s">
        <v>8588</v>
      </c>
      <c r="E744" s="2926">
        <v>20</v>
      </c>
      <c r="F744" s="2916">
        <v>0</v>
      </c>
      <c r="G744" s="2916">
        <v>5</v>
      </c>
      <c r="H744" s="2916">
        <v>5</v>
      </c>
      <c r="I744" s="2916" t="s">
        <v>1809</v>
      </c>
      <c r="J744" s="2916" t="s">
        <v>1766</v>
      </c>
      <c r="K744" s="2898" t="s">
        <v>8887</v>
      </c>
      <c r="L744" s="2916" t="str">
        <f t="shared" si="95"/>
        <v>Distinta</v>
      </c>
      <c r="M744" s="2927">
        <v>13</v>
      </c>
      <c r="N744" s="2927">
        <v>2</v>
      </c>
      <c r="O744" s="2927">
        <v>20</v>
      </c>
      <c r="P744" s="2916"/>
      <c r="Q744" s="2916"/>
      <c r="R744" s="2916" t="s">
        <v>1766</v>
      </c>
      <c r="S744" s="2916" t="s">
        <v>1766</v>
      </c>
      <c r="T744" s="2916" t="s">
        <v>1766</v>
      </c>
      <c r="U744" s="2916"/>
      <c r="V744" s="2898" t="s">
        <v>8624</v>
      </c>
      <c r="W744" s="2898"/>
      <c r="X744" s="2899"/>
      <c r="Z744" s="2647" t="str">
        <f t="shared" si="96"/>
        <v/>
      </c>
      <c r="AB744" s="363"/>
      <c r="AC744" s="2563"/>
      <c r="AG744" s="2221" t="str">
        <f t="shared" si="92"/>
        <v/>
      </c>
      <c r="AH744" s="2001" t="str">
        <f t="shared" si="93"/>
        <v/>
      </c>
      <c r="AI744" s="2001" t="str">
        <f t="shared" si="94"/>
        <v>Ballesta de mano</v>
      </c>
      <c r="AJ744" s="2905">
        <f>IF($L744=AJ$627,COUNTIF($L$630:$L744,AJ$627)+3,0)</f>
        <v>0</v>
      </c>
      <c r="AK744" s="2902">
        <f>IF($L744=AK$627,COUNTIF($L$630:$L744,AK$627)+3,0)</f>
        <v>0</v>
      </c>
      <c r="AL744" s="2908">
        <f>IF($L744=AL$627,COUNTIF($L$630:$L744,AL$627)+3,0)</f>
        <v>104</v>
      </c>
    </row>
    <row r="745" spans="1:38" ht="12.75" customHeight="1" x14ac:dyDescent="0.2">
      <c r="A745" s="1916">
        <v>745</v>
      </c>
      <c r="B745" s="5148"/>
      <c r="C745" s="2918"/>
      <c r="D745" s="2919" t="s">
        <v>8590</v>
      </c>
      <c r="E745" s="2926">
        <v>80</v>
      </c>
      <c r="F745" s="2916">
        <v>-50</v>
      </c>
      <c r="G745" s="2916">
        <v>8</v>
      </c>
      <c r="H745" s="2916">
        <v>10</v>
      </c>
      <c r="I745" s="2916" t="s">
        <v>1809</v>
      </c>
      <c r="J745" s="2916" t="s">
        <v>1766</v>
      </c>
      <c r="K745" s="2898" t="s">
        <v>8893</v>
      </c>
      <c r="L745" s="2916" t="str">
        <f t="shared" si="95"/>
        <v>Distinta</v>
      </c>
      <c r="M745" s="2927">
        <v>13</v>
      </c>
      <c r="N745" s="2927">
        <v>4</v>
      </c>
      <c r="O745" s="2927">
        <v>30</v>
      </c>
      <c r="P745" s="2916"/>
      <c r="Q745" s="2916"/>
      <c r="R745" s="2916" t="s">
        <v>1766</v>
      </c>
      <c r="S745" s="2916" t="s">
        <v>1766</v>
      </c>
      <c r="T745" s="2916" t="s">
        <v>1766</v>
      </c>
      <c r="U745" s="2916"/>
      <c r="V745" s="2898" t="s">
        <v>2494</v>
      </c>
      <c r="W745" s="2898"/>
      <c r="X745" s="2899"/>
      <c r="Z745" s="2647" t="str">
        <f t="shared" si="96"/>
        <v/>
      </c>
      <c r="AB745" s="363"/>
      <c r="AC745" s="2563"/>
      <c r="AG745" s="2221" t="str">
        <f t="shared" si="92"/>
        <v/>
      </c>
      <c r="AH745" s="2001" t="str">
        <f t="shared" si="93"/>
        <v/>
      </c>
      <c r="AI745" s="2001" t="str">
        <f t="shared" si="94"/>
        <v>Ballesta de repetición</v>
      </c>
      <c r="AJ745" s="2905">
        <f>IF($L745=AJ$627,COUNTIF($L$630:$L745,AJ$627)+3,0)</f>
        <v>0</v>
      </c>
      <c r="AK745" s="2902">
        <f>IF($L745=AK$627,COUNTIF($L$630:$L745,AK$627)+3,0)</f>
        <v>0</v>
      </c>
      <c r="AL745" s="2908">
        <f>IF($L745=AL$627,COUNTIF($L$630:$L745,AL$627)+3,0)</f>
        <v>105</v>
      </c>
    </row>
    <row r="746" spans="1:38" ht="12.75" customHeight="1" x14ac:dyDescent="0.2">
      <c r="A746" s="1916">
        <v>746</v>
      </c>
      <c r="B746" s="5148"/>
      <c r="C746" s="2918"/>
      <c r="D746" s="2919" t="s">
        <v>8609</v>
      </c>
      <c r="E746" s="2926">
        <v>25</v>
      </c>
      <c r="F746" s="2916">
        <v>10</v>
      </c>
      <c r="G746" s="2916">
        <v>4</v>
      </c>
      <c r="H746" s="2916">
        <v>4</v>
      </c>
      <c r="I746" s="2916" t="s">
        <v>1864</v>
      </c>
      <c r="J746" s="2916" t="s">
        <v>1766</v>
      </c>
      <c r="K746" s="2898" t="s">
        <v>8887</v>
      </c>
      <c r="L746" s="2916" t="str">
        <f t="shared" si="95"/>
        <v>Distinta</v>
      </c>
      <c r="M746" s="2927">
        <v>10</v>
      </c>
      <c r="N746" s="2927">
        <v>-2</v>
      </c>
      <c r="O746" s="2927">
        <v>20</v>
      </c>
      <c r="P746" s="2916"/>
      <c r="Q746" s="2916"/>
      <c r="R746" s="2916">
        <v>100</v>
      </c>
      <c r="S746" s="2916" t="s">
        <v>1766</v>
      </c>
      <c r="T746" s="2916">
        <v>30</v>
      </c>
      <c r="U746" s="2916"/>
      <c r="V746" s="2898" t="s">
        <v>2516</v>
      </c>
      <c r="W746" s="2898"/>
      <c r="X746" s="2899"/>
      <c r="Z746" s="2647" t="str">
        <f t="shared" si="96"/>
        <v/>
      </c>
      <c r="AB746" s="363"/>
      <c r="AC746" s="2563"/>
      <c r="AG746" s="2221" t="str">
        <f t="shared" si="92"/>
        <v/>
      </c>
      <c r="AH746" s="2001" t="str">
        <f t="shared" si="93"/>
        <v/>
      </c>
      <c r="AI746" s="2001" t="str">
        <f t="shared" si="94"/>
        <v>Ballesta pesada</v>
      </c>
      <c r="AJ746" s="2905">
        <f>IF($L746=AJ$627,COUNTIF($L$630:$L746,AJ$627)+3,0)</f>
        <v>0</v>
      </c>
      <c r="AK746" s="2902">
        <f>IF($L746=AK$627,COUNTIF($L$630:$L746,AK$627)+3,0)</f>
        <v>0</v>
      </c>
      <c r="AL746" s="2908">
        <f>IF($L746=AL$627,COUNTIF($L$630:$L746,AL$627)+3,0)</f>
        <v>106</v>
      </c>
    </row>
    <row r="747" spans="1:38" ht="12.75" customHeight="1" x14ac:dyDescent="0.2">
      <c r="A747" s="1916">
        <v>747</v>
      </c>
      <c r="B747" s="5148"/>
      <c r="C747" s="2918"/>
      <c r="D747" s="2919" t="s">
        <v>8610</v>
      </c>
      <c r="E747" s="2926">
        <v>45</v>
      </c>
      <c r="F747" s="2916">
        <v>0</v>
      </c>
      <c r="G747" s="2916">
        <v>4</v>
      </c>
      <c r="H747" s="2916">
        <v>4</v>
      </c>
      <c r="I747" s="2916" t="s">
        <v>1863</v>
      </c>
      <c r="J747" s="2916" t="s">
        <v>1766</v>
      </c>
      <c r="K747" s="2898" t="s">
        <v>8890</v>
      </c>
      <c r="L747" s="2916" t="str">
        <f t="shared" si="95"/>
        <v>Distinta</v>
      </c>
      <c r="M747" s="2927">
        <v>11</v>
      </c>
      <c r="N747" s="2927">
        <v>3</v>
      </c>
      <c r="O747" s="2927">
        <v>40</v>
      </c>
      <c r="P747" s="2916"/>
      <c r="Q747" s="2916"/>
      <c r="R747" s="2916" t="s">
        <v>1766</v>
      </c>
      <c r="S747" s="2916" t="s">
        <v>1766</v>
      </c>
      <c r="T747" s="2916" t="s">
        <v>1766</v>
      </c>
      <c r="U747" s="2916"/>
      <c r="V747" s="2898" t="s">
        <v>1766</v>
      </c>
      <c r="W747" s="2898"/>
      <c r="X747" s="2899"/>
      <c r="Z747" s="2647" t="str">
        <f t="shared" si="96"/>
        <v/>
      </c>
      <c r="AB747" s="363"/>
      <c r="AC747" s="2563"/>
      <c r="AG747" s="2221" t="str">
        <f t="shared" si="92"/>
        <v/>
      </c>
      <c r="AH747" s="2001" t="str">
        <f t="shared" si="93"/>
        <v/>
      </c>
      <c r="AI747" s="2001" t="str">
        <f t="shared" si="94"/>
        <v>Cerbatana</v>
      </c>
      <c r="AJ747" s="2905">
        <f>IF($L747=AJ$627,COUNTIF($L$630:$L747,AJ$627)+3,0)</f>
        <v>0</v>
      </c>
      <c r="AK747" s="2902">
        <f>IF($L747=AK$627,COUNTIF($L$630:$L747,AK$627)+3,0)</f>
        <v>0</v>
      </c>
      <c r="AL747" s="2908">
        <f>IF($L747=AL$627,COUNTIF($L$630:$L747,AL$627)+3,0)</f>
        <v>107</v>
      </c>
    </row>
    <row r="748" spans="1:38" ht="12.75" customHeight="1" x14ac:dyDescent="0.2">
      <c r="A748" s="1916">
        <v>748</v>
      </c>
      <c r="B748" s="5148"/>
      <c r="C748" s="2918"/>
      <c r="D748" s="2919" t="s">
        <v>2572</v>
      </c>
      <c r="E748" s="2924"/>
      <c r="F748" s="2924"/>
      <c r="G748" s="2924"/>
      <c r="H748" s="2924"/>
      <c r="I748" s="2924"/>
      <c r="J748" s="2924"/>
      <c r="K748" s="2421" t="s">
        <v>8885</v>
      </c>
      <c r="L748" s="2924"/>
      <c r="M748" s="2924"/>
      <c r="N748" s="2924"/>
      <c r="O748" s="2924"/>
      <c r="P748" s="2924"/>
      <c r="Q748" s="2924"/>
      <c r="R748" s="2924"/>
      <c r="S748" s="2924"/>
      <c r="T748" s="2924"/>
      <c r="U748" s="2924"/>
      <c r="V748" s="2421"/>
      <c r="W748" s="2421"/>
      <c r="X748" s="2925"/>
      <c r="Z748" s="2647" t="str">
        <f t="shared" si="96"/>
        <v/>
      </c>
      <c r="AB748" s="363"/>
      <c r="AC748" s="2563"/>
      <c r="AG748" s="2221" t="str">
        <f t="shared" si="92"/>
        <v/>
      </c>
      <c r="AH748" s="2001" t="str">
        <f t="shared" si="93"/>
        <v/>
      </c>
      <c r="AI748" s="2001" t="str">
        <f t="shared" si="94"/>
        <v>Daikyu</v>
      </c>
      <c r="AJ748" s="2905">
        <f>MAX(AJ$630:AJ747)+1</f>
        <v>4</v>
      </c>
      <c r="AK748" s="2902">
        <f>MAX(AK$630:AK747)+1</f>
        <v>14</v>
      </c>
      <c r="AL748" s="2908">
        <f>MAX(AL$630:AL747)+1</f>
        <v>108</v>
      </c>
    </row>
    <row r="749" spans="1:38" ht="12.75" customHeight="1" x14ac:dyDescent="0.2">
      <c r="A749" s="1916">
        <v>749</v>
      </c>
      <c r="B749" s="5148"/>
      <c r="C749" s="2918"/>
      <c r="D749" s="2919" t="s">
        <v>2573</v>
      </c>
      <c r="E749" s="2916">
        <v>0</v>
      </c>
      <c r="F749" s="2916">
        <v>-30</v>
      </c>
      <c r="G749" s="2916">
        <v>7</v>
      </c>
      <c r="H749" s="2916">
        <v>7</v>
      </c>
      <c r="I749" s="2916" t="s">
        <v>1864</v>
      </c>
      <c r="J749" s="2916" t="s">
        <v>1766</v>
      </c>
      <c r="K749" s="2898" t="s">
        <v>8905</v>
      </c>
      <c r="L749" s="2916" t="str">
        <f>IF(ISNUMBER(SEARCH($D749,Armas_Conocidas)),"Conocida",IF(OR(ISNUMBER(SEARCH(LEFT($K749,SEARCH("/",$K749)),Tipologías_Conocidas)),AND(NOT(ISNUMBER(SEARCH("/-",$K749))),ISNUMBER(SEARCH(MID($K749,SEARCH("/",$K749)+1,LEN($K749)),Tipologías_Conocidas)))),IF(ISNUMBER(SEARCH($K749,Tipologías_Conocidas)),"Similar","Mixta"),"Distinta"))</f>
        <v>Distinta</v>
      </c>
      <c r="M749" s="2927">
        <v>8</v>
      </c>
      <c r="N749" s="2927">
        <v>-2</v>
      </c>
      <c r="O749" s="2927">
        <v>25</v>
      </c>
      <c r="P749" s="2916"/>
      <c r="Q749" s="2916"/>
      <c r="R749" s="2916" t="s">
        <v>1766</v>
      </c>
      <c r="S749" s="2916">
        <v>1</v>
      </c>
      <c r="T749" s="2916">
        <v>90</v>
      </c>
      <c r="U749" s="2916"/>
      <c r="V749" s="2898" t="s">
        <v>1897</v>
      </c>
      <c r="W749" s="2898"/>
      <c r="X749" s="2899"/>
      <c r="Z749" s="2647" t="str">
        <f t="shared" si="96"/>
        <v/>
      </c>
      <c r="AB749" s="363"/>
      <c r="AC749" s="2563"/>
      <c r="AG749" s="2221" t="str">
        <f t="shared" si="92"/>
        <v/>
      </c>
      <c r="AH749" s="2001" t="str">
        <f t="shared" si="93"/>
        <v/>
      </c>
      <c r="AI749" s="2001" t="str">
        <f t="shared" si="94"/>
        <v>Fusil</v>
      </c>
      <c r="AJ749" s="2905">
        <f>IF($L749=AJ$627,COUNTIF($L$630:$L749,AJ$627)+4,0)</f>
        <v>0</v>
      </c>
      <c r="AK749" s="2902">
        <f>IF($L749=AK$627,COUNTIF($L$630:$L749,AK$627)+4,0)</f>
        <v>0</v>
      </c>
      <c r="AL749" s="2908">
        <f>IF($L749=AL$627,COUNTIF($L$630:$L749,AL$627)+4,0)</f>
        <v>109</v>
      </c>
    </row>
    <row r="750" spans="1:38" ht="12.75" customHeight="1" x14ac:dyDescent="0.2">
      <c r="A750" s="1916">
        <v>750</v>
      </c>
      <c r="B750" s="5148"/>
      <c r="C750" s="2918"/>
      <c r="D750" s="2919" t="s">
        <v>2575</v>
      </c>
      <c r="E750" s="2916">
        <v>0</v>
      </c>
      <c r="F750" s="2916">
        <v>-10</v>
      </c>
      <c r="G750" s="2916">
        <v>4</v>
      </c>
      <c r="H750" s="2916">
        <v>4</v>
      </c>
      <c r="I750" s="2916" t="s">
        <v>1864</v>
      </c>
      <c r="J750" s="2916" t="s">
        <v>1766</v>
      </c>
      <c r="K750" s="2898" t="s">
        <v>8905</v>
      </c>
      <c r="L750" s="2916" t="str">
        <f>IF(ISNUMBER(SEARCH($D750,Armas_Conocidas)),"Conocida",IF(OR(ISNUMBER(SEARCH(LEFT($K750,SEARCH("/",$K750)),Tipologías_Conocidas)),AND(NOT(ISNUMBER(SEARCH("/-",$K750))),ISNUMBER(SEARCH(MID($K750,SEARCH("/",$K750)+1,LEN($K750)),Tipologías_Conocidas)))),IF(ISNUMBER(SEARCH($K750,Tipologías_Conocidas)),"Similar","Mixta"),"Distinta"))</f>
        <v>Distinta</v>
      </c>
      <c r="M750" s="2927">
        <v>7</v>
      </c>
      <c r="N750" s="2927">
        <v>-3</v>
      </c>
      <c r="O750" s="2927">
        <v>15</v>
      </c>
      <c r="P750" s="2916"/>
      <c r="Q750" s="2916"/>
      <c r="R750" s="2916" t="s">
        <v>1766</v>
      </c>
      <c r="S750" s="2916">
        <v>1</v>
      </c>
      <c r="T750" s="2916">
        <v>40</v>
      </c>
      <c r="U750" s="2916"/>
      <c r="V750" s="2898" t="s">
        <v>1897</v>
      </c>
      <c r="W750" s="2898"/>
      <c r="X750" s="2899"/>
      <c r="Z750" s="2647" t="str">
        <f t="shared" si="96"/>
        <v/>
      </c>
      <c r="AB750" s="363"/>
      <c r="AC750" s="2563"/>
      <c r="AG750" s="2221" t="str">
        <f t="shared" si="92"/>
        <v/>
      </c>
      <c r="AH750" s="2001" t="str">
        <f t="shared" si="93"/>
        <v/>
      </c>
      <c r="AI750" s="2001" t="str">
        <f t="shared" si="94"/>
        <v>Honda</v>
      </c>
      <c r="AJ750" s="2905">
        <f>IF($L750=AJ$627,COUNTIF($L$630:$L750,AJ$627)+4,0)</f>
        <v>0</v>
      </c>
      <c r="AK750" s="2902">
        <f>IF($L750=AK$627,COUNTIF($L$630:$L750,AK$627)+4,0)</f>
        <v>0</v>
      </c>
      <c r="AL750" s="2908">
        <f>IF($L750=AL$627,COUNTIF($L$630:$L750,AL$627)+4,0)</f>
        <v>110</v>
      </c>
    </row>
    <row r="751" spans="1:38" ht="12.75" customHeight="1" x14ac:dyDescent="0.2">
      <c r="A751" s="1916">
        <v>751</v>
      </c>
      <c r="B751" s="5148"/>
      <c r="C751" s="2918"/>
      <c r="D751" s="2919" t="s">
        <v>8561</v>
      </c>
      <c r="E751" s="2916">
        <v>0</v>
      </c>
      <c r="F751" s="2916">
        <v>-10</v>
      </c>
      <c r="G751" s="2916">
        <v>4</v>
      </c>
      <c r="H751" s="2916">
        <v>4</v>
      </c>
      <c r="I751" s="2916" t="s">
        <v>1864</v>
      </c>
      <c r="J751" s="2916" t="s">
        <v>1766</v>
      </c>
      <c r="K751" s="2898" t="s">
        <v>8905</v>
      </c>
      <c r="L751" s="2916" t="str">
        <f>IF(ISNUMBER(SEARCH($D751,Armas_Conocidas)),"Conocida",IF(OR(ISNUMBER(SEARCH(LEFT($K751,SEARCH("/",$K751)),Tipologías_Conocidas)),AND(NOT(ISNUMBER(SEARCH("/-",$K751))),ISNUMBER(SEARCH(MID($K751,SEARCH("/",$K751)+1,LEN($K751)),Tipologías_Conocidas)))),IF(ISNUMBER(SEARCH($K751,Tipologías_Conocidas)),"Similar","Mixta"),"Distinta"))</f>
        <v>Distinta</v>
      </c>
      <c r="M751" s="2927">
        <v>6</v>
      </c>
      <c r="N751" s="2927">
        <v>-3</v>
      </c>
      <c r="O751" s="2927">
        <v>15</v>
      </c>
      <c r="P751" s="2916"/>
      <c r="Q751" s="2916"/>
      <c r="R751" s="2916" t="s">
        <v>1766</v>
      </c>
      <c r="S751" s="2916">
        <v>1</v>
      </c>
      <c r="T751" s="2916">
        <v>40</v>
      </c>
      <c r="U751" s="2916"/>
      <c r="V751" s="2898" t="s">
        <v>8612</v>
      </c>
      <c r="W751" s="2898"/>
      <c r="X751" s="2899"/>
      <c r="Z751" s="2647" t="str">
        <f t="shared" si="96"/>
        <v/>
      </c>
      <c r="AB751" s="363"/>
      <c r="AC751" s="2563"/>
      <c r="AG751" s="2221" t="str">
        <f t="shared" si="92"/>
        <v/>
      </c>
      <c r="AH751" s="2001" t="str">
        <f t="shared" si="93"/>
        <v/>
      </c>
      <c r="AI751" s="2001" t="str">
        <f t="shared" si="94"/>
        <v>Pistola</v>
      </c>
      <c r="AJ751" s="2905">
        <f>IF($L751=AJ$627,COUNTIF($L$630:$L751,AJ$627)+4,0)</f>
        <v>0</v>
      </c>
      <c r="AK751" s="2902">
        <f>IF($L751=AK$627,COUNTIF($L$630:$L751,AK$627)+4,0)</f>
        <v>0</v>
      </c>
      <c r="AL751" s="2908">
        <f>IF($L751=AL$627,COUNTIF($L$630:$L751,AL$627)+4,0)</f>
        <v>111</v>
      </c>
    </row>
    <row r="752" spans="1:38" ht="12.75" customHeight="1" x14ac:dyDescent="0.2">
      <c r="A752" s="1916">
        <v>752</v>
      </c>
      <c r="B752" s="5148"/>
      <c r="C752" s="2918"/>
      <c r="D752" s="2919" t="s">
        <v>2576</v>
      </c>
      <c r="E752" s="2916">
        <v>0</v>
      </c>
      <c r="F752" s="2916">
        <v>-30</v>
      </c>
      <c r="G752" s="2916">
        <v>7</v>
      </c>
      <c r="H752" s="2916">
        <v>7</v>
      </c>
      <c r="I752" s="2916" t="s">
        <v>1864</v>
      </c>
      <c r="J752" s="2916" t="s">
        <v>1766</v>
      </c>
      <c r="K752" s="2898" t="s">
        <v>8905</v>
      </c>
      <c r="L752" s="2916" t="str">
        <f>IF(ISNUMBER(SEARCH($D752,Armas_Conocidas)),"Conocida",IF(OR(ISNUMBER(SEARCH(LEFT($K752,SEARCH("/",$K752)),Tipologías_Conocidas)),AND(NOT(ISNUMBER(SEARCH("/-",$K752))),ISNUMBER(SEARCH(MID($K752,SEARCH("/",$K752)+1,LEN($K752)),Tipologías_Conocidas)))),IF(ISNUMBER(SEARCH($K752,Tipologías_Conocidas)),"Similar","Mixta"),"Distinta"))</f>
        <v>Distinta</v>
      </c>
      <c r="M752" s="2927">
        <v>8</v>
      </c>
      <c r="N752" s="2927">
        <v>-2</v>
      </c>
      <c r="O752" s="2927">
        <v>20</v>
      </c>
      <c r="P752" s="2916"/>
      <c r="Q752" s="2916"/>
      <c r="R752" s="2916" t="s">
        <v>1766</v>
      </c>
      <c r="S752" s="2916">
        <v>1</v>
      </c>
      <c r="T752" s="2916">
        <v>60</v>
      </c>
      <c r="U752" s="2916"/>
      <c r="V752" s="2898" t="s">
        <v>1897</v>
      </c>
      <c r="W752" s="2898"/>
      <c r="X752" s="2899"/>
      <c r="Z752" s="2647" t="str">
        <f t="shared" si="96"/>
        <v/>
      </c>
      <c r="AB752" s="363"/>
      <c r="AC752" s="2563"/>
      <c r="AG752" s="2221" t="str">
        <f t="shared" si="92"/>
        <v/>
      </c>
      <c r="AH752" s="2001" t="str">
        <f t="shared" si="93"/>
        <v/>
      </c>
      <c r="AI752" s="2001" t="str">
        <f t="shared" si="94"/>
        <v>&gt; ARMAS DE ASEDIO</v>
      </c>
      <c r="AJ752" s="2905">
        <f>IF($L752=AJ$627,COUNTIF($L$630:$L752,AJ$627)+4,0)</f>
        <v>0</v>
      </c>
      <c r="AK752" s="2902">
        <f>IF($L752=AK$627,COUNTIF($L$630:$L752,AK$627)+4,0)</f>
        <v>0</v>
      </c>
      <c r="AL752" s="2908">
        <f>IF($L752=AL$627,COUNTIF($L$630:$L752,AL$627)+4,0)</f>
        <v>112</v>
      </c>
    </row>
    <row r="753" spans="1:38" ht="12.75" customHeight="1" x14ac:dyDescent="0.2">
      <c r="A753" s="1916">
        <v>753</v>
      </c>
      <c r="B753" s="5148"/>
      <c r="C753" s="2918"/>
      <c r="D753" s="2919" t="s">
        <v>8565</v>
      </c>
      <c r="E753" s="2916">
        <v>0</v>
      </c>
      <c r="F753" s="2916">
        <v>-5</v>
      </c>
      <c r="G753" s="2916">
        <v>5</v>
      </c>
      <c r="H753" s="2916">
        <v>5</v>
      </c>
      <c r="I753" s="2916" t="s">
        <v>1864</v>
      </c>
      <c r="J753" s="2916" t="s">
        <v>1766</v>
      </c>
      <c r="K753" s="2898" t="s">
        <v>8905</v>
      </c>
      <c r="L753" s="2916" t="str">
        <f>IF(ISNUMBER(SEARCH($D753,Armas_Conocidas)),"Conocida",IF(OR(ISNUMBER(SEARCH(LEFT($K753,SEARCH("/",$K753)),Tipologías_Conocidas)),AND(NOT(ISNUMBER(SEARCH("/-",$K753))),ISNUMBER(SEARCH(MID($K753,SEARCH("/",$K753)+1,LEN($K753)),Tipologías_Conocidas)))),IF(ISNUMBER(SEARCH($K753,Tipologías_Conocidas)),"Similar","Mixta"),"Distinta"))</f>
        <v>Distinta</v>
      </c>
      <c r="M753" s="2927">
        <v>8</v>
      </c>
      <c r="N753" s="2927">
        <v>-4</v>
      </c>
      <c r="O753" s="2927">
        <v>10</v>
      </c>
      <c r="P753" s="2916"/>
      <c r="Q753" s="2916"/>
      <c r="R753" s="2916" t="s">
        <v>1766</v>
      </c>
      <c r="S753" s="2916" t="s">
        <v>1766</v>
      </c>
      <c r="T753" s="2916" t="s">
        <v>1766</v>
      </c>
      <c r="U753" s="2916"/>
      <c r="V753" s="2898" t="s">
        <v>2520</v>
      </c>
      <c r="W753" s="2898"/>
      <c r="X753" s="2899"/>
      <c r="Z753" s="2647" t="str">
        <f t="shared" si="96"/>
        <v/>
      </c>
      <c r="AB753" s="363"/>
      <c r="AC753" s="2563"/>
      <c r="AG753" s="2221" t="str">
        <f t="shared" si="92"/>
        <v/>
      </c>
      <c r="AH753" s="2001" t="str">
        <f t="shared" si="93"/>
        <v/>
      </c>
      <c r="AI753" s="2001" t="str">
        <f t="shared" si="94"/>
        <v>Balista ligera</v>
      </c>
      <c r="AJ753" s="2905">
        <f>IF($L753=AJ$627,COUNTIF($L$630:$L753,AJ$627)+4,0)</f>
        <v>0</v>
      </c>
      <c r="AK753" s="2902">
        <f>IF($L753=AK$627,COUNTIF($L$630:$L753,AK$627)+4,0)</f>
        <v>0</v>
      </c>
      <c r="AL753" s="2908">
        <f>IF($L753=AL$627,COUNTIF($L$630:$L753,AL$627)+4,0)</f>
        <v>113</v>
      </c>
    </row>
    <row r="754" spans="1:38" ht="12.75" customHeight="1" x14ac:dyDescent="0.2">
      <c r="A754" s="1916">
        <v>754</v>
      </c>
      <c r="B754" s="5148"/>
      <c r="C754" s="2918"/>
      <c r="D754" s="2919" t="s">
        <v>2577</v>
      </c>
      <c r="E754" s="2916">
        <v>0</v>
      </c>
      <c r="F754" s="2916">
        <v>0</v>
      </c>
      <c r="G754" s="2916">
        <v>8</v>
      </c>
      <c r="H754" s="2916">
        <v>4</v>
      </c>
      <c r="I754" s="2916" t="s">
        <v>1864</v>
      </c>
      <c r="J754" s="2916" t="s">
        <v>1766</v>
      </c>
      <c r="K754" s="2898" t="s">
        <v>8905</v>
      </c>
      <c r="L754" s="2929"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927">
        <v>8</v>
      </c>
      <c r="N754" s="2927">
        <v>-2</v>
      </c>
      <c r="O754" s="2927">
        <v>20</v>
      </c>
      <c r="P754" s="2916"/>
      <c r="Q754" s="2916"/>
      <c r="R754" s="2916" t="s">
        <v>1766</v>
      </c>
      <c r="S754" s="2916">
        <v>2</v>
      </c>
      <c r="T754" s="2916">
        <v>60</v>
      </c>
      <c r="U754" s="2916">
        <v>8</v>
      </c>
      <c r="V754" s="2898" t="s">
        <v>2578</v>
      </c>
      <c r="W754" s="2898"/>
      <c r="X754" s="2899"/>
      <c r="Z754" s="2647" t="str">
        <f t="shared" si="96"/>
        <v/>
      </c>
      <c r="AB754" s="363"/>
      <c r="AC754" s="2563"/>
      <c r="AG754" s="2221" t="str">
        <f t="shared" si="92"/>
        <v/>
      </c>
      <c r="AH754" s="2001" t="str">
        <f t="shared" si="93"/>
        <v/>
      </c>
      <c r="AI754" s="2001" t="str">
        <f t="shared" si="94"/>
        <v>Balista pesada</v>
      </c>
      <c r="AJ754" s="2905">
        <f>IF($L754=AJ$627,COUNTIF($L$630:$L754,AJ$627)+4,0)</f>
        <v>0</v>
      </c>
      <c r="AK754" s="2902">
        <f>IF($L754=AK$627,COUNTIF($L$630:$L754,AK$627)+4,0)</f>
        <v>0</v>
      </c>
      <c r="AL754" s="2908">
        <f>IF($L754=AL$627,COUNTIF($L$630:$L754,AL$627)+4,0)</f>
        <v>114</v>
      </c>
    </row>
    <row r="755" spans="1:38" ht="12.75" customHeight="1" x14ac:dyDescent="0.2">
      <c r="A755" s="1916">
        <v>755</v>
      </c>
      <c r="B755" s="5148"/>
      <c r="C755" s="2918"/>
      <c r="D755" s="2919" t="s">
        <v>2579</v>
      </c>
      <c r="E755" s="2916">
        <v>0</v>
      </c>
      <c r="F755" s="2916">
        <v>10</v>
      </c>
      <c r="G755" s="2916">
        <v>3</v>
      </c>
      <c r="H755" s="2916">
        <v>3</v>
      </c>
      <c r="I755" s="2916" t="s">
        <v>1864</v>
      </c>
      <c r="J755" s="2916" t="s">
        <v>1766</v>
      </c>
      <c r="K755" s="2898" t="s">
        <v>8905</v>
      </c>
      <c r="L755" s="2929" t="str">
        <f>$L$754</f>
        <v>Distinta</v>
      </c>
      <c r="M755" s="2927">
        <v>5</v>
      </c>
      <c r="N755" s="2927">
        <v>-4</v>
      </c>
      <c r="O755" s="2927">
        <v>15</v>
      </c>
      <c r="P755" s="2916"/>
      <c r="Q755" s="2916"/>
      <c r="R755" s="2916" t="s">
        <v>1766</v>
      </c>
      <c r="S755" s="2916">
        <v>2</v>
      </c>
      <c r="T755" s="2916">
        <v>30</v>
      </c>
      <c r="U755" s="2916">
        <v>5</v>
      </c>
      <c r="V755" s="2898" t="s">
        <v>2520</v>
      </c>
      <c r="W755" s="2898"/>
      <c r="X755" s="2899"/>
      <c r="Z755" s="2648"/>
      <c r="AB755" s="363"/>
      <c r="AC755" s="2563"/>
      <c r="AG755" s="2221" t="str">
        <f t="shared" si="92"/>
        <v/>
      </c>
      <c r="AH755" s="2001" t="str">
        <f t="shared" si="93"/>
        <v/>
      </c>
      <c r="AI755" s="2001" t="str">
        <f t="shared" si="94"/>
        <v>Cañón</v>
      </c>
      <c r="AJ755" s="2905">
        <f>IF($L755=AJ$627,COUNTIF($L$630:$L755,AJ$627)+4,0)</f>
        <v>0</v>
      </c>
      <c r="AK755" s="2902">
        <f>IF($L755=AK$627,COUNTIF($L$630:$L755,AK$627)+4,0)</f>
        <v>0</v>
      </c>
      <c r="AL755" s="2908">
        <f>IF($L755=AL$627,COUNTIF($L$630:$L755,AL$627)+4,0)</f>
        <v>115</v>
      </c>
    </row>
    <row r="756" spans="1:38" ht="12.75" customHeight="1" x14ac:dyDescent="0.2">
      <c r="A756" s="1916">
        <v>756</v>
      </c>
      <c r="B756" s="5148"/>
      <c r="C756" s="2918"/>
      <c r="D756" s="2919" t="s">
        <v>2580</v>
      </c>
      <c r="E756" s="2916">
        <v>0</v>
      </c>
      <c r="F756" s="2916">
        <v>0</v>
      </c>
      <c r="G756" s="2916">
        <v>8</v>
      </c>
      <c r="H756" s="2916">
        <v>4</v>
      </c>
      <c r="I756" s="2916" t="s">
        <v>1864</v>
      </c>
      <c r="J756" s="2916" t="s">
        <v>1766</v>
      </c>
      <c r="K756" s="2898" t="s">
        <v>8905</v>
      </c>
      <c r="L756" s="2929" t="str">
        <f>$L$754</f>
        <v>Distinta</v>
      </c>
      <c r="M756" s="2927">
        <v>6</v>
      </c>
      <c r="N756" s="2927">
        <v>-2</v>
      </c>
      <c r="O756" s="2927">
        <v>20</v>
      </c>
      <c r="P756" s="2916"/>
      <c r="Q756" s="2916"/>
      <c r="R756" s="2916" t="s">
        <v>1766</v>
      </c>
      <c r="S756" s="2916">
        <v>3</v>
      </c>
      <c r="T756" s="2916">
        <v>60</v>
      </c>
      <c r="U756" s="2916">
        <v>8</v>
      </c>
      <c r="V756" s="2898" t="s">
        <v>2578</v>
      </c>
      <c r="W756" s="2898"/>
      <c r="X756" s="2899"/>
      <c r="Z756" s="2648"/>
      <c r="AA756" s="2407"/>
      <c r="AB756" s="363"/>
      <c r="AC756" s="2606"/>
      <c r="AG756" s="2221" t="str">
        <f t="shared" si="92"/>
        <v/>
      </c>
      <c r="AH756" s="2001" t="str">
        <f t="shared" si="93"/>
        <v/>
      </c>
      <c r="AI756" s="2001" t="str">
        <f t="shared" si="94"/>
        <v/>
      </c>
      <c r="AJ756" s="2905">
        <f>IF($L756=AJ$627,COUNTIF($L$630:$L756,AJ$627)+4,0)</f>
        <v>0</v>
      </c>
      <c r="AK756" s="2902">
        <f>IF($L756=AK$627,COUNTIF($L$630:$L756,AK$627)+4,0)</f>
        <v>0</v>
      </c>
      <c r="AL756" s="2908">
        <f>IF($L756=AL$627,COUNTIF($L$630:$L756,AL$627)+4,0)</f>
        <v>116</v>
      </c>
    </row>
    <row r="757" spans="1:38" ht="12.75" customHeight="1" x14ac:dyDescent="0.2">
      <c r="A757" s="1916">
        <v>757</v>
      </c>
      <c r="B757" s="5148"/>
      <c r="C757" s="2918"/>
      <c r="D757" s="2919" t="s">
        <v>2581</v>
      </c>
      <c r="E757" s="2916">
        <v>0</v>
      </c>
      <c r="F757" s="2916">
        <v>-20</v>
      </c>
      <c r="G757" s="2916">
        <v>10</v>
      </c>
      <c r="H757" s="2916">
        <v>7</v>
      </c>
      <c r="I757" s="2916" t="s">
        <v>1864</v>
      </c>
      <c r="J757" s="2916" t="s">
        <v>1766</v>
      </c>
      <c r="K757" s="2898" t="s">
        <v>8905</v>
      </c>
      <c r="L757" s="2916" t="str">
        <f t="shared" ref="L757:L762" si="97">IF(ISNUMBER(SEARCH($D757,Armas_Conocidas)),"Conocida",IF(OR(ISNUMBER(SEARCH(LEFT($K757,SEARCH("/",$K757)),Tipologías_Conocidas)),AND(NOT(ISNUMBER(SEARCH("/-",$K757))),ISNUMBER(SEARCH(MID($K757,SEARCH("/",$K757)+1,LEN($K757)),Tipologías_Conocidas)))),IF(ISNUMBER(SEARCH($K757,Tipologías_Conocidas)),"Similar","Mixta"),"Distinta"))</f>
        <v>Distinta</v>
      </c>
      <c r="M757" s="2927">
        <v>8</v>
      </c>
      <c r="N757" s="2927">
        <v>-1</v>
      </c>
      <c r="O757" s="2927">
        <v>20</v>
      </c>
      <c r="P757" s="2916"/>
      <c r="Q757" s="2916"/>
      <c r="R757" s="2916" t="s">
        <v>1766</v>
      </c>
      <c r="S757" s="2916">
        <v>2</v>
      </c>
      <c r="T757" s="2916">
        <v>80</v>
      </c>
      <c r="U757" s="2916">
        <v>10</v>
      </c>
      <c r="V757" s="2898" t="s">
        <v>2578</v>
      </c>
      <c r="W757" s="2898"/>
      <c r="X757" s="2899"/>
      <c r="Z757" s="2647" t="str">
        <f t="shared" ref="Z757:Z778" si="98">IF(AND(K757&lt;&gt;"Natural/-",ISNUMBER(SEARCH(D757,Armas_Conocidas))),", "&amp;K757,"")</f>
        <v/>
      </c>
      <c r="AA757" s="2407"/>
      <c r="AB757" s="363"/>
      <c r="AC757" s="2606"/>
      <c r="AG757" s="2221" t="str">
        <f t="shared" si="92"/>
        <v/>
      </c>
      <c r="AH757" s="2001" t="str">
        <f t="shared" si="93"/>
        <v/>
      </c>
      <c r="AI757" s="2001" t="str">
        <f t="shared" si="94"/>
        <v/>
      </c>
      <c r="AJ757" s="2905">
        <f>IF($L757=AJ$627,COUNTIF($L$630:$L757,AJ$627)+4,0)</f>
        <v>0</v>
      </c>
      <c r="AK757" s="2902">
        <f>IF($L757=AK$627,COUNTIF($L$630:$L757,AK$627)+4,0)</f>
        <v>0</v>
      </c>
      <c r="AL757" s="2908">
        <f>IF($L757=AL$627,COUNTIF($L$630:$L757,AL$627)+4,0)</f>
        <v>117</v>
      </c>
    </row>
    <row r="758" spans="1:38" ht="12.75" customHeight="1" x14ac:dyDescent="0.2">
      <c r="A758" s="1916">
        <v>758</v>
      </c>
      <c r="B758" s="5148"/>
      <c r="C758" s="2918"/>
      <c r="D758" s="2919" t="s">
        <v>2582</v>
      </c>
      <c r="E758" s="2916">
        <v>0</v>
      </c>
      <c r="F758" s="2916">
        <v>-10</v>
      </c>
      <c r="G758" s="2916">
        <v>4</v>
      </c>
      <c r="H758" s="2916">
        <v>4</v>
      </c>
      <c r="I758" s="2916" t="s">
        <v>1864</v>
      </c>
      <c r="J758" s="2916" t="s">
        <v>1766</v>
      </c>
      <c r="K758" s="2898" t="s">
        <v>8905</v>
      </c>
      <c r="L758" s="2916" t="str">
        <f t="shared" si="97"/>
        <v>Distinta</v>
      </c>
      <c r="M758" s="2927">
        <v>3</v>
      </c>
      <c r="N758" s="2927">
        <v>-3</v>
      </c>
      <c r="O758" s="2927">
        <v>15</v>
      </c>
      <c r="P758" s="2916"/>
      <c r="Q758" s="2916"/>
      <c r="R758" s="2916" t="s">
        <v>1766</v>
      </c>
      <c r="S758" s="2916">
        <v>1</v>
      </c>
      <c r="T758" s="2916">
        <v>50</v>
      </c>
      <c r="U758" s="2916"/>
      <c r="V758" s="2898" t="s">
        <v>1766</v>
      </c>
      <c r="W758" s="2898"/>
      <c r="X758" s="2899"/>
      <c r="Z758" s="2647" t="str">
        <f t="shared" si="98"/>
        <v/>
      </c>
      <c r="AA758" s="2407"/>
      <c r="AB758" s="363"/>
      <c r="AC758" s="2606"/>
      <c r="AG758" s="2221" t="str">
        <f t="shared" ref="AG758:AG766" si="99">IF(ISNA(INDEX(Lista_Armas,MATCH($A129,AJ$630:AJ$766,0))),"",INDEX(Lista_Armas,MATCH($A129,AJ$630:AJ$766,0)))</f>
        <v/>
      </c>
      <c r="AH758" s="2001" t="str">
        <f t="shared" ref="AH758:AH766" si="100">IF(ISNA(INDEX(Lista_Armas,MATCH($A129,AK$630:AK$766,0))),"",INDEX(Lista_Armas,MATCH($A129,AK$630:AK$766,0)))</f>
        <v/>
      </c>
      <c r="AI758" s="2001" t="str">
        <f t="shared" ref="AI758:AI766" si="101">IF(ISNA(INDEX(Lista_Armas,MATCH($A129,AL$630:AL$766,0))),"",INDEX(Lista_Armas,MATCH($A129,AL$630:AL$766,0)))</f>
        <v/>
      </c>
      <c r="AJ758" s="2905">
        <f>IF($L758=AJ$627,COUNTIF($L$630:$L758,AJ$627)+4,0)</f>
        <v>0</v>
      </c>
      <c r="AK758" s="2902">
        <f>IF($L758=AK$627,COUNTIF($L$630:$L758,AK$627)+4,0)</f>
        <v>0</v>
      </c>
      <c r="AL758" s="2908">
        <f>IF($L758=AL$627,COUNTIF($L$630:$L758,AL$627)+4,0)</f>
        <v>118</v>
      </c>
    </row>
    <row r="759" spans="1:38" ht="12.75" customHeight="1" x14ac:dyDescent="0.2">
      <c r="A759" s="1916">
        <v>759</v>
      </c>
      <c r="B759" s="5148"/>
      <c r="C759" s="2918"/>
      <c r="D759" s="2919" t="s">
        <v>8571</v>
      </c>
      <c r="E759" s="2916">
        <v>0</v>
      </c>
      <c r="F759" s="2916">
        <v>-30</v>
      </c>
      <c r="G759" s="2916">
        <v>7</v>
      </c>
      <c r="H759" s="2916">
        <v>7</v>
      </c>
      <c r="I759" s="2916" t="s">
        <v>1864</v>
      </c>
      <c r="J759" s="2916" t="s">
        <v>1766</v>
      </c>
      <c r="K759" s="2898" t="s">
        <v>8905</v>
      </c>
      <c r="L759" s="2916" t="str">
        <f t="shared" si="97"/>
        <v>Distinta</v>
      </c>
      <c r="M759" s="2927">
        <v>8</v>
      </c>
      <c r="N759" s="2927">
        <v>-2</v>
      </c>
      <c r="O759" s="2927">
        <v>20</v>
      </c>
      <c r="P759" s="2916"/>
      <c r="Q759" s="2916"/>
      <c r="R759" s="2916" t="s">
        <v>1766</v>
      </c>
      <c r="S759" s="2916">
        <v>1</v>
      </c>
      <c r="T759" s="2916">
        <v>90</v>
      </c>
      <c r="U759" s="2916"/>
      <c r="V759" s="2898" t="s">
        <v>1897</v>
      </c>
      <c r="W759" s="2898"/>
      <c r="X759" s="2899"/>
      <c r="Z759" s="2647" t="str">
        <f t="shared" si="98"/>
        <v/>
      </c>
      <c r="AA759" s="2407"/>
      <c r="AB759" s="363"/>
      <c r="AC759" s="2606"/>
      <c r="AG759" s="2221" t="str">
        <f t="shared" si="99"/>
        <v/>
      </c>
      <c r="AH759" s="2001" t="str">
        <f t="shared" si="100"/>
        <v/>
      </c>
      <c r="AI759" s="2001" t="str">
        <f t="shared" si="101"/>
        <v/>
      </c>
      <c r="AJ759" s="2905">
        <f>IF($L759=AJ$627,COUNTIF($L$630:$L759,AJ$627)+4,0)</f>
        <v>0</v>
      </c>
      <c r="AK759" s="2902">
        <f>IF($L759=AK$627,COUNTIF($L$630:$L759,AK$627)+4,0)</f>
        <v>0</v>
      </c>
      <c r="AL759" s="2908">
        <f>IF($L759=AL$627,COUNTIF($L$630:$L759,AL$627)+4,0)</f>
        <v>119</v>
      </c>
    </row>
    <row r="760" spans="1:38" ht="12.75" customHeight="1" x14ac:dyDescent="0.2">
      <c r="A760" s="1916">
        <v>760</v>
      </c>
      <c r="B760" s="5148"/>
      <c r="C760" s="2918"/>
      <c r="D760" s="2919" t="s">
        <v>2583</v>
      </c>
      <c r="E760" s="2916">
        <v>0</v>
      </c>
      <c r="F760" s="2916">
        <v>-20</v>
      </c>
      <c r="G760" s="2916">
        <v>0</v>
      </c>
      <c r="H760" s="2916">
        <v>0</v>
      </c>
      <c r="I760" s="2916" t="s">
        <v>1864</v>
      </c>
      <c r="J760" s="2916" t="s">
        <v>1766</v>
      </c>
      <c r="K760" s="2898" t="s">
        <v>8905</v>
      </c>
      <c r="L760" s="2916" t="str">
        <f t="shared" si="97"/>
        <v>Distinta</v>
      </c>
      <c r="M760" s="2927">
        <v>9</v>
      </c>
      <c r="N760" s="2927">
        <v>-3</v>
      </c>
      <c r="O760" s="2927">
        <v>20</v>
      </c>
      <c r="P760" s="2916"/>
      <c r="Q760" s="2916"/>
      <c r="R760" s="2916" t="s">
        <v>1766</v>
      </c>
      <c r="S760" s="2916">
        <v>4</v>
      </c>
      <c r="T760" s="2916">
        <v>80</v>
      </c>
      <c r="U760" s="2916">
        <v>11</v>
      </c>
      <c r="V760" s="2898" t="s">
        <v>2558</v>
      </c>
      <c r="W760" s="2898"/>
      <c r="X760" s="2899"/>
      <c r="Z760" s="2647" t="str">
        <f t="shared" si="98"/>
        <v/>
      </c>
      <c r="AA760" s="2407"/>
      <c r="AB760" s="363"/>
      <c r="AC760" s="2606"/>
      <c r="AG760" s="2221" t="str">
        <f t="shared" si="99"/>
        <v/>
      </c>
      <c r="AH760" s="2001" t="str">
        <f t="shared" si="100"/>
        <v/>
      </c>
      <c r="AI760" s="2001" t="str">
        <f t="shared" si="101"/>
        <v/>
      </c>
      <c r="AJ760" s="2905">
        <f>IF($L760=AJ$627,COUNTIF($L$630:$L760,AJ$627)+4,0)</f>
        <v>0</v>
      </c>
      <c r="AK760" s="2902">
        <f>IF($L760=AK$627,COUNTIF($L$630:$L760,AK$627)+4,0)</f>
        <v>0</v>
      </c>
      <c r="AL760" s="2908">
        <f>IF($L760=AL$627,COUNTIF($L$630:$L760,AL$627)+4,0)</f>
        <v>120</v>
      </c>
    </row>
    <row r="761" spans="1:38" ht="12.75" customHeight="1" x14ac:dyDescent="0.2">
      <c r="A761" s="1916">
        <v>761</v>
      </c>
      <c r="B761" s="5148"/>
      <c r="C761" s="2918"/>
      <c r="D761" s="2919" t="s">
        <v>2584</v>
      </c>
      <c r="E761" s="2916">
        <v>0</v>
      </c>
      <c r="F761" s="2916">
        <v>-40</v>
      </c>
      <c r="G761" s="2916">
        <v>4</v>
      </c>
      <c r="H761" s="2916">
        <v>4</v>
      </c>
      <c r="I761" s="2916" t="s">
        <v>1809</v>
      </c>
      <c r="J761" s="2916" t="s">
        <v>1766</v>
      </c>
      <c r="K761" s="2898" t="s">
        <v>8905</v>
      </c>
      <c r="L761" s="2916" t="str">
        <f t="shared" si="97"/>
        <v>Distinta</v>
      </c>
      <c r="M761" s="2927">
        <v>3</v>
      </c>
      <c r="N761" s="2927">
        <v>-6</v>
      </c>
      <c r="O761" s="2927">
        <v>10</v>
      </c>
      <c r="P761" s="2916"/>
      <c r="Q761" s="2916"/>
      <c r="R761" s="2916" t="s">
        <v>1766</v>
      </c>
      <c r="S761" s="2916">
        <v>1</v>
      </c>
      <c r="T761" s="2916">
        <v>50</v>
      </c>
      <c r="U761" s="2916"/>
      <c r="V761" s="2898" t="s">
        <v>1766</v>
      </c>
      <c r="W761" s="2898"/>
      <c r="X761" s="2899"/>
      <c r="Z761" s="2647" t="str">
        <f t="shared" si="98"/>
        <v/>
      </c>
      <c r="AA761" s="2407"/>
      <c r="AB761" s="363"/>
      <c r="AC761" s="2606"/>
      <c r="AG761" s="2221" t="str">
        <f t="shared" si="99"/>
        <v/>
      </c>
      <c r="AH761" s="2001" t="str">
        <f t="shared" si="100"/>
        <v/>
      </c>
      <c r="AI761" s="2001" t="str">
        <f t="shared" si="101"/>
        <v/>
      </c>
      <c r="AJ761" s="2905">
        <f>IF($L761=AJ$627,COUNTIF($L$630:$L761,AJ$627)+4,0)</f>
        <v>0</v>
      </c>
      <c r="AK761" s="2902">
        <f>IF($L761=AK$627,COUNTIF($L$630:$L761,AK$627)+4,0)</f>
        <v>0</v>
      </c>
      <c r="AL761" s="2908">
        <f>IF($L761=AL$627,COUNTIF($L$630:$L761,AL$627)+4,0)</f>
        <v>121</v>
      </c>
    </row>
    <row r="762" spans="1:38" ht="12.75" customHeight="1" x14ac:dyDescent="0.2">
      <c r="A762" s="1916">
        <v>762</v>
      </c>
      <c r="B762" s="5148"/>
      <c r="C762" s="2918"/>
      <c r="D762" s="2919" t="s">
        <v>2585</v>
      </c>
      <c r="E762" s="2916">
        <v>0</v>
      </c>
      <c r="F762" s="2916">
        <v>0</v>
      </c>
      <c r="G762" s="2916">
        <v>0</v>
      </c>
      <c r="H762" s="2916">
        <v>0</v>
      </c>
      <c r="I762" s="2916" t="s">
        <v>1864</v>
      </c>
      <c r="J762" s="2916" t="s">
        <v>1766</v>
      </c>
      <c r="K762" s="2898" t="s">
        <v>8905</v>
      </c>
      <c r="L762" s="2916" t="str">
        <f t="shared" si="97"/>
        <v>Distinta</v>
      </c>
      <c r="M762" s="2927">
        <v>8</v>
      </c>
      <c r="N762" s="2927">
        <v>-3</v>
      </c>
      <c r="O762" s="2927">
        <v>20</v>
      </c>
      <c r="P762" s="2916"/>
      <c r="Q762" s="2916"/>
      <c r="R762" s="2916" t="s">
        <v>1766</v>
      </c>
      <c r="S762" s="2916">
        <v>4</v>
      </c>
      <c r="T762" s="2916">
        <v>50</v>
      </c>
      <c r="U762" s="2916">
        <v>9</v>
      </c>
      <c r="V762" s="2898" t="s">
        <v>2558</v>
      </c>
      <c r="W762" s="2898"/>
      <c r="X762" s="2899"/>
      <c r="Z762" s="2647" t="str">
        <f t="shared" si="98"/>
        <v/>
      </c>
      <c r="AA762" s="2407"/>
      <c r="AB762" s="363"/>
      <c r="AC762" s="2606"/>
      <c r="AG762" s="2221" t="str">
        <f t="shared" si="99"/>
        <v/>
      </c>
      <c r="AH762" s="2001" t="str">
        <f t="shared" si="100"/>
        <v/>
      </c>
      <c r="AI762" s="2001" t="str">
        <f t="shared" si="101"/>
        <v/>
      </c>
      <c r="AJ762" s="2905">
        <f>IF($L762=AJ$627,COUNTIF($L$630:$L762,AJ$627)+4,0)</f>
        <v>0</v>
      </c>
      <c r="AK762" s="2902">
        <f>IF($L762=AK$627,COUNTIF($L$630:$L762,AK$627)+4,0)</f>
        <v>0</v>
      </c>
      <c r="AL762" s="2908">
        <f>IF($L762=AL$627,COUNTIF($L$630:$L762,AL$627)+4,0)</f>
        <v>122</v>
      </c>
    </row>
    <row r="763" spans="1:38" ht="12.75" customHeight="1" x14ac:dyDescent="0.2">
      <c r="A763" s="1916">
        <v>763</v>
      </c>
      <c r="B763" s="5148"/>
      <c r="C763" s="2918"/>
      <c r="D763" s="19" t="s">
        <v>10002</v>
      </c>
      <c r="E763" s="2898"/>
      <c r="F763" s="2898"/>
      <c r="G763" s="2898"/>
      <c r="H763" s="2898"/>
      <c r="I763" s="2898"/>
      <c r="J763" s="2898"/>
      <c r="K763" s="2898"/>
      <c r="L763" s="2898"/>
      <c r="M763" s="2898"/>
      <c r="N763" s="2898"/>
      <c r="O763" s="2898"/>
      <c r="P763" s="2898"/>
      <c r="Q763" s="2898"/>
      <c r="R763" s="2898"/>
      <c r="S763" s="2898"/>
      <c r="T763" s="2898"/>
      <c r="U763" s="2898"/>
      <c r="V763" s="2898"/>
      <c r="W763" s="2898"/>
      <c r="X763" s="2899"/>
      <c r="Z763" s="2647" t="str">
        <f t="shared" si="98"/>
        <v/>
      </c>
      <c r="AA763" s="2407"/>
      <c r="AB763" s="363"/>
      <c r="AC763" s="2606"/>
      <c r="AG763" s="2221" t="str">
        <f t="shared" si="99"/>
        <v/>
      </c>
      <c r="AH763" s="2001" t="str">
        <f t="shared" si="100"/>
        <v/>
      </c>
      <c r="AI763" s="2001" t="str">
        <f t="shared" si="101"/>
        <v/>
      </c>
      <c r="AJ763" s="2905">
        <f>MAX(AJ$630:AJ762)+1</f>
        <v>5</v>
      </c>
      <c r="AK763" s="2902">
        <f>MAX(AK$630:AK762)+1</f>
        <v>15</v>
      </c>
      <c r="AL763" s="2908">
        <f>MAX(AL$630:AL762)+1</f>
        <v>123</v>
      </c>
    </row>
    <row r="764" spans="1:38" ht="12.75" customHeight="1" x14ac:dyDescent="0.2">
      <c r="A764" s="1916">
        <v>764</v>
      </c>
      <c r="B764" s="5148"/>
      <c r="C764" s="2918"/>
      <c r="D764" s="19" t="s">
        <v>10003</v>
      </c>
      <c r="E764" s="2916">
        <v>0</v>
      </c>
      <c r="F764" s="2916">
        <v>-80</v>
      </c>
      <c r="G764" s="2916">
        <v>0</v>
      </c>
      <c r="H764" s="2916">
        <v>0</v>
      </c>
      <c r="I764" s="2916" t="s">
        <v>1864</v>
      </c>
      <c r="J764" s="2916" t="s">
        <v>1766</v>
      </c>
      <c r="K764" s="2898" t="s">
        <v>8905</v>
      </c>
      <c r="L764" s="2916" t="str">
        <f>IF(ISNUMBER(SEARCH($D764,Armas_Conocidas)),"Conocida",IF(OR(ISNUMBER(SEARCH(LEFT($K764,SEARCH("/",$K764)),Tipologías_Conocidas)),AND(NOT(ISNUMBER(SEARCH("/-",$K764))),ISNUMBER(SEARCH(MID($K764,SEARCH("/",$K764)+1,LEN($K764)),Tipologías_Conocidas)))),IF(ISNUMBER(SEARCH($K764,Tipologías_Conocidas)),"Similar","Mixta"),"Distinta"))</f>
        <v>Distinta</v>
      </c>
      <c r="M764" s="2916">
        <v>18</v>
      </c>
      <c r="N764" s="2916" t="s">
        <v>1766</v>
      </c>
      <c r="O764" s="2916">
        <v>25</v>
      </c>
      <c r="P764" s="2916"/>
      <c r="Q764" s="2916"/>
      <c r="R764" s="2916" t="s">
        <v>1766</v>
      </c>
      <c r="S764" s="2916"/>
      <c r="T764" s="2916">
        <v>150</v>
      </c>
      <c r="U764" s="2916">
        <v>10</v>
      </c>
      <c r="V764" s="2898" t="s">
        <v>2520</v>
      </c>
      <c r="W764" s="2898"/>
      <c r="X764" s="2899"/>
      <c r="Z764" s="2647" t="str">
        <f t="shared" si="98"/>
        <v/>
      </c>
      <c r="AA764" s="2407"/>
      <c r="AB764" s="363"/>
      <c r="AC764" s="2606"/>
      <c r="AG764" s="2221" t="str">
        <f t="shared" si="99"/>
        <v/>
      </c>
      <c r="AH764" s="2001" t="str">
        <f t="shared" si="100"/>
        <v/>
      </c>
      <c r="AI764" s="2001" t="str">
        <f t="shared" si="101"/>
        <v/>
      </c>
      <c r="AJ764" s="2905">
        <f>IF($L764=AJ$627,COUNTIF($L$630:$L764,AJ$627)+5,0)</f>
        <v>0</v>
      </c>
      <c r="AK764" s="2902">
        <f>IF($L764=AK$627,COUNTIF($L$630:$L764,AK$627)+5,0)</f>
        <v>0</v>
      </c>
      <c r="AL764" s="2908">
        <f>IF($L764=AL$627,COUNTIF($L$630:$L764,AL$627)+5,0)</f>
        <v>124</v>
      </c>
    </row>
    <row r="765" spans="1:38" ht="12.75" customHeight="1" x14ac:dyDescent="0.2">
      <c r="A765" s="1916">
        <v>765</v>
      </c>
      <c r="B765" s="5148"/>
      <c r="C765" s="2918"/>
      <c r="D765" s="19" t="s">
        <v>10004</v>
      </c>
      <c r="E765" s="2916">
        <v>0</v>
      </c>
      <c r="F765" s="2916">
        <v>-100</v>
      </c>
      <c r="G765" s="2916">
        <v>0</v>
      </c>
      <c r="H765" s="2916">
        <v>0</v>
      </c>
      <c r="I765" s="2916" t="s">
        <v>1864</v>
      </c>
      <c r="J765" s="2916" t="s">
        <v>1766</v>
      </c>
      <c r="K765" s="2898" t="s">
        <v>8905</v>
      </c>
      <c r="L765" s="2916" t="str">
        <f>IF(ISNUMBER(SEARCH($D765,Armas_Conocidas)),"Conocida",IF(OR(ISNUMBER(SEARCH(LEFT($K765,SEARCH("/",$K765)),Tipologías_Conocidas)),AND(NOT(ISNUMBER(SEARCH("/-",$K765))),ISNUMBER(SEARCH(MID($K765,SEARCH("/",$K765)+1,LEN($K765)),Tipologías_Conocidas)))),IF(ISNUMBER(SEARCH($K765,Tipologías_Conocidas)),"Similar","Mixta"),"Distinta"))</f>
        <v>Distinta</v>
      </c>
      <c r="M765" s="2916">
        <v>20</v>
      </c>
      <c r="N765" s="2916" t="s">
        <v>1766</v>
      </c>
      <c r="O765" s="2916">
        <v>30</v>
      </c>
      <c r="P765" s="2916"/>
      <c r="Q765" s="2916"/>
      <c r="R765" s="2916" t="s">
        <v>1766</v>
      </c>
      <c r="S765" s="2916"/>
      <c r="T765" s="2916">
        <v>200</v>
      </c>
      <c r="U765" s="2916">
        <v>13</v>
      </c>
      <c r="V765" s="2898" t="s">
        <v>2520</v>
      </c>
      <c r="W765" s="2898"/>
      <c r="X765" s="2899"/>
      <c r="Z765" s="2647" t="str">
        <f t="shared" si="98"/>
        <v/>
      </c>
      <c r="AA765" s="2407"/>
      <c r="AB765" s="363"/>
      <c r="AC765" s="2606"/>
      <c r="AG765" s="2221" t="str">
        <f t="shared" si="99"/>
        <v/>
      </c>
      <c r="AH765" s="2001" t="str">
        <f t="shared" si="100"/>
        <v/>
      </c>
      <c r="AI765" s="2001" t="str">
        <f t="shared" si="101"/>
        <v/>
      </c>
      <c r="AJ765" s="2905">
        <f>IF($L765=AJ$627,COUNTIF($L$630:$L765,AJ$627)+5,0)</f>
        <v>0</v>
      </c>
      <c r="AK765" s="2902">
        <f>IF($L765=AK$627,COUNTIF($L$630:$L765,AK$627)+5,0)</f>
        <v>0</v>
      </c>
      <c r="AL765" s="2908">
        <f>IF($L765=AL$627,COUNTIF($L$630:$L765,AL$627)+5,0)</f>
        <v>125</v>
      </c>
    </row>
    <row r="766" spans="1:38" ht="12.75" customHeight="1" thickBot="1" x14ac:dyDescent="0.25">
      <c r="A766" s="1916">
        <v>766</v>
      </c>
      <c r="B766" s="5148"/>
      <c r="C766" s="2918"/>
      <c r="D766" s="19" t="s">
        <v>10005</v>
      </c>
      <c r="E766" s="2916">
        <v>0</v>
      </c>
      <c r="F766" s="2916">
        <v>-100</v>
      </c>
      <c r="G766" s="2916">
        <v>0</v>
      </c>
      <c r="H766" s="2916">
        <v>0</v>
      </c>
      <c r="I766" s="2916" t="s">
        <v>1809</v>
      </c>
      <c r="J766" s="2916" t="s">
        <v>1766</v>
      </c>
      <c r="K766" s="2898" t="s">
        <v>8905</v>
      </c>
      <c r="L766" s="2916" t="str">
        <f>IF(ISNUMBER(SEARCH($D766,Armas_Conocidas)),"Conocida",IF(OR(ISNUMBER(SEARCH(LEFT($K766,SEARCH("/",$K766)),Tipologías_Conocidas)),AND(NOT(ISNUMBER(SEARCH("/-",$K766))),ISNUMBER(SEARCH(MID($K766,SEARCH("/",$K766)+1,LEN($K766)),Tipologías_Conocidas)))),IF(ISNUMBER(SEARCH($K766,Tipologías_Conocidas)),"Similar","Mixta"),"Distinta"))</f>
        <v>Distinta</v>
      </c>
      <c r="M766" s="2916">
        <v>24</v>
      </c>
      <c r="N766" s="2916" t="s">
        <v>1766</v>
      </c>
      <c r="O766" s="2916">
        <v>30</v>
      </c>
      <c r="P766" s="2916"/>
      <c r="Q766" s="2916"/>
      <c r="R766" s="2916" t="s">
        <v>1766</v>
      </c>
      <c r="S766" s="2916"/>
      <c r="T766" s="2916">
        <v>250</v>
      </c>
      <c r="U766" s="2916">
        <v>13</v>
      </c>
      <c r="V766" s="2898" t="s">
        <v>2520</v>
      </c>
      <c r="W766" s="2898"/>
      <c r="X766" s="2899"/>
      <c r="Z766" s="2647" t="str">
        <f t="shared" si="98"/>
        <v/>
      </c>
      <c r="AA766" s="2407"/>
      <c r="AB766" s="363"/>
      <c r="AC766" s="2606"/>
      <c r="AG766" s="2909" t="str">
        <f t="shared" si="99"/>
        <v/>
      </c>
      <c r="AH766" s="2411" t="str">
        <f t="shared" si="100"/>
        <v/>
      </c>
      <c r="AI766" s="2411" t="str">
        <f t="shared" si="101"/>
        <v/>
      </c>
      <c r="AJ766" s="2910">
        <f>IF($L766=AJ$627,COUNTIF($L$630:$L766,AJ$627)+5,0)</f>
        <v>0</v>
      </c>
      <c r="AK766" s="2911">
        <f>IF($L766=AK$627,COUNTIF($L$630:$L766,AK$627)+5,0)</f>
        <v>0</v>
      </c>
      <c r="AL766" s="2912">
        <f>IF($L766=AL$627,COUNTIF($L$630:$L766,AL$627)+5,0)</f>
        <v>126</v>
      </c>
    </row>
    <row r="767" spans="1:38" ht="12.75" customHeight="1" x14ac:dyDescent="0.2">
      <c r="A767" s="1916">
        <v>767</v>
      </c>
      <c r="B767" s="5148"/>
      <c r="C767" s="2918"/>
      <c r="D767" s="2919" t="s">
        <v>2586</v>
      </c>
      <c r="E767" s="2924"/>
      <c r="F767" s="2924"/>
      <c r="G767" s="2924"/>
      <c r="H767" s="2924"/>
      <c r="I767" s="2924"/>
      <c r="J767" s="2924"/>
      <c r="K767" s="2421" t="s">
        <v>8885</v>
      </c>
      <c r="L767" s="2924"/>
      <c r="M767" s="2924"/>
      <c r="N767" s="2924"/>
      <c r="O767" s="2924"/>
      <c r="P767" s="2924"/>
      <c r="Q767" s="2924"/>
      <c r="R767" s="2924"/>
      <c r="S767" s="2924"/>
      <c r="T767" s="2924"/>
      <c r="U767" s="2924"/>
      <c r="V767" s="2421"/>
      <c r="W767" s="2421"/>
      <c r="X767" s="2925"/>
      <c r="Z767" s="2647" t="str">
        <f t="shared" si="98"/>
        <v/>
      </c>
      <c r="AA767" s="2407"/>
      <c r="AB767" s="363"/>
      <c r="AC767" s="2606"/>
    </row>
    <row r="768" spans="1:38" ht="12.75" customHeight="1" x14ac:dyDescent="0.2">
      <c r="A768" s="1916">
        <v>768</v>
      </c>
      <c r="B768" s="5148"/>
      <c r="C768" s="2918"/>
      <c r="D768" s="2919" t="s">
        <v>2587</v>
      </c>
      <c r="E768" s="2916">
        <v>60</v>
      </c>
      <c r="F768" s="2916" t="s">
        <v>1766</v>
      </c>
      <c r="G768" s="2916">
        <v>0</v>
      </c>
      <c r="H768" s="2916">
        <v>0</v>
      </c>
      <c r="I768" s="2916" t="s">
        <v>1864</v>
      </c>
      <c r="J768" s="2916" t="s">
        <v>1766</v>
      </c>
      <c r="K768" s="2898" t="s">
        <v>8906</v>
      </c>
      <c r="L768" s="2916"/>
      <c r="M768" s="2927">
        <v>11</v>
      </c>
      <c r="N768" s="2927">
        <v>5</v>
      </c>
      <c r="O768" s="2927">
        <v>15</v>
      </c>
      <c r="P768" s="2916"/>
      <c r="Q768" s="2916"/>
      <c r="R768" s="2916" t="s">
        <v>1766</v>
      </c>
      <c r="S768" s="2916" t="s">
        <v>1766</v>
      </c>
      <c r="T768" s="2916" t="s">
        <v>1766</v>
      </c>
      <c r="U768" s="2916"/>
      <c r="V768" s="5183" t="s">
        <v>2588</v>
      </c>
      <c r="W768" s="5183"/>
      <c r="X768" s="5184"/>
      <c r="Z768" s="2647" t="str">
        <f t="shared" si="98"/>
        <v/>
      </c>
      <c r="AA768" s="2407"/>
      <c r="AB768" s="363"/>
      <c r="AC768" s="2606"/>
    </row>
    <row r="769" spans="1:29" ht="12.75" customHeight="1" x14ac:dyDescent="0.2">
      <c r="A769" s="1916">
        <v>769</v>
      </c>
      <c r="B769" s="5148"/>
      <c r="C769" s="2918"/>
      <c r="D769" s="2919" t="s">
        <v>2589</v>
      </c>
      <c r="E769" s="2916">
        <v>120</v>
      </c>
      <c r="F769" s="2916" t="s">
        <v>1766</v>
      </c>
      <c r="G769" s="2916">
        <v>0</v>
      </c>
      <c r="H769" s="2916">
        <v>0</v>
      </c>
      <c r="I769" s="2916" t="s">
        <v>1864</v>
      </c>
      <c r="J769" s="2916" t="s">
        <v>1766</v>
      </c>
      <c r="K769" s="2898" t="s">
        <v>8906</v>
      </c>
      <c r="L769" s="2916"/>
      <c r="M769" s="2927">
        <v>20</v>
      </c>
      <c r="N769" s="2927">
        <v>14</v>
      </c>
      <c r="O769" s="2927">
        <v>15</v>
      </c>
      <c r="P769" s="2916"/>
      <c r="Q769" s="2916"/>
      <c r="R769" s="2916" t="s">
        <v>1766</v>
      </c>
      <c r="S769" s="2916" t="s">
        <v>1766</v>
      </c>
      <c r="T769" s="2916" t="s">
        <v>1766</v>
      </c>
      <c r="U769" s="2916"/>
      <c r="V769" s="5183" t="s">
        <v>2590</v>
      </c>
      <c r="W769" s="5183"/>
      <c r="X769" s="5184"/>
      <c r="Z769" s="2647" t="str">
        <f t="shared" si="98"/>
        <v/>
      </c>
      <c r="AA769" s="2407"/>
      <c r="AB769" s="363"/>
      <c r="AC769" s="2606"/>
    </row>
    <row r="770" spans="1:29" ht="12.75" customHeight="1" x14ac:dyDescent="0.2">
      <c r="A770" s="1916">
        <v>770</v>
      </c>
      <c r="B770" s="5148"/>
      <c r="C770" s="2918"/>
      <c r="D770" s="2919" t="s">
        <v>2591</v>
      </c>
      <c r="E770" s="2916">
        <v>5</v>
      </c>
      <c r="F770" s="2916" t="s">
        <v>1766</v>
      </c>
      <c r="G770" s="2916">
        <v>0</v>
      </c>
      <c r="H770" s="2916">
        <v>0</v>
      </c>
      <c r="I770" s="2916" t="s">
        <v>1864</v>
      </c>
      <c r="J770" s="2916" t="s">
        <v>1766</v>
      </c>
      <c r="K770" s="2898" t="s">
        <v>8906</v>
      </c>
      <c r="L770" s="2916"/>
      <c r="M770" s="2927">
        <v>2</v>
      </c>
      <c r="N770" s="2927">
        <v>-4</v>
      </c>
      <c r="O770" s="2927">
        <v>15</v>
      </c>
      <c r="P770" s="2916"/>
      <c r="Q770" s="2916"/>
      <c r="R770" s="2916" t="s">
        <v>1766</v>
      </c>
      <c r="S770" s="2916" t="s">
        <v>1766</v>
      </c>
      <c r="T770" s="2916" t="s">
        <v>1766</v>
      </c>
      <c r="U770" s="2916"/>
      <c r="V770" s="5183" t="s">
        <v>2592</v>
      </c>
      <c r="W770" s="5183"/>
      <c r="X770" s="5184"/>
      <c r="Z770" s="2647" t="str">
        <f t="shared" si="98"/>
        <v/>
      </c>
      <c r="AA770" s="2407"/>
      <c r="AB770" s="363"/>
      <c r="AC770" s="2606"/>
    </row>
    <row r="771" spans="1:29" ht="12.75" customHeight="1" x14ac:dyDescent="0.2">
      <c r="A771" s="1916">
        <v>771</v>
      </c>
      <c r="B771" s="5148"/>
      <c r="C771" s="2918"/>
      <c r="D771" s="2919" t="s">
        <v>2593</v>
      </c>
      <c r="E771" s="2916">
        <v>40</v>
      </c>
      <c r="F771" s="2916" t="s">
        <v>1766</v>
      </c>
      <c r="G771" s="2916">
        <v>0</v>
      </c>
      <c r="H771" s="2916">
        <v>0</v>
      </c>
      <c r="I771" s="2916" t="s">
        <v>1864</v>
      </c>
      <c r="J771" s="2916" t="s">
        <v>1766</v>
      </c>
      <c r="K771" s="2898" t="s">
        <v>8906</v>
      </c>
      <c r="L771" s="2916"/>
      <c r="M771" s="2927">
        <v>4</v>
      </c>
      <c r="N771" s="2927">
        <v>1</v>
      </c>
      <c r="O771" s="2927">
        <v>20</v>
      </c>
      <c r="P771" s="2916"/>
      <c r="Q771" s="2916"/>
      <c r="R771" s="2916" t="s">
        <v>1766</v>
      </c>
      <c r="S771" s="2916" t="s">
        <v>1766</v>
      </c>
      <c r="T771" s="2916" t="s">
        <v>1766</v>
      </c>
      <c r="U771" s="2916"/>
      <c r="V771" s="5183" t="s">
        <v>2594</v>
      </c>
      <c r="W771" s="5183"/>
      <c r="X771" s="5184"/>
      <c r="Z771" s="2647" t="str">
        <f t="shared" si="98"/>
        <v/>
      </c>
      <c r="AA771" s="2407"/>
      <c r="AB771" s="363"/>
      <c r="AC771" s="2606"/>
    </row>
    <row r="772" spans="1:29" ht="12.75" customHeight="1" x14ac:dyDescent="0.2">
      <c r="A772" s="1916">
        <v>772</v>
      </c>
      <c r="B772" s="5148"/>
      <c r="C772" s="2918"/>
      <c r="D772" s="2919" t="s">
        <v>2595</v>
      </c>
      <c r="E772" s="2916">
        <v>30</v>
      </c>
      <c r="F772" s="2916" t="s">
        <v>1766</v>
      </c>
      <c r="G772" s="2916">
        <v>0</v>
      </c>
      <c r="H772" s="2916">
        <v>0</v>
      </c>
      <c r="I772" s="2916" t="s">
        <v>1864</v>
      </c>
      <c r="J772" s="2916" t="s">
        <v>1766</v>
      </c>
      <c r="K772" s="2898" t="s">
        <v>8906</v>
      </c>
      <c r="L772" s="2916"/>
      <c r="M772" s="2927">
        <v>3</v>
      </c>
      <c r="N772" s="2927">
        <v>0</v>
      </c>
      <c r="O772" s="2927">
        <v>20</v>
      </c>
      <c r="P772" s="2916"/>
      <c r="Q772" s="2916"/>
      <c r="R772" s="2916" t="s">
        <v>1766</v>
      </c>
      <c r="S772" s="2916" t="s">
        <v>1766</v>
      </c>
      <c r="T772" s="2916" t="s">
        <v>1766</v>
      </c>
      <c r="U772" s="2916"/>
      <c r="V772" s="5183" t="s">
        <v>2596</v>
      </c>
      <c r="W772" s="5183"/>
      <c r="X772" s="5184"/>
      <c r="Z772" s="2647" t="str">
        <f t="shared" si="98"/>
        <v/>
      </c>
      <c r="AA772" s="2407"/>
      <c r="AB772" s="363"/>
      <c r="AC772" s="2606"/>
    </row>
    <row r="773" spans="1:29" ht="12.75" customHeight="1" x14ac:dyDescent="0.2">
      <c r="A773" s="1916">
        <v>773</v>
      </c>
      <c r="B773" s="5148"/>
      <c r="C773" s="2918"/>
      <c r="D773" s="2919" t="s">
        <v>2597</v>
      </c>
      <c r="E773" s="2916">
        <v>30</v>
      </c>
      <c r="F773" s="2916" t="s">
        <v>1766</v>
      </c>
      <c r="G773" s="2916">
        <v>0</v>
      </c>
      <c r="H773" s="2916">
        <v>0</v>
      </c>
      <c r="I773" s="2916" t="s">
        <v>1864</v>
      </c>
      <c r="J773" s="2916" t="s">
        <v>1766</v>
      </c>
      <c r="K773" s="2898" t="s">
        <v>8906</v>
      </c>
      <c r="L773" s="2916"/>
      <c r="M773" s="2927">
        <v>3</v>
      </c>
      <c r="N773" s="2927">
        <v>0</v>
      </c>
      <c r="O773" s="2927">
        <v>20</v>
      </c>
      <c r="P773" s="2916"/>
      <c r="Q773" s="2916"/>
      <c r="R773" s="2916" t="s">
        <v>1766</v>
      </c>
      <c r="S773" s="2916" t="s">
        <v>1766</v>
      </c>
      <c r="T773" s="2916" t="s">
        <v>1766</v>
      </c>
      <c r="U773" s="2916"/>
      <c r="V773" s="5183" t="s">
        <v>2598</v>
      </c>
      <c r="W773" s="5183"/>
      <c r="X773" s="5184"/>
      <c r="Z773" s="2647" t="str">
        <f t="shared" si="98"/>
        <v/>
      </c>
      <c r="AA773" s="2407"/>
      <c r="AB773" s="363"/>
      <c r="AC773" s="2606"/>
    </row>
    <row r="774" spans="1:29" ht="12.75" customHeight="1" x14ac:dyDescent="0.2">
      <c r="A774" s="1916">
        <v>774</v>
      </c>
      <c r="B774" s="5148"/>
      <c r="C774" s="2918"/>
      <c r="D774" s="2919" t="s">
        <v>2599</v>
      </c>
      <c r="E774" s="2916">
        <v>15</v>
      </c>
      <c r="F774" s="2916" t="s">
        <v>1766</v>
      </c>
      <c r="G774" s="2916">
        <v>0</v>
      </c>
      <c r="H774" s="2916">
        <v>0</v>
      </c>
      <c r="I774" s="2916" t="s">
        <v>1809</v>
      </c>
      <c r="J774" s="2916" t="s">
        <v>1766</v>
      </c>
      <c r="K774" s="2898" t="s">
        <v>8906</v>
      </c>
      <c r="L774" s="2916"/>
      <c r="M774" s="2927">
        <v>7</v>
      </c>
      <c r="N774" s="2927">
        <v>2</v>
      </c>
      <c r="O774" s="2927">
        <v>10</v>
      </c>
      <c r="P774" s="2916"/>
      <c r="Q774" s="2916"/>
      <c r="R774" s="2916" t="s">
        <v>1766</v>
      </c>
      <c r="S774" s="2916" t="s">
        <v>1766</v>
      </c>
      <c r="T774" s="2916" t="s">
        <v>1766</v>
      </c>
      <c r="U774" s="2916"/>
      <c r="V774" s="5183" t="s">
        <v>2600</v>
      </c>
      <c r="W774" s="5183"/>
      <c r="X774" s="5184"/>
      <c r="Z774" s="2647" t="str">
        <f t="shared" si="98"/>
        <v/>
      </c>
      <c r="AA774" s="2407"/>
      <c r="AB774" s="363"/>
      <c r="AC774" s="2606"/>
    </row>
    <row r="775" spans="1:29" ht="12.75" customHeight="1" x14ac:dyDescent="0.2">
      <c r="A775" s="1916">
        <v>775</v>
      </c>
      <c r="B775" s="5148"/>
      <c r="C775" s="2918"/>
      <c r="D775" s="2919" t="s">
        <v>2601</v>
      </c>
      <c r="E775" s="2916">
        <v>40</v>
      </c>
      <c r="F775" s="2916" t="s">
        <v>1766</v>
      </c>
      <c r="G775" s="2916">
        <v>0</v>
      </c>
      <c r="H775" s="2916">
        <v>0</v>
      </c>
      <c r="I775" s="2916" t="s">
        <v>1864</v>
      </c>
      <c r="J775" s="2916" t="s">
        <v>1766</v>
      </c>
      <c r="K775" s="2898" t="s">
        <v>8906</v>
      </c>
      <c r="L775" s="2916"/>
      <c r="M775" s="2927">
        <v>3</v>
      </c>
      <c r="N775" s="2927">
        <v>0</v>
      </c>
      <c r="O775" s="2927">
        <v>15</v>
      </c>
      <c r="P775" s="2916"/>
      <c r="Q775" s="2916"/>
      <c r="R775" s="2916" t="s">
        <v>1766</v>
      </c>
      <c r="S775" s="2916" t="s">
        <v>1766</v>
      </c>
      <c r="T775" s="2916" t="s">
        <v>1766</v>
      </c>
      <c r="U775" s="2916"/>
      <c r="V775" s="5183" t="s">
        <v>2602</v>
      </c>
      <c r="W775" s="5183"/>
      <c r="X775" s="5184"/>
      <c r="Z775" s="2647" t="str">
        <f t="shared" si="98"/>
        <v/>
      </c>
      <c r="AA775" s="2407"/>
      <c r="AB775" s="363"/>
      <c r="AC775" s="2606"/>
    </row>
    <row r="776" spans="1:29" ht="12.75" customHeight="1" x14ac:dyDescent="0.2">
      <c r="A776" s="1916">
        <v>776</v>
      </c>
      <c r="B776" s="5148"/>
      <c r="C776" s="2918"/>
      <c r="D776" s="2919" t="s">
        <v>2603</v>
      </c>
      <c r="E776" s="2916">
        <v>30</v>
      </c>
      <c r="F776" s="2916" t="s">
        <v>1766</v>
      </c>
      <c r="G776" s="2916">
        <v>0</v>
      </c>
      <c r="H776" s="2916">
        <v>0</v>
      </c>
      <c r="I776" s="2916" t="s">
        <v>1864</v>
      </c>
      <c r="J776" s="2916" t="s">
        <v>1766</v>
      </c>
      <c r="K776" s="2898" t="s">
        <v>8906</v>
      </c>
      <c r="L776" s="2916"/>
      <c r="M776" s="2927">
        <v>2</v>
      </c>
      <c r="N776" s="2927">
        <v>-1</v>
      </c>
      <c r="O776" s="2927">
        <v>15</v>
      </c>
      <c r="P776" s="2916"/>
      <c r="Q776" s="2916"/>
      <c r="R776" s="2916" t="s">
        <v>1766</v>
      </c>
      <c r="S776" s="2916" t="s">
        <v>1766</v>
      </c>
      <c r="T776" s="2916" t="s">
        <v>1766</v>
      </c>
      <c r="U776" s="2916"/>
      <c r="V776" s="5183" t="s">
        <v>2604</v>
      </c>
      <c r="W776" s="5183"/>
      <c r="X776" s="5184"/>
      <c r="Z776" s="2647" t="str">
        <f t="shared" si="98"/>
        <v/>
      </c>
      <c r="AA776" s="2407"/>
      <c r="AB776" s="363"/>
      <c r="AC776" s="2606"/>
    </row>
    <row r="777" spans="1:29" ht="12.75" customHeight="1" x14ac:dyDescent="0.2">
      <c r="A777" s="1916">
        <v>777</v>
      </c>
      <c r="B777" s="5148"/>
      <c r="C777" s="2918"/>
      <c r="D777" s="2919" t="s">
        <v>2605</v>
      </c>
      <c r="E777" s="2916">
        <v>60</v>
      </c>
      <c r="F777" s="2916" t="s">
        <v>1766</v>
      </c>
      <c r="G777" s="2916">
        <v>0</v>
      </c>
      <c r="H777" s="2916">
        <v>0</v>
      </c>
      <c r="I777" s="2916" t="s">
        <v>1864</v>
      </c>
      <c r="J777" s="2916" t="s">
        <v>1766</v>
      </c>
      <c r="K777" s="2898" t="s">
        <v>8906</v>
      </c>
      <c r="L777" s="2916"/>
      <c r="M777" s="2927">
        <v>4</v>
      </c>
      <c r="N777" s="2927">
        <v>1</v>
      </c>
      <c r="O777" s="2927">
        <v>15</v>
      </c>
      <c r="P777" s="2916"/>
      <c r="Q777" s="2916"/>
      <c r="R777" s="2916" t="s">
        <v>1766</v>
      </c>
      <c r="S777" s="2916" t="s">
        <v>1766</v>
      </c>
      <c r="T777" s="2916" t="s">
        <v>1766</v>
      </c>
      <c r="U777" s="2916"/>
      <c r="V777" s="5183" t="s">
        <v>2606</v>
      </c>
      <c r="W777" s="5183"/>
      <c r="X777" s="5184"/>
      <c r="Z777" s="2647" t="str">
        <f t="shared" si="98"/>
        <v/>
      </c>
      <c r="AA777" s="2407"/>
      <c r="AB777" s="363"/>
      <c r="AC777" s="2606"/>
    </row>
    <row r="778" spans="1:29" ht="12.75" customHeight="1" x14ac:dyDescent="0.2">
      <c r="A778" s="1916">
        <v>778</v>
      </c>
      <c r="B778" s="5148"/>
      <c r="C778" s="2918"/>
      <c r="D778" s="2919" t="s">
        <v>2607</v>
      </c>
      <c r="E778" s="2916"/>
      <c r="F778" s="2916"/>
      <c r="G778" s="2916"/>
      <c r="H778" s="2916"/>
      <c r="I778" s="2916"/>
      <c r="J778" s="2916"/>
      <c r="K778" s="2898" t="s">
        <v>8885</v>
      </c>
      <c r="L778" s="2916"/>
      <c r="M778" s="2927"/>
      <c r="N778" s="2927"/>
      <c r="O778" s="2927"/>
      <c r="P778" s="2916"/>
      <c r="Q778" s="2916"/>
      <c r="R778" s="2916"/>
      <c r="S778" s="2916"/>
      <c r="T778" s="2916"/>
      <c r="U778" s="2916"/>
      <c r="V778" s="2898"/>
      <c r="W778" s="2898"/>
      <c r="X778" s="2899"/>
      <c r="Z778" s="2647" t="str">
        <f t="shared" si="98"/>
        <v/>
      </c>
      <c r="AA778" s="2407"/>
      <c r="AB778" s="363"/>
      <c r="AC778" s="2606"/>
    </row>
    <row r="779" spans="1:29" ht="12.75" customHeight="1" x14ac:dyDescent="0.2">
      <c r="A779" s="1916">
        <v>779</v>
      </c>
      <c r="B779" s="5148"/>
      <c r="C779" s="2918"/>
      <c r="D779" s="2919" t="s">
        <v>2608</v>
      </c>
      <c r="E779" s="2916">
        <f>Presencia_final+Bono_Pod-Bono_Fue</f>
        <v>20</v>
      </c>
      <c r="F779" s="2916">
        <v>20</v>
      </c>
      <c r="G779" s="2916">
        <v>0</v>
      </c>
      <c r="H779" s="2916">
        <v>0</v>
      </c>
      <c r="I779" s="2916" t="s">
        <v>2609</v>
      </c>
      <c r="J779" s="2916" t="s">
        <v>1766</v>
      </c>
      <c r="K779" s="2898" t="s">
        <v>8907</v>
      </c>
      <c r="L779" s="2930" t="str">
        <f>IF(SUMPRODUCT(--ISNUMBER(SEARCH($D779,INDEX(Tabla_ArsMagnus,,1))),INDEX(Tabla_ArsMagnus,,4))&gt;0,"Conocida","Distinta")</f>
        <v>Distinta</v>
      </c>
      <c r="M779" s="2927">
        <v>0</v>
      </c>
      <c r="N779" s="2927">
        <f>POD</f>
        <v>5</v>
      </c>
      <c r="O779" s="2927">
        <f>Principal!K83</f>
        <v>0</v>
      </c>
      <c r="P779" s="2916"/>
      <c r="Q779" s="2916"/>
      <c r="R779" s="2916"/>
      <c r="S779" s="2916"/>
      <c r="T779" s="2916"/>
      <c r="U779" s="2916"/>
      <c r="V779" s="2898" t="s">
        <v>2610</v>
      </c>
      <c r="W779" s="2898"/>
      <c r="X779" s="2899"/>
      <c r="Z779" s="2648"/>
      <c r="AA779" s="2407"/>
      <c r="AB779" s="363"/>
      <c r="AC779" s="2606"/>
    </row>
    <row r="780" spans="1:29" ht="12.75" customHeight="1" x14ac:dyDescent="0.2">
      <c r="A780" s="1916">
        <v>780</v>
      </c>
      <c r="B780" s="5148"/>
      <c r="C780" s="2918"/>
      <c r="D780" s="2919" t="s">
        <v>2611</v>
      </c>
      <c r="E780" s="2924"/>
      <c r="F780" s="2924"/>
      <c r="G780" s="2924"/>
      <c r="H780" s="2924"/>
      <c r="I780" s="2924"/>
      <c r="J780" s="2924"/>
      <c r="K780" s="2421" t="s">
        <v>8885</v>
      </c>
      <c r="L780" s="2924"/>
      <c r="M780" s="2924"/>
      <c r="N780" s="2924"/>
      <c r="O780" s="2924"/>
      <c r="P780" s="2924"/>
      <c r="Q780" s="2924"/>
      <c r="R780" s="2924"/>
      <c r="S780" s="2924"/>
      <c r="T780" s="2924"/>
      <c r="U780" s="2924"/>
      <c r="V780" s="2421"/>
      <c r="W780" s="2421"/>
      <c r="X780" s="2925"/>
      <c r="Z780" s="2647" t="str">
        <f>IF(AND(K780&lt;&gt;"Natural/-",ISNUMBER(SEARCH(D780,Armas_Conocidas))),", "&amp;K780,"")</f>
        <v/>
      </c>
      <c r="AA780" s="2407"/>
      <c r="AB780" s="363"/>
      <c r="AC780" s="2606"/>
    </row>
    <row r="781" spans="1:29" ht="12.75" customHeight="1" x14ac:dyDescent="0.2">
      <c r="A781" s="1916">
        <v>781</v>
      </c>
      <c r="B781" s="5148"/>
      <c r="C781" s="2931"/>
      <c r="D781" s="2919" t="s">
        <v>2612</v>
      </c>
      <c r="E781" s="2926">
        <f>100-Bono_Fue</f>
        <v>100</v>
      </c>
      <c r="F781" s="2916">
        <v>-20</v>
      </c>
      <c r="G781" s="2916">
        <v>0</v>
      </c>
      <c r="H781" s="2916">
        <v>0</v>
      </c>
      <c r="I781" s="2916" t="s">
        <v>1864</v>
      </c>
      <c r="J781" s="2916" t="s">
        <v>1863</v>
      </c>
      <c r="K781" s="2898" t="s">
        <v>8885</v>
      </c>
      <c r="L781" s="2930" t="str">
        <f>IF(H970&gt;0,"Conocida","Distinta")</f>
        <v>Distinta</v>
      </c>
      <c r="M781" s="2927">
        <v>16</v>
      </c>
      <c r="N781" s="2927">
        <v>6</v>
      </c>
      <c r="O781" s="2927">
        <v>30</v>
      </c>
      <c r="P781" s="2916"/>
      <c r="Q781" s="2916"/>
      <c r="R781" s="2916" t="s">
        <v>1766</v>
      </c>
      <c r="S781" s="2916" t="s">
        <v>1766</v>
      </c>
      <c r="T781" s="2916" t="s">
        <v>1766</v>
      </c>
      <c r="U781" s="2916"/>
      <c r="V781" s="2898" t="s">
        <v>2613</v>
      </c>
      <c r="W781" s="2924"/>
      <c r="X781" s="2932"/>
      <c r="Z781" s="2648"/>
      <c r="AA781" s="2407"/>
      <c r="AB781" s="363"/>
      <c r="AC781" s="2606"/>
    </row>
    <row r="782" spans="1:29" ht="12.75" customHeight="1" x14ac:dyDescent="0.2">
      <c r="A782" s="1916">
        <v>782</v>
      </c>
      <c r="B782" s="5148"/>
      <c r="C782" s="2931"/>
      <c r="D782" s="2919" t="s">
        <v>2614</v>
      </c>
      <c r="E782" s="2926">
        <v>120</v>
      </c>
      <c r="F782" s="2916">
        <v>-80</v>
      </c>
      <c r="G782" s="2916">
        <v>12</v>
      </c>
      <c r="H782" s="2916">
        <v>10</v>
      </c>
      <c r="I782" s="2916" t="s">
        <v>1863</v>
      </c>
      <c r="J782" s="2916" t="s">
        <v>1809</v>
      </c>
      <c r="K782" s="2898" t="s">
        <v>8885</v>
      </c>
      <c r="L782" s="2930" t="str">
        <f>IF(AND(H971&gt;0,OR(L656="Conocida",L673="Conocida",L693="Conocida")),"Conocida","Distinta")</f>
        <v>Distinta</v>
      </c>
      <c r="M782" s="2927">
        <v>16</v>
      </c>
      <c r="N782" s="2927">
        <v>8</v>
      </c>
      <c r="O782" s="2927">
        <v>25</v>
      </c>
      <c r="P782" s="2916"/>
      <c r="Q782" s="2916"/>
      <c r="R782" s="2916" t="s">
        <v>1766</v>
      </c>
      <c r="S782" s="2916" t="s">
        <v>1766</v>
      </c>
      <c r="T782" s="2916" t="s">
        <v>1766</v>
      </c>
      <c r="U782" s="2916"/>
      <c r="V782" s="2898" t="s">
        <v>2615</v>
      </c>
      <c r="W782" s="2924"/>
      <c r="X782" s="2932"/>
      <c r="Z782" s="2648"/>
      <c r="AA782" s="2407"/>
      <c r="AB782" s="363"/>
      <c r="AC782" s="2606"/>
    </row>
    <row r="783" spans="1:29" ht="12.75" customHeight="1" x14ac:dyDescent="0.2">
      <c r="A783" s="1916">
        <v>783</v>
      </c>
      <c r="B783" s="5148"/>
      <c r="C783" s="2931"/>
      <c r="D783" s="2919" t="s">
        <v>2616</v>
      </c>
      <c r="E783" s="2926">
        <f>50-2*Bono_Fue+20*U604</f>
        <v>50</v>
      </c>
      <c r="F783" s="2916">
        <v>15</v>
      </c>
      <c r="G783" s="2916">
        <v>4</v>
      </c>
      <c r="H783" s="2916">
        <v>4</v>
      </c>
      <c r="I783" s="2916" t="s">
        <v>1863</v>
      </c>
      <c r="J783" s="2916" t="s">
        <v>1864</v>
      </c>
      <c r="K783" s="2898" t="s">
        <v>8885</v>
      </c>
      <c r="L783" s="2930" t="str">
        <f>IF(OR(H973&gt;0,H974&gt;0),"Conocida","Distinta")</f>
        <v>Distinta</v>
      </c>
      <c r="M783" s="2927">
        <v>20</v>
      </c>
      <c r="N783" s="2927">
        <v>2</v>
      </c>
      <c r="O783" s="2927">
        <v>80</v>
      </c>
      <c r="P783" s="2916"/>
      <c r="Q783" s="2916"/>
      <c r="R783" s="2916" t="s">
        <v>1766</v>
      </c>
      <c r="S783" s="2916" t="s">
        <v>1766</v>
      </c>
      <c r="T783" s="2916" t="s">
        <v>1766</v>
      </c>
      <c r="U783" s="2916"/>
      <c r="V783" s="2898"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924"/>
      <c r="X783" s="2932"/>
      <c r="Z783" s="2648"/>
      <c r="AA783" s="2407"/>
      <c r="AB783" s="363"/>
      <c r="AC783" s="2606"/>
    </row>
    <row r="784" spans="1:29" ht="12.75" customHeight="1" x14ac:dyDescent="0.2">
      <c r="A784" s="1916">
        <v>784</v>
      </c>
      <c r="B784" s="5148"/>
      <c r="C784" s="2931"/>
      <c r="D784" s="2919" t="s">
        <v>2617</v>
      </c>
      <c r="E784" s="2916">
        <f>65-Bono_Fue</f>
        <v>65</v>
      </c>
      <c r="F784" s="2916">
        <v>-30</v>
      </c>
      <c r="G784" s="2916">
        <v>8</v>
      </c>
      <c r="H784" s="2916">
        <v>6</v>
      </c>
      <c r="I784" s="2916" t="s">
        <v>1863</v>
      </c>
      <c r="J784" s="2916" t="s">
        <v>1809</v>
      </c>
      <c r="K784" s="2898" t="s">
        <v>8885</v>
      </c>
      <c r="L784" s="2930" t="str">
        <f>IF(H975&gt;0,"Conocida","Distinta")</f>
        <v>Distinta</v>
      </c>
      <c r="M784" s="2927">
        <v>13</v>
      </c>
      <c r="N784" s="2927">
        <v>4</v>
      </c>
      <c r="O784" s="2927">
        <v>35</v>
      </c>
      <c r="P784" s="2916"/>
      <c r="Q784" s="2916"/>
      <c r="R784" s="2916" t="s">
        <v>1766</v>
      </c>
      <c r="S784" s="2916">
        <v>2</v>
      </c>
      <c r="T784" s="2916">
        <v>50</v>
      </c>
      <c r="U784" s="2916">
        <v>10</v>
      </c>
      <c r="V784" s="2898" t="s">
        <v>2618</v>
      </c>
      <c r="W784" s="2924"/>
      <c r="X784" s="2932"/>
      <c r="Z784" s="2648"/>
      <c r="AA784" s="2407"/>
      <c r="AB784" s="363"/>
      <c r="AC784" s="2606"/>
    </row>
    <row r="785" spans="1:31" ht="12.75" customHeight="1" x14ac:dyDescent="0.2">
      <c r="A785" s="1916">
        <v>785</v>
      </c>
      <c r="B785" s="5148"/>
      <c r="C785" s="2931"/>
      <c r="D785" s="2919" t="s">
        <v>2619</v>
      </c>
      <c r="E785" s="2916">
        <f>70-Bono_Fue</f>
        <v>70</v>
      </c>
      <c r="F785" s="2916">
        <v>-20</v>
      </c>
      <c r="G785" s="2916">
        <v>5</v>
      </c>
      <c r="H785" s="2916">
        <v>3</v>
      </c>
      <c r="I785" s="2916" t="s">
        <v>1864</v>
      </c>
      <c r="J785" s="2916" t="s">
        <v>1766</v>
      </c>
      <c r="K785" s="2898" t="s">
        <v>8885</v>
      </c>
      <c r="L785" s="2930" t="str">
        <f>IF(H975&gt;0,"Conocida","Distinta")</f>
        <v>Distinta</v>
      </c>
      <c r="M785" s="2927">
        <v>12</v>
      </c>
      <c r="N785" s="2927">
        <v>2</v>
      </c>
      <c r="O785" s="2927">
        <v>35</v>
      </c>
      <c r="P785" s="2916"/>
      <c r="Q785" s="2916"/>
      <c r="R785" s="2916" t="s">
        <v>1766</v>
      </c>
      <c r="S785" s="2916">
        <v>2</v>
      </c>
      <c r="T785" s="2916">
        <v>80</v>
      </c>
      <c r="U785" s="2916">
        <v>11</v>
      </c>
      <c r="V785" s="2898" t="s">
        <v>2618</v>
      </c>
      <c r="W785" s="2924"/>
      <c r="X785" s="2932"/>
      <c r="Z785" s="2648"/>
      <c r="AA785" s="2407"/>
      <c r="AB785" s="363"/>
      <c r="AC785" s="2606"/>
    </row>
    <row r="786" spans="1:31" ht="12.75" customHeight="1" x14ac:dyDescent="0.2">
      <c r="A786" s="1916">
        <v>786</v>
      </c>
      <c r="B786" s="5148"/>
      <c r="C786" s="2931"/>
      <c r="D786" s="2919" t="s">
        <v>2620</v>
      </c>
      <c r="E786" s="2916">
        <f>140-Bono_Fue</f>
        <v>140</v>
      </c>
      <c r="F786" s="2916">
        <v>-15</v>
      </c>
      <c r="G786" s="2916">
        <v>7</v>
      </c>
      <c r="H786" s="2916">
        <v>5</v>
      </c>
      <c r="I786" s="2916" t="s">
        <v>1809</v>
      </c>
      <c r="J786" s="2916" t="s">
        <v>1766</v>
      </c>
      <c r="K786" s="2898" t="s">
        <v>8885</v>
      </c>
      <c r="L786" s="2930" t="str">
        <f>IF(H975&gt;0,"Conocida","Distinta")</f>
        <v>Distinta</v>
      </c>
      <c r="M786" s="2927">
        <v>15</v>
      </c>
      <c r="N786" s="2927">
        <v>5</v>
      </c>
      <c r="O786" s="2927">
        <v>35</v>
      </c>
      <c r="P786" s="2916"/>
      <c r="Q786" s="2916"/>
      <c r="R786" s="2916" t="s">
        <v>1766</v>
      </c>
      <c r="S786" s="2916">
        <v>10</v>
      </c>
      <c r="T786" s="2916">
        <v>250</v>
      </c>
      <c r="U786" s="2916">
        <v>12</v>
      </c>
      <c r="V786" s="2898" t="s">
        <v>2621</v>
      </c>
      <c r="W786" s="2924"/>
      <c r="X786" s="2932"/>
      <c r="Z786" s="2648"/>
      <c r="AA786" s="2407"/>
      <c r="AB786" s="363"/>
      <c r="AC786" s="2606"/>
    </row>
    <row r="787" spans="1:31" ht="12.75" customHeight="1" x14ac:dyDescent="0.2">
      <c r="A787" s="1916">
        <v>787</v>
      </c>
      <c r="B787" s="5148"/>
      <c r="C787" s="2931"/>
      <c r="D787" s="2919" t="s">
        <v>2622</v>
      </c>
      <c r="E787" s="2916">
        <f>60-Bono_Fue-10</f>
        <v>50</v>
      </c>
      <c r="F787" s="2916">
        <v>-10</v>
      </c>
      <c r="G787" s="2916">
        <v>0</v>
      </c>
      <c r="H787" s="2916">
        <v>0</v>
      </c>
      <c r="I787" s="2916" t="s">
        <v>1809</v>
      </c>
      <c r="J787" s="2916" t="s">
        <v>1766</v>
      </c>
      <c r="K787" s="2898" t="s">
        <v>8885</v>
      </c>
      <c r="L787" s="2930" t="str">
        <f>IF(H976&gt;0,"Conocida","Distinta")</f>
        <v>Distinta</v>
      </c>
      <c r="M787" s="2927">
        <v>0</v>
      </c>
      <c r="N787" s="2927">
        <v>2</v>
      </c>
      <c r="O787" s="2927">
        <f>Principal!$F$53</f>
        <v>0</v>
      </c>
      <c r="P787" s="2916"/>
      <c r="Q787" s="2916"/>
      <c r="R787" s="2916" t="s">
        <v>1766</v>
      </c>
      <c r="S787" s="2916" t="s">
        <v>1766</v>
      </c>
      <c r="T787" s="2916">
        <f>2*Principal!K52</f>
        <v>0</v>
      </c>
      <c r="U787" s="2916"/>
      <c r="V787" s="2898" t="str">
        <f>"Alcance "&amp;2*Presencia_final&amp;"m"</f>
        <v>Alcance 40m</v>
      </c>
      <c r="W787" s="2924"/>
      <c r="X787" s="2932"/>
      <c r="Z787" s="2648"/>
      <c r="AA787" s="2407"/>
      <c r="AB787" s="363"/>
      <c r="AC787" s="2606"/>
    </row>
    <row r="788" spans="1:31" ht="12.75" customHeight="1" x14ac:dyDescent="0.2">
      <c r="A788" s="1916">
        <v>788</v>
      </c>
      <c r="B788" s="5148"/>
      <c r="C788" s="2931"/>
      <c r="D788" s="2919" t="s">
        <v>2623</v>
      </c>
      <c r="E788" s="2916">
        <f>60-10</f>
        <v>50</v>
      </c>
      <c r="F788" s="2916">
        <v>0</v>
      </c>
      <c r="G788" s="2916">
        <v>5</v>
      </c>
      <c r="H788" s="2916">
        <v>5</v>
      </c>
      <c r="I788" s="2916" t="s">
        <v>2624</v>
      </c>
      <c r="J788" s="2916" t="s">
        <v>1766</v>
      </c>
      <c r="K788" s="2898" t="s">
        <v>8885</v>
      </c>
      <c r="L788" s="2930" t="str">
        <f>IF(SUMPRODUCT(--ISNUMBER(SEARCH($D788,INDEX(Tabla_ArsMagnus,,1))),INDEX(Tabla_ArsMagnus,,4))&gt;0,"Conocida","Distinta")</f>
        <v>Distinta</v>
      </c>
      <c r="M788" s="2927">
        <v>15</v>
      </c>
      <c r="N788" s="2927">
        <v>2</v>
      </c>
      <c r="O788" s="2927">
        <f>Principal!$F$53</f>
        <v>0</v>
      </c>
      <c r="P788" s="2916"/>
      <c r="Q788" s="2916"/>
      <c r="R788" s="2916" t="s">
        <v>1766</v>
      </c>
      <c r="S788" s="2916" t="s">
        <v>1766</v>
      </c>
      <c r="T788" s="2916" t="s">
        <v>1766</v>
      </c>
      <c r="U788" s="2916"/>
      <c r="V788" s="2898" t="s">
        <v>2625</v>
      </c>
      <c r="W788" s="2924"/>
      <c r="X788" s="2932"/>
      <c r="Z788" s="2648"/>
      <c r="AA788" s="2407"/>
      <c r="AB788" s="363"/>
      <c r="AC788" s="2606"/>
    </row>
    <row r="789" spans="1:31" ht="12.75" customHeight="1" x14ac:dyDescent="0.2">
      <c r="A789" s="1916">
        <v>789</v>
      </c>
      <c r="B789" s="5148"/>
      <c r="C789" s="2931"/>
      <c r="D789" s="2919" t="s">
        <v>8682</v>
      </c>
      <c r="E789" s="2916">
        <v>50</v>
      </c>
      <c r="F789" s="2916">
        <v>0</v>
      </c>
      <c r="G789" s="2916">
        <v>5</v>
      </c>
      <c r="H789" s="2916">
        <v>5</v>
      </c>
      <c r="I789" s="2916" t="s">
        <v>1863</v>
      </c>
      <c r="J789" s="2916" t="s">
        <v>1864</v>
      </c>
      <c r="K789" s="2898" t="s">
        <v>8885</v>
      </c>
      <c r="L789" s="2930" t="str">
        <f>IF(H978&gt;0,"Conocida","Distinta")</f>
        <v>Distinta</v>
      </c>
      <c r="M789" s="2927">
        <v>13</v>
      </c>
      <c r="N789" s="2927">
        <v>2</v>
      </c>
      <c r="O789" s="2927">
        <v>35</v>
      </c>
      <c r="P789" s="2916"/>
      <c r="Q789" s="2916"/>
      <c r="R789" s="2916" t="s">
        <v>1766</v>
      </c>
      <c r="S789" s="2916" t="s">
        <v>1766</v>
      </c>
      <c r="T789" s="2916" t="s">
        <v>1766</v>
      </c>
      <c r="U789" s="2916"/>
      <c r="V789" s="2898" t="s">
        <v>2627</v>
      </c>
      <c r="W789" s="2924"/>
      <c r="X789" s="2932"/>
      <c r="Z789" s="2648"/>
      <c r="AA789" s="2407"/>
      <c r="AB789" s="363"/>
      <c r="AC789" s="2606"/>
    </row>
    <row r="790" spans="1:31" ht="12.75" customHeight="1" x14ac:dyDescent="0.2">
      <c r="A790" s="1916">
        <v>790</v>
      </c>
      <c r="B790" s="5148"/>
      <c r="C790" s="2931"/>
      <c r="D790" s="2919" t="s">
        <v>8683</v>
      </c>
      <c r="E790" s="2916">
        <v>40</v>
      </c>
      <c r="F790" s="2916">
        <v>-10</v>
      </c>
      <c r="G790" s="2916">
        <v>5</v>
      </c>
      <c r="H790" s="2916">
        <v>5</v>
      </c>
      <c r="I790" s="2916" t="s">
        <v>1863</v>
      </c>
      <c r="J790" s="2916" t="s">
        <v>1864</v>
      </c>
      <c r="K790" s="2898" t="s">
        <v>8885</v>
      </c>
      <c r="L790" s="2930" t="str">
        <f>IF(H978&gt;0,"Conocida","Distinta")</f>
        <v>Distinta</v>
      </c>
      <c r="M790" s="2927">
        <v>13</v>
      </c>
      <c r="N790" s="2927">
        <v>2</v>
      </c>
      <c r="O790" s="2927">
        <v>35</v>
      </c>
      <c r="P790" s="2916"/>
      <c r="Q790" s="2916"/>
      <c r="R790" s="2916" t="s">
        <v>1766</v>
      </c>
      <c r="S790" s="2916" t="s">
        <v>1766</v>
      </c>
      <c r="T790" s="2916" t="s">
        <v>1766</v>
      </c>
      <c r="U790" s="2916"/>
      <c r="V790" s="2898" t="s">
        <v>2627</v>
      </c>
      <c r="W790" s="2924"/>
      <c r="X790" s="2932"/>
      <c r="Z790" s="2648"/>
      <c r="AA790" s="2407"/>
      <c r="AB790" s="363"/>
      <c r="AC790" s="2606"/>
    </row>
    <row r="791" spans="1:31" ht="12.75" customHeight="1" x14ac:dyDescent="0.2">
      <c r="A791" s="1916">
        <v>791</v>
      </c>
      <c r="B791" s="5148"/>
      <c r="C791" s="2931"/>
      <c r="D791" s="2919" t="s">
        <v>2628</v>
      </c>
      <c r="E791" s="2916">
        <f>50-Bono_Fue-10-IF(Ki!Q38&gt;0,10,0)+50*V593</f>
        <v>40</v>
      </c>
      <c r="F791" s="2916">
        <v>10</v>
      </c>
      <c r="G791" s="2916">
        <v>4</v>
      </c>
      <c r="H791" s="2916">
        <v>4</v>
      </c>
      <c r="I791" s="2916" t="s">
        <v>1864</v>
      </c>
      <c r="J791" s="2916" t="s">
        <v>1809</v>
      </c>
      <c r="K791" s="2898" t="s">
        <v>8885</v>
      </c>
      <c r="L791" s="2930" t="str">
        <f>IF(OR(H980&gt;0,H979&gt;0),"Conocida","Distinta")</f>
        <v>Distinta</v>
      </c>
      <c r="M791" s="2927">
        <v>0</v>
      </c>
      <c r="N791" s="2927">
        <v>0</v>
      </c>
      <c r="O791" s="2927">
        <v>0</v>
      </c>
      <c r="P791" s="2916"/>
      <c r="Q791" s="2916"/>
      <c r="R791" s="2916">
        <v>100</v>
      </c>
      <c r="S791" s="2916" t="s">
        <v>1766</v>
      </c>
      <c r="T791" s="2916" t="s">
        <v>1766</v>
      </c>
      <c r="U791" s="2916"/>
      <c r="V791" s="2898" t="str">
        <f>"Lanzable (100/10m)"&amp;IF(V594&gt;0,", Penetrante","")&amp;IF(V595&gt;0,", Área "&amp;5+MAX(0,5*TRUNC((HA_final-200)/50))&amp;"m","")&amp;IF(V596&gt;0,", Precisión absoluta","")&amp;IF(V597&gt;0,", +40 nivel de crítico","")&amp;IF(V598&gt;0,", Quebrantador de escudos","")</f>
        <v>Lanzable (100/10m)</v>
      </c>
      <c r="W791" s="2924"/>
      <c r="X791" s="2932"/>
      <c r="Z791" s="2648"/>
      <c r="AA791" s="2407"/>
      <c r="AB791" s="363"/>
      <c r="AC791" s="2606"/>
    </row>
    <row r="792" spans="1:31" ht="12.75" customHeight="1" x14ac:dyDescent="0.2">
      <c r="A792" s="1916">
        <v>792</v>
      </c>
      <c r="B792" s="5148"/>
      <c r="C792" s="2931"/>
      <c r="D792" s="2919" t="s">
        <v>2629</v>
      </c>
      <c r="E792" s="2916">
        <f>100-Bono_Fue+Bono_Des</f>
        <v>100</v>
      </c>
      <c r="F792" s="2916">
        <v>20</v>
      </c>
      <c r="G792" s="2916">
        <v>3</v>
      </c>
      <c r="H792" s="2916">
        <v>3</v>
      </c>
      <c r="I792" s="2916" t="s">
        <v>1864</v>
      </c>
      <c r="J792" s="2916" t="s">
        <v>1766</v>
      </c>
      <c r="K792" s="2898" t="s">
        <v>8885</v>
      </c>
      <c r="L792" s="2930" t="str">
        <f>IF(H981&gt;0,"Conocida","Distinta")</f>
        <v>Distinta</v>
      </c>
      <c r="M792" s="2927">
        <v>8</v>
      </c>
      <c r="N792" s="2927">
        <v>-5</v>
      </c>
      <c r="O792" s="2927">
        <v>20</v>
      </c>
      <c r="P792" s="2916"/>
      <c r="Q792" s="2916"/>
      <c r="R792" s="2916">
        <v>30</v>
      </c>
      <c r="S792" s="2916" t="s">
        <v>1766</v>
      </c>
      <c r="T792" s="2916" t="s">
        <v>1766</v>
      </c>
      <c r="U792" s="2916"/>
      <c r="V792" s="2898" t="s">
        <v>2630</v>
      </c>
      <c r="W792" s="2924"/>
      <c r="X792" s="2932"/>
      <c r="Z792" s="2648"/>
      <c r="AA792" s="2407"/>
      <c r="AB792" s="363"/>
      <c r="AC792" s="2606"/>
    </row>
    <row r="793" spans="1:31" ht="12.75" customHeight="1" x14ac:dyDescent="0.2">
      <c r="A793" s="1916">
        <v>793</v>
      </c>
      <c r="B793" s="5148"/>
      <c r="C793" s="2931"/>
      <c r="D793" s="2919" t="s">
        <v>2631</v>
      </c>
      <c r="E793" s="2916">
        <f>70-Bono_Fue-10</f>
        <v>60</v>
      </c>
      <c r="F793" s="2916">
        <v>10</v>
      </c>
      <c r="G793" s="2916">
        <v>3</v>
      </c>
      <c r="H793" s="2916">
        <v>3</v>
      </c>
      <c r="I793" s="2916" t="s">
        <v>1863</v>
      </c>
      <c r="J793" s="2916" t="s">
        <v>1809</v>
      </c>
      <c r="K793" s="2898" t="s">
        <v>8885</v>
      </c>
      <c r="L793" s="2930" t="str">
        <f t="shared" ref="L793:L795" si="102">IF(H982&gt;0,"Conocida","Distinta")</f>
        <v>Distinta</v>
      </c>
      <c r="M793" s="2927">
        <v>20</v>
      </c>
      <c r="N793" s="2927">
        <v>5</v>
      </c>
      <c r="O793" s="2927">
        <v>30</v>
      </c>
      <c r="P793" s="2916"/>
      <c r="Q793" s="2916"/>
      <c r="R793" s="2916" t="s">
        <v>1766</v>
      </c>
      <c r="S793" s="2916" t="s">
        <v>1766</v>
      </c>
      <c r="T793" s="2916" t="s">
        <v>1766</v>
      </c>
      <c r="U793" s="2916"/>
      <c r="V793" s="2898" t="s">
        <v>8625</v>
      </c>
      <c r="W793" s="2924"/>
      <c r="X793" s="2932"/>
      <c r="Z793" s="2648"/>
      <c r="AB793" s="363"/>
      <c r="AC793" s="2563"/>
    </row>
    <row r="794" spans="1:31" ht="12.75" customHeight="1" x14ac:dyDescent="0.2">
      <c r="A794" s="1916">
        <v>794</v>
      </c>
      <c r="B794" s="5148"/>
      <c r="C794" s="2931"/>
      <c r="D794" s="2919" t="s">
        <v>2632</v>
      </c>
      <c r="E794" s="2916">
        <f>30-Bono_Fue+Bono_Des</f>
        <v>30</v>
      </c>
      <c r="F794" s="2916">
        <v>20</v>
      </c>
      <c r="G794" s="2916">
        <v>0</v>
      </c>
      <c r="H794" s="2916">
        <v>0</v>
      </c>
      <c r="I794" s="2916" t="s">
        <v>1809</v>
      </c>
      <c r="J794" s="2916" t="s">
        <v>1766</v>
      </c>
      <c r="K794" s="2898" t="s">
        <v>8885</v>
      </c>
      <c r="L794" s="2930" t="str">
        <f t="shared" si="102"/>
        <v>Distinta</v>
      </c>
      <c r="M794" s="2927">
        <v>8</v>
      </c>
      <c r="N794" s="2927">
        <v>-2</v>
      </c>
      <c r="O794" s="2927">
        <v>20</v>
      </c>
      <c r="P794" s="2916"/>
      <c r="Q794" s="2916"/>
      <c r="R794" s="2916" t="s">
        <v>1766</v>
      </c>
      <c r="S794" s="2916" t="s">
        <v>1766</v>
      </c>
      <c r="T794" s="2916" t="s">
        <v>1766</v>
      </c>
      <c r="U794" s="2916"/>
      <c r="V794" s="2898" t="s">
        <v>2633</v>
      </c>
      <c r="W794" s="2924"/>
      <c r="X794" s="2932"/>
      <c r="Z794" s="2648"/>
      <c r="AB794" s="363"/>
      <c r="AC794" s="2563"/>
    </row>
    <row r="795" spans="1:31" ht="12.75" customHeight="1" thickBot="1" x14ac:dyDescent="0.25">
      <c r="A795" s="1916">
        <v>795</v>
      </c>
      <c r="B795" s="5148"/>
      <c r="C795" s="2933"/>
      <c r="D795" s="2934" t="s">
        <v>2634</v>
      </c>
      <c r="E795" s="2935">
        <f>60-2*Bono_Fue+IF(Extensióndelauraalarma,-10,0)</f>
        <v>60</v>
      </c>
      <c r="F795" s="2935">
        <v>0</v>
      </c>
      <c r="G795" s="2935">
        <v>0</v>
      </c>
      <c r="H795" s="2935">
        <v>0</v>
      </c>
      <c r="I795" s="2935" t="s">
        <v>1863</v>
      </c>
      <c r="J795" s="2935" t="s">
        <v>1864</v>
      </c>
      <c r="K795" s="2699" t="s">
        <v>8885</v>
      </c>
      <c r="L795" s="2936" t="str">
        <f t="shared" si="102"/>
        <v>Distinta</v>
      </c>
      <c r="M795" s="2937">
        <v>10</v>
      </c>
      <c r="N795" s="2937">
        <v>11</v>
      </c>
      <c r="O795" s="2937">
        <f>Presencia_final*2</f>
        <v>40</v>
      </c>
      <c r="P795" s="2935"/>
      <c r="Q795" s="2935"/>
      <c r="R795" s="2935" t="s">
        <v>1766</v>
      </c>
      <c r="S795" s="2935" t="s">
        <v>1766</v>
      </c>
      <c r="T795" s="2935" t="s">
        <v>1766</v>
      </c>
      <c r="U795" s="2935"/>
      <c r="V795" s="2699" t="s">
        <v>1766</v>
      </c>
      <c r="W795" s="2938"/>
      <c r="X795" s="2939"/>
      <c r="Z795" s="2656"/>
      <c r="AB795" s="363"/>
      <c r="AC795" s="2563"/>
    </row>
    <row r="796" spans="1:31" ht="12.75" customHeight="1" x14ac:dyDescent="0.2">
      <c r="A796" s="1916">
        <v>796</v>
      </c>
      <c r="B796" s="5148"/>
      <c r="H796" s="363"/>
      <c r="I796" s="1653"/>
      <c r="N796" s="363"/>
      <c r="O796" s="1999"/>
      <c r="AB796" s="363"/>
      <c r="AC796" s="2563"/>
    </row>
    <row r="797" spans="1:31" ht="12.75" customHeight="1" x14ac:dyDescent="0.2">
      <c r="A797" s="1916">
        <v>797</v>
      </c>
      <c r="B797" s="5148"/>
      <c r="H797" s="363"/>
      <c r="I797" s="1653"/>
      <c r="N797" s="363"/>
      <c r="O797" s="1999"/>
      <c r="AB797" s="363"/>
      <c r="AC797" s="2563"/>
    </row>
    <row r="798" spans="1:31" ht="12.75" customHeight="1" x14ac:dyDescent="0.2">
      <c r="A798" s="1916">
        <v>798</v>
      </c>
      <c r="B798" s="5148"/>
      <c r="C798" s="5143" t="s">
        <v>8939</v>
      </c>
      <c r="D798" s="5143"/>
      <c r="E798" s="5143"/>
      <c r="F798" s="5143"/>
      <c r="G798" s="5143"/>
      <c r="H798" s="5143"/>
      <c r="I798" s="5143"/>
      <c r="J798" s="5143"/>
      <c r="K798" s="5143"/>
      <c r="L798" s="5143"/>
      <c r="M798" s="5143"/>
      <c r="N798" s="5143"/>
      <c r="O798" s="5143"/>
      <c r="P798" s="5143"/>
      <c r="Q798" s="5143"/>
      <c r="R798" s="5143"/>
      <c r="S798" s="5143"/>
      <c r="T798" s="5143"/>
      <c r="U798" s="5143"/>
      <c r="V798" s="5143"/>
      <c r="W798" s="5143"/>
      <c r="X798" s="5143"/>
      <c r="Y798" s="5143"/>
      <c r="Z798" s="5143"/>
      <c r="AA798" s="5143"/>
      <c r="AB798" s="5143"/>
      <c r="AC798" s="5143"/>
      <c r="AD798" s="5143"/>
      <c r="AE798" s="5143"/>
    </row>
    <row r="799" spans="1:31" ht="12.75" customHeight="1" x14ac:dyDescent="0.2">
      <c r="A799" s="1916">
        <v>799</v>
      </c>
      <c r="B799" s="5148"/>
      <c r="C799" s="5143"/>
      <c r="D799" s="5143"/>
      <c r="E799" s="5143"/>
      <c r="F799" s="5143"/>
      <c r="G799" s="5143"/>
      <c r="H799" s="5143"/>
      <c r="I799" s="5143"/>
      <c r="J799" s="5143"/>
      <c r="K799" s="5143"/>
      <c r="L799" s="5143"/>
      <c r="M799" s="5143"/>
      <c r="N799" s="5143"/>
      <c r="O799" s="5143"/>
      <c r="P799" s="5143"/>
      <c r="Q799" s="5143"/>
      <c r="R799" s="5143"/>
      <c r="S799" s="5143"/>
      <c r="T799" s="5143"/>
      <c r="U799" s="5143"/>
      <c r="V799" s="5143"/>
      <c r="W799" s="5143"/>
      <c r="X799" s="5143"/>
      <c r="Y799" s="5143"/>
      <c r="Z799" s="5143"/>
      <c r="AA799" s="5143"/>
      <c r="AB799" s="5143"/>
      <c r="AC799" s="5143"/>
      <c r="AD799" s="5143"/>
      <c r="AE799" s="5143"/>
    </row>
    <row r="800" spans="1:31" ht="12.75" customHeight="1" x14ac:dyDescent="0.2">
      <c r="A800" s="1916">
        <v>800</v>
      </c>
      <c r="B800" s="5148"/>
      <c r="C800" s="5143"/>
      <c r="D800" s="5143"/>
      <c r="E800" s="5143"/>
      <c r="F800" s="5143"/>
      <c r="G800" s="5143"/>
      <c r="H800" s="5143"/>
      <c r="I800" s="5143"/>
      <c r="J800" s="5143"/>
      <c r="K800" s="5143"/>
      <c r="L800" s="5143"/>
      <c r="M800" s="5143"/>
      <c r="N800" s="5143"/>
      <c r="O800" s="5143"/>
      <c r="P800" s="5143"/>
      <c r="Q800" s="5143"/>
      <c r="R800" s="5143"/>
      <c r="S800" s="5143"/>
      <c r="T800" s="5143"/>
      <c r="U800" s="5143"/>
      <c r="V800" s="5143"/>
      <c r="W800" s="5143"/>
      <c r="X800" s="5143"/>
      <c r="Y800" s="5143"/>
      <c r="Z800" s="5143"/>
      <c r="AA800" s="5143"/>
      <c r="AB800" s="5143"/>
      <c r="AC800" s="5143"/>
      <c r="AD800" s="5143"/>
      <c r="AE800" s="5143"/>
    </row>
    <row r="801" spans="1:30" ht="12.75" customHeight="1" thickBot="1" x14ac:dyDescent="0.25">
      <c r="A801" s="1916">
        <v>801</v>
      </c>
      <c r="B801" s="5148"/>
      <c r="C801" s="1915"/>
      <c r="H801" s="363"/>
      <c r="N801" s="363"/>
      <c r="AB801" s="363"/>
      <c r="AC801" s="2563"/>
    </row>
    <row r="802" spans="1:30" ht="12.75" customHeight="1" thickBot="1" x14ac:dyDescent="0.25">
      <c r="A802" s="1916">
        <v>802</v>
      </c>
      <c r="B802" s="5148"/>
      <c r="C802" s="5238" t="s">
        <v>1124</v>
      </c>
      <c r="D802" s="5239"/>
      <c r="E802" s="5239"/>
      <c r="F802" s="5239"/>
      <c r="G802" s="5239"/>
      <c r="H802" s="5239"/>
      <c r="I802" s="5239"/>
      <c r="J802" s="5239"/>
      <c r="K802" s="5239"/>
      <c r="L802" s="5239"/>
      <c r="M802" s="5239"/>
      <c r="N802" s="5239"/>
      <c r="O802" s="5239"/>
      <c r="P802" s="5239"/>
      <c r="Q802" s="5239"/>
      <c r="R802" s="5239"/>
      <c r="S802" s="5239"/>
      <c r="T802" s="5239"/>
      <c r="U802" s="5239"/>
      <c r="V802" s="5239"/>
      <c r="W802" s="5239"/>
      <c r="X802" s="5239"/>
      <c r="Y802" s="2683"/>
      <c r="Z802" s="2683"/>
      <c r="AA802" s="2540"/>
      <c r="AB802" s="363"/>
    </row>
    <row r="803" spans="1:30" ht="12.75" customHeight="1" thickBot="1" x14ac:dyDescent="0.25">
      <c r="A803" s="1916">
        <v>803</v>
      </c>
      <c r="B803" s="5148"/>
      <c r="C803" s="5240"/>
      <c r="D803" s="5241"/>
      <c r="E803" s="5241"/>
      <c r="F803" s="5241"/>
      <c r="G803" s="5241"/>
      <c r="H803" s="5241"/>
      <c r="I803" s="5241"/>
      <c r="J803" s="5241"/>
      <c r="K803" s="5241"/>
      <c r="L803" s="5241"/>
      <c r="M803" s="5241"/>
      <c r="N803" s="5241"/>
      <c r="O803" s="5241"/>
      <c r="P803" s="5241"/>
      <c r="Q803" s="5241"/>
      <c r="R803" s="5241"/>
      <c r="S803" s="5241"/>
      <c r="T803" s="5241"/>
      <c r="U803" s="5241"/>
      <c r="V803" s="5241"/>
      <c r="W803" s="5241"/>
      <c r="X803" s="5241"/>
      <c r="Y803" s="5179" t="s">
        <v>10000</v>
      </c>
      <c r="Z803" s="5179"/>
      <c r="AA803" s="5180"/>
      <c r="AB803" s="363"/>
      <c r="AC803" s="2516" t="s">
        <v>10001</v>
      </c>
      <c r="AD803" s="2690" t="s">
        <v>8760</v>
      </c>
    </row>
    <row r="804" spans="1:30" ht="12.75" customHeight="1" x14ac:dyDescent="0.2">
      <c r="A804" s="1916">
        <v>804</v>
      </c>
      <c r="B804" s="5148"/>
      <c r="C804" s="5343">
        <v>1</v>
      </c>
      <c r="D804" s="5344"/>
      <c r="E804" s="2392">
        <v>2</v>
      </c>
      <c r="F804" s="2392">
        <v>3</v>
      </c>
      <c r="G804" s="2392">
        <v>4</v>
      </c>
      <c r="H804" s="2392">
        <v>5</v>
      </c>
      <c r="I804" s="2392">
        <v>6</v>
      </c>
      <c r="J804" s="2392">
        <v>7</v>
      </c>
      <c r="K804" s="2392">
        <v>8</v>
      </c>
      <c r="L804" s="2392">
        <v>9</v>
      </c>
      <c r="M804" s="2392">
        <v>10</v>
      </c>
      <c r="N804" s="2392">
        <v>11</v>
      </c>
      <c r="O804" s="2392">
        <v>12</v>
      </c>
      <c r="P804" s="2392">
        <v>13</v>
      </c>
      <c r="Q804" s="2392">
        <v>14</v>
      </c>
      <c r="R804" s="2392">
        <v>15</v>
      </c>
      <c r="S804" s="2392">
        <v>16</v>
      </c>
      <c r="T804" s="2392">
        <v>17</v>
      </c>
      <c r="U804" s="2392">
        <v>18</v>
      </c>
      <c r="V804" s="2392">
        <v>19</v>
      </c>
      <c r="W804" s="2392">
        <v>20</v>
      </c>
      <c r="X804" s="2392">
        <v>21</v>
      </c>
      <c r="Y804" s="5179"/>
      <c r="Z804" s="5179"/>
      <c r="AA804" s="5180"/>
      <c r="AB804" s="363"/>
      <c r="AC804" s="203" t="s">
        <v>1135</v>
      </c>
      <c r="AD804" s="1698" t="s">
        <v>1674</v>
      </c>
    </row>
    <row r="805" spans="1:30" ht="12.75" customHeight="1" x14ac:dyDescent="0.2">
      <c r="A805" s="1916">
        <v>805</v>
      </c>
      <c r="B805" s="5148"/>
      <c r="C805" s="5324" t="s">
        <v>1125</v>
      </c>
      <c r="D805" s="5325"/>
      <c r="E805" s="2528" t="s">
        <v>1126</v>
      </c>
      <c r="F805" s="2528" t="s">
        <v>1127</v>
      </c>
      <c r="G805" s="2528" t="s">
        <v>1811</v>
      </c>
      <c r="H805" s="2528" t="s">
        <v>1128</v>
      </c>
      <c r="I805" s="2528" t="s">
        <v>8809</v>
      </c>
      <c r="J805" s="2528" t="s">
        <v>8810</v>
      </c>
      <c r="K805" s="2528" t="s">
        <v>1129</v>
      </c>
      <c r="L805" s="4071" t="s">
        <v>1788</v>
      </c>
      <c r="M805" s="4071"/>
      <c r="N805" s="4071"/>
      <c r="O805" s="4071"/>
      <c r="P805" s="4071"/>
      <c r="Q805" s="2528" t="s">
        <v>1131</v>
      </c>
      <c r="R805" s="2528" t="s">
        <v>1131</v>
      </c>
      <c r="S805" s="2528" t="s">
        <v>1132</v>
      </c>
      <c r="T805" s="2528" t="s">
        <v>1133</v>
      </c>
      <c r="U805" s="2528" t="s">
        <v>1134</v>
      </c>
      <c r="V805" s="2528" t="s">
        <v>1801</v>
      </c>
      <c r="W805" s="2528" t="s">
        <v>2637</v>
      </c>
      <c r="X805" s="2528" t="s">
        <v>1130</v>
      </c>
      <c r="Y805" s="2528" t="s">
        <v>8850</v>
      </c>
      <c r="Z805" s="2528" t="s">
        <v>8851</v>
      </c>
      <c r="AA805" s="1946" t="s">
        <v>8852</v>
      </c>
      <c r="AB805" s="363"/>
      <c r="AC805" s="2236" t="s">
        <v>8724</v>
      </c>
      <c r="AD805" s="1698" t="s">
        <v>4573</v>
      </c>
    </row>
    <row r="806" spans="1:30" ht="12.75" customHeight="1" thickBot="1" x14ac:dyDescent="0.25">
      <c r="A806" s="1916">
        <v>806</v>
      </c>
      <c r="B806" s="5148"/>
      <c r="C806" s="1691"/>
      <c r="D806" s="203" t="s">
        <v>1135</v>
      </c>
      <c r="E806" s="2539"/>
      <c r="F806" s="2539"/>
      <c r="G806" s="2539"/>
      <c r="H806" s="2539"/>
      <c r="I806" s="2539"/>
      <c r="J806" s="2539"/>
      <c r="K806" s="2539"/>
      <c r="L806" s="2408" t="s">
        <v>1766</v>
      </c>
      <c r="M806" s="2539"/>
      <c r="N806" s="2539"/>
      <c r="O806" s="2408"/>
      <c r="P806" s="2539"/>
      <c r="Q806" s="2539"/>
      <c r="R806" s="2539"/>
      <c r="S806" s="2539"/>
      <c r="T806" s="2539"/>
      <c r="U806" s="2539">
        <f t="shared" ref="U806:U837" si="103">W806*E806</f>
        <v>0</v>
      </c>
      <c r="V806" s="2539">
        <v>0</v>
      </c>
      <c r="W806" s="2539"/>
      <c r="X806" s="2539" t="s">
        <v>1766</v>
      </c>
      <c r="Y806" s="2681"/>
      <c r="Z806" s="2603"/>
      <c r="AA806" s="1884"/>
      <c r="AB806" s="363"/>
      <c r="AC806" s="2236" t="s">
        <v>8725</v>
      </c>
      <c r="AD806" s="2237" t="s">
        <v>8759</v>
      </c>
    </row>
    <row r="807" spans="1:30" ht="12.75" customHeight="1" thickBot="1" x14ac:dyDescent="0.25">
      <c r="A807" s="1916">
        <v>807</v>
      </c>
      <c r="B807" s="5148"/>
      <c r="C807" s="1691"/>
      <c r="D807" s="426" t="s">
        <v>1136</v>
      </c>
      <c r="E807" s="2539">
        <f>10+Bono_Fue</f>
        <v>10</v>
      </c>
      <c r="F807" s="2539"/>
      <c r="G807" s="2539">
        <v>0</v>
      </c>
      <c r="H807" s="2539"/>
      <c r="I807" s="2539"/>
      <c r="J807" s="2539"/>
      <c r="K807" s="2539"/>
      <c r="L807" s="146" t="s">
        <v>1137</v>
      </c>
      <c r="M807" s="161"/>
      <c r="N807" s="161"/>
      <c r="O807" s="447"/>
      <c r="P807" s="161"/>
      <c r="Q807" s="2539"/>
      <c r="R807" s="2539"/>
      <c r="S807" s="2539"/>
      <c r="T807" s="2539"/>
      <c r="U807" s="2539">
        <f t="shared" si="103"/>
        <v>0</v>
      </c>
      <c r="V807" s="2539">
        <f>20*IF(AND(Arma_Desarrollada="Desarmado",D807=PDs!$AD$56),0.5,1)</f>
        <v>20</v>
      </c>
      <c r="W807" s="2539">
        <f>IF(COUNTIF(PDs!$AD$56:$AD$74,Tablas!D807)&gt;0,1,0)</f>
        <v>0</v>
      </c>
      <c r="X807" s="2539" t="str">
        <f>IF(T.Manos_final&lt;20,"NO","-")</f>
        <v>NO</v>
      </c>
      <c r="Y807" s="2681">
        <f>HA_final-PDs!$X$22+MIN(PDs!$X$22+H$896-H807,50)</f>
        <v>0</v>
      </c>
      <c r="Z807" s="2603">
        <f>HE_final-PDs!$X$24+MIN(PDs!$X$24+I$896-I807,50)</f>
        <v>0</v>
      </c>
      <c r="AA807" s="1884">
        <f>HP_final-PDs!$X$23+MIN(PDs!$X$23+J$896-J807,50)</f>
        <v>0</v>
      </c>
      <c r="AB807" s="363"/>
      <c r="AC807" s="2236" t="s">
        <v>8726</v>
      </c>
      <c r="AD807" s="2239" t="s">
        <v>8761</v>
      </c>
    </row>
    <row r="808" spans="1:30" ht="12.75" customHeight="1" x14ac:dyDescent="0.2">
      <c r="A808" s="1916">
        <v>808</v>
      </c>
      <c r="B808" s="5148"/>
      <c r="C808" s="1691"/>
      <c r="D808" s="426" t="s">
        <v>1138</v>
      </c>
      <c r="E808" s="2539">
        <f>10+Bono_Fue</f>
        <v>10</v>
      </c>
      <c r="F808" s="2539"/>
      <c r="G808" s="2539">
        <v>10</v>
      </c>
      <c r="H808" s="2539"/>
      <c r="I808" s="2539">
        <v>10</v>
      </c>
      <c r="J808" s="2539">
        <v>10</v>
      </c>
      <c r="K808" s="2539"/>
      <c r="L808" s="146" t="s">
        <v>1139</v>
      </c>
      <c r="M808" s="2517"/>
      <c r="N808" s="2517"/>
      <c r="O808" s="2001"/>
      <c r="P808" s="2517"/>
      <c r="Q808" s="2539"/>
      <c r="R808" s="2539"/>
      <c r="S808" s="2539"/>
      <c r="T808" s="2539"/>
      <c r="U808" s="2539">
        <f t="shared" si="103"/>
        <v>0</v>
      </c>
      <c r="V808" s="2539">
        <f>30*IF(Arma_Desarrollada="Desarmado",IF(D807=PDs!$AD$56,0.5,1),1)</f>
        <v>30</v>
      </c>
      <c r="W808" s="2539">
        <f>IF(COUNTIF(PDs!$AD$56:$AD$74,Tablas!D808)&gt;0,1,0)</f>
        <v>0</v>
      </c>
      <c r="X808" s="2539" t="str">
        <f>IF(OR(T.Manos_final&lt;40,Y808&lt;100,MAX(Z808,AA808)&lt;120,W807=0),"NO","-")</f>
        <v>NO</v>
      </c>
      <c r="Y808" s="2681">
        <f>HA_final-PDs!$X$22+MIN(PDs!$X$22+H$896-H808,50)</f>
        <v>0</v>
      </c>
      <c r="Z808" s="2603">
        <f>HE_final-PDs!$X$24+MIN(PDs!$X$24+I$896-I808,50)</f>
        <v>-10</v>
      </c>
      <c r="AA808" s="1884">
        <f>HP_final-PDs!$X$23+MIN(PDs!$X$23+J$896-J808,50)</f>
        <v>-10</v>
      </c>
      <c r="AB808" s="363"/>
      <c r="AC808" s="2236" t="s">
        <v>8727</v>
      </c>
      <c r="AD808" s="2235" t="s">
        <v>1674</v>
      </c>
    </row>
    <row r="809" spans="1:30" ht="12.75" customHeight="1" thickBot="1" x14ac:dyDescent="0.25">
      <c r="A809" s="1916">
        <v>809</v>
      </c>
      <c r="B809" s="5148"/>
      <c r="C809" s="1691"/>
      <c r="D809" s="426" t="s">
        <v>1140</v>
      </c>
      <c r="E809" s="2539">
        <f>10+Bono_Fue</f>
        <v>10</v>
      </c>
      <c r="F809" s="2539"/>
      <c r="G809" s="2539">
        <v>10</v>
      </c>
      <c r="H809" s="2539"/>
      <c r="I809" s="2539">
        <v>10</v>
      </c>
      <c r="J809" s="2539">
        <v>10</v>
      </c>
      <c r="K809" s="2539"/>
      <c r="L809" s="146" t="s">
        <v>1141</v>
      </c>
      <c r="M809" s="2517"/>
      <c r="N809" s="2517"/>
      <c r="O809" s="2001"/>
      <c r="P809" s="2517"/>
      <c r="Q809" s="2539"/>
      <c r="R809" s="2539"/>
      <c r="S809" s="2539"/>
      <c r="T809" s="2539"/>
      <c r="U809" s="2539">
        <f t="shared" si="103"/>
        <v>0</v>
      </c>
      <c r="V809" s="2539">
        <f>50*IF(Arma_Desarrollada="Desarmado",IF(D807=PDs!$AD$56,0.5,1),1)</f>
        <v>50</v>
      </c>
      <c r="W809" s="2539">
        <f>IF(COUNTIF(PDs!$AD$56:$AD$74,Tablas!D809)&gt;0,1,0)</f>
        <v>0</v>
      </c>
      <c r="X809" s="2539" t="str">
        <f>IF(OR(T.Manos_final&lt;80,MAX(Z809,AA809)&lt;200,W808=0),"NO","-")</f>
        <v>NO</v>
      </c>
      <c r="Y809" s="2681">
        <f>HA_final-PDs!$X$22+MIN(PDs!$X$22+H$896-H809,50)</f>
        <v>0</v>
      </c>
      <c r="Z809" s="2603">
        <f>HE_final-PDs!$X$24+MIN(PDs!$X$24+I$896-I809,50)</f>
        <v>-10</v>
      </c>
      <c r="AA809" s="1884">
        <f>HP_final-PDs!$X$23+MIN(PDs!$X$23+J$896-J809,50)</f>
        <v>-10</v>
      </c>
      <c r="AB809" s="363"/>
      <c r="AC809" s="2236" t="s">
        <v>8728</v>
      </c>
      <c r="AD809" s="2237" t="s">
        <v>4574</v>
      </c>
    </row>
    <row r="810" spans="1:30" ht="12.75" customHeight="1" x14ac:dyDescent="0.2">
      <c r="A810" s="1916">
        <v>810</v>
      </c>
      <c r="B810" s="5148"/>
      <c r="C810" s="1691"/>
      <c r="D810" s="426" t="s">
        <v>1142</v>
      </c>
      <c r="E810" s="2539">
        <f>10+2*Bono_Fue</f>
        <v>10</v>
      </c>
      <c r="F810" s="2539"/>
      <c r="G810" s="2539">
        <v>0</v>
      </c>
      <c r="H810" s="2539"/>
      <c r="I810" s="2539"/>
      <c r="J810" s="2539"/>
      <c r="K810" s="2539">
        <v>5</v>
      </c>
      <c r="L810" s="146" t="s">
        <v>1766</v>
      </c>
      <c r="M810" s="2517"/>
      <c r="N810" s="2517"/>
      <c r="O810" s="2001"/>
      <c r="P810" s="2517"/>
      <c r="Q810" s="2539"/>
      <c r="R810" s="2539"/>
      <c r="S810" s="2539"/>
      <c r="T810" s="2539"/>
      <c r="U810" s="2539">
        <f t="shared" si="103"/>
        <v>0</v>
      </c>
      <c r="V810" s="2539">
        <f>20*IF(AND(Arma_Desarrollada="Desarmado",D810=PDs!$AD$56),0.5,1)</f>
        <v>20</v>
      </c>
      <c r="W810" s="2539">
        <f>IF(COUNTIF(PDs!$AD$56:$AD$74,Tablas!D810)&gt;0,1,0)</f>
        <v>0</v>
      </c>
      <c r="X810" s="2539" t="str">
        <f>IF(OR(P.Fuerza_final&lt;30),"NO","-")</f>
        <v>NO</v>
      </c>
      <c r="Y810" s="2681">
        <f>HA_final-PDs!$X$22+MIN(PDs!$X$22+H$896-H810,50)</f>
        <v>0</v>
      </c>
      <c r="Z810" s="2603">
        <f>HE_final-PDs!$X$24+MIN(PDs!$X$24+I$896-I810,50)</f>
        <v>0</v>
      </c>
      <c r="AA810" s="1884">
        <f>HP_final-PDs!$X$23+MIN(PDs!$X$23+J$896-J810,50)</f>
        <v>0</v>
      </c>
      <c r="AB810" s="363"/>
      <c r="AC810" s="2236" t="s">
        <v>8729</v>
      </c>
    </row>
    <row r="811" spans="1:30" ht="12.75" customHeight="1" x14ac:dyDescent="0.2">
      <c r="A811" s="1916">
        <v>811</v>
      </c>
      <c r="B811" s="5148"/>
      <c r="C811" s="1691"/>
      <c r="D811" s="426" t="s">
        <v>1143</v>
      </c>
      <c r="E811" s="2539">
        <f>20+2*Bono_Fue</f>
        <v>20</v>
      </c>
      <c r="F811" s="2539"/>
      <c r="G811" s="2539">
        <v>10</v>
      </c>
      <c r="H811" s="2539"/>
      <c r="I811" s="2539"/>
      <c r="J811" s="2539"/>
      <c r="K811" s="2539">
        <v>5</v>
      </c>
      <c r="L811" s="146" t="s">
        <v>1144</v>
      </c>
      <c r="M811" s="2517"/>
      <c r="N811" s="2517"/>
      <c r="O811" s="2001"/>
      <c r="P811" s="2517"/>
      <c r="Q811" s="2539"/>
      <c r="R811" s="2539"/>
      <c r="S811" s="2539"/>
      <c r="T811" s="2539"/>
      <c r="U811" s="2539">
        <f t="shared" si="103"/>
        <v>0</v>
      </c>
      <c r="V811" s="2539">
        <f>30*IF(Arma_Desarrollada="Desarmado",IF(D810=PDs!$AD$56,0.5,1),1)</f>
        <v>30</v>
      </c>
      <c r="W811" s="2539">
        <f>IF(COUNTIF(PDs!$AD$56:$AD$74,Tablas!D811)&gt;0,1,0)</f>
        <v>0</v>
      </c>
      <c r="X811" s="2539" t="str">
        <f>IF(OR(P.Fuerza_final&lt;60,Y811&lt;120,MAX(Z811,AA811)&lt;120,W810=0),"NO","-")</f>
        <v>NO</v>
      </c>
      <c r="Y811" s="2681">
        <f>HA_final-PDs!$X$22+MIN(PDs!$X$22+H$896-H811,50)</f>
        <v>0</v>
      </c>
      <c r="Z811" s="2603">
        <f>HE_final-PDs!$X$24+MIN(PDs!$X$24+I$896-I811,50)</f>
        <v>0</v>
      </c>
      <c r="AA811" s="1884">
        <f>HP_final-PDs!$X$23+MIN(PDs!$X$23+J$896-J811,50)</f>
        <v>0</v>
      </c>
      <c r="AB811" s="363"/>
      <c r="AC811" s="2236" t="s">
        <v>8730</v>
      </c>
    </row>
    <row r="812" spans="1:30" ht="12.75" customHeight="1" x14ac:dyDescent="0.2">
      <c r="A812" s="1916">
        <v>812</v>
      </c>
      <c r="B812" s="5148"/>
      <c r="C812" s="1691"/>
      <c r="D812" s="426" t="s">
        <v>1145</v>
      </c>
      <c r="E812" s="2539">
        <f>30+2*Bono_Fue</f>
        <v>30</v>
      </c>
      <c r="F812" s="2539"/>
      <c r="G812" s="2539">
        <v>10</v>
      </c>
      <c r="H812" s="2539">
        <v>10</v>
      </c>
      <c r="I812" s="2539"/>
      <c r="J812" s="2539"/>
      <c r="K812" s="2539">
        <v>10</v>
      </c>
      <c r="L812" s="146" t="s">
        <v>1766</v>
      </c>
      <c r="M812" s="2517"/>
      <c r="N812" s="2517"/>
      <c r="O812" s="2001"/>
      <c r="P812" s="2517"/>
      <c r="Q812" s="2539"/>
      <c r="R812" s="2539"/>
      <c r="S812" s="2539"/>
      <c r="T812" s="2539"/>
      <c r="U812" s="2539">
        <f t="shared" si="103"/>
        <v>0</v>
      </c>
      <c r="V812" s="2539">
        <f>50*IF(Arma_Desarrollada="Desarmado",IF(D810=PDs!$AD$56,0.5,1),1)</f>
        <v>50</v>
      </c>
      <c r="W812" s="2539">
        <f>IF(COUNTIF(PDs!$AD$56:$AD$74,Tablas!D812)&gt;0,1,0)</f>
        <v>0</v>
      </c>
      <c r="X812" s="2539" t="str">
        <f>IF(OR(P.Fuerza_final&lt;120,Y812&lt;200,MAX(Z812,AA812)&lt;200,W811=0),"NO","-")</f>
        <v>NO</v>
      </c>
      <c r="Y812" s="2681">
        <f>HA_final-PDs!$X$22+MIN(PDs!$X$22+H$896-H812,50)</f>
        <v>-10</v>
      </c>
      <c r="Z812" s="2603">
        <f>HE_final-PDs!$X$24+MIN(PDs!$X$24+I$896-I812,50)</f>
        <v>0</v>
      </c>
      <c r="AA812" s="1884">
        <f>HP_final-PDs!$X$23+MIN(PDs!$X$23+J$896-J812,50)</f>
        <v>0</v>
      </c>
      <c r="AB812" s="363"/>
      <c r="AC812" s="2236" t="s">
        <v>8731</v>
      </c>
    </row>
    <row r="813" spans="1:30" ht="12.75" customHeight="1" x14ac:dyDescent="0.2">
      <c r="A813" s="1916">
        <v>813</v>
      </c>
      <c r="B813" s="5148"/>
      <c r="C813" s="1691"/>
      <c r="D813" s="426" t="s">
        <v>1146</v>
      </c>
      <c r="E813" s="2539">
        <f>20+Bono_Fue</f>
        <v>20</v>
      </c>
      <c r="F813" s="2539"/>
      <c r="G813" s="2539">
        <v>0</v>
      </c>
      <c r="H813" s="2539"/>
      <c r="I813" s="2539"/>
      <c r="J813" s="2539"/>
      <c r="K813" s="2539"/>
      <c r="L813" s="146" t="s">
        <v>1147</v>
      </c>
      <c r="M813" s="2517"/>
      <c r="N813" s="2517"/>
      <c r="O813" s="2001"/>
      <c r="P813" s="2517"/>
      <c r="Q813" s="2539"/>
      <c r="R813" s="2539"/>
      <c r="S813" s="2539"/>
      <c r="T813" s="2539"/>
      <c r="U813" s="2539">
        <f t="shared" si="103"/>
        <v>0</v>
      </c>
      <c r="V813" s="2539">
        <f>20*IF(AND(Arma_Desarrollada="Desarmado",D813=PDs!$AD$56),0.5,1)</f>
        <v>20</v>
      </c>
      <c r="W813" s="2539">
        <f>IF(COUNTIF(PDs!$AD$56:$AD$74,Tablas!D813)&gt;0,1,0)</f>
        <v>0</v>
      </c>
      <c r="X813" s="2539" t="str">
        <f>IF(OR(Baile_final&lt;20,Baile_final="-"),"NO","-")</f>
        <v>NO</v>
      </c>
      <c r="Y813" s="2681">
        <f>HA_final-PDs!$X$22+MIN(PDs!$X$22+H$896-H813,50)</f>
        <v>0</v>
      </c>
      <c r="Z813" s="2603">
        <f>HE_final-PDs!$X$24+MIN(PDs!$X$24+I$896-I813,50)</f>
        <v>0</v>
      </c>
      <c r="AA813" s="1884">
        <f>HP_final-PDs!$X$23+MIN(PDs!$X$23+J$896-J813,50)</f>
        <v>0</v>
      </c>
      <c r="AB813" s="363"/>
      <c r="AC813" s="2236" t="s">
        <v>8732</v>
      </c>
    </row>
    <row r="814" spans="1:30" ht="12.75" customHeight="1" x14ac:dyDescent="0.2">
      <c r="A814" s="1916">
        <v>814</v>
      </c>
      <c r="B814" s="5148"/>
      <c r="C814" s="1691"/>
      <c r="D814" s="426" t="s">
        <v>1148</v>
      </c>
      <c r="E814" s="2539">
        <f>20+Bono_Fue</f>
        <v>20</v>
      </c>
      <c r="F814" s="2539"/>
      <c r="G814" s="2539">
        <v>10</v>
      </c>
      <c r="H814" s="2539"/>
      <c r="I814" s="2539">
        <v>10</v>
      </c>
      <c r="J814" s="2539"/>
      <c r="K814" s="2539"/>
      <c r="L814" s="146" t="s">
        <v>1149</v>
      </c>
      <c r="M814" s="161"/>
      <c r="N814" s="161"/>
      <c r="O814" s="447"/>
      <c r="P814" s="161"/>
      <c r="Q814" s="2539"/>
      <c r="R814" s="2539"/>
      <c r="S814" s="2539"/>
      <c r="T814" s="2539"/>
      <c r="U814" s="2539">
        <f t="shared" si="103"/>
        <v>0</v>
      </c>
      <c r="V814" s="2539">
        <f>30*IF(Arma_Desarrollada="Desarmado",IF(D813=PDs!$AD$56,0.5,1),1)</f>
        <v>30</v>
      </c>
      <c r="W814" s="2539">
        <f>IF(COUNTIF(PDs!$AD$56:$AD$74,Tablas!D814)&gt;0,1,0)</f>
        <v>0</v>
      </c>
      <c r="X814" s="2539" t="str">
        <f>IF(OR(Baile_final&lt;40,Baile_final="-",$W$813=0,Z814&lt;120),"NO","-")</f>
        <v>NO</v>
      </c>
      <c r="Y814" s="2681">
        <f>HA_final-PDs!$X$22+MIN(PDs!$X$22+H$896-H814,50)</f>
        <v>0</v>
      </c>
      <c r="Z814" s="2603">
        <f>HE_final-PDs!$X$24+MIN(PDs!$X$24+I$896-I814,50)</f>
        <v>-10</v>
      </c>
      <c r="AA814" s="1884">
        <f>HP_final-PDs!$X$23+MIN(PDs!$X$23+J$896-J814,50)</f>
        <v>0</v>
      </c>
      <c r="AB814" s="363"/>
      <c r="AC814" s="2236" t="s">
        <v>8733</v>
      </c>
    </row>
    <row r="815" spans="1:30" ht="12.75" customHeight="1" x14ac:dyDescent="0.2">
      <c r="A815" s="1916">
        <v>815</v>
      </c>
      <c r="B815" s="5148"/>
      <c r="C815" s="1691"/>
      <c r="D815" s="426" t="s">
        <v>1150</v>
      </c>
      <c r="E815" s="2539">
        <f>20+Bono_Fue</f>
        <v>20</v>
      </c>
      <c r="F815" s="2539"/>
      <c r="G815" s="2539">
        <v>10</v>
      </c>
      <c r="H815" s="2539"/>
      <c r="I815" s="2539">
        <v>10</v>
      </c>
      <c r="J815" s="2539"/>
      <c r="K815" s="2539"/>
      <c r="L815" s="146" t="s">
        <v>1151</v>
      </c>
      <c r="M815" s="2517"/>
      <c r="N815" s="2517"/>
      <c r="O815" s="2001"/>
      <c r="P815" s="2517"/>
      <c r="Q815" s="2539"/>
      <c r="R815" s="2539"/>
      <c r="S815" s="2539"/>
      <c r="T815" s="2539"/>
      <c r="U815" s="2539">
        <f t="shared" si="103"/>
        <v>0</v>
      </c>
      <c r="V815" s="2539">
        <f>50*IF(Arma_Desarrollada="Desarmado",IF(D813=PDs!$AD$56,0.5,1),1)</f>
        <v>50</v>
      </c>
      <c r="W815" s="2539">
        <f>IF(COUNTIF(PDs!$AD$56:$AD$74,Tablas!D815)&gt;0,1,0)</f>
        <v>0</v>
      </c>
      <c r="X815" s="2539" t="str">
        <f>IF(OR(Baile_final&lt;120,Baile_final="-",$W$814=0,Z815&lt;200),"NO","-")</f>
        <v>NO</v>
      </c>
      <c r="Y815" s="2681">
        <f>HA_final-PDs!$X$22+MIN(PDs!$X$22+H$896-H815,50)</f>
        <v>0</v>
      </c>
      <c r="Z815" s="2603">
        <f>HE_final-PDs!$X$24+MIN(PDs!$X$24+I$896-I815,50)</f>
        <v>-10</v>
      </c>
      <c r="AA815" s="1884">
        <f>HP_final-PDs!$X$23+MIN(PDs!$X$23+J$896-J815,50)</f>
        <v>0</v>
      </c>
      <c r="AB815" s="363"/>
      <c r="AC815" s="2236" t="s">
        <v>8734</v>
      </c>
    </row>
    <row r="816" spans="1:30" ht="12.75" customHeight="1" x14ac:dyDescent="0.2">
      <c r="A816" s="1916">
        <v>816</v>
      </c>
      <c r="B816" s="5148"/>
      <c r="C816" s="1691"/>
      <c r="D816" s="426" t="s">
        <v>1152</v>
      </c>
      <c r="E816" s="2539">
        <f>10+Bono_Fue</f>
        <v>10</v>
      </c>
      <c r="F816" s="2539"/>
      <c r="G816" s="2539">
        <v>0</v>
      </c>
      <c r="H816" s="2539"/>
      <c r="I816" s="2539"/>
      <c r="J816" s="2539"/>
      <c r="K816" s="2539"/>
      <c r="L816" s="2408" t="s">
        <v>1153</v>
      </c>
      <c r="M816" s="447"/>
      <c r="N816" s="447"/>
      <c r="O816" s="447"/>
      <c r="P816" s="447"/>
      <c r="Q816" s="2539"/>
      <c r="R816" s="2539"/>
      <c r="S816" s="2539"/>
      <c r="T816" s="2539"/>
      <c r="U816" s="2539">
        <f t="shared" si="103"/>
        <v>0</v>
      </c>
      <c r="V816" s="2539">
        <f>20*IF(AND(Arma_Desarrollada="Desarmado",D816=PDs!$AD$56),0.5,1)</f>
        <v>20</v>
      </c>
      <c r="W816" s="2539">
        <f>IF(COUNTIF(PDs!$AD$56:$AD$74,Tablas!D816)&gt;0,1,0)</f>
        <v>0</v>
      </c>
      <c r="X816" s="2539" t="str">
        <f>IF(P.Fuerza_final&lt;20,"NO","-")</f>
        <v>NO</v>
      </c>
      <c r="Y816" s="2681">
        <f>HA_final-PDs!$X$22+MIN(PDs!$X$22+H$896-H816,50)</f>
        <v>0</v>
      </c>
      <c r="Z816" s="2603">
        <f>HE_final-PDs!$X$24+MIN(PDs!$X$24+I$896-I816,50)</f>
        <v>0</v>
      </c>
      <c r="AA816" s="1884">
        <f>HP_final-PDs!$X$23+MIN(PDs!$X$23+J$896-J816,50)</f>
        <v>0</v>
      </c>
      <c r="AB816" s="363"/>
      <c r="AC816" s="2236" t="s">
        <v>8735</v>
      </c>
    </row>
    <row r="817" spans="1:29" ht="12.75" customHeight="1" x14ac:dyDescent="0.2">
      <c r="A817" s="1916">
        <v>817</v>
      </c>
      <c r="B817" s="5148"/>
      <c r="C817" s="1691"/>
      <c r="D817" s="426" t="s">
        <v>1154</v>
      </c>
      <c r="E817" s="2539">
        <f>20+Bono_Fue</f>
        <v>20</v>
      </c>
      <c r="F817" s="2539"/>
      <c r="G817" s="2539">
        <v>10</v>
      </c>
      <c r="H817" s="2539"/>
      <c r="I817" s="2539"/>
      <c r="J817" s="2539"/>
      <c r="K817" s="2539"/>
      <c r="L817" s="146" t="s">
        <v>1155</v>
      </c>
      <c r="M817" s="161"/>
      <c r="N817" s="161"/>
      <c r="O817" s="447"/>
      <c r="P817" s="161"/>
      <c r="Q817" s="2539"/>
      <c r="R817" s="2539"/>
      <c r="S817" s="2539"/>
      <c r="T817" s="2539"/>
      <c r="U817" s="2539">
        <f t="shared" si="103"/>
        <v>0</v>
      </c>
      <c r="V817" s="2539">
        <f>30*IF(Arma_Desarrollada="Desarmado",IF(D816=PDs!$AD$56,0.5,1),1)</f>
        <v>30</v>
      </c>
      <c r="W817" s="2539">
        <f>IF(COUNTIF(PDs!$AD$56:$AD$74,Tablas!D817)&gt;0,1,0)</f>
        <v>0</v>
      </c>
      <c r="X817" s="2539" t="str">
        <f>IF(OR(P.Fuerza_final&lt;40,Y817&lt;130,$W$816=0),"NO","-")</f>
        <v>NO</v>
      </c>
      <c r="Y817" s="2681">
        <f>HA_final-PDs!$X$22+MIN(PDs!$X$22+H$896-H817,50)</f>
        <v>0</v>
      </c>
      <c r="Z817" s="2603">
        <f>HE_final-PDs!$X$24+MIN(PDs!$X$24+I$896-I817,50)</f>
        <v>0</v>
      </c>
      <c r="AA817" s="1884">
        <f>HP_final-PDs!$X$23+MIN(PDs!$X$23+J$896-J817,50)</f>
        <v>0</v>
      </c>
      <c r="AB817" s="363"/>
      <c r="AC817" s="2236" t="s">
        <v>8736</v>
      </c>
    </row>
    <row r="818" spans="1:29" ht="12.75" customHeight="1" x14ac:dyDescent="0.2">
      <c r="A818" s="1916">
        <v>818</v>
      </c>
      <c r="B818" s="5148"/>
      <c r="C818" s="1691"/>
      <c r="D818" s="426" t="s">
        <v>1156</v>
      </c>
      <c r="E818" s="2539">
        <f>20+Bono_Fue</f>
        <v>20</v>
      </c>
      <c r="F818" s="2539"/>
      <c r="G818" s="2539">
        <v>10</v>
      </c>
      <c r="H818" s="2539"/>
      <c r="I818" s="2539"/>
      <c r="J818" s="2539"/>
      <c r="K818" s="2539"/>
      <c r="L818" s="2408" t="s">
        <v>1157</v>
      </c>
      <c r="M818" s="447"/>
      <c r="N818" s="447"/>
      <c r="O818" s="447"/>
      <c r="P818" s="447"/>
      <c r="Q818" s="2539"/>
      <c r="R818" s="2539"/>
      <c r="S818" s="2539"/>
      <c r="T818" s="2539"/>
      <c r="U818" s="2539">
        <f t="shared" si="103"/>
        <v>0</v>
      </c>
      <c r="V818" s="2539">
        <f>50*IF(Arma_Desarrollada="Desarmado",IF(D816=PDs!$AD$56,0.5,1),1)</f>
        <v>50</v>
      </c>
      <c r="W818" s="2539">
        <f>IF(COUNTIF(PDs!$AD$56:$AD$74,Tablas!D818)&gt;0,1,0)</f>
        <v>0</v>
      </c>
      <c r="X818" s="2539" t="str">
        <f>IF(OR(P.Fuerza_final&lt;120,Y818&lt;200,$W$817=0),"NO","-")</f>
        <v>NO</v>
      </c>
      <c r="Y818" s="2681">
        <f>HA_final-PDs!$X$22+MIN(PDs!$X$22+H$896-H818,50)</f>
        <v>0</v>
      </c>
      <c r="Z818" s="2603">
        <f>HE_final-PDs!$X$24+MIN(PDs!$X$24+I$896-I818,50)</f>
        <v>0</v>
      </c>
      <c r="AA818" s="1884">
        <f>HP_final-PDs!$X$23+MIN(PDs!$X$23+J$896-J818,50)</f>
        <v>0</v>
      </c>
      <c r="AB818" s="363"/>
      <c r="AC818" s="2236" t="s">
        <v>8737</v>
      </c>
    </row>
    <row r="819" spans="1:29" ht="12.75" customHeight="1" x14ac:dyDescent="0.2">
      <c r="A819" s="1916">
        <v>819</v>
      </c>
      <c r="B819" s="5148"/>
      <c r="C819" s="1691"/>
      <c r="D819" s="426" t="s">
        <v>1158</v>
      </c>
      <c r="E819" s="2539">
        <f>10+Bono_Fue</f>
        <v>10</v>
      </c>
      <c r="F819" s="2539"/>
      <c r="G819" s="2539">
        <v>0</v>
      </c>
      <c r="H819" s="2539"/>
      <c r="I819" s="2539"/>
      <c r="J819" s="2539"/>
      <c r="K819" s="2539"/>
      <c r="L819" s="2408" t="s">
        <v>1159</v>
      </c>
      <c r="M819" s="447"/>
      <c r="N819" s="447"/>
      <c r="O819" s="447"/>
      <c r="P819" s="447"/>
      <c r="Q819" s="2539"/>
      <c r="R819" s="2539"/>
      <c r="S819" s="2539"/>
      <c r="T819" s="2539"/>
      <c r="U819" s="2539">
        <f t="shared" si="103"/>
        <v>0</v>
      </c>
      <c r="V819" s="2539">
        <f>20*IF(AND(Arma_Desarrollada="Desarmado",D819=PDs!$AD$56),0.5,1)</f>
        <v>20</v>
      </c>
      <c r="W819" s="2539">
        <f>IF(COUNTIF(PDs!$AD$56:$AD$74,Tablas!D819)&gt;0,1,0)</f>
        <v>0</v>
      </c>
      <c r="X819" s="2539" t="str">
        <f>IF(OR(T.Manos_final&lt;20,Atletismo_final&lt;40),"NO","-")</f>
        <v>NO</v>
      </c>
      <c r="Y819" s="2681">
        <f>HA_final-PDs!$X$22+MIN(PDs!$X$22+H$896-H819,50)</f>
        <v>0</v>
      </c>
      <c r="Z819" s="2603">
        <f>HE_final-PDs!$X$24+MIN(PDs!$X$24+I$896-I819,50)</f>
        <v>0</v>
      </c>
      <c r="AA819" s="1884">
        <f>HP_final-PDs!$X$23+MIN(PDs!$X$23+J$896-J819,50)</f>
        <v>0</v>
      </c>
      <c r="AB819" s="363"/>
      <c r="AC819" s="2236" t="s">
        <v>8738</v>
      </c>
    </row>
    <row r="820" spans="1:29" ht="12.75" customHeight="1" x14ac:dyDescent="0.2">
      <c r="A820" s="1916">
        <v>820</v>
      </c>
      <c r="B820" s="5148"/>
      <c r="C820" s="1691"/>
      <c r="D820" s="426" t="s">
        <v>1160</v>
      </c>
      <c r="E820" s="2539">
        <f>20+Bono_Fue</f>
        <v>20</v>
      </c>
      <c r="F820" s="2539"/>
      <c r="G820" s="2539">
        <v>10</v>
      </c>
      <c r="H820" s="2539"/>
      <c r="I820" s="2539">
        <v>10</v>
      </c>
      <c r="J820" s="2539">
        <v>10</v>
      </c>
      <c r="K820" s="2539"/>
      <c r="L820" s="2408" t="s">
        <v>1161</v>
      </c>
      <c r="M820" s="447"/>
      <c r="N820" s="447"/>
      <c r="O820" s="447"/>
      <c r="P820" s="447"/>
      <c r="Q820" s="2539"/>
      <c r="R820" s="2539"/>
      <c r="S820" s="2539"/>
      <c r="T820" s="2539"/>
      <c r="U820" s="2539">
        <f t="shared" si="103"/>
        <v>0</v>
      </c>
      <c r="V820" s="2539">
        <f>30*IF(Arma_Desarrollada="Desarmado",IF(D819=PDs!$AD$56,0.5,1),1)</f>
        <v>30</v>
      </c>
      <c r="W820" s="2539">
        <f>IF(COUNTIF(PDs!$AD$56:$AD$74,Tablas!D820)&gt;0,1,0)</f>
        <v>0</v>
      </c>
      <c r="X820" s="2539" t="str">
        <f>IF(OR(T.Manos_final&lt;40,Atletismo_final&lt;60,MAX(Z820,AA820)&lt;120,$W$819=0),"NO","-")</f>
        <v>NO</v>
      </c>
      <c r="Y820" s="2681">
        <f>HA_final-PDs!$X$22+MIN(PDs!$X$22+H$896-H820,50)</f>
        <v>0</v>
      </c>
      <c r="Z820" s="2603">
        <f>HE_final-PDs!$X$24+MIN(PDs!$X$24+I$896-I820,50)</f>
        <v>-10</v>
      </c>
      <c r="AA820" s="1884">
        <f>HP_final-PDs!$X$23+MIN(PDs!$X$23+J$896-J820,50)</f>
        <v>-10</v>
      </c>
      <c r="AB820" s="363"/>
      <c r="AC820" s="2236" t="s">
        <v>8739</v>
      </c>
    </row>
    <row r="821" spans="1:29" ht="12.75" customHeight="1" x14ac:dyDescent="0.2">
      <c r="A821" s="1916">
        <v>821</v>
      </c>
      <c r="B821" s="5148"/>
      <c r="C821" s="1691"/>
      <c r="D821" s="426" t="s">
        <v>1162</v>
      </c>
      <c r="E821" s="2539">
        <f>30+Bono_Fue</f>
        <v>30</v>
      </c>
      <c r="F821" s="2539"/>
      <c r="G821" s="2539">
        <v>10</v>
      </c>
      <c r="H821" s="2539"/>
      <c r="I821" s="2539">
        <v>10</v>
      </c>
      <c r="J821" s="2539">
        <v>10</v>
      </c>
      <c r="K821" s="2539"/>
      <c r="L821" s="2408" t="s">
        <v>1163</v>
      </c>
      <c r="M821" s="447"/>
      <c r="N821" s="447"/>
      <c r="O821" s="447"/>
      <c r="P821" s="447"/>
      <c r="Q821" s="2539"/>
      <c r="R821" s="2539"/>
      <c r="S821" s="2539"/>
      <c r="T821" s="2539"/>
      <c r="U821" s="2539">
        <f t="shared" si="103"/>
        <v>0</v>
      </c>
      <c r="V821" s="2539">
        <f>50*IF(Arma_Desarrollada="Desarmado",IF(D819=PDs!$AD$56,0.5,1),1)</f>
        <v>50</v>
      </c>
      <c r="W821" s="2539">
        <f>IF(COUNTIF(PDs!$AD$56:$AD$74,Tablas!D821)&gt;0,1,0)</f>
        <v>0</v>
      </c>
      <c r="X821" s="2539" t="str">
        <f>IF(OR(T.Manos_final&lt;100,Atletismo_final&lt;120,$W$820=0),"NO","-")</f>
        <v>NO</v>
      </c>
      <c r="Y821" s="2681">
        <f>HA_final-PDs!$X$22+MIN(PDs!$X$22+H$896-H821,50)</f>
        <v>0</v>
      </c>
      <c r="Z821" s="2603">
        <f>HE_final-PDs!$X$24+MIN(PDs!$X$24+I$896-I821,50)</f>
        <v>-10</v>
      </c>
      <c r="AA821" s="1884">
        <f>HP_final-PDs!$X$23+MIN(PDs!$X$23+J$896-J821,50)</f>
        <v>-10</v>
      </c>
      <c r="AB821" s="363"/>
      <c r="AC821" s="2236" t="s">
        <v>8740</v>
      </c>
    </row>
    <row r="822" spans="1:29" ht="12.75" customHeight="1" x14ac:dyDescent="0.2">
      <c r="A822" s="1916">
        <v>822</v>
      </c>
      <c r="B822" s="5148"/>
      <c r="C822" s="1691"/>
      <c r="D822" s="426" t="s">
        <v>1164</v>
      </c>
      <c r="E822" s="2539">
        <f>10+Bono_Fue</f>
        <v>10</v>
      </c>
      <c r="F822" s="2539"/>
      <c r="G822" s="2539">
        <v>0</v>
      </c>
      <c r="H822" s="2539"/>
      <c r="I822" s="2539"/>
      <c r="J822" s="2539"/>
      <c r="K822" s="2539"/>
      <c r="L822" s="2408" t="s">
        <v>1165</v>
      </c>
      <c r="M822" s="447"/>
      <c r="N822" s="447"/>
      <c r="O822" s="447"/>
      <c r="P822" s="447"/>
      <c r="Q822" s="2539"/>
      <c r="R822" s="2539"/>
      <c r="S822" s="2539"/>
      <c r="T822" s="2539"/>
      <c r="U822" s="2539">
        <f t="shared" si="103"/>
        <v>0</v>
      </c>
      <c r="V822" s="2539">
        <f>20*IF(AND(Arma_Desarrollada="Desarmado",D822=PDs!$AD$56),0.5,1)</f>
        <v>20</v>
      </c>
      <c r="W822" s="2539">
        <f>IF(COUNTIF(PDs!$AD$56:$AD$74,Tablas!D822)&gt;0,1,0)</f>
        <v>0</v>
      </c>
      <c r="X822" s="2539" t="s">
        <v>1766</v>
      </c>
      <c r="Y822" s="2681">
        <f>HA_final-PDs!$X$22+MIN(PDs!$X$22+H$896-H822,50)</f>
        <v>0</v>
      </c>
      <c r="Z822" s="2603">
        <f>HE_final-PDs!$X$24+MIN(PDs!$X$24+I$896-I822,50)</f>
        <v>0</v>
      </c>
      <c r="AA822" s="1884">
        <f>HP_final-PDs!$X$23+MIN(PDs!$X$23+J$896-J822,50)</f>
        <v>0</v>
      </c>
      <c r="AB822" s="363"/>
      <c r="AC822" s="2236" t="s">
        <v>8741</v>
      </c>
    </row>
    <row r="823" spans="1:29" ht="12.75" customHeight="1" x14ac:dyDescent="0.2">
      <c r="A823" s="1916">
        <v>823</v>
      </c>
      <c r="B823" s="5148"/>
      <c r="C823" s="1691"/>
      <c r="D823" s="426" t="s">
        <v>1166</v>
      </c>
      <c r="E823" s="2539">
        <f>20+Bono_Fue</f>
        <v>20</v>
      </c>
      <c r="F823" s="2539"/>
      <c r="G823" s="2539">
        <v>10</v>
      </c>
      <c r="H823" s="2539"/>
      <c r="I823" s="2539"/>
      <c r="J823" s="2539"/>
      <c r="K823" s="2539"/>
      <c r="L823" s="146" t="s">
        <v>1167</v>
      </c>
      <c r="M823" s="161"/>
      <c r="N823" s="161"/>
      <c r="O823" s="447"/>
      <c r="P823" s="161"/>
      <c r="Q823" s="2539"/>
      <c r="R823" s="2539"/>
      <c r="S823" s="2539"/>
      <c r="T823" s="2539"/>
      <c r="U823" s="2539">
        <f t="shared" si="103"/>
        <v>0</v>
      </c>
      <c r="V823" s="2539">
        <f>30*IF(Arma_Desarrollada="Desarmado",IF(D822=PDs!$AD$56,0.5,1),1)</f>
        <v>30</v>
      </c>
      <c r="W823" s="2539">
        <f>IF(COUNTIF(PDs!$AD$56:$AD$74,Tablas!D823)&gt;0,1,0)</f>
        <v>0</v>
      </c>
      <c r="X823" s="57" t="str">
        <f>IF(OR(Y823&lt;120,$W$822=0),"NO","-")</f>
        <v>NO</v>
      </c>
      <c r="Y823" s="2681">
        <f>HA_final-PDs!$X$22+MIN(PDs!$X$22+H$896-H823,50)</f>
        <v>0</v>
      </c>
      <c r="Z823" s="2603">
        <f>HE_final-PDs!$X$24+MIN(PDs!$X$24+I$896-I823,50)</f>
        <v>0</v>
      </c>
      <c r="AA823" s="1884">
        <f>HP_final-PDs!$X$23+MIN(PDs!$X$23+J$896-J823,50)</f>
        <v>0</v>
      </c>
      <c r="AB823" s="363"/>
      <c r="AC823" s="2238" t="s">
        <v>1232</v>
      </c>
    </row>
    <row r="824" spans="1:29" ht="12.75" customHeight="1" x14ac:dyDescent="0.2">
      <c r="A824" s="1916">
        <v>824</v>
      </c>
      <c r="B824" s="5148"/>
      <c r="C824" s="1691"/>
      <c r="D824" s="426" t="s">
        <v>1168</v>
      </c>
      <c r="E824" s="2539">
        <f>20+Bono_Fue</f>
        <v>20</v>
      </c>
      <c r="F824" s="2539"/>
      <c r="G824" s="2539">
        <v>10</v>
      </c>
      <c r="H824" s="2539">
        <v>10</v>
      </c>
      <c r="I824" s="2539"/>
      <c r="J824" s="2539"/>
      <c r="K824" s="2539"/>
      <c r="L824" s="2408" t="s">
        <v>1169</v>
      </c>
      <c r="M824" s="447"/>
      <c r="N824" s="447"/>
      <c r="O824" s="447"/>
      <c r="P824" s="447"/>
      <c r="Q824" s="2539"/>
      <c r="R824" s="2539"/>
      <c r="S824" s="2539"/>
      <c r="T824" s="2539"/>
      <c r="U824" s="2539">
        <f t="shared" si="103"/>
        <v>0</v>
      </c>
      <c r="V824" s="2539">
        <f>50*IF(Arma_Desarrollada="Desarmado",IF(D822=PDs!$AD$56,0.5,1),1)</f>
        <v>50</v>
      </c>
      <c r="W824" s="2539">
        <f>IF(COUNTIF(PDs!$AD$56:$AD$74,Tablas!D824)&gt;0,1,0)</f>
        <v>0</v>
      </c>
      <c r="X824" s="57" t="str">
        <f>IF(OR(Y824&lt;200,$W$823=0),"NO","-")</f>
        <v>NO</v>
      </c>
      <c r="Y824" s="2681">
        <f>HA_final-PDs!$X$22+MIN(PDs!$X$22+H$896-H824,50)</f>
        <v>-10</v>
      </c>
      <c r="Z824" s="2603">
        <f>HE_final-PDs!$X$24+MIN(PDs!$X$24+I$896-I824,50)</f>
        <v>0</v>
      </c>
      <c r="AA824" s="1884">
        <f>HP_final-PDs!$X$23+MIN(PDs!$X$23+J$896-J824,50)</f>
        <v>0</v>
      </c>
      <c r="AB824" s="363"/>
      <c r="AC824" s="2236" t="s">
        <v>8742</v>
      </c>
    </row>
    <row r="825" spans="1:29" ht="12.75" customHeight="1" x14ac:dyDescent="0.2">
      <c r="A825" s="1916">
        <v>825</v>
      </c>
      <c r="B825" s="5148"/>
      <c r="C825" s="1691"/>
      <c r="D825" s="426" t="s">
        <v>1170</v>
      </c>
      <c r="E825" s="2539">
        <f>10+Bono_Fue</f>
        <v>10</v>
      </c>
      <c r="F825" s="2539"/>
      <c r="G825" s="2539">
        <v>0</v>
      </c>
      <c r="H825" s="2539"/>
      <c r="I825" s="2539"/>
      <c r="J825" s="2539"/>
      <c r="K825" s="2539"/>
      <c r="L825" s="2408" t="s">
        <v>1171</v>
      </c>
      <c r="M825" s="447"/>
      <c r="N825" s="447"/>
      <c r="O825" s="447"/>
      <c r="P825" s="447"/>
      <c r="Q825" s="2539"/>
      <c r="R825" s="2539"/>
      <c r="S825" s="2539"/>
      <c r="T825" s="2539"/>
      <c r="U825" s="2539">
        <f t="shared" si="103"/>
        <v>0</v>
      </c>
      <c r="V825" s="2539">
        <f>20*IF(AND(Arma_Desarrollada="Desarmado",D825=PDs!$AD$56),0.5,1)</f>
        <v>20</v>
      </c>
      <c r="W825" s="2539">
        <f>IF(COUNTIF(PDs!$AD$56:$AD$74,Tablas!D825)&gt;0,1,0)</f>
        <v>0</v>
      </c>
      <c r="X825" s="57" t="str">
        <f>IF(T.Manos_final&lt;40,"NO","-")</f>
        <v>NO</v>
      </c>
      <c r="Y825" s="2681">
        <f>HA_final-PDs!$X$22+MIN(PDs!$X$22+H$896-H825,50)</f>
        <v>0</v>
      </c>
      <c r="Z825" s="2603">
        <f>HE_final-PDs!$X$24+MIN(PDs!$X$24+I$896-I825,50)</f>
        <v>0</v>
      </c>
      <c r="AA825" s="1884">
        <f>HP_final-PDs!$X$23+MIN(PDs!$X$23+J$896-J825,50)</f>
        <v>0</v>
      </c>
      <c r="AB825" s="363"/>
      <c r="AC825" s="2236" t="s">
        <v>8743</v>
      </c>
    </row>
    <row r="826" spans="1:29" ht="12.75" customHeight="1" x14ac:dyDescent="0.2">
      <c r="A826" s="1916">
        <v>826</v>
      </c>
      <c r="B826" s="5148"/>
      <c r="C826" s="1691"/>
      <c r="D826" s="426" t="s">
        <v>1172</v>
      </c>
      <c r="E826" s="2539">
        <f>20+Bono_Fue</f>
        <v>20</v>
      </c>
      <c r="F826" s="2539"/>
      <c r="G826" s="2539">
        <v>10</v>
      </c>
      <c r="H826" s="2539"/>
      <c r="I826" s="2539"/>
      <c r="J826" s="2539">
        <v>10</v>
      </c>
      <c r="K826" s="2539"/>
      <c r="L826" s="2408" t="s">
        <v>1173</v>
      </c>
      <c r="M826" s="447"/>
      <c r="N826" s="447"/>
      <c r="O826" s="447"/>
      <c r="P826" s="447"/>
      <c r="Q826" s="2539"/>
      <c r="R826" s="2539"/>
      <c r="S826" s="2539"/>
      <c r="T826" s="2539"/>
      <c r="U826" s="2539">
        <f t="shared" si="103"/>
        <v>0</v>
      </c>
      <c r="V826" s="2539">
        <f>30*IF(Arma_Desarrollada="Desarmado",IF(D825=PDs!$AD$56,0.5,1),1)</f>
        <v>30</v>
      </c>
      <c r="W826" s="2539">
        <f>IF(COUNTIF(PDs!$AD$56:$AD$74,Tablas!D826)&gt;0,1,0)</f>
        <v>0</v>
      </c>
      <c r="X826" s="57" t="str">
        <f>IF(OR(T.Manos_final&lt;60,MAX(Z826,AA826)&lt;120,$W$825=0),"NO","-")</f>
        <v>NO</v>
      </c>
      <c r="Y826" s="2681">
        <f>HA_final-PDs!$X$22+MIN(PDs!$X$22+H$896-H826,50)</f>
        <v>0</v>
      </c>
      <c r="Z826" s="2603">
        <f>HE_final-PDs!$X$24+MIN(PDs!$X$24+I$896-I826,50)</f>
        <v>0</v>
      </c>
      <c r="AA826" s="1884">
        <f>HP_final-PDs!$X$23+MIN(PDs!$X$23+J$896-J826,50)</f>
        <v>-10</v>
      </c>
      <c r="AB826" s="363"/>
      <c r="AC826" s="2236" t="s">
        <v>8744</v>
      </c>
    </row>
    <row r="827" spans="1:29" ht="12.75" customHeight="1" x14ac:dyDescent="0.2">
      <c r="A827" s="1916">
        <v>827</v>
      </c>
      <c r="B827" s="5148"/>
      <c r="C827" s="1691"/>
      <c r="D827" s="426" t="s">
        <v>1174</v>
      </c>
      <c r="E827" s="2539">
        <f>20+Bono_Fue</f>
        <v>20</v>
      </c>
      <c r="F827" s="2539"/>
      <c r="G827" s="2539">
        <v>10</v>
      </c>
      <c r="H827" s="2539"/>
      <c r="I827" s="2539"/>
      <c r="J827" s="2539">
        <v>10</v>
      </c>
      <c r="K827" s="2539"/>
      <c r="L827" s="2408" t="s">
        <v>1175</v>
      </c>
      <c r="M827" s="447"/>
      <c r="N827" s="447"/>
      <c r="O827" s="447"/>
      <c r="P827" s="447"/>
      <c r="Q827" s="2539"/>
      <c r="R827" s="2539"/>
      <c r="S827" s="2539"/>
      <c r="T827" s="2539"/>
      <c r="U827" s="2539">
        <f t="shared" si="103"/>
        <v>0</v>
      </c>
      <c r="V827" s="2539">
        <f>50*IF(Arma_Desarrollada="Desarmado",IF(D825=PDs!$AD$56,0.5,1),1)</f>
        <v>50</v>
      </c>
      <c r="W827" s="2539">
        <f>IF(COUNTIF(PDs!$AD$56:$AD$74,Tablas!D827)&gt;0,1,0)</f>
        <v>0</v>
      </c>
      <c r="X827" s="57" t="str">
        <f>IF(OR(T.Manos_final&lt;140,MAX(Z827,AA827)&lt;200,$W$826=0),"NO","-")</f>
        <v>NO</v>
      </c>
      <c r="Y827" s="2681">
        <f>HA_final-PDs!$X$22+MIN(PDs!$X$22+H$896-H827,50)</f>
        <v>0</v>
      </c>
      <c r="Z827" s="2603">
        <f>HE_final-PDs!$X$24+MIN(PDs!$X$24+I$896-I827,50)</f>
        <v>0</v>
      </c>
      <c r="AA827" s="1884">
        <f>HP_final-PDs!$X$23+MIN(PDs!$X$23+J$896-J827,50)</f>
        <v>-10</v>
      </c>
      <c r="AB827" s="363"/>
      <c r="AC827" s="2236" t="s">
        <v>8745</v>
      </c>
    </row>
    <row r="828" spans="1:29" ht="12.75" customHeight="1" x14ac:dyDescent="0.2">
      <c r="A828" s="1916">
        <v>828</v>
      </c>
      <c r="B828" s="5148"/>
      <c r="C828" s="1691"/>
      <c r="D828" s="426" t="s">
        <v>1176</v>
      </c>
      <c r="E828" s="2539">
        <f>20+Bono_Fue</f>
        <v>20</v>
      </c>
      <c r="F828" s="2539"/>
      <c r="G828" s="2539">
        <v>0</v>
      </c>
      <c r="H828" s="2539"/>
      <c r="I828" s="2539"/>
      <c r="J828" s="2539"/>
      <c r="K828" s="2539"/>
      <c r="L828" s="146" t="s">
        <v>1766</v>
      </c>
      <c r="M828" s="161"/>
      <c r="N828" s="161"/>
      <c r="O828" s="447"/>
      <c r="P828" s="161"/>
      <c r="Q828" s="2539"/>
      <c r="R828" s="2539"/>
      <c r="S828" s="2539"/>
      <c r="T828" s="2539"/>
      <c r="U828" s="2539">
        <f t="shared" si="103"/>
        <v>0</v>
      </c>
      <c r="V828" s="2539">
        <f>20*IF(AND(Arma_Desarrollada="Desarmado",D828=PDs!$AD$56),0.5,1)</f>
        <v>20</v>
      </c>
      <c r="W828" s="2539">
        <f>IF(COUNTIF(PDs!$AD$56:$AD$74,Tablas!D828)&gt;0,1,0)</f>
        <v>0</v>
      </c>
      <c r="X828" s="57" t="str">
        <f>IF(OR(Acrobacias_final&lt;20,Estilo_final&lt;10,T.Manos_final&lt;20),"NO","-")</f>
        <v>NO</v>
      </c>
      <c r="Y828" s="2681">
        <f>HA_final-PDs!$X$22+MIN(PDs!$X$22+H$896-H828,50)</f>
        <v>0</v>
      </c>
      <c r="Z828" s="2603">
        <f>HE_final-PDs!$X$24+MIN(PDs!$X$24+I$896-I828,50)</f>
        <v>0</v>
      </c>
      <c r="AA828" s="1884">
        <f>HP_final-PDs!$X$23+MIN(PDs!$X$23+J$896-J828,50)</f>
        <v>0</v>
      </c>
      <c r="AB828" s="363"/>
      <c r="AC828" s="2236" t="s">
        <v>8746</v>
      </c>
    </row>
    <row r="829" spans="1:29" ht="12.75" customHeight="1" x14ac:dyDescent="0.2">
      <c r="A829" s="1916">
        <v>829</v>
      </c>
      <c r="B829" s="5148"/>
      <c r="C829" s="1691"/>
      <c r="D829" s="426" t="s">
        <v>1177</v>
      </c>
      <c r="E829" s="2539">
        <f>20+Bono_Fue</f>
        <v>20</v>
      </c>
      <c r="F829" s="2539"/>
      <c r="G829" s="2539">
        <v>10</v>
      </c>
      <c r="H829" s="2539"/>
      <c r="I829" s="2539"/>
      <c r="J829" s="2539"/>
      <c r="K829" s="2539"/>
      <c r="L829" s="2408" t="s">
        <v>1178</v>
      </c>
      <c r="M829" s="447"/>
      <c r="N829" s="447"/>
      <c r="O829" s="447"/>
      <c r="P829" s="447"/>
      <c r="Q829" s="2539"/>
      <c r="R829" s="2539"/>
      <c r="S829" s="2539"/>
      <c r="T829" s="2539"/>
      <c r="U829" s="2539">
        <f t="shared" si="103"/>
        <v>0</v>
      </c>
      <c r="V829" s="2539">
        <f>30*IF(Arma_Desarrollada="Desarmado",IF(D828=PDs!$AD$56,0.5,1),1)</f>
        <v>30</v>
      </c>
      <c r="W829" s="2539">
        <f>IF(COUNTIF(PDs!$AD$56:$AD$74,Tablas!D829)&gt;0,1,0)</f>
        <v>0</v>
      </c>
      <c r="X829" s="57" t="str">
        <f>IF(OR(Acrobacias_final&lt;40,Estilo_final&lt;20,T.Manos_final&lt;40,Y829&lt;120,MAX(Z829,AA829)&lt;120,$W$828=0),"NO","-")</f>
        <v>NO</v>
      </c>
      <c r="Y829" s="2681">
        <f>HA_final-PDs!$X$22+MIN(PDs!$X$22+H$896-H829,50)</f>
        <v>0</v>
      </c>
      <c r="Z829" s="2603">
        <f>HE_final-PDs!$X$24+MIN(PDs!$X$24+I$896-I829,50)</f>
        <v>0</v>
      </c>
      <c r="AA829" s="1884">
        <f>HP_final-PDs!$X$23+MIN(PDs!$X$23+J$896-J829,50)</f>
        <v>0</v>
      </c>
      <c r="AB829" s="363"/>
      <c r="AC829" s="2236" t="s">
        <v>8747</v>
      </c>
    </row>
    <row r="830" spans="1:29" ht="12.75" customHeight="1" x14ac:dyDescent="0.2">
      <c r="A830" s="1916">
        <v>830</v>
      </c>
      <c r="B830" s="5148"/>
      <c r="C830" s="1691"/>
      <c r="D830" s="426" t="s">
        <v>1179</v>
      </c>
      <c r="E830" s="2539">
        <f>20+Bono_Fue</f>
        <v>20</v>
      </c>
      <c r="F830" s="2539"/>
      <c r="G830" s="2539">
        <v>10</v>
      </c>
      <c r="H830" s="2539"/>
      <c r="I830" s="2539"/>
      <c r="J830" s="2539"/>
      <c r="K830" s="2539"/>
      <c r="L830" s="2408" t="s">
        <v>1180</v>
      </c>
      <c r="M830" s="447"/>
      <c r="N830" s="447"/>
      <c r="O830" s="447"/>
      <c r="P830" s="447"/>
      <c r="Q830" s="2539"/>
      <c r="R830" s="2539" t="s">
        <v>1864</v>
      </c>
      <c r="S830" s="2539"/>
      <c r="T830" s="2539"/>
      <c r="U830" s="2539">
        <f t="shared" si="103"/>
        <v>0</v>
      </c>
      <c r="V830" s="2539">
        <f>50*IF(Arma_Desarrollada="Desarmado",IF(D828=PDs!$AD$56,0.5,1),1)</f>
        <v>50</v>
      </c>
      <c r="W830" s="2539">
        <f>IF(COUNTIF(PDs!$AD$56:$AD$74,Tablas!D830)&gt;0,1,0)</f>
        <v>0</v>
      </c>
      <c r="X830" s="57" t="str">
        <f>IF(OR(Acrobacias_final&lt;120,Estilo_final&lt;100,T.Manos_final&lt;120,Y830&lt;200,MAX(Z830,AA830)&lt;200,$W$829=0),"NO","-")</f>
        <v>NO</v>
      </c>
      <c r="Y830" s="2681">
        <f>HA_final-PDs!$X$22+MIN(PDs!$X$22+H$896-H830,50)</f>
        <v>0</v>
      </c>
      <c r="Z830" s="2603">
        <f>HE_final-PDs!$X$24+MIN(PDs!$X$24+I$896-I830,50)</f>
        <v>0</v>
      </c>
      <c r="AA830" s="1884">
        <f>HP_final-PDs!$X$23+MIN(PDs!$X$23+J$896-J830,50)</f>
        <v>0</v>
      </c>
      <c r="AB830" s="363"/>
      <c r="AC830" s="2236" t="s">
        <v>8748</v>
      </c>
    </row>
    <row r="831" spans="1:29" ht="12.75" customHeight="1" x14ac:dyDescent="0.2">
      <c r="A831" s="1916">
        <v>831</v>
      </c>
      <c r="B831" s="5148"/>
      <c r="C831" s="1691"/>
      <c r="D831" s="426" t="s">
        <v>1181</v>
      </c>
      <c r="E831" s="2539">
        <f>10+Bono_Fue</f>
        <v>10</v>
      </c>
      <c r="F831" s="2539"/>
      <c r="G831" s="2539">
        <v>0</v>
      </c>
      <c r="H831" s="2539"/>
      <c r="I831" s="2539">
        <v>10</v>
      </c>
      <c r="J831" s="2539">
        <v>10</v>
      </c>
      <c r="K831" s="2539"/>
      <c r="L831" s="2408" t="s">
        <v>1766</v>
      </c>
      <c r="M831" s="447"/>
      <c r="N831" s="447"/>
      <c r="O831" s="447"/>
      <c r="P831" s="447"/>
      <c r="Q831" s="2539"/>
      <c r="R831" s="2539"/>
      <c r="S831" s="2539"/>
      <c r="T831" s="2539"/>
      <c r="U831" s="2539">
        <f t="shared" si="103"/>
        <v>0</v>
      </c>
      <c r="V831" s="2539">
        <f>20*IF(AND(Arma_Desarrollada="Desarmado",D831=PDs!$AD$56),0.5,1)</f>
        <v>20</v>
      </c>
      <c r="W831" s="2539">
        <f>IF(COUNTIF(PDs!$AD$56:$AD$74,Tablas!D831)&gt;0,1,0)</f>
        <v>0</v>
      </c>
      <c r="X831" s="57" t="str">
        <f>IF(Estilo_final&lt;20,"NO","-")</f>
        <v>NO</v>
      </c>
      <c r="Y831" s="2681">
        <f>HA_final-PDs!$X$22+MIN(PDs!$X$22+H$896-H831,50)</f>
        <v>0</v>
      </c>
      <c r="Z831" s="2603">
        <f>HE_final-PDs!$X$24+MIN(PDs!$X$24+I$896-I831,50)</f>
        <v>-10</v>
      </c>
      <c r="AA831" s="1884">
        <f>HP_final-PDs!$X$23+MIN(PDs!$X$23+J$896-J831,50)</f>
        <v>-10</v>
      </c>
      <c r="AB831" s="363"/>
      <c r="AC831" s="2236" t="s">
        <v>8749</v>
      </c>
    </row>
    <row r="832" spans="1:29" ht="12.75" customHeight="1" x14ac:dyDescent="0.2">
      <c r="A832" s="1916">
        <v>832</v>
      </c>
      <c r="B832" s="5148"/>
      <c r="C832" s="1691"/>
      <c r="D832" s="426" t="s">
        <v>1182</v>
      </c>
      <c r="E832" s="2539">
        <f>20+Bono_Fue</f>
        <v>20</v>
      </c>
      <c r="F832" s="2539"/>
      <c r="G832" s="2539">
        <v>10</v>
      </c>
      <c r="H832" s="2539"/>
      <c r="I832" s="2539"/>
      <c r="J832" s="2539"/>
      <c r="K832" s="2539"/>
      <c r="L832" s="2408" t="s">
        <v>1183</v>
      </c>
      <c r="M832" s="447"/>
      <c r="N832" s="447"/>
      <c r="O832" s="447"/>
      <c r="P832" s="447"/>
      <c r="Q832" s="2539"/>
      <c r="R832" s="2539"/>
      <c r="S832" s="2539"/>
      <c r="T832" s="2539"/>
      <c r="U832" s="2539">
        <f t="shared" si="103"/>
        <v>0</v>
      </c>
      <c r="V832" s="2539">
        <f>30*IF(Arma_Desarrollada="Desarmado",IF(D831=PDs!$AD$56,0.5,1),1)</f>
        <v>30</v>
      </c>
      <c r="W832" s="2539">
        <f>IF(COUNTIF(PDs!$AD$56:$AD$74,Tablas!D832)&gt;0,1,0)</f>
        <v>0</v>
      </c>
      <c r="X832" s="57" t="str">
        <f>IF(OR(Estilo_final&lt;40,MAX(Z832,AA832)&lt;130,$W$831=0),"NO","-")</f>
        <v>NO</v>
      </c>
      <c r="Y832" s="2681">
        <f>HA_final-PDs!$X$22+MIN(PDs!$X$22+H$896-H832,50)</f>
        <v>0</v>
      </c>
      <c r="Z832" s="2603">
        <f>HE_final-PDs!$X$24+MIN(PDs!$X$24+I$896-I832,50)</f>
        <v>0</v>
      </c>
      <c r="AA832" s="1884">
        <f>HP_final-PDs!$X$23+MIN(PDs!$X$23+J$896-J832,50)</f>
        <v>0</v>
      </c>
      <c r="AB832" s="363"/>
      <c r="AC832" s="2236" t="s">
        <v>8750</v>
      </c>
    </row>
    <row r="833" spans="1:29" ht="12.75" customHeight="1" x14ac:dyDescent="0.2">
      <c r="A833" s="1916">
        <v>833</v>
      </c>
      <c r="B833" s="5148"/>
      <c r="C833" s="1691"/>
      <c r="D833" s="426" t="s">
        <v>1184</v>
      </c>
      <c r="E833" s="2539">
        <f>20+Bono_Fue</f>
        <v>20</v>
      </c>
      <c r="F833" s="2539"/>
      <c r="G833" s="2539">
        <v>10</v>
      </c>
      <c r="H833" s="2539"/>
      <c r="I833" s="2539">
        <v>10</v>
      </c>
      <c r="J833" s="2539">
        <v>10</v>
      </c>
      <c r="K833" s="2539"/>
      <c r="L833" s="2408" t="s">
        <v>1185</v>
      </c>
      <c r="M833" s="447"/>
      <c r="N833" s="447"/>
      <c r="O833" s="447"/>
      <c r="P833" s="447"/>
      <c r="Q833" s="2539"/>
      <c r="R833" s="2539"/>
      <c r="S833" s="2539"/>
      <c r="T833" s="2539"/>
      <c r="U833" s="2539">
        <f t="shared" si="103"/>
        <v>0</v>
      </c>
      <c r="V833" s="2539">
        <f>50*IF(Arma_Desarrollada="Desarmado",IF(D831=PDs!$AD$56,0.5,1),1)</f>
        <v>50</v>
      </c>
      <c r="W833" s="2539">
        <f>IF(COUNTIF(PDs!$AD$56:$AD$74,Tablas!D833)&gt;0,1,0)</f>
        <v>0</v>
      </c>
      <c r="X833" s="57" t="str">
        <f>IF(OR(Estilo_final&lt;80,MAX(Z833,AA833)&lt;200,$W$832=0),"NO","-")</f>
        <v>NO</v>
      </c>
      <c r="Y833" s="2681">
        <f>HA_final-PDs!$X$22+MIN(PDs!$X$22+H$896-H833,50)</f>
        <v>0</v>
      </c>
      <c r="Z833" s="2603">
        <f>HE_final-PDs!$X$24+MIN(PDs!$X$24+I$896-I833,50)</f>
        <v>-10</v>
      </c>
      <c r="AA833" s="1884">
        <f>HP_final-PDs!$X$23+MIN(PDs!$X$23+J$896-J833,50)</f>
        <v>-10</v>
      </c>
      <c r="AB833" s="363"/>
      <c r="AC833" s="2236" t="s">
        <v>8751</v>
      </c>
    </row>
    <row r="834" spans="1:29" ht="12.75" customHeight="1" x14ac:dyDescent="0.2">
      <c r="A834" s="1916">
        <v>834</v>
      </c>
      <c r="B834" s="5148"/>
      <c r="C834" s="1691"/>
      <c r="D834" s="426" t="s">
        <v>1186</v>
      </c>
      <c r="E834" s="2539">
        <f>20+Bono_Fue</f>
        <v>20</v>
      </c>
      <c r="F834" s="2539"/>
      <c r="G834" s="2539">
        <v>0</v>
      </c>
      <c r="H834" s="2539"/>
      <c r="I834" s="2539"/>
      <c r="J834" s="2539"/>
      <c r="K834" s="2539"/>
      <c r="L834" s="2408" t="s">
        <v>1187</v>
      </c>
      <c r="M834" s="447"/>
      <c r="N834" s="447"/>
      <c r="O834" s="447"/>
      <c r="P834" s="447"/>
      <c r="Q834" s="2539"/>
      <c r="R834" s="2539"/>
      <c r="S834" s="2539"/>
      <c r="T834" s="2539"/>
      <c r="U834" s="2539">
        <f t="shared" si="103"/>
        <v>0</v>
      </c>
      <c r="V834" s="2539">
        <f>20*IF(AND(Arma_Desarrollada="Desarmado",D834=PDs!$AD$56),0.5,1)</f>
        <v>20</v>
      </c>
      <c r="W834" s="2539">
        <f>IF(COUNTIF(PDs!$AD$56:$AD$74,Tablas!D834)&gt;0,1,0)</f>
        <v>0</v>
      </c>
      <c r="X834" s="57" t="str">
        <f>IF(T.Manos_final&lt;20,"NO","-")</f>
        <v>NO</v>
      </c>
      <c r="Y834" s="2681">
        <f>HA_final-PDs!$X$22+MIN(PDs!$X$22+H$896-H834,50)</f>
        <v>0</v>
      </c>
      <c r="Z834" s="2603">
        <f>HE_final-PDs!$X$24+MIN(PDs!$X$24+I$896-I834,50)</f>
        <v>0</v>
      </c>
      <c r="AA834" s="1884">
        <f>HP_final-PDs!$X$23+MIN(PDs!$X$23+J$896-J834,50)</f>
        <v>0</v>
      </c>
      <c r="AB834" s="363"/>
      <c r="AC834" s="2236" t="s">
        <v>8752</v>
      </c>
    </row>
    <row r="835" spans="1:29" ht="12.75" customHeight="1" x14ac:dyDescent="0.2">
      <c r="A835" s="1916">
        <v>835</v>
      </c>
      <c r="B835" s="5148"/>
      <c r="C835" s="1691"/>
      <c r="D835" s="426" t="s">
        <v>1188</v>
      </c>
      <c r="E835" s="2539">
        <f>30+Bono_Fue</f>
        <v>30</v>
      </c>
      <c r="F835" s="2539"/>
      <c r="G835" s="2539">
        <v>10</v>
      </c>
      <c r="H835" s="2539"/>
      <c r="I835" s="2539"/>
      <c r="J835" s="2539">
        <v>10</v>
      </c>
      <c r="K835" s="2539"/>
      <c r="L835" s="2408" t="s">
        <v>1189</v>
      </c>
      <c r="M835" s="447"/>
      <c r="N835" s="447"/>
      <c r="O835" s="447"/>
      <c r="P835" s="447"/>
      <c r="Q835" s="2539"/>
      <c r="R835" s="2539"/>
      <c r="S835" s="2539"/>
      <c r="T835" s="2539"/>
      <c r="U835" s="2539">
        <f t="shared" si="103"/>
        <v>0</v>
      </c>
      <c r="V835" s="2539">
        <f>30*IF(Arma_Desarrollada="Desarmado",IF(D834=PDs!$AD$56,0.5,1),1)</f>
        <v>30</v>
      </c>
      <c r="W835" s="2539">
        <f>IF(COUNTIF(PDs!$AD$56:$AD$74,Tablas!D835)&gt;0,1,0)</f>
        <v>0</v>
      </c>
      <c r="X835" s="57" t="str">
        <f>IF(OR(T.Manos_final&lt;40,MAX(Z835,AA835)&lt;120,$W$834=0),"NO","-")</f>
        <v>NO</v>
      </c>
      <c r="Y835" s="2681">
        <f>HA_final-PDs!$X$22+MIN(PDs!$X$22+H$896-H835,50)</f>
        <v>0</v>
      </c>
      <c r="Z835" s="2603">
        <f>HE_final-PDs!$X$24+MIN(PDs!$X$24+I$896-I835,50)</f>
        <v>0</v>
      </c>
      <c r="AA835" s="1884">
        <f>HP_final-PDs!$X$23+MIN(PDs!$X$23+J$896-J835,50)</f>
        <v>-10</v>
      </c>
      <c r="AB835" s="363"/>
      <c r="AC835" s="2236" t="s">
        <v>8753</v>
      </c>
    </row>
    <row r="836" spans="1:29" ht="12.75" customHeight="1" x14ac:dyDescent="0.2">
      <c r="A836" s="1916">
        <v>836</v>
      </c>
      <c r="B836" s="5148"/>
      <c r="C836" s="1691"/>
      <c r="D836" s="426" t="s">
        <v>1190</v>
      </c>
      <c r="E836" s="2539">
        <f>40+Bono_Fue</f>
        <v>40</v>
      </c>
      <c r="F836" s="2539"/>
      <c r="G836" s="2539">
        <v>10</v>
      </c>
      <c r="H836" s="2539"/>
      <c r="I836" s="2539"/>
      <c r="J836" s="2539">
        <v>20</v>
      </c>
      <c r="K836" s="2539"/>
      <c r="L836" s="2408" t="s">
        <v>1191</v>
      </c>
      <c r="M836" s="447"/>
      <c r="N836" s="447"/>
      <c r="O836" s="447"/>
      <c r="P836" s="447"/>
      <c r="Q836" s="2539"/>
      <c r="R836" s="2539"/>
      <c r="S836" s="2539"/>
      <c r="T836" s="2539"/>
      <c r="U836" s="2539">
        <f t="shared" si="103"/>
        <v>0</v>
      </c>
      <c r="V836" s="2539">
        <f>50*IF(Arma_Desarrollada="Desarmado",IF(D834=PDs!$AD$56,0.5,1),1)</f>
        <v>50</v>
      </c>
      <c r="W836" s="2539">
        <f>IF(COUNTIF(PDs!$AD$56:$AD$74,Tablas!D836)&gt;0,1,0)</f>
        <v>0</v>
      </c>
      <c r="X836" s="57" t="str">
        <f>IF(OR(T.Manos_final&lt;100,AA836&lt;200,$W$835=0),"NO","-")</f>
        <v>NO</v>
      </c>
      <c r="Y836" s="2681">
        <f>HA_final-PDs!$X$22+MIN(PDs!$X$22+H$896-H836,50)</f>
        <v>0</v>
      </c>
      <c r="Z836" s="2603">
        <f>HE_final-PDs!$X$24+MIN(PDs!$X$24+I$896-I836,50)</f>
        <v>0</v>
      </c>
      <c r="AA836" s="1884">
        <f>HP_final-PDs!$X$23+MIN(PDs!$X$23+J$896-J836,50)</f>
        <v>-20</v>
      </c>
      <c r="AB836" s="363"/>
      <c r="AC836" s="2236" t="s">
        <v>8754</v>
      </c>
    </row>
    <row r="837" spans="1:29" ht="12.75" customHeight="1" x14ac:dyDescent="0.2">
      <c r="A837" s="1916">
        <v>837</v>
      </c>
      <c r="B837" s="5148"/>
      <c r="C837" s="1691"/>
      <c r="D837" s="426" t="s">
        <v>1192</v>
      </c>
      <c r="E837" s="2539">
        <f>20+2*Bono_Fue</f>
        <v>20</v>
      </c>
      <c r="F837" s="2539"/>
      <c r="G837" s="2539">
        <v>0</v>
      </c>
      <c r="H837" s="2539"/>
      <c r="I837" s="2539"/>
      <c r="J837" s="2539"/>
      <c r="K837" s="2539"/>
      <c r="L837" s="2408" t="s">
        <v>1766</v>
      </c>
      <c r="M837" s="447"/>
      <c r="N837" s="447"/>
      <c r="O837" s="447"/>
      <c r="P837" s="447"/>
      <c r="Q837" s="2539"/>
      <c r="R837" s="2539"/>
      <c r="S837" s="2539"/>
      <c r="T837" s="2539"/>
      <c r="U837" s="2539">
        <f t="shared" si="103"/>
        <v>0</v>
      </c>
      <c r="V837" s="2539">
        <f>20*IF(AND(Arma_Desarrollada="Desarmado",D837=PDs!$AD$56),0.5,1)</f>
        <v>20</v>
      </c>
      <c r="W837" s="2539">
        <f>IF(COUNTIF(PDs!$AD$56:$AD$74,Tablas!D837)&gt;0,1,0)</f>
        <v>0</v>
      </c>
      <c r="X837" s="57" t="str">
        <f>IF(P.Fuerza_final&lt;30,"NO","-")</f>
        <v>NO</v>
      </c>
      <c r="Y837" s="2681">
        <f>HA_final-PDs!$X$22+MIN(PDs!$X$22+H$896-H837,50)</f>
        <v>0</v>
      </c>
      <c r="Z837" s="2603">
        <f>HE_final-PDs!$X$24+MIN(PDs!$X$24+I$896-I837,50)</f>
        <v>0</v>
      </c>
      <c r="AA837" s="1884">
        <f>HP_final-PDs!$X$23+MIN(PDs!$X$23+J$896-J837,50)</f>
        <v>0</v>
      </c>
      <c r="AB837" s="363"/>
      <c r="AC837" s="2236" t="s">
        <v>8755</v>
      </c>
    </row>
    <row r="838" spans="1:29" ht="12.75" customHeight="1" x14ac:dyDescent="0.2">
      <c r="A838" s="1916">
        <v>838</v>
      </c>
      <c r="B838" s="5148"/>
      <c r="C838" s="1691"/>
      <c r="D838" s="426" t="s">
        <v>1193</v>
      </c>
      <c r="E838" s="2539">
        <f>20+3*Bono_Fue</f>
        <v>20</v>
      </c>
      <c r="F838" s="2539"/>
      <c r="G838" s="2539">
        <v>10</v>
      </c>
      <c r="H838" s="2539"/>
      <c r="I838" s="2539"/>
      <c r="J838" s="2539"/>
      <c r="K838" s="2539"/>
      <c r="L838" s="146" t="s">
        <v>1766</v>
      </c>
      <c r="M838" s="161"/>
      <c r="N838" s="161"/>
      <c r="O838" s="447"/>
      <c r="P838" s="161"/>
      <c r="Q838" s="2539"/>
      <c r="R838" s="2539"/>
      <c r="S838" s="2539"/>
      <c r="T838" s="2539"/>
      <c r="U838" s="2539">
        <f t="shared" ref="U838:U869" si="104">W838*E838</f>
        <v>0</v>
      </c>
      <c r="V838" s="2539">
        <f>30*IF(Arma_Desarrollada="Desarmado",IF(D837=PDs!$AD$56,0.5,1),1)</f>
        <v>30</v>
      </c>
      <c r="W838" s="2539">
        <f>IF(COUNTIF(PDs!$AD$56:$AD$74,Tablas!D838)&gt;0,1,0)</f>
        <v>0</v>
      </c>
      <c r="X838" s="57" t="str">
        <f>IF(OR(P.Fuerza_final&lt;40,Y838&lt;130,$W$837=0),"NO","-")</f>
        <v>NO</v>
      </c>
      <c r="Y838" s="2681">
        <f>HA_final-PDs!$X$22+MIN(PDs!$X$22+H$896-H838,50)</f>
        <v>0</v>
      </c>
      <c r="Z838" s="2603">
        <f>HE_final-PDs!$X$24+MIN(PDs!$X$24+I$896-I838,50)</f>
        <v>0</v>
      </c>
      <c r="AA838" s="1884">
        <f>HP_final-PDs!$X$23+MIN(PDs!$X$23+J$896-J838,50)</f>
        <v>0</v>
      </c>
      <c r="AB838" s="363"/>
      <c r="AC838" s="2236" t="s">
        <v>8756</v>
      </c>
    </row>
    <row r="839" spans="1:29" ht="12.75" customHeight="1" x14ac:dyDescent="0.2">
      <c r="A839" s="1916">
        <v>839</v>
      </c>
      <c r="B839" s="5148"/>
      <c r="C839" s="1691"/>
      <c r="D839" s="426" t="s">
        <v>1194</v>
      </c>
      <c r="E839" s="2539">
        <f>20+4*Bono_Fue</f>
        <v>20</v>
      </c>
      <c r="F839" s="2539"/>
      <c r="G839" s="2539">
        <v>10</v>
      </c>
      <c r="H839" s="2539"/>
      <c r="I839" s="2539"/>
      <c r="J839" s="2539"/>
      <c r="K839" s="2539"/>
      <c r="L839" s="2408" t="s">
        <v>1195</v>
      </c>
      <c r="M839" s="447"/>
      <c r="N839" s="447"/>
      <c r="O839" s="447"/>
      <c r="P839" s="447"/>
      <c r="Q839" s="2539"/>
      <c r="R839" s="2539"/>
      <c r="S839" s="2539"/>
      <c r="T839" s="2539"/>
      <c r="U839" s="2539">
        <f t="shared" si="104"/>
        <v>0</v>
      </c>
      <c r="V839" s="2539">
        <f>50*IF(Arma_Desarrollada="Desarmado",IF(D837=PDs!$AD$56,0.5,1),1)</f>
        <v>50</v>
      </c>
      <c r="W839" s="2539">
        <f>IF(COUNTIF(PDs!$AD$56:$AD$74,Tablas!D839)&gt;0,1,0)</f>
        <v>0</v>
      </c>
      <c r="X839" s="57" t="str">
        <f>IF(OR(P.Fuerza_final&lt;160,Y839&lt;200,$W$838=0),"NO","-")</f>
        <v>NO</v>
      </c>
      <c r="Y839" s="2681">
        <f>HA_final-PDs!$X$22+MIN(PDs!$X$22+H$896-H839,50)</f>
        <v>0</v>
      </c>
      <c r="Z839" s="2603">
        <f>HE_final-PDs!$X$24+MIN(PDs!$X$24+I$896-I839,50)</f>
        <v>0</v>
      </c>
      <c r="AA839" s="1884">
        <f>HP_final-PDs!$X$23+MIN(PDs!$X$23+J$896-J839,50)</f>
        <v>0</v>
      </c>
      <c r="AB839" s="363"/>
      <c r="AC839" s="2236" t="s">
        <v>8757</v>
      </c>
    </row>
    <row r="840" spans="1:29" ht="12.75" customHeight="1" thickBot="1" x14ac:dyDescent="0.25">
      <c r="A840" s="1916">
        <v>840</v>
      </c>
      <c r="B840" s="5148"/>
      <c r="C840" s="1691"/>
      <c r="D840" s="426" t="s">
        <v>1196</v>
      </c>
      <c r="E840" s="2539">
        <f>20+Bono_Fue</f>
        <v>20</v>
      </c>
      <c r="F840" s="2539"/>
      <c r="G840" s="2539">
        <v>0</v>
      </c>
      <c r="H840" s="2539"/>
      <c r="I840" s="2539"/>
      <c r="J840" s="2539"/>
      <c r="K840" s="2539"/>
      <c r="L840" s="2408" t="s">
        <v>1197</v>
      </c>
      <c r="M840" s="447"/>
      <c r="N840" s="447"/>
      <c r="O840" s="447"/>
      <c r="P840" s="447"/>
      <c r="Q840" s="2539"/>
      <c r="R840" s="2539"/>
      <c r="S840" s="2539"/>
      <c r="T840" s="2539"/>
      <c r="U840" s="2539">
        <f t="shared" si="104"/>
        <v>0</v>
      </c>
      <c r="V840" s="2539">
        <f>20*IF(AND(Arma_Desarrollada="Desarmado",D840=PDs!$AD$56),0.5,1)</f>
        <v>20</v>
      </c>
      <c r="W840" s="2539">
        <f>IF(COUNTIF(PDs!$AD$56:$AD$74,Tablas!D840)&gt;0,1,0)</f>
        <v>0</v>
      </c>
      <c r="X840" s="57" t="str">
        <f>IF(OR(Atletismo_final&lt;30,P.Fuerza_final&lt;30),"NO","-")</f>
        <v>NO</v>
      </c>
      <c r="Y840" s="2681">
        <f>HA_final-PDs!$X$22+MIN(PDs!$X$22+H$896-H840,50)</f>
        <v>0</v>
      </c>
      <c r="Z840" s="2603">
        <f>HE_final-PDs!$X$24+MIN(PDs!$X$24+I$896-I840,50)</f>
        <v>0</v>
      </c>
      <c r="AA840" s="1884">
        <f>HP_final-PDs!$X$23+MIN(PDs!$X$23+J$896-J840,50)</f>
        <v>0</v>
      </c>
      <c r="AB840" s="363"/>
      <c r="AC840" s="2237" t="s">
        <v>8758</v>
      </c>
    </row>
    <row r="841" spans="1:29" ht="12.75" customHeight="1" x14ac:dyDescent="0.2">
      <c r="A841" s="1916">
        <v>841</v>
      </c>
      <c r="B841" s="5148"/>
      <c r="C841" s="1691"/>
      <c r="D841" s="426" t="s">
        <v>1198</v>
      </c>
      <c r="E841" s="2539">
        <f>20+Bono_Fue</f>
        <v>20</v>
      </c>
      <c r="F841" s="2539"/>
      <c r="G841" s="2539">
        <v>10</v>
      </c>
      <c r="H841" s="2539"/>
      <c r="I841" s="2539"/>
      <c r="J841" s="2539"/>
      <c r="K841" s="2539"/>
      <c r="L841" s="2408" t="s">
        <v>1199</v>
      </c>
      <c r="M841" s="447"/>
      <c r="N841" s="447"/>
      <c r="O841" s="447"/>
      <c r="P841" s="447"/>
      <c r="Q841" s="2539"/>
      <c r="R841" s="2539"/>
      <c r="S841" s="2539"/>
      <c r="T841" s="2539"/>
      <c r="U841" s="2539">
        <f t="shared" si="104"/>
        <v>0</v>
      </c>
      <c r="V841" s="2539">
        <f>30*IF(Arma_Desarrollada="Desarmado",IF(D840=PDs!$AD$56,0.5,1),1)</f>
        <v>30</v>
      </c>
      <c r="W841" s="2539">
        <f>IF(COUNTIF(PDs!$AD$56:$AD$74,Tablas!D841)&gt;0,1,0)</f>
        <v>0</v>
      </c>
      <c r="X841" s="57" t="str">
        <f>IF(OR(Atletismo_final&lt;50,P.Fuerza_final&lt;50,$W$840=0,Y841&lt;110,MAX(Z841,AA841)&lt;110),"NO","-")</f>
        <v>NO</v>
      </c>
      <c r="Y841" s="2681">
        <f>HA_final-PDs!$X$22+MIN(PDs!$X$22+H$896-H841,50)</f>
        <v>0</v>
      </c>
      <c r="Z841" s="2603">
        <f>HE_final-PDs!$X$24+MIN(PDs!$X$24+I$896-I841,50)</f>
        <v>0</v>
      </c>
      <c r="AA841" s="1884">
        <f>HP_final-PDs!$X$23+MIN(PDs!$X$23+J$896-J841,50)</f>
        <v>0</v>
      </c>
      <c r="AB841" s="363"/>
    </row>
    <row r="842" spans="1:29" ht="12.75" customHeight="1" x14ac:dyDescent="0.2">
      <c r="A842" s="1916">
        <v>842</v>
      </c>
      <c r="B842" s="5148"/>
      <c r="C842" s="1691"/>
      <c r="D842" s="426" t="s">
        <v>1200</v>
      </c>
      <c r="E842" s="2539">
        <f>20+Bono_Fue</f>
        <v>20</v>
      </c>
      <c r="F842" s="2539"/>
      <c r="G842" s="2539">
        <v>10</v>
      </c>
      <c r="H842" s="2539"/>
      <c r="I842" s="2539">
        <v>10</v>
      </c>
      <c r="J842" s="2539">
        <v>10</v>
      </c>
      <c r="K842" s="2539"/>
      <c r="L842" s="2408" t="s">
        <v>1201</v>
      </c>
      <c r="M842" s="447"/>
      <c r="N842" s="447"/>
      <c r="O842" s="447"/>
      <c r="P842" s="447"/>
      <c r="Q842" s="2539"/>
      <c r="R842" s="2539"/>
      <c r="S842" s="2539"/>
      <c r="T842" s="2539"/>
      <c r="U842" s="2539">
        <f t="shared" si="104"/>
        <v>0</v>
      </c>
      <c r="V842" s="2539">
        <f>50*IF(Arma_Desarrollada="Desarmado",IF(D840=PDs!$AD$56,0.5,1),1)</f>
        <v>50</v>
      </c>
      <c r="W842" s="2539">
        <f>IF(COUNTIF(PDs!$AD$56:$AD$74,Tablas!D842)&gt;0,1,0)</f>
        <v>0</v>
      </c>
      <c r="X842" s="57" t="str">
        <f>IF(OR(P.Fuerza_final&lt;120,$W$841=0,MAX(Z842,AA842)&lt;200),"NO","-")</f>
        <v>NO</v>
      </c>
      <c r="Y842" s="2681">
        <f>HA_final-PDs!$X$22+MIN(PDs!$X$22+H$896-H842,50)</f>
        <v>0</v>
      </c>
      <c r="Z842" s="2603">
        <f>HE_final-PDs!$X$24+MIN(PDs!$X$24+I$896-I842,50)</f>
        <v>-10</v>
      </c>
      <c r="AA842" s="1884">
        <f>HP_final-PDs!$X$23+MIN(PDs!$X$23+J$896-J842,50)</f>
        <v>-10</v>
      </c>
    </row>
    <row r="843" spans="1:29" ht="12.75" customHeight="1" x14ac:dyDescent="0.2">
      <c r="A843" s="1916">
        <v>843</v>
      </c>
      <c r="B843" s="5148"/>
      <c r="C843" s="1691"/>
      <c r="D843" s="426" t="s">
        <v>1202</v>
      </c>
      <c r="E843" s="2539">
        <f>10+Bono_Fue</f>
        <v>10</v>
      </c>
      <c r="F843" s="2539"/>
      <c r="G843" s="2539">
        <v>0</v>
      </c>
      <c r="H843" s="2539"/>
      <c r="I843" s="2539"/>
      <c r="J843" s="2539"/>
      <c r="K843" s="2539"/>
      <c r="L843" s="2408" t="s">
        <v>1203</v>
      </c>
      <c r="M843" s="447"/>
      <c r="N843" s="447"/>
      <c r="O843" s="447"/>
      <c r="P843" s="447"/>
      <c r="Q843" s="2539"/>
      <c r="R843" s="2539"/>
      <c r="S843" s="2539"/>
      <c r="T843" s="2539"/>
      <c r="U843" s="2539">
        <f t="shared" si="104"/>
        <v>0</v>
      </c>
      <c r="V843" s="2539">
        <f>20*IF(AND(Arma_Desarrollada="Desarmado",D843=PDs!$AD$56),0.5,1)</f>
        <v>20</v>
      </c>
      <c r="W843" s="2539">
        <f>IF(COUNTIF(PDs!$AD$56:$AD$74,Tablas!D843)&gt;0,1,0)</f>
        <v>0</v>
      </c>
      <c r="X843" s="57" t="s">
        <v>1766</v>
      </c>
      <c r="Y843" s="2681">
        <f>HA_final-PDs!$X$22+MIN(PDs!$X$22+H$896-H843,50)</f>
        <v>0</v>
      </c>
      <c r="Z843" s="2603">
        <f>HE_final-PDs!$X$24+MIN(PDs!$X$24+I$896-I843,50)</f>
        <v>0</v>
      </c>
      <c r="AA843" s="1884">
        <f>HP_final-PDs!$X$23+MIN(PDs!$X$23+J$896-J843,50)</f>
        <v>0</v>
      </c>
    </row>
    <row r="844" spans="1:29" ht="12.75" customHeight="1" x14ac:dyDescent="0.2">
      <c r="A844" s="1916">
        <v>844</v>
      </c>
      <c r="B844" s="5148"/>
      <c r="C844" s="1691"/>
      <c r="D844" s="426" t="s">
        <v>1204</v>
      </c>
      <c r="E844" s="2539">
        <f>20+Bono_Fue</f>
        <v>20</v>
      </c>
      <c r="F844" s="2539"/>
      <c r="G844" s="2539">
        <v>10</v>
      </c>
      <c r="H844" s="2539"/>
      <c r="I844" s="2539"/>
      <c r="J844" s="2539">
        <v>10</v>
      </c>
      <c r="K844" s="2539"/>
      <c r="L844" s="146" t="s">
        <v>1205</v>
      </c>
      <c r="M844" s="161"/>
      <c r="N844" s="161"/>
      <c r="O844" s="447"/>
      <c r="P844" s="161"/>
      <c r="Q844" s="2539"/>
      <c r="R844" s="2539"/>
      <c r="S844" s="2539"/>
      <c r="T844" s="2539"/>
      <c r="U844" s="2539">
        <f t="shared" si="104"/>
        <v>0</v>
      </c>
      <c r="V844" s="2539">
        <f>30*IF(Arma_Desarrollada="Desarmado",IF(D843=PDs!$AD$56,0.5,1),1)</f>
        <v>30</v>
      </c>
      <c r="W844" s="2539">
        <f>IF(COUNTIF(PDs!$AD$56:$AD$74,Tablas!D844)&gt;0,1,0)</f>
        <v>0</v>
      </c>
      <c r="X844" s="57" t="str">
        <f>IF(OR(Y844&lt;130,$W$843=0),"NO","-")</f>
        <v>NO</v>
      </c>
      <c r="Y844" s="2681">
        <f>HA_final-PDs!$X$22+MIN(PDs!$X$22+H$896-H844,50)</f>
        <v>0</v>
      </c>
      <c r="Z844" s="2603">
        <f>HE_final-PDs!$X$24+MIN(PDs!$X$24+I$896-I844,50)</f>
        <v>0</v>
      </c>
      <c r="AA844" s="1884">
        <f>HP_final-PDs!$X$23+MIN(PDs!$X$23+J$896-J844,50)</f>
        <v>-10</v>
      </c>
    </row>
    <row r="845" spans="1:29" ht="12.75" customHeight="1" x14ac:dyDescent="0.2">
      <c r="A845" s="1916">
        <v>845</v>
      </c>
      <c r="B845" s="5148"/>
      <c r="C845" s="1691"/>
      <c r="D845" s="426" t="s">
        <v>1206</v>
      </c>
      <c r="E845" s="2539">
        <f>30+Bono_Fue</f>
        <v>30</v>
      </c>
      <c r="F845" s="2539"/>
      <c r="G845" s="2539">
        <v>10</v>
      </c>
      <c r="H845" s="2539"/>
      <c r="I845" s="2539"/>
      <c r="J845" s="2539">
        <v>10</v>
      </c>
      <c r="K845" s="2539"/>
      <c r="L845" s="2408" t="s">
        <v>1207</v>
      </c>
      <c r="M845" s="447"/>
      <c r="N845" s="447"/>
      <c r="O845" s="447"/>
      <c r="P845" s="447"/>
      <c r="Q845" s="2539"/>
      <c r="R845" s="2539"/>
      <c r="S845" s="2539"/>
      <c r="T845" s="2539"/>
      <c r="U845" s="2539">
        <f t="shared" si="104"/>
        <v>0</v>
      </c>
      <c r="V845" s="2539">
        <f>50*IF(Arma_Desarrollada="Desarmado",IF(D843=PDs!$AD$56,0.5,1),1)</f>
        <v>50</v>
      </c>
      <c r="W845" s="2539">
        <f>IF(COUNTIF(PDs!$AD$56:$AD$74,Tablas!D845)&gt;0,1,0)</f>
        <v>0</v>
      </c>
      <c r="X845" s="57" t="str">
        <f>IF(OR(Y845&lt;200,MAX(Z845,AA845)&lt;200,$W$844=0),"NO","-")</f>
        <v>NO</v>
      </c>
      <c r="Y845" s="2681">
        <f>HA_final-PDs!$X$22+MIN(PDs!$X$22+H$896-H845,50)</f>
        <v>0</v>
      </c>
      <c r="Z845" s="2603">
        <f>HE_final-PDs!$X$24+MIN(PDs!$X$24+I$896-I845,50)</f>
        <v>0</v>
      </c>
      <c r="AA845" s="1884">
        <f>HP_final-PDs!$X$23+MIN(PDs!$X$23+J$896-J845,50)</f>
        <v>-10</v>
      </c>
    </row>
    <row r="846" spans="1:29" ht="12.75" customHeight="1" x14ac:dyDescent="0.2">
      <c r="A846" s="1916">
        <v>846</v>
      </c>
      <c r="B846" s="5148"/>
      <c r="C846" s="1691"/>
      <c r="D846" s="426" t="s">
        <v>1208</v>
      </c>
      <c r="E846" s="2539">
        <f>20+Bono_Fue</f>
        <v>20</v>
      </c>
      <c r="F846" s="2539"/>
      <c r="G846" s="2539">
        <v>0</v>
      </c>
      <c r="H846" s="2539">
        <v>5</v>
      </c>
      <c r="I846" s="2539"/>
      <c r="J846" s="2539"/>
      <c r="K846" s="2539"/>
      <c r="L846" s="146" t="s">
        <v>1766</v>
      </c>
      <c r="M846" s="161"/>
      <c r="N846" s="161"/>
      <c r="O846" s="447"/>
      <c r="P846" s="161"/>
      <c r="Q846" s="2539"/>
      <c r="R846" s="2539"/>
      <c r="S846" s="2539"/>
      <c r="T846" s="2539"/>
      <c r="U846" s="2539">
        <f t="shared" si="104"/>
        <v>0</v>
      </c>
      <c r="V846" s="2539">
        <f>20*IF(AND(Arma_Desarrollada="Desarmado",D846=PDs!$AD$56),0.5,1)</f>
        <v>20</v>
      </c>
      <c r="W846" s="2539">
        <f>IF(COUNTIF(PDs!$AD$56:$AD$74,Tablas!D846)&gt;0,1,0)</f>
        <v>0</v>
      </c>
      <c r="X846" s="57" t="s">
        <v>1766</v>
      </c>
      <c r="Y846" s="2681">
        <f>HA_final-PDs!$X$22+MIN(PDs!$X$22+H$896-H846,50)</f>
        <v>-5</v>
      </c>
      <c r="Z846" s="2603">
        <f>HE_final-PDs!$X$24+MIN(PDs!$X$24+I$896-I846,50)</f>
        <v>0</v>
      </c>
      <c r="AA846" s="1884">
        <f>HP_final-PDs!$X$23+MIN(PDs!$X$23+J$896-J846,50)</f>
        <v>0</v>
      </c>
    </row>
    <row r="847" spans="1:29" ht="12.75" customHeight="1" x14ac:dyDescent="0.2">
      <c r="A847" s="1916">
        <v>847</v>
      </c>
      <c r="B847" s="5148"/>
      <c r="C847" s="1691"/>
      <c r="D847" s="426" t="s">
        <v>1209</v>
      </c>
      <c r="E847" s="2539">
        <f>30+Bono_Fue</f>
        <v>30</v>
      </c>
      <c r="F847" s="2539"/>
      <c r="G847" s="2539">
        <v>10</v>
      </c>
      <c r="H847" s="2539">
        <v>5</v>
      </c>
      <c r="I847" s="2539"/>
      <c r="J847" s="2539"/>
      <c r="K847" s="2539"/>
      <c r="L847" s="2408" t="s">
        <v>1766</v>
      </c>
      <c r="M847" s="447"/>
      <c r="N847" s="447"/>
      <c r="O847" s="447"/>
      <c r="P847" s="447"/>
      <c r="Q847" s="2539"/>
      <c r="R847" s="2539"/>
      <c r="S847" s="2539"/>
      <c r="T847" s="2539"/>
      <c r="U847" s="2539">
        <f t="shared" si="104"/>
        <v>0</v>
      </c>
      <c r="V847" s="2539">
        <f>30*IF(Arma_Desarrollada="Desarmado",IF(D846=PDs!$AD$56,0.5,1),1)</f>
        <v>30</v>
      </c>
      <c r="W847" s="2539">
        <f>IF(COUNTIF(PDs!$AD$56:$AD$74,Tablas!D847)&gt;0,1,0)</f>
        <v>0</v>
      </c>
      <c r="X847" s="57" t="str">
        <f>IF(OR(Y847&lt;120,MAX(Z847,AA847)&lt;120,$W$846=0),"NO","-")</f>
        <v>NO</v>
      </c>
      <c r="Y847" s="2681">
        <f>HA_final-PDs!$X$22+MIN(PDs!$X$22+H$896-H847,50)</f>
        <v>-5</v>
      </c>
      <c r="Z847" s="2603">
        <f>HE_final-PDs!$X$24+MIN(PDs!$X$24+I$896-I847,50)</f>
        <v>0</v>
      </c>
      <c r="AA847" s="1884">
        <f>HP_final-PDs!$X$23+MIN(PDs!$X$23+J$896-J847,50)</f>
        <v>0</v>
      </c>
    </row>
    <row r="848" spans="1:29" ht="12.75" customHeight="1" x14ac:dyDescent="0.2">
      <c r="A848" s="1916">
        <v>848</v>
      </c>
      <c r="B848" s="5148"/>
      <c r="C848" s="1691"/>
      <c r="D848" s="426" t="s">
        <v>1210</v>
      </c>
      <c r="E848" s="2539">
        <f>50+Bono_Fue</f>
        <v>50</v>
      </c>
      <c r="F848" s="2539"/>
      <c r="G848" s="2539">
        <v>10</v>
      </c>
      <c r="H848" s="2539">
        <v>10</v>
      </c>
      <c r="I848" s="2539"/>
      <c r="J848" s="2539"/>
      <c r="K848" s="2539"/>
      <c r="L848" s="2408" t="s">
        <v>1766</v>
      </c>
      <c r="M848" s="447"/>
      <c r="N848" s="447"/>
      <c r="O848" s="447"/>
      <c r="P848" s="447"/>
      <c r="Q848" s="2539"/>
      <c r="R848" s="2539"/>
      <c r="S848" s="2539"/>
      <c r="T848" s="2539"/>
      <c r="U848" s="2539">
        <f t="shared" si="104"/>
        <v>0</v>
      </c>
      <c r="V848" s="2539">
        <f>50*IF(Arma_Desarrollada="Desarmado",IF(D846=PDs!$AD$56,0.5,1),1)</f>
        <v>50</v>
      </c>
      <c r="W848" s="2539">
        <f>IF(COUNTIF(PDs!$AD$56:$AD$74,Tablas!D848)&gt;0,1,0)</f>
        <v>0</v>
      </c>
      <c r="X848" s="57" t="str">
        <f>IF(OR(Y848&lt;200,$W847=0),"NO","-")</f>
        <v>NO</v>
      </c>
      <c r="Y848" s="2681">
        <f>HA_final-PDs!$X$22+MIN(PDs!$X$22+H$896-H848,50)</f>
        <v>-10</v>
      </c>
      <c r="Z848" s="2603">
        <f>HE_final-PDs!$X$24+MIN(PDs!$X$24+I$896-I848,50)</f>
        <v>0</v>
      </c>
      <c r="AA848" s="1884">
        <f>HP_final-PDs!$X$23+MIN(PDs!$X$23+J$896-J848,50)</f>
        <v>0</v>
      </c>
    </row>
    <row r="849" spans="1:27" ht="12.75" customHeight="1" x14ac:dyDescent="0.2">
      <c r="A849" s="1916">
        <v>849</v>
      </c>
      <c r="B849" s="5148"/>
      <c r="C849" s="1691"/>
      <c r="D849" s="426" t="s">
        <v>1211</v>
      </c>
      <c r="E849" s="2539">
        <f>10+Bono_Fue</f>
        <v>10</v>
      </c>
      <c r="F849" s="2539"/>
      <c r="G849" s="2539">
        <v>0</v>
      </c>
      <c r="H849" s="2539"/>
      <c r="I849" s="2539"/>
      <c r="J849" s="2539"/>
      <c r="K849" s="2539"/>
      <c r="L849" s="2408" t="s">
        <v>1212</v>
      </c>
      <c r="M849" s="447"/>
      <c r="N849" s="447"/>
      <c r="O849" s="447"/>
      <c r="P849" s="447"/>
      <c r="Q849" s="2539"/>
      <c r="R849" s="2539"/>
      <c r="S849" s="2539"/>
      <c r="T849" s="2539"/>
      <c r="U849" s="2539">
        <f t="shared" si="104"/>
        <v>0</v>
      </c>
      <c r="V849" s="2539">
        <f>20*IF(AND(Arma_Desarrollada="Desarmado",D849=PDs!$AD$56),0.5,1)</f>
        <v>20</v>
      </c>
      <c r="W849" s="2539">
        <f>IF(COUNTIF(PDs!$AD$56:$AD$74,Tablas!D849)&gt;0,1,0)</f>
        <v>0</v>
      </c>
      <c r="X849" s="2539" t="str">
        <f>IF(Advertir_final&lt;50,"NO","-")</f>
        <v>NO</v>
      </c>
      <c r="Y849" s="2681">
        <f>HA_final-PDs!$X$22+MIN(PDs!$X$22+H$896-H849,50)</f>
        <v>0</v>
      </c>
      <c r="Z849" s="2603">
        <f>HE_final-PDs!$X$24+MIN(PDs!$X$24+I$896-I849,50)</f>
        <v>0</v>
      </c>
      <c r="AA849" s="1884">
        <f>HP_final-PDs!$X$23+MIN(PDs!$X$23+J$896-J849,50)</f>
        <v>0</v>
      </c>
    </row>
    <row r="850" spans="1:27" ht="12.75" customHeight="1" x14ac:dyDescent="0.2">
      <c r="A850" s="1916">
        <v>850</v>
      </c>
      <c r="B850" s="5148"/>
      <c r="C850" s="1691"/>
      <c r="D850" s="426" t="s">
        <v>1213</v>
      </c>
      <c r="E850" s="2539">
        <f>20+Bono_Fue</f>
        <v>20</v>
      </c>
      <c r="F850" s="2539"/>
      <c r="G850" s="2539">
        <v>10</v>
      </c>
      <c r="H850" s="2539"/>
      <c r="I850" s="2539">
        <v>10</v>
      </c>
      <c r="J850" s="2539">
        <v>10</v>
      </c>
      <c r="K850" s="2539"/>
      <c r="L850" s="2408" t="s">
        <v>1214</v>
      </c>
      <c r="M850" s="447"/>
      <c r="N850" s="447"/>
      <c r="O850" s="447"/>
      <c r="P850" s="447"/>
      <c r="Q850" s="2539"/>
      <c r="R850" s="2539"/>
      <c r="S850" s="2539"/>
      <c r="T850" s="2539"/>
      <c r="U850" s="2539">
        <f t="shared" si="104"/>
        <v>0</v>
      </c>
      <c r="V850" s="2539">
        <f>30*IF(Arma_Desarrollada="Desarmado",IF(D849=PDs!$AD$56,0.5,1),1)</f>
        <v>30</v>
      </c>
      <c r="W850" s="2539">
        <f>IF(COUNTIF(PDs!$AD$56:$AD$74,Tablas!D850)&gt;0,1,0)</f>
        <v>0</v>
      </c>
      <c r="X850" s="2539" t="str">
        <f>IF(OR(Advertir_final&lt;90,MAX(Z850,AA850)&lt;120,$W$849=0),"NO","-")</f>
        <v>NO</v>
      </c>
      <c r="Y850" s="2681">
        <f>HA_final-PDs!$X$22+MIN(PDs!$X$22+H$896-H850,50)</f>
        <v>0</v>
      </c>
      <c r="Z850" s="2603">
        <f>HE_final-PDs!$X$24+MIN(PDs!$X$24+I$896-I850,50)</f>
        <v>-10</v>
      </c>
      <c r="AA850" s="1884">
        <f>HP_final-PDs!$X$23+MIN(PDs!$X$23+J$896-J850,50)</f>
        <v>-10</v>
      </c>
    </row>
    <row r="851" spans="1:27" ht="12.75" customHeight="1" x14ac:dyDescent="0.2">
      <c r="A851" s="1916">
        <v>851</v>
      </c>
      <c r="B851" s="5148"/>
      <c r="C851" s="1691"/>
      <c r="D851" s="426" t="s">
        <v>1215</v>
      </c>
      <c r="E851" s="2539">
        <f>30+Bono_Fue</f>
        <v>30</v>
      </c>
      <c r="F851" s="2539"/>
      <c r="G851" s="2539">
        <v>10</v>
      </c>
      <c r="H851" s="2539"/>
      <c r="I851" s="2539">
        <v>10</v>
      </c>
      <c r="J851" s="2539">
        <v>10</v>
      </c>
      <c r="K851" s="2539"/>
      <c r="L851" s="2408" t="s">
        <v>1216</v>
      </c>
      <c r="M851" s="447"/>
      <c r="N851" s="447"/>
      <c r="O851" s="447"/>
      <c r="P851" s="447"/>
      <c r="Q851" s="2539"/>
      <c r="R851" s="2539"/>
      <c r="S851" s="2539"/>
      <c r="T851" s="2539"/>
      <c r="U851" s="2539">
        <f t="shared" si="104"/>
        <v>0</v>
      </c>
      <c r="V851" s="2539">
        <f>50*IF(Arma_Desarrollada="Desarmado",IF(D849=PDs!$AD$56,0.5,1),1)</f>
        <v>50</v>
      </c>
      <c r="W851" s="2539">
        <f>IF(COUNTIF(PDs!$AD$56:$AD$74,Tablas!D851)&gt;0,1,0)</f>
        <v>0</v>
      </c>
      <c r="X851" s="2539" t="str">
        <f>IF(OR(Advertir_final&lt;120,Acrobacias_final&lt;60,MAX(Z851,AA851)&lt;200,$W$850=0),"NO","-")</f>
        <v>NO</v>
      </c>
      <c r="Y851" s="2681">
        <f>HA_final-PDs!$X$22+MIN(PDs!$X$22+H$896-H851,50)</f>
        <v>0</v>
      </c>
      <c r="Z851" s="2603">
        <f>HE_final-PDs!$X$24+MIN(PDs!$X$24+I$896-I851,50)</f>
        <v>-10</v>
      </c>
      <c r="AA851" s="1884">
        <f>HP_final-PDs!$X$23+MIN(PDs!$X$23+J$896-J851,50)</f>
        <v>-10</v>
      </c>
    </row>
    <row r="852" spans="1:27" ht="12.75" customHeight="1" x14ac:dyDescent="0.2">
      <c r="A852" s="1916">
        <v>852</v>
      </c>
      <c r="B852" s="5148"/>
      <c r="C852" s="1691"/>
      <c r="D852" s="426" t="s">
        <v>1217</v>
      </c>
      <c r="E852" s="2539">
        <f>10+Bono_Fue</f>
        <v>10</v>
      </c>
      <c r="F852" s="2539"/>
      <c r="G852" s="2539">
        <v>0</v>
      </c>
      <c r="H852" s="2539"/>
      <c r="I852" s="2539"/>
      <c r="J852" s="2539"/>
      <c r="K852" s="2539"/>
      <c r="L852" s="2408" t="s">
        <v>1218</v>
      </c>
      <c r="M852" s="447"/>
      <c r="N852" s="447"/>
      <c r="O852" s="447"/>
      <c r="P852" s="447"/>
      <c r="Q852" s="2539"/>
      <c r="R852" s="2539"/>
      <c r="S852" s="2539"/>
      <c r="T852" s="2539"/>
      <c r="U852" s="2539">
        <f t="shared" si="104"/>
        <v>0</v>
      </c>
      <c r="V852" s="2539">
        <f>20*IF(AND(Arma_Desarrollada="Desarmado",D852=PDs!$AD$56),0.5,1)</f>
        <v>20</v>
      </c>
      <c r="W852" s="2539">
        <f>IF(COUNTIF(PDs!$AD$56:$AD$74,Tablas!D852)&gt;0,1,0)</f>
        <v>0</v>
      </c>
      <c r="X852" s="2539" t="s">
        <v>1766</v>
      </c>
      <c r="Y852" s="2681">
        <f>HA_final-PDs!$X$22+MIN(PDs!$X$22+H$896-H852,50)</f>
        <v>0</v>
      </c>
      <c r="Z852" s="2603">
        <f>HE_final-PDs!$X$24+MIN(PDs!$X$24+I$896-I852,50)</f>
        <v>0</v>
      </c>
      <c r="AA852" s="1884">
        <f>HP_final-PDs!$X$23+MIN(PDs!$X$23+J$896-J852,50)</f>
        <v>0</v>
      </c>
    </row>
    <row r="853" spans="1:27" ht="12.75" customHeight="1" x14ac:dyDescent="0.2">
      <c r="A853" s="1916">
        <v>853</v>
      </c>
      <c r="B853" s="5148"/>
      <c r="C853" s="1691"/>
      <c r="D853" s="426" t="s">
        <v>1219</v>
      </c>
      <c r="E853" s="2539">
        <f>20+Bono_Fue</f>
        <v>20</v>
      </c>
      <c r="F853" s="2539"/>
      <c r="G853" s="2539">
        <v>10</v>
      </c>
      <c r="H853" s="2539"/>
      <c r="I853" s="2539"/>
      <c r="J853" s="2539"/>
      <c r="K853" s="2539"/>
      <c r="L853" s="146" t="s">
        <v>1220</v>
      </c>
      <c r="M853" s="161"/>
      <c r="N853" s="161"/>
      <c r="O853" s="447"/>
      <c r="P853" s="161"/>
      <c r="Q853" s="2539"/>
      <c r="R853" s="2539"/>
      <c r="S853" s="2539"/>
      <c r="T853" s="2539"/>
      <c r="U853" s="2539">
        <f t="shared" si="104"/>
        <v>0</v>
      </c>
      <c r="V853" s="2539">
        <f>30*IF(Arma_Desarrollada="Desarmado",IF(D852=PDs!$AD$56,0.5,1),1)</f>
        <v>30</v>
      </c>
      <c r="W853" s="2539">
        <f>IF(COUNTIF(PDs!$AD$56:$AD$74,Tablas!D853)&gt;0,1,0)</f>
        <v>0</v>
      </c>
      <c r="X853" s="2539" t="str">
        <f>IF(OR(Y853&lt;130,MAX(Z853,AA853)&lt;100,$W$852=0),"NO","-")</f>
        <v>NO</v>
      </c>
      <c r="Y853" s="2681">
        <f>HA_final-PDs!$X$22+MIN(PDs!$X$22+H$896-H853,50)</f>
        <v>0</v>
      </c>
      <c r="Z853" s="2603">
        <f>HE_final-PDs!$X$24+MIN(PDs!$X$24+I$896-I853,50)</f>
        <v>0</v>
      </c>
      <c r="AA853" s="1884">
        <f>HP_final-PDs!$X$23+MIN(PDs!$X$23+J$896-J853,50)</f>
        <v>0</v>
      </c>
    </row>
    <row r="854" spans="1:27" ht="12.75" customHeight="1" x14ac:dyDescent="0.2">
      <c r="A854" s="1916">
        <v>854</v>
      </c>
      <c r="B854" s="5148"/>
      <c r="C854" s="1691"/>
      <c r="D854" s="426" t="s">
        <v>1221</v>
      </c>
      <c r="E854" s="2539">
        <f>20+Bono_Fue</f>
        <v>20</v>
      </c>
      <c r="F854" s="2539"/>
      <c r="G854" s="2539">
        <v>10</v>
      </c>
      <c r="H854" s="2539"/>
      <c r="I854" s="2539"/>
      <c r="J854" s="2539"/>
      <c r="K854" s="2539"/>
      <c r="L854" s="2408" t="s">
        <v>1222</v>
      </c>
      <c r="M854" s="447"/>
      <c r="N854" s="447"/>
      <c r="O854" s="447"/>
      <c r="P854" s="447"/>
      <c r="Q854" s="2539"/>
      <c r="R854" s="2539"/>
      <c r="S854" s="2539"/>
      <c r="T854" s="2539"/>
      <c r="U854" s="2539">
        <f t="shared" si="104"/>
        <v>0</v>
      </c>
      <c r="V854" s="2539">
        <f>50*IF(Arma_Desarrollada="Desarmado",IF(D852=PDs!$AD$56,0.5,1),1)</f>
        <v>50</v>
      </c>
      <c r="W854" s="2539">
        <f>IF(COUNTIF(PDs!$AD$56:$AD$74,Tablas!D854)&gt;0,1,0)</f>
        <v>0</v>
      </c>
      <c r="X854" s="2539" t="str">
        <f>IF(OR(Y854&lt;200,$W$853=0),"NO","-")</f>
        <v>NO</v>
      </c>
      <c r="Y854" s="2681">
        <f>HA_final-PDs!$X$22+MIN(PDs!$X$22+H$896-H854,50)</f>
        <v>0</v>
      </c>
      <c r="Z854" s="2603">
        <f>HE_final-PDs!$X$24+MIN(PDs!$X$24+I$896-I854,50)</f>
        <v>0</v>
      </c>
      <c r="AA854" s="1884">
        <f>HP_final-PDs!$X$23+MIN(PDs!$X$23+J$896-J854,50)</f>
        <v>0</v>
      </c>
    </row>
    <row r="855" spans="1:27" ht="12.75" customHeight="1" x14ac:dyDescent="0.2">
      <c r="A855" s="1916">
        <v>855</v>
      </c>
      <c r="B855" s="5148"/>
      <c r="C855" s="1691"/>
      <c r="D855" s="426" t="s">
        <v>1223</v>
      </c>
      <c r="E855" s="2539">
        <f>20+Bono_Pod</f>
        <v>20</v>
      </c>
      <c r="F855" s="2539"/>
      <c r="G855" s="2539">
        <v>10</v>
      </c>
      <c r="H855" s="2539"/>
      <c r="I855" s="2539"/>
      <c r="J855" s="2539"/>
      <c r="K855" s="2539"/>
      <c r="L855" s="2408" t="s">
        <v>1766</v>
      </c>
      <c r="M855" s="447"/>
      <c r="N855" s="447"/>
      <c r="O855" s="447"/>
      <c r="P855" s="447"/>
      <c r="Q855" s="2539"/>
      <c r="R855" s="2539"/>
      <c r="S855" s="2539"/>
      <c r="T855" s="2539"/>
      <c r="U855" s="2539">
        <f t="shared" si="104"/>
        <v>0</v>
      </c>
      <c r="V855" s="2539">
        <f>20*IF(AND(Arma_Desarrollada="Desarmado",D855=PDs!$AD$56),0.5,1)</f>
        <v>20</v>
      </c>
      <c r="W855" s="2539">
        <f>IF(COUNTIF(PDs!$AD$56:$AD$74,Tablas!D855)&gt;0,1,0)</f>
        <v>0</v>
      </c>
      <c r="X855" s="2539" t="s">
        <v>1766</v>
      </c>
      <c r="Y855" s="2681">
        <f>HA_final-PDs!$X$22+MIN(PDs!$X$22+H$896-H855,50)</f>
        <v>0</v>
      </c>
      <c r="Z855" s="2603">
        <f>HE_final-PDs!$X$24+MIN(PDs!$X$24+I$896-I855,50)</f>
        <v>0</v>
      </c>
      <c r="AA855" s="1884">
        <f>HP_final-PDs!$X$23+MIN(PDs!$X$23+J$896-J855,50)</f>
        <v>0</v>
      </c>
    </row>
    <row r="856" spans="1:27" ht="12.75" customHeight="1" x14ac:dyDescent="0.2">
      <c r="A856" s="1916">
        <v>856</v>
      </c>
      <c r="B856" s="5148"/>
      <c r="C856" s="1691"/>
      <c r="D856" s="426" t="s">
        <v>1224</v>
      </c>
      <c r="E856" s="2539">
        <f>20+2*Bono_Pod</f>
        <v>20</v>
      </c>
      <c r="F856" s="2539"/>
      <c r="G856" s="2539">
        <v>20</v>
      </c>
      <c r="H856" s="2539"/>
      <c r="I856" s="2539"/>
      <c r="J856" s="2539"/>
      <c r="K856" s="2539"/>
      <c r="L856" s="146" t="s">
        <v>1766</v>
      </c>
      <c r="M856" s="161"/>
      <c r="N856" s="161"/>
      <c r="O856" s="447"/>
      <c r="P856" s="161"/>
      <c r="Q856" s="2539"/>
      <c r="R856" s="2539"/>
      <c r="S856" s="2539"/>
      <c r="T856" s="2539"/>
      <c r="U856" s="2539">
        <f t="shared" si="104"/>
        <v>0</v>
      </c>
      <c r="V856" s="2539">
        <f>30*IF(Arma_Desarrollada="Desarmado",IF(D855=PDs!$AD$56,0.5,1),1)</f>
        <v>30</v>
      </c>
      <c r="W856" s="2539">
        <f>IF(COUNTIF(PDs!$AD$56:$AD$74,Tablas!D856)&gt;0,1,0)</f>
        <v>0</v>
      </c>
      <c r="X856" s="2539" t="str">
        <f>IF(OR(NOT(UsodelKi),$W$855=0),"NO","-")</f>
        <v>NO</v>
      </c>
      <c r="Y856" s="2681">
        <f>HA_final-PDs!$X$22+MIN(PDs!$X$22+H$896-H856,50)</f>
        <v>0</v>
      </c>
      <c r="Z856" s="2603">
        <f>HE_final-PDs!$X$24+MIN(PDs!$X$24+I$896-I856,50)</f>
        <v>0</v>
      </c>
      <c r="AA856" s="1884">
        <f>HP_final-PDs!$X$23+MIN(PDs!$X$23+J$896-J856,50)</f>
        <v>0</v>
      </c>
    </row>
    <row r="857" spans="1:27" ht="12.75" customHeight="1" x14ac:dyDescent="0.2">
      <c r="A857" s="1916">
        <v>857</v>
      </c>
      <c r="B857" s="5148"/>
      <c r="C857" s="1691"/>
      <c r="D857" s="426" t="s">
        <v>1225</v>
      </c>
      <c r="E857" s="2539">
        <f>20+2*Bono_Pod</f>
        <v>20</v>
      </c>
      <c r="F857" s="2539">
        <f>Bono_Pod</f>
        <v>0</v>
      </c>
      <c r="G857" s="2539">
        <v>30</v>
      </c>
      <c r="H857" s="2539"/>
      <c r="I857" s="2539"/>
      <c r="J857" s="2539"/>
      <c r="K857" s="2539"/>
      <c r="L857" s="2408" t="s">
        <v>1766</v>
      </c>
      <c r="M857" s="447"/>
      <c r="N857" s="447"/>
      <c r="O857" s="447"/>
      <c r="P857" s="447"/>
      <c r="Q857" s="2539"/>
      <c r="R857" s="2539"/>
      <c r="S857" s="2539"/>
      <c r="T857" s="2539"/>
      <c r="U857" s="2539">
        <f t="shared" si="104"/>
        <v>0</v>
      </c>
      <c r="V857" s="2539">
        <f>50*IF(Arma_Desarrollada="Desarmado",IF(D855=PDs!$AD$56,0.5,1),1)</f>
        <v>50</v>
      </c>
      <c r="W857" s="2539">
        <f>IF(COUNTIF(PDs!$AD$56:$AD$74,Tablas!D857)&gt;0,1,0)</f>
        <v>0</v>
      </c>
      <c r="X857" s="2539" t="str">
        <f>IF(OR(NOT(Usodelaenergíanecesaria),$W$856=0,Y857&lt;180,MAX(Z857,AA857)&lt;180),"NO","-")</f>
        <v>NO</v>
      </c>
      <c r="Y857" s="2681">
        <f>HA_final-PDs!$X$22+MIN(PDs!$X$22+H$896-H857,50)</f>
        <v>0</v>
      </c>
      <c r="Z857" s="2603">
        <f>HE_final-PDs!$X$24+MIN(PDs!$X$24+I$896-I857,50)</f>
        <v>0</v>
      </c>
      <c r="AA857" s="1884">
        <f>HP_final-PDs!$X$23+MIN(PDs!$X$23+J$896-J857,50)</f>
        <v>0</v>
      </c>
    </row>
    <row r="858" spans="1:27" ht="12.75" customHeight="1" x14ac:dyDescent="0.2">
      <c r="A858" s="1916">
        <v>858</v>
      </c>
      <c r="B858" s="5148"/>
      <c r="C858" s="1691"/>
      <c r="D858" s="426" t="s">
        <v>1226</v>
      </c>
      <c r="E858" s="2539">
        <f>10+Bono_Fue</f>
        <v>10</v>
      </c>
      <c r="F858" s="2539"/>
      <c r="G858" s="2539">
        <v>0</v>
      </c>
      <c r="H858" s="2539"/>
      <c r="I858" s="2539"/>
      <c r="J858" s="2539"/>
      <c r="K858" s="2539"/>
      <c r="L858" s="2408" t="s">
        <v>1227</v>
      </c>
      <c r="M858" s="447"/>
      <c r="N858" s="447"/>
      <c r="O858" s="447"/>
      <c r="P858" s="447"/>
      <c r="Q858" s="2539"/>
      <c r="R858" s="2539"/>
      <c r="S858" s="2539"/>
      <c r="T858" s="2539"/>
      <c r="U858" s="2539">
        <f t="shared" si="104"/>
        <v>0</v>
      </c>
      <c r="V858" s="2539">
        <f>20*IF(AND(Arma_Desarrollada="Desarmado",D858=PDs!$AD$56),0.5,1)</f>
        <v>20</v>
      </c>
      <c r="W858" s="2539">
        <f>IF(COUNTIF(PDs!$AD$56:$AD$74,Tablas!D858)&gt;0,1,0)</f>
        <v>0</v>
      </c>
      <c r="X858" s="2539" t="str">
        <f>IF(T.Manos_final&lt;20,"NO","-")</f>
        <v>NO</v>
      </c>
      <c r="Y858" s="2681">
        <f>HA_final-PDs!$X$22+MIN(PDs!$X$22+H$896-H858,50)</f>
        <v>0</v>
      </c>
      <c r="Z858" s="2603">
        <f>HE_final-PDs!$X$24+MIN(PDs!$X$24+I$896-I858,50)</f>
        <v>0</v>
      </c>
      <c r="AA858" s="1884">
        <f>HP_final-PDs!$X$23+MIN(PDs!$X$23+J$896-J858,50)</f>
        <v>0</v>
      </c>
    </row>
    <row r="859" spans="1:27" ht="12.75" customHeight="1" x14ac:dyDescent="0.2">
      <c r="A859" s="1916">
        <v>859</v>
      </c>
      <c r="B859" s="5148"/>
      <c r="C859" s="1691"/>
      <c r="D859" s="426" t="s">
        <v>1228</v>
      </c>
      <c r="E859" s="2539">
        <f>20+Bono_Fue</f>
        <v>20</v>
      </c>
      <c r="F859" s="2539"/>
      <c r="G859" s="2539">
        <v>10</v>
      </c>
      <c r="H859" s="2539"/>
      <c r="I859" s="2539"/>
      <c r="J859" s="2539"/>
      <c r="K859" s="2539"/>
      <c r="L859" s="2408" t="s">
        <v>1229</v>
      </c>
      <c r="M859" s="447"/>
      <c r="N859" s="447"/>
      <c r="O859" s="447"/>
      <c r="P859" s="447"/>
      <c r="Q859" s="2539"/>
      <c r="R859" s="2539"/>
      <c r="S859" s="2539"/>
      <c r="T859" s="2539"/>
      <c r="U859" s="2539">
        <f t="shared" si="104"/>
        <v>0</v>
      </c>
      <c r="V859" s="2539">
        <f>30*IF(Arma_Desarrollada="Desarmado",IF(D858=PDs!$AD$56,0.5,1),1)</f>
        <v>30</v>
      </c>
      <c r="W859" s="2539">
        <f>IF(COUNTIF(PDs!$AD$56:$AD$74,Tablas!D859)&gt;0,1,0)</f>
        <v>0</v>
      </c>
      <c r="X859" s="2539" t="str">
        <f>IF(OR(T.Manos_final&lt;50,Turno_SinArmas_final&lt;100,Y859&lt;120,$W$858=0),"NO","-")</f>
        <v>NO</v>
      </c>
      <c r="Y859" s="2681">
        <f>HA_final-PDs!$X$22+MIN(PDs!$X$22+H$896-H859,50)</f>
        <v>0</v>
      </c>
      <c r="Z859" s="2603">
        <f>HE_final-PDs!$X$24+MIN(PDs!$X$24+I$896-I859,50)</f>
        <v>0</v>
      </c>
      <c r="AA859" s="1884">
        <f>HP_final-PDs!$X$23+MIN(PDs!$X$23+J$896-J859,50)</f>
        <v>0</v>
      </c>
    </row>
    <row r="860" spans="1:27" ht="12.75" customHeight="1" x14ac:dyDescent="0.2">
      <c r="A860" s="1916">
        <v>860</v>
      </c>
      <c r="B860" s="5148"/>
      <c r="C860" s="1691"/>
      <c r="D860" s="426" t="s">
        <v>1230</v>
      </c>
      <c r="E860" s="2539">
        <f>30+Bono_Fue</f>
        <v>30</v>
      </c>
      <c r="F860" s="2539"/>
      <c r="G860" s="2539">
        <v>10</v>
      </c>
      <c r="H860" s="2539"/>
      <c r="I860" s="2539"/>
      <c r="J860" s="2539"/>
      <c r="K860" s="2539"/>
      <c r="L860" s="2408" t="s">
        <v>1231</v>
      </c>
      <c r="M860" s="447"/>
      <c r="N860" s="447"/>
      <c r="O860" s="447"/>
      <c r="P860" s="447"/>
      <c r="Q860" s="2539"/>
      <c r="R860" s="2539"/>
      <c r="S860" s="2539"/>
      <c r="T860" s="2539"/>
      <c r="U860" s="2539">
        <f t="shared" si="104"/>
        <v>0</v>
      </c>
      <c r="V860" s="2539">
        <f>50*IF(Arma_Desarrollada="Desarmado",IF(D858=PDs!$AD$56,0.5,1),1)</f>
        <v>50</v>
      </c>
      <c r="W860" s="2539">
        <f>IF(COUNTIF(PDs!$AD$56:$AD$74,Tablas!D860)&gt;0,1,0)</f>
        <v>0</v>
      </c>
      <c r="X860" s="2539" t="str">
        <f>IF(OR(T.Manos_final&lt;100,Turno_SinArmas_final&lt;120,Y860&lt;200,$W$859=0),"NO","-")</f>
        <v>NO</v>
      </c>
      <c r="Y860" s="2681">
        <f>HA_final-PDs!$X$22+MIN(PDs!$X$22+H$896-H860,50)</f>
        <v>0</v>
      </c>
      <c r="Z860" s="2603">
        <f>HE_final-PDs!$X$24+MIN(PDs!$X$24+I$896-I860,50)</f>
        <v>0</v>
      </c>
      <c r="AA860" s="1884">
        <f>HP_final-PDs!$X$23+MIN(PDs!$X$23+J$896-J860,50)</f>
        <v>0</v>
      </c>
    </row>
    <row r="861" spans="1:27" ht="12.75" customHeight="1" x14ac:dyDescent="0.2">
      <c r="A861" s="1916">
        <v>861</v>
      </c>
      <c r="B861" s="5148"/>
      <c r="C861" s="1691"/>
      <c r="D861" s="203" t="s">
        <v>1232</v>
      </c>
      <c r="E861" s="2539"/>
      <c r="F861" s="2539"/>
      <c r="G861" s="2539"/>
      <c r="H861" s="2539"/>
      <c r="I861" s="2539"/>
      <c r="J861" s="2539"/>
      <c r="K861" s="2539"/>
      <c r="L861" s="2408" t="s">
        <v>1766</v>
      </c>
      <c r="M861" s="2539"/>
      <c r="N861" s="2539"/>
      <c r="O861" s="2408"/>
      <c r="P861" s="2539"/>
      <c r="Q861" s="2539"/>
      <c r="R861" s="2539"/>
      <c r="S861" s="2539"/>
      <c r="T861" s="2539"/>
      <c r="U861" s="2539">
        <f t="shared" si="104"/>
        <v>0</v>
      </c>
      <c r="V861" s="2539">
        <v>0</v>
      </c>
      <c r="W861" s="2539">
        <f>IF(COUNTIF(PDs!$AD$56:$AD$74,Tablas!D861)&gt;0,1,0)</f>
        <v>0</v>
      </c>
      <c r="X861" s="2539" t="s">
        <v>1766</v>
      </c>
      <c r="Y861" s="2681"/>
      <c r="Z861" s="2603"/>
      <c r="AA861" s="1884"/>
    </row>
    <row r="862" spans="1:27" ht="12.75" customHeight="1" x14ac:dyDescent="0.2">
      <c r="A862" s="1916">
        <v>862</v>
      </c>
      <c r="B862" s="5148"/>
      <c r="C862" s="1691"/>
      <c r="D862" s="426" t="s">
        <v>1233</v>
      </c>
      <c r="E862" s="2539">
        <v>0</v>
      </c>
      <c r="F862" s="2539">
        <v>10</v>
      </c>
      <c r="G862" s="2539">
        <v>10</v>
      </c>
      <c r="H862" s="2539">
        <v>10</v>
      </c>
      <c r="I862" s="2539">
        <v>10</v>
      </c>
      <c r="J862" s="2539">
        <v>10</v>
      </c>
      <c r="K862" s="2539">
        <v>10</v>
      </c>
      <c r="L862" s="146" t="s">
        <v>1766</v>
      </c>
      <c r="M862" s="161"/>
      <c r="N862" s="161"/>
      <c r="O862" s="447"/>
      <c r="P862" s="161"/>
      <c r="Q862" s="2539"/>
      <c r="R862" s="2539"/>
      <c r="S862" s="2539"/>
      <c r="T862" s="2539"/>
      <c r="U862" s="2539">
        <f t="shared" si="104"/>
        <v>0</v>
      </c>
      <c r="V862" s="2539">
        <v>50</v>
      </c>
      <c r="W862" s="2539">
        <f>IF(COUNTIF(PDs!$AD$56:$AD$74,Tablas!D862)&gt;0,1,0)</f>
        <v>0</v>
      </c>
      <c r="X862" s="2539" t="str">
        <f>IF(OR(Y862&lt;160,MAX(Z862,AA862)&lt;160,$W$829=0),"NO","-")</f>
        <v>NO</v>
      </c>
      <c r="Y862" s="2681">
        <f t="array" ref="Y862">HA_final-PDs!$X$22+MIN(PDs!$X$22+H$896-H862,50)+MAX(S$806:S861*$W$806:$W861,S863:S$895*$W863:$W$895)</f>
        <v>-10</v>
      </c>
      <c r="Z862" s="2603">
        <f t="array" ref="Z862">HE_final-PDs!$X$24+MIN(PDs!$X$24+I$896-I862,50)+MAX(T$806:T861*$W$806:$W861,T863:T$895*$W863:$W$895)</f>
        <v>-10</v>
      </c>
      <c r="AA862" s="1884">
        <f t="array" ref="AA862">HP_final-PDs!$X$23+MIN(PDs!$X$23+J$896-J862,50)+MAX(T$806:T861*$W$806:$W861,T863:T$895*$W863:$W$895)</f>
        <v>-10</v>
      </c>
    </row>
    <row r="863" spans="1:27" ht="12.75" customHeight="1" x14ac:dyDescent="0.2">
      <c r="A863" s="1916">
        <v>863</v>
      </c>
      <c r="B863" s="5148"/>
      <c r="C863" s="1691"/>
      <c r="D863" s="426" t="s">
        <v>1234</v>
      </c>
      <c r="E863" s="2539">
        <v>0</v>
      </c>
      <c r="F863" s="2539"/>
      <c r="G863" s="2539">
        <v>10</v>
      </c>
      <c r="H863" s="2539"/>
      <c r="I863" s="2539"/>
      <c r="J863" s="2539"/>
      <c r="K863" s="2539"/>
      <c r="L863" s="146" t="s">
        <v>1235</v>
      </c>
      <c r="M863" s="2517"/>
      <c r="N863" s="2517"/>
      <c r="O863" s="2001"/>
      <c r="P863" s="2517"/>
      <c r="Q863" s="2539"/>
      <c r="R863" s="2539"/>
      <c r="S863" s="2539">
        <v>10</v>
      </c>
      <c r="T863" s="2539">
        <v>10</v>
      </c>
      <c r="U863" s="2539">
        <f t="shared" si="104"/>
        <v>0</v>
      </c>
      <c r="V863" s="2539">
        <v>50</v>
      </c>
      <c r="W863" s="2539">
        <f>IF(COUNTIF(PDs!$AD$56:$AD$74,Tablas!D863)&gt;0,1,0)</f>
        <v>0</v>
      </c>
      <c r="X863" s="2539" t="str">
        <f>IF(OR(Y863&lt;280,MAX(Z863,AA863)&lt;280,AND($W$862=0,$W$830=0),NOT(Inhumanidad)),"NO","-")</f>
        <v>NO</v>
      </c>
      <c r="Y863" s="2681">
        <f t="array" ref="Y863">HA_final-PDs!$X$22+MIN(PDs!$X$22+H$896-H863,50)+MAX(S$806:S862*$W$806:$W862,S864:S$895*$W864:$W$895)</f>
        <v>0</v>
      </c>
      <c r="Z863" s="2603">
        <f t="array" ref="Z863">HE_final-PDs!$X$24+MIN(PDs!$X$24+I$896-I863,50)+MAX(T$806:T862*$W$806:$W862,T864:T$895*$W864:$W$895)</f>
        <v>0</v>
      </c>
      <c r="AA863" s="1884">
        <f t="array" ref="AA863">HP_final-PDs!$X$23+MIN(PDs!$X$23+J$896-J863,50)+MAX(T$806:T862*$W$806:$W862,T864:T$895*$W864:$W$895)</f>
        <v>0</v>
      </c>
    </row>
    <row r="864" spans="1:27" ht="12.75" customHeight="1" x14ac:dyDescent="0.2">
      <c r="A864" s="1916">
        <v>864</v>
      </c>
      <c r="B864" s="5148"/>
      <c r="C864" s="1691"/>
      <c r="D864" s="426" t="s">
        <v>1236</v>
      </c>
      <c r="E864" s="2539">
        <v>0</v>
      </c>
      <c r="F864" s="2539">
        <v>10</v>
      </c>
      <c r="G864" s="2539">
        <v>10</v>
      </c>
      <c r="H864" s="2539">
        <v>20</v>
      </c>
      <c r="I864" s="2539"/>
      <c r="J864" s="2539"/>
      <c r="K864" s="2539"/>
      <c r="L864" s="146" t="s">
        <v>1237</v>
      </c>
      <c r="M864" s="161"/>
      <c r="N864" s="161"/>
      <c r="O864" s="447"/>
      <c r="P864" s="161"/>
      <c r="Q864" s="2539" t="s">
        <v>1863</v>
      </c>
      <c r="R864" s="2539" t="s">
        <v>1864</v>
      </c>
      <c r="S864" s="2539"/>
      <c r="T864" s="2539"/>
      <c r="U864" s="2539">
        <f t="shared" si="104"/>
        <v>0</v>
      </c>
      <c r="V864" s="2539">
        <v>50</v>
      </c>
      <c r="W864" s="2539">
        <f>IF(COUNTIF(PDs!$AD$56:$AD$74,Tablas!D864)&gt;0,1,0)</f>
        <v>0</v>
      </c>
      <c r="X864" s="2539" t="str">
        <f>IF(OR(NOT(OR($W$823=1,$W$814=1)),NOT(Extrusióndepresencia)),"NO","-")</f>
        <v>NO</v>
      </c>
      <c r="Y864" s="2681">
        <f t="array" ref="Y864">HA_final-PDs!$X$22+MIN(PDs!$X$22+H$896-H864,50)+MAX(S$806:S863*$W$806:$W863,S865:S$895*$W865:$W$895)</f>
        <v>-20</v>
      </c>
      <c r="Z864" s="2603">
        <f t="array" ref="Z864">HE_final-PDs!$X$24+MIN(PDs!$X$24+I$896-I864,50)+MAX(T$806:T863*$W$806:$W863,T865:T$895*$W865:$W$895)</f>
        <v>0</v>
      </c>
      <c r="AA864" s="1884">
        <f t="array" ref="AA864">HP_final-PDs!$X$23+MIN(PDs!$X$23+J$896-J864,50)+MAX(T$806:T863*$W$806:$W863,T865:T$895*$W865:$W$895)</f>
        <v>0</v>
      </c>
    </row>
    <row r="865" spans="1:27" ht="12.75" customHeight="1" x14ac:dyDescent="0.2">
      <c r="A865" s="1916">
        <v>865</v>
      </c>
      <c r="B865" s="5148"/>
      <c r="C865" s="1691"/>
      <c r="D865" s="426" t="s">
        <v>1238</v>
      </c>
      <c r="E865" s="2539">
        <v>0</v>
      </c>
      <c r="F865" s="2539">
        <v>10</v>
      </c>
      <c r="G865" s="2539">
        <v>10</v>
      </c>
      <c r="H865" s="2539"/>
      <c r="I865" s="2539"/>
      <c r="J865" s="2539"/>
      <c r="K865" s="2539"/>
      <c r="L865" s="2408" t="s">
        <v>1239</v>
      </c>
      <c r="M865" s="447"/>
      <c r="N865" s="447"/>
      <c r="O865" s="447"/>
      <c r="P865" s="447"/>
      <c r="Q865" s="2539"/>
      <c r="R865" s="2539"/>
      <c r="S865" s="2539">
        <v>20</v>
      </c>
      <c r="T865" s="2539"/>
      <c r="U865" s="2539">
        <f t="shared" si="104"/>
        <v>0</v>
      </c>
      <c r="V865" s="2539">
        <v>50</v>
      </c>
      <c r="W865" s="2539">
        <f>IF(COUNTIF(PDs!$AD$56:$AD$74,Tablas!D865)&gt;0,1,0)</f>
        <v>0</v>
      </c>
      <c r="X865" s="2539" t="str">
        <f>IF(OR(NOT(OR($W$824=1,$W$815=1)),$W$864=0,NOT(Inhumanidad),Y865&lt;280),"NO","-")</f>
        <v>NO</v>
      </c>
      <c r="Y865" s="2681">
        <f t="array" ref="Y865">HA_final-PDs!$X$22+MIN(PDs!$X$22+H$896-H865,50)+MAX(S$806:S864*$W$806:$W864,S866:S$895*$W866:$W$895)</f>
        <v>0</v>
      </c>
      <c r="Z865" s="2603">
        <f t="array" ref="Z865">HE_final-PDs!$X$24+MIN(PDs!$X$24+I$896-I865,50)+MAX(T$806:T864*$W$806:$W864,T866:T$895*$W866:$W$895)</f>
        <v>0</v>
      </c>
      <c r="AA865" s="1884">
        <f t="array" ref="AA865">HP_final-PDs!$X$23+MIN(PDs!$X$23+J$896-J865,50)+MAX(T$806:T864*$W$806:$W864,T866:T$895*$W866:$W$895)</f>
        <v>0</v>
      </c>
    </row>
    <row r="866" spans="1:27" ht="12.75" customHeight="1" x14ac:dyDescent="0.2">
      <c r="A866" s="1916">
        <v>866</v>
      </c>
      <c r="B866" s="5148"/>
      <c r="C866" s="1691"/>
      <c r="D866" s="426" t="s">
        <v>1240</v>
      </c>
      <c r="E866" s="2539">
        <v>0</v>
      </c>
      <c r="F866" s="2539"/>
      <c r="G866" s="2539">
        <v>10</v>
      </c>
      <c r="H866" s="2539">
        <v>20</v>
      </c>
      <c r="I866" s="2539"/>
      <c r="J866" s="2539"/>
      <c r="K866" s="2539">
        <v>10</v>
      </c>
      <c r="L866" s="146" t="str">
        <f>IF($W$836=0,"Desarmar sin penalizador y con +3 a los controles enfrentados","Desarmar sin penalizador y con +4 a los controles enfrentados")</f>
        <v>Desarmar sin penalizador y con +3 a los controles enfrentados</v>
      </c>
      <c r="M866" s="161"/>
      <c r="N866" s="161"/>
      <c r="O866" s="447"/>
      <c r="P866" s="161"/>
      <c r="Q866" s="2539"/>
      <c r="R866" s="2539"/>
      <c r="S866" s="2539"/>
      <c r="T866" s="2539"/>
      <c r="U866" s="2539">
        <f t="shared" si="104"/>
        <v>0</v>
      </c>
      <c r="V866" s="2539">
        <v>50</v>
      </c>
      <c r="W866" s="2539">
        <f>IF(COUNTIF(PDs!$AD$56:$AD$74,Tablas!D866)&gt;0,1,0)</f>
        <v>0</v>
      </c>
      <c r="X866" s="2539" t="str">
        <f>IF(OR(NOT(OR($W$823=1,$W$825=1,$W$835=1)),Y866&lt;200),"NO","-")</f>
        <v>NO</v>
      </c>
      <c r="Y866" s="2681">
        <f t="array" ref="Y866">HA_final-PDs!$X$22+MIN(PDs!$X$22+H$896-H866,50)+MAX(S$806:S865*$W$806:$W865,S867:S$895*$W867:$W$895)</f>
        <v>-20</v>
      </c>
      <c r="Z866" s="2603">
        <f t="array" ref="Z866">HE_final-PDs!$X$24+MIN(PDs!$X$24+I$896-I866,50)+MAX(T$806:T865*$W$806:$W865,T867:T$895*$W867:$W$895)</f>
        <v>0</v>
      </c>
      <c r="AA866" s="1884">
        <f t="array" ref="AA866">HP_final-PDs!$X$23+MIN(PDs!$X$23+J$896-J866,50)+MAX(T$806:T865*$W$806:$W865,T867:T$895*$W867:$W$895)</f>
        <v>0</v>
      </c>
    </row>
    <row r="867" spans="1:27" ht="12.75" customHeight="1" x14ac:dyDescent="0.2">
      <c r="A867" s="1916">
        <v>867</v>
      </c>
      <c r="B867" s="5148"/>
      <c r="C867" s="1691"/>
      <c r="D867" s="426" t="s">
        <v>1241</v>
      </c>
      <c r="E867" s="2539">
        <v>0</v>
      </c>
      <c r="F867" s="2539"/>
      <c r="G867" s="2539">
        <v>10</v>
      </c>
      <c r="H867" s="2539"/>
      <c r="I867" s="2539"/>
      <c r="J867" s="2539"/>
      <c r="K867" s="2539">
        <v>10</v>
      </c>
      <c r="L867" s="2408" t="s">
        <v>1242</v>
      </c>
      <c r="M867" s="447"/>
      <c r="N867" s="447"/>
      <c r="O867" s="447"/>
      <c r="P867" s="447"/>
      <c r="Q867" s="2539"/>
      <c r="R867" s="2539"/>
      <c r="S867" s="2539">
        <v>20</v>
      </c>
      <c r="T867" s="2539"/>
      <c r="U867" s="2539">
        <f t="shared" si="104"/>
        <v>0</v>
      </c>
      <c r="V867" s="2539">
        <v>50</v>
      </c>
      <c r="W867" s="2539">
        <f>IF(COUNTIF(PDs!$AD$56:$AD$74,Tablas!D867)&gt;0,1,0)</f>
        <v>0</v>
      </c>
      <c r="X867" s="2539" t="str">
        <f>IF(OR(NOT(OR($W$824=1,$W$827=1,$W$836=1)),Y867&lt;280,MAX(Z867,AA867)&lt;260,$W$866=0),"NO","-")</f>
        <v>NO</v>
      </c>
      <c r="Y867" s="2681">
        <f t="array" ref="Y867">HA_final-PDs!$X$22+MIN(PDs!$X$22+H$896-H867,50)+MAX(S$806:S866*$W$806:$W866,S868:S$895*$W868:$W$895)</f>
        <v>0</v>
      </c>
      <c r="Z867" s="2603">
        <f t="array" ref="Z867">HE_final-PDs!$X$24+MIN(PDs!$X$24+I$896-I867,50)+MAX(T$806:T866*$W$806:$W866,T868:T$895*$W868:$W$895)</f>
        <v>0</v>
      </c>
      <c r="AA867" s="1884">
        <f t="array" ref="AA867">HP_final-PDs!$X$23+MIN(PDs!$X$23+J$896-J867,50)+MAX(T$806:T866*$W$806:$W866,T868:T$895*$W868:$W$895)</f>
        <v>0</v>
      </c>
    </row>
    <row r="868" spans="1:27" ht="12.75" customHeight="1" x14ac:dyDescent="0.2">
      <c r="A868" s="1916">
        <v>868</v>
      </c>
      <c r="B868" s="5148"/>
      <c r="C868" s="1691"/>
      <c r="D868" s="426" t="s">
        <v>1243</v>
      </c>
      <c r="E868" s="2539">
        <v>0</v>
      </c>
      <c r="F868" s="2539"/>
      <c r="G868" s="2539">
        <v>10</v>
      </c>
      <c r="H868" s="2539"/>
      <c r="I868" s="2539">
        <v>20</v>
      </c>
      <c r="J868" s="2539">
        <v>20</v>
      </c>
      <c r="K868" s="2539"/>
      <c r="L868" s="146" t="s">
        <v>1244</v>
      </c>
      <c r="M868" s="161"/>
      <c r="N868" s="161"/>
      <c r="O868" s="447"/>
      <c r="P868" s="161"/>
      <c r="Q868" s="2539"/>
      <c r="R868" s="2539"/>
      <c r="S868" s="2539"/>
      <c r="T868" s="2539"/>
      <c r="U868" s="2539">
        <f t="shared" si="104"/>
        <v>0</v>
      </c>
      <c r="V868" s="2539">
        <v>50</v>
      </c>
      <c r="W868" s="2539">
        <f>IF(COUNTIF(PDs!$AD$56:$AD$74,Tablas!D868)&gt;0,1,0)</f>
        <v>0</v>
      </c>
      <c r="X868" s="2539" t="str">
        <f>IF(OR(NOT(OR($W$844=1,$W$847=1)),Y868&lt;160,MAX(Z868,AA868)&lt;160),"NO","-")</f>
        <v>NO</v>
      </c>
      <c r="Y868" s="2681">
        <f t="array" ref="Y868">HA_final-PDs!$X$22+MIN(PDs!$X$22+H$896-H868,50)+MAX(S$806:S867*$W$806:$W867,S869:S$895*$W869:$W$895)</f>
        <v>0</v>
      </c>
      <c r="Z868" s="2603">
        <f t="array" ref="Z868">HE_final-PDs!$X$24+MIN(PDs!$X$24+I$896-I868,50)+MAX(T$806:T867*$W$806:$W867,T869:T$895*$W869:$W$895)</f>
        <v>-20</v>
      </c>
      <c r="AA868" s="1884">
        <f t="array" ref="AA868">HP_final-PDs!$X$23+MIN(PDs!$X$23+J$896-J868,50)+MAX(T$806:T867*$W$806:$W867,T869:T$895*$W869:$W$895)</f>
        <v>-20</v>
      </c>
    </row>
    <row r="869" spans="1:27" ht="12.75" customHeight="1" x14ac:dyDescent="0.2">
      <c r="A869" s="1916">
        <v>869</v>
      </c>
      <c r="B869" s="5148"/>
      <c r="C869" s="1691"/>
      <c r="D869" s="426" t="s">
        <v>1245</v>
      </c>
      <c r="E869" s="2539">
        <v>0</v>
      </c>
      <c r="F869" s="2539"/>
      <c r="G869" s="2539">
        <v>10</v>
      </c>
      <c r="H869" s="2539"/>
      <c r="I869" s="2539"/>
      <c r="J869" s="2539"/>
      <c r="K869" s="2539"/>
      <c r="L869" s="2408" t="s">
        <v>1246</v>
      </c>
      <c r="M869" s="447"/>
      <c r="N869" s="447"/>
      <c r="O869" s="447"/>
      <c r="P869" s="447"/>
      <c r="Q869" s="2539"/>
      <c r="R869" s="2539"/>
      <c r="S869" s="2539">
        <v>15</v>
      </c>
      <c r="T869" s="2539">
        <v>15</v>
      </c>
      <c r="U869" s="2539">
        <f t="shared" si="104"/>
        <v>0</v>
      </c>
      <c r="V869" s="2539">
        <v>50</v>
      </c>
      <c r="W869" s="2539">
        <f>IF(COUNTIF(PDs!$AD$56:$AD$74,Tablas!D869)&gt;0,1,0)</f>
        <v>0</v>
      </c>
      <c r="X869" s="2539" t="str">
        <f>IF(OR(NOT(OR($W$845=1,$W$848=1)),Y869&lt;280,NOT(Inhumanidad),MAX(Z869,AA869)&lt;280,$W$868=0,NOT(Erudición)),"NO","-")</f>
        <v>NO</v>
      </c>
      <c r="Y869" s="2681">
        <f t="array" ref="Y869">HA_final-PDs!$X$22+MIN(PDs!$X$22+H$896-H869,50)+MAX(S$806:S868*$W$806:$W868,S870:S$895*$W870:$W$895)</f>
        <v>0</v>
      </c>
      <c r="Z869" s="2603">
        <f t="array" ref="Z869">HE_final-PDs!$X$24+MIN(PDs!$X$24+I$896-I869,50)+MAX(T$806:T868*$W$806:$W868,T870:T$895*$W870:$W$895)</f>
        <v>0</v>
      </c>
      <c r="AA869" s="1884">
        <f t="array" ref="AA869">HP_final-PDs!$X$23+MIN(PDs!$X$23+J$896-J869,50)+MAX(T$806:T868*$W$806:$W868,T870:T$895*$W870:$W$895)</f>
        <v>0</v>
      </c>
    </row>
    <row r="870" spans="1:27" ht="12.75" customHeight="1" x14ac:dyDescent="0.2">
      <c r="A870" s="1916">
        <v>870</v>
      </c>
      <c r="B870" s="5148"/>
      <c r="C870" s="1691"/>
      <c r="D870" s="426" t="s">
        <v>1247</v>
      </c>
      <c r="E870" s="2539">
        <f>2*Presencia_final+Bono_Pod-Combate!$L$23</f>
        <v>40</v>
      </c>
      <c r="F870" s="2539"/>
      <c r="G870" s="2539">
        <v>15</v>
      </c>
      <c r="H870" s="2539">
        <v>10</v>
      </c>
      <c r="I870" s="2539"/>
      <c r="J870" s="2539"/>
      <c r="K870" s="2539"/>
      <c r="L870" s="2408" t="s">
        <v>1248</v>
      </c>
      <c r="M870" s="447"/>
      <c r="N870" s="447"/>
      <c r="O870" s="447"/>
      <c r="P870" s="447"/>
      <c r="Q870" s="2539"/>
      <c r="R870" s="2539"/>
      <c r="S870" s="2539"/>
      <c r="T870" s="2539"/>
      <c r="U870" s="2539">
        <f t="shared" ref="U870:U895" si="105">W870*E870</f>
        <v>0</v>
      </c>
      <c r="V870" s="2539">
        <v>50</v>
      </c>
      <c r="W870" s="2539">
        <f>IF(COUNTIF(PDs!$AD$56:$AD$74,Tablas!D870)&gt;0,1,0)</f>
        <v>0</v>
      </c>
      <c r="X870" s="2539" t="str">
        <f>IF(OR(NOT(OR($W$820=1,$W$856=1)),Y870&lt;200,NOT(Extensióndelauraalarma)),"NO","-")</f>
        <v>NO</v>
      </c>
      <c r="Y870" s="2681">
        <f t="array" ref="Y870">HA_final-PDs!$X$22+MIN(PDs!$X$22+H$896-H870,50)+MAX(S$806:S869*$W$806:$W869,S871:S$895*$W871:$W$895)</f>
        <v>-10</v>
      </c>
      <c r="Z870" s="2603">
        <f t="array" ref="Z870">HE_final-PDs!$X$24+MIN(PDs!$X$24+I$896-I870,50)+MAX(T$806:T869*$W$806:$W869,T871:T$895*$W871:$W$895)</f>
        <v>0</v>
      </c>
      <c r="AA870" s="1884">
        <f t="array" ref="AA870">HP_final-PDs!$X$23+MIN(PDs!$X$23+J$896-J870,50)+MAX(T$806:T869*$W$806:$W869,T871:T$895*$W871:$W$895)</f>
        <v>0</v>
      </c>
    </row>
    <row r="871" spans="1:27" ht="12.75" customHeight="1" x14ac:dyDescent="0.2">
      <c r="A871" s="1916">
        <v>871</v>
      </c>
      <c r="B871" s="5148"/>
      <c r="C871" s="1691"/>
      <c r="D871" s="426" t="s">
        <v>1249</v>
      </c>
      <c r="E871" s="2539">
        <f>2*Presencia_final+Bono_Pod-Combate!$L$23</f>
        <v>40</v>
      </c>
      <c r="F871" s="2539"/>
      <c r="G871" s="2539">
        <v>20</v>
      </c>
      <c r="H871" s="2539"/>
      <c r="I871" s="2539"/>
      <c r="J871" s="2539"/>
      <c r="K871" s="2539"/>
      <c r="L871" s="2408" t="s">
        <v>1766</v>
      </c>
      <c r="M871" s="447"/>
      <c r="N871" s="447"/>
      <c r="O871" s="447"/>
      <c r="P871" s="447"/>
      <c r="Q871" s="2539"/>
      <c r="R871" s="2539"/>
      <c r="S871" s="2539">
        <v>25</v>
      </c>
      <c r="T871" s="2539"/>
      <c r="U871" s="2539">
        <f t="shared" si="105"/>
        <v>0</v>
      </c>
      <c r="V871" s="2539">
        <v>50</v>
      </c>
      <c r="W871" s="2539">
        <f>IF(COUNTIF(PDs!$AD$56:$AD$74,Tablas!D871)&gt;0,1,0)</f>
        <v>0</v>
      </c>
      <c r="X871" s="2539" t="str">
        <f>IF(OR(NOT(OR($W$821=1,$W$857=1)),$W$870=0,Y871&lt;300,NOT(Inhumanidad)),"NO","-")</f>
        <v>NO</v>
      </c>
      <c r="Y871" s="2681">
        <f t="array" ref="Y871">HA_final-PDs!$X$22+MIN(PDs!$X$22+H$896-H871,50)+MAX(S$806:S870*$W$806:$W870,S872:S$895*$W872:$W$895)</f>
        <v>0</v>
      </c>
      <c r="Z871" s="2603">
        <f t="array" ref="Z871">HE_final-PDs!$X$24+MIN(PDs!$X$24+I$896-I871,50)+MAX(T$806:T870*$W$806:$W870,T872:T$895*$W872:$W$895)</f>
        <v>0</v>
      </c>
      <c r="AA871" s="1884">
        <f t="array" ref="AA871">HP_final-PDs!$X$23+MIN(PDs!$X$23+J$896-J871,50)+MAX(T$806:T870*$W$806:$W870,T872:T$895*$W872:$W$895)</f>
        <v>0</v>
      </c>
    </row>
    <row r="872" spans="1:27" ht="12.75" customHeight="1" x14ac:dyDescent="0.2">
      <c r="A872" s="1916">
        <v>872</v>
      </c>
      <c r="B872" s="5148"/>
      <c r="C872" s="1691"/>
      <c r="D872" s="426" t="s">
        <v>1250</v>
      </c>
      <c r="E872" s="2539">
        <v>0</v>
      </c>
      <c r="F872" s="2539"/>
      <c r="G872" s="2539">
        <v>10</v>
      </c>
      <c r="H872" s="2539">
        <v>10</v>
      </c>
      <c r="I872" s="2539"/>
      <c r="J872" s="2539"/>
      <c r="K872" s="2539"/>
      <c r="L872" s="2408" t="s">
        <v>1251</v>
      </c>
      <c r="M872" s="447"/>
      <c r="N872" s="447"/>
      <c r="O872" s="447"/>
      <c r="P872" s="447"/>
      <c r="Q872" s="2539"/>
      <c r="R872" s="2539"/>
      <c r="S872" s="2539"/>
      <c r="T872" s="2539"/>
      <c r="U872" s="2539">
        <f t="shared" si="105"/>
        <v>0</v>
      </c>
      <c r="V872" s="2539">
        <v>50</v>
      </c>
      <c r="W872" s="2539">
        <f>IF(COUNTIF(PDs!$AD$56:$AD$74,Tablas!D872)&gt;0,1,0)</f>
        <v>0</v>
      </c>
      <c r="X872" s="2539" t="str">
        <f>IF(OR(NOT(OR($W$811=1,$W$847=1)),Y872&lt;200),"NO","-")</f>
        <v>NO</v>
      </c>
      <c r="Y872" s="2681">
        <f t="array" ref="Y872">HA_final-PDs!$X$22+MIN(PDs!$X$22+H$896-H872,50)+MAX(S$806:S871*$W$806:$W871,S873:S$895*$W873:$W$895)</f>
        <v>-10</v>
      </c>
      <c r="Z872" s="2603">
        <f t="array" ref="Z872">HE_final-PDs!$X$24+MIN(PDs!$X$24+I$896-I872,50)+MAX(T$806:T871*$W$806:$W871,T873:T$895*$W873:$W$895)</f>
        <v>0</v>
      </c>
      <c r="AA872" s="1884">
        <f t="array" ref="AA872">HP_final-PDs!$X$23+MIN(PDs!$X$23+J$896-J872,50)+MAX(T$806:T871*$W$806:$W871,T873:T$895*$W873:$W$895)</f>
        <v>0</v>
      </c>
    </row>
    <row r="873" spans="1:27" ht="12.75" customHeight="1" x14ac:dyDescent="0.2">
      <c r="A873" s="1916">
        <v>873</v>
      </c>
      <c r="B873" s="5148"/>
      <c r="C873" s="1691"/>
      <c r="D873" s="426" t="s">
        <v>1252</v>
      </c>
      <c r="E873" s="2539">
        <v>0</v>
      </c>
      <c r="F873" s="2539"/>
      <c r="G873" s="2539">
        <v>10</v>
      </c>
      <c r="H873" s="2539"/>
      <c r="I873" s="2539"/>
      <c r="J873" s="2539"/>
      <c r="K873" s="2539"/>
      <c r="L873" s="2408" t="s">
        <v>1253</v>
      </c>
      <c r="M873" s="447"/>
      <c r="N873" s="447"/>
      <c r="O873" s="447"/>
      <c r="P873" s="447"/>
      <c r="Q873" s="2539"/>
      <c r="R873" s="2539"/>
      <c r="S873" s="2539">
        <v>15</v>
      </c>
      <c r="T873" s="2539"/>
      <c r="U873" s="2539">
        <f t="shared" si="105"/>
        <v>0</v>
      </c>
      <c r="V873" s="2539">
        <v>50</v>
      </c>
      <c r="W873" s="2539">
        <f>IF(COUNTIF(PDs!$AD$56:$AD$74,Tablas!D873)&gt;0,1,0)</f>
        <v>0</v>
      </c>
      <c r="X873" s="2539" t="str">
        <f>IF(OR(NOT(OR($W$812=1,$W$848=1)),$W$872=0,NOT(Extrusióndepresencia),MAX(Y873)&lt;300,NOT(Inhumanidad)),"NO","-")</f>
        <v>NO</v>
      </c>
      <c r="Y873" s="2681">
        <f t="array" ref="Y873">HA_final-PDs!$X$22+MIN(PDs!$X$22+H$896-H873,50)+MAX(S$806:S872*$W$806:$W872,S874:S$895*$W874:$W$895)</f>
        <v>0</v>
      </c>
      <c r="Z873" s="2603">
        <f t="array" ref="Z873">HE_final-PDs!$X$24+MIN(PDs!$X$24+I$896-I873,50)+MAX(T$806:T872*$W$806:$W872,T874:T$895*$W874:$W$895)</f>
        <v>0</v>
      </c>
      <c r="AA873" s="1884">
        <f t="array" ref="AA873">HP_final-PDs!$X$23+MIN(PDs!$X$23+J$896-J873,50)+MAX(T$806:T872*$W$806:$W872,T874:T$895*$W874:$W$895)</f>
        <v>0</v>
      </c>
    </row>
    <row r="874" spans="1:27" ht="12.75" customHeight="1" x14ac:dyDescent="0.2">
      <c r="A874" s="1916">
        <v>874</v>
      </c>
      <c r="B874" s="5148"/>
      <c r="C874" s="1691"/>
      <c r="D874" s="426" t="s">
        <v>1254</v>
      </c>
      <c r="E874" s="2539">
        <v>0</v>
      </c>
      <c r="F874" s="2539">
        <v>20</v>
      </c>
      <c r="G874" s="2539">
        <v>10</v>
      </c>
      <c r="H874" s="2539">
        <v>10</v>
      </c>
      <c r="I874" s="2539"/>
      <c r="J874" s="2539"/>
      <c r="K874" s="2539">
        <v>20</v>
      </c>
      <c r="L874" s="146" t="s">
        <v>1255</v>
      </c>
      <c r="M874" s="161"/>
      <c r="N874" s="161"/>
      <c r="O874" s="447"/>
      <c r="P874" s="161"/>
      <c r="Q874" s="2539"/>
      <c r="R874" s="2539"/>
      <c r="S874" s="2539"/>
      <c r="T874" s="2539"/>
      <c r="U874" s="2539">
        <f t="shared" si="105"/>
        <v>0</v>
      </c>
      <c r="V874" s="2539">
        <v>50</v>
      </c>
      <c r="W874" s="2539">
        <f>IF(COUNTIF(PDs!$AD$56:$AD$74,Tablas!D874)&gt;0,1,0)</f>
        <v>0</v>
      </c>
      <c r="X874" s="2539" t="str">
        <f>IF(OR(NOT(OR($W$838=1,$W$847=1)),Y874&lt;200,NOT(Usodelaenergíanecesaria)),"NO","-")</f>
        <v>NO</v>
      </c>
      <c r="Y874" s="2681">
        <f t="array" ref="Y874">HA_final-PDs!$X$22+MIN(PDs!$X$22+H$896-H874,50)+MAX(S$806:S873*$W$806:$W873,S875:S$895*$W875:$W$895)</f>
        <v>-10</v>
      </c>
      <c r="Z874" s="2603">
        <f t="array" ref="Z874">HE_final-PDs!$X$24+MIN(PDs!$X$24+I$896-I874,50)+MAX(T$806:T873*$W$806:$W873,T875:T$895*$W875:$W$895)</f>
        <v>0</v>
      </c>
      <c r="AA874" s="1884">
        <f t="array" ref="AA874">HP_final-PDs!$X$23+MIN(PDs!$X$23+J$896-J874,50)+MAX(T$806:T873*$W$806:$W873,T875:T$895*$W875:$W$895)</f>
        <v>0</v>
      </c>
    </row>
    <row r="875" spans="1:27" ht="12.75" customHeight="1" x14ac:dyDescent="0.2">
      <c r="A875" s="1916">
        <v>875</v>
      </c>
      <c r="B875" s="5148"/>
      <c r="C875" s="1691"/>
      <c r="D875" s="426" t="s">
        <v>1256</v>
      </c>
      <c r="E875" s="2539">
        <v>0</v>
      </c>
      <c r="F875" s="2539">
        <v>10</v>
      </c>
      <c r="G875" s="2539">
        <v>10</v>
      </c>
      <c r="H875" s="2539"/>
      <c r="I875" s="2539"/>
      <c r="J875" s="2539"/>
      <c r="K875" s="2539">
        <v>20</v>
      </c>
      <c r="L875" s="2408" t="s">
        <v>1257</v>
      </c>
      <c r="M875" s="447"/>
      <c r="N875" s="447"/>
      <c r="O875" s="447"/>
      <c r="P875" s="447"/>
      <c r="Q875" s="2539"/>
      <c r="R875" s="2539"/>
      <c r="S875" s="2539">
        <v>20</v>
      </c>
      <c r="T875" s="2539"/>
      <c r="U875" s="2539">
        <f t="shared" si="105"/>
        <v>0</v>
      </c>
      <c r="V875" s="2539">
        <v>50</v>
      </c>
      <c r="W875" s="2539">
        <f>IF(COUNTIF(PDs!$AD$56:$AD$74,Tablas!D875)&gt;0,1,0)</f>
        <v>0</v>
      </c>
      <c r="X875" s="2539" t="str">
        <f>IF(OR(NOT(OR($W$839=1,$W$848=1)),$W$874=0,Y875&lt;300,NOT(Inhumanidad)),"NO","-")</f>
        <v>NO</v>
      </c>
      <c r="Y875" s="2681">
        <f t="array" ref="Y875">HA_final-PDs!$X$22+MIN(PDs!$X$22+H$896-H875,50)+MAX(S$806:S874*$W$806:$W874,S876:S$895*$W876:$W$895)</f>
        <v>0</v>
      </c>
      <c r="Z875" s="2603">
        <f t="array" ref="Z875">HE_final-PDs!$X$24+MIN(PDs!$X$24+I$896-I875,50)+MAX(T$806:T874*$W$806:$W874,T876:T$895*$W876:$W$895)</f>
        <v>0</v>
      </c>
      <c r="AA875" s="1884">
        <f t="array" ref="AA875">HP_final-PDs!$X$23+MIN(PDs!$X$23+J$896-J875,50)+MAX(T$806:T874*$W$806:$W874,T876:T$895*$W876:$W$895)</f>
        <v>0</v>
      </c>
    </row>
    <row r="876" spans="1:27" ht="12.75" customHeight="1" x14ac:dyDescent="0.2">
      <c r="A876" s="1916">
        <v>876</v>
      </c>
      <c r="B876" s="5148"/>
      <c r="C876" s="1691"/>
      <c r="D876" s="426" t="s">
        <v>1258</v>
      </c>
      <c r="E876" s="2539">
        <v>0</v>
      </c>
      <c r="F876" s="2539"/>
      <c r="G876" s="2539">
        <v>10</v>
      </c>
      <c r="H876" s="2539"/>
      <c r="I876" s="2539">
        <v>10</v>
      </c>
      <c r="J876" s="2539">
        <v>10</v>
      </c>
      <c r="K876" s="2539"/>
      <c r="L876" s="2408" t="s">
        <v>1259</v>
      </c>
      <c r="M876" s="447"/>
      <c r="N876" s="447"/>
      <c r="O876" s="447"/>
      <c r="P876" s="447"/>
      <c r="Q876" s="2539"/>
      <c r="R876" s="2539"/>
      <c r="S876" s="2539"/>
      <c r="T876" s="2539"/>
      <c r="U876" s="2539">
        <f t="shared" si="105"/>
        <v>0</v>
      </c>
      <c r="V876" s="2539">
        <v>50</v>
      </c>
      <c r="W876" s="2539">
        <f>IF(COUNTIF(PDs!$AD$56:$AD$74,Tablas!D876)&gt;0,1,0)</f>
        <v>0</v>
      </c>
      <c r="X876" s="2539" t="str">
        <f>IF(OR(HD_SinArmas_final-10&lt;200,$W$850=0,Advertir_final&lt;200,NOT(DeteccióndelKi)),"NO","-")</f>
        <v>NO</v>
      </c>
      <c r="Y876" s="2681">
        <f t="array" ref="Y876">HA_final-PDs!$X$22+MIN(PDs!$X$22+H$896-H876,50)+MAX(S$806:S875*$W$806:$W875,S877:S$895*$W877:$W$895)</f>
        <v>0</v>
      </c>
      <c r="Z876" s="2603">
        <f t="array" ref="Z876">HE_final-PDs!$X$24+MIN(PDs!$X$24+I$896-I876,50)+MAX(T$806:T875*$W$806:$W875,T877:T$895*$W877:$W$895)</f>
        <v>-10</v>
      </c>
      <c r="AA876" s="1884">
        <f t="array" ref="AA876">HP_final-PDs!$X$23+MIN(PDs!$X$23+J$896-J876,50)+MAX(T$806:T875*$W$806:$W875,T877:T$895*$W877:$W$895)</f>
        <v>-10</v>
      </c>
    </row>
    <row r="877" spans="1:27" ht="12.75" customHeight="1" x14ac:dyDescent="0.2">
      <c r="A877" s="1916">
        <v>877</v>
      </c>
      <c r="B877" s="5148"/>
      <c r="C877" s="1691"/>
      <c r="D877" s="426" t="s">
        <v>1260</v>
      </c>
      <c r="E877" s="2539">
        <v>0</v>
      </c>
      <c r="F877" s="2539"/>
      <c r="G877" s="2539">
        <v>10</v>
      </c>
      <c r="H877" s="2539"/>
      <c r="I877" s="2539"/>
      <c r="J877" s="2539"/>
      <c r="K877" s="2539"/>
      <c r="L877" s="2408" t="s">
        <v>1261</v>
      </c>
      <c r="M877" s="447"/>
      <c r="N877" s="447"/>
      <c r="O877" s="447"/>
      <c r="P877" s="447"/>
      <c r="Q877" s="2539"/>
      <c r="R877" s="2539"/>
      <c r="S877" s="2539">
        <v>20</v>
      </c>
      <c r="T877" s="2539"/>
      <c r="U877" s="2539">
        <f t="shared" si="105"/>
        <v>0</v>
      </c>
      <c r="V877" s="2539">
        <v>50</v>
      </c>
      <c r="W877" s="2539">
        <f>IF(COUNTIF(PDs!$AD$56:$AD$74,Tablas!D877)&gt;0,1,0)</f>
        <v>0</v>
      </c>
      <c r="X877" s="2539" t="str">
        <f>IF(OR(MAX(Z877,AA877)&lt;300,$W$851=0,$W$876=0,Advertir_final&lt;240,NOT(Inhumanidad),NOT(Erudición)),"NO","-")</f>
        <v>NO</v>
      </c>
      <c r="Y877" s="2681">
        <f t="array" ref="Y877">HA_final-PDs!$X$22+MIN(PDs!$X$22+H$896-H877,50)+MAX(S$806:S876*$W$806:$W876,S878:S$895*$W878:$W$895)</f>
        <v>0</v>
      </c>
      <c r="Z877" s="2603">
        <f t="array" ref="Z877">HE_final-PDs!$X$24+MIN(PDs!$X$24+I$896-I877,50)+MAX(T$806:T876*$W$806:$W876,T878:T$895*$W878:$W$895)</f>
        <v>0</v>
      </c>
      <c r="AA877" s="1884">
        <f t="array" ref="AA877">HP_final-PDs!$X$23+MIN(PDs!$X$23+J$896-J877,50)+MAX(T$806:T876*$W$806:$W876,T878:T$895*$W878:$W$895)</f>
        <v>0</v>
      </c>
    </row>
    <row r="878" spans="1:27" ht="12.75" customHeight="1" x14ac:dyDescent="0.2">
      <c r="A878" s="1916">
        <v>878</v>
      </c>
      <c r="B878" s="5148"/>
      <c r="C878" s="1691"/>
      <c r="D878" s="426" t="s">
        <v>1262</v>
      </c>
      <c r="E878" s="2539">
        <v>0</v>
      </c>
      <c r="F878" s="2539"/>
      <c r="G878" s="2539">
        <v>10</v>
      </c>
      <c r="H878" s="2539"/>
      <c r="I878" s="2539">
        <v>20</v>
      </c>
      <c r="J878" s="2539">
        <v>20</v>
      </c>
      <c r="K878" s="2539"/>
      <c r="L878" s="2408" t="s">
        <v>1263</v>
      </c>
      <c r="M878" s="447"/>
      <c r="N878" s="447"/>
      <c r="O878" s="447"/>
      <c r="P878" s="447"/>
      <c r="Q878" s="2539"/>
      <c r="R878" s="2539"/>
      <c r="S878" s="2539"/>
      <c r="T878" s="2539"/>
      <c r="U878" s="2539">
        <f t="shared" si="105"/>
        <v>0</v>
      </c>
      <c r="V878" s="2539">
        <v>50</v>
      </c>
      <c r="W878" s="2539">
        <f>IF(COUNTIF(PDs!$AD$56:$AD$74,Tablas!D878)&gt;0,1,0)</f>
        <v>0</v>
      </c>
      <c r="X878" s="2539" t="str">
        <f>IF(OR(MAX(Z878,AA878)&lt;220,$W$832=0,Estilo_final&lt;120,NOT(DeteccióndelKi)),"NO","-")</f>
        <v>NO</v>
      </c>
      <c r="Y878" s="2681">
        <f t="array" ref="Y878">HA_final-PDs!$X$22+MIN(PDs!$X$22+H$896-H878,50)+MAX(S$806:S877*$W$806:$W877,S879:S$895*$W879:$W$895)</f>
        <v>0</v>
      </c>
      <c r="Z878" s="2603">
        <f t="array" ref="Z878">HE_final-PDs!$X$24+MIN(PDs!$X$24+I$896-I878,50)+MAX(T$806:T877*$W$806:$W877,T879:T$895*$W879:$W$895)</f>
        <v>-20</v>
      </c>
      <c r="AA878" s="1884">
        <f t="array" ref="AA878">HP_final-PDs!$X$23+MIN(PDs!$X$23+J$896-J878,50)+MAX(T$806:T877*$W$806:$W877,T879:T$895*$W879:$W$895)</f>
        <v>-20</v>
      </c>
    </row>
    <row r="879" spans="1:27" ht="12.75" customHeight="1" x14ac:dyDescent="0.2">
      <c r="A879" s="1916">
        <v>879</v>
      </c>
      <c r="B879" s="5148"/>
      <c r="C879" s="1691"/>
      <c r="D879" s="426" t="s">
        <v>1264</v>
      </c>
      <c r="E879" s="2539">
        <v>0</v>
      </c>
      <c r="F879" s="2539"/>
      <c r="G879" s="2539">
        <v>10</v>
      </c>
      <c r="H879" s="2539"/>
      <c r="I879" s="2539"/>
      <c r="J879" s="2539"/>
      <c r="K879" s="2539"/>
      <c r="L879" s="2408" t="s">
        <v>1265</v>
      </c>
      <c r="M879" s="447"/>
      <c r="N879" s="447"/>
      <c r="O879" s="447"/>
      <c r="P879" s="447"/>
      <c r="Q879" s="2539"/>
      <c r="R879" s="2539"/>
      <c r="S879" s="2539"/>
      <c r="T879" s="2539">
        <v>20</v>
      </c>
      <c r="U879" s="2539">
        <f t="shared" si="105"/>
        <v>0</v>
      </c>
      <c r="V879" s="2539">
        <v>50</v>
      </c>
      <c r="W879" s="2539">
        <f>IF(COUNTIF(PDs!$AD$56:$AD$74,Tablas!D879)&gt;0,1,0)</f>
        <v>0</v>
      </c>
      <c r="X879" s="2539" t="str">
        <f>IF(OR(MAX(Z879,AA879)&lt;300,$W$833=0,$W$878=0,Estilo_final&lt;140,NOT(Erudición)),"NO","-")</f>
        <v>NO</v>
      </c>
      <c r="Y879" s="2681">
        <f t="array" ref="Y879">HA_final-PDs!$X$22+MIN(PDs!$X$22+H$896-H879,50)+MAX(S$806:S878*$W$806:$W878,S880:S$895*$W880:$W$895)</f>
        <v>0</v>
      </c>
      <c r="Z879" s="2603">
        <f t="array" ref="Z879">HE_final-PDs!$X$24+MIN(PDs!$X$24+I$896-I879,50)+MAX(T$806:T878*$W$806:$W878,T880:T$895*$W880:$W$895)</f>
        <v>0</v>
      </c>
      <c r="AA879" s="1884">
        <f t="array" ref="AA879">HP_final-PDs!$X$23+MIN(PDs!$X$23+J$896-J879,50)+MAX(T$806:T878*$W$806:$W878,T880:T$895*$W880:$W$895)</f>
        <v>0</v>
      </c>
    </row>
    <row r="880" spans="1:27" ht="12.75" customHeight="1" x14ac:dyDescent="0.2">
      <c r="A880" s="1916">
        <v>880</v>
      </c>
      <c r="B880" s="5148"/>
      <c r="C880" s="1691"/>
      <c r="D880" s="426" t="s">
        <v>1266</v>
      </c>
      <c r="E880" s="2539">
        <v>0</v>
      </c>
      <c r="F880" s="2539"/>
      <c r="G880" s="2539">
        <v>10</v>
      </c>
      <c r="H880" s="2539">
        <v>10</v>
      </c>
      <c r="I880" s="2539"/>
      <c r="J880" s="2539"/>
      <c r="K880" s="2539"/>
      <c r="L880" s="146" t="s">
        <v>1267</v>
      </c>
      <c r="M880" s="161"/>
      <c r="N880" s="161"/>
      <c r="O880" s="447"/>
      <c r="P880" s="161"/>
      <c r="Q880" s="2539"/>
      <c r="R880" s="2539"/>
      <c r="S880" s="2539"/>
      <c r="T880" s="2539"/>
      <c r="U880" s="2539">
        <f t="shared" si="105"/>
        <v>0</v>
      </c>
      <c r="V880" s="2539">
        <v>50</v>
      </c>
      <c r="W880" s="2539">
        <f>IF(COUNTIF(PDs!$AD$56:$AD$74,Tablas!D880)&gt;0,1,0)</f>
        <v>0</v>
      </c>
      <c r="X880" s="2539" t="str">
        <f>IF(OR(NOT(OR($W$817=1,$W$841=1)),Y880&lt;160,MAX(Z880,AA880)&lt;160,NOT(Inhumanidad)),"NO","-")</f>
        <v>NO</v>
      </c>
      <c r="Y880" s="2681">
        <f t="array" ref="Y880">HA_final-PDs!$X$22+MIN(PDs!$X$22+H$896-H880,50)+MAX(S$806:S879*$W$806:$W879,S881:S$895*$W881:$W$895)</f>
        <v>-10</v>
      </c>
      <c r="Z880" s="2603">
        <f t="array" ref="Z880">HE_final-PDs!$X$24+MIN(PDs!$X$24+I$896-I880,50)+MAX(T$806:T879*$W$806:$W879,T881:T$895*$W881:$W$895)</f>
        <v>0</v>
      </c>
      <c r="AA880" s="1884">
        <f t="array" ref="AA880">HP_final-PDs!$X$23+MIN(PDs!$X$23+J$896-J880,50)+MAX(T$806:T879*$W$806:$W879,T881:T$895*$W881:$W$895)</f>
        <v>0</v>
      </c>
    </row>
    <row r="881" spans="1:27" ht="12.75" customHeight="1" x14ac:dyDescent="0.2">
      <c r="A881" s="1916">
        <v>881</v>
      </c>
      <c r="B881" s="5148"/>
      <c r="C881" s="1691"/>
      <c r="D881" s="426" t="s">
        <v>1268</v>
      </c>
      <c r="E881" s="2539">
        <v>0</v>
      </c>
      <c r="F881" s="2539"/>
      <c r="G881" s="2539">
        <v>10</v>
      </c>
      <c r="H881" s="2539"/>
      <c r="I881" s="2539"/>
      <c r="J881" s="2539"/>
      <c r="K881" s="2539"/>
      <c r="L881" s="2408" t="s">
        <v>1269</v>
      </c>
      <c r="M881" s="447"/>
      <c r="N881" s="447"/>
      <c r="O881" s="447"/>
      <c r="P881" s="447"/>
      <c r="Q881" s="2539"/>
      <c r="R881" s="2539"/>
      <c r="S881" s="2539">
        <v>10</v>
      </c>
      <c r="T881" s="2539">
        <v>10</v>
      </c>
      <c r="U881" s="2539">
        <f t="shared" si="105"/>
        <v>0</v>
      </c>
      <c r="V881" s="2539">
        <v>50</v>
      </c>
      <c r="W881" s="2539">
        <f>IF(COUNTIF(PDs!$AD$56:$AD$74,Tablas!D881)&gt;0,1,0)</f>
        <v>0</v>
      </c>
      <c r="X881" s="2539" t="str">
        <f>IF(OR(NOT(OR($W$818=1,$W$842=1)),HA_SinArmas_final-10&lt;260,HD_SinArmas_final-10&lt;260,$W$880=0),"NO","-")</f>
        <v>NO</v>
      </c>
      <c r="Y881" s="2681">
        <f t="array" ref="Y881">HA_final-PDs!$X$22+MIN(PDs!$X$22+H$896-H881,50)+MAX(S$806:S880*$W$806:$W880,S882:S$895*$W882:$W$895)</f>
        <v>0</v>
      </c>
      <c r="Z881" s="2603">
        <f t="array" ref="Z881">HE_final-PDs!$X$24+MIN(PDs!$X$24+I$896-I881,50)+MAX(T$806:T880*$W$806:$W880,T882:T$895*$W882:$W$895)</f>
        <v>0</v>
      </c>
      <c r="AA881" s="1884">
        <f t="array" ref="AA881">HP_final-PDs!$X$23+MIN(PDs!$X$23+J$896-J881,50)+MAX(T$806:T880*$W$806:$W880,T882:T$895*$W882:$W$895)</f>
        <v>0</v>
      </c>
    </row>
    <row r="882" spans="1:27" ht="12.75" customHeight="1" x14ac:dyDescent="0.2">
      <c r="A882" s="1916">
        <v>882</v>
      </c>
      <c r="B882" s="5148"/>
      <c r="C882" s="1691"/>
      <c r="D882" s="426" t="s">
        <v>1270</v>
      </c>
      <c r="E882" s="2539">
        <v>0</v>
      </c>
      <c r="F882" s="2539"/>
      <c r="G882" s="2539">
        <v>15</v>
      </c>
      <c r="H882" s="2539">
        <v>10</v>
      </c>
      <c r="I882" s="2539"/>
      <c r="J882" s="2539"/>
      <c r="K882" s="2539"/>
      <c r="L882" s="2408" t="s">
        <v>1271</v>
      </c>
      <c r="M882" s="447"/>
      <c r="N882" s="447"/>
      <c r="O882" s="447"/>
      <c r="P882" s="447"/>
      <c r="Q882" s="2539"/>
      <c r="R882" s="2539"/>
      <c r="S882" s="2539"/>
      <c r="T882" s="2539"/>
      <c r="U882" s="2539">
        <f t="shared" si="105"/>
        <v>0</v>
      </c>
      <c r="V882" s="2539">
        <v>50</v>
      </c>
      <c r="W882" s="2539">
        <f>IF(COUNTIF(PDs!$AD$56:$AD$74,Tablas!D882)&gt;0,1,0)</f>
        <v>0</v>
      </c>
      <c r="X882" s="2539" t="str">
        <f>IF(OR(NOT(OR($W$829=1,$W$859=1)),Y882&lt;200,Medicina_final="-"),"NO",IF(OR(Medicina_final&gt;=100,AND(PDs!I149="Anatomía",Medicina_final&gt;=60)),"-","NO"))</f>
        <v>NO</v>
      </c>
      <c r="Y882" s="2681">
        <f t="array" ref="Y882">HA_final-PDs!$X$22+MIN(PDs!$X$22+H$896-H882,50)+MAX(S$806:S881*$W$806:$W881,S883:S$895*$W883:$W$895)</f>
        <v>-10</v>
      </c>
      <c r="Z882" s="2603">
        <f t="array" ref="Z882">HE_final-PDs!$X$24+MIN(PDs!$X$24+I$896-I882,50)+MAX(T$806:T881*$W$806:$W881,T883:T$895*$W883:$W$895)</f>
        <v>0</v>
      </c>
      <c r="AA882" s="1884">
        <f t="array" ref="AA882">HP_final-PDs!$X$23+MIN(PDs!$X$23+J$896-J882,50)+MAX(T$806:T881*$W$806:$W881,T883:T$895*$W883:$W$895)</f>
        <v>0</v>
      </c>
    </row>
    <row r="883" spans="1:27" ht="12.75" customHeight="1" x14ac:dyDescent="0.2">
      <c r="A883" s="1916">
        <v>883</v>
      </c>
      <c r="B883" s="5148"/>
      <c r="C883" s="1691"/>
      <c r="D883" s="426" t="s">
        <v>1272</v>
      </c>
      <c r="E883" s="2539">
        <v>0</v>
      </c>
      <c r="F883" s="2539"/>
      <c r="G883" s="2539">
        <v>15</v>
      </c>
      <c r="H883" s="2539"/>
      <c r="I883" s="2539"/>
      <c r="J883" s="2539"/>
      <c r="K883" s="2539"/>
      <c r="L883" s="2408" t="s">
        <v>1273</v>
      </c>
      <c r="M883" s="447"/>
      <c r="N883" s="447"/>
      <c r="O883" s="447"/>
      <c r="P883" s="447"/>
      <c r="Q883" s="2539"/>
      <c r="R883" s="2539"/>
      <c r="S883" s="2539">
        <v>20</v>
      </c>
      <c r="T883" s="2539"/>
      <c r="U883" s="2539">
        <f t="shared" si="105"/>
        <v>0</v>
      </c>
      <c r="V883" s="2539">
        <v>50</v>
      </c>
      <c r="W883" s="2539">
        <f>IF(COUNTIF(PDs!$AD$56:$AD$74,Tablas!D883)&gt;0,1,0)</f>
        <v>0</v>
      </c>
      <c r="X883" s="2539" t="str">
        <f>IF(OR(NOT(OR(W830=1,W860=1)),Y883&lt;300,Medicina_final="-",$W$882=0,NOT(Inhumanidad)),"NO",IF(OR(Medicina_final&gt;=120,AND(PDs!I149="Anatomía",Medicina_final&gt;=80)),"-","NO"))</f>
        <v>NO</v>
      </c>
      <c r="Y883" s="2681">
        <f t="array" ref="Y883">HA_final-PDs!$X$22+MIN(PDs!$X$22+H$896-H883,50)+MAX(S$806:S882*$W$806:$W882,S884:S$895*$W884:$W$895)</f>
        <v>0</v>
      </c>
      <c r="Z883" s="2603">
        <f t="array" ref="Z883">HE_final-PDs!$X$24+MIN(PDs!$X$24+I$896-I883,50)+MAX(T$806:T882*$W$806:$W882,T884:T$895*$W884:$W$895)</f>
        <v>0</v>
      </c>
      <c r="AA883" s="1884">
        <f t="array" ref="AA883">HP_final-PDs!$X$23+MIN(PDs!$X$23+J$896-J883,50)+MAX(T$806:T882*$W$806:$W882,T884:T$895*$W884:$W$895)</f>
        <v>0</v>
      </c>
    </row>
    <row r="884" spans="1:27" ht="12.75" customHeight="1" x14ac:dyDescent="0.2">
      <c r="A884" s="1916">
        <v>884</v>
      </c>
      <c r="B884" s="5148"/>
      <c r="C884" s="1691"/>
      <c r="D884" s="426" t="s">
        <v>1274</v>
      </c>
      <c r="E884" s="2539">
        <v>0</v>
      </c>
      <c r="F884" s="2539"/>
      <c r="G884" s="2539">
        <v>10</v>
      </c>
      <c r="H884" s="2539"/>
      <c r="I884" s="2539">
        <v>10</v>
      </c>
      <c r="J884" s="2539">
        <v>10</v>
      </c>
      <c r="K884" s="2539"/>
      <c r="L884" s="2408" t="s">
        <v>1275</v>
      </c>
      <c r="M884" s="447"/>
      <c r="N884" s="447"/>
      <c r="O884" s="447"/>
      <c r="P884" s="447"/>
      <c r="Q884" s="2539"/>
      <c r="R884" s="2539"/>
      <c r="S884" s="2539"/>
      <c r="T884" s="2539"/>
      <c r="U884" s="2539">
        <f t="shared" si="105"/>
        <v>0</v>
      </c>
      <c r="V884" s="2539">
        <v>50</v>
      </c>
      <c r="W884" s="2539">
        <f>IF(COUNTIF(PDs!$AD$56:$AD$74,Tablas!D884)&gt;0,1,0)</f>
        <v>0</v>
      </c>
      <c r="X884" s="2539" t="str">
        <f>IF(OR(NOT(OR($W$838=1,$W$835=1)),NOT(Inhumanidad),MAX(Z884,AA884)&lt;200),"NO","-")</f>
        <v>NO</v>
      </c>
      <c r="Y884" s="2681">
        <f t="array" ref="Y884">HA_final-PDs!$X$22+MIN(PDs!$X$22+H$896-H884,50)+MAX(S$806:S883*$W$806:$W883,S885:S$895*$W885:$W$895)</f>
        <v>0</v>
      </c>
      <c r="Z884" s="2603">
        <f t="array" ref="Z884">HE_final-PDs!$X$24+MIN(PDs!$X$24+I$896-I884,50)+MAX(T$806:T883*$W$806:$W883,T885:T$895*$W885:$W$895)</f>
        <v>-10</v>
      </c>
      <c r="AA884" s="1884">
        <f t="array" ref="AA884">HP_final-PDs!$X$23+MIN(PDs!$X$23+J$896-J884,50)+MAX(T$806:T883*$W$806:$W883,T885:T$895*$W885:$W$895)</f>
        <v>-10</v>
      </c>
    </row>
    <row r="885" spans="1:27" ht="12.75" customHeight="1" x14ac:dyDescent="0.2">
      <c r="A885" s="1916">
        <v>885</v>
      </c>
      <c r="B885" s="5148"/>
      <c r="C885" s="1691"/>
      <c r="D885" s="426" t="s">
        <v>1276</v>
      </c>
      <c r="E885" s="2539">
        <v>0</v>
      </c>
      <c r="F885" s="2539"/>
      <c r="G885" s="2539">
        <v>20</v>
      </c>
      <c r="H885" s="2539"/>
      <c r="I885" s="2539"/>
      <c r="J885" s="2539"/>
      <c r="K885" s="2539"/>
      <c r="L885" s="2408" t="s">
        <v>1277</v>
      </c>
      <c r="M885" s="447"/>
      <c r="N885" s="447"/>
      <c r="O885" s="447"/>
      <c r="P885" s="447"/>
      <c r="Q885" s="2539"/>
      <c r="R885" s="2539"/>
      <c r="S885" s="2539"/>
      <c r="T885" s="2539">
        <v>20</v>
      </c>
      <c r="U885" s="2539">
        <f t="shared" si="105"/>
        <v>0</v>
      </c>
      <c r="V885" s="2539">
        <v>50</v>
      </c>
      <c r="W885" s="2539">
        <f>IF(COUNTIF(PDs!$AD$56:$AD$74,Tablas!D885)&gt;0,1,0)</f>
        <v>0</v>
      </c>
      <c r="X885" s="2539" t="str">
        <f>IF(OR(NOT(OR($W$839=1,$W$836=1)),NOT(Zen),MAX(Z885,AA885)&lt;300,$W$884=0),"NO","-")</f>
        <v>NO</v>
      </c>
      <c r="Y885" s="2681">
        <f t="array" ref="Y885">HA_final-PDs!$X$22+MIN(PDs!$X$22+H$896-H885,50)+MAX(S$806:S884*$W$806:$W884,S886:S$895*$W886:$W$895)</f>
        <v>0</v>
      </c>
      <c r="Z885" s="2603">
        <f t="array" ref="Z885">HE_final-PDs!$X$24+MIN(PDs!$X$24+I$896-I885,50)+MAX(T$806:T884*$W$806:$W884,T886:T$895*$W886:$W$895)</f>
        <v>0</v>
      </c>
      <c r="AA885" s="1884">
        <f t="array" ref="AA885">HP_final-PDs!$X$23+MIN(PDs!$X$23+J$896-J885,50)+MAX(T$806:T884*$W$806:$W884,T886:T$895*$W886:$W$895)</f>
        <v>0</v>
      </c>
    </row>
    <row r="886" spans="1:27" ht="12.75" customHeight="1" x14ac:dyDescent="0.2">
      <c r="A886" s="1916">
        <v>886</v>
      </c>
      <c r="B886" s="5148"/>
      <c r="C886" s="1691"/>
      <c r="D886" s="426" t="s">
        <v>1278</v>
      </c>
      <c r="E886" s="2539">
        <v>0</v>
      </c>
      <c r="F886" s="2539"/>
      <c r="G886" s="2539">
        <v>10</v>
      </c>
      <c r="H886" s="2539"/>
      <c r="I886" s="2539">
        <v>20</v>
      </c>
      <c r="J886" s="2539">
        <v>20</v>
      </c>
      <c r="K886" s="2539"/>
      <c r="L886" s="146" t="s">
        <v>1279</v>
      </c>
      <c r="M886" s="161"/>
      <c r="N886" s="161"/>
      <c r="O886" s="447"/>
      <c r="P886" s="161"/>
      <c r="Q886" s="2539"/>
      <c r="R886" s="2539"/>
      <c r="S886" s="2539"/>
      <c r="T886" s="2539"/>
      <c r="U886" s="2539">
        <f t="shared" si="105"/>
        <v>0</v>
      </c>
      <c r="V886" s="2539">
        <v>50</v>
      </c>
      <c r="W886" s="2539">
        <f>IF(COUNTIF(PDs!$AD$56:$AD$74,Tablas!D886)&gt;0,1,0)</f>
        <v>0</v>
      </c>
      <c r="X886" s="2539" t="str">
        <f>IF(OR(MAX(Z886,AA886)&lt;200,$W$808=0),"NO","-")</f>
        <v>NO</v>
      </c>
      <c r="Y886" s="2681">
        <f t="array" ref="Y886">HA_final-PDs!$X$22+MIN(PDs!$X$22+H$896-H886,50)+MAX(S$806:S885*$W$806:$W885,S887:S$895*$W887:$W$895)</f>
        <v>0</v>
      </c>
      <c r="Z886" s="2603">
        <f t="array" ref="Z886">HE_final-PDs!$X$24+MIN(PDs!$X$24+I$896-I886,50)+MAX(T$806:T885*$W$806:$W885,T887:T$895*$W887:$W$895)</f>
        <v>-20</v>
      </c>
      <c r="AA886" s="1884">
        <f t="array" ref="AA886">HP_final-PDs!$X$23+MIN(PDs!$X$23+J$896-J886,50)+MAX(T$806:T885*$W$806:$W885,T887:T$895*$W887:$W$895)</f>
        <v>-20</v>
      </c>
    </row>
    <row r="887" spans="1:27" ht="12.75" customHeight="1" x14ac:dyDescent="0.2">
      <c r="A887" s="1916">
        <v>887</v>
      </c>
      <c r="B887" s="5148"/>
      <c r="C887" s="1691"/>
      <c r="D887" s="426" t="s">
        <v>1280</v>
      </c>
      <c r="E887" s="2539">
        <v>0</v>
      </c>
      <c r="F887" s="2539"/>
      <c r="G887" s="2539">
        <v>10</v>
      </c>
      <c r="H887" s="2539"/>
      <c r="I887" s="2539"/>
      <c r="J887" s="2539"/>
      <c r="K887" s="2539"/>
      <c r="L887" s="2408" t="s">
        <v>1281</v>
      </c>
      <c r="M887" s="447"/>
      <c r="N887" s="447"/>
      <c r="O887" s="447"/>
      <c r="P887" s="447"/>
      <c r="Q887" s="2539"/>
      <c r="R887" s="2539"/>
      <c r="S887" s="2539"/>
      <c r="T887" s="2539">
        <v>20</v>
      </c>
      <c r="U887" s="2539">
        <f t="shared" si="105"/>
        <v>0</v>
      </c>
      <c r="V887" s="2539">
        <v>50</v>
      </c>
      <c r="W887" s="2539">
        <f>IF(COUNTIF(PDs!$AD$56:$AD$74,Tablas!D887)&gt;0,1,0)</f>
        <v>0</v>
      </c>
      <c r="X887" s="2539" t="str">
        <f>IF(OR(MAX(Z887,AA887)&lt;300,$W$809=0,$W$886=0,NOT(Inhumanidad)),"NO","-")</f>
        <v>NO</v>
      </c>
      <c r="Y887" s="2681">
        <f t="array" ref="Y887">HA_final-PDs!$X$22+MIN(PDs!$X$22+H$896-H887,50)+MAX(S$806:S886*$W$806:$W886,S888:S$895*$W888:$W$895)</f>
        <v>0</v>
      </c>
      <c r="Z887" s="2603">
        <f t="array" ref="Z887">HE_final-PDs!$X$24+MIN(PDs!$X$24+I$896-I887,50)+MAX(T$806:T886*$W$806:$W886,T888:T$895*$W888:$W$895)</f>
        <v>0</v>
      </c>
      <c r="AA887" s="1884">
        <f t="array" ref="AA887">HP_final-PDs!$X$23+MIN(PDs!$X$23+J$896-J887,50)+MAX(T$806:T886*$W$806:$W886,T888:T$895*$W888:$W$895)</f>
        <v>0</v>
      </c>
    </row>
    <row r="888" spans="1:27" ht="12.75" customHeight="1" x14ac:dyDescent="0.2">
      <c r="A888" s="1916">
        <v>888</v>
      </c>
      <c r="B888" s="5148"/>
      <c r="C888" s="1691"/>
      <c r="D888" s="426" t="s">
        <v>1282</v>
      </c>
      <c r="E888" s="2539">
        <v>0</v>
      </c>
      <c r="F888" s="2539">
        <v>10</v>
      </c>
      <c r="G888" s="2539">
        <v>10</v>
      </c>
      <c r="H888" s="2539">
        <v>20</v>
      </c>
      <c r="I888" s="2539"/>
      <c r="J888" s="2539"/>
      <c r="K888" s="2539"/>
      <c r="L888" s="146" t="s">
        <v>1283</v>
      </c>
      <c r="M888" s="161"/>
      <c r="N888" s="161"/>
      <c r="O888" s="447"/>
      <c r="P888" s="161"/>
      <c r="Q888" s="2539"/>
      <c r="R888" s="2539"/>
      <c r="S888" s="2539"/>
      <c r="T888" s="2539"/>
      <c r="U888" s="2539">
        <f t="shared" si="105"/>
        <v>0</v>
      </c>
      <c r="V888" s="2539">
        <v>50</v>
      </c>
      <c r="W888" s="2539">
        <f>IF(COUNTIF(PDs!$AD$56:$AD$74,Tablas!D888)&gt;0,1,0)</f>
        <v>0</v>
      </c>
      <c r="X888" s="57" t="str">
        <f>IF(OR(NOT(OR($W$847=1,$W$823=1)),NOT(Extrusióndepresencia),Y888&lt;180),"NO","-")</f>
        <v>NO</v>
      </c>
      <c r="Y888" s="2681">
        <f t="array" ref="Y888">HA_final-PDs!$X$22+MIN(PDs!$X$22+H$896-H888,50)+MAX(S$806:S887*$W$806:$W887,S889:S$895*$W889:$W$895)</f>
        <v>-20</v>
      </c>
      <c r="Z888" s="2603">
        <f t="array" ref="Z888">HE_final-PDs!$X$24+MIN(PDs!$X$24+I$896-I888,50)+MAX(T$806:T887*$W$806:$W887,T889:T$895*$W889:$W$895)</f>
        <v>0</v>
      </c>
      <c r="AA888" s="1884">
        <f t="array" ref="AA888">HP_final-PDs!$X$23+MIN(PDs!$X$23+J$896-J888,50)+MAX(T$806:T887*$W$806:$W887,T889:T$895*$W889:$W$895)</f>
        <v>0</v>
      </c>
    </row>
    <row r="889" spans="1:27" ht="12.75" customHeight="1" x14ac:dyDescent="0.2">
      <c r="A889" s="1916">
        <v>889</v>
      </c>
      <c r="B889" s="5148"/>
      <c r="C889" s="1691"/>
      <c r="D889" s="426" t="s">
        <v>1284</v>
      </c>
      <c r="E889" s="2539">
        <v>0</v>
      </c>
      <c r="F889" s="2539"/>
      <c r="G889" s="2539">
        <v>10</v>
      </c>
      <c r="H889" s="2539"/>
      <c r="I889" s="2539"/>
      <c r="J889" s="2539"/>
      <c r="K889" s="2539"/>
      <c r="L889" s="2408" t="s">
        <v>1285</v>
      </c>
      <c r="M889" s="447"/>
      <c r="N889" s="447"/>
      <c r="O889" s="447"/>
      <c r="P889" s="447"/>
      <c r="Q889" s="2539"/>
      <c r="R889" s="2539"/>
      <c r="S889" s="2539">
        <v>20</v>
      </c>
      <c r="T889" s="2539"/>
      <c r="U889" s="2539">
        <f t="shared" si="105"/>
        <v>0</v>
      </c>
      <c r="V889" s="2539">
        <v>50</v>
      </c>
      <c r="W889" s="2539">
        <f>IF(COUNTIF(PDs!$AD$56:$AD$74,Tablas!D889)&gt;0,1,0)</f>
        <v>0</v>
      </c>
      <c r="X889" s="2539" t="str">
        <f>IF(OR(NOT(OR($W$848=1,$W$824=1)),$W$888=0,Y889&lt;300),"NO","-")</f>
        <v>NO</v>
      </c>
      <c r="Y889" s="2681">
        <f t="array" ref="Y889">HA_final-PDs!$X$22+MIN(PDs!$X$22+H$896-H889,50)+MAX(S$806:S888*$W$806:$W888,S890:S$895*$W890:$W$895)</f>
        <v>0</v>
      </c>
      <c r="Z889" s="2603">
        <f t="array" ref="Z889">HE_final-PDs!$X$24+MIN(PDs!$X$24+I$896-I889,50)+MAX(T$806:T888*$W$806:$W888,T890:T$895*$W890:$W$895)</f>
        <v>0</v>
      </c>
      <c r="AA889" s="1884">
        <f t="array" ref="AA889">HP_final-PDs!$X$23+MIN(PDs!$X$23+J$896-J889,50)+MAX(T$806:T888*$W$806:$W888,T890:T$895*$W890:$W$895)</f>
        <v>0</v>
      </c>
    </row>
    <row r="890" spans="1:27" ht="12.75" customHeight="1" x14ac:dyDescent="0.2">
      <c r="A890" s="1916">
        <v>890</v>
      </c>
      <c r="B890" s="5148"/>
      <c r="C890" s="1691"/>
      <c r="D890" s="426" t="s">
        <v>1286</v>
      </c>
      <c r="E890" s="2539">
        <v>0</v>
      </c>
      <c r="F890" s="2539"/>
      <c r="G890" s="2539">
        <v>10</v>
      </c>
      <c r="H890" s="2539"/>
      <c r="I890" s="2539">
        <v>20</v>
      </c>
      <c r="J890" s="2539">
        <v>20</v>
      </c>
      <c r="K890" s="2539"/>
      <c r="L890" s="146" t="s">
        <v>1287</v>
      </c>
      <c r="M890" s="161"/>
      <c r="N890" s="161"/>
      <c r="O890" s="447"/>
      <c r="P890" s="161"/>
      <c r="Q890" s="2539"/>
      <c r="R890" s="2539"/>
      <c r="S890" s="2539"/>
      <c r="T890" s="2539"/>
      <c r="U890" s="2539">
        <f t="shared" si="105"/>
        <v>0</v>
      </c>
      <c r="V890" s="2539">
        <v>50</v>
      </c>
      <c r="W890" s="2539">
        <f>IF(COUNTIF(PDs!$AD$56:$AD$74,Tablas!D890)&gt;0,1,0)</f>
        <v>0</v>
      </c>
      <c r="X890" s="57" t="str">
        <f>IF(OR(NOT(OR($W$808=1,$W$826=1)),NOT(UsodelKi),MAX(AA890,Z890)&lt;200),"NO","-")</f>
        <v>NO</v>
      </c>
      <c r="Y890" s="2681">
        <f t="array" ref="Y890">HA_final-PDs!$X$22+MIN(PDs!$X$22+H$896-H890,50)+MAX(S$806:S889*$W$806:$W889,S891:S$895*$W891:$W$895)</f>
        <v>0</v>
      </c>
      <c r="Z890" s="2603">
        <f t="array" ref="Z890">HE_final-PDs!$X$24+MIN(PDs!$X$24+I$896-I890,50)+MAX(T$806:T889*$W$806:$W889,T891:T$895*$W891:$W$895)</f>
        <v>-20</v>
      </c>
      <c r="AA890" s="1884">
        <f t="array" ref="AA890">HP_final-PDs!$X$23+MIN(PDs!$X$23+J$896-J890,50)+MAX(T$806:T889*$W$806:$W889,T891:T$895*$W891:$W$895)</f>
        <v>-20</v>
      </c>
    </row>
    <row r="891" spans="1:27" ht="12.75" customHeight="1" x14ac:dyDescent="0.2">
      <c r="A891" s="1916">
        <v>891</v>
      </c>
      <c r="B891" s="5148"/>
      <c r="C891" s="1691"/>
      <c r="D891" s="426" t="s">
        <v>1288</v>
      </c>
      <c r="E891" s="2539">
        <v>0</v>
      </c>
      <c r="F891" s="2539"/>
      <c r="G891" s="2539">
        <v>10</v>
      </c>
      <c r="H891" s="2539"/>
      <c r="I891" s="2539"/>
      <c r="J891" s="2539"/>
      <c r="K891" s="2539"/>
      <c r="L891" s="2408" t="s">
        <v>1289</v>
      </c>
      <c r="M891" s="447"/>
      <c r="N891" s="447"/>
      <c r="O891" s="447"/>
      <c r="P891" s="447"/>
      <c r="Q891" s="2539"/>
      <c r="R891" s="2539"/>
      <c r="S891" s="2539"/>
      <c r="T891" s="2539">
        <v>20</v>
      </c>
      <c r="U891" s="2539">
        <f t="shared" si="105"/>
        <v>0</v>
      </c>
      <c r="V891" s="2539">
        <v>50</v>
      </c>
      <c r="W891" s="2539">
        <f>IF(COUNTIF(PDs!$AD$56:$AD$74,Tablas!D891)&gt;0,1,0)</f>
        <v>0</v>
      </c>
      <c r="X891" s="57" t="str">
        <f>IF(OR(NOT(OR($W$809=1,$W$827=1)),MAX(Z891,AA891)&lt;300,$W$890=0),"NO","-")</f>
        <v>NO</v>
      </c>
      <c r="Y891" s="2681">
        <f t="array" ref="Y891">HA_final-PDs!$X$22+MIN(PDs!$X$22+H$896-H891,50)+MAX(S$806:S890*$W$806:$W890,S892:S$895*$W892:$W$895)</f>
        <v>0</v>
      </c>
      <c r="Z891" s="2603">
        <f t="array" ref="Z891">HE_final-PDs!$X$24+MIN(PDs!$X$24+I$896-I891,50)+MAX(T$806:T890*$W$806:$W890,T892:T$895*$W892:$W$895)</f>
        <v>0</v>
      </c>
      <c r="AA891" s="1884">
        <f t="array" ref="AA891">HP_final-PDs!$X$23+MIN(PDs!$X$23+J$896-J891,50)+MAX(T$806:T890*$W$806:$W890,T892:T$895*$W892:$W$895)</f>
        <v>0</v>
      </c>
    </row>
    <row r="892" spans="1:27" ht="12.75" customHeight="1" x14ac:dyDescent="0.2">
      <c r="A892" s="1916">
        <v>892</v>
      </c>
      <c r="B892" s="5148"/>
      <c r="C892" s="1691"/>
      <c r="D892" s="426" t="s">
        <v>1290</v>
      </c>
      <c r="E892" s="2539">
        <v>0</v>
      </c>
      <c r="F892" s="2539"/>
      <c r="G892" s="2539">
        <v>15</v>
      </c>
      <c r="H892" s="2539">
        <v>10</v>
      </c>
      <c r="I892" s="2539"/>
      <c r="J892" s="2539"/>
      <c r="K892" s="2539"/>
      <c r="L892" s="2408" t="s">
        <v>1291</v>
      </c>
      <c r="M892" s="447"/>
      <c r="N892" s="447"/>
      <c r="O892" s="447"/>
      <c r="P892" s="447"/>
      <c r="Q892" s="2539"/>
      <c r="R892" s="2539"/>
      <c r="S892" s="2539"/>
      <c r="T892" s="2539"/>
      <c r="U892" s="2539">
        <f t="shared" si="105"/>
        <v>0</v>
      </c>
      <c r="V892" s="2539">
        <v>50</v>
      </c>
      <c r="W892" s="2539">
        <f>IF(COUNTIF(PDs!$AD$56:$AD$74,Tablas!D892)&gt;0,1,0)</f>
        <v>0</v>
      </c>
      <c r="X892" s="57" t="str">
        <f>IF(OR(Y892&lt;200,$W$856=0,NOT(Extrusióndepresencia)),"NO","-")</f>
        <v>NO</v>
      </c>
      <c r="Y892" s="2681">
        <f t="array" ref="Y892">HA_final-PDs!$X$22+MIN(PDs!$X$22+H$896-H892,50)+MAX(S$806:S891*$W$806:$W891,S893:S$895*$W893:$W$895)</f>
        <v>-10</v>
      </c>
      <c r="Z892" s="2603">
        <f t="array" ref="Z892">HE_final-PDs!$X$24+MIN(PDs!$X$24+I$896-I892,50)+MAX(T$806:T891*$W$806:$W891,T893:T$895*$W893:$W$895)</f>
        <v>0</v>
      </c>
      <c r="AA892" s="1884">
        <f t="array" ref="AA892">HP_final-PDs!$X$23+MIN(PDs!$X$23+J$896-J892,50)+MAX(T$806:T891*$W$806:$W891,T893:T$895*$W893:$W$895)</f>
        <v>0</v>
      </c>
    </row>
    <row r="893" spans="1:27" ht="12.75" customHeight="1" x14ac:dyDescent="0.2">
      <c r="A893" s="1916">
        <v>893</v>
      </c>
      <c r="B893" s="5148"/>
      <c r="C893" s="1691"/>
      <c r="D893" s="426" t="s">
        <v>1292</v>
      </c>
      <c r="E893" s="2539">
        <v>0</v>
      </c>
      <c r="F893" s="2539">
        <f>Bono_Pod</f>
        <v>0</v>
      </c>
      <c r="G893" s="2539">
        <v>20</v>
      </c>
      <c r="H893" s="2539"/>
      <c r="I893" s="2539"/>
      <c r="J893" s="2539"/>
      <c r="K893" s="2539"/>
      <c r="L893" s="2408" t="s">
        <v>1293</v>
      </c>
      <c r="M893" s="447"/>
      <c r="N893" s="447"/>
      <c r="O893" s="447"/>
      <c r="P893" s="447"/>
      <c r="Q893" s="2539"/>
      <c r="R893" s="2539"/>
      <c r="S893" s="2539">
        <v>15</v>
      </c>
      <c r="T893" s="2539"/>
      <c r="U893" s="2539">
        <f t="shared" si="105"/>
        <v>0</v>
      </c>
      <c r="V893" s="2539">
        <v>50</v>
      </c>
      <c r="W893" s="2539">
        <f>IF(COUNTIF(PDs!$AD$56:$AD$74,Tablas!D893)&gt;0,1,0)</f>
        <v>0</v>
      </c>
      <c r="X893" s="57" t="str">
        <f>IF(OR(Y893&lt;300,$W$857=0,$W$892=0,NOT(Inhumanidad)),"NO","-")</f>
        <v>NO</v>
      </c>
      <c r="Y893" s="2681">
        <f t="array" ref="Y893">HA_final-PDs!$X$22+MIN(PDs!$X$22+H$896-H893,50)+MAX(S$806:S892*$W$806:$W892,S894:S$895*$W894:$W$895)</f>
        <v>0</v>
      </c>
      <c r="Z893" s="2603">
        <f t="array" ref="Z893">HE_final-PDs!$X$24+MIN(PDs!$X$24+I$896-I893,50)+MAX(T$806:T892*$W$806:$W892,T894:T$895*$W894:$W$895)</f>
        <v>0</v>
      </c>
      <c r="AA893" s="1884">
        <f t="array" ref="AA893">HP_final-PDs!$X$23+MIN(PDs!$X$23+J$896-J893,50)+MAX(T$806:T892*$W$806:$W892,T894:T$895*$W894:$W$895)</f>
        <v>0</v>
      </c>
    </row>
    <row r="894" spans="1:27" ht="12.75" customHeight="1" x14ac:dyDescent="0.2">
      <c r="A894" s="1916">
        <v>894</v>
      </c>
      <c r="B894" s="5148"/>
      <c r="C894" s="1691"/>
      <c r="D894" s="426" t="s">
        <v>1294</v>
      </c>
      <c r="E894" s="2539">
        <v>0</v>
      </c>
      <c r="F894" s="2539"/>
      <c r="G894" s="2539">
        <v>20</v>
      </c>
      <c r="H894" s="2539"/>
      <c r="I894" s="2539">
        <v>20</v>
      </c>
      <c r="J894" s="2539">
        <v>20</v>
      </c>
      <c r="K894" s="2539"/>
      <c r="L894" s="2408" t="s">
        <v>1766</v>
      </c>
      <c r="M894" s="447"/>
      <c r="N894" s="447"/>
      <c r="O894" s="447"/>
      <c r="P894" s="447"/>
      <c r="Q894" s="2539" t="s">
        <v>1868</v>
      </c>
      <c r="R894" s="2539"/>
      <c r="S894" s="2539"/>
      <c r="T894" s="2539"/>
      <c r="U894" s="2539">
        <f t="shared" si="105"/>
        <v>0</v>
      </c>
      <c r="V894" s="2539">
        <v>50</v>
      </c>
      <c r="W894" s="2539">
        <f>IF(COUNTIF(PDs!$AD$56:$AD$74,Tablas!D894)&gt;0,1,0)</f>
        <v>0</v>
      </c>
      <c r="X894" s="2539" t="str">
        <f>IF(OR(NOT(OR($W$829=1,$W$856=1)),NOT(Extrusióndepresencia)),"NO","-")</f>
        <v>NO</v>
      </c>
      <c r="Y894" s="2681">
        <f t="array" ref="Y894">HA_final-PDs!$X$22+MIN(PDs!$X$22+H$896-H894,50)+MAX(S$806:S893*$W$806:$W893,S895:S$895*$W895:$W$895)</f>
        <v>0</v>
      </c>
      <c r="Z894" s="2603">
        <f t="array" ref="Z894">HE_final-PDs!$X$24+MIN(PDs!$X$24+I$896-I894,50)+MAX(T$806:T893*$W$806:$W893,T895:T$895*$W895:$W$895)</f>
        <v>-20</v>
      </c>
      <c r="AA894" s="1884">
        <f t="array" ref="AA894">HP_final-PDs!$X$23+MIN(PDs!$X$23+J$896-J894,50)+MAX(T$806:T893*$W$806:$W893,T895:T$895*$W895:$W$895)</f>
        <v>-20</v>
      </c>
    </row>
    <row r="895" spans="1:27" ht="12.75" customHeight="1" thickBot="1" x14ac:dyDescent="0.25">
      <c r="A895" s="1916">
        <v>895</v>
      </c>
      <c r="B895" s="5148"/>
      <c r="C895" s="1692"/>
      <c r="D895" s="2559" t="s">
        <v>1295</v>
      </c>
      <c r="E895" s="2561">
        <v>0</v>
      </c>
      <c r="F895" s="2561"/>
      <c r="G895" s="2561">
        <v>20</v>
      </c>
      <c r="H895" s="2561"/>
      <c r="I895" s="2684"/>
      <c r="J895" s="2561"/>
      <c r="K895" s="2561"/>
      <c r="L895" s="2685" t="s">
        <v>1296</v>
      </c>
      <c r="M895" s="2686"/>
      <c r="N895" s="2686"/>
      <c r="O895" s="2687"/>
      <c r="P895" s="2686"/>
      <c r="Q895" s="2561" t="s">
        <v>1868</v>
      </c>
      <c r="R895" s="2561"/>
      <c r="S895" s="2561"/>
      <c r="T895" s="2561">
        <v>15</v>
      </c>
      <c r="U895" s="2561">
        <f t="shared" si="105"/>
        <v>0</v>
      </c>
      <c r="V895" s="2561">
        <v>50</v>
      </c>
      <c r="W895" s="2561">
        <f>IF(COUNTIF(PDs!$AD$56:$AD$74,Tablas!D895)&gt;0,1,0)</f>
        <v>0</v>
      </c>
      <c r="X895" s="2561" t="str">
        <f>IF(OR(NOT(OR($W$830=1,$W$857=1)),Y895&lt;280,$W$894=0),"NO","-")</f>
        <v>NO</v>
      </c>
      <c r="Y895" s="2688">
        <f t="array" ref="Y895">HA_final-PDs!$X$22+MIN(PDs!$X$22+H$896-H895,50)+MAX(S$806:S894*$W$806:$W894)</f>
        <v>0</v>
      </c>
      <c r="Z895" s="2689">
        <f t="array" ref="Z895">HE_final-PDs!$X$24+MIN(PDs!$X$24+I$896-I895,50)+MAX(T$806:T894*$W$806:$W894)</f>
        <v>0</v>
      </c>
      <c r="AA895" s="2240">
        <f t="array" ref="AA895">HP_final-PDs!$X$23+MIN(PDs!$X$23+J$896-J895,50)+MAX(T$806:T894*$W$806:$W894)</f>
        <v>0</v>
      </c>
    </row>
    <row r="896" spans="1:27" ht="12.75" customHeight="1" thickBot="1" x14ac:dyDescent="0.25">
      <c r="A896" s="1916">
        <v>896</v>
      </c>
      <c r="B896" s="5148"/>
      <c r="F896" s="5345">
        <f>SUMPRODUCT($F$807:$F$895,$W$807:$W$895)</f>
        <v>0</v>
      </c>
      <c r="G896" s="5316" t="s">
        <v>1297</v>
      </c>
      <c r="H896" s="5318">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320">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318">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308">
        <f>Tablas!$K$862*Tablas!$W$862+Tablas!K811*Tablas!$W$811+Tablas!K810*Tablas!$W$810+Tablas!K812*Tablas!$W$812+Tablas!K867*Tablas!$W$867+Tablas!K866*Tablas!$W$866+Tablas!K875*Tablas!$W$875+Tablas!K874*Tablas!$W$874</f>
        <v>0</v>
      </c>
      <c r="N896" s="363"/>
      <c r="O896" s="1999"/>
      <c r="T896" s="5310" t="s">
        <v>1298</v>
      </c>
      <c r="U896" s="5312">
        <f>+MAX(Tablas!S863*Tablas!W863,Tablas!S865*Tablas!W865,Tablas!S867*Tablas!W867,Tablas!S869*Tablas!W869,Tablas!S871*Tablas!W871,Tablas!S873*Tablas!W873,Tablas!S875*Tablas!W875,Tablas!S877*Tablas!W877,Tablas!S881*Tablas!W881,Tablas!S883*Tablas!W883,Tablas!S889*Tablas!W889,Tablas!S893*Tablas!W893)</f>
        <v>0</v>
      </c>
      <c r="V896" s="5314">
        <f>+MAX(Tablas!T863*Tablas!W863,Tablas!T869*Tablas!W869,Tablas!T879*Tablas!W879,Tablas!T881*Tablas!W881,Tablas!T885*Tablas!W885,Tablas!T887*Tablas!W887,Tablas!T891*Tablas!W891,Tablas!T895*Tablas!W895)</f>
        <v>0</v>
      </c>
      <c r="W896" s="2682" t="s">
        <v>1134</v>
      </c>
    </row>
    <row r="897" spans="1:23" ht="12.75" customHeight="1" thickBot="1" x14ac:dyDescent="0.25">
      <c r="A897" s="1916">
        <v>897</v>
      </c>
      <c r="B897" s="5148"/>
      <c r="F897" s="5346"/>
      <c r="G897" s="5317"/>
      <c r="H897" s="5319"/>
      <c r="I897" s="5321"/>
      <c r="J897" s="5319"/>
      <c r="K897" s="5309"/>
      <c r="N897" s="363"/>
      <c r="O897" s="1999"/>
      <c r="T897" s="5311"/>
      <c r="U897" s="5313"/>
      <c r="V897" s="5315"/>
      <c r="W897" s="2358">
        <f>MAX(Tablas!$U$806:$U$895)</f>
        <v>0</v>
      </c>
    </row>
    <row r="898" spans="1:23" ht="12.75" customHeight="1" x14ac:dyDescent="0.2">
      <c r="A898" s="1916">
        <v>898</v>
      </c>
      <c r="B898" s="5148"/>
      <c r="H898" s="363"/>
      <c r="I898" s="1653"/>
      <c r="N898" s="363"/>
      <c r="O898" s="1999"/>
    </row>
    <row r="899" spans="1:23" ht="12.75" customHeight="1" thickBot="1" x14ac:dyDescent="0.25">
      <c r="A899" s="1916">
        <v>899</v>
      </c>
      <c r="B899" s="5148"/>
      <c r="H899" s="363"/>
      <c r="I899" s="1653"/>
      <c r="N899" s="363"/>
      <c r="O899" s="1999"/>
    </row>
    <row r="900" spans="1:23" ht="12.75" customHeight="1" thickBot="1" x14ac:dyDescent="0.25">
      <c r="A900" s="1916">
        <v>900</v>
      </c>
      <c r="B900" s="5148"/>
      <c r="C900" s="5138" t="s">
        <v>8849</v>
      </c>
      <c r="D900" s="5139"/>
      <c r="E900" s="5139"/>
      <c r="F900" s="5139"/>
      <c r="G900" s="5139"/>
      <c r="H900" s="5139"/>
      <c r="I900" s="5139"/>
      <c r="J900" s="5139"/>
      <c r="K900" s="5139"/>
      <c r="L900" s="5139"/>
      <c r="M900" s="5139"/>
      <c r="N900" s="5140"/>
      <c r="P900" s="5216" t="s">
        <v>2983</v>
      </c>
      <c r="Q900" s="5216"/>
      <c r="R900" s="5216"/>
      <c r="S900" s="5216"/>
      <c r="T900" s="5216"/>
      <c r="U900" s="5216"/>
      <c r="V900" s="5216"/>
      <c r="W900" s="5216"/>
    </row>
    <row r="901" spans="1:23" ht="12.75" customHeight="1" x14ac:dyDescent="0.2">
      <c r="A901" s="1916">
        <v>901</v>
      </c>
      <c r="B901" s="5148"/>
      <c r="C901" s="2470"/>
      <c r="D901" s="2392"/>
      <c r="E901" s="2392">
        <v>1</v>
      </c>
      <c r="F901" s="2392">
        <v>2</v>
      </c>
      <c r="G901" s="2392">
        <v>3</v>
      </c>
      <c r="H901" s="2392">
        <v>4</v>
      </c>
      <c r="I901" s="2392">
        <v>5</v>
      </c>
      <c r="J901" s="2392">
        <v>6</v>
      </c>
      <c r="K901" s="2392">
        <v>7</v>
      </c>
      <c r="L901" s="2392">
        <v>8</v>
      </c>
      <c r="M901" s="2392">
        <v>9</v>
      </c>
      <c r="N901" s="2471">
        <v>10</v>
      </c>
      <c r="P901" s="5216"/>
      <c r="Q901" s="5216"/>
      <c r="R901" s="5216"/>
      <c r="S901" s="5216"/>
      <c r="T901" s="5216"/>
      <c r="U901" s="5216"/>
      <c r="V901" s="5216"/>
      <c r="W901" s="5216"/>
    </row>
    <row r="902" spans="1:23" ht="12.75" customHeight="1" thickBot="1" x14ac:dyDescent="0.25">
      <c r="A902" s="1916">
        <v>902</v>
      </c>
      <c r="B902" s="5148"/>
      <c r="C902" s="2470"/>
      <c r="D902" s="2392"/>
      <c r="E902" s="2406" t="s">
        <v>2947</v>
      </c>
      <c r="F902" s="2472" t="s">
        <v>1801</v>
      </c>
      <c r="G902" s="2472" t="s">
        <v>2637</v>
      </c>
      <c r="H902" s="2472" t="s">
        <v>1130</v>
      </c>
      <c r="I902" s="458" t="s">
        <v>1861</v>
      </c>
      <c r="J902" s="458"/>
      <c r="K902" s="2392" t="s">
        <v>8850</v>
      </c>
      <c r="L902" s="2392" t="s">
        <v>8851</v>
      </c>
      <c r="M902" s="2392" t="s">
        <v>8852</v>
      </c>
      <c r="N902" s="2412" t="s">
        <v>8853</v>
      </c>
      <c r="P902" s="366"/>
      <c r="Q902" s="367"/>
      <c r="R902" s="367" t="s">
        <v>1751</v>
      </c>
      <c r="S902" s="367" t="s">
        <v>1801</v>
      </c>
      <c r="T902" s="451" t="s">
        <v>1861</v>
      </c>
      <c r="U902" s="367"/>
      <c r="V902" s="1737"/>
      <c r="W902" s="368"/>
    </row>
    <row r="903" spans="1:23" ht="12.75" customHeight="1" x14ac:dyDescent="0.2">
      <c r="A903" s="1916">
        <v>903</v>
      </c>
      <c r="B903" s="5148"/>
      <c r="C903" s="1691"/>
      <c r="D903" s="67"/>
      <c r="E903" s="426" t="s">
        <v>1135</v>
      </c>
      <c r="F903" s="213">
        <v>0</v>
      </c>
      <c r="G903" s="195"/>
      <c r="H903" s="195" t="s">
        <v>1766</v>
      </c>
      <c r="I903" s="195" t="s">
        <v>1766</v>
      </c>
      <c r="J903" s="67"/>
      <c r="K903" s="255"/>
      <c r="L903" s="67"/>
      <c r="M903" s="67"/>
      <c r="N903" s="1698"/>
      <c r="P903" s="65"/>
      <c r="Q903" s="67"/>
      <c r="R903" s="441" t="s">
        <v>2984</v>
      </c>
      <c r="S903" s="305">
        <v>30</v>
      </c>
      <c r="T903" s="19" t="s">
        <v>2985</v>
      </c>
      <c r="U903" s="67"/>
      <c r="V903" s="255"/>
      <c r="W903" s="68"/>
    </row>
    <row r="904" spans="1:23" ht="12.75" customHeight="1" x14ac:dyDescent="0.2">
      <c r="A904" s="1916">
        <v>904</v>
      </c>
      <c r="B904" s="5148"/>
      <c r="C904" s="2556"/>
      <c r="D904" s="67"/>
      <c r="E904" s="426" t="s">
        <v>1299</v>
      </c>
      <c r="F904" s="195">
        <v>40</v>
      </c>
      <c r="G904" s="195">
        <f>IF(COUNTIF(PDs!$E$75:$E$77,Tablas!E904)&gt;0,1,0)</f>
        <v>0</v>
      </c>
      <c r="H904" s="195" t="str">
        <f>IF(Tablas!W807=0,"NO","-")</f>
        <v>NO</v>
      </c>
      <c r="I904" s="67" t="s">
        <v>8855</v>
      </c>
      <c r="J904" s="67"/>
      <c r="K904" s="2468">
        <f t="shared" ref="K904:K921" si="106">$G904*SUMPRODUCT(H$806:H$895,--ISNUMBER(SEARCH($N904,$D$806:$D$895)),$W$806:$W$895)</f>
        <v>0</v>
      </c>
      <c r="L904" s="2468">
        <f t="shared" ref="L904:L921" si="107">$G904*SUMPRODUCT(I$806:I$895,--ISNUMBER(SEARCH($N904,$D$806:$D$895)),$W$806:$W$895)</f>
        <v>0</v>
      </c>
      <c r="M904" s="2468">
        <f t="shared" ref="M904:M921" si="108">$G904*SUMPRODUCT(J$806:J$895,--ISNUMBER(SEARCH($N904,$D$806:$D$895)),$W$806:$W$895)</f>
        <v>0</v>
      </c>
      <c r="N904" s="2557" t="s">
        <v>8724</v>
      </c>
      <c r="P904" s="65"/>
      <c r="Q904" s="67"/>
      <c r="R904" s="441" t="s">
        <v>2986</v>
      </c>
      <c r="S904" s="305">
        <v>50</v>
      </c>
      <c r="T904" s="19" t="s">
        <v>2987</v>
      </c>
      <c r="U904" s="67"/>
      <c r="V904" s="255"/>
      <c r="W904" s="68"/>
    </row>
    <row r="905" spans="1:23" ht="12.75" customHeight="1" x14ac:dyDescent="0.2">
      <c r="A905" s="1916">
        <v>905</v>
      </c>
      <c r="B905" s="5148"/>
      <c r="C905" s="2556"/>
      <c r="D905" s="67"/>
      <c r="E905" s="426" t="s">
        <v>1300</v>
      </c>
      <c r="F905" s="195">
        <v>10</v>
      </c>
      <c r="G905" s="195">
        <f>IF(COUNTIF(PDs!$E$75:$E$77,Tablas!E905)&gt;0,1,0)</f>
        <v>0</v>
      </c>
      <c r="H905" s="195" t="str">
        <f>IF(Tablas!W810=0,"NO","-")</f>
        <v>NO</v>
      </c>
      <c r="I905" s="67" t="s">
        <v>8856</v>
      </c>
      <c r="J905" s="67"/>
      <c r="K905" s="2468">
        <f t="shared" si="106"/>
        <v>0</v>
      </c>
      <c r="L905" s="2468">
        <f t="shared" si="107"/>
        <v>0</v>
      </c>
      <c r="M905" s="2468">
        <f t="shared" si="108"/>
        <v>0</v>
      </c>
      <c r="N905" s="2557" t="s">
        <v>8725</v>
      </c>
      <c r="P905" s="65"/>
      <c r="Q905" s="67"/>
      <c r="R905" s="441" t="s">
        <v>2988</v>
      </c>
      <c r="S905" s="305">
        <v>50</v>
      </c>
      <c r="T905" s="19" t="s">
        <v>2989</v>
      </c>
      <c r="U905" s="67"/>
      <c r="V905" s="255"/>
      <c r="W905" s="68"/>
    </row>
    <row r="906" spans="1:23" ht="12.75" customHeight="1" x14ac:dyDescent="0.2">
      <c r="A906" s="1916">
        <v>906</v>
      </c>
      <c r="B906" s="5148"/>
      <c r="C906" s="2556"/>
      <c r="D906" s="67"/>
      <c r="E906" s="426" t="s">
        <v>1301</v>
      </c>
      <c r="F906" s="195">
        <v>30</v>
      </c>
      <c r="G906" s="195">
        <f>IF(COUNTIF(PDs!$E$75:$E$77,Tablas!E906)&gt;0,1,0)</f>
        <v>0</v>
      </c>
      <c r="H906" s="195" t="str">
        <f>IF(Tablas!W813=0,"NO","-")</f>
        <v>NO</v>
      </c>
      <c r="I906" s="67" t="s">
        <v>8857</v>
      </c>
      <c r="J906" s="67"/>
      <c r="K906" s="2468">
        <f t="shared" si="106"/>
        <v>0</v>
      </c>
      <c r="L906" s="2468">
        <f t="shared" si="107"/>
        <v>0</v>
      </c>
      <c r="M906" s="2468">
        <f t="shared" si="108"/>
        <v>0</v>
      </c>
      <c r="N906" s="2557" t="s">
        <v>8726</v>
      </c>
      <c r="P906" s="65"/>
      <c r="Q906" s="67"/>
      <c r="R906" s="441" t="s">
        <v>2990</v>
      </c>
      <c r="S906" s="305">
        <v>40</v>
      </c>
      <c r="T906" s="19" t="s">
        <v>2991</v>
      </c>
      <c r="U906" s="67"/>
      <c r="V906" s="255"/>
      <c r="W906" s="68"/>
    </row>
    <row r="907" spans="1:23" ht="12.75" customHeight="1" x14ac:dyDescent="0.2">
      <c r="A907" s="1916">
        <v>907</v>
      </c>
      <c r="B907" s="5148"/>
      <c r="C907" s="2556"/>
      <c r="D907" s="67"/>
      <c r="E907" s="426" t="s">
        <v>1302</v>
      </c>
      <c r="F907" s="195">
        <v>10</v>
      </c>
      <c r="G907" s="195">
        <f>IF(COUNTIF(PDs!$E$75:$E$77,Tablas!E907)&gt;0,1,0)</f>
        <v>0</v>
      </c>
      <c r="H907" s="195" t="str">
        <f>IF(Tablas!W816=0,"NO","-")</f>
        <v>NO</v>
      </c>
      <c r="I907" s="67" t="s">
        <v>8858</v>
      </c>
      <c r="J907" s="67"/>
      <c r="K907" s="2468">
        <f t="shared" si="106"/>
        <v>0</v>
      </c>
      <c r="L907" s="2468">
        <f t="shared" si="107"/>
        <v>0</v>
      </c>
      <c r="M907" s="2468">
        <f t="shared" si="108"/>
        <v>0</v>
      </c>
      <c r="N907" s="2557" t="s">
        <v>8727</v>
      </c>
      <c r="P907" s="65"/>
      <c r="Q907" s="67"/>
      <c r="R907" s="441" t="s">
        <v>2992</v>
      </c>
      <c r="S907" s="305">
        <v>50</v>
      </c>
      <c r="T907" s="19" t="s">
        <v>1089</v>
      </c>
      <c r="U907" s="67"/>
      <c r="V907" s="255"/>
      <c r="W907" s="68"/>
    </row>
    <row r="908" spans="1:23" ht="12.75" customHeight="1" x14ac:dyDescent="0.2">
      <c r="A908" s="1916">
        <v>908</v>
      </c>
      <c r="B908" s="5148"/>
      <c r="C908" s="2556"/>
      <c r="D908" s="67"/>
      <c r="E908" s="426" t="s">
        <v>1303</v>
      </c>
      <c r="F908" s="195">
        <v>40</v>
      </c>
      <c r="G908" s="195">
        <f>IF(COUNTIF(PDs!$E$75:$E$77,Tablas!E908)&gt;0,1,0)</f>
        <v>0</v>
      </c>
      <c r="H908" s="195" t="str">
        <f>IF(Tablas!W819=0,"NO","-")</f>
        <v>NO</v>
      </c>
      <c r="I908" s="67" t="s">
        <v>8859</v>
      </c>
      <c r="J908" s="67"/>
      <c r="K908" s="2468">
        <f t="shared" si="106"/>
        <v>0</v>
      </c>
      <c r="L908" s="2468">
        <f t="shared" si="107"/>
        <v>0</v>
      </c>
      <c r="M908" s="2468">
        <f t="shared" si="108"/>
        <v>0</v>
      </c>
      <c r="N908" s="2557" t="s">
        <v>8728</v>
      </c>
      <c r="P908" s="65"/>
      <c r="Q908" s="67"/>
      <c r="R908" s="441" t="s">
        <v>1090</v>
      </c>
      <c r="S908" s="305">
        <v>30</v>
      </c>
      <c r="T908" s="19" t="s">
        <v>1091</v>
      </c>
      <c r="U908" s="67"/>
      <c r="V908" s="255"/>
      <c r="W908" s="68"/>
    </row>
    <row r="909" spans="1:23" ht="12.75" customHeight="1" x14ac:dyDescent="0.2">
      <c r="A909" s="1916">
        <v>909</v>
      </c>
      <c r="B909" s="5148"/>
      <c r="C909" s="2556"/>
      <c r="D909" s="67"/>
      <c r="E909" s="426" t="s">
        <v>1304</v>
      </c>
      <c r="F909" s="195">
        <v>10</v>
      </c>
      <c r="G909" s="195">
        <f>IF(COUNTIF(PDs!$E$75:$E$77,Tablas!E909)&gt;0,1,0)</f>
        <v>0</v>
      </c>
      <c r="H909" s="195" t="str">
        <f>IF(Tablas!W822=0,"NO","-")</f>
        <v>NO</v>
      </c>
      <c r="I909" s="67" t="s">
        <v>8860</v>
      </c>
      <c r="J909" s="67"/>
      <c r="K909" s="2468">
        <f t="shared" si="106"/>
        <v>0</v>
      </c>
      <c r="L909" s="2468">
        <f t="shared" si="107"/>
        <v>0</v>
      </c>
      <c r="M909" s="2468">
        <f t="shared" si="108"/>
        <v>0</v>
      </c>
      <c r="N909" s="2557" t="s">
        <v>8729</v>
      </c>
      <c r="P909" s="65"/>
      <c r="Q909" s="67"/>
      <c r="R909" s="441" t="s">
        <v>1092</v>
      </c>
      <c r="S909" s="305">
        <v>40</v>
      </c>
      <c r="T909" s="19" t="s">
        <v>1093</v>
      </c>
      <c r="U909" s="67"/>
      <c r="V909" s="255"/>
      <c r="W909" s="68"/>
    </row>
    <row r="910" spans="1:23" ht="12.75" customHeight="1" x14ac:dyDescent="0.2">
      <c r="A910" s="1916">
        <v>910</v>
      </c>
      <c r="B910" s="5148"/>
      <c r="C910" s="2556"/>
      <c r="D910" s="67"/>
      <c r="E910" s="426" t="s">
        <v>1305</v>
      </c>
      <c r="F910" s="195">
        <v>30</v>
      </c>
      <c r="G910" s="195">
        <f>IF(COUNTIF(PDs!$E$75:$E$77,Tablas!E910)&gt;0,1,0)</f>
        <v>0</v>
      </c>
      <c r="H910" s="195" t="str">
        <f>IF(Tablas!W825=0,"NO","-")</f>
        <v>NO</v>
      </c>
      <c r="I910" s="67" t="s">
        <v>8861</v>
      </c>
      <c r="J910" s="67"/>
      <c r="K910" s="2468">
        <f t="shared" si="106"/>
        <v>0</v>
      </c>
      <c r="L910" s="2468">
        <f t="shared" si="107"/>
        <v>0</v>
      </c>
      <c r="M910" s="2468">
        <f t="shared" si="108"/>
        <v>0</v>
      </c>
      <c r="N910" s="2557" t="s">
        <v>8730</v>
      </c>
      <c r="P910" s="65"/>
      <c r="Q910" s="67"/>
      <c r="R910" s="441" t="s">
        <v>1094</v>
      </c>
      <c r="S910" s="305">
        <v>40</v>
      </c>
      <c r="T910" s="19" t="s">
        <v>1095</v>
      </c>
      <c r="U910" s="67"/>
      <c r="V910" s="255"/>
      <c r="W910" s="68"/>
    </row>
    <row r="911" spans="1:23" ht="12.75" customHeight="1" x14ac:dyDescent="0.2">
      <c r="A911" s="1916">
        <v>911</v>
      </c>
      <c r="B911" s="5148"/>
      <c r="C911" s="2556"/>
      <c r="D911" s="67"/>
      <c r="E911" s="426" t="s">
        <v>1306</v>
      </c>
      <c r="F911" s="195">
        <v>60</v>
      </c>
      <c r="G911" s="195">
        <f>IF(COUNTIF(PDs!$E$75:$E$77,Tablas!E911)&gt;0,1,0)</f>
        <v>0</v>
      </c>
      <c r="H911" s="195" t="str">
        <f>IF(Tablas!W828=0,"NO","-")</f>
        <v>NO</v>
      </c>
      <c r="I911" s="67" t="s">
        <v>8862</v>
      </c>
      <c r="J911" s="67"/>
      <c r="K911" s="2468">
        <f t="shared" si="106"/>
        <v>0</v>
      </c>
      <c r="L911" s="2468">
        <f t="shared" si="107"/>
        <v>0</v>
      </c>
      <c r="M911" s="2468">
        <f t="shared" si="108"/>
        <v>0</v>
      </c>
      <c r="N911" s="2557" t="s">
        <v>8731</v>
      </c>
      <c r="P911" s="65"/>
      <c r="Q911" s="67"/>
      <c r="R911" s="441" t="s">
        <v>1096</v>
      </c>
      <c r="S911" s="305">
        <v>40</v>
      </c>
      <c r="T911" s="19" t="s">
        <v>1097</v>
      </c>
      <c r="U911" s="67"/>
      <c r="V911" s="255"/>
      <c r="W911" s="68"/>
    </row>
    <row r="912" spans="1:23" ht="12.75" customHeight="1" x14ac:dyDescent="0.2">
      <c r="A912" s="1916">
        <v>912</v>
      </c>
      <c r="B912" s="5148"/>
      <c r="C912" s="2556"/>
      <c r="D912" s="67"/>
      <c r="E912" s="426" t="s">
        <v>1307</v>
      </c>
      <c r="F912" s="195">
        <v>10</v>
      </c>
      <c r="G912" s="195">
        <f>IF(COUNTIF(PDs!$E$75:$E$77,Tablas!E912)&gt;0,1,0)</f>
        <v>0</v>
      </c>
      <c r="H912" s="195" t="str">
        <f>IF(Tablas!W831=0,"NO","-")</f>
        <v>NO</v>
      </c>
      <c r="I912" s="67" t="s">
        <v>8863</v>
      </c>
      <c r="J912" s="67"/>
      <c r="K912" s="2468">
        <f t="shared" si="106"/>
        <v>0</v>
      </c>
      <c r="L912" s="2468">
        <f t="shared" si="107"/>
        <v>0</v>
      </c>
      <c r="M912" s="2468">
        <f t="shared" si="108"/>
        <v>0</v>
      </c>
      <c r="N912" s="2557" t="s">
        <v>8732</v>
      </c>
      <c r="P912" s="65"/>
      <c r="Q912" s="67"/>
      <c r="R912" s="441" t="s">
        <v>1098</v>
      </c>
      <c r="S912" s="305">
        <v>50</v>
      </c>
      <c r="T912" s="19" t="s">
        <v>1099</v>
      </c>
      <c r="U912" s="67"/>
      <c r="V912" s="255"/>
      <c r="W912" s="68"/>
    </row>
    <row r="913" spans="1:23" ht="12.75" customHeight="1" x14ac:dyDescent="0.2">
      <c r="A913" s="1916">
        <v>913</v>
      </c>
      <c r="B913" s="5148"/>
      <c r="C913" s="2556"/>
      <c r="D913" s="67"/>
      <c r="E913" s="426" t="s">
        <v>1308</v>
      </c>
      <c r="F913" s="195">
        <v>20</v>
      </c>
      <c r="G913" s="195">
        <f>IF(COUNTIF(PDs!$E$75:$E$77,Tablas!E913)&gt;0,1,0)</f>
        <v>0</v>
      </c>
      <c r="H913" s="195" t="str">
        <f>IF(Tablas!W834=0,"NO","-")</f>
        <v>NO</v>
      </c>
      <c r="I913" s="67" t="s">
        <v>8864</v>
      </c>
      <c r="J913" s="67"/>
      <c r="K913" s="2468">
        <f t="shared" si="106"/>
        <v>0</v>
      </c>
      <c r="L913" s="2468">
        <f t="shared" si="107"/>
        <v>0</v>
      </c>
      <c r="M913" s="2468">
        <f t="shared" si="108"/>
        <v>0</v>
      </c>
      <c r="N913" s="2557" t="s">
        <v>8733</v>
      </c>
      <c r="P913" s="65"/>
      <c r="Q913" s="67"/>
      <c r="R913" s="441" t="s">
        <v>1100</v>
      </c>
      <c r="S913" s="305">
        <v>40</v>
      </c>
      <c r="T913" s="19" t="s">
        <v>1101</v>
      </c>
      <c r="U913" s="67"/>
      <c r="V913" s="255"/>
      <c r="W913" s="68"/>
    </row>
    <row r="914" spans="1:23" ht="12.75" customHeight="1" x14ac:dyDescent="0.2">
      <c r="A914" s="1916">
        <v>914</v>
      </c>
      <c r="B914" s="5148"/>
      <c r="C914" s="2556"/>
      <c r="D914" s="67"/>
      <c r="E914" s="426" t="s">
        <v>1309</v>
      </c>
      <c r="F914" s="195">
        <v>20</v>
      </c>
      <c r="G914" s="195">
        <f>IF(COUNTIF(PDs!$E$75:$E$77,Tablas!E914)&gt;0,1,0)</f>
        <v>0</v>
      </c>
      <c r="H914" s="195" t="str">
        <f>IF(Tablas!W837=0,"NO","-")</f>
        <v>NO</v>
      </c>
      <c r="I914" s="67" t="s">
        <v>8865</v>
      </c>
      <c r="J914" s="67"/>
      <c r="K914" s="2468">
        <f t="shared" si="106"/>
        <v>0</v>
      </c>
      <c r="L914" s="2468">
        <f t="shared" si="107"/>
        <v>0</v>
      </c>
      <c r="M914" s="2468">
        <f t="shared" si="108"/>
        <v>0</v>
      </c>
      <c r="N914" s="2557" t="s">
        <v>8734</v>
      </c>
      <c r="P914" s="65"/>
      <c r="Q914" s="67"/>
      <c r="R914" s="441" t="s">
        <v>1102</v>
      </c>
      <c r="S914" s="305">
        <v>40</v>
      </c>
      <c r="T914" s="19" t="s">
        <v>1103</v>
      </c>
      <c r="U914" s="67"/>
      <c r="V914" s="255"/>
      <c r="W914" s="68"/>
    </row>
    <row r="915" spans="1:23" ht="12.75" customHeight="1" x14ac:dyDescent="0.2">
      <c r="A915" s="1916">
        <v>915</v>
      </c>
      <c r="B915" s="5148"/>
      <c r="C915" s="2556"/>
      <c r="D915" s="67"/>
      <c r="E915" s="426" t="s">
        <v>1310</v>
      </c>
      <c r="F915" s="195">
        <v>20</v>
      </c>
      <c r="G915" s="195">
        <f>IF(COUNTIF(PDs!$E$75:$E$77,Tablas!E915)&gt;0,1,0)</f>
        <v>0</v>
      </c>
      <c r="H915" s="195" t="str">
        <f>IF(Tablas!W840=0,"NO","-")</f>
        <v>NO</v>
      </c>
      <c r="I915" s="67" t="s">
        <v>8866</v>
      </c>
      <c r="J915" s="67"/>
      <c r="K915" s="2468">
        <f t="shared" si="106"/>
        <v>0</v>
      </c>
      <c r="L915" s="2468">
        <f t="shared" si="107"/>
        <v>0</v>
      </c>
      <c r="M915" s="2468">
        <f t="shared" si="108"/>
        <v>0</v>
      </c>
      <c r="N915" s="2557" t="s">
        <v>8735</v>
      </c>
      <c r="P915" s="65"/>
      <c r="Q915" s="67"/>
      <c r="R915" s="441" t="s">
        <v>1104</v>
      </c>
      <c r="S915" s="305">
        <v>40</v>
      </c>
      <c r="T915" s="19" t="s">
        <v>1105</v>
      </c>
      <c r="U915" s="67"/>
      <c r="V915" s="255"/>
      <c r="W915" s="68"/>
    </row>
    <row r="916" spans="1:23" ht="12.75" customHeight="1" x14ac:dyDescent="0.2">
      <c r="A916" s="1916">
        <v>916</v>
      </c>
      <c r="B916" s="5148"/>
      <c r="C916" s="2556"/>
      <c r="D916" s="67"/>
      <c r="E916" s="426" t="s">
        <v>1311</v>
      </c>
      <c r="F916" s="195">
        <v>30</v>
      </c>
      <c r="G916" s="195">
        <f>IF(COUNTIF(PDs!$E$75:$E$77,Tablas!E916)&gt;0,1,0)</f>
        <v>0</v>
      </c>
      <c r="H916" s="195" t="str">
        <f>IF(Tablas!W843=0,"NO","-")</f>
        <v>NO</v>
      </c>
      <c r="I916" s="67" t="s">
        <v>8867</v>
      </c>
      <c r="J916" s="67"/>
      <c r="K916" s="2468">
        <f t="shared" si="106"/>
        <v>0</v>
      </c>
      <c r="L916" s="2468">
        <f t="shared" si="107"/>
        <v>0</v>
      </c>
      <c r="M916" s="2468">
        <f t="shared" si="108"/>
        <v>0</v>
      </c>
      <c r="N916" s="2557" t="s">
        <v>8736</v>
      </c>
      <c r="P916" s="65"/>
      <c r="Q916" s="67"/>
      <c r="R916" s="441" t="s">
        <v>1106</v>
      </c>
      <c r="S916" s="305">
        <v>20</v>
      </c>
      <c r="T916" s="19" t="s">
        <v>1107</v>
      </c>
      <c r="U916" s="67"/>
      <c r="V916" s="255"/>
      <c r="W916" s="68"/>
    </row>
    <row r="917" spans="1:23" ht="12.75" customHeight="1" x14ac:dyDescent="0.2">
      <c r="A917" s="1916">
        <v>917</v>
      </c>
      <c r="B917" s="5148"/>
      <c r="C917" s="2556"/>
      <c r="D917" s="67"/>
      <c r="E917" s="426" t="s">
        <v>1312</v>
      </c>
      <c r="F917" s="195">
        <v>20</v>
      </c>
      <c r="G917" s="195">
        <f>IF(COUNTIF(PDs!$E$75:$E$77,Tablas!E917)&gt;0,1,0)</f>
        <v>0</v>
      </c>
      <c r="H917" s="195" t="str">
        <f>IF(Tablas!W846=0,"NO","-")</f>
        <v>NO</v>
      </c>
      <c r="I917" s="67" t="s">
        <v>8868</v>
      </c>
      <c r="J917" s="67"/>
      <c r="K917" s="2468">
        <f t="shared" si="106"/>
        <v>0</v>
      </c>
      <c r="L917" s="2468">
        <f t="shared" si="107"/>
        <v>0</v>
      </c>
      <c r="M917" s="2468">
        <f t="shared" si="108"/>
        <v>0</v>
      </c>
      <c r="N917" s="2557" t="s">
        <v>8737</v>
      </c>
      <c r="P917" s="65"/>
      <c r="Q917" s="67"/>
      <c r="R917" s="441" t="s">
        <v>1108</v>
      </c>
      <c r="S917" s="305">
        <v>30</v>
      </c>
      <c r="T917" s="19" t="s">
        <v>1109</v>
      </c>
      <c r="U917" s="67"/>
      <c r="V917" s="255"/>
      <c r="W917" s="68"/>
    </row>
    <row r="918" spans="1:23" ht="12.75" customHeight="1" x14ac:dyDescent="0.2">
      <c r="A918" s="1916">
        <v>918</v>
      </c>
      <c r="B918" s="5148"/>
      <c r="C918" s="2556"/>
      <c r="D918" s="67"/>
      <c r="E918" s="426" t="s">
        <v>1313</v>
      </c>
      <c r="F918" s="195">
        <v>10</v>
      </c>
      <c r="G918" s="195">
        <f>IF(COUNTIF(PDs!$E$75:$E$77,Tablas!E918)&gt;0,1,0)</f>
        <v>0</v>
      </c>
      <c r="H918" s="195" t="str">
        <f>IF(Tablas!W849=0,"NO","-")</f>
        <v>NO</v>
      </c>
      <c r="I918" s="67" t="s">
        <v>8869</v>
      </c>
      <c r="J918" s="67"/>
      <c r="K918" s="2468">
        <f t="shared" si="106"/>
        <v>0</v>
      </c>
      <c r="L918" s="2468">
        <f t="shared" si="107"/>
        <v>0</v>
      </c>
      <c r="M918" s="2468">
        <f t="shared" si="108"/>
        <v>0</v>
      </c>
      <c r="N918" s="2557" t="s">
        <v>8738</v>
      </c>
      <c r="P918" s="65"/>
      <c r="Q918" s="67"/>
      <c r="R918" s="441" t="s">
        <v>1110</v>
      </c>
      <c r="S918" s="305">
        <v>20</v>
      </c>
      <c r="T918" s="19" t="s">
        <v>1111</v>
      </c>
      <c r="U918" s="67"/>
      <c r="V918" s="255"/>
      <c r="W918" s="68"/>
    </row>
    <row r="919" spans="1:23" ht="12.75" customHeight="1" x14ac:dyDescent="0.2">
      <c r="A919" s="1916">
        <v>919</v>
      </c>
      <c r="B919" s="5148"/>
      <c r="C919" s="2556"/>
      <c r="D919" s="67"/>
      <c r="E919" s="426" t="s">
        <v>1314</v>
      </c>
      <c r="F919" s="195">
        <v>40</v>
      </c>
      <c r="G919" s="195">
        <f>IF(COUNTIF(PDs!$E$75:$E$77,Tablas!E919)&gt;0,1,0)</f>
        <v>0</v>
      </c>
      <c r="H919" s="195" t="str">
        <f>IF(Tablas!W852=0,"NO","-")</f>
        <v>NO</v>
      </c>
      <c r="I919" s="67" t="s">
        <v>8870</v>
      </c>
      <c r="J919" s="67"/>
      <c r="K919" s="2468">
        <f t="shared" si="106"/>
        <v>0</v>
      </c>
      <c r="L919" s="2468">
        <f t="shared" si="107"/>
        <v>0</v>
      </c>
      <c r="M919" s="2468">
        <f t="shared" si="108"/>
        <v>0</v>
      </c>
      <c r="N919" s="2557" t="s">
        <v>8739</v>
      </c>
      <c r="P919" s="65"/>
      <c r="Q919" s="67"/>
      <c r="R919" s="441" t="s">
        <v>1112</v>
      </c>
      <c r="S919" s="305">
        <v>20</v>
      </c>
      <c r="T919" s="19" t="s">
        <v>1113</v>
      </c>
      <c r="U919" s="67"/>
      <c r="V919" s="255"/>
      <c r="W919" s="68"/>
    </row>
    <row r="920" spans="1:23" ht="12.75" customHeight="1" x14ac:dyDescent="0.2">
      <c r="A920" s="1916">
        <v>920</v>
      </c>
      <c r="B920" s="5148"/>
      <c r="C920" s="2556"/>
      <c r="D920" s="67"/>
      <c r="E920" s="426" t="s">
        <v>1315</v>
      </c>
      <c r="F920" s="195">
        <v>30</v>
      </c>
      <c r="G920" s="195">
        <f>IF(COUNTIF(PDs!$E$75:$E$77,Tablas!E920)&gt;0,1,0)</f>
        <v>0</v>
      </c>
      <c r="H920" s="195" t="str">
        <f>IF(Tablas!W855=0,"NO","-")</f>
        <v>NO</v>
      </c>
      <c r="I920" s="67" t="s">
        <v>8871</v>
      </c>
      <c r="J920" s="67"/>
      <c r="K920" s="2468">
        <f t="shared" si="106"/>
        <v>0</v>
      </c>
      <c r="L920" s="2468">
        <f t="shared" si="107"/>
        <v>0</v>
      </c>
      <c r="M920" s="2468">
        <f t="shared" si="108"/>
        <v>0</v>
      </c>
      <c r="N920" s="2557" t="s">
        <v>8740</v>
      </c>
      <c r="P920" s="65"/>
      <c r="Q920" s="67"/>
      <c r="R920" s="441" t="s">
        <v>1114</v>
      </c>
      <c r="S920" s="305">
        <v>40</v>
      </c>
      <c r="T920" s="19" t="s">
        <v>1115</v>
      </c>
      <c r="U920" s="67"/>
      <c r="V920" s="255"/>
      <c r="W920" s="68"/>
    </row>
    <row r="921" spans="1:23" ht="12.75" customHeight="1" x14ac:dyDescent="0.2">
      <c r="A921" s="1916">
        <v>921</v>
      </c>
      <c r="B921" s="5148"/>
      <c r="C921" s="2556"/>
      <c r="D921" s="67"/>
      <c r="E921" s="426" t="s">
        <v>1316</v>
      </c>
      <c r="F921" s="195">
        <v>40</v>
      </c>
      <c r="G921" s="195">
        <f>IF(COUNTIF(PDs!$E$75:$E$77,Tablas!E921)&gt;0,1,0)</f>
        <v>0</v>
      </c>
      <c r="H921" s="195" t="str">
        <f>IF(Tablas!W858=0,"NO","-")</f>
        <v>NO</v>
      </c>
      <c r="I921" s="67" t="s">
        <v>8872</v>
      </c>
      <c r="J921" s="67"/>
      <c r="K921" s="2468">
        <f t="shared" si="106"/>
        <v>0</v>
      </c>
      <c r="L921" s="2468">
        <f t="shared" si="107"/>
        <v>0</v>
      </c>
      <c r="M921" s="2468">
        <f t="shared" si="108"/>
        <v>0</v>
      </c>
      <c r="N921" s="2557" t="s">
        <v>8741</v>
      </c>
      <c r="P921" s="65"/>
      <c r="Q921" s="67"/>
      <c r="R921" s="441" t="s">
        <v>1116</v>
      </c>
      <c r="S921" s="305">
        <v>30</v>
      </c>
      <c r="T921" s="19" t="s">
        <v>1117</v>
      </c>
      <c r="U921" s="67"/>
      <c r="V921" s="255"/>
      <c r="W921" s="68"/>
    </row>
    <row r="922" spans="1:23" ht="12.75" customHeight="1" x14ac:dyDescent="0.2">
      <c r="A922" s="1916">
        <v>922</v>
      </c>
      <c r="B922" s="5148"/>
      <c r="C922" s="2556"/>
      <c r="D922" s="67"/>
      <c r="E922" s="426" t="s">
        <v>1232</v>
      </c>
      <c r="F922" s="213">
        <v>0</v>
      </c>
      <c r="G922" s="195"/>
      <c r="H922" s="195" t="s">
        <v>1766</v>
      </c>
      <c r="I922" s="195" t="s">
        <v>8500</v>
      </c>
      <c r="J922" s="67"/>
      <c r="K922" s="2468"/>
      <c r="L922" s="2468"/>
      <c r="M922" s="2468"/>
      <c r="N922" s="2557"/>
      <c r="P922" s="65"/>
      <c r="Q922" s="67"/>
      <c r="R922" s="441" t="s">
        <v>1118</v>
      </c>
      <c r="S922" s="305">
        <v>30</v>
      </c>
      <c r="T922" s="19" t="s">
        <v>1119</v>
      </c>
      <c r="U922" s="67"/>
      <c r="V922" s="255"/>
      <c r="W922" s="68"/>
    </row>
    <row r="923" spans="1:23" ht="12.75" customHeight="1" x14ac:dyDescent="0.2">
      <c r="A923" s="1916">
        <v>923</v>
      </c>
      <c r="B923" s="5148"/>
      <c r="C923" s="2556"/>
      <c r="D923" s="67"/>
      <c r="E923" s="426" t="s">
        <v>1317</v>
      </c>
      <c r="F923" s="195">
        <v>40</v>
      </c>
      <c r="G923" s="195">
        <f>IF(COUNTIF(PDs!$E$75:$E$77,Tablas!E923)&gt;0,1,0)</f>
        <v>0</v>
      </c>
      <c r="H923" s="195" t="str">
        <f>IF(Tablas!W866=0,"NO","-")</f>
        <v>NO</v>
      </c>
      <c r="I923" s="67" t="s">
        <v>8873</v>
      </c>
      <c r="J923" s="67"/>
      <c r="K923" s="2468">
        <f t="shared" ref="K923:K933" si="109">$G923*SUMPRODUCT(H$806:H$895,--ISNUMBER(SEARCH($N923,$D$806:$D$895)),$W$806:$W$895)</f>
        <v>0</v>
      </c>
      <c r="L923" s="2468">
        <f t="shared" ref="L923:L933" si="110">$G923*SUMPRODUCT(I$806:I$895,--ISNUMBER(SEARCH($N923,$D$806:$D$895)),$W$806:$W$895)</f>
        <v>0</v>
      </c>
      <c r="M923" s="2468">
        <f t="shared" ref="M923:M933" si="111">$G923*SUMPRODUCT(J$806:J$895,--ISNUMBER(SEARCH($N923,$D$806:$D$895)),$W$806:$W$895)</f>
        <v>0</v>
      </c>
      <c r="N923" s="2557" t="s">
        <v>8744</v>
      </c>
      <c r="P923" s="65"/>
      <c r="Q923" s="67"/>
      <c r="R923" s="441" t="s">
        <v>1120</v>
      </c>
      <c r="S923" s="305">
        <v>30</v>
      </c>
      <c r="T923" s="19" t="s">
        <v>1121</v>
      </c>
      <c r="U923" s="67"/>
      <c r="V923" s="255"/>
      <c r="W923" s="68"/>
    </row>
    <row r="924" spans="1:23" ht="12.75" customHeight="1" thickBot="1" x14ac:dyDescent="0.25">
      <c r="A924" s="1916">
        <v>924</v>
      </c>
      <c r="B924" s="5148"/>
      <c r="C924" s="2556"/>
      <c r="D924" s="67"/>
      <c r="E924" s="426" t="s">
        <v>1318</v>
      </c>
      <c r="F924" s="195">
        <v>10</v>
      </c>
      <c r="G924" s="195">
        <f>IF(COUNTIF(PDs!$E$75:$E$77,Tablas!E924)&gt;0,1,0)</f>
        <v>0</v>
      </c>
      <c r="H924" s="195" t="str">
        <f>IF(Tablas!W868=0,"NO","-")</f>
        <v>NO</v>
      </c>
      <c r="I924" s="67" t="s">
        <v>8874</v>
      </c>
      <c r="J924" s="67"/>
      <c r="K924" s="2468">
        <f t="shared" si="109"/>
        <v>0</v>
      </c>
      <c r="L924" s="2468">
        <f t="shared" si="110"/>
        <v>0</v>
      </c>
      <c r="M924" s="2468">
        <f t="shared" si="111"/>
        <v>0</v>
      </c>
      <c r="N924" s="2557" t="s">
        <v>8745</v>
      </c>
      <c r="P924" s="178"/>
      <c r="Q924" s="179"/>
      <c r="R924" s="442" t="s">
        <v>1122</v>
      </c>
      <c r="S924" s="384">
        <v>10</v>
      </c>
      <c r="T924" s="41" t="s">
        <v>1123</v>
      </c>
      <c r="U924" s="179"/>
      <c r="V924" s="1754"/>
      <c r="W924" s="180"/>
    </row>
    <row r="925" spans="1:23" ht="12.75" customHeight="1" x14ac:dyDescent="0.2">
      <c r="A925" s="1916">
        <v>925</v>
      </c>
      <c r="B925" s="5148"/>
      <c r="C925" s="2556"/>
      <c r="D925" s="67"/>
      <c r="E925" s="426" t="s">
        <v>1319</v>
      </c>
      <c r="F925" s="195">
        <v>20</v>
      </c>
      <c r="G925" s="195">
        <f>IF(COUNTIF(PDs!$E$75:$E$77,Tablas!E925)&gt;0,1,0)</f>
        <v>0</v>
      </c>
      <c r="H925" s="195" t="str">
        <f>IF(Tablas!W874=0,"NO","-")</f>
        <v>NO</v>
      </c>
      <c r="I925" s="67" t="s">
        <v>8875</v>
      </c>
      <c r="J925" s="67"/>
      <c r="K925" s="2468">
        <f t="shared" si="109"/>
        <v>0</v>
      </c>
      <c r="L925" s="2468">
        <f t="shared" si="110"/>
        <v>0</v>
      </c>
      <c r="M925" s="2468">
        <f t="shared" si="111"/>
        <v>0</v>
      </c>
      <c r="N925" s="2557" t="s">
        <v>8748</v>
      </c>
    </row>
    <row r="926" spans="1:23" ht="12.75" customHeight="1" x14ac:dyDescent="0.2">
      <c r="A926" s="1916">
        <v>926</v>
      </c>
      <c r="B926" s="5148"/>
      <c r="C926" s="2556"/>
      <c r="D926" s="67"/>
      <c r="E926" s="426" t="s">
        <v>1320</v>
      </c>
      <c r="F926" s="195">
        <v>20</v>
      </c>
      <c r="G926" s="195">
        <f>IF(COUNTIF(PDs!$E$75:$E$77,Tablas!E926)&gt;0,1,0)</f>
        <v>0</v>
      </c>
      <c r="H926" s="195" t="str">
        <f>IF(Tablas!W876=0,"NO","-")</f>
        <v>NO</v>
      </c>
      <c r="I926" s="67" t="s">
        <v>8876</v>
      </c>
      <c r="J926" s="67"/>
      <c r="K926" s="2468">
        <f t="shared" si="109"/>
        <v>0</v>
      </c>
      <c r="L926" s="2468">
        <f t="shared" si="110"/>
        <v>0</v>
      </c>
      <c r="M926" s="2468">
        <f t="shared" si="111"/>
        <v>0</v>
      </c>
      <c r="N926" s="2557" t="s">
        <v>8749</v>
      </c>
    </row>
    <row r="927" spans="1:23" ht="12.75" customHeight="1" x14ac:dyDescent="0.2">
      <c r="A927" s="1916">
        <v>927</v>
      </c>
      <c r="B927" s="5148"/>
      <c r="C927" s="2556"/>
      <c r="D927" s="67"/>
      <c r="E927" s="426" t="s">
        <v>1321</v>
      </c>
      <c r="F927" s="195">
        <v>20</v>
      </c>
      <c r="G927" s="195">
        <f>IF(COUNTIF(PDs!$E$75:$E$77,Tablas!E927)&gt;0,1,0)</f>
        <v>0</v>
      </c>
      <c r="H927" s="195" t="str">
        <f>IF(Tablas!W880=0,"NO","-")</f>
        <v>NO</v>
      </c>
      <c r="I927" s="67" t="s">
        <v>8877</v>
      </c>
      <c r="J927" s="67"/>
      <c r="K927" s="2468">
        <f t="shared" si="109"/>
        <v>0</v>
      </c>
      <c r="L927" s="2468">
        <f t="shared" si="110"/>
        <v>0</v>
      </c>
      <c r="M927" s="2468">
        <f t="shared" si="111"/>
        <v>0</v>
      </c>
      <c r="N927" s="2557" t="s">
        <v>8751</v>
      </c>
    </row>
    <row r="928" spans="1:23" ht="12.75" customHeight="1" x14ac:dyDescent="0.2">
      <c r="A928" s="1916">
        <v>928</v>
      </c>
      <c r="B928" s="5148"/>
      <c r="C928" s="2556"/>
      <c r="D928" s="67"/>
      <c r="E928" s="426" t="s">
        <v>1322</v>
      </c>
      <c r="F928" s="195">
        <v>10</v>
      </c>
      <c r="G928" s="195">
        <f>IF(COUNTIF(PDs!$E$75:$E$77,Tablas!E928)&gt;0,1,0)</f>
        <v>0</v>
      </c>
      <c r="H928" s="195" t="str">
        <f>IF(Tablas!W882=0,"NO","-")</f>
        <v>NO</v>
      </c>
      <c r="I928" s="67" t="s">
        <v>8878</v>
      </c>
      <c r="J928" s="67"/>
      <c r="K928" s="2468">
        <f t="shared" si="109"/>
        <v>0</v>
      </c>
      <c r="L928" s="2468">
        <f t="shared" si="110"/>
        <v>0</v>
      </c>
      <c r="M928" s="2468">
        <f t="shared" si="111"/>
        <v>0</v>
      </c>
      <c r="N928" s="2557" t="s">
        <v>8752</v>
      </c>
    </row>
    <row r="929" spans="1:18" ht="12.75" customHeight="1" x14ac:dyDescent="0.2">
      <c r="A929" s="1916">
        <v>929</v>
      </c>
      <c r="B929" s="5148"/>
      <c r="C929" s="2556"/>
      <c r="D929" s="67"/>
      <c r="E929" s="426" t="s">
        <v>1323</v>
      </c>
      <c r="F929" s="195">
        <v>40</v>
      </c>
      <c r="G929" s="195">
        <f>IF(COUNTIF(PDs!$E$75:$E$77,Tablas!E929)&gt;0,1,0)</f>
        <v>0</v>
      </c>
      <c r="H929" s="195" t="str">
        <f>IF(Tablas!W884=0,"NO","-")</f>
        <v>NO</v>
      </c>
      <c r="I929" s="67" t="s">
        <v>8879</v>
      </c>
      <c r="J929" s="67"/>
      <c r="K929" s="2468">
        <f t="shared" si="109"/>
        <v>0</v>
      </c>
      <c r="L929" s="2468">
        <f t="shared" si="110"/>
        <v>0</v>
      </c>
      <c r="M929" s="2468">
        <f t="shared" si="111"/>
        <v>0</v>
      </c>
      <c r="N929" s="2557" t="s">
        <v>8753</v>
      </c>
    </row>
    <row r="930" spans="1:18" ht="12.75" customHeight="1" x14ac:dyDescent="0.2">
      <c r="A930" s="1916">
        <v>930</v>
      </c>
      <c r="B930" s="5148"/>
      <c r="C930" s="2556"/>
      <c r="D930" s="67"/>
      <c r="E930" s="426" t="s">
        <v>1324</v>
      </c>
      <c r="F930" s="195">
        <v>40</v>
      </c>
      <c r="G930" s="195">
        <f>IF(COUNTIF(PDs!$E$75:$E$77,Tablas!E930)&gt;0,1,0)</f>
        <v>0</v>
      </c>
      <c r="H930" s="195" t="str">
        <f>IF(Tablas!W886=0,"NO","-")</f>
        <v>NO</v>
      </c>
      <c r="I930" s="67" t="s">
        <v>8880</v>
      </c>
      <c r="J930" s="67"/>
      <c r="K930" s="2468">
        <f t="shared" si="109"/>
        <v>0</v>
      </c>
      <c r="L930" s="2468">
        <f t="shared" si="110"/>
        <v>0</v>
      </c>
      <c r="M930" s="2468">
        <f t="shared" si="111"/>
        <v>0</v>
      </c>
      <c r="N930" s="2557" t="s">
        <v>8754</v>
      </c>
    </row>
    <row r="931" spans="1:18" ht="12.75" customHeight="1" x14ac:dyDescent="0.2">
      <c r="A931" s="1916">
        <v>931</v>
      </c>
      <c r="B931" s="5148"/>
      <c r="C931" s="2556"/>
      <c r="D931" s="67"/>
      <c r="E931" s="426" t="s">
        <v>1325</v>
      </c>
      <c r="F931" s="195">
        <v>30</v>
      </c>
      <c r="G931" s="195">
        <f>IF(COUNTIF(PDs!$E$75:$E$77,Tablas!E931)&gt;0,1,0)</f>
        <v>0</v>
      </c>
      <c r="H931" s="195" t="str">
        <f>IF(Tablas!W888=0,"NO","-")</f>
        <v>NO</v>
      </c>
      <c r="I931" s="67" t="s">
        <v>8881</v>
      </c>
      <c r="J931" s="67"/>
      <c r="K931" s="2468">
        <f t="shared" si="109"/>
        <v>0</v>
      </c>
      <c r="L931" s="2468">
        <f t="shared" si="110"/>
        <v>0</v>
      </c>
      <c r="M931" s="2468">
        <f t="shared" si="111"/>
        <v>0</v>
      </c>
      <c r="N931" s="2557" t="s">
        <v>8755</v>
      </c>
    </row>
    <row r="932" spans="1:18" ht="12.75" customHeight="1" x14ac:dyDescent="0.2">
      <c r="A932" s="1916">
        <v>932</v>
      </c>
      <c r="B932" s="5148"/>
      <c r="C932" s="2556"/>
      <c r="D932" s="67"/>
      <c r="E932" s="426" t="s">
        <v>1326</v>
      </c>
      <c r="F932" s="195">
        <v>20</v>
      </c>
      <c r="G932" s="195">
        <f>IF(COUNTIF(PDs!$E$75:$E$77,Tablas!E932)&gt;0,1,0)</f>
        <v>0</v>
      </c>
      <c r="H932" s="195" t="str">
        <f>IF(Tablas!W890=0,"NO","-")</f>
        <v>NO</v>
      </c>
      <c r="I932" s="67" t="s">
        <v>8882</v>
      </c>
      <c r="J932" s="67"/>
      <c r="K932" s="2468">
        <f t="shared" si="109"/>
        <v>0</v>
      </c>
      <c r="L932" s="2468">
        <f t="shared" si="110"/>
        <v>0</v>
      </c>
      <c r="M932" s="2468">
        <f t="shared" si="111"/>
        <v>0</v>
      </c>
      <c r="N932" s="2557" t="s">
        <v>8756</v>
      </c>
    </row>
    <row r="933" spans="1:18" ht="12.75" customHeight="1" thickBot="1" x14ac:dyDescent="0.25">
      <c r="A933" s="1916">
        <v>933</v>
      </c>
      <c r="B933" s="5148"/>
      <c r="C933" s="2558"/>
      <c r="D933" s="1693"/>
      <c r="E933" s="2559" t="s">
        <v>1327</v>
      </c>
      <c r="F933" s="2560">
        <v>20</v>
      </c>
      <c r="G933" s="2560">
        <f>IF(COUNTIF(PDs!$E$75:$E$77,Tablas!E933)&gt;0,1,0)</f>
        <v>0</v>
      </c>
      <c r="H933" s="2560" t="str">
        <f>IF(Tablas!W892=0,"NO","-")</f>
        <v>NO</v>
      </c>
      <c r="I933" s="1693" t="s">
        <v>8883</v>
      </c>
      <c r="J933" s="1693"/>
      <c r="K933" s="2561">
        <f t="shared" si="109"/>
        <v>0</v>
      </c>
      <c r="L933" s="2561">
        <f t="shared" si="110"/>
        <v>0</v>
      </c>
      <c r="M933" s="2561">
        <f t="shared" si="111"/>
        <v>0</v>
      </c>
      <c r="N933" s="2562" t="s">
        <v>8757</v>
      </c>
    </row>
    <row r="934" spans="1:18" ht="12.75" customHeight="1" x14ac:dyDescent="0.2">
      <c r="A934" s="1916">
        <v>934</v>
      </c>
      <c r="B934" s="5148"/>
      <c r="H934" s="363"/>
      <c r="N934" s="363"/>
    </row>
    <row r="935" spans="1:18" ht="12.75" customHeight="1" x14ac:dyDescent="0.2">
      <c r="A935" s="1916">
        <v>935</v>
      </c>
      <c r="B935" s="5148"/>
      <c r="H935" s="363"/>
      <c r="N935" s="363"/>
    </row>
    <row r="936" spans="1:18" ht="12.75" customHeight="1" x14ac:dyDescent="0.2">
      <c r="A936" s="1916">
        <v>936</v>
      </c>
      <c r="B936" s="5148"/>
      <c r="H936" s="363"/>
      <c r="N936" s="363"/>
    </row>
    <row r="937" spans="1:18" ht="12.75" customHeight="1" thickBot="1" x14ac:dyDescent="0.25">
      <c r="A937" s="1916">
        <v>937</v>
      </c>
      <c r="B937" s="5148"/>
      <c r="H937" s="363"/>
      <c r="N937" s="363"/>
    </row>
    <row r="938" spans="1:18" ht="12.75" customHeight="1" thickBot="1" x14ac:dyDescent="0.25">
      <c r="A938" s="1916">
        <v>938</v>
      </c>
      <c r="B938" s="5148"/>
      <c r="C938" s="5272" t="s">
        <v>1328</v>
      </c>
      <c r="D938" s="5272"/>
      <c r="E938" s="5272"/>
      <c r="F938" s="5272"/>
      <c r="G938" s="5272"/>
      <c r="H938" s="5272"/>
      <c r="I938" s="5272"/>
      <c r="J938" s="5272"/>
      <c r="K938" s="5272"/>
      <c r="L938" s="5272"/>
      <c r="M938" s="5272"/>
      <c r="N938" s="5272"/>
      <c r="O938" s="5272"/>
      <c r="P938" s="5272"/>
      <c r="Q938" s="5272"/>
      <c r="R938" s="5272"/>
    </row>
    <row r="939" spans="1:18" ht="12.75" customHeight="1" x14ac:dyDescent="0.2">
      <c r="A939" s="1916">
        <v>939</v>
      </c>
      <c r="B939" s="5148"/>
      <c r="C939" s="5272"/>
      <c r="D939" s="5272"/>
      <c r="E939" s="5272"/>
      <c r="F939" s="5272"/>
      <c r="G939" s="5272"/>
      <c r="H939" s="5272"/>
      <c r="I939" s="5272"/>
      <c r="J939" s="5272"/>
      <c r="K939" s="5272"/>
      <c r="L939" s="5272"/>
      <c r="M939" s="5272"/>
      <c r="N939" s="5272"/>
      <c r="O939" s="5272"/>
      <c r="P939" s="5272"/>
      <c r="Q939" s="5272"/>
      <c r="R939" s="5272"/>
    </row>
    <row r="940" spans="1:18" ht="12.75" customHeight="1" thickBot="1" x14ac:dyDescent="0.25">
      <c r="A940" s="1916">
        <v>940</v>
      </c>
      <c r="B940" s="5148"/>
      <c r="C940" s="457"/>
      <c r="D940" s="458"/>
      <c r="E940" s="419" t="s">
        <v>1751</v>
      </c>
      <c r="F940" s="365" t="s">
        <v>1329</v>
      </c>
      <c r="G940" s="365" t="s">
        <v>1811</v>
      </c>
      <c r="H940" s="367" t="s">
        <v>2637</v>
      </c>
      <c r="I940" s="1755" t="s">
        <v>1130</v>
      </c>
      <c r="J940" s="458" t="s">
        <v>1861</v>
      </c>
      <c r="K940" s="458"/>
      <c r="L940" s="458"/>
      <c r="M940" s="458"/>
      <c r="N940" s="458"/>
      <c r="O940" s="1755"/>
      <c r="P940" s="458"/>
      <c r="Q940" s="458"/>
      <c r="R940" s="459"/>
    </row>
    <row r="941" spans="1:18" ht="12.75" customHeight="1" x14ac:dyDescent="0.2">
      <c r="A941" s="1916">
        <v>941</v>
      </c>
      <c r="B941" s="5148"/>
      <c r="C941" s="1658" t="str">
        <f t="shared" ref="C941:C947" si="112">VLOOKUP(A1,$D$941:$E$947,2,0)</f>
        <v>&gt; ARS MAGNUS MENORES</v>
      </c>
      <c r="D941" s="2288">
        <f t="shared" ref="D941:D947" si="113">COUNTIF($E$941:$E$947,"&lt;="&amp;E941)</f>
        <v>1</v>
      </c>
      <c r="E941" s="425" t="s">
        <v>1330</v>
      </c>
      <c r="F941" s="460">
        <v>0</v>
      </c>
      <c r="G941" s="460">
        <v>0</v>
      </c>
      <c r="H941" s="213"/>
      <c r="I941" s="1756" t="s">
        <v>1766</v>
      </c>
      <c r="J941" s="461" t="s">
        <v>1766</v>
      </c>
      <c r="K941" s="118"/>
      <c r="L941" s="118"/>
      <c r="M941" s="118"/>
      <c r="N941" s="118"/>
      <c r="O941" s="1750"/>
      <c r="P941" s="118"/>
      <c r="Q941" s="118"/>
      <c r="R941" s="209"/>
    </row>
    <row r="942" spans="1:18" ht="12.75" customHeight="1" x14ac:dyDescent="0.2">
      <c r="A942" s="1916">
        <v>942</v>
      </c>
      <c r="B942" s="5148"/>
      <c r="C942" s="1658" t="str">
        <f t="shared" si="112"/>
        <v>Ataque Final</v>
      </c>
      <c r="D942" s="2288">
        <f t="shared" si="113"/>
        <v>3</v>
      </c>
      <c r="E942" s="411" t="s">
        <v>1331</v>
      </c>
      <c r="F942" s="195">
        <v>30</v>
      </c>
      <c r="G942" s="195">
        <v>10</v>
      </c>
      <c r="H942" s="213">
        <f>IF(COUNTIF(PDs!$E$78:$H$82,E942)&gt;0,1,0)</f>
        <v>0</v>
      </c>
      <c r="I942" s="1757" t="s">
        <v>1766</v>
      </c>
      <c r="J942" s="19" t="s">
        <v>1332</v>
      </c>
      <c r="K942" s="67"/>
      <c r="L942" s="67"/>
      <c r="M942" s="67"/>
      <c r="N942" s="67"/>
      <c r="O942" s="255"/>
      <c r="P942" s="67"/>
      <c r="Q942" s="67"/>
      <c r="R942" s="68"/>
    </row>
    <row r="943" spans="1:18" ht="12.75" customHeight="1" x14ac:dyDescent="0.2">
      <c r="A943" s="1916">
        <v>943</v>
      </c>
      <c r="B943" s="5148"/>
      <c r="C943" s="1658" t="str">
        <f t="shared" si="112"/>
        <v>Berserker</v>
      </c>
      <c r="D943" s="2288">
        <f t="shared" si="113"/>
        <v>7</v>
      </c>
      <c r="E943" s="411" t="s">
        <v>1333</v>
      </c>
      <c r="F943" s="195">
        <v>20</v>
      </c>
      <c r="G943" s="195">
        <v>10</v>
      </c>
      <c r="H943" s="213">
        <f>IF(COUNTIF(PDs!$E$78:$H$82,E943)&gt;0,1,0)</f>
        <v>0</v>
      </c>
      <c r="I943" s="1757" t="str">
        <f>IF(COUNTIF(PDs!$E$46:$H$55,Tablas!$R$903)&gt;0,"-","NO")</f>
        <v>NO</v>
      </c>
      <c r="J943" s="19" t="s">
        <v>1334</v>
      </c>
      <c r="K943" s="67"/>
      <c r="L943" s="67"/>
      <c r="M943" s="67"/>
      <c r="N943" s="67"/>
      <c r="O943" s="255"/>
      <c r="P943" s="67"/>
      <c r="Q943" s="67"/>
      <c r="R943" s="68"/>
    </row>
    <row r="944" spans="1:18" ht="12.75" customHeight="1" x14ac:dyDescent="0.2">
      <c r="A944" s="1916">
        <v>944</v>
      </c>
      <c r="B944" s="5148"/>
      <c r="C944" s="1658" t="str">
        <f t="shared" si="112"/>
        <v>Guardián</v>
      </c>
      <c r="D944" s="2288">
        <f t="shared" si="113"/>
        <v>5</v>
      </c>
      <c r="E944" s="411" t="s">
        <v>1335</v>
      </c>
      <c r="F944" s="195">
        <v>10</v>
      </c>
      <c r="G944" s="195">
        <v>10</v>
      </c>
      <c r="H944" s="213">
        <f>IF(COUNTIF(PDs!$E$78:$H$82,E944)&gt;0,1,0)</f>
        <v>0</v>
      </c>
      <c r="I944" s="1757"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5"/>
      <c r="P944" s="67"/>
      <c r="Q944" s="67"/>
      <c r="R944" s="68"/>
    </row>
    <row r="945" spans="1:18" ht="12.75" customHeight="1" x14ac:dyDescent="0.2">
      <c r="A945" s="1916">
        <v>945</v>
      </c>
      <c r="B945" s="5148"/>
      <c r="C945" s="1658" t="str">
        <f t="shared" si="112"/>
        <v>Kiai</v>
      </c>
      <c r="D945" s="2288">
        <f t="shared" si="113"/>
        <v>4</v>
      </c>
      <c r="E945" s="411" t="s">
        <v>1337</v>
      </c>
      <c r="F945" s="195">
        <v>40</v>
      </c>
      <c r="G945" s="195">
        <v>10</v>
      </c>
      <c r="H945" s="213">
        <f>IF(COUNTIF(PDs!$E$78:$H$82,E945)&gt;0,1,0)</f>
        <v>0</v>
      </c>
      <c r="I945" s="1757" t="str">
        <f>IF(Advertir_final&lt;50,"NO","-")</f>
        <v>NO</v>
      </c>
      <c r="J945" s="19" t="s">
        <v>1338</v>
      </c>
      <c r="K945" s="67"/>
      <c r="L945" s="67"/>
      <c r="M945" s="67"/>
      <c r="N945" s="67"/>
      <c r="O945" s="255"/>
      <c r="P945" s="67"/>
      <c r="Q945" s="67"/>
      <c r="R945" s="68"/>
    </row>
    <row r="946" spans="1:18" ht="12.75" customHeight="1" x14ac:dyDescent="0.2">
      <c r="A946" s="1916">
        <v>946</v>
      </c>
      <c r="B946" s="5148"/>
      <c r="C946" s="1658" t="str">
        <f t="shared" si="112"/>
        <v>Maniobra Especial</v>
      </c>
      <c r="D946" s="2288">
        <f t="shared" si="113"/>
        <v>2</v>
      </c>
      <c r="E946" s="411" t="s">
        <v>1339</v>
      </c>
      <c r="F946" s="195">
        <v>30</v>
      </c>
      <c r="G946" s="195">
        <v>10</v>
      </c>
      <c r="H946" s="213">
        <f>IF(COUNTIF(PDs!$E$78:$H$82,E946)&gt;0,1,0)</f>
        <v>0</v>
      </c>
      <c r="I946" s="1757" t="s">
        <v>1766</v>
      </c>
      <c r="J946" s="19" t="s">
        <v>1340</v>
      </c>
      <c r="K946" s="67"/>
      <c r="L946" s="67"/>
      <c r="M946" s="67"/>
      <c r="N946" s="67"/>
      <c r="O946" s="255"/>
      <c r="P946" s="67"/>
      <c r="Q946" s="67"/>
      <c r="R946" s="68"/>
    </row>
    <row r="947" spans="1:18" ht="12.75" customHeight="1" x14ac:dyDescent="0.2">
      <c r="A947" s="1916">
        <v>947</v>
      </c>
      <c r="B947" s="5148"/>
      <c r="C947" s="1658" t="str">
        <f t="shared" si="112"/>
        <v>Yuuse Batojutsu</v>
      </c>
      <c r="D947" s="2288">
        <f t="shared" si="113"/>
        <v>6</v>
      </c>
      <c r="E947" s="411" t="s">
        <v>1341</v>
      </c>
      <c r="F947" s="195">
        <v>30</v>
      </c>
      <c r="G947" s="195">
        <v>10</v>
      </c>
      <c r="H947" s="213">
        <f>IF(COUNTIF(PDs!$E$78:$H$82,E947)&gt;0,1,0)</f>
        <v>0</v>
      </c>
      <c r="I947" s="1757" t="s">
        <v>1766</v>
      </c>
      <c r="J947" s="19" t="s">
        <v>1342</v>
      </c>
      <c r="K947" s="67"/>
      <c r="L947" s="67"/>
      <c r="M947" s="67"/>
      <c r="N947" s="67"/>
      <c r="O947" s="255"/>
      <c r="P947" s="67"/>
      <c r="Q947" s="67"/>
      <c r="R947" s="68"/>
    </row>
    <row r="948" spans="1:18" ht="12.75" customHeight="1" x14ac:dyDescent="0.2">
      <c r="A948" s="1916">
        <v>948</v>
      </c>
      <c r="B948" s="5148"/>
      <c r="C948" s="1658" t="str">
        <f t="shared" ref="C948:C968" si="114">VLOOKUP(A1,$D$948:$E$968,2,0)</f>
        <v>&gt; ARS MAGNUS MAYORES</v>
      </c>
      <c r="D948" s="2288">
        <f t="shared" ref="D948:D968" si="115">COUNTIF($E$948:$E$968,"&lt;="&amp;E948)</f>
        <v>1</v>
      </c>
      <c r="E948" s="411" t="s">
        <v>1343</v>
      </c>
      <c r="F948" s="195">
        <v>0</v>
      </c>
      <c r="G948" s="195">
        <v>0</v>
      </c>
      <c r="H948" s="213"/>
      <c r="I948" s="1757" t="s">
        <v>1766</v>
      </c>
      <c r="J948" s="198" t="s">
        <v>1766</v>
      </c>
      <c r="K948" s="67"/>
      <c r="L948" s="67"/>
      <c r="M948" s="67"/>
      <c r="N948" s="67"/>
      <c r="O948" s="255"/>
      <c r="P948" s="67"/>
      <c r="Q948" s="67"/>
      <c r="R948" s="68"/>
    </row>
    <row r="949" spans="1:18" ht="12.75" customHeight="1" x14ac:dyDescent="0.2">
      <c r="A949" s="1916">
        <v>949</v>
      </c>
      <c r="B949" s="5148"/>
      <c r="C949" s="1658" t="str">
        <f t="shared" si="114"/>
        <v>Agnitum: Ojo Absoluto</v>
      </c>
      <c r="D949" s="2288">
        <f t="shared" si="115"/>
        <v>3</v>
      </c>
      <c r="E949" s="411" t="s">
        <v>1344</v>
      </c>
      <c r="F949" s="195">
        <v>80</v>
      </c>
      <c r="G949" s="195">
        <v>80</v>
      </c>
      <c r="H949" s="213">
        <f>IF(COUNTIF(PDs!$E$78:$H$82,E949)&gt;0,1,0)</f>
        <v>0</v>
      </c>
      <c r="I949" s="1757" t="str">
        <f>IF(OR(HA_final&lt;220,NOT(Usodelaenergíanecesaria),NOT(Zen),POD&lt;11),"NO","-")</f>
        <v>NO</v>
      </c>
      <c r="J949" s="19" t="s">
        <v>1345</v>
      </c>
      <c r="K949" s="67"/>
      <c r="L949" s="67"/>
      <c r="M949" s="67"/>
      <c r="N949" s="67"/>
      <c r="O949" s="255"/>
      <c r="P949" s="67"/>
      <c r="Q949" s="67"/>
      <c r="R949" s="68"/>
    </row>
    <row r="950" spans="1:18" ht="12.75" customHeight="1" x14ac:dyDescent="0.2">
      <c r="A950" s="1916">
        <v>950</v>
      </c>
      <c r="B950" s="5148"/>
      <c r="C950" s="1658" t="str">
        <f t="shared" si="114"/>
        <v>Ashuriam: Asalto Dimensional</v>
      </c>
      <c r="D950" s="2288">
        <f t="shared" si="115"/>
        <v>2</v>
      </c>
      <c r="E950" s="411" t="s">
        <v>1346</v>
      </c>
      <c r="F950" s="195">
        <v>30</v>
      </c>
      <c r="G950" s="195">
        <v>30</v>
      </c>
      <c r="H950" s="213">
        <f>IF(COUNTIF(PDs!$E$78:$H$82,E950)&gt;0,1,0)</f>
        <v>0</v>
      </c>
      <c r="I950" s="1757" t="str">
        <f>IF(OR(HA_final&lt;180,NOT(Erudición),PER&lt;11),"NO","-")</f>
        <v>NO</v>
      </c>
      <c r="J950" s="19" t="s">
        <v>1347</v>
      </c>
      <c r="K950" s="67"/>
      <c r="L950" s="67"/>
      <c r="M950" s="67"/>
      <c r="N950" s="67"/>
      <c r="O950" s="255"/>
      <c r="P950" s="67"/>
      <c r="Q950" s="67"/>
      <c r="R950" s="68"/>
    </row>
    <row r="951" spans="1:18" ht="12.75" customHeight="1" x14ac:dyDescent="0.2">
      <c r="A951" s="1916">
        <v>951</v>
      </c>
      <c r="B951" s="5148"/>
      <c r="C951" s="1658" t="str">
        <f t="shared" si="114"/>
        <v>Caos Meister: Control del Caos</v>
      </c>
      <c r="D951" s="2288">
        <f t="shared" si="115"/>
        <v>4</v>
      </c>
      <c r="E951" s="411" t="s">
        <v>1348</v>
      </c>
      <c r="F951" s="195">
        <v>80</v>
      </c>
      <c r="G951" s="195">
        <v>100</v>
      </c>
      <c r="H951" s="213">
        <f>IF(COUNTIF(PDs!$E$78:$H$82,E951)&gt;0,1,0)</f>
        <v>0</v>
      </c>
      <c r="I951" s="1757" t="str">
        <f>IF(OR(HA_final&lt;250,HD_final&lt;250,NOT(Usodelaenergíanecesaria),NOT(Inhumanidad),POD&lt;11),"NO","-")</f>
        <v>NO</v>
      </c>
      <c r="J951" s="19" t="s">
        <v>1349</v>
      </c>
      <c r="K951" s="67"/>
      <c r="L951" s="67"/>
      <c r="M951" s="67"/>
      <c r="N951" s="67"/>
      <c r="O951" s="255"/>
      <c r="P951" s="67"/>
      <c r="Q951" s="67"/>
      <c r="R951" s="68"/>
    </row>
    <row r="952" spans="1:18" ht="12.75" customHeight="1" x14ac:dyDescent="0.2">
      <c r="A952" s="1916">
        <v>952</v>
      </c>
      <c r="B952" s="5148"/>
      <c r="C952" s="1658" t="str">
        <f t="shared" si="114"/>
        <v>Etherial: Ataques Infinitos</v>
      </c>
      <c r="D952" s="2288">
        <f t="shared" si="115"/>
        <v>5</v>
      </c>
      <c r="E952" s="411" t="s">
        <v>1350</v>
      </c>
      <c r="F952" s="195">
        <v>40</v>
      </c>
      <c r="G952" s="195">
        <v>40</v>
      </c>
      <c r="H952" s="213">
        <f>IF(COUNTIF(PDs!$E$78:$H$82,E952)&gt;0,1,0)</f>
        <v>0</v>
      </c>
      <c r="I952" s="1757" t="str">
        <f>IF(HA_final&lt;200,"NO","-")</f>
        <v>NO</v>
      </c>
      <c r="J952" s="19" t="s">
        <v>1351</v>
      </c>
      <c r="K952" s="67"/>
      <c r="L952" s="67"/>
      <c r="M952" s="67"/>
      <c r="N952" s="67"/>
      <c r="O952" s="255"/>
      <c r="P952" s="67"/>
      <c r="Q952" s="67"/>
      <c r="R952" s="68"/>
    </row>
    <row r="953" spans="1:18" ht="12.75" customHeight="1" x14ac:dyDescent="0.2">
      <c r="A953" s="1916">
        <v>953</v>
      </c>
      <c r="B953" s="5148"/>
      <c r="C953" s="1658" t="str">
        <f t="shared" si="114"/>
        <v>Haima: Sombra de Sangre</v>
      </c>
      <c r="D953" s="2288">
        <f t="shared" si="115"/>
        <v>6</v>
      </c>
      <c r="E953" s="411" t="s">
        <v>1352</v>
      </c>
      <c r="F953" s="195">
        <v>30</v>
      </c>
      <c r="G953" s="195">
        <v>30</v>
      </c>
      <c r="H953" s="213">
        <f>IF(COUNTIF(PDs!$E$78:$H$82,E953)&gt;0,1,0)</f>
        <v>0</v>
      </c>
      <c r="I953" s="1757" t="str">
        <f>IF(OR(HD_final&lt;200,$P$252=0,VOL&lt;10),"NO","-")</f>
        <v>NO</v>
      </c>
      <c r="J953" s="19" t="s">
        <v>1353</v>
      </c>
      <c r="K953" s="67"/>
      <c r="L953" s="67"/>
      <c r="M953" s="67"/>
      <c r="N953" s="67"/>
      <c r="O953" s="255"/>
      <c r="P953" s="67"/>
      <c r="Q953" s="67"/>
      <c r="R953" s="68"/>
    </row>
    <row r="954" spans="1:18" ht="12.75" customHeight="1" x14ac:dyDescent="0.2">
      <c r="A954" s="1916">
        <v>954</v>
      </c>
      <c r="B954" s="5148"/>
      <c r="C954" s="1658" t="str">
        <f t="shared" si="114"/>
        <v>Infinium: Fluctuación del Espacio</v>
      </c>
      <c r="D954" s="2288">
        <f t="shared" si="115"/>
        <v>8</v>
      </c>
      <c r="E954" s="411" t="s">
        <v>1354</v>
      </c>
      <c r="F954" s="195">
        <v>30</v>
      </c>
      <c r="G954" s="195">
        <v>50</v>
      </c>
      <c r="H954" s="213">
        <f>IF(COUNTIF(PDs!$E$78:$H$82,E954)&gt;0,1,0)</f>
        <v>0</v>
      </c>
      <c r="I954" s="1757" t="str">
        <f>IF(OR(HA_final&lt;200,NOT(Extensióndelauraalarma)),"NO","-")</f>
        <v>NO</v>
      </c>
      <c r="J954" s="19" t="s">
        <v>1355</v>
      </c>
      <c r="K954" s="67"/>
      <c r="L954" s="67"/>
      <c r="M954" s="67"/>
      <c r="N954" s="67"/>
      <c r="O954" s="255"/>
      <c r="P954" s="67"/>
      <c r="Q954" s="67"/>
      <c r="R954" s="68"/>
    </row>
    <row r="955" spans="1:18" ht="12.75" customHeight="1" x14ac:dyDescent="0.2">
      <c r="A955" s="1916">
        <v>955</v>
      </c>
      <c r="B955" s="5148"/>
      <c r="C955" s="1658" t="str">
        <f t="shared" si="114"/>
        <v>Magnum: Liberación de Poder</v>
      </c>
      <c r="D955" s="2288">
        <f t="shared" si="115"/>
        <v>7</v>
      </c>
      <c r="E955" s="411" t="s">
        <v>1356</v>
      </c>
      <c r="F955" s="195">
        <v>40</v>
      </c>
      <c r="G955" s="195">
        <v>40</v>
      </c>
      <c r="H955" s="213">
        <f>IF(COUNTIF(PDs!$E$78:$H$82,E955)&gt;0,1,0)</f>
        <v>0</v>
      </c>
      <c r="I955" s="1757" t="str">
        <f>IF(OR(HA_final&lt;200,NOT(Inhumanidad),AGI&lt;11),"NO","-")</f>
        <v>NO</v>
      </c>
      <c r="J955" s="19" t="s">
        <v>1357</v>
      </c>
      <c r="K955" s="67"/>
      <c r="L955" s="67"/>
      <c r="M955" s="67"/>
      <c r="N955" s="67"/>
      <c r="O955" s="255"/>
      <c r="P955" s="67"/>
      <c r="Q955" s="67"/>
      <c r="R955" s="68"/>
    </row>
    <row r="956" spans="1:18" ht="12.75" customHeight="1" x14ac:dyDescent="0.2">
      <c r="A956" s="1916">
        <v>956</v>
      </c>
      <c r="B956" s="5148"/>
      <c r="C956" s="1658" t="str">
        <f t="shared" si="114"/>
        <v>Matrix: División Existencial</v>
      </c>
      <c r="D956" s="2288">
        <f t="shared" si="115"/>
        <v>9</v>
      </c>
      <c r="E956" s="411" t="s">
        <v>1358</v>
      </c>
      <c r="F956" s="195">
        <v>50</v>
      </c>
      <c r="G956" s="195">
        <v>50</v>
      </c>
      <c r="H956" s="213">
        <f>IF(COUNTIF(PDs!$E$78:$H$82,E956)&gt;0,1,0)</f>
        <v>0</v>
      </c>
      <c r="I956" s="1757" t="str">
        <f>IF(OR(HA_final&lt;150,HD_final&lt;150,NOT(MultdeCuerpos)),"NO","-")</f>
        <v>NO</v>
      </c>
      <c r="J956" s="19" t="s">
        <v>1359</v>
      </c>
      <c r="K956" s="67"/>
      <c r="L956" s="67"/>
      <c r="M956" s="67"/>
      <c r="N956" s="67"/>
      <c r="O956" s="255"/>
      <c r="P956" s="67"/>
      <c r="Q956" s="67"/>
      <c r="R956" s="68"/>
    </row>
    <row r="957" spans="1:18" ht="12.75" customHeight="1" x14ac:dyDescent="0.2">
      <c r="A957" s="1916">
        <v>957</v>
      </c>
      <c r="B957" s="5148"/>
      <c r="C957" s="1658" t="str">
        <f t="shared" si="114"/>
        <v>Mundus: Control del Entorno</v>
      </c>
      <c r="D957" s="2288">
        <f t="shared" si="115"/>
        <v>10</v>
      </c>
      <c r="E957" s="411" t="s">
        <v>1360</v>
      </c>
      <c r="F957" s="195">
        <v>30</v>
      </c>
      <c r="G957" s="195">
        <v>50</v>
      </c>
      <c r="H957" s="213">
        <f>IF(COUNTIF(PDs!$E$78:$H$82,E957)&gt;0,1,0)</f>
        <v>0</v>
      </c>
      <c r="I957" s="1757" t="str">
        <f>IF(OR(HA_final&lt;200,HD_final&lt;200,NOT(MovimientodeMasas),NOT(Inhumanidad)),"NO","-")</f>
        <v>NO</v>
      </c>
      <c r="J957" s="19" t="s">
        <v>1361</v>
      </c>
      <c r="K957" s="67"/>
      <c r="L957" s="67"/>
      <c r="M957" s="67"/>
      <c r="N957" s="67"/>
      <c r="O957" s="255"/>
      <c r="P957" s="67"/>
      <c r="Q957" s="67"/>
      <c r="R957" s="68"/>
    </row>
    <row r="958" spans="1:18" ht="12.75" customHeight="1" x14ac:dyDescent="0.2">
      <c r="A958" s="1916">
        <v>958</v>
      </c>
      <c r="B958" s="5148"/>
      <c r="C958" s="1658" t="str">
        <f t="shared" si="114"/>
        <v>Raikou: Hoja Relámpago</v>
      </c>
      <c r="D958" s="2288">
        <f t="shared" si="115"/>
        <v>11</v>
      </c>
      <c r="E958" s="411" t="s">
        <v>1362</v>
      </c>
      <c r="F958" s="195">
        <v>60</v>
      </c>
      <c r="G958" s="195">
        <v>60</v>
      </c>
      <c r="H958" s="213">
        <f>IF(COUNTIF(PDs!$E$78:$H$82,E958)&gt;0,1,0)</f>
        <v>0</v>
      </c>
      <c r="I958" s="1757" t="str">
        <f>IF(OR(HA_final&lt;200,NOT(Inhumanidad),AGI&lt;10,DES&lt;11),"NO","-")</f>
        <v>NO</v>
      </c>
      <c r="J958" s="19" t="s">
        <v>1363</v>
      </c>
      <c r="K958" s="67"/>
      <c r="L958" s="67"/>
      <c r="M958" s="67"/>
      <c r="N958" s="67"/>
      <c r="O958" s="255"/>
      <c r="P958" s="67"/>
      <c r="Q958" s="67"/>
      <c r="R958" s="68"/>
    </row>
    <row r="959" spans="1:18" ht="12.75" customHeight="1" x14ac:dyDescent="0.2">
      <c r="A959" s="1916">
        <v>959</v>
      </c>
      <c r="B959" s="5148"/>
      <c r="C959" s="1658" t="str">
        <f t="shared" si="114"/>
        <v>Rem: Los Ojos del Destino</v>
      </c>
      <c r="D959" s="2288">
        <f t="shared" si="115"/>
        <v>12</v>
      </c>
      <c r="E959" s="411" t="s">
        <v>1364</v>
      </c>
      <c r="F959" s="195">
        <v>40</v>
      </c>
      <c r="G959" s="195">
        <v>60</v>
      </c>
      <c r="H959" s="213">
        <f>IF(COUNTIF(PDs!$E$78:$H$82,E959)&gt;0,1,0)</f>
        <v>0</v>
      </c>
      <c r="I959" s="1757" t="str">
        <f>IF(OR(HA_final&lt;180,HD_final&lt;180,NOT(Erudición),PER&lt;10),"NO","-")</f>
        <v>NO</v>
      </c>
      <c r="J959" s="19" t="s">
        <v>1365</v>
      </c>
      <c r="K959" s="67"/>
      <c r="L959" s="67"/>
      <c r="M959" s="67"/>
      <c r="N959" s="67"/>
      <c r="O959" s="255"/>
      <c r="P959" s="67"/>
      <c r="Q959" s="67"/>
      <c r="R959" s="68"/>
    </row>
    <row r="960" spans="1:18" ht="12.75" customHeight="1" x14ac:dyDescent="0.2">
      <c r="A960" s="1916">
        <v>960</v>
      </c>
      <c r="B960" s="5148"/>
      <c r="C960" s="1658" t="str">
        <f t="shared" si="114"/>
        <v>Samiel: Retribución Final</v>
      </c>
      <c r="D960" s="2288">
        <f t="shared" si="115"/>
        <v>13</v>
      </c>
      <c r="E960" s="411" t="s">
        <v>1366</v>
      </c>
      <c r="F960" s="195">
        <v>60</v>
      </c>
      <c r="G960" s="195">
        <v>60</v>
      </c>
      <c r="H960" s="213">
        <f>IF(COUNTIF(PDs!$E$78:$H$82,E960)&gt;0,1,0)</f>
        <v>0</v>
      </c>
      <c r="I960" s="1757" t="str">
        <f>IF(OR(HA_final&lt;200,HD_final&lt;200,NOT(Inhumanidad)),"NO","-")</f>
        <v>NO</v>
      </c>
      <c r="J960" s="19" t="s">
        <v>1367</v>
      </c>
      <c r="K960" s="67"/>
      <c r="L960" s="67"/>
      <c r="M960" s="67"/>
      <c r="N960" s="67"/>
      <c r="O960" s="255"/>
      <c r="P960" s="67"/>
      <c r="Q960" s="67"/>
      <c r="R960" s="68"/>
    </row>
    <row r="961" spans="1:18" ht="12.75" customHeight="1" x14ac:dyDescent="0.2">
      <c r="A961" s="1916">
        <v>961</v>
      </c>
      <c r="B961" s="5148"/>
      <c r="C961" s="1658" t="str">
        <f t="shared" si="114"/>
        <v>Shinkyou: La Posición Espejo</v>
      </c>
      <c r="D961" s="2288">
        <f t="shared" si="115"/>
        <v>14</v>
      </c>
      <c r="E961" s="411" t="s">
        <v>1368</v>
      </c>
      <c r="F961" s="195">
        <v>60</v>
      </c>
      <c r="G961" s="195">
        <v>80</v>
      </c>
      <c r="H961" s="213">
        <f>IF(COUNTIF(PDs!$E$78:$H$82,E961)&gt;0,1,0)</f>
        <v>0</v>
      </c>
      <c r="I961" s="1757" t="str">
        <f>IF(OR(HD_final&lt;250,PER&lt;10),"NO","-")</f>
        <v>NO</v>
      </c>
      <c r="J961" s="19" t="s">
        <v>1369</v>
      </c>
      <c r="K961" s="67"/>
      <c r="L961" s="67"/>
      <c r="M961" s="67"/>
      <c r="N961" s="67"/>
      <c r="O961" s="255"/>
      <c r="P961" s="67"/>
      <c r="Q961" s="67"/>
      <c r="R961" s="68"/>
    </row>
    <row r="962" spans="1:18" ht="12.75" customHeight="1" x14ac:dyDescent="0.2">
      <c r="A962" s="1916">
        <v>962</v>
      </c>
      <c r="B962" s="5148"/>
      <c r="C962" s="1658" t="str">
        <f t="shared" si="114"/>
        <v>Summun: Acumulación de Energía</v>
      </c>
      <c r="D962" s="2288">
        <f t="shared" si="115"/>
        <v>15</v>
      </c>
      <c r="E962" s="411" t="s">
        <v>1370</v>
      </c>
      <c r="F962" s="195">
        <v>30</v>
      </c>
      <c r="G962" s="195">
        <v>30</v>
      </c>
      <c r="H962" s="213">
        <f>IF(COUNTIF(PDs!$E$78:$H$82,E962)&gt;0,1,0)</f>
        <v>0</v>
      </c>
      <c r="I962" s="1757" t="str">
        <f>IF(OR(HA_final&lt;180,DES&lt;11),"NO","-")</f>
        <v>NO</v>
      </c>
      <c r="J962" s="19" t="s">
        <v>1371</v>
      </c>
      <c r="K962" s="67"/>
      <c r="L962" s="67"/>
      <c r="M962" s="67"/>
      <c r="N962" s="67"/>
      <c r="O962" s="255"/>
      <c r="P962" s="67"/>
      <c r="Q962" s="67"/>
      <c r="R962" s="68"/>
    </row>
    <row r="963" spans="1:18" ht="12.75" customHeight="1" x14ac:dyDescent="0.2">
      <c r="A963" s="1916">
        <v>963</v>
      </c>
      <c r="B963" s="5148"/>
      <c r="C963" s="1658" t="str">
        <f t="shared" si="114"/>
        <v>Transformación: El Despertar</v>
      </c>
      <c r="D963" s="2288">
        <f t="shared" si="115"/>
        <v>16</v>
      </c>
      <c r="E963" s="411" t="s">
        <v>1372</v>
      </c>
      <c r="F963" s="195">
        <v>50</v>
      </c>
      <c r="G963" s="195">
        <v>50</v>
      </c>
      <c r="H963" s="213">
        <f>IF(COUNTIF(PDs!$E$78:$H$82,E963)&gt;0,1,0)</f>
        <v>0</v>
      </c>
      <c r="I963" s="1757" t="str">
        <f>IF(OR(HA_final&lt;200,HD_final&lt;200,NOT(Inhumanidad)),"NO","-")</f>
        <v>NO</v>
      </c>
      <c r="J963" s="19" t="s">
        <v>1373</v>
      </c>
      <c r="K963" s="67"/>
      <c r="L963" s="67"/>
      <c r="M963" s="67"/>
      <c r="N963" s="67"/>
      <c r="O963" s="255"/>
      <c r="P963" s="67"/>
      <c r="Q963" s="67"/>
      <c r="R963" s="68"/>
    </row>
    <row r="964" spans="1:18" ht="12.75" customHeight="1" x14ac:dyDescent="0.2">
      <c r="A964" s="1916">
        <v>964</v>
      </c>
      <c r="B964" s="5148"/>
      <c r="C964" s="1658" t="str">
        <f t="shared" si="114"/>
        <v>Transformación: Eliodón</v>
      </c>
      <c r="D964" s="2288">
        <f t="shared" si="115"/>
        <v>19</v>
      </c>
      <c r="E964" s="411" t="s">
        <v>1374</v>
      </c>
      <c r="F964" s="195">
        <v>30</v>
      </c>
      <c r="G964" s="195">
        <v>50</v>
      </c>
      <c r="H964" s="213">
        <f>IF(COUNTIF(PDs!$E$78:$H$82,E964)&gt;0,1,0)</f>
        <v>0</v>
      </c>
      <c r="I964" s="1757" t="str">
        <f>IF(OR(HA_final&lt;200,HD_final&lt;200,NOT(Usodelaenergíanecesaria),NOT(Inhumanidad)),"NO","-")</f>
        <v>NO</v>
      </c>
      <c r="J964" s="19" t="s">
        <v>1375</v>
      </c>
      <c r="K964" s="67"/>
      <c r="L964" s="67"/>
      <c r="M964" s="67"/>
      <c r="N964" s="67"/>
      <c r="O964" s="255"/>
      <c r="P964" s="67"/>
      <c r="Q964" s="67"/>
      <c r="R964" s="68"/>
    </row>
    <row r="965" spans="1:18" ht="12.75" customHeight="1" x14ac:dyDescent="0.2">
      <c r="A965" s="1916">
        <v>965</v>
      </c>
      <c r="B965" s="5148"/>
      <c r="C965" s="1658" t="str">
        <f t="shared" si="114"/>
        <v>Transformación: Los Sellos del Dragón</v>
      </c>
      <c r="D965" s="2288">
        <f t="shared" si="115"/>
        <v>17</v>
      </c>
      <c r="E965" s="411" t="s">
        <v>1376</v>
      </c>
      <c r="F965" s="195">
        <v>20</v>
      </c>
      <c r="G965" s="195">
        <v>40</v>
      </c>
      <c r="H965" s="213">
        <f>IF(COUNTIF(PDs!$E$78:$H$82,E965)&gt;0,1,0)</f>
        <v>0</v>
      </c>
      <c r="I965" s="1757" t="str">
        <f>IF(OR(HA_final&lt;150,HD_final&lt;150,Tablas!$P$248+Tablas!$P$249+Tablas!$P$250=0),"NO","-")</f>
        <v>NO</v>
      </c>
      <c r="J965" s="19" t="s">
        <v>1377</v>
      </c>
      <c r="K965" s="67"/>
      <c r="L965" s="67"/>
      <c r="M965" s="67"/>
      <c r="N965" s="67"/>
      <c r="O965" s="255"/>
      <c r="P965" s="67"/>
      <c r="Q965" s="67"/>
      <c r="R965" s="68"/>
    </row>
    <row r="966" spans="1:18" ht="12.75" customHeight="1" x14ac:dyDescent="0.2">
      <c r="A966" s="1916">
        <v>966</v>
      </c>
      <c r="B966" s="5148"/>
      <c r="C966" s="1658" t="str">
        <f t="shared" si="114"/>
        <v>Transformación: Poder Físico</v>
      </c>
      <c r="D966" s="2288">
        <f t="shared" si="115"/>
        <v>20</v>
      </c>
      <c r="E966" s="411" t="s">
        <v>1378</v>
      </c>
      <c r="F966" s="195">
        <v>100</v>
      </c>
      <c r="G966" s="195">
        <v>100</v>
      </c>
      <c r="H966" s="213">
        <f>IF(COUNTIF(PDs!$E$78:$H$82,E966)&gt;0,1,0)</f>
        <v>0</v>
      </c>
      <c r="I966" s="1757" t="str">
        <f>IF(OR(HA_final&lt;250,HD_final&lt;250,NOT(Zen)),"NO","-")</f>
        <v>NO</v>
      </c>
      <c r="J966" s="19" t="s">
        <v>1379</v>
      </c>
      <c r="K966" s="67"/>
      <c r="L966" s="67"/>
      <c r="M966" s="67"/>
      <c r="N966" s="67"/>
      <c r="O966" s="255"/>
      <c r="P966" s="67"/>
      <c r="Q966" s="67"/>
      <c r="R966" s="68"/>
    </row>
    <row r="967" spans="1:18" ht="12.75" customHeight="1" x14ac:dyDescent="0.2">
      <c r="A967" s="1916">
        <v>967</v>
      </c>
      <c r="B967" s="5148"/>
      <c r="C967" s="1658" t="str">
        <f t="shared" si="114"/>
        <v>Transformación: Ruptura del Destino</v>
      </c>
      <c r="D967" s="2288">
        <f t="shared" si="115"/>
        <v>18</v>
      </c>
      <c r="E967" s="411" t="s">
        <v>1380</v>
      </c>
      <c r="F967" s="195">
        <v>20</v>
      </c>
      <c r="G967" s="195">
        <v>50</v>
      </c>
      <c r="H967" s="213">
        <f>IF(COUNTIF(PDs!$E$78:$H$82,E967)&gt;0,1,0)</f>
        <v>0</v>
      </c>
      <c r="I967" s="1757" t="str">
        <f>IF(OR(HA_final&lt;160,HD_final&lt;160,Tablas!$P$260=0),"NO","-")</f>
        <v>NO</v>
      </c>
      <c r="J967" s="19" t="s">
        <v>1381</v>
      </c>
      <c r="K967" s="67"/>
      <c r="L967" s="67"/>
      <c r="M967" s="67"/>
      <c r="N967" s="67"/>
      <c r="O967" s="255"/>
      <c r="P967" s="67"/>
      <c r="Q967" s="67"/>
      <c r="R967" s="68"/>
    </row>
    <row r="968" spans="1:18" ht="12.75" customHeight="1" x14ac:dyDescent="0.2">
      <c r="A968" s="1916">
        <v>968</v>
      </c>
      <c r="B968" s="5148"/>
      <c r="C968" s="1658" t="str">
        <f t="shared" si="114"/>
        <v>Umbra: Ataque de Sombras</v>
      </c>
      <c r="D968" s="2288">
        <f t="shared" si="115"/>
        <v>21</v>
      </c>
      <c r="E968" s="411" t="s">
        <v>1382</v>
      </c>
      <c r="F968" s="195">
        <v>30</v>
      </c>
      <c r="G968" s="195">
        <v>50</v>
      </c>
      <c r="H968" s="213">
        <f>IF(COUNTIF(PDs!$E$78:$H$82,E968)&gt;0,1,0)</f>
        <v>0</v>
      </c>
      <c r="I968" s="1757" t="str">
        <f>IF(OR(HA_final&lt;150,NOT(Usodelaenergíanecesaria),NOT(Inhumanidad)),"NO","-")</f>
        <v>NO</v>
      </c>
      <c r="J968" s="19" t="s">
        <v>1383</v>
      </c>
      <c r="K968" s="67"/>
      <c r="L968" s="67"/>
      <c r="M968" s="67"/>
      <c r="N968" s="67"/>
      <c r="O968" s="255"/>
      <c r="P968" s="67"/>
      <c r="Q968" s="67"/>
      <c r="R968" s="68"/>
    </row>
    <row r="969" spans="1:18" ht="12.75" customHeight="1" x14ac:dyDescent="0.2">
      <c r="A969" s="1916">
        <v>969</v>
      </c>
      <c r="B969" s="5148"/>
      <c r="C969" s="1658" t="str">
        <f t="shared" ref="C969:C984" si="116">VLOOKUP(A1,$D$969:$E$984,2,0)</f>
        <v>&gt; ARMAS IMPOSIBLES</v>
      </c>
      <c r="D969" s="2288">
        <f t="shared" ref="D969:D984" si="117">COUNTIF($E$969:$E$984,"&lt;="&amp;E969)</f>
        <v>1</v>
      </c>
      <c r="E969" s="411" t="s">
        <v>2611</v>
      </c>
      <c r="F969" s="195">
        <v>0</v>
      </c>
      <c r="G969" s="195">
        <v>0</v>
      </c>
      <c r="H969" s="213"/>
      <c r="I969" s="1757" t="s">
        <v>1766</v>
      </c>
      <c r="J969" s="198" t="s">
        <v>1766</v>
      </c>
      <c r="K969" s="67"/>
      <c r="L969" s="67"/>
      <c r="M969" s="67"/>
      <c r="N969" s="67"/>
      <c r="O969" s="255"/>
      <c r="P969" s="67"/>
      <c r="Q969" s="67"/>
      <c r="R969" s="68"/>
    </row>
    <row r="970" spans="1:18" ht="12.75" customHeight="1" x14ac:dyDescent="0.2">
      <c r="A970" s="1916">
        <v>970</v>
      </c>
      <c r="B970" s="5148"/>
      <c r="C970" s="1658" t="str">
        <f t="shared" si="116"/>
        <v>Aquarius: Capas y prendas de vestir</v>
      </c>
      <c r="D970" s="2288">
        <f t="shared" si="117"/>
        <v>3</v>
      </c>
      <c r="E970" s="411" t="s">
        <v>1384</v>
      </c>
      <c r="F970" s="195">
        <v>40</v>
      </c>
      <c r="G970" s="195">
        <v>40</v>
      </c>
      <c r="H970" s="213">
        <f>IF(COUNTIF(PDs!$E$78:$H$82,E970)&gt;0,1,0)</f>
        <v>0</v>
      </c>
      <c r="I970" s="1757" t="str">
        <f>IF(OR(NOT(Inhumanidad),NOT(UsodelKi),HA_final&lt;150,HD_final&lt;150),"NO","-")</f>
        <v>NO</v>
      </c>
      <c r="J970" s="198" t="s">
        <v>1385</v>
      </c>
      <c r="K970" s="67"/>
      <c r="L970" s="67"/>
      <c r="M970" s="67"/>
      <c r="N970" s="67"/>
      <c r="O970" s="255"/>
      <c r="P970" s="67"/>
      <c r="Q970" s="67"/>
      <c r="R970" s="68"/>
    </row>
    <row r="971" spans="1:18" ht="12.75" customHeight="1" x14ac:dyDescent="0.2">
      <c r="A971" s="1916">
        <v>971</v>
      </c>
      <c r="B971" s="5148"/>
      <c r="C971" s="1658" t="str">
        <f t="shared" si="116"/>
        <v>Aries: Masificación armas y cadenas</v>
      </c>
      <c r="D971" s="2288">
        <f t="shared" si="117"/>
        <v>15</v>
      </c>
      <c r="E971" s="411" t="s">
        <v>1386</v>
      </c>
      <c r="F971" s="195">
        <v>20</v>
      </c>
      <c r="G971" s="195">
        <v>30</v>
      </c>
      <c r="H971" s="213">
        <f>IF(COUNTIF(PDs!$E$78:$H$82,E971)&gt;0,1,0)</f>
        <v>0</v>
      </c>
      <c r="I971" s="1757" t="str">
        <f>IF(OR(NOT(Inhumanidad),NOT(UsodelKi),HA_final&lt;120,NOT(OR(L656="Conocida",L673="Conocida",L693="Conocida"))),"NO","-")</f>
        <v>NO</v>
      </c>
      <c r="J971" s="198" t="s">
        <v>1387</v>
      </c>
      <c r="K971" s="67"/>
      <c r="L971" s="67"/>
      <c r="M971" s="67"/>
      <c r="N971" s="67"/>
      <c r="O971" s="255"/>
      <c r="P971" s="67"/>
      <c r="Q971" s="67"/>
      <c r="R971" s="68"/>
    </row>
    <row r="972" spans="1:18" ht="12.75" customHeight="1" x14ac:dyDescent="0.2">
      <c r="A972" s="1916">
        <v>972</v>
      </c>
      <c r="B972" s="5148"/>
      <c r="C972" s="1658" t="str">
        <f t="shared" si="116"/>
        <v>Cáncer Magister: Monofilos</v>
      </c>
      <c r="D972" s="2288">
        <f t="shared" si="117"/>
        <v>7</v>
      </c>
      <c r="E972" s="411" t="s">
        <v>1388</v>
      </c>
      <c r="F972" s="195">
        <v>50</v>
      </c>
      <c r="G972" s="195">
        <v>50</v>
      </c>
      <c r="H972" s="213">
        <f>IF(COUNTIF(PDs!$E$78:$H$82,E972)&gt;0,1,0)</f>
        <v>0</v>
      </c>
      <c r="I972" s="1757" t="str">
        <f>IF(OR(NOT(Inhumanidad),NOT(UsodelKi),DES&lt;11),"NO","-")</f>
        <v>NO</v>
      </c>
      <c r="J972" s="198" t="s">
        <v>1389</v>
      </c>
      <c r="K972" s="67"/>
      <c r="L972" s="67"/>
      <c r="M972" s="67"/>
      <c r="N972" s="67"/>
      <c r="O972" s="255"/>
      <c r="P972" s="67"/>
      <c r="Q972" s="67"/>
      <c r="R972" s="68"/>
    </row>
    <row r="973" spans="1:18" ht="12.75" customHeight="1" x14ac:dyDescent="0.2">
      <c r="A973" s="1916">
        <v>973</v>
      </c>
      <c r="B973" s="5148"/>
      <c r="C973" s="1658" t="str">
        <f t="shared" si="116"/>
        <v>Cáncer: Monofilos</v>
      </c>
      <c r="D973" s="2288">
        <f t="shared" si="117"/>
        <v>5</v>
      </c>
      <c r="E973" s="411" t="s">
        <v>1390</v>
      </c>
      <c r="F973" s="195">
        <v>40</v>
      </c>
      <c r="G973" s="195">
        <v>20</v>
      </c>
      <c r="H973" s="213">
        <f>IF(COUNTIF(PDs!$E$78:$H$82,E973)&gt;0,1,0)</f>
        <v>0</v>
      </c>
      <c r="I973" s="1757" t="str">
        <f>IF(OR(NOT(Inhumanidad),NOT(UsodelKi),T.Manos_final&lt;50,DES&lt;10),"NO","-")</f>
        <v>NO</v>
      </c>
      <c r="J973" s="198" t="s">
        <v>1391</v>
      </c>
      <c r="K973" s="67"/>
      <c r="L973" s="67"/>
      <c r="M973" s="67"/>
      <c r="N973" s="67"/>
      <c r="O973" s="255"/>
      <c r="P973" s="67"/>
      <c r="Q973" s="67"/>
      <c r="R973" s="68"/>
    </row>
    <row r="974" spans="1:18" ht="12.75" customHeight="1" x14ac:dyDescent="0.2">
      <c r="A974" s="1916">
        <v>974</v>
      </c>
      <c r="B974" s="5148"/>
      <c r="C974" s="1658" t="str">
        <f t="shared" si="116"/>
        <v>Capricornius: Agujas</v>
      </c>
      <c r="D974" s="2288">
        <f t="shared" si="117"/>
        <v>4</v>
      </c>
      <c r="E974" s="411" t="s">
        <v>1392</v>
      </c>
      <c r="F974" s="195">
        <v>30</v>
      </c>
      <c r="G974" s="195">
        <v>30</v>
      </c>
      <c r="H974" s="213">
        <f>IF(COUNTIF(PDs!$E$78:$H$82,E974)&gt;0,1,0)</f>
        <v>0</v>
      </c>
      <c r="I974" s="1757" t="str">
        <f>IF(OR(NOT(Inhumanidad),NOT(UsodelKi),HA_final&lt;200,NOT(Extensióndelauraalarma),DES&lt;11,H973=0),"NO","-")</f>
        <v>NO</v>
      </c>
      <c r="J974" s="198" t="s">
        <v>1393</v>
      </c>
      <c r="K974" s="67"/>
      <c r="L974" s="67"/>
      <c r="M974" s="67"/>
      <c r="N974" s="67"/>
      <c r="O974" s="255"/>
      <c r="P974" s="67"/>
      <c r="Q974" s="67"/>
      <c r="R974" s="68"/>
    </row>
    <row r="975" spans="1:18" ht="12.75" customHeight="1" x14ac:dyDescent="0.2">
      <c r="A975" s="1916">
        <v>975</v>
      </c>
      <c r="B975" s="5148"/>
      <c r="C975" s="1658" t="str">
        <f t="shared" si="116"/>
        <v>Gémini: Marionetas</v>
      </c>
      <c r="D975" s="2288">
        <f t="shared" si="117"/>
        <v>8</v>
      </c>
      <c r="E975" s="411" t="s">
        <v>1394</v>
      </c>
      <c r="F975" s="195">
        <v>20</v>
      </c>
      <c r="G975" s="195">
        <v>10</v>
      </c>
      <c r="H975" s="213">
        <f>IF(COUNTIF(PDs!$E$78:$H$82,E975)&gt;0,1,0)</f>
        <v>0</v>
      </c>
      <c r="I975" s="1757" t="str">
        <f>IF(OR(NOT(Inhumanidad),NOT(UsodelKi)),"NO","-")</f>
        <v>NO</v>
      </c>
      <c r="J975" s="198" t="s">
        <v>1395</v>
      </c>
      <c r="K975" s="67"/>
      <c r="L975" s="67"/>
      <c r="M975" s="67"/>
      <c r="N975" s="67"/>
      <c r="O975" s="255"/>
      <c r="P975" s="67"/>
      <c r="Q975" s="67"/>
      <c r="R975" s="68"/>
    </row>
    <row r="976" spans="1:18" ht="12.75" customHeight="1" x14ac:dyDescent="0.2">
      <c r="A976" s="1916">
        <v>976</v>
      </c>
      <c r="B976" s="5148"/>
      <c r="C976" s="1658" t="str">
        <f t="shared" si="116"/>
        <v>Leo: Armas-pistola</v>
      </c>
      <c r="D976" s="2288">
        <f t="shared" si="117"/>
        <v>16</v>
      </c>
      <c r="E976" s="411" t="s">
        <v>1396</v>
      </c>
      <c r="F976" s="195">
        <v>50</v>
      </c>
      <c r="G976" s="195">
        <v>50</v>
      </c>
      <c r="H976" s="213">
        <f>IF(COUNTIF(PDs!$E$78:$H$82,E976)&gt;0,1,0)</f>
        <v>0</v>
      </c>
      <c r="I976" s="1757" t="str">
        <f>IF(OR(NOT(Inhumanidad),NOT(UsodelKi),HA_final&lt;140,NOT(Extensióndelauraalarma),Música_final&lt;100,Música_final="-"),"NO","-")</f>
        <v>NO</v>
      </c>
      <c r="J976" s="198" t="s">
        <v>1397</v>
      </c>
      <c r="K976" s="67"/>
      <c r="L976" s="67"/>
      <c r="M976" s="67"/>
      <c r="N976" s="67"/>
      <c r="O976" s="255"/>
      <c r="P976" s="67"/>
      <c r="Q976" s="67"/>
      <c r="R976" s="68"/>
    </row>
    <row r="977" spans="1:18" ht="12.75" customHeight="1" x14ac:dyDescent="0.2">
      <c r="A977" s="1916">
        <v>977</v>
      </c>
      <c r="B977" s="5148"/>
      <c r="C977" s="1658" t="str">
        <f t="shared" si="116"/>
        <v>Libra: Arma variable</v>
      </c>
      <c r="D977" s="2288">
        <f t="shared" si="117"/>
        <v>9</v>
      </c>
      <c r="E977" s="411" t="s">
        <v>1398</v>
      </c>
      <c r="F977" s="195">
        <v>30</v>
      </c>
      <c r="G977" s="195">
        <v>20</v>
      </c>
      <c r="H977" s="213">
        <f>IF(COUNTIF(PDs!$E$78:$H$82,E977)&gt;0,1,0)</f>
        <v>0</v>
      </c>
      <c r="I977" s="1757" t="str">
        <f>IF(OR(NOT(Inhumanidad),NOT(UsodelKi),HA_final&lt;160,HD_final&lt;160,NOT(Extensióndelauraalarma)),"NO","-")</f>
        <v>NO</v>
      </c>
      <c r="J977" s="198" t="s">
        <v>1399</v>
      </c>
      <c r="K977" s="67"/>
      <c r="L977" s="67"/>
      <c r="M977" s="67"/>
      <c r="N977" s="67"/>
      <c r="O977" s="255"/>
      <c r="P977" s="67"/>
      <c r="Q977" s="67"/>
      <c r="R977" s="68"/>
    </row>
    <row r="978" spans="1:18" ht="12.75" customHeight="1" x14ac:dyDescent="0.2">
      <c r="A978" s="1916">
        <v>978</v>
      </c>
      <c r="B978" s="5148"/>
      <c r="C978" s="1658" t="str">
        <f t="shared" si="116"/>
        <v>Ophiucos: Señor de Espadas Infinitas</v>
      </c>
      <c r="D978" s="2288">
        <f t="shared" si="117"/>
        <v>14</v>
      </c>
      <c r="E978" s="411" t="s">
        <v>1400</v>
      </c>
      <c r="F978" s="195">
        <v>10</v>
      </c>
      <c r="G978" s="195">
        <v>10</v>
      </c>
      <c r="H978" s="213">
        <f>IF(COUNTIF(PDs!$E$78:$H$82,E978)&gt;0,1,0)</f>
        <v>0</v>
      </c>
      <c r="I978" s="1757" t="str">
        <f>IF(OR(NOT(Inhumanidad),NOT(UsodelKi),HA_final&lt;140,NOT(Extensióndelauraalarma)),"NO","-")</f>
        <v>NO</v>
      </c>
      <c r="J978" s="198" t="s">
        <v>1401</v>
      </c>
      <c r="K978" s="67"/>
      <c r="L978" s="67"/>
      <c r="M978" s="67"/>
      <c r="N978" s="67"/>
      <c r="O978" s="255"/>
      <c r="P978" s="67"/>
      <c r="Q978" s="67"/>
      <c r="R978" s="68"/>
    </row>
    <row r="979" spans="1:18" ht="12.75" customHeight="1" x14ac:dyDescent="0.2">
      <c r="A979" s="1916">
        <v>979</v>
      </c>
      <c r="B979" s="5148"/>
      <c r="C979" s="1658" t="str">
        <f t="shared" si="116"/>
        <v>Piscis: Yoyó</v>
      </c>
      <c r="D979" s="2288">
        <f t="shared" si="117"/>
        <v>13</v>
      </c>
      <c r="E979" s="411" t="s">
        <v>1402</v>
      </c>
      <c r="F979" s="195">
        <v>40</v>
      </c>
      <c r="G979" s="195">
        <v>30</v>
      </c>
      <c r="H979" s="213">
        <f>IF(COUNTIF(PDs!$E$78:$H$82,E979)&gt;0,1,0)</f>
        <v>0</v>
      </c>
      <c r="I979" s="1757"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5"/>
      <c r="P979" s="67"/>
      <c r="Q979" s="67"/>
      <c r="R979" s="68"/>
    </row>
    <row r="980" spans="1:18" ht="12.75" customHeight="1" x14ac:dyDescent="0.2">
      <c r="A980" s="1916">
        <v>980</v>
      </c>
      <c r="B980" s="5148"/>
      <c r="C980" s="1658" t="str">
        <f t="shared" si="116"/>
        <v>Sagittarius Magister: Obj. arrojadizos</v>
      </c>
      <c r="D980" s="2288">
        <f t="shared" si="117"/>
        <v>12</v>
      </c>
      <c r="E980" s="411" t="s">
        <v>1404</v>
      </c>
      <c r="F980" s="195">
        <v>30</v>
      </c>
      <c r="G980" s="195">
        <v>30</v>
      </c>
      <c r="H980" s="213">
        <f>IF(COUNTIF(PDs!$E$78:$H$82,E980)&gt;0,1,0)</f>
        <v>0</v>
      </c>
      <c r="I980" s="1757" t="str">
        <f>IF(OR(NOT(Inhumanidad),NOT(UsodelKi),HA_final&lt;200,DES&lt;11,H979=0),"NO","-")</f>
        <v>NO</v>
      </c>
      <c r="J980" s="19" t="s">
        <v>1405</v>
      </c>
      <c r="K980" s="67"/>
      <c r="L980" s="67"/>
      <c r="M980" s="67"/>
      <c r="N980" s="67"/>
      <c r="O980" s="255"/>
      <c r="P980" s="67"/>
      <c r="Q980" s="67"/>
      <c r="R980" s="68"/>
    </row>
    <row r="981" spans="1:18" ht="12.75" customHeight="1" x14ac:dyDescent="0.2">
      <c r="A981" s="1916">
        <v>981</v>
      </c>
      <c r="B981" s="5148"/>
      <c r="C981" s="1658" t="str">
        <f t="shared" si="116"/>
        <v>Sagittarius: Objetos arrojadizos</v>
      </c>
      <c r="D981" s="2288">
        <f t="shared" si="117"/>
        <v>6</v>
      </c>
      <c r="E981" s="411" t="s">
        <v>1406</v>
      </c>
      <c r="F981" s="195">
        <v>20</v>
      </c>
      <c r="G981" s="195">
        <v>20</v>
      </c>
      <c r="H981" s="213">
        <f>IF(COUNTIF(PDs!$E$78:$H$82,E981)&gt;0,1,0)</f>
        <v>0</v>
      </c>
      <c r="I981" s="1757" t="str">
        <f>IF(OR(NOT(Inhumanidad),NOT(UsodelKi),HA_final&lt;100,DES&lt;9,Medicina_final="-",Medicina_final&lt;80),"NO","-")</f>
        <v>NO</v>
      </c>
      <c r="J981" s="19" t="s">
        <v>1407</v>
      </c>
      <c r="K981" s="67"/>
      <c r="L981" s="67"/>
      <c r="M981" s="67"/>
      <c r="N981" s="67"/>
      <c r="O981" s="255"/>
      <c r="P981" s="67"/>
      <c r="Q981" s="67"/>
      <c r="R981" s="68"/>
    </row>
    <row r="982" spans="1:18" ht="12.75" customHeight="1" x14ac:dyDescent="0.2">
      <c r="A982" s="1916">
        <v>982</v>
      </c>
      <c r="B982" s="5148"/>
      <c r="C982" s="1658" t="str">
        <f t="shared" si="116"/>
        <v>Scorpio: Espada-látigo</v>
      </c>
      <c r="D982" s="2288">
        <f t="shared" si="117"/>
        <v>2</v>
      </c>
      <c r="E982" s="411" t="s">
        <v>1408</v>
      </c>
      <c r="F982" s="195">
        <v>20</v>
      </c>
      <c r="G982" s="195">
        <v>20</v>
      </c>
      <c r="H982" s="213">
        <f>IF(COUNTIF(PDs!$E$78:$H$82,E982)&gt;0,1,0)</f>
        <v>0</v>
      </c>
      <c r="I982" s="1757" t="str">
        <f>IF(OR(NOT(Inhumanidad),NOT(UsodelKi),HA_final&lt;150,HD_final&lt;150,NOT(Extensióndelauraalarma)),"NO","-")</f>
        <v>NO</v>
      </c>
      <c r="J982" s="19" t="s">
        <v>1409</v>
      </c>
      <c r="K982" s="67"/>
      <c r="L982" s="67"/>
      <c r="M982" s="67"/>
      <c r="N982" s="67"/>
      <c r="O982" s="255"/>
      <c r="P982" s="67"/>
      <c r="Q982" s="67"/>
      <c r="R982" s="68"/>
    </row>
    <row r="983" spans="1:18" ht="12.75" customHeight="1" x14ac:dyDescent="0.2">
      <c r="A983" s="1916">
        <v>983</v>
      </c>
      <c r="B983" s="5148"/>
      <c r="C983" s="1658" t="str">
        <f t="shared" si="116"/>
        <v>Taurus: Enormes armas dobles</v>
      </c>
      <c r="D983" s="2288">
        <f t="shared" si="117"/>
        <v>11</v>
      </c>
      <c r="E983" s="411" t="s">
        <v>1410</v>
      </c>
      <c r="F983" s="195">
        <v>10</v>
      </c>
      <c r="G983" s="195">
        <v>20</v>
      </c>
      <c r="H983" s="213">
        <f>IF(COUNTIF(PDs!$E$78:$H$82,E983)&gt;0,1,0)</f>
        <v>0</v>
      </c>
      <c r="I983" s="1757" t="str">
        <f>IF(OR(NOT(Inhumanidad),NOT(UsodelKi),HA_final&lt;120,DES&lt;10),"NO","-")</f>
        <v>NO</v>
      </c>
      <c r="J983" s="19" t="s">
        <v>1411</v>
      </c>
      <c r="K983" s="67"/>
      <c r="L983" s="67"/>
      <c r="M983" s="67"/>
      <c r="N983" s="67"/>
      <c r="O983" s="255"/>
      <c r="P983" s="67"/>
      <c r="Q983" s="67"/>
      <c r="R983" s="68"/>
    </row>
    <row r="984" spans="1:18" ht="12.75" customHeight="1" x14ac:dyDescent="0.2">
      <c r="A984" s="1916">
        <v>984</v>
      </c>
      <c r="B984" s="5148"/>
      <c r="C984" s="1658" t="str">
        <f t="shared" si="116"/>
        <v>Virgo: Instruentos musicales</v>
      </c>
      <c r="D984" s="2288">
        <f t="shared" si="117"/>
        <v>10</v>
      </c>
      <c r="E984" s="411" t="s">
        <v>1412</v>
      </c>
      <c r="F984" s="195">
        <v>50</v>
      </c>
      <c r="G984" s="195">
        <v>100</v>
      </c>
      <c r="H984" s="213">
        <f>IF(COUNTIF(PDs!$E$78:$H$82,E984)&gt;0,1,0)</f>
        <v>0</v>
      </c>
      <c r="I984" s="1757" t="str">
        <f>IF(OR(NOT(Inhumanidad),NOT(UsodelKi),HA_final&lt;250,NOT(Extensióndelauraalarma),NOT(Zen)),"NO","-")</f>
        <v>NO</v>
      </c>
      <c r="J984" s="19" t="s">
        <v>1413</v>
      </c>
      <c r="K984" s="67"/>
      <c r="L984" s="67"/>
      <c r="M984" s="67"/>
      <c r="N984" s="67"/>
      <c r="O984" s="255"/>
      <c r="P984" s="67"/>
      <c r="Q984" s="67"/>
      <c r="R984" s="68"/>
    </row>
    <row r="985" spans="1:18" ht="12.75" customHeight="1" x14ac:dyDescent="0.2">
      <c r="A985" s="1916">
        <v>985</v>
      </c>
      <c r="B985" s="5148"/>
      <c r="C985" s="1658" t="str">
        <f t="shared" ref="C985:C994" si="118">VLOOKUP(A1,$D$985:$E$994,2,0)</f>
        <v>&gt; TABLAS DE COMBATE SOBRENATURAL</v>
      </c>
      <c r="D985" s="2288">
        <f t="shared" ref="D985:D994" si="119">COUNTIF($E$985:$E$994,"&lt;="&amp;E985)</f>
        <v>1</v>
      </c>
      <c r="E985" s="411" t="s">
        <v>1414</v>
      </c>
      <c r="F985" s="195">
        <v>0</v>
      </c>
      <c r="G985" s="195">
        <v>0</v>
      </c>
      <c r="H985" s="213"/>
      <c r="I985" s="1757" t="s">
        <v>1766</v>
      </c>
      <c r="J985" s="198" t="s">
        <v>1766</v>
      </c>
      <c r="K985" s="67"/>
      <c r="L985" s="67"/>
      <c r="M985" s="67"/>
      <c r="N985" s="67"/>
      <c r="O985" s="255"/>
      <c r="P985" s="67"/>
      <c r="Q985" s="67"/>
      <c r="R985" s="68"/>
    </row>
    <row r="986" spans="1:18" ht="12.75" customHeight="1" x14ac:dyDescent="0.2">
      <c r="A986" s="1916">
        <v>986</v>
      </c>
      <c r="B986" s="5148"/>
      <c r="C986" s="1658" t="str">
        <f t="shared" si="118"/>
        <v>Ataque a distancia</v>
      </c>
      <c r="D986" s="2288">
        <f t="shared" si="119"/>
        <v>3</v>
      </c>
      <c r="E986" s="411" t="s">
        <v>1415</v>
      </c>
      <c r="F986" s="195">
        <v>20</v>
      </c>
      <c r="G986" s="195">
        <v>10</v>
      </c>
      <c r="H986" s="213">
        <f>IF(COUNTIF(PDs!$E$78:$H$82,E986)&gt;0,1,0)</f>
        <v>0</v>
      </c>
      <c r="I986" s="1757" t="str">
        <f>IF(HA_final&lt;120,"NO","-")</f>
        <v>NO</v>
      </c>
      <c r="J986" s="19" t="s">
        <v>1416</v>
      </c>
      <c r="K986" s="67"/>
      <c r="L986" s="67"/>
      <c r="M986" s="67"/>
      <c r="N986" s="67"/>
      <c r="O986" s="255"/>
      <c r="P986" s="67"/>
      <c r="Q986" s="67"/>
      <c r="R986" s="68"/>
    </row>
    <row r="987" spans="1:18" ht="12.75" customHeight="1" x14ac:dyDescent="0.2">
      <c r="A987" s="1916">
        <v>987</v>
      </c>
      <c r="B987" s="5148"/>
      <c r="C987" s="1658" t="str">
        <f t="shared" si="118"/>
        <v>Atrapar</v>
      </c>
      <c r="D987" s="2288">
        <f t="shared" si="119"/>
        <v>4</v>
      </c>
      <c r="E987" s="411" t="s">
        <v>1417</v>
      </c>
      <c r="F987" s="195">
        <v>20</v>
      </c>
      <c r="G987" s="195">
        <v>20</v>
      </c>
      <c r="H987" s="213">
        <f>IF(COUNTIF(PDs!$E$78:$H$82,E987)&gt;0,1,0)</f>
        <v>0</v>
      </c>
      <c r="I987" s="1757" t="str">
        <f>IF(OR(HA_final&lt;140,HD_final&lt;140),"NO","-")</f>
        <v>NO</v>
      </c>
      <c r="J987" s="19" t="s">
        <v>1418</v>
      </c>
      <c r="K987" s="67"/>
      <c r="L987" s="67"/>
      <c r="M987" s="67"/>
      <c r="N987" s="67"/>
      <c r="O987" s="255"/>
      <c r="P987" s="67"/>
      <c r="Q987" s="67"/>
      <c r="R987" s="68"/>
    </row>
    <row r="988" spans="1:18" ht="12.75" customHeight="1" x14ac:dyDescent="0.2">
      <c r="A988" s="1916">
        <v>988</v>
      </c>
      <c r="B988" s="5148"/>
      <c r="C988" s="1658" t="str">
        <f t="shared" si="118"/>
        <v>Controlar a distancia</v>
      </c>
      <c r="D988" s="2288">
        <f t="shared" si="119"/>
        <v>2</v>
      </c>
      <c r="E988" s="411" t="s">
        <v>1419</v>
      </c>
      <c r="F988" s="195">
        <v>20</v>
      </c>
      <c r="G988" s="195">
        <v>20</v>
      </c>
      <c r="H988" s="213">
        <f>IF(COUNTIF(PDs!$E$78:$H$82,E988)&gt;0,1,0)</f>
        <v>0</v>
      </c>
      <c r="I988" s="1757" t="str">
        <f>IF(MAX(HA_final,Místicos!$P$13,Psíquicos!$P$12)&lt;120,"NO","-")</f>
        <v>NO</v>
      </c>
      <c r="J988" s="19" t="s">
        <v>1420</v>
      </c>
      <c r="K988" s="67"/>
      <c r="L988" s="67"/>
      <c r="M988" s="67"/>
      <c r="N988" s="67"/>
      <c r="O988" s="255"/>
      <c r="P988" s="67"/>
      <c r="Q988" s="67"/>
      <c r="R988" s="68"/>
    </row>
    <row r="989" spans="1:18" ht="12.75" customHeight="1" x14ac:dyDescent="0.2">
      <c r="A989" s="1916">
        <v>989</v>
      </c>
      <c r="B989" s="5148"/>
      <c r="C989" s="1658" t="str">
        <f t="shared" si="118"/>
        <v>Escudo protector</v>
      </c>
      <c r="D989" s="2288">
        <f t="shared" si="119"/>
        <v>7</v>
      </c>
      <c r="E989" s="411" t="s">
        <v>1421</v>
      </c>
      <c r="F989" s="195">
        <v>20</v>
      </c>
      <c r="G989" s="195">
        <v>0</v>
      </c>
      <c r="H989" s="213">
        <f>IF(COUNTIF(PDs!$E$78:$H$82,E989)&gt;0,1,0)</f>
        <v>0</v>
      </c>
      <c r="I989" s="1757" t="str">
        <f>IF(NOT(Ki!P27="-"),"NO","-")</f>
        <v>NO</v>
      </c>
      <c r="J989" s="19" t="s">
        <v>1422</v>
      </c>
      <c r="K989" s="67"/>
      <c r="L989" s="67"/>
      <c r="M989" s="67"/>
      <c r="N989" s="67"/>
      <c r="O989" s="255"/>
      <c r="P989" s="67"/>
      <c r="Q989" s="67"/>
      <c r="R989" s="68"/>
    </row>
    <row r="990" spans="1:18" ht="12.75" customHeight="1" x14ac:dyDescent="0.2">
      <c r="A990" s="1916">
        <v>990</v>
      </c>
      <c r="B990" s="5148"/>
      <c r="C990" s="1658" t="str">
        <f t="shared" si="118"/>
        <v>Incremento de daño</v>
      </c>
      <c r="D990" s="2288">
        <f t="shared" si="119"/>
        <v>6</v>
      </c>
      <c r="E990" s="411" t="s">
        <v>1423</v>
      </c>
      <c r="F990" s="195">
        <v>20</v>
      </c>
      <c r="G990" s="195">
        <v>20</v>
      </c>
      <c r="H990" s="213">
        <f>IF(COUNTIF(PDs!$E$78:$H$82,E990)&gt;0,1,0)</f>
        <v>0</v>
      </c>
      <c r="I990" s="1721" t="s">
        <v>1766</v>
      </c>
      <c r="J990" s="19" t="s">
        <v>1424</v>
      </c>
      <c r="K990" s="67"/>
      <c r="L990" s="67"/>
      <c r="M990" s="67"/>
      <c r="N990" s="67"/>
      <c r="O990" s="255"/>
      <c r="P990" s="67"/>
      <c r="Q990" s="67"/>
      <c r="R990" s="68"/>
    </row>
    <row r="991" spans="1:18" ht="12.75" customHeight="1" x14ac:dyDescent="0.2">
      <c r="A991" s="1916">
        <v>991</v>
      </c>
      <c r="B991" s="5148"/>
      <c r="C991" s="1658" t="str">
        <f t="shared" si="118"/>
        <v>Movimiento acelerado</v>
      </c>
      <c r="D991" s="2288">
        <f t="shared" si="119"/>
        <v>5</v>
      </c>
      <c r="E991" s="411" t="s">
        <v>1425</v>
      </c>
      <c r="F991" s="195">
        <v>10</v>
      </c>
      <c r="G991" s="195">
        <v>10</v>
      </c>
      <c r="H991" s="213">
        <f>IF(COUNTIF(PDs!$E$78:$H$82,E991)&gt;0,1,0)</f>
        <v>0</v>
      </c>
      <c r="I991" s="1757" t="str">
        <f>IF(NOT($L$708="Conocida"),"NO","-")</f>
        <v>NO</v>
      </c>
      <c r="J991" s="19" t="s">
        <v>1426</v>
      </c>
      <c r="K991" s="67"/>
      <c r="L991" s="67"/>
      <c r="M991" s="67"/>
      <c r="N991" s="67"/>
      <c r="O991" s="255"/>
      <c r="P991" s="67"/>
      <c r="Q991" s="67"/>
      <c r="R991" s="68"/>
    </row>
    <row r="992" spans="1:18" ht="12.75" customHeight="1" x14ac:dyDescent="0.2">
      <c r="A992" s="1916">
        <v>992</v>
      </c>
      <c r="B992" s="5148"/>
      <c r="C992" s="1658" t="str">
        <f t="shared" si="118"/>
        <v>Refuerzo físico</v>
      </c>
      <c r="D992" s="2288">
        <f t="shared" si="119"/>
        <v>8</v>
      </c>
      <c r="E992" s="411" t="s">
        <v>1427</v>
      </c>
      <c r="F992" s="195">
        <v>20</v>
      </c>
      <c r="G992" s="195">
        <v>10</v>
      </c>
      <c r="H992" s="213">
        <f>IF(COUNTIF(PDs!$E$78:$H$82,E992)&gt;0,1,0)</f>
        <v>0</v>
      </c>
      <c r="I992" s="1721" t="s">
        <v>1766</v>
      </c>
      <c r="J992" s="19" t="s">
        <v>1428</v>
      </c>
      <c r="K992" s="67"/>
      <c r="L992" s="67"/>
      <c r="M992" s="67"/>
      <c r="N992" s="67"/>
      <c r="O992" s="255"/>
      <c r="P992" s="67"/>
      <c r="Q992" s="67"/>
      <c r="R992" s="68"/>
    </row>
    <row r="993" spans="1:29" ht="12.75" customHeight="1" x14ac:dyDescent="0.2">
      <c r="A993" s="1916">
        <v>993</v>
      </c>
      <c r="B993" s="5148"/>
      <c r="C993" s="1658" t="str">
        <f t="shared" si="118"/>
        <v>Técnica característica</v>
      </c>
      <c r="D993" s="2288">
        <f t="shared" si="119"/>
        <v>9</v>
      </c>
      <c r="E993" s="411" t="s">
        <v>1429</v>
      </c>
      <c r="F993" s="195">
        <v>40</v>
      </c>
      <c r="G993" s="195">
        <v>30</v>
      </c>
      <c r="H993" s="213">
        <f>IF(COUNTIF(PDs!$E$78:$H$82,E993)&gt;0,1,0)</f>
        <v>0</v>
      </c>
      <c r="I993" s="1757" t="str">
        <f>IF(OR(HA_final&lt;120,HD_final&lt;120),"NO","-")</f>
        <v>NO</v>
      </c>
      <c r="J993" s="19" t="s">
        <v>1430</v>
      </c>
      <c r="K993" s="67"/>
      <c r="L993" s="67"/>
      <c r="M993" s="67"/>
      <c r="N993" s="67"/>
      <c r="O993" s="255"/>
      <c r="P993" s="67"/>
      <c r="Q993" s="67"/>
      <c r="R993" s="68"/>
    </row>
    <row r="994" spans="1:29" ht="12.75" customHeight="1" thickBot="1" x14ac:dyDescent="0.25">
      <c r="A994" s="1916">
        <v>994</v>
      </c>
      <c r="B994" s="5148"/>
      <c r="C994" s="450" t="str">
        <f t="shared" si="118"/>
        <v>Técnica mayor</v>
      </c>
      <c r="D994" s="449">
        <f t="shared" si="119"/>
        <v>10</v>
      </c>
      <c r="E994" s="433" t="s">
        <v>1431</v>
      </c>
      <c r="F994" s="456">
        <v>20</v>
      </c>
      <c r="G994" s="456">
        <v>20</v>
      </c>
      <c r="H994" s="384">
        <f>IF(COUNTIF(PDs!$E$78:$H$82,E994)&gt;0,1,0)</f>
        <v>0</v>
      </c>
      <c r="I994" s="1758" t="str">
        <f>IF(OR(HA_final&lt;180,H993=0,HD_final&lt;180),"NO","-")</f>
        <v>NO</v>
      </c>
      <c r="J994" s="41" t="s">
        <v>1432</v>
      </c>
      <c r="K994" s="179"/>
      <c r="L994" s="179"/>
      <c r="M994" s="179"/>
      <c r="N994" s="179"/>
      <c r="O994" s="1754"/>
      <c r="P994" s="179"/>
      <c r="Q994" s="179"/>
      <c r="R994" s="180"/>
    </row>
    <row r="995" spans="1:29" ht="12.75" customHeight="1" thickBot="1" x14ac:dyDescent="0.25">
      <c r="A995" s="1916">
        <v>995</v>
      </c>
      <c r="B995" s="5148"/>
      <c r="H995" s="363"/>
      <c r="N995" s="363"/>
    </row>
    <row r="996" spans="1:29" ht="12.75" customHeight="1" thickBot="1" x14ac:dyDescent="0.25">
      <c r="A996" s="1916">
        <v>996</v>
      </c>
      <c r="B996" s="5148"/>
      <c r="C996" s="5216" t="s">
        <v>1433</v>
      </c>
      <c r="D996" s="5216"/>
      <c r="E996" s="5216"/>
      <c r="F996" s="5216"/>
      <c r="G996" s="5216"/>
      <c r="H996" s="5216"/>
      <c r="I996" s="5216"/>
      <c r="J996" s="5216"/>
      <c r="K996" s="5216"/>
      <c r="L996" s="5216"/>
      <c r="N996" s="363"/>
    </row>
    <row r="997" spans="1:29" ht="12.75" customHeight="1" x14ac:dyDescent="0.2">
      <c r="A997" s="1916">
        <v>997</v>
      </c>
      <c r="B997" s="5148"/>
      <c r="C997" s="5216"/>
      <c r="D997" s="5216"/>
      <c r="E997" s="5216"/>
      <c r="F997" s="5216"/>
      <c r="G997" s="5216"/>
      <c r="H997" s="5216"/>
      <c r="I997" s="5216"/>
      <c r="J997" s="5216"/>
      <c r="K997" s="5216"/>
      <c r="L997" s="5216"/>
      <c r="N997" s="363"/>
    </row>
    <row r="998" spans="1:29" ht="12.75" customHeight="1" thickBot="1" x14ac:dyDescent="0.25">
      <c r="A998" s="1916">
        <v>998</v>
      </c>
      <c r="B998" s="5148"/>
      <c r="C998" s="5181" t="s">
        <v>2947</v>
      </c>
      <c r="D998" s="5181"/>
      <c r="E998" s="5181"/>
      <c r="F998" s="367" t="s">
        <v>1801</v>
      </c>
      <c r="G998" s="5182" t="s">
        <v>1861</v>
      </c>
      <c r="H998" s="5182"/>
      <c r="I998" s="5182"/>
      <c r="J998" s="5182"/>
      <c r="K998" s="5182"/>
      <c r="L998" s="5182"/>
      <c r="N998" s="363"/>
    </row>
    <row r="999" spans="1:29" ht="12.75" customHeight="1" x14ac:dyDescent="0.2">
      <c r="A999" s="1916">
        <v>999</v>
      </c>
      <c r="B999" s="5148"/>
      <c r="C999" s="208"/>
      <c r="D999" s="118"/>
      <c r="E999" s="462" t="s">
        <v>1434</v>
      </c>
      <c r="F999" s="386">
        <v>75</v>
      </c>
      <c r="G999" s="463" t="s">
        <v>1435</v>
      </c>
      <c r="H999" s="118"/>
      <c r="I999" s="1750"/>
      <c r="J999" s="118"/>
      <c r="K999" s="118"/>
      <c r="L999" s="209"/>
      <c r="N999" s="363"/>
    </row>
    <row r="1000" spans="1:29" ht="12.75" customHeight="1" x14ac:dyDescent="0.2">
      <c r="A1000" s="1916">
        <v>1000</v>
      </c>
      <c r="B1000" s="5148"/>
      <c r="C1000" s="65"/>
      <c r="D1000" s="67"/>
      <c r="E1000" s="441" t="s">
        <v>1436</v>
      </c>
      <c r="F1000" s="213">
        <v>75</v>
      </c>
      <c r="G1000" s="80" t="s">
        <v>1437</v>
      </c>
      <c r="H1000" s="67"/>
      <c r="I1000" s="255"/>
      <c r="J1000" s="67"/>
      <c r="K1000" s="67"/>
      <c r="L1000" s="68"/>
      <c r="N1000" s="363"/>
    </row>
    <row r="1001" spans="1:29" ht="12.75" customHeight="1" thickBot="1" x14ac:dyDescent="0.25">
      <c r="A1001" s="1916">
        <v>1001</v>
      </c>
      <c r="B1001" s="5148"/>
      <c r="C1001" s="178"/>
      <c r="D1001" s="179"/>
      <c r="E1001" s="442" t="s">
        <v>1438</v>
      </c>
      <c r="F1001" s="384">
        <v>100</v>
      </c>
      <c r="G1001" s="464" t="s">
        <v>1439</v>
      </c>
      <c r="H1001" s="449"/>
      <c r="I1001" s="449"/>
      <c r="J1001" s="449"/>
      <c r="K1001" s="449"/>
      <c r="L1001" s="180"/>
      <c r="N1001" s="363"/>
    </row>
    <row r="1002" spans="1:29" ht="12.75" customHeight="1" x14ac:dyDescent="0.2">
      <c r="A1002" s="1916">
        <v>1002</v>
      </c>
      <c r="B1002" s="5148"/>
      <c r="H1002" s="363"/>
      <c r="I1002" s="1653"/>
      <c r="N1002" s="363"/>
      <c r="O1002" s="1999"/>
      <c r="AB1002" s="363"/>
      <c r="AC1002" s="2563"/>
    </row>
    <row r="1003" spans="1:29" ht="12.75" customHeight="1" x14ac:dyDescent="0.2">
      <c r="A1003" s="1916">
        <v>1003</v>
      </c>
      <c r="B1003" s="5148"/>
      <c r="H1003" s="363"/>
      <c r="I1003" s="1653"/>
      <c r="N1003" s="363"/>
      <c r="O1003" s="1999"/>
      <c r="AB1003" s="363"/>
      <c r="AC1003" s="2563"/>
    </row>
    <row r="1004" spans="1:29" ht="12.75" customHeight="1" x14ac:dyDescent="0.2">
      <c r="A1004" s="1916">
        <v>1004</v>
      </c>
      <c r="B1004" s="5148"/>
      <c r="H1004" s="363"/>
      <c r="I1004" s="1653"/>
      <c r="N1004" s="363"/>
      <c r="O1004" s="1999"/>
      <c r="AB1004" s="363"/>
      <c r="AC1004" s="1915"/>
    </row>
    <row r="1005" spans="1:29" ht="12.75" customHeight="1" x14ac:dyDescent="0.2">
      <c r="A1005" s="1916">
        <v>1005</v>
      </c>
      <c r="B1005" s="5148"/>
      <c r="H1005" s="363"/>
      <c r="I1005" s="1653"/>
      <c r="N1005" s="363"/>
      <c r="O1005" s="1999"/>
      <c r="AB1005" s="363"/>
      <c r="AC1005" s="1915"/>
    </row>
    <row r="1006" spans="1:29" ht="12.75" customHeight="1" x14ac:dyDescent="0.2">
      <c r="A1006" s="1916">
        <v>1006</v>
      </c>
      <c r="B1006" s="5144"/>
      <c r="C1006" s="5143" t="s">
        <v>8940</v>
      </c>
      <c r="D1006" s="5143"/>
      <c r="E1006" s="5143"/>
      <c r="F1006" s="5143"/>
      <c r="G1006" s="5143"/>
      <c r="H1006" s="5143"/>
      <c r="I1006" s="5143"/>
      <c r="J1006" s="5143"/>
      <c r="K1006" s="5143"/>
      <c r="L1006" s="5143"/>
      <c r="M1006" s="5143"/>
      <c r="N1006" s="5143"/>
      <c r="O1006" s="5143"/>
      <c r="P1006" s="5143"/>
      <c r="Q1006" s="5143"/>
      <c r="R1006" s="5143"/>
      <c r="S1006" s="5143"/>
      <c r="T1006" s="5143"/>
      <c r="U1006" s="5143"/>
      <c r="V1006" s="5143"/>
      <c r="W1006" s="5143"/>
      <c r="X1006" s="5143"/>
      <c r="Y1006" s="5143"/>
      <c r="Z1006" s="5143"/>
      <c r="AA1006" s="5143"/>
      <c r="AB1006" s="5143"/>
      <c r="AC1006" s="5143"/>
    </row>
    <row r="1007" spans="1:29" ht="12.75" customHeight="1" x14ac:dyDescent="0.2">
      <c r="A1007" s="1916">
        <v>1007</v>
      </c>
      <c r="B1007" s="5144"/>
      <c r="C1007" s="5143"/>
      <c r="D1007" s="5143"/>
      <c r="E1007" s="5143"/>
      <c r="F1007" s="5143"/>
      <c r="G1007" s="5143"/>
      <c r="H1007" s="5143"/>
      <c r="I1007" s="5143"/>
      <c r="J1007" s="5143"/>
      <c r="K1007" s="5143"/>
      <c r="L1007" s="5143"/>
      <c r="M1007" s="5143"/>
      <c r="N1007" s="5143"/>
      <c r="O1007" s="5143"/>
      <c r="P1007" s="5143"/>
      <c r="Q1007" s="5143"/>
      <c r="R1007" s="5143"/>
      <c r="S1007" s="5143"/>
      <c r="T1007" s="5143"/>
      <c r="U1007" s="5143"/>
      <c r="V1007" s="5143"/>
      <c r="W1007" s="5143"/>
      <c r="X1007" s="5143"/>
      <c r="Y1007" s="5143"/>
      <c r="Z1007" s="5143"/>
      <c r="AA1007" s="5143"/>
      <c r="AB1007" s="5143"/>
      <c r="AC1007" s="5143"/>
    </row>
    <row r="1008" spans="1:29" ht="12.75" customHeight="1" x14ac:dyDescent="0.2">
      <c r="A1008" s="1916">
        <v>1008</v>
      </c>
      <c r="B1008" s="5144"/>
      <c r="C1008" s="5143"/>
      <c r="D1008" s="5143"/>
      <c r="E1008" s="5143"/>
      <c r="F1008" s="5143"/>
      <c r="G1008" s="5143"/>
      <c r="H1008" s="5143"/>
      <c r="I1008" s="5143"/>
      <c r="J1008" s="5143"/>
      <c r="K1008" s="5143"/>
      <c r="L1008" s="5143"/>
      <c r="M1008" s="5143"/>
      <c r="N1008" s="5143"/>
      <c r="O1008" s="5143"/>
      <c r="P1008" s="5143"/>
      <c r="Q1008" s="5143"/>
      <c r="R1008" s="5143"/>
      <c r="S1008" s="5143"/>
      <c r="T1008" s="5143"/>
      <c r="U1008" s="5143"/>
      <c r="V1008" s="5143"/>
      <c r="W1008" s="5143"/>
      <c r="X1008" s="5143"/>
      <c r="Y1008" s="5143"/>
      <c r="Z1008" s="5143"/>
      <c r="AA1008" s="5143"/>
      <c r="AB1008" s="5143"/>
      <c r="AC1008" s="5143"/>
    </row>
    <row r="1009" spans="1:29" ht="12.75" customHeight="1" thickBot="1" x14ac:dyDescent="0.25">
      <c r="A1009" s="1916">
        <v>1009</v>
      </c>
      <c r="B1009" s="5144"/>
      <c r="H1009" s="363"/>
      <c r="I1009" s="1653"/>
      <c r="N1009" s="363"/>
      <c r="O1009" s="1999"/>
      <c r="S1009" s="2563"/>
      <c r="AB1009" s="363"/>
      <c r="AC1009" s="1915"/>
    </row>
    <row r="1010" spans="1:29" ht="12.75" customHeight="1" thickBot="1" x14ac:dyDescent="0.25">
      <c r="A1010" s="1916">
        <v>1010</v>
      </c>
      <c r="B1010" s="5144"/>
      <c r="C1010" s="5265" t="s">
        <v>1514</v>
      </c>
      <c r="D1010" s="5265"/>
      <c r="E1010" s="5265"/>
      <c r="F1010" s="5265"/>
      <c r="G1010" s="5265"/>
      <c r="H1010" s="5265"/>
      <c r="I1010" s="5265"/>
      <c r="J1010" s="5265"/>
      <c r="K1010" s="5265"/>
      <c r="L1010" s="5265"/>
      <c r="M1010" s="5265"/>
      <c r="N1010" s="363"/>
      <c r="O1010" s="1999"/>
      <c r="P1010" s="3251" t="s">
        <v>1440</v>
      </c>
      <c r="Q1010" s="3251"/>
      <c r="S1010" s="3251" t="s">
        <v>94</v>
      </c>
      <c r="T1010" s="3251"/>
      <c r="U1010" s="3251"/>
      <c r="Y1010" s="5259" t="s">
        <v>915</v>
      </c>
      <c r="Z1010" s="5259"/>
      <c r="AA1010" s="5259"/>
      <c r="AB1010" s="5259"/>
      <c r="AC1010" s="5259"/>
    </row>
    <row r="1011" spans="1:29" ht="12.75" customHeight="1" x14ac:dyDescent="0.2">
      <c r="A1011" s="1916">
        <v>1011</v>
      </c>
      <c r="B1011" s="5144"/>
      <c r="C1011" s="5265"/>
      <c r="D1011" s="5265"/>
      <c r="E1011" s="5265"/>
      <c r="F1011" s="5265"/>
      <c r="G1011" s="5265"/>
      <c r="H1011" s="5265"/>
      <c r="I1011" s="5265"/>
      <c r="J1011" s="5265"/>
      <c r="K1011" s="5265"/>
      <c r="L1011" s="5265"/>
      <c r="M1011" s="5265"/>
      <c r="N1011" s="363"/>
      <c r="O1011" s="1999"/>
      <c r="P1011" s="3251"/>
      <c r="Q1011" s="3251"/>
      <c r="S1011" s="3251"/>
      <c r="T1011" s="3251"/>
      <c r="U1011" s="3251"/>
      <c r="Y1011" s="5259"/>
      <c r="Z1011" s="5259"/>
      <c r="AA1011" s="5259"/>
      <c r="AB1011" s="5259"/>
      <c r="AC1011" s="5259"/>
    </row>
    <row r="1012" spans="1:29" ht="12.75" customHeight="1" thickBot="1" x14ac:dyDescent="0.25">
      <c r="A1012" s="1916">
        <v>1012</v>
      </c>
      <c r="B1012" s="5144"/>
      <c r="C1012" s="5263" t="s">
        <v>1957</v>
      </c>
      <c r="D1012" s="5263"/>
      <c r="E1012" s="399" t="s">
        <v>1801</v>
      </c>
      <c r="F1012" s="5264" t="s">
        <v>1861</v>
      </c>
      <c r="G1012" s="5264"/>
      <c r="H1012" s="5264"/>
      <c r="I1012" s="5264"/>
      <c r="J1012" s="5264"/>
      <c r="K1012" s="5264"/>
      <c r="L1012" s="5264"/>
      <c r="M1012" s="5264"/>
      <c r="N1012" s="363"/>
      <c r="O1012" s="1999"/>
      <c r="P1012" s="366" t="s">
        <v>1695</v>
      </c>
      <c r="Q1012" s="368" t="s">
        <v>1441</v>
      </c>
      <c r="S1012" s="515" t="s">
        <v>95</v>
      </c>
      <c r="T1012" s="367" t="s">
        <v>96</v>
      </c>
      <c r="U1012" s="368" t="s">
        <v>97</v>
      </c>
      <c r="Y1012" s="5260" t="s">
        <v>1751</v>
      </c>
      <c r="Z1012" s="5260"/>
      <c r="AA1012" s="5260"/>
      <c r="AB1012" s="367" t="s">
        <v>1665</v>
      </c>
      <c r="AC1012" s="368" t="s">
        <v>1820</v>
      </c>
    </row>
    <row r="1013" spans="1:29" ht="12.75" customHeight="1" x14ac:dyDescent="0.2">
      <c r="A1013" s="1916">
        <v>1013</v>
      </c>
      <c r="B1013" s="5144"/>
      <c r="C1013" s="486"/>
      <c r="D1013" s="487" t="s">
        <v>1515</v>
      </c>
      <c r="E1013" s="488">
        <v>20</v>
      </c>
      <c r="F1013" s="489" t="s">
        <v>1516</v>
      </c>
      <c r="G1013" s="67"/>
      <c r="H1013" s="67"/>
      <c r="I1013" s="255"/>
      <c r="J1013" s="67"/>
      <c r="K1013" s="67"/>
      <c r="L1013" s="67"/>
      <c r="M1013" s="68"/>
      <c r="N1013" s="363"/>
      <c r="O1013" s="1999"/>
      <c r="P1013" s="385">
        <v>1</v>
      </c>
      <c r="Q1013" s="387">
        <v>0</v>
      </c>
      <c r="S1013" s="497">
        <v>4</v>
      </c>
      <c r="T1013" s="213">
        <v>1</v>
      </c>
      <c r="U1013" s="234">
        <v>1</v>
      </c>
      <c r="Y1013" s="1658" t="str">
        <f t="shared" ref="Y1013:Y1057" si="120">VLOOKUP(A1,$Z$1013:$AA$1057,2,0)</f>
        <v>&gt; ARCANOS</v>
      </c>
      <c r="Z1013" s="2266">
        <f t="shared" ref="Z1013:Z1057" si="121">COUNTIF($AA$1013:$AA$1057,"&lt;="&amp;AA1013)</f>
        <v>1</v>
      </c>
      <c r="AA1013" s="519" t="s">
        <v>916</v>
      </c>
      <c r="AB1013" s="526"/>
      <c r="AC1013" s="520"/>
    </row>
    <row r="1014" spans="1:29" ht="12.75" customHeight="1" x14ac:dyDescent="0.2">
      <c r="A1014" s="1916">
        <v>1014</v>
      </c>
      <c r="B1014" s="5144"/>
      <c r="C1014" s="216"/>
      <c r="D1014" s="487" t="s">
        <v>1517</v>
      </c>
      <c r="E1014" s="488">
        <v>15</v>
      </c>
      <c r="F1014" s="489" t="s">
        <v>1518</v>
      </c>
      <c r="G1014" s="67"/>
      <c r="H1014" s="67"/>
      <c r="I1014" s="255"/>
      <c r="J1014" s="67"/>
      <c r="K1014" s="67"/>
      <c r="L1014" s="67"/>
      <c r="M1014" s="68"/>
      <c r="N1014" s="363"/>
      <c r="O1014" s="1999"/>
      <c r="P1014" s="388">
        <v>2</v>
      </c>
      <c r="Q1014" s="234">
        <v>0</v>
      </c>
      <c r="S1014" s="497">
        <v>8</v>
      </c>
      <c r="T1014" s="213">
        <v>1</v>
      </c>
      <c r="U1014" s="234">
        <v>2</v>
      </c>
      <c r="Y1014" s="1658" t="str">
        <f t="shared" si="120"/>
        <v>El Carro</v>
      </c>
      <c r="Z1014" s="2266">
        <f t="shared" si="121"/>
        <v>16</v>
      </c>
      <c r="AA1014" s="521" t="s">
        <v>917</v>
      </c>
      <c r="AB1014" s="527">
        <v>120</v>
      </c>
      <c r="AC1014" s="520">
        <v>100</v>
      </c>
    </row>
    <row r="1015" spans="1:29" ht="12.75" customHeight="1" x14ac:dyDescent="0.2">
      <c r="A1015" s="1916">
        <v>1015</v>
      </c>
      <c r="B1015" s="5144"/>
      <c r="C1015" s="216"/>
      <c r="D1015" s="487" t="s">
        <v>1519</v>
      </c>
      <c r="E1015" s="488">
        <v>20</v>
      </c>
      <c r="F1015" s="489" t="s">
        <v>1520</v>
      </c>
      <c r="G1015" s="67"/>
      <c r="H1015" s="67"/>
      <c r="I1015" s="255"/>
      <c r="J1015" s="67"/>
      <c r="K1015" s="67"/>
      <c r="L1015" s="67"/>
      <c r="M1015" s="68"/>
      <c r="N1015" s="363"/>
      <c r="O1015" s="1999"/>
      <c r="P1015" s="388">
        <v>3</v>
      </c>
      <c r="Q1015" s="234">
        <v>0</v>
      </c>
      <c r="S1015" s="216">
        <v>14</v>
      </c>
      <c r="T1015" s="213">
        <v>2</v>
      </c>
      <c r="U1015" s="234">
        <v>3</v>
      </c>
      <c r="Y1015" s="1658" t="str">
        <f t="shared" si="120"/>
        <v>El Carro invertido</v>
      </c>
      <c r="Z1015" s="2266">
        <f t="shared" si="121"/>
        <v>12</v>
      </c>
      <c r="AA1015" s="369" t="s">
        <v>918</v>
      </c>
      <c r="AB1015" s="213">
        <v>130</v>
      </c>
      <c r="AC1015" s="234">
        <v>100</v>
      </c>
    </row>
    <row r="1016" spans="1:29" ht="12.75" customHeight="1" x14ac:dyDescent="0.2">
      <c r="A1016" s="1916">
        <v>1016</v>
      </c>
      <c r="B1016" s="5144"/>
      <c r="C1016" s="216"/>
      <c r="D1016" s="487" t="s">
        <v>1521</v>
      </c>
      <c r="E1016" s="488">
        <v>10</v>
      </c>
      <c r="F1016" s="489" t="s">
        <v>1522</v>
      </c>
      <c r="G1016" s="67"/>
      <c r="H1016" s="67"/>
      <c r="I1016" s="255"/>
      <c r="J1016" s="67"/>
      <c r="K1016" s="67"/>
      <c r="L1016" s="67"/>
      <c r="M1016" s="68"/>
      <c r="N1016" s="363"/>
      <c r="O1016" s="1999"/>
      <c r="P1016" s="388">
        <v>4</v>
      </c>
      <c r="Q1016" s="234">
        <v>0</v>
      </c>
      <c r="S1016" s="216">
        <v>18</v>
      </c>
      <c r="T1016" s="213">
        <v>2</v>
      </c>
      <c r="U1016" s="234">
        <v>4</v>
      </c>
      <c r="Y1016" s="1658" t="str">
        <f t="shared" si="120"/>
        <v>El Colgado</v>
      </c>
      <c r="Z1016" s="2266">
        <f t="shared" si="121"/>
        <v>38</v>
      </c>
      <c r="AA1016" s="369" t="s">
        <v>919</v>
      </c>
      <c r="AB1016" s="213">
        <v>140</v>
      </c>
      <c r="AC1016" s="234">
        <v>150</v>
      </c>
    </row>
    <row r="1017" spans="1:29" ht="12.75" customHeight="1" x14ac:dyDescent="0.2">
      <c r="A1017" s="1916">
        <v>1017</v>
      </c>
      <c r="B1017" s="5144"/>
      <c r="C1017" s="216"/>
      <c r="D1017" s="487" t="s">
        <v>1523</v>
      </c>
      <c r="E1017" s="488">
        <v>10</v>
      </c>
      <c r="F1017" s="489" t="s">
        <v>1524</v>
      </c>
      <c r="G1017" s="67"/>
      <c r="H1017" s="67"/>
      <c r="I1017" s="255"/>
      <c r="J1017" s="67"/>
      <c r="K1017" s="67"/>
      <c r="L1017" s="67"/>
      <c r="M1017" s="68"/>
      <c r="N1017" s="363"/>
      <c r="O1017" s="1999"/>
      <c r="P1017" s="388">
        <v>5</v>
      </c>
      <c r="Q1017" s="234">
        <v>0</v>
      </c>
      <c r="S1017" s="216">
        <v>24</v>
      </c>
      <c r="T1017" s="213">
        <v>3</v>
      </c>
      <c r="U1017" s="234">
        <v>5</v>
      </c>
      <c r="Y1017" s="1658" t="str">
        <f t="shared" si="120"/>
        <v>El Colgado invertido</v>
      </c>
      <c r="Z1017" s="2266">
        <f t="shared" si="121"/>
        <v>24</v>
      </c>
      <c r="AA1017" s="369" t="s">
        <v>920</v>
      </c>
      <c r="AB1017" s="213">
        <v>150</v>
      </c>
      <c r="AC1017" s="234">
        <v>200</v>
      </c>
    </row>
    <row r="1018" spans="1:29" ht="12.75" customHeight="1" x14ac:dyDescent="0.2">
      <c r="A1018" s="1916">
        <v>1018</v>
      </c>
      <c r="B1018" s="5144"/>
      <c r="C1018" s="216"/>
      <c r="D1018" s="487" t="s">
        <v>1525</v>
      </c>
      <c r="E1018" s="488">
        <v>20</v>
      </c>
      <c r="F1018" s="489" t="s">
        <v>1526</v>
      </c>
      <c r="G1018" s="67"/>
      <c r="H1018" s="67"/>
      <c r="I1018" s="255"/>
      <c r="J1018" s="67"/>
      <c r="K1018" s="67"/>
      <c r="L1018" s="67"/>
      <c r="M1018" s="68"/>
      <c r="N1018" s="363"/>
      <c r="O1018" s="1999"/>
      <c r="P1018" s="389">
        <v>6</v>
      </c>
      <c r="Q1018" s="234">
        <v>10</v>
      </c>
      <c r="S1018" s="216">
        <v>28</v>
      </c>
      <c r="T1018" s="213">
        <v>3</v>
      </c>
      <c r="U1018" s="234">
        <v>6</v>
      </c>
      <c r="Y1018" s="1658" t="str">
        <f t="shared" si="120"/>
        <v>El Diablo</v>
      </c>
      <c r="Z1018" s="2266">
        <f t="shared" si="121"/>
        <v>8</v>
      </c>
      <c r="AA1018" s="369" t="s">
        <v>921</v>
      </c>
      <c r="AB1018" s="213">
        <v>160</v>
      </c>
      <c r="AC1018" s="234">
        <v>200</v>
      </c>
    </row>
    <row r="1019" spans="1:29" ht="12.75" customHeight="1" thickBot="1" x14ac:dyDescent="0.25">
      <c r="A1019" s="1916">
        <v>1019</v>
      </c>
      <c r="B1019" s="5144"/>
      <c r="C1019" s="383"/>
      <c r="D1019" s="490" t="s">
        <v>1527</v>
      </c>
      <c r="E1019" s="491">
        <v>10</v>
      </c>
      <c r="F1019" s="492" t="s">
        <v>1528</v>
      </c>
      <c r="G1019" s="179"/>
      <c r="H1019" s="179"/>
      <c r="I1019" s="1754"/>
      <c r="J1019" s="179"/>
      <c r="K1019" s="179"/>
      <c r="L1019" s="179"/>
      <c r="M1019" s="180"/>
      <c r="N1019" s="363"/>
      <c r="O1019" s="1999"/>
      <c r="P1019" s="389">
        <v>7</v>
      </c>
      <c r="Q1019" s="234">
        <v>20</v>
      </c>
      <c r="S1019" s="216">
        <v>34</v>
      </c>
      <c r="T1019" s="213">
        <v>4</v>
      </c>
      <c r="U1019" s="234">
        <v>7</v>
      </c>
      <c r="Y1019" s="1658" t="str">
        <f t="shared" si="120"/>
        <v>El Diablo invertido</v>
      </c>
      <c r="Z1019" s="2266">
        <f t="shared" si="121"/>
        <v>22</v>
      </c>
      <c r="AA1019" s="369" t="s">
        <v>922</v>
      </c>
      <c r="AB1019" s="213">
        <v>170</v>
      </c>
      <c r="AC1019" s="234">
        <v>250</v>
      </c>
    </row>
    <row r="1020" spans="1:29" ht="12.75" customHeight="1" thickBot="1" x14ac:dyDescent="0.25">
      <c r="A1020" s="1916">
        <v>1020</v>
      </c>
      <c r="B1020" s="5144"/>
      <c r="H1020" s="363"/>
      <c r="I1020" s="1653"/>
      <c r="L1020" s="483"/>
      <c r="N1020" s="363"/>
      <c r="O1020" s="1999"/>
      <c r="P1020" s="389">
        <v>8</v>
      </c>
      <c r="Q1020" s="234">
        <v>30</v>
      </c>
      <c r="S1020" s="216">
        <v>38</v>
      </c>
      <c r="T1020" s="213">
        <v>4</v>
      </c>
      <c r="U1020" s="234">
        <v>8</v>
      </c>
      <c r="Y1020" s="1658" t="str">
        <f t="shared" si="120"/>
        <v>El Emperador</v>
      </c>
      <c r="Z1020" s="2266">
        <f t="shared" si="121"/>
        <v>44</v>
      </c>
      <c r="AA1020" s="369" t="s">
        <v>923</v>
      </c>
      <c r="AB1020" s="213">
        <v>180</v>
      </c>
      <c r="AC1020" s="234">
        <v>250</v>
      </c>
    </row>
    <row r="1021" spans="1:29" ht="12.75" customHeight="1" thickBot="1" x14ac:dyDescent="0.25">
      <c r="A1021" s="1916">
        <v>1021</v>
      </c>
      <c r="B1021" s="5144"/>
      <c r="C1021" s="5142" t="s">
        <v>1529</v>
      </c>
      <c r="E1021" s="5261" t="s">
        <v>8423</v>
      </c>
      <c r="G1021" s="4252" t="s">
        <v>8427</v>
      </c>
      <c r="H1021" s="4093"/>
      <c r="I1021" s="5266" t="s">
        <v>7759</v>
      </c>
      <c r="K1021" s="3201" t="s">
        <v>1533</v>
      </c>
      <c r="L1021" s="483"/>
      <c r="M1021" s="5259" t="s">
        <v>1447</v>
      </c>
      <c r="N1021" s="5259"/>
      <c r="O1021" s="1999"/>
      <c r="P1021" s="389">
        <v>9</v>
      </c>
      <c r="Q1021" s="234">
        <v>40</v>
      </c>
      <c r="S1021" s="216">
        <v>44</v>
      </c>
      <c r="T1021" s="213">
        <v>5</v>
      </c>
      <c r="U1021" s="234">
        <v>9</v>
      </c>
      <c r="Y1021" s="1658" t="str">
        <f t="shared" si="120"/>
        <v>El Emperador invertido</v>
      </c>
      <c r="Z1021" s="2266">
        <f t="shared" si="121"/>
        <v>2</v>
      </c>
      <c r="AA1021" s="369" t="s">
        <v>924</v>
      </c>
      <c r="AB1021" s="213">
        <v>190</v>
      </c>
      <c r="AC1021" s="234">
        <v>300</v>
      </c>
    </row>
    <row r="1022" spans="1:29" ht="12.75" customHeight="1" thickBot="1" x14ac:dyDescent="0.25">
      <c r="A1022" s="1916">
        <v>1022</v>
      </c>
      <c r="B1022" s="5144"/>
      <c r="C1022" s="5142"/>
      <c r="E1022" s="5262"/>
      <c r="G1022" s="5334"/>
      <c r="H1022" s="5335"/>
      <c r="I1022" s="5267" t="s">
        <v>7759</v>
      </c>
      <c r="K1022" s="3201"/>
      <c r="M1022" s="5259"/>
      <c r="N1022" s="5259"/>
      <c r="O1022" s="1999"/>
      <c r="P1022" s="388">
        <v>10</v>
      </c>
      <c r="Q1022" s="234">
        <v>50</v>
      </c>
      <c r="S1022" s="216">
        <v>48</v>
      </c>
      <c r="T1022" s="213">
        <v>5</v>
      </c>
      <c r="U1022" s="234">
        <v>10</v>
      </c>
      <c r="Y1022" s="1658" t="str">
        <f t="shared" si="120"/>
        <v>El Ermitaño</v>
      </c>
      <c r="Z1022" s="2266">
        <f t="shared" si="121"/>
        <v>28</v>
      </c>
      <c r="AA1022" s="369" t="s">
        <v>925</v>
      </c>
      <c r="AB1022" s="213">
        <v>200</v>
      </c>
      <c r="AC1022" s="234">
        <v>350</v>
      </c>
    </row>
    <row r="1023" spans="1:29" ht="12.75" customHeight="1" thickBot="1" x14ac:dyDescent="0.25">
      <c r="A1023" s="1916">
        <v>1023</v>
      </c>
      <c r="B1023" s="5144"/>
      <c r="C1023" s="493" t="s">
        <v>2019</v>
      </c>
      <c r="E1023" s="1932" t="s">
        <v>8429</v>
      </c>
      <c r="G1023" s="4252" t="s">
        <v>8461</v>
      </c>
      <c r="H1023" s="4093"/>
      <c r="I1023" s="2571" t="s">
        <v>8462</v>
      </c>
      <c r="K1023" s="445" t="s">
        <v>1534</v>
      </c>
      <c r="M1023" s="398" t="s">
        <v>1448</v>
      </c>
      <c r="N1023" s="400" t="s">
        <v>1801</v>
      </c>
      <c r="O1023" s="1999"/>
      <c r="P1023" s="389">
        <v>11</v>
      </c>
      <c r="Q1023" s="234">
        <v>75</v>
      </c>
      <c r="S1023" s="216">
        <v>54</v>
      </c>
      <c r="T1023" s="213">
        <v>6</v>
      </c>
      <c r="U1023" s="234">
        <v>11</v>
      </c>
      <c r="Y1023" s="1658" t="str">
        <f t="shared" si="120"/>
        <v>El Ermitaño invertido</v>
      </c>
      <c r="Z1023" s="2266">
        <f t="shared" si="121"/>
        <v>10</v>
      </c>
      <c r="AA1023" s="369" t="s">
        <v>926</v>
      </c>
      <c r="AB1023" s="213">
        <v>220</v>
      </c>
      <c r="AC1023" s="234">
        <v>400</v>
      </c>
    </row>
    <row r="1024" spans="1:29" ht="12.75" customHeight="1" x14ac:dyDescent="0.2">
      <c r="A1024" s="1916">
        <v>1024</v>
      </c>
      <c r="B1024" s="5144"/>
      <c r="C1024" s="493" t="s">
        <v>2020</v>
      </c>
      <c r="E1024" s="1932" t="s">
        <v>8424</v>
      </c>
      <c r="G1024" s="5211"/>
      <c r="H1024" s="5172"/>
      <c r="I1024" s="2571" t="s">
        <v>7912</v>
      </c>
      <c r="K1024" s="445" t="s">
        <v>1881</v>
      </c>
      <c r="M1024" s="468">
        <v>2</v>
      </c>
      <c r="N1024" s="469">
        <v>2</v>
      </c>
      <c r="O1024" s="1999"/>
      <c r="P1024" s="389">
        <v>12</v>
      </c>
      <c r="Q1024" s="234">
        <v>100</v>
      </c>
      <c r="S1024" s="216">
        <v>58</v>
      </c>
      <c r="T1024" s="213">
        <v>6</v>
      </c>
      <c r="U1024" s="234">
        <v>12</v>
      </c>
      <c r="Y1024" s="1658" t="str">
        <f t="shared" si="120"/>
        <v>El Hierofante</v>
      </c>
      <c r="Z1024" s="2266">
        <f t="shared" si="121"/>
        <v>36</v>
      </c>
      <c r="AA1024" s="369" t="s">
        <v>927</v>
      </c>
      <c r="AB1024" s="213">
        <v>240</v>
      </c>
      <c r="AC1024" s="234">
        <v>450</v>
      </c>
    </row>
    <row r="1025" spans="1:36" ht="12.75" customHeight="1" thickBot="1" x14ac:dyDescent="0.25">
      <c r="A1025" s="1916">
        <v>1025</v>
      </c>
      <c r="B1025" s="5144"/>
      <c r="C1025" s="493" t="s">
        <v>1922</v>
      </c>
      <c r="E1025" s="1932" t="s">
        <v>8425</v>
      </c>
      <c r="G1025" s="1945" t="s">
        <v>8431</v>
      </c>
      <c r="H1025" s="2062" t="s">
        <v>8432</v>
      </c>
      <c r="I1025" s="2571" t="s">
        <v>8463</v>
      </c>
      <c r="K1025" s="445" t="s">
        <v>1535</v>
      </c>
      <c r="M1025" s="470">
        <v>12</v>
      </c>
      <c r="N1025" s="471">
        <v>4</v>
      </c>
      <c r="O1025" s="1999"/>
      <c r="P1025" s="389">
        <v>13</v>
      </c>
      <c r="Q1025" s="234">
        <v>150</v>
      </c>
      <c r="S1025" s="216">
        <v>64</v>
      </c>
      <c r="T1025" s="213">
        <v>7</v>
      </c>
      <c r="U1025" s="234">
        <v>13</v>
      </c>
      <c r="Y1025" s="1658" t="str">
        <f t="shared" si="120"/>
        <v>El Hierofante invertido</v>
      </c>
      <c r="Z1025" s="2266">
        <f t="shared" si="121"/>
        <v>30</v>
      </c>
      <c r="AA1025" s="369" t="s">
        <v>928</v>
      </c>
      <c r="AB1025" s="213">
        <v>260</v>
      </c>
      <c r="AC1025" s="234">
        <v>500</v>
      </c>
    </row>
    <row r="1026" spans="1:36" ht="12.75" customHeight="1" x14ac:dyDescent="0.2">
      <c r="A1026" s="1916">
        <v>1026</v>
      </c>
      <c r="B1026" s="5144"/>
      <c r="C1026" s="493" t="s">
        <v>1925</v>
      </c>
      <c r="E1026" s="1932" t="s">
        <v>8426</v>
      </c>
      <c r="G1026" s="1943">
        <v>1</v>
      </c>
      <c r="H1026" s="2473">
        <v>14</v>
      </c>
      <c r="I1026" s="2571" t="s">
        <v>8464</v>
      </c>
      <c r="K1026" s="445" t="s">
        <v>1536</v>
      </c>
      <c r="M1026" s="470">
        <v>22</v>
      </c>
      <c r="N1026" s="471">
        <v>6</v>
      </c>
      <c r="O1026" s="1999"/>
      <c r="P1026" s="389">
        <v>14</v>
      </c>
      <c r="Q1026" s="234">
        <v>200</v>
      </c>
      <c r="S1026" s="216">
        <v>68</v>
      </c>
      <c r="T1026" s="213">
        <v>7</v>
      </c>
      <c r="U1026" s="234">
        <v>14</v>
      </c>
      <c r="Y1026" s="1658" t="str">
        <f t="shared" si="120"/>
        <v>El Juicio</v>
      </c>
      <c r="Z1026" s="2266">
        <f t="shared" si="121"/>
        <v>4</v>
      </c>
      <c r="AA1026" s="369" t="s">
        <v>929</v>
      </c>
      <c r="AB1026" s="213">
        <v>280</v>
      </c>
      <c r="AC1026" s="234">
        <v>550</v>
      </c>
    </row>
    <row r="1027" spans="1:36" ht="12.75" customHeight="1" thickBot="1" x14ac:dyDescent="0.25">
      <c r="A1027" s="1916">
        <v>1027</v>
      </c>
      <c r="B1027" s="5144"/>
      <c r="C1027" s="493" t="s">
        <v>1929</v>
      </c>
      <c r="E1027" s="1933" t="s">
        <v>8427</v>
      </c>
      <c r="G1027" s="1943">
        <v>2</v>
      </c>
      <c r="H1027" s="2473">
        <v>18</v>
      </c>
      <c r="I1027" s="2571" t="s">
        <v>8465</v>
      </c>
      <c r="K1027" s="445" t="s">
        <v>1537</v>
      </c>
      <c r="M1027" s="470">
        <v>32</v>
      </c>
      <c r="N1027" s="471">
        <v>8</v>
      </c>
      <c r="O1027" s="1999"/>
      <c r="P1027" s="388">
        <v>15</v>
      </c>
      <c r="Q1027" s="234">
        <v>300</v>
      </c>
      <c r="S1027" s="216">
        <v>74</v>
      </c>
      <c r="T1027" s="213">
        <v>8</v>
      </c>
      <c r="U1027" s="234">
        <v>15</v>
      </c>
      <c r="Y1027" s="1658" t="str">
        <f t="shared" si="120"/>
        <v>El Juicio invertido</v>
      </c>
      <c r="Z1027" s="2266">
        <f t="shared" si="121"/>
        <v>34</v>
      </c>
      <c r="AA1027" s="369" t="s">
        <v>930</v>
      </c>
      <c r="AB1027" s="213">
        <v>300</v>
      </c>
      <c r="AC1027" s="234">
        <v>600</v>
      </c>
    </row>
    <row r="1028" spans="1:36" ht="12.75" customHeight="1" thickBot="1" x14ac:dyDescent="0.25">
      <c r="A1028" s="1916">
        <v>1028</v>
      </c>
      <c r="B1028" s="5144"/>
      <c r="C1028" s="493" t="s">
        <v>2024</v>
      </c>
      <c r="G1028" s="1943">
        <v>3</v>
      </c>
      <c r="H1028" s="2473">
        <v>24</v>
      </c>
      <c r="I1028" s="2571" t="s">
        <v>8466</v>
      </c>
      <c r="K1028" s="446" t="s">
        <v>1538</v>
      </c>
      <c r="M1028" s="470">
        <v>42</v>
      </c>
      <c r="N1028" s="471">
        <v>10</v>
      </c>
      <c r="O1028" s="1999"/>
      <c r="P1028" s="388">
        <v>16</v>
      </c>
      <c r="Q1028" s="234">
        <v>400</v>
      </c>
      <c r="S1028" s="216">
        <v>78</v>
      </c>
      <c r="T1028" s="213">
        <v>8</v>
      </c>
      <c r="U1028" s="234">
        <v>16</v>
      </c>
      <c r="Y1028" s="1658" t="str">
        <f t="shared" si="120"/>
        <v>El Loco</v>
      </c>
      <c r="Z1028" s="2266">
        <f t="shared" si="121"/>
        <v>40</v>
      </c>
      <c r="AA1028" s="369" t="s">
        <v>931</v>
      </c>
      <c r="AB1028" s="213">
        <v>320</v>
      </c>
      <c r="AC1028" s="234">
        <v>650</v>
      </c>
    </row>
    <row r="1029" spans="1:36" ht="12.75" customHeight="1" thickBot="1" x14ac:dyDescent="0.25">
      <c r="A1029" s="1916">
        <v>1029</v>
      </c>
      <c r="B1029" s="5144"/>
      <c r="C1029" s="494" t="s">
        <v>1530</v>
      </c>
      <c r="G1029" s="1943">
        <v>4</v>
      </c>
      <c r="H1029" s="2473">
        <v>30</v>
      </c>
      <c r="I1029" s="2571" t="s">
        <v>2424</v>
      </c>
      <c r="M1029" s="470">
        <v>52</v>
      </c>
      <c r="N1029" s="471">
        <v>12</v>
      </c>
      <c r="O1029" s="1999"/>
      <c r="P1029" s="389">
        <v>17</v>
      </c>
      <c r="Q1029" s="234">
        <v>500</v>
      </c>
      <c r="S1029" s="216">
        <v>84</v>
      </c>
      <c r="T1029" s="213">
        <v>9</v>
      </c>
      <c r="U1029" s="234">
        <v>17</v>
      </c>
      <c r="Y1029" s="1658" t="str">
        <f t="shared" si="120"/>
        <v>El Loco invertido</v>
      </c>
      <c r="Z1029" s="2266">
        <f t="shared" si="121"/>
        <v>6</v>
      </c>
      <c r="AA1029" s="369" t="s">
        <v>932</v>
      </c>
      <c r="AB1029" s="213">
        <v>340</v>
      </c>
      <c r="AC1029" s="234">
        <v>700</v>
      </c>
    </row>
    <row r="1030" spans="1:36" ht="12.75" customHeight="1" thickBot="1" x14ac:dyDescent="0.25">
      <c r="A1030" s="1916">
        <v>1030</v>
      </c>
      <c r="B1030" s="5144"/>
      <c r="G1030" s="1944">
        <v>5</v>
      </c>
      <c r="H1030" s="1491">
        <v>36</v>
      </c>
      <c r="I1030" s="2571" t="s">
        <v>8467</v>
      </c>
      <c r="M1030" s="470">
        <v>62</v>
      </c>
      <c r="N1030" s="471">
        <v>14</v>
      </c>
      <c r="O1030" s="1999"/>
      <c r="P1030" s="389">
        <v>18</v>
      </c>
      <c r="Q1030" s="234">
        <v>600</v>
      </c>
      <c r="S1030" s="216">
        <v>88</v>
      </c>
      <c r="T1030" s="213">
        <v>9</v>
      </c>
      <c r="U1030" s="234">
        <v>18</v>
      </c>
      <c r="Y1030" s="1658" t="str">
        <f t="shared" si="120"/>
        <v>El Mundo</v>
      </c>
      <c r="Z1030" s="2266">
        <f t="shared" si="121"/>
        <v>42</v>
      </c>
      <c r="AA1030" s="369" t="s">
        <v>933</v>
      </c>
      <c r="AB1030" s="213">
        <v>360</v>
      </c>
      <c r="AC1030" s="234">
        <v>750</v>
      </c>
      <c r="AJ1030" s="1653"/>
    </row>
    <row r="1031" spans="1:36" ht="12.75" customHeight="1" thickBot="1" x14ac:dyDescent="0.25">
      <c r="A1031" s="1916">
        <v>1031</v>
      </c>
      <c r="B1031" s="5144"/>
      <c r="C1031" s="5261" t="s">
        <v>8689</v>
      </c>
      <c r="H1031" s="363"/>
      <c r="I1031" s="2571" t="s">
        <v>8470</v>
      </c>
      <c r="M1031" s="470">
        <v>72</v>
      </c>
      <c r="N1031" s="471">
        <v>16</v>
      </c>
      <c r="O1031" s="1999"/>
      <c r="P1031" s="390">
        <v>19</v>
      </c>
      <c r="Q1031" s="234">
        <v>700</v>
      </c>
      <c r="S1031" s="216">
        <v>94</v>
      </c>
      <c r="T1031" s="213">
        <v>10</v>
      </c>
      <c r="U1031" s="234">
        <v>19</v>
      </c>
      <c r="Y1031" s="1658" t="str">
        <f t="shared" si="120"/>
        <v>El Mundo invertido</v>
      </c>
      <c r="Z1031" s="2266">
        <f t="shared" si="121"/>
        <v>26</v>
      </c>
      <c r="AA1031" s="369" t="s">
        <v>934</v>
      </c>
      <c r="AB1031" s="213">
        <v>380</v>
      </c>
      <c r="AC1031" s="234">
        <v>800</v>
      </c>
      <c r="AJ1031" s="1653"/>
    </row>
    <row r="1032" spans="1:36" ht="12.75" customHeight="1" thickBot="1" x14ac:dyDescent="0.25">
      <c r="A1032" s="1916">
        <v>1032</v>
      </c>
      <c r="B1032" s="5144"/>
      <c r="C1032" s="5262"/>
      <c r="H1032" s="363"/>
      <c r="I1032" s="2571" t="s">
        <v>8471</v>
      </c>
      <c r="M1032" s="470">
        <v>82</v>
      </c>
      <c r="N1032" s="471">
        <v>18</v>
      </c>
      <c r="O1032" s="1999"/>
      <c r="P1032" s="391">
        <v>20</v>
      </c>
      <c r="Q1032" s="376">
        <v>800</v>
      </c>
      <c r="S1032" s="383">
        <v>98</v>
      </c>
      <c r="T1032" s="384">
        <v>10</v>
      </c>
      <c r="U1032" s="376">
        <v>20</v>
      </c>
      <c r="Y1032" s="1658" t="str">
        <f t="shared" si="120"/>
        <v>El Sol</v>
      </c>
      <c r="Z1032" s="2266">
        <f t="shared" si="121"/>
        <v>32</v>
      </c>
      <c r="AA1032" s="369" t="s">
        <v>935</v>
      </c>
      <c r="AB1032" s="213">
        <v>400</v>
      </c>
      <c r="AC1032" s="234">
        <v>850</v>
      </c>
    </row>
    <row r="1033" spans="1:36" ht="12.75" customHeight="1" thickBot="1" x14ac:dyDescent="0.25">
      <c r="A1033" s="1916">
        <v>1033</v>
      </c>
      <c r="B1033" s="5144"/>
      <c r="C1033" s="2189" t="s">
        <v>2019</v>
      </c>
      <c r="H1033" s="363"/>
      <c r="I1033" s="2571" t="s">
        <v>8472</v>
      </c>
      <c r="M1033" s="472">
        <v>92</v>
      </c>
      <c r="N1033" s="467">
        <v>20</v>
      </c>
      <c r="O1033" s="1999"/>
      <c r="S1033" s="2563"/>
      <c r="Y1033" s="1658" t="str">
        <f t="shared" si="120"/>
        <v>El Sol invertido</v>
      </c>
      <c r="Z1033" s="2266">
        <f t="shared" si="121"/>
        <v>20</v>
      </c>
      <c r="AA1033" s="369" t="s">
        <v>936</v>
      </c>
      <c r="AB1033" s="213">
        <v>420</v>
      </c>
      <c r="AC1033" s="234">
        <v>900</v>
      </c>
    </row>
    <row r="1034" spans="1:36" ht="12.75" customHeight="1" thickBot="1" x14ac:dyDescent="0.25">
      <c r="A1034" s="1916">
        <v>1034</v>
      </c>
      <c r="B1034" s="5144"/>
      <c r="C1034" s="2189" t="s">
        <v>2020</v>
      </c>
      <c r="H1034" s="363"/>
      <c r="I1034" s="2572" t="s">
        <v>8473</v>
      </c>
      <c r="N1034" s="363"/>
      <c r="O1034" s="1999"/>
      <c r="P1034" s="5342" t="s">
        <v>1544</v>
      </c>
      <c r="Q1034" s="5342"/>
      <c r="S1034" s="2563"/>
      <c r="Y1034" s="1658" t="str">
        <f t="shared" si="120"/>
        <v>El Sumo Sacerdote</v>
      </c>
      <c r="Z1034" s="2266">
        <f t="shared" si="121"/>
        <v>14</v>
      </c>
      <c r="AA1034" s="369" t="s">
        <v>937</v>
      </c>
      <c r="AB1034" s="213">
        <v>440</v>
      </c>
      <c r="AC1034" s="234">
        <v>950</v>
      </c>
    </row>
    <row r="1035" spans="1:36" ht="12.75" customHeight="1" thickBot="1" x14ac:dyDescent="0.25">
      <c r="A1035" s="1916">
        <v>1035</v>
      </c>
      <c r="B1035" s="5144"/>
      <c r="C1035" s="2189" t="s">
        <v>1929</v>
      </c>
      <c r="E1035" s="5162" t="s">
        <v>1531</v>
      </c>
      <c r="F1035" s="2210"/>
      <c r="G1035" s="2476"/>
      <c r="H1035" s="2210"/>
      <c r="I1035" s="2210"/>
      <c r="J1035" s="2210"/>
      <c r="K1035" s="2210"/>
      <c r="L1035" s="2210"/>
      <c r="N1035" s="363"/>
      <c r="O1035" s="1999"/>
      <c r="P1035" s="366" t="s">
        <v>1701</v>
      </c>
      <c r="Q1035" s="368" t="s">
        <v>1545</v>
      </c>
      <c r="S1035" s="2563" t="s">
        <v>10085</v>
      </c>
      <c r="Y1035" s="1658" t="str">
        <f t="shared" si="120"/>
        <v>El Sumo Sacerdote invertido</v>
      </c>
      <c r="Z1035" s="2266">
        <f t="shared" si="121"/>
        <v>18</v>
      </c>
      <c r="AA1035" s="369" t="s">
        <v>938</v>
      </c>
      <c r="AB1035" s="213">
        <v>460</v>
      </c>
      <c r="AC1035" s="234">
        <v>1000</v>
      </c>
    </row>
    <row r="1036" spans="1:36" ht="12.75" customHeight="1" x14ac:dyDescent="0.2">
      <c r="A1036" s="1916">
        <v>1036</v>
      </c>
      <c r="B1036" s="5144"/>
      <c r="C1036" s="2189" t="s">
        <v>1925</v>
      </c>
      <c r="E1036" s="5163"/>
      <c r="F1036" s="2802" t="s">
        <v>1708</v>
      </c>
      <c r="G1036" s="2802" t="s">
        <v>8909</v>
      </c>
      <c r="H1036" s="2565"/>
      <c r="I1036" s="5201" t="s">
        <v>8912</v>
      </c>
      <c r="J1036" s="5201"/>
      <c r="K1036" s="2566" t="s">
        <v>8911</v>
      </c>
      <c r="L1036" s="2564"/>
      <c r="N1036" s="363"/>
      <c r="O1036" s="1999"/>
      <c r="P1036" s="388">
        <v>1</v>
      </c>
      <c r="Q1036" s="234">
        <v>0</v>
      </c>
      <c r="S1036" s="2563"/>
      <c r="Y1036" s="1658" t="str">
        <f t="shared" si="120"/>
        <v>La Emperatriz</v>
      </c>
      <c r="Z1036" s="2266">
        <f t="shared" si="121"/>
        <v>17</v>
      </c>
      <c r="AA1036" s="521" t="s">
        <v>939</v>
      </c>
      <c r="AB1036" s="213">
        <v>120</v>
      </c>
      <c r="AC1036" s="234">
        <v>100</v>
      </c>
    </row>
    <row r="1037" spans="1:36" ht="12.75" customHeight="1" x14ac:dyDescent="0.2">
      <c r="A1037" s="1916">
        <v>1037</v>
      </c>
      <c r="B1037" s="5144"/>
      <c r="C1037" s="2189" t="s">
        <v>1922</v>
      </c>
      <c r="E1037" s="2569" t="s">
        <v>2019</v>
      </c>
      <c r="F1037" s="3019" t="s">
        <v>10086</v>
      </c>
      <c r="G1037" s="119" t="str">
        <f>E1038&amp;", "&amp;$E$1047</f>
        <v>Oscuridad, Nigromancia</v>
      </c>
      <c r="H1037" s="2473"/>
      <c r="I1037" s="5164">
        <f t="shared" ref="I1037:I1047" si="122">VLOOKUP(E1037,Tabla_VíasDesarolladas,5,FALSE)+IF(SUMPRODUCT(--ISNUMBER(SEARCH($E1037,$E$403:$E$413)),$G$403:$G$413)&gt;0,40,0)+J1273</f>
        <v>0</v>
      </c>
      <c r="J1037" s="5164"/>
      <c r="K1037" s="2567">
        <f>IF(OR($H$1380&gt;0,$G$433&gt;0),1,IF(OR($I1037&lt;$I1038,$I1037&lt;$I$1047),2,1))</f>
        <v>1</v>
      </c>
      <c r="L1037" s="2210"/>
      <c r="N1037" s="363"/>
      <c r="O1037" s="1999"/>
      <c r="P1037" s="388">
        <v>2</v>
      </c>
      <c r="Q1037" s="234">
        <v>0</v>
      </c>
      <c r="S1037" s="3017" t="s">
        <v>10086</v>
      </c>
      <c r="T1037" s="3017" t="s">
        <v>10087</v>
      </c>
      <c r="U1037" s="3017" t="s">
        <v>10088</v>
      </c>
      <c r="Y1037" s="1658" t="str">
        <f t="shared" si="120"/>
        <v>La Emperatriz invertida</v>
      </c>
      <c r="Z1037" s="2266">
        <f t="shared" si="121"/>
        <v>13</v>
      </c>
      <c r="AA1037" s="369" t="s">
        <v>940</v>
      </c>
      <c r="AB1037" s="213">
        <v>130</v>
      </c>
      <c r="AC1037" s="234">
        <v>100</v>
      </c>
    </row>
    <row r="1038" spans="1:36" ht="12.75" customHeight="1" x14ac:dyDescent="0.2">
      <c r="A1038" s="1916">
        <v>1038</v>
      </c>
      <c r="B1038" s="5144"/>
      <c r="C1038" s="2189" t="s">
        <v>2024</v>
      </c>
      <c r="E1038" s="2569" t="s">
        <v>2020</v>
      </c>
      <c r="F1038" s="3019" t="s">
        <v>10086</v>
      </c>
      <c r="G1038" s="119" t="str">
        <f>E1037&amp;", "&amp;$E$1047</f>
        <v>Luz, Nigromancia</v>
      </c>
      <c r="H1038" s="2473"/>
      <c r="I1038" s="5164">
        <f t="shared" si="122"/>
        <v>0</v>
      </c>
      <c r="J1038" s="5164"/>
      <c r="K1038" s="2567">
        <f>IF(OR($H$1380&gt;0,$G$433&gt;0),1,IF(OR($I1038&lt;$I1037,$I1038&lt;$I$1047),2,1))</f>
        <v>1</v>
      </c>
      <c r="L1038" s="2210"/>
      <c r="N1038" s="363"/>
      <c r="O1038" s="1999"/>
      <c r="P1038" s="388">
        <v>3</v>
      </c>
      <c r="Q1038" s="234">
        <v>0</v>
      </c>
      <c r="S1038" s="3017">
        <v>4</v>
      </c>
      <c r="T1038" s="3017">
        <v>4</v>
      </c>
      <c r="U1038" s="3017">
        <v>8</v>
      </c>
      <c r="W1038" s="2210"/>
      <c r="Y1038" s="1658" t="str">
        <f t="shared" si="120"/>
        <v>La Estrella</v>
      </c>
      <c r="Z1038" s="2266">
        <f t="shared" si="121"/>
        <v>39</v>
      </c>
      <c r="AA1038" s="369" t="s">
        <v>941</v>
      </c>
      <c r="AB1038" s="213">
        <v>140</v>
      </c>
      <c r="AC1038" s="234">
        <v>150</v>
      </c>
    </row>
    <row r="1039" spans="1:36" ht="12.75" customHeight="1" x14ac:dyDescent="0.2">
      <c r="A1039" s="1916">
        <v>1039</v>
      </c>
      <c r="B1039" s="5144"/>
      <c r="C1039" s="2189" t="s">
        <v>2026</v>
      </c>
      <c r="E1039" s="2569" t="s">
        <v>1929</v>
      </c>
      <c r="F1039" s="3019" t="s">
        <v>10087</v>
      </c>
      <c r="G1039" s="119" t="str">
        <f>E1040&amp;", "&amp;$E$1047</f>
        <v>Agua, Nigromancia</v>
      </c>
      <c r="H1039" s="2473"/>
      <c r="I1039" s="5164">
        <f t="shared" si="122"/>
        <v>0</v>
      </c>
      <c r="J1039" s="5164"/>
      <c r="K1039" s="2567">
        <f>IF(OR($H$1380&gt;0,$G$433&gt;0),1,IF(OR($I1039&lt;$I1040,$I1039&lt;$I$1047),2,1))</f>
        <v>1</v>
      </c>
      <c r="L1039" s="2566" t="s">
        <v>8916</v>
      </c>
      <c r="N1039" s="363"/>
      <c r="O1039" s="1999"/>
      <c r="P1039" s="388">
        <v>4</v>
      </c>
      <c r="Q1039" s="234">
        <v>0</v>
      </c>
      <c r="S1039" s="3017">
        <f>10+S1038</f>
        <v>14</v>
      </c>
      <c r="T1039" s="3017">
        <v>8</v>
      </c>
      <c r="U1039" s="3017">
        <f>10+U1038</f>
        <v>18</v>
      </c>
      <c r="W1039" s="2210"/>
      <c r="Y1039" s="1658" t="str">
        <f t="shared" si="120"/>
        <v>La Estrella invertida</v>
      </c>
      <c r="Z1039" s="2266">
        <f t="shared" si="121"/>
        <v>25</v>
      </c>
      <c r="AA1039" s="369" t="s">
        <v>942</v>
      </c>
      <c r="AB1039" s="213">
        <v>150</v>
      </c>
      <c r="AC1039" s="234">
        <v>200</v>
      </c>
    </row>
    <row r="1040" spans="1:36" ht="12.75" customHeight="1" x14ac:dyDescent="0.2">
      <c r="A1040" s="1916">
        <v>1040</v>
      </c>
      <c r="B1040" s="5144"/>
      <c r="C1040" s="2189" t="s">
        <v>2027</v>
      </c>
      <c r="E1040" s="2569" t="s">
        <v>1925</v>
      </c>
      <c r="F1040" s="3019" t="s">
        <v>10087</v>
      </c>
      <c r="G1040" s="119" t="str">
        <f>E1039&amp;", "&amp;$E$1047</f>
        <v>Fuego, Nigromancia</v>
      </c>
      <c r="H1040" s="2473"/>
      <c r="I1040" s="5164">
        <f t="shared" si="122"/>
        <v>0</v>
      </c>
      <c r="J1040" s="5164"/>
      <c r="K1040" s="2567">
        <f>IF(OR($H$1380&gt;0,$G$433&gt;0),1,IF(OR($I1040&lt;$I1039,$I1040&lt;$I$1047),2,1))</f>
        <v>1</v>
      </c>
      <c r="L1040" s="2467" t="s">
        <v>8915</v>
      </c>
      <c r="N1040" s="363"/>
      <c r="O1040" s="1999"/>
      <c r="P1040" s="388">
        <v>5</v>
      </c>
      <c r="Q1040" s="234">
        <v>10</v>
      </c>
      <c r="S1040" s="3017">
        <f t="shared" ref="S1040:S1047" si="123">10+S1039</f>
        <v>24</v>
      </c>
      <c r="T1040" s="3017">
        <f>10+T1038</f>
        <v>14</v>
      </c>
      <c r="U1040" s="3017">
        <f t="shared" ref="U1040:U1047" si="124">10+U1039</f>
        <v>28</v>
      </c>
      <c r="W1040" s="2210"/>
      <c r="Y1040" s="1658" t="str">
        <f t="shared" si="120"/>
        <v>La Fuerza</v>
      </c>
      <c r="Z1040" s="2266">
        <f t="shared" si="121"/>
        <v>9</v>
      </c>
      <c r="AA1040" s="369" t="s">
        <v>943</v>
      </c>
      <c r="AB1040" s="213">
        <v>160</v>
      </c>
      <c r="AC1040" s="234">
        <v>200</v>
      </c>
    </row>
    <row r="1041" spans="1:29" ht="12.75" customHeight="1" x14ac:dyDescent="0.2">
      <c r="A1041" s="1916">
        <v>1041</v>
      </c>
      <c r="B1041" s="5144"/>
      <c r="C1041" s="2189" t="s">
        <v>2029</v>
      </c>
      <c r="E1041" s="2569" t="s">
        <v>1922</v>
      </c>
      <c r="F1041" s="3019" t="s">
        <v>10087</v>
      </c>
      <c r="G1041" s="119" t="str">
        <f>E1042&amp;", "&amp;$E$1047</f>
        <v>Tierra, Nigromancia</v>
      </c>
      <c r="H1041" s="2473"/>
      <c r="I1041" s="5164">
        <f t="shared" si="122"/>
        <v>0</v>
      </c>
      <c r="J1041" s="5164"/>
      <c r="K1041" s="2567">
        <f>IF(OR($H$1380&gt;0,$G$433&gt;0),1,IF(OR($I1041&lt;$I1042,$I1041&lt;$I$1047),2,1))</f>
        <v>1</v>
      </c>
      <c r="L1041" s="2657" t="str">
        <f>IF(K1037=2,", "&amp;E1037,"")&amp;IF(K1038=2,", "&amp;E1038,"")&amp;IF(K1039=2,", "&amp;E1039,"")&amp;IF(K1040=2,", "&amp;E1040,"")&amp;IF(K1041=2,", "&amp;E1041,"")&amp;IF(K1042=2,", "&amp;E1042,"")&amp;IF(K1043=2,", "&amp;E1043,"")&amp;IF(K1044=2,", "&amp;E1044,"")&amp;IF(K1045=2,", "&amp;E1045,"")&amp;IF(K1046=2,", "&amp;E1046,"")&amp;IF(K1047=2,", "&amp;E1047,"")</f>
        <v/>
      </c>
      <c r="N1041" s="363"/>
      <c r="O1041" s="1999"/>
      <c r="P1041" s="389">
        <v>6</v>
      </c>
      <c r="Q1041" s="234">
        <v>20</v>
      </c>
      <c r="S1041" s="3017">
        <f t="shared" si="123"/>
        <v>34</v>
      </c>
      <c r="T1041" s="3017">
        <f>10+T1039</f>
        <v>18</v>
      </c>
      <c r="U1041" s="3017">
        <f t="shared" si="124"/>
        <v>38</v>
      </c>
      <c r="W1041" s="2210"/>
      <c r="Y1041" s="1658" t="str">
        <f t="shared" si="120"/>
        <v>La Fuerza invertida</v>
      </c>
      <c r="Z1041" s="2266">
        <f t="shared" si="121"/>
        <v>23</v>
      </c>
      <c r="AA1041" s="369" t="s">
        <v>944</v>
      </c>
      <c r="AB1041" s="213">
        <v>170</v>
      </c>
      <c r="AC1041" s="234">
        <v>250</v>
      </c>
    </row>
    <row r="1042" spans="1:29" ht="12.75" customHeight="1" x14ac:dyDescent="0.2">
      <c r="A1042" s="1916">
        <v>1042</v>
      </c>
      <c r="B1042" s="5144"/>
      <c r="C1042" s="2189" t="s">
        <v>2031</v>
      </c>
      <c r="E1042" s="2569" t="s">
        <v>2024</v>
      </c>
      <c r="F1042" s="3019" t="s">
        <v>10087</v>
      </c>
      <c r="G1042" s="119" t="str">
        <f>E1041&amp;", "&amp;$E$1047</f>
        <v>Aire, Nigromancia</v>
      </c>
      <c r="H1042" s="2473"/>
      <c r="I1042" s="5164">
        <f t="shared" si="122"/>
        <v>0</v>
      </c>
      <c r="J1042" s="5164"/>
      <c r="K1042" s="2567">
        <f>IF(OR($H$1380&gt;0,$G$433&gt;0),1,IF(OR($I1042&lt;$I1041,$I1042&lt;$I$1047),2,1))</f>
        <v>1</v>
      </c>
      <c r="L1042" s="2467" t="s">
        <v>8914</v>
      </c>
      <c r="N1042" s="363"/>
      <c r="O1042" s="1999"/>
      <c r="P1042" s="389">
        <v>7</v>
      </c>
      <c r="Q1042" s="234">
        <v>30</v>
      </c>
      <c r="S1042" s="3017">
        <f t="shared" si="123"/>
        <v>44</v>
      </c>
      <c r="T1042" s="3017">
        <f t="shared" ref="T1042:T1055" si="125">10+T1040</f>
        <v>24</v>
      </c>
      <c r="U1042" s="3017">
        <f t="shared" si="124"/>
        <v>48</v>
      </c>
      <c r="W1042" s="2210"/>
      <c r="Y1042" s="1658" t="str">
        <f t="shared" si="120"/>
        <v>La Justicia</v>
      </c>
      <c r="Z1042" s="2266">
        <f t="shared" si="121"/>
        <v>45</v>
      </c>
      <c r="AA1042" s="369" t="s">
        <v>945</v>
      </c>
      <c r="AB1042" s="213">
        <v>180</v>
      </c>
      <c r="AC1042" s="234">
        <v>250</v>
      </c>
    </row>
    <row r="1043" spans="1:29" ht="12.75" customHeight="1" x14ac:dyDescent="0.2">
      <c r="A1043" s="1916">
        <v>1043</v>
      </c>
      <c r="B1043" s="5144"/>
      <c r="C1043" s="2189" t="s">
        <v>2033</v>
      </c>
      <c r="E1043" s="2569" t="s">
        <v>2026</v>
      </c>
      <c r="F1043" s="3019" t="s">
        <v>10086</v>
      </c>
      <c r="G1043" s="119" t="str">
        <f>E1044&amp;", "&amp;$E$1047</f>
        <v>Destrucción, Nigromancia</v>
      </c>
      <c r="H1043" s="2473"/>
      <c r="I1043" s="5164">
        <f t="shared" si="122"/>
        <v>0</v>
      </c>
      <c r="J1043" s="5164"/>
      <c r="K1043" s="2567">
        <f>IF(OR($H$1380&gt;0,$G$433&gt;0),1,IF(OR($I1043&lt;$I1044,$I1043&lt;$I$1047),2,1))</f>
        <v>1</v>
      </c>
      <c r="L1043" s="2657" t="str">
        <f>IF(COUNTIF(K1037:K1047,2)&gt;5,IF(K1037=1,", "&amp;E1037,"")&amp;IF(K1038=1,", "&amp;E1038,"")&amp;IF(K1039=1,", "&amp;E1039,"")&amp;IF(K1040=1,", "&amp;E1040,"")&amp;IF(K1041=1,", "&amp;E1041,"")&amp;IF(K1042=1,", "&amp;E1042,"")&amp;IF(K1043=1,", "&amp;E1043,"")&amp;IF(K1044=1,", "&amp;E1044,"")&amp;IF(K1045=1,", "&amp;E1045,"")&amp;IF(K1046=1,", "&amp;E1046,"")&amp;IF(K1047=1,", "&amp;E1047,""),L1041)</f>
        <v/>
      </c>
      <c r="N1043" s="363"/>
      <c r="O1043" s="1999"/>
      <c r="P1043" s="389">
        <v>8</v>
      </c>
      <c r="Q1043" s="234">
        <v>40</v>
      </c>
      <c r="S1043" s="3017">
        <f t="shared" si="123"/>
        <v>54</v>
      </c>
      <c r="T1043" s="3017">
        <f t="shared" si="125"/>
        <v>28</v>
      </c>
      <c r="U1043" s="3017">
        <f t="shared" si="124"/>
        <v>58</v>
      </c>
      <c r="W1043" s="2210"/>
      <c r="Y1043" s="1658" t="str">
        <f t="shared" si="120"/>
        <v>La Justicia invertida</v>
      </c>
      <c r="Z1043" s="2266">
        <f t="shared" si="121"/>
        <v>3</v>
      </c>
      <c r="AA1043" s="369" t="s">
        <v>946</v>
      </c>
      <c r="AB1043" s="213">
        <v>190</v>
      </c>
      <c r="AC1043" s="234">
        <v>300</v>
      </c>
    </row>
    <row r="1044" spans="1:29" ht="12.75" customHeight="1" thickBot="1" x14ac:dyDescent="0.25">
      <c r="A1044" s="1916">
        <v>1044</v>
      </c>
      <c r="B1044" s="5144"/>
      <c r="C1044" s="2190" t="s">
        <v>1532</v>
      </c>
      <c r="E1044" s="2569" t="s">
        <v>2027</v>
      </c>
      <c r="F1044" s="3019" t="s">
        <v>10086</v>
      </c>
      <c r="G1044" s="119" t="str">
        <f>E1043&amp;", "&amp;$E$1047</f>
        <v>Creación, Nigromancia</v>
      </c>
      <c r="H1044" s="2473"/>
      <c r="I1044" s="5164">
        <f t="shared" si="122"/>
        <v>0</v>
      </c>
      <c r="J1044" s="5164"/>
      <c r="K1044" s="2567">
        <f>IF(OR($H$1380&gt;0,$G$433&gt;0),1,IF(OR($I1044&lt;$I1043,$I1044&lt;$I$1047),2,1))</f>
        <v>1</v>
      </c>
      <c r="L1044" s="2467" t="s">
        <v>8913</v>
      </c>
      <c r="N1044" s="363"/>
      <c r="O1044" s="1999"/>
      <c r="P1044" s="389">
        <v>9</v>
      </c>
      <c r="Q1044" s="234">
        <v>50</v>
      </c>
      <c r="S1044" s="3017">
        <f t="shared" si="123"/>
        <v>64</v>
      </c>
      <c r="T1044" s="3017">
        <f t="shared" si="125"/>
        <v>34</v>
      </c>
      <c r="U1044" s="3017">
        <f t="shared" si="124"/>
        <v>68</v>
      </c>
      <c r="W1044" s="2210"/>
      <c r="Y1044" s="1658" t="str">
        <f t="shared" si="120"/>
        <v>La Luna</v>
      </c>
      <c r="Z1044" s="2266">
        <f t="shared" si="121"/>
        <v>29</v>
      </c>
      <c r="AA1044" s="369" t="s">
        <v>947</v>
      </c>
      <c r="AB1044" s="213">
        <v>200</v>
      </c>
      <c r="AC1044" s="234">
        <v>350</v>
      </c>
    </row>
    <row r="1045" spans="1:29" ht="12.75" customHeight="1" x14ac:dyDescent="0.2">
      <c r="A1045" s="1916">
        <v>1045</v>
      </c>
      <c r="B1045" s="5144"/>
      <c r="C1045" s="2191" t="s">
        <v>81</v>
      </c>
      <c r="E1045" s="2569" t="s">
        <v>2029</v>
      </c>
      <c r="F1045" s="3019" t="s">
        <v>10087</v>
      </c>
      <c r="G1045" s="119" t="str">
        <f>E1046&amp;", "&amp;$E$1047</f>
        <v>Ilusión, Nigromancia</v>
      </c>
      <c r="H1045" s="2473"/>
      <c r="I1045" s="5164">
        <f t="shared" si="122"/>
        <v>0</v>
      </c>
      <c r="J1045" s="5164"/>
      <c r="K1045" s="2567">
        <f>IF(OR($H$1380&gt;0,$G$433&gt;0),1,IF(OR($I1045&lt;$I1046,$I1045&lt;$I$1047),2,1))</f>
        <v>1</v>
      </c>
      <c r="L1045" s="2658" t="str">
        <f>IF(L1043&lt;&gt;L1041,"Todas excepto ","")&amp;MID(L1043,3,LEN(L1043))</f>
        <v/>
      </c>
      <c r="N1045" s="363"/>
      <c r="O1045" s="1999"/>
      <c r="P1045" s="388">
        <v>10</v>
      </c>
      <c r="Q1045" s="234">
        <v>60</v>
      </c>
      <c r="S1045" s="3017">
        <f t="shared" si="123"/>
        <v>74</v>
      </c>
      <c r="T1045" s="3017">
        <f t="shared" si="125"/>
        <v>38</v>
      </c>
      <c r="U1045" s="3017">
        <f t="shared" si="124"/>
        <v>78</v>
      </c>
      <c r="W1045" s="2210"/>
      <c r="Y1045" s="1658" t="str">
        <f t="shared" si="120"/>
        <v>La Luna invertida</v>
      </c>
      <c r="Z1045" s="2266">
        <f t="shared" si="121"/>
        <v>11</v>
      </c>
      <c r="AA1045" s="369" t="s">
        <v>948</v>
      </c>
      <c r="AB1045" s="213">
        <v>240</v>
      </c>
      <c r="AC1045" s="234">
        <v>400</v>
      </c>
    </row>
    <row r="1046" spans="1:29" ht="12.75" customHeight="1" x14ac:dyDescent="0.2">
      <c r="A1046" s="1916">
        <v>1046</v>
      </c>
      <c r="B1046" s="5144"/>
      <c r="C1046" s="2192" t="s">
        <v>82</v>
      </c>
      <c r="E1046" s="2569" t="s">
        <v>2031</v>
      </c>
      <c r="F1046" s="3019" t="s">
        <v>10087</v>
      </c>
      <c r="G1046" s="119" t="str">
        <f>E1045&amp;", "&amp;$E$1047</f>
        <v>Esencia, Nigromancia</v>
      </c>
      <c r="H1046" s="2473"/>
      <c r="I1046" s="5164">
        <f t="shared" si="122"/>
        <v>0</v>
      </c>
      <c r="J1046" s="5164"/>
      <c r="K1046" s="2567">
        <f>IF(OR($H$1380&gt;0,$G$433&gt;0),1,IF(OR($I1046&lt;$I1045,$I1046&lt;$I$1047),2,1))</f>
        <v>1</v>
      </c>
      <c r="L1046" s="2210"/>
      <c r="N1046" s="363"/>
      <c r="O1046" s="1999"/>
      <c r="P1046" s="389">
        <v>11</v>
      </c>
      <c r="Q1046" s="234">
        <v>70</v>
      </c>
      <c r="S1046" s="3017">
        <f t="shared" si="123"/>
        <v>84</v>
      </c>
      <c r="T1046" s="3017">
        <f t="shared" si="125"/>
        <v>44</v>
      </c>
      <c r="U1046" s="3017">
        <f t="shared" si="124"/>
        <v>88</v>
      </c>
      <c r="W1046" s="2210"/>
      <c r="Y1046" s="1658" t="str">
        <f t="shared" si="120"/>
        <v>La Muerte</v>
      </c>
      <c r="Z1046" s="2266">
        <f t="shared" si="121"/>
        <v>37</v>
      </c>
      <c r="AA1046" s="369" t="s">
        <v>949</v>
      </c>
      <c r="AB1046" s="213">
        <v>240</v>
      </c>
      <c r="AC1046" s="234">
        <v>450</v>
      </c>
    </row>
    <row r="1047" spans="1:29" ht="12.75" customHeight="1" x14ac:dyDescent="0.2">
      <c r="A1047" s="1916">
        <v>1047</v>
      </c>
      <c r="B1047" s="5144"/>
      <c r="C1047" s="2192" t="s">
        <v>83</v>
      </c>
      <c r="E1047" s="2569" t="s">
        <v>2033</v>
      </c>
      <c r="F1047" s="3019" t="s">
        <v>10086</v>
      </c>
      <c r="G1047" s="3018" t="s">
        <v>8910</v>
      </c>
      <c r="H1047" s="2339"/>
      <c r="I1047" s="5165">
        <f t="shared" si="122"/>
        <v>0</v>
      </c>
      <c r="J1047" s="5165"/>
      <c r="K1047" s="2568">
        <f>IF(OR($H$1380&gt;0,$G$433&gt;0),1,IF(OR(MAX($I$1037:$I$1047)=I1047,MAX($I$1037:$I$1047)=0),1,2))</f>
        <v>1</v>
      </c>
      <c r="L1047" s="2210"/>
      <c r="N1047" s="363"/>
      <c r="O1047" s="1999"/>
      <c r="P1047" s="389">
        <v>12</v>
      </c>
      <c r="Q1047" s="234">
        <v>80</v>
      </c>
      <c r="S1047" s="3017">
        <f t="shared" si="123"/>
        <v>94</v>
      </c>
      <c r="T1047" s="3017">
        <f t="shared" si="125"/>
        <v>48</v>
      </c>
      <c r="U1047" s="3017">
        <f t="shared" si="124"/>
        <v>98</v>
      </c>
      <c r="W1047" s="2210"/>
      <c r="Y1047" s="1658" t="str">
        <f t="shared" si="120"/>
        <v>La Muerte invertida</v>
      </c>
      <c r="Z1047" s="2266">
        <f t="shared" si="121"/>
        <v>31</v>
      </c>
      <c r="AA1047" s="369" t="s">
        <v>950</v>
      </c>
      <c r="AB1047" s="213">
        <v>260</v>
      </c>
      <c r="AC1047" s="234">
        <v>500</v>
      </c>
    </row>
    <row r="1048" spans="1:29" ht="12.75" customHeight="1" thickBot="1" x14ac:dyDescent="0.25">
      <c r="A1048" s="1916">
        <v>1048</v>
      </c>
      <c r="B1048" s="5144"/>
      <c r="C1048" s="2192" t="s">
        <v>84</v>
      </c>
      <c r="E1048" s="2570" t="s">
        <v>1532</v>
      </c>
      <c r="F1048" s="2210"/>
      <c r="G1048" s="2210"/>
      <c r="H1048" s="2210"/>
      <c r="I1048" s="2564"/>
      <c r="J1048" s="2210"/>
      <c r="K1048" s="2210"/>
      <c r="L1048" s="2210"/>
      <c r="N1048" s="363"/>
      <c r="O1048" s="1999"/>
      <c r="P1048" s="389">
        <v>13</v>
      </c>
      <c r="Q1048" s="234">
        <v>90</v>
      </c>
      <c r="S1048" s="3017"/>
      <c r="T1048" s="3017">
        <f t="shared" si="125"/>
        <v>54</v>
      </c>
      <c r="U1048" s="3017"/>
      <c r="W1048" s="2210"/>
      <c r="Y1048" s="1658" t="str">
        <f t="shared" si="120"/>
        <v>La Rueda</v>
      </c>
      <c r="Z1048" s="2266">
        <f t="shared" si="121"/>
        <v>5</v>
      </c>
      <c r="AA1048" s="369" t="s">
        <v>951</v>
      </c>
      <c r="AB1048" s="213">
        <v>280</v>
      </c>
      <c r="AC1048" s="234">
        <v>550</v>
      </c>
    </row>
    <row r="1049" spans="1:29" ht="12.75" customHeight="1" thickBot="1" x14ac:dyDescent="0.25">
      <c r="A1049" s="1916">
        <v>1049</v>
      </c>
      <c r="B1049" s="5144"/>
      <c r="C1049" s="2192" t="s">
        <v>85</v>
      </c>
      <c r="H1049" s="363"/>
      <c r="I1049" s="1653"/>
      <c r="N1049" s="363"/>
      <c r="O1049" s="1999"/>
      <c r="P1049" s="389">
        <v>14</v>
      </c>
      <c r="Q1049" s="234">
        <v>100</v>
      </c>
      <c r="S1049" s="3017"/>
      <c r="T1049" s="3017">
        <f t="shared" si="125"/>
        <v>58</v>
      </c>
      <c r="U1049" s="3017"/>
      <c r="W1049" s="2210"/>
      <c r="Y1049" s="1658" t="str">
        <f t="shared" si="120"/>
        <v>La Rueda invertida</v>
      </c>
      <c r="Z1049" s="2266">
        <f t="shared" si="121"/>
        <v>35</v>
      </c>
      <c r="AA1049" s="369" t="s">
        <v>952</v>
      </c>
      <c r="AB1049" s="213">
        <v>300</v>
      </c>
      <c r="AC1049" s="234">
        <v>600</v>
      </c>
    </row>
    <row r="1050" spans="1:29" ht="12.75" customHeight="1" x14ac:dyDescent="0.2">
      <c r="A1050" s="1916">
        <v>1050</v>
      </c>
      <c r="B1050" s="5144"/>
      <c r="C1050" s="2192" t="s">
        <v>86</v>
      </c>
      <c r="E1050" s="5342" t="s">
        <v>1539</v>
      </c>
      <c r="F1050" s="5342"/>
      <c r="H1050" s="5342" t="s">
        <v>1541</v>
      </c>
      <c r="I1050" s="5342"/>
      <c r="K1050" s="5169" t="s">
        <v>1546</v>
      </c>
      <c r="L1050" s="5169"/>
      <c r="N1050" s="363"/>
      <c r="O1050" s="1999"/>
      <c r="P1050" s="388">
        <v>15</v>
      </c>
      <c r="Q1050" s="234">
        <v>120</v>
      </c>
      <c r="S1050" s="3017"/>
      <c r="T1050" s="3017">
        <f t="shared" si="125"/>
        <v>64</v>
      </c>
      <c r="U1050" s="3017"/>
      <c r="W1050" s="2210"/>
      <c r="Y1050" s="1658" t="str">
        <f t="shared" si="120"/>
        <v>La Suma Sacerdotisa</v>
      </c>
      <c r="Z1050" s="2266">
        <f t="shared" si="121"/>
        <v>41</v>
      </c>
      <c r="AA1050" s="369" t="s">
        <v>953</v>
      </c>
      <c r="AB1050" s="213">
        <v>320</v>
      </c>
      <c r="AC1050" s="234">
        <v>650</v>
      </c>
    </row>
    <row r="1051" spans="1:29" ht="12.75" customHeight="1" thickBot="1" x14ac:dyDescent="0.25">
      <c r="A1051" s="1916">
        <v>1051</v>
      </c>
      <c r="B1051" s="5144"/>
      <c r="C1051" s="2192" t="s">
        <v>87</v>
      </c>
      <c r="E1051" s="366" t="s">
        <v>1821</v>
      </c>
      <c r="F1051" s="368" t="s">
        <v>1540</v>
      </c>
      <c r="H1051" s="366" t="s">
        <v>2014</v>
      </c>
      <c r="I1051" s="368" t="s">
        <v>1542</v>
      </c>
      <c r="K1051" s="502" t="s">
        <v>2121</v>
      </c>
      <c r="L1051" s="430" t="s">
        <v>1547</v>
      </c>
      <c r="N1051" s="363"/>
      <c r="O1051" s="1999"/>
      <c r="P1051" s="388">
        <v>16</v>
      </c>
      <c r="Q1051" s="234">
        <v>140</v>
      </c>
      <c r="S1051" s="3017"/>
      <c r="T1051" s="3017">
        <f t="shared" si="125"/>
        <v>68</v>
      </c>
      <c r="U1051" s="3017"/>
      <c r="W1051" s="2210"/>
      <c r="Y1051" s="1658" t="str">
        <f t="shared" si="120"/>
        <v>La Suma Sacerdotisa invertida</v>
      </c>
      <c r="Z1051" s="2266">
        <f t="shared" si="121"/>
        <v>7</v>
      </c>
      <c r="AA1051" s="369" t="s">
        <v>954</v>
      </c>
      <c r="AB1051" s="213">
        <v>340</v>
      </c>
      <c r="AC1051" s="234">
        <v>700</v>
      </c>
    </row>
    <row r="1052" spans="1:29" ht="12.75" customHeight="1" x14ac:dyDescent="0.2">
      <c r="A1052" s="1916">
        <v>1052</v>
      </c>
      <c r="B1052" s="5144"/>
      <c r="C1052" s="2192" t="s">
        <v>88</v>
      </c>
      <c r="E1052" s="495">
        <v>0</v>
      </c>
      <c r="F1052" s="496">
        <f>0+10*Tablas!G414+20*Tablas!G415+30*Tablas!G416+10*H1330</f>
        <v>0</v>
      </c>
      <c r="H1052" s="499" t="s">
        <v>1925</v>
      </c>
      <c r="I1052" s="496">
        <f>Tablas!G423</f>
        <v>0</v>
      </c>
      <c r="K1052" s="385">
        <v>1</v>
      </c>
      <c r="L1052" s="387">
        <v>10</v>
      </c>
      <c r="N1052" s="363"/>
      <c r="O1052" s="1999"/>
      <c r="P1052" s="389">
        <v>17</v>
      </c>
      <c r="Q1052" s="234">
        <v>160</v>
      </c>
      <c r="S1052" s="3017"/>
      <c r="T1052" s="3017">
        <f t="shared" si="125"/>
        <v>74</v>
      </c>
      <c r="U1052" s="3017"/>
      <c r="Y1052" s="1658" t="str">
        <f t="shared" si="120"/>
        <v>La Templanza</v>
      </c>
      <c r="Z1052" s="2266">
        <f t="shared" si="121"/>
        <v>43</v>
      </c>
      <c r="AA1052" s="369" t="s">
        <v>955</v>
      </c>
      <c r="AB1052" s="213">
        <v>340</v>
      </c>
      <c r="AC1052" s="234">
        <v>750</v>
      </c>
    </row>
    <row r="1053" spans="1:29" ht="12.75" customHeight="1" x14ac:dyDescent="0.2">
      <c r="A1053" s="1916">
        <v>1053</v>
      </c>
      <c r="B1053" s="5144"/>
      <c r="C1053" s="2192" t="s">
        <v>89</v>
      </c>
      <c r="E1053" s="497">
        <v>10</v>
      </c>
      <c r="F1053" s="123">
        <f>10+10*Tablas!G414+20*Tablas!G415+30*Tablas!G416+10*H1330</f>
        <v>10</v>
      </c>
      <c r="H1053" s="500" t="s">
        <v>1922</v>
      </c>
      <c r="I1053" s="123">
        <f>Tablas!G424</f>
        <v>0</v>
      </c>
      <c r="K1053" s="388">
        <v>3</v>
      </c>
      <c r="L1053" s="234">
        <v>20</v>
      </c>
      <c r="N1053" s="363"/>
      <c r="O1053" s="1999"/>
      <c r="P1053" s="389">
        <v>18</v>
      </c>
      <c r="Q1053" s="234">
        <v>180</v>
      </c>
      <c r="S1053" s="3017"/>
      <c r="T1053" s="3017">
        <f t="shared" si="125"/>
        <v>78</v>
      </c>
      <c r="U1053" s="3017"/>
      <c r="Y1053" s="1658" t="str">
        <f t="shared" si="120"/>
        <v>La Templanza invertida</v>
      </c>
      <c r="Z1053" s="2266">
        <f t="shared" si="121"/>
        <v>27</v>
      </c>
      <c r="AA1053" s="369" t="s">
        <v>956</v>
      </c>
      <c r="AB1053" s="213">
        <v>380</v>
      </c>
      <c r="AC1053" s="234">
        <v>800</v>
      </c>
    </row>
    <row r="1054" spans="1:29" ht="12.75" customHeight="1" x14ac:dyDescent="0.2">
      <c r="A1054" s="1916">
        <v>1054</v>
      </c>
      <c r="B1054" s="5144"/>
      <c r="C1054" s="2192" t="s">
        <v>90</v>
      </c>
      <c r="E1054" s="497">
        <v>55</v>
      </c>
      <c r="F1054" s="123">
        <f>20+10*Tablas!G414+20*Tablas!G415+30*Tablas!G416+10*H1330</f>
        <v>20</v>
      </c>
      <c r="H1054" s="500" t="s">
        <v>2026</v>
      </c>
      <c r="I1054" s="123">
        <f>Tablas!G426</f>
        <v>0</v>
      </c>
      <c r="K1054" s="388">
        <v>6</v>
      </c>
      <c r="L1054" s="234">
        <v>30</v>
      </c>
      <c r="N1054" s="363"/>
      <c r="O1054" s="1999"/>
      <c r="P1054" s="390">
        <v>19</v>
      </c>
      <c r="Q1054" s="234">
        <v>200</v>
      </c>
      <c r="S1054" s="3017"/>
      <c r="T1054" s="3017">
        <f t="shared" si="125"/>
        <v>84</v>
      </c>
      <c r="U1054" s="3017"/>
      <c r="Y1054" s="1658" t="str">
        <f t="shared" si="120"/>
        <v>La Torre</v>
      </c>
      <c r="Z1054" s="2266">
        <f t="shared" si="121"/>
        <v>33</v>
      </c>
      <c r="AA1054" s="369" t="s">
        <v>957</v>
      </c>
      <c r="AB1054" s="213">
        <v>400</v>
      </c>
      <c r="AC1054" s="234">
        <v>850</v>
      </c>
    </row>
    <row r="1055" spans="1:29" ht="12.75" customHeight="1" thickBot="1" x14ac:dyDescent="0.25">
      <c r="A1055" s="1916">
        <v>1055</v>
      </c>
      <c r="B1055" s="5144"/>
      <c r="C1055" s="2192" t="s">
        <v>91</v>
      </c>
      <c r="E1055" s="497">
        <v>75</v>
      </c>
      <c r="F1055" s="123">
        <f>30+10*Tablas!G414+20*Tablas!G415+30*Tablas!G416+10*H1330</f>
        <v>30</v>
      </c>
      <c r="H1055" s="500" t="s">
        <v>2027</v>
      </c>
      <c r="I1055" s="123">
        <f>Tablas!G427</f>
        <v>0</v>
      </c>
      <c r="K1055" s="388">
        <v>10</v>
      </c>
      <c r="L1055" s="234">
        <v>40</v>
      </c>
      <c r="N1055" s="363"/>
      <c r="O1055" s="1999"/>
      <c r="P1055" s="391">
        <v>20</v>
      </c>
      <c r="Q1055" s="376">
        <v>220</v>
      </c>
      <c r="S1055" s="3017"/>
      <c r="T1055" s="3017">
        <f t="shared" si="125"/>
        <v>88</v>
      </c>
      <c r="U1055" s="3017"/>
      <c r="Y1055" s="1658" t="str">
        <f t="shared" si="120"/>
        <v>La Torre invertida</v>
      </c>
      <c r="Z1055" s="2266">
        <f t="shared" si="121"/>
        <v>21</v>
      </c>
      <c r="AA1055" s="369" t="s">
        <v>958</v>
      </c>
      <c r="AB1055" s="213">
        <v>420</v>
      </c>
      <c r="AC1055" s="234">
        <v>900</v>
      </c>
    </row>
    <row r="1056" spans="1:29" ht="12.75" customHeight="1" x14ac:dyDescent="0.2">
      <c r="A1056" s="1916">
        <v>1056</v>
      </c>
      <c r="B1056" s="5144"/>
      <c r="C1056" s="2192" t="s">
        <v>92</v>
      </c>
      <c r="E1056" s="497">
        <v>95</v>
      </c>
      <c r="F1056" s="123">
        <f>40+10*Tablas!G414+20*Tablas!G415+30*Tablas!G416+10*H1330</f>
        <v>40</v>
      </c>
      <c r="H1056" s="500" t="s">
        <v>2029</v>
      </c>
      <c r="I1056" s="123">
        <f>Tablas!G428</f>
        <v>0</v>
      </c>
      <c r="K1056" s="388">
        <v>15</v>
      </c>
      <c r="L1056" s="234">
        <v>50</v>
      </c>
      <c r="N1056" s="363"/>
      <c r="O1056" s="1999"/>
      <c r="S1056" s="3017"/>
      <c r="T1056" s="3017">
        <f>10+T1054</f>
        <v>94</v>
      </c>
      <c r="U1056" s="3017"/>
      <c r="Y1056" s="1658" t="str">
        <f t="shared" si="120"/>
        <v>Los Enamorados</v>
      </c>
      <c r="Z1056" s="2266">
        <f t="shared" si="121"/>
        <v>15</v>
      </c>
      <c r="AA1056" s="369" t="s">
        <v>959</v>
      </c>
      <c r="AB1056" s="213">
        <v>440</v>
      </c>
      <c r="AC1056" s="234">
        <v>950</v>
      </c>
    </row>
    <row r="1057" spans="1:29" ht="12.75" customHeight="1" x14ac:dyDescent="0.2">
      <c r="A1057" s="1916">
        <v>1057</v>
      </c>
      <c r="B1057" s="5144"/>
      <c r="C1057" s="2192" t="s">
        <v>2433</v>
      </c>
      <c r="E1057" s="497">
        <v>115</v>
      </c>
      <c r="F1057" s="123">
        <f>50+10*Tablas!G414+20*Tablas!G415+30*Tablas!G416+10*H1330</f>
        <v>50</v>
      </c>
      <c r="H1057" s="500" t="s">
        <v>1929</v>
      </c>
      <c r="I1057" s="123">
        <f>Tablas!G422</f>
        <v>0</v>
      </c>
      <c r="K1057" s="389">
        <v>21</v>
      </c>
      <c r="L1057" s="234">
        <v>60</v>
      </c>
      <c r="N1057" s="363"/>
      <c r="O1057" s="1999"/>
      <c r="S1057" s="3017"/>
      <c r="T1057" s="3017">
        <f>10+T1055</f>
        <v>98</v>
      </c>
      <c r="U1057" s="3017"/>
      <c r="Y1057" s="1658" t="str">
        <f t="shared" si="120"/>
        <v>Los Enamorados invertidos</v>
      </c>
      <c r="Z1057" s="2266">
        <f t="shared" si="121"/>
        <v>19</v>
      </c>
      <c r="AA1057" s="369" t="s">
        <v>960</v>
      </c>
      <c r="AB1057" s="213">
        <v>460</v>
      </c>
      <c r="AC1057" s="234">
        <v>1000</v>
      </c>
    </row>
    <row r="1058" spans="1:29" ht="12.75" customHeight="1" thickBot="1" x14ac:dyDescent="0.25">
      <c r="A1058" s="1916">
        <v>1058</v>
      </c>
      <c r="B1058" s="5144"/>
      <c r="C1058" s="2193" t="s">
        <v>93</v>
      </c>
      <c r="E1058" s="497">
        <v>135</v>
      </c>
      <c r="F1058" s="123">
        <f>60+10*Tablas!G414+20*Tablas!G415+30*Tablas!G416+10*H1330</f>
        <v>60</v>
      </c>
      <c r="H1058" s="500" t="s">
        <v>2031</v>
      </c>
      <c r="I1058" s="123">
        <f>Tablas!G429</f>
        <v>0</v>
      </c>
      <c r="K1058" s="389">
        <v>28</v>
      </c>
      <c r="L1058" s="234">
        <v>70</v>
      </c>
      <c r="N1058" s="363"/>
      <c r="O1058" s="1999"/>
      <c r="Y1058" s="1658" t="str">
        <f t="shared" ref="Y1058:Y1089" si="126">VLOOKUP(A1,$Z$1058:$AA$1128,2,0)</f>
        <v>&gt; GRANDES BESTIAS</v>
      </c>
      <c r="Z1058" s="2266">
        <f t="shared" ref="Z1058:Z1089" si="127">COUNTIF($AA$1058:$AA$1128,"&lt;="&amp;AA1058)</f>
        <v>1</v>
      </c>
      <c r="AA1058" s="369" t="s">
        <v>961</v>
      </c>
      <c r="AB1058" s="67"/>
      <c r="AC1058" s="68"/>
    </row>
    <row r="1059" spans="1:29" ht="12.75" customHeight="1" x14ac:dyDescent="0.2">
      <c r="A1059" s="1916">
        <v>1059</v>
      </c>
      <c r="B1059" s="5144"/>
      <c r="E1059" s="497">
        <v>155</v>
      </c>
      <c r="F1059" s="123">
        <f>70+10*Tablas!G414+20*Tablas!G415+30*Tablas!G416+10*H1330</f>
        <v>70</v>
      </c>
      <c r="H1059" s="500" t="s">
        <v>2019</v>
      </c>
      <c r="I1059" s="123">
        <f>Tablas!G420</f>
        <v>0</v>
      </c>
      <c r="K1059" s="389">
        <v>36</v>
      </c>
      <c r="L1059" s="234">
        <v>80</v>
      </c>
      <c r="N1059" s="363"/>
      <c r="O1059" s="1999"/>
      <c r="Y1059" s="1658" t="str">
        <f t="shared" si="126"/>
        <v>Behemoth, Señor de la Tierra</v>
      </c>
      <c r="Z1059" s="2266">
        <f t="shared" si="127"/>
        <v>52</v>
      </c>
      <c r="AA1059" s="369" t="s">
        <v>962</v>
      </c>
      <c r="AB1059" s="213">
        <v>280</v>
      </c>
      <c r="AC1059" s="234">
        <v>450</v>
      </c>
    </row>
    <row r="1060" spans="1:29" ht="12.75" customHeight="1" x14ac:dyDescent="0.2">
      <c r="A1060" s="1916">
        <v>1060</v>
      </c>
      <c r="B1060" s="5144"/>
      <c r="E1060" s="497">
        <v>185</v>
      </c>
      <c r="F1060" s="123">
        <f>80+10*Tablas!G414+20*Tablas!G415+30*Tablas!G416+10*H1330</f>
        <v>80</v>
      </c>
      <c r="H1060" s="500" t="s">
        <v>2033</v>
      </c>
      <c r="I1060" s="123">
        <f>Tablas!G430</f>
        <v>0</v>
      </c>
      <c r="K1060" s="389">
        <v>45</v>
      </c>
      <c r="L1060" s="234">
        <v>90</v>
      </c>
      <c r="N1060" s="363"/>
      <c r="O1060" s="1999"/>
      <c r="Y1060" s="1658" t="str">
        <f t="shared" si="126"/>
        <v>Behemoth: Comunión con la tierra</v>
      </c>
      <c r="Z1060" s="2266">
        <f t="shared" si="127"/>
        <v>51</v>
      </c>
      <c r="AA1060" s="369" t="s">
        <v>963</v>
      </c>
      <c r="AB1060" s="213">
        <v>380</v>
      </c>
      <c r="AC1060" s="234">
        <v>800</v>
      </c>
    </row>
    <row r="1061" spans="1:29" ht="12.75" customHeight="1" thickBot="1" x14ac:dyDescent="0.25">
      <c r="A1061" s="1916">
        <v>1061</v>
      </c>
      <c r="B1061" s="5144"/>
      <c r="E1061" s="498">
        <v>200</v>
      </c>
      <c r="F1061" s="420">
        <f>90+10*Tablas!G414+20*Tablas!G415+30*Tablas!G416+10*H1330</f>
        <v>90</v>
      </c>
      <c r="H1061" s="500" t="s">
        <v>2020</v>
      </c>
      <c r="I1061" s="123">
        <f>Tablas!G421</f>
        <v>0</v>
      </c>
      <c r="K1061" s="391">
        <v>55</v>
      </c>
      <c r="L1061" s="376">
        <v>100</v>
      </c>
      <c r="N1061" s="363"/>
      <c r="O1061" s="1999"/>
      <c r="Y1061" s="1658" t="str">
        <f t="shared" si="126"/>
        <v>Behemoth: Señor de la tierra</v>
      </c>
      <c r="Z1061" s="2266">
        <f t="shared" si="127"/>
        <v>32</v>
      </c>
      <c r="AA1061" s="369" t="s">
        <v>964</v>
      </c>
      <c r="AB1061" s="213">
        <v>150</v>
      </c>
      <c r="AC1061" s="234">
        <v>200</v>
      </c>
    </row>
    <row r="1062" spans="1:29" ht="12.75" customHeight="1" x14ac:dyDescent="0.2">
      <c r="A1062" s="1916">
        <v>1062</v>
      </c>
      <c r="B1062" s="5144"/>
      <c r="E1062" s="1926"/>
      <c r="H1062" s="500" t="s">
        <v>2024</v>
      </c>
      <c r="I1062" s="123">
        <f>Tablas!G425</f>
        <v>0</v>
      </c>
      <c r="N1062" s="363"/>
      <c r="O1062" s="1999"/>
      <c r="Y1062" s="1658" t="str">
        <f t="shared" si="126"/>
        <v>Byakko, el Tigre Blanco</v>
      </c>
      <c r="Z1062" s="2266">
        <f t="shared" si="127"/>
        <v>18</v>
      </c>
      <c r="AA1062" s="369" t="s">
        <v>965</v>
      </c>
      <c r="AB1062" s="213">
        <v>220</v>
      </c>
      <c r="AC1062" s="234">
        <v>500</v>
      </c>
    </row>
    <row r="1063" spans="1:29" ht="12.75" customHeight="1" thickBot="1" x14ac:dyDescent="0.25">
      <c r="A1063" s="1916">
        <v>1063</v>
      </c>
      <c r="B1063" s="5144"/>
      <c r="H1063" s="501" t="s">
        <v>1543</v>
      </c>
      <c r="I1063" s="420">
        <f>Tablas!G431</f>
        <v>0</v>
      </c>
      <c r="N1063" s="363"/>
      <c r="O1063" s="1999"/>
      <c r="Y1063" s="1658" t="str">
        <f t="shared" si="126"/>
        <v>Byakko: La bestia definitiva</v>
      </c>
      <c r="Z1063" s="2266">
        <f t="shared" si="127"/>
        <v>48</v>
      </c>
      <c r="AA1063" s="369" t="s">
        <v>966</v>
      </c>
      <c r="AB1063" s="213">
        <v>140</v>
      </c>
      <c r="AC1063" s="234">
        <v>200</v>
      </c>
    </row>
    <row r="1064" spans="1:29" ht="12.75" customHeight="1" thickBot="1" x14ac:dyDescent="0.25">
      <c r="A1064" s="1916">
        <v>1064</v>
      </c>
      <c r="B1064" s="5144"/>
      <c r="N1064" s="363"/>
      <c r="O1064" s="1999"/>
      <c r="Y1064" s="1658" t="str">
        <f t="shared" si="126"/>
        <v>Byakko: La garra del rey de las bestias</v>
      </c>
      <c r="Z1064" s="2266">
        <f t="shared" si="127"/>
        <v>33</v>
      </c>
      <c r="AA1064" s="369" t="s">
        <v>967</v>
      </c>
      <c r="AB1064" s="213">
        <v>180</v>
      </c>
      <c r="AC1064" s="234">
        <v>200</v>
      </c>
    </row>
    <row r="1065" spans="1:29" ht="12.75" customHeight="1" x14ac:dyDescent="0.2">
      <c r="A1065" s="1916">
        <v>1065</v>
      </c>
      <c r="B1065" s="5144"/>
      <c r="C1065" s="5187" t="s">
        <v>80</v>
      </c>
      <c r="D1065" s="5188"/>
      <c r="E1065" s="5188"/>
      <c r="F1065" s="5188"/>
      <c r="G1065" s="5188"/>
      <c r="H1065" s="5188"/>
      <c r="I1065" s="5188"/>
      <c r="J1065" s="5189"/>
      <c r="K1065" s="5268" t="s">
        <v>8538</v>
      </c>
      <c r="M1065" s="3168" t="s">
        <v>8539</v>
      </c>
      <c r="N1065" s="3169"/>
      <c r="O1065" s="3169"/>
      <c r="P1065" s="3169"/>
      <c r="Q1065" s="3169"/>
      <c r="R1065" s="3169"/>
      <c r="S1065" s="3169"/>
      <c r="T1065" s="3169"/>
      <c r="U1065" s="3169"/>
      <c r="V1065" s="3169"/>
      <c r="W1065" s="3170"/>
      <c r="Y1065" s="1658" t="str">
        <f t="shared" si="126"/>
        <v>Byakko: Protección</v>
      </c>
      <c r="Z1065" s="2266">
        <f t="shared" si="127"/>
        <v>35</v>
      </c>
      <c r="AA1065" s="369" t="s">
        <v>968</v>
      </c>
      <c r="AB1065" s="213">
        <v>140</v>
      </c>
      <c r="AC1065" s="234">
        <v>120</v>
      </c>
    </row>
    <row r="1066" spans="1:29" ht="12.75" customHeight="1" thickBot="1" x14ac:dyDescent="0.25">
      <c r="A1066" s="1916">
        <v>1066</v>
      </c>
      <c r="B1066" s="5144"/>
      <c r="C1066" s="5339" t="s">
        <v>8540</v>
      </c>
      <c r="D1066" s="5340"/>
      <c r="E1066" s="5340"/>
      <c r="F1066" s="5340"/>
      <c r="G1066" s="5340"/>
      <c r="H1066" s="5340"/>
      <c r="I1066" s="5340"/>
      <c r="J1066" s="5341"/>
      <c r="K1066" s="5268"/>
      <c r="M1066" s="1844" t="s">
        <v>2019</v>
      </c>
      <c r="N1066" s="2800" t="s">
        <v>2020</v>
      </c>
      <c r="O1066" s="2015" t="s">
        <v>2026</v>
      </c>
      <c r="P1066" s="2800" t="s">
        <v>2027</v>
      </c>
      <c r="Q1066" s="2800" t="s">
        <v>1929</v>
      </c>
      <c r="R1066" s="2800" t="s">
        <v>1925</v>
      </c>
      <c r="S1066" s="2800" t="s">
        <v>2024</v>
      </c>
      <c r="T1066" s="2800" t="s">
        <v>1922</v>
      </c>
      <c r="U1066" s="2800" t="s">
        <v>2029</v>
      </c>
      <c r="V1066" s="2800" t="s">
        <v>2031</v>
      </c>
      <c r="W1066" s="2801" t="s">
        <v>2033</v>
      </c>
      <c r="Y1066" s="1658" t="str">
        <f t="shared" si="126"/>
        <v>Byakko: Señor del oeste</v>
      </c>
      <c r="Z1066" s="2266">
        <f t="shared" si="127"/>
        <v>34</v>
      </c>
      <c r="AA1066" s="369" t="s">
        <v>969</v>
      </c>
      <c r="AB1066" s="213">
        <v>200</v>
      </c>
      <c r="AC1066" s="234">
        <v>240</v>
      </c>
    </row>
    <row r="1067" spans="1:29" ht="12.75" customHeight="1" x14ac:dyDescent="0.2">
      <c r="A1067" s="1916">
        <v>1067</v>
      </c>
      <c r="B1067" s="5144"/>
      <c r="C1067" s="510" t="s">
        <v>81</v>
      </c>
      <c r="D1067" s="511" t="s">
        <v>2033</v>
      </c>
      <c r="E1067" s="511" t="s">
        <v>2031</v>
      </c>
      <c r="F1067" s="511" t="s">
        <v>2029</v>
      </c>
      <c r="G1067" s="511" t="s">
        <v>1929</v>
      </c>
      <c r="H1067" s="511" t="s">
        <v>2024</v>
      </c>
      <c r="I1067" s="447" t="s">
        <v>1925</v>
      </c>
      <c r="J1067" s="392"/>
      <c r="K1067" s="1997" t="str">
        <f t="shared" ref="K1067:K1080" si="128">D1067&amp;E1067&amp;F1067&amp;G1067&amp;H1067&amp;I1067&amp;J1067</f>
        <v>NigromanciaIlusiónEsenciaFuegoTierraAgua</v>
      </c>
      <c r="M1067" s="1845" t="s">
        <v>10015</v>
      </c>
      <c r="N1067" s="1843" t="s">
        <v>10015</v>
      </c>
      <c r="O1067" s="1843" t="s">
        <v>10015</v>
      </c>
      <c r="P1067" s="1843" t="s">
        <v>10015</v>
      </c>
      <c r="Q1067" s="1843" t="s">
        <v>10015</v>
      </c>
      <c r="R1067" s="1843" t="s">
        <v>10015</v>
      </c>
      <c r="S1067" s="1843" t="s">
        <v>10015</v>
      </c>
      <c r="T1067" s="1843" t="s">
        <v>10015</v>
      </c>
      <c r="U1067" s="1843" t="s">
        <v>10015</v>
      </c>
      <c r="V1067" s="1843" t="s">
        <v>10015</v>
      </c>
      <c r="W1067" s="1846" t="s">
        <v>10015</v>
      </c>
      <c r="Y1067" s="1658" t="str">
        <f t="shared" si="126"/>
        <v>Caronte, Titiritero de Almas</v>
      </c>
      <c r="Z1067" s="2266">
        <f t="shared" si="127"/>
        <v>36</v>
      </c>
      <c r="AA1067" s="369" t="s">
        <v>970</v>
      </c>
      <c r="AB1067" s="213">
        <v>240</v>
      </c>
      <c r="AC1067" s="234">
        <v>400</v>
      </c>
    </row>
    <row r="1068" spans="1:29" ht="12.75" customHeight="1" x14ac:dyDescent="0.2">
      <c r="A1068" s="1916">
        <v>1068</v>
      </c>
      <c r="B1068" s="5144"/>
      <c r="C1068" s="512" t="s">
        <v>89</v>
      </c>
      <c r="D1068" s="511" t="s">
        <v>2027</v>
      </c>
      <c r="E1068" s="511" t="s">
        <v>2024</v>
      </c>
      <c r="F1068" s="511" t="s">
        <v>1929</v>
      </c>
      <c r="G1068" s="511" t="s">
        <v>2031</v>
      </c>
      <c r="H1068" s="511"/>
      <c r="I1068" s="447"/>
      <c r="J1068" s="392"/>
      <c r="K1068" s="1997" t="str">
        <f t="shared" si="128"/>
        <v>DestrucciónTierraFuegoIlusión</v>
      </c>
      <c r="M1068" s="1845" t="s">
        <v>81</v>
      </c>
      <c r="N1068" s="1843" t="s">
        <v>81</v>
      </c>
      <c r="O1068" s="1843" t="s">
        <v>81</v>
      </c>
      <c r="P1068" s="1843" t="s">
        <v>81</v>
      </c>
      <c r="Q1068" s="1843" t="s">
        <v>82</v>
      </c>
      <c r="R1068" s="1843" t="s">
        <v>89</v>
      </c>
      <c r="S1068" s="1843" t="s">
        <v>82</v>
      </c>
      <c r="T1068" s="1843" t="s">
        <v>81</v>
      </c>
      <c r="U1068" s="1843" t="s">
        <v>89</v>
      </c>
      <c r="V1068" s="1843" t="s">
        <v>83</v>
      </c>
      <c r="W1068" s="1846" t="s">
        <v>89</v>
      </c>
      <c r="Y1068" s="1658" t="str">
        <f t="shared" si="126"/>
        <v>Druaga</v>
      </c>
      <c r="Z1068" s="2266">
        <f t="shared" si="127"/>
        <v>25</v>
      </c>
      <c r="AA1068" s="369" t="s">
        <v>971</v>
      </c>
      <c r="AB1068" s="213">
        <v>260</v>
      </c>
      <c r="AC1068" s="234">
        <v>400</v>
      </c>
    </row>
    <row r="1069" spans="1:29" ht="12.75" customHeight="1" x14ac:dyDescent="0.2">
      <c r="A1069" s="1916">
        <v>1069</v>
      </c>
      <c r="B1069" s="5144"/>
      <c r="C1069" s="512" t="s">
        <v>82</v>
      </c>
      <c r="D1069" s="511" t="s">
        <v>2029</v>
      </c>
      <c r="E1069" s="511" t="s">
        <v>1922</v>
      </c>
      <c r="F1069" s="511" t="s">
        <v>2019</v>
      </c>
      <c r="G1069" s="511" t="s">
        <v>1925</v>
      </c>
      <c r="H1069" s="511" t="s">
        <v>2031</v>
      </c>
      <c r="I1069" s="447" t="s">
        <v>2026</v>
      </c>
      <c r="J1069" s="392"/>
      <c r="K1069" s="1997" t="str">
        <f t="shared" si="128"/>
        <v>EsenciaAireLuzAguaIlusiónCreación</v>
      </c>
      <c r="M1069" s="1845" t="s">
        <v>89</v>
      </c>
      <c r="N1069" s="1843" t="s">
        <v>89</v>
      </c>
      <c r="O1069" s="1843" t="s">
        <v>89</v>
      </c>
      <c r="P1069" s="1843" t="s">
        <v>82</v>
      </c>
      <c r="Q1069" s="1843" t="s">
        <v>84</v>
      </c>
      <c r="R1069" s="1843" t="s">
        <v>83</v>
      </c>
      <c r="S1069" s="1843" t="s">
        <v>85</v>
      </c>
      <c r="T1069" s="1843" t="s">
        <v>89</v>
      </c>
      <c r="U1069" s="1843" t="s">
        <v>85</v>
      </c>
      <c r="V1069" s="1843" t="s">
        <v>85</v>
      </c>
      <c r="W1069" s="1846" t="s">
        <v>82</v>
      </c>
      <c r="Y1069" s="1658" t="str">
        <f t="shared" si="126"/>
        <v>Druaga: Destructora de demonios</v>
      </c>
      <c r="Z1069" s="2266">
        <f t="shared" si="127"/>
        <v>47</v>
      </c>
      <c r="AA1069" s="369" t="s">
        <v>972</v>
      </c>
      <c r="AB1069" s="213">
        <v>180</v>
      </c>
      <c r="AC1069" s="234">
        <v>200</v>
      </c>
    </row>
    <row r="1070" spans="1:29" ht="12.75" customHeight="1" x14ac:dyDescent="0.2">
      <c r="A1070" s="1916">
        <v>1070</v>
      </c>
      <c r="B1070" s="5144"/>
      <c r="C1070" s="512" t="s">
        <v>83</v>
      </c>
      <c r="D1070" s="511" t="s">
        <v>2033</v>
      </c>
      <c r="E1070" s="511" t="s">
        <v>2027</v>
      </c>
      <c r="F1070" s="511" t="s">
        <v>2029</v>
      </c>
      <c r="G1070" s="511" t="s">
        <v>1929</v>
      </c>
      <c r="H1070" s="511" t="s">
        <v>1922</v>
      </c>
      <c r="I1070" s="447" t="s">
        <v>2024</v>
      </c>
      <c r="J1070" s="392"/>
      <c r="K1070" s="1997" t="str">
        <f t="shared" si="128"/>
        <v>NigromanciaDestrucciónEsenciaFuegoAireTierra</v>
      </c>
      <c r="M1070" s="1845" t="s">
        <v>83</v>
      </c>
      <c r="N1070" s="1843" t="s">
        <v>82</v>
      </c>
      <c r="O1070" s="1843" t="s">
        <v>83</v>
      </c>
      <c r="P1070" s="1843" t="s">
        <v>84</v>
      </c>
      <c r="Q1070" s="1843" t="s">
        <v>88</v>
      </c>
      <c r="R1070" s="1843" t="s">
        <v>85</v>
      </c>
      <c r="S1070" s="1843" t="s">
        <v>86</v>
      </c>
      <c r="T1070" s="1843" t="s">
        <v>85</v>
      </c>
      <c r="U1070" s="1843" t="s">
        <v>87</v>
      </c>
      <c r="V1070" s="1843" t="s">
        <v>86</v>
      </c>
      <c r="W1070" s="1846" t="s">
        <v>84</v>
      </c>
      <c r="Y1070" s="1658" t="str">
        <f t="shared" si="126"/>
        <v>Druaga: Kali</v>
      </c>
      <c r="Z1070" s="2266">
        <f t="shared" si="127"/>
        <v>26</v>
      </c>
      <c r="AA1070" s="369" t="s">
        <v>973</v>
      </c>
      <c r="AB1070" s="213">
        <v>220</v>
      </c>
      <c r="AC1070" s="234">
        <v>350</v>
      </c>
    </row>
    <row r="1071" spans="1:29" ht="12.75" customHeight="1" x14ac:dyDescent="0.2">
      <c r="A1071" s="1916">
        <v>1071</v>
      </c>
      <c r="B1071" s="5144"/>
      <c r="C1071" s="512" t="s">
        <v>84</v>
      </c>
      <c r="D1071" s="511" t="s">
        <v>2026</v>
      </c>
      <c r="E1071" s="511" t="s">
        <v>2019</v>
      </c>
      <c r="F1071" s="511" t="s">
        <v>2029</v>
      </c>
      <c r="G1071" s="511" t="s">
        <v>2024</v>
      </c>
      <c r="H1071" s="511" t="s">
        <v>1925</v>
      </c>
      <c r="I1071" s="447" t="s">
        <v>1922</v>
      </c>
      <c r="J1071" s="392" t="s">
        <v>2031</v>
      </c>
      <c r="K1071" s="1997" t="str">
        <f t="shared" si="128"/>
        <v>CreaciónLuzEsenciaTierraAguaAireIlusión</v>
      </c>
      <c r="M1071" s="1845" t="s">
        <v>85</v>
      </c>
      <c r="N1071" s="1843" t="s">
        <v>83</v>
      </c>
      <c r="O1071" s="1843" t="s">
        <v>85</v>
      </c>
      <c r="P1071" s="1843" t="s">
        <v>88</v>
      </c>
      <c r="Q1071" s="1843" t="s">
        <v>2433</v>
      </c>
      <c r="R1071" s="1843" t="s">
        <v>86</v>
      </c>
      <c r="S1071" s="1843" t="s">
        <v>87</v>
      </c>
      <c r="T1071" s="1843" t="s">
        <v>86</v>
      </c>
      <c r="U1071" s="1843" t="s">
        <v>90</v>
      </c>
      <c r="V1071" s="1843" t="s">
        <v>91</v>
      </c>
      <c r="W1071" s="1846" t="s">
        <v>88</v>
      </c>
      <c r="Y1071" s="1658" t="str">
        <f t="shared" si="126"/>
        <v>Eir, la Primera Valkyria</v>
      </c>
      <c r="Z1071" s="2266">
        <f t="shared" si="127"/>
        <v>50</v>
      </c>
      <c r="AA1071" s="369" t="s">
        <v>974</v>
      </c>
      <c r="AB1071" s="213">
        <v>220</v>
      </c>
      <c r="AC1071" s="234">
        <v>400</v>
      </c>
    </row>
    <row r="1072" spans="1:29" ht="12.75" customHeight="1" x14ac:dyDescent="0.2">
      <c r="A1072" s="1916">
        <v>1072</v>
      </c>
      <c r="B1072" s="5144"/>
      <c r="C1072" s="512" t="s">
        <v>85</v>
      </c>
      <c r="D1072" s="511" t="s">
        <v>2027</v>
      </c>
      <c r="E1072" s="511" t="s">
        <v>1929</v>
      </c>
      <c r="F1072" s="511" t="s">
        <v>2024</v>
      </c>
      <c r="G1072" s="511" t="s">
        <v>2033</v>
      </c>
      <c r="H1072" s="511"/>
      <c r="I1072" s="447"/>
      <c r="J1072" s="392"/>
      <c r="K1072" s="1997" t="str">
        <f t="shared" si="128"/>
        <v>DestrucciónFuegoTierraNigromancia</v>
      </c>
      <c r="M1072" s="1845" t="s">
        <v>86</v>
      </c>
      <c r="N1072" s="1843" t="s">
        <v>84</v>
      </c>
      <c r="O1072" s="1843" t="s">
        <v>87</v>
      </c>
      <c r="P1072" s="1843" t="s">
        <v>90</v>
      </c>
      <c r="Q1072" s="1843" t="s">
        <v>10016</v>
      </c>
      <c r="R1072" s="1843" t="s">
        <v>87</v>
      </c>
      <c r="S1072" s="1843" t="s">
        <v>10016</v>
      </c>
      <c r="T1072" s="1843" t="s">
        <v>87</v>
      </c>
      <c r="U1072" s="1843" t="s">
        <v>91</v>
      </c>
      <c r="V1072" s="1843" t="s">
        <v>2433</v>
      </c>
      <c r="W1072" s="1846" t="s">
        <v>90</v>
      </c>
      <c r="Y1072" s="1658" t="str">
        <f t="shared" si="126"/>
        <v>Eir: Einjear</v>
      </c>
      <c r="Z1072" s="2266">
        <f t="shared" si="127"/>
        <v>37</v>
      </c>
      <c r="AA1072" s="369" t="s">
        <v>975</v>
      </c>
      <c r="AB1072" s="213">
        <v>280</v>
      </c>
      <c r="AC1072" s="234">
        <v>500</v>
      </c>
    </row>
    <row r="1073" spans="1:36" ht="12.75" customHeight="1" x14ac:dyDescent="0.2">
      <c r="A1073" s="1916">
        <v>1073</v>
      </c>
      <c r="B1073" s="5144"/>
      <c r="C1073" s="512" t="s">
        <v>86</v>
      </c>
      <c r="D1073" s="511" t="s">
        <v>2026</v>
      </c>
      <c r="E1073" s="511" t="s">
        <v>2027</v>
      </c>
      <c r="F1073" s="511" t="s">
        <v>2029</v>
      </c>
      <c r="G1073" s="511" t="s">
        <v>1929</v>
      </c>
      <c r="H1073" s="511" t="s">
        <v>2033</v>
      </c>
      <c r="I1073" s="447"/>
      <c r="J1073" s="392"/>
      <c r="K1073" s="1997" t="str">
        <f t="shared" si="128"/>
        <v>CreaciónDestrucciónEsenciaFuegoNigromancia</v>
      </c>
      <c r="M1073" s="1845" t="s">
        <v>87</v>
      </c>
      <c r="N1073" s="1843" t="s">
        <v>85</v>
      </c>
      <c r="O1073" s="1843" t="s">
        <v>88</v>
      </c>
      <c r="P1073" s="1843" t="s">
        <v>92</v>
      </c>
      <c r="Q1073" s="1843" t="s">
        <v>81</v>
      </c>
      <c r="R1073" s="1843" t="s">
        <v>90</v>
      </c>
      <c r="S1073" s="1843" t="s">
        <v>81</v>
      </c>
      <c r="T1073" s="1843" t="s">
        <v>88</v>
      </c>
      <c r="U1073" s="1843" t="s">
        <v>10016</v>
      </c>
      <c r="V1073" s="1843" t="s">
        <v>10016</v>
      </c>
      <c r="W1073" s="1846" t="s">
        <v>91</v>
      </c>
      <c r="Y1073" s="1658" t="str">
        <f t="shared" si="126"/>
        <v>Eir: El ojo de la muerte</v>
      </c>
      <c r="Z1073" s="2266">
        <f t="shared" si="127"/>
        <v>39</v>
      </c>
      <c r="AA1073" s="369" t="s">
        <v>976</v>
      </c>
      <c r="AB1073" s="213">
        <v>240</v>
      </c>
      <c r="AC1073" s="234">
        <v>400</v>
      </c>
    </row>
    <row r="1074" spans="1:36" ht="12.75" customHeight="1" x14ac:dyDescent="0.2">
      <c r="A1074" s="1916">
        <v>1074</v>
      </c>
      <c r="B1074" s="5144"/>
      <c r="C1074" s="512" t="s">
        <v>87</v>
      </c>
      <c r="D1074" s="511" t="s">
        <v>2027</v>
      </c>
      <c r="E1074" s="511" t="s">
        <v>2020</v>
      </c>
      <c r="F1074" s="511" t="s">
        <v>1929</v>
      </c>
      <c r="G1074" s="511" t="s">
        <v>2033</v>
      </c>
      <c r="H1074" s="511" t="s">
        <v>2031</v>
      </c>
      <c r="I1074" s="447"/>
      <c r="J1074" s="392"/>
      <c r="K1074" s="1997" t="str">
        <f t="shared" si="128"/>
        <v>DestrucciónOscuridadFuegoNigromanciaIlusión</v>
      </c>
      <c r="M1074" s="1845" t="s">
        <v>91</v>
      </c>
      <c r="N1074" s="1843" t="s">
        <v>86</v>
      </c>
      <c r="O1074" s="1843" t="s">
        <v>90</v>
      </c>
      <c r="P1074" s="1843" t="s">
        <v>93</v>
      </c>
      <c r="Q1074" s="1843" t="s">
        <v>89</v>
      </c>
      <c r="R1074" s="1843" t="s">
        <v>93</v>
      </c>
      <c r="S1074" s="1843" t="s">
        <v>89</v>
      </c>
      <c r="T1074" s="1843" t="s">
        <v>91</v>
      </c>
      <c r="U1074" s="1843" t="s">
        <v>81</v>
      </c>
      <c r="V1074" s="1843" t="s">
        <v>81</v>
      </c>
      <c r="W1074" s="1846" t="s">
        <v>2433</v>
      </c>
      <c r="Y1074" s="1658" t="str">
        <f t="shared" si="126"/>
        <v>El Vendedor</v>
      </c>
      <c r="Z1074" s="2266">
        <f t="shared" si="127"/>
        <v>38</v>
      </c>
      <c r="AA1074" s="369" t="s">
        <v>977</v>
      </c>
      <c r="AB1074" s="213">
        <v>280</v>
      </c>
      <c r="AC1074" s="234">
        <v>500</v>
      </c>
    </row>
    <row r="1075" spans="1:36" ht="12.75" customHeight="1" x14ac:dyDescent="0.2">
      <c r="A1075" s="1916">
        <v>1075</v>
      </c>
      <c r="B1075" s="5144"/>
      <c r="C1075" s="512" t="s">
        <v>88</v>
      </c>
      <c r="D1075" s="511" t="s">
        <v>2019</v>
      </c>
      <c r="E1075" s="511" t="s">
        <v>2029</v>
      </c>
      <c r="F1075" s="511" t="s">
        <v>2031</v>
      </c>
      <c r="G1075" s="511" t="s">
        <v>2024</v>
      </c>
      <c r="H1075" s="511" t="s">
        <v>1925</v>
      </c>
      <c r="I1075" s="447"/>
      <c r="J1075" s="392"/>
      <c r="K1075" s="1997" t="str">
        <f t="shared" si="128"/>
        <v>LuzEsenciaIlusiónTierraAgua</v>
      </c>
      <c r="M1075" s="1845" t="s">
        <v>92</v>
      </c>
      <c r="N1075" s="1843" t="s">
        <v>88</v>
      </c>
      <c r="O1075" s="1843" t="s">
        <v>92</v>
      </c>
      <c r="P1075" s="1843" t="s">
        <v>10016</v>
      </c>
      <c r="Q1075" s="1843" t="s">
        <v>83</v>
      </c>
      <c r="R1075" s="1843" t="s">
        <v>10016</v>
      </c>
      <c r="S1075" s="1843" t="s">
        <v>83</v>
      </c>
      <c r="T1075" s="1843" t="s">
        <v>2433</v>
      </c>
      <c r="U1075" s="1843" t="s">
        <v>82</v>
      </c>
      <c r="V1075" s="1843" t="s">
        <v>89</v>
      </c>
      <c r="W1075" s="1846" t="s">
        <v>93</v>
      </c>
      <c r="Y1075" s="1658" t="str">
        <f t="shared" si="126"/>
        <v>Enamon</v>
      </c>
      <c r="Z1075" s="2266">
        <f t="shared" si="127"/>
        <v>19</v>
      </c>
      <c r="AA1075" s="369" t="s">
        <v>978</v>
      </c>
      <c r="AB1075" s="213">
        <v>280</v>
      </c>
      <c r="AC1075" s="234">
        <v>400</v>
      </c>
    </row>
    <row r="1076" spans="1:36" ht="12.75" customHeight="1" x14ac:dyDescent="0.2">
      <c r="A1076" s="1916">
        <v>1076</v>
      </c>
      <c r="B1076" s="5144"/>
      <c r="C1076" s="512" t="s">
        <v>90</v>
      </c>
      <c r="D1076" s="511" t="s">
        <v>2019</v>
      </c>
      <c r="E1076" s="511" t="s">
        <v>2031</v>
      </c>
      <c r="F1076" s="511" t="s">
        <v>1929</v>
      </c>
      <c r="G1076" s="511" t="s">
        <v>1922</v>
      </c>
      <c r="H1076" s="511" t="s">
        <v>2024</v>
      </c>
      <c r="I1076" s="447"/>
      <c r="J1076" s="392"/>
      <c r="K1076" s="1997" t="str">
        <f t="shared" si="128"/>
        <v>LuzIlusiónFuegoAireTierra</v>
      </c>
      <c r="M1076" s="1845" t="s">
        <v>10016</v>
      </c>
      <c r="N1076" s="1843" t="s">
        <v>90</v>
      </c>
      <c r="O1076" s="1843" t="s">
        <v>10016</v>
      </c>
      <c r="P1076" s="1843" t="s">
        <v>89</v>
      </c>
      <c r="Q1076" s="1843" t="s">
        <v>85</v>
      </c>
      <c r="R1076" s="1843" t="s">
        <v>81</v>
      </c>
      <c r="S1076" s="1843" t="s">
        <v>84</v>
      </c>
      <c r="T1076" s="1843" t="s">
        <v>93</v>
      </c>
      <c r="U1076" s="1843" t="s">
        <v>83</v>
      </c>
      <c r="V1076" s="1843" t="s">
        <v>82</v>
      </c>
      <c r="W1076" s="1846" t="s">
        <v>10016</v>
      </c>
      <c r="Y1076" s="1658" t="str">
        <f t="shared" si="126"/>
        <v>Ethelthryth, Señora de los Nombres</v>
      </c>
      <c r="Z1076" s="2266">
        <f t="shared" si="127"/>
        <v>20</v>
      </c>
      <c r="AA1076" s="369" t="s">
        <v>979</v>
      </c>
      <c r="AB1076" s="213">
        <v>240</v>
      </c>
      <c r="AC1076" s="234">
        <v>350</v>
      </c>
      <c r="AJ1076" s="1653"/>
    </row>
    <row r="1077" spans="1:36" ht="12.75" customHeight="1" x14ac:dyDescent="0.2">
      <c r="A1077" s="1916">
        <v>1077</v>
      </c>
      <c r="B1077" s="5144"/>
      <c r="C1077" s="512" t="s">
        <v>91</v>
      </c>
      <c r="D1077" s="511" t="s">
        <v>2026</v>
      </c>
      <c r="E1077" s="511" t="s">
        <v>2027</v>
      </c>
      <c r="F1077" s="511" t="s">
        <v>1925</v>
      </c>
      <c r="G1077" s="511" t="s">
        <v>2024</v>
      </c>
      <c r="H1077" s="511" t="s">
        <v>1929</v>
      </c>
      <c r="I1077" s="447"/>
      <c r="J1077" s="392"/>
      <c r="K1077" s="1997" t="str">
        <f t="shared" si="128"/>
        <v>CreaciónDestrucciónAguaTierraFuego</v>
      </c>
      <c r="M1077" s="1845" t="s">
        <v>82</v>
      </c>
      <c r="N1077" s="1843" t="s">
        <v>91</v>
      </c>
      <c r="O1077" s="1843" t="s">
        <v>82</v>
      </c>
      <c r="P1077" s="1843" t="s">
        <v>83</v>
      </c>
      <c r="Q1077" s="1843" t="s">
        <v>86</v>
      </c>
      <c r="R1077" s="1843" t="s">
        <v>82</v>
      </c>
      <c r="S1077" s="1843" t="s">
        <v>88</v>
      </c>
      <c r="T1077" s="1843" t="s">
        <v>10016</v>
      </c>
      <c r="U1077" s="1843" t="s">
        <v>84</v>
      </c>
      <c r="V1077" s="1843" t="s">
        <v>84</v>
      </c>
      <c r="W1077" s="1846" t="s">
        <v>81</v>
      </c>
      <c r="Y1077" s="1658" t="str">
        <f t="shared" si="126"/>
        <v>Ethelthryth: In Nomine</v>
      </c>
      <c r="Z1077" s="2266">
        <f t="shared" si="127"/>
        <v>21</v>
      </c>
      <c r="AA1077" s="369" t="s">
        <v>980</v>
      </c>
      <c r="AB1077" s="213">
        <v>320</v>
      </c>
      <c r="AC1077" s="234">
        <v>450</v>
      </c>
    </row>
    <row r="1078" spans="1:36" ht="12.75" customHeight="1" x14ac:dyDescent="0.2">
      <c r="A1078" s="1916">
        <v>1078</v>
      </c>
      <c r="B1078" s="5144"/>
      <c r="C1078" s="512" t="s">
        <v>92</v>
      </c>
      <c r="D1078" s="511" t="s">
        <v>2033</v>
      </c>
      <c r="E1078" s="511" t="s">
        <v>1925</v>
      </c>
      <c r="F1078" s="511" t="s">
        <v>2024</v>
      </c>
      <c r="G1078" s="511" t="s">
        <v>1929</v>
      </c>
      <c r="H1078" s="511" t="s">
        <v>1922</v>
      </c>
      <c r="I1078" s="447" t="s">
        <v>2029</v>
      </c>
      <c r="J1078" s="392" t="s">
        <v>2031</v>
      </c>
      <c r="K1078" s="1997" t="str">
        <f t="shared" si="128"/>
        <v>NigromanciaAguaTierraFuegoAireEsenciaIlusión</v>
      </c>
      <c r="M1078" s="1845" t="s">
        <v>84</v>
      </c>
      <c r="N1078" s="1843" t="s">
        <v>92</v>
      </c>
      <c r="O1078" s="1843" t="s">
        <v>84</v>
      </c>
      <c r="P1078" s="1843" t="s">
        <v>85</v>
      </c>
      <c r="Q1078" s="1843" t="s">
        <v>87</v>
      </c>
      <c r="R1078" s="1843" t="s">
        <v>84</v>
      </c>
      <c r="S1078" s="1843" t="s">
        <v>90</v>
      </c>
      <c r="T1078" s="1843" t="s">
        <v>82</v>
      </c>
      <c r="U1078" s="1843" t="s">
        <v>86</v>
      </c>
      <c r="V1078" s="1843" t="s">
        <v>87</v>
      </c>
      <c r="W1078" s="1846" t="s">
        <v>83</v>
      </c>
      <c r="Y1078" s="1658" t="str">
        <f t="shared" si="126"/>
        <v>Ethelthryth: Ordinare</v>
      </c>
      <c r="Z1078" s="2266">
        <f t="shared" si="127"/>
        <v>14</v>
      </c>
      <c r="AA1078" s="369" t="s">
        <v>981</v>
      </c>
      <c r="AB1078" s="213">
        <v>280</v>
      </c>
      <c r="AC1078" s="234">
        <v>400</v>
      </c>
    </row>
    <row r="1079" spans="1:36" ht="12.75" customHeight="1" x14ac:dyDescent="0.2">
      <c r="A1079" s="1916">
        <v>1079</v>
      </c>
      <c r="B1079" s="5144"/>
      <c r="C1079" s="512" t="s">
        <v>2433</v>
      </c>
      <c r="D1079" s="511" t="s">
        <v>2019</v>
      </c>
      <c r="E1079" s="511" t="s">
        <v>2029</v>
      </c>
      <c r="F1079" s="511" t="s">
        <v>1925</v>
      </c>
      <c r="G1079" s="511" t="s">
        <v>2026</v>
      </c>
      <c r="H1079" s="511" t="s">
        <v>2027</v>
      </c>
      <c r="I1079" s="447"/>
      <c r="J1079" s="392"/>
      <c r="K1079" s="1997" t="str">
        <f t="shared" si="128"/>
        <v>LuzEsenciaAguaCreaciónDestrucción</v>
      </c>
      <c r="M1079" s="1845" t="s">
        <v>88</v>
      </c>
      <c r="N1079" s="1843" t="s">
        <v>2433</v>
      </c>
      <c r="O1079" s="1843" t="s">
        <v>86</v>
      </c>
      <c r="P1079" s="1843" t="s">
        <v>86</v>
      </c>
      <c r="Q1079" s="1843" t="s">
        <v>90</v>
      </c>
      <c r="R1079" s="1843" t="s">
        <v>88</v>
      </c>
      <c r="S1079" s="1843" t="s">
        <v>91</v>
      </c>
      <c r="T1079" s="1843" t="s">
        <v>83</v>
      </c>
      <c r="U1079" s="1843" t="s">
        <v>88</v>
      </c>
      <c r="V1079" s="1843" t="s">
        <v>88</v>
      </c>
      <c r="W1079" s="1846" t="s">
        <v>85</v>
      </c>
      <c r="Y1079" s="1658" t="str">
        <f t="shared" si="126"/>
        <v>Forseti, Señor del Equilibrio</v>
      </c>
      <c r="Z1079" s="2266">
        <f t="shared" si="127"/>
        <v>16</v>
      </c>
      <c r="AA1079" s="369" t="s">
        <v>982</v>
      </c>
      <c r="AB1079" s="213">
        <v>200</v>
      </c>
      <c r="AC1079" s="234">
        <v>240</v>
      </c>
    </row>
    <row r="1080" spans="1:36" ht="12.75" customHeight="1" thickBot="1" x14ac:dyDescent="0.25">
      <c r="A1080" s="1916">
        <v>1080</v>
      </c>
      <c r="B1080" s="5144"/>
      <c r="C1080" s="513" t="s">
        <v>93</v>
      </c>
      <c r="D1080" s="514" t="s">
        <v>2019</v>
      </c>
      <c r="E1080" s="514" t="s">
        <v>2026</v>
      </c>
      <c r="F1080" s="514" t="s">
        <v>2024</v>
      </c>
      <c r="G1080" s="514" t="s">
        <v>1929</v>
      </c>
      <c r="H1080" s="514" t="s">
        <v>2029</v>
      </c>
      <c r="I1080" s="449" t="s">
        <v>2031</v>
      </c>
      <c r="J1080" s="396"/>
      <c r="K1080" s="1998" t="str">
        <f t="shared" si="128"/>
        <v>LuzCreaciónTierraFuegoEsenciaIlusión</v>
      </c>
      <c r="M1080" s="1845" t="s">
        <v>90</v>
      </c>
      <c r="N1080" s="1843" t="s">
        <v>93</v>
      </c>
      <c r="O1080" s="1843" t="s">
        <v>91</v>
      </c>
      <c r="P1080" s="1843" t="s">
        <v>87</v>
      </c>
      <c r="Q1080" s="1843" t="s">
        <v>91</v>
      </c>
      <c r="R1080" s="1843" t="s">
        <v>91</v>
      </c>
      <c r="S1080" s="1843" t="s">
        <v>92</v>
      </c>
      <c r="T1080" s="1843" t="s">
        <v>84</v>
      </c>
      <c r="U1080" s="1843" t="s">
        <v>92</v>
      </c>
      <c r="V1080" s="1843" t="s">
        <v>90</v>
      </c>
      <c r="W1080" s="1846" t="s">
        <v>86</v>
      </c>
      <c r="Y1080" s="1658" t="str">
        <f t="shared" si="126"/>
        <v>Forseti: Equilibirum</v>
      </c>
      <c r="Z1080" s="2266">
        <f t="shared" si="127"/>
        <v>15</v>
      </c>
      <c r="AA1080" s="369" t="s">
        <v>983</v>
      </c>
      <c r="AB1080" s="213">
        <v>380</v>
      </c>
      <c r="AC1080" s="234">
        <v>800</v>
      </c>
    </row>
    <row r="1081" spans="1:36" ht="12.75" customHeight="1" x14ac:dyDescent="0.2">
      <c r="A1081" s="1916">
        <v>1081</v>
      </c>
      <c r="B1081" s="5144"/>
      <c r="H1081" s="363"/>
      <c r="I1081" s="1653"/>
      <c r="M1081" s="1845" t="s">
        <v>2433</v>
      </c>
      <c r="N1081" s="1843" t="s">
        <v>10016</v>
      </c>
      <c r="O1081" s="1843" t="s">
        <v>2433</v>
      </c>
      <c r="P1081" s="1843" t="s">
        <v>91</v>
      </c>
      <c r="Q1081" s="1843" t="s">
        <v>92</v>
      </c>
      <c r="R1081" s="1843" t="s">
        <v>92</v>
      </c>
      <c r="S1081" s="1843" t="s">
        <v>2433</v>
      </c>
      <c r="T1081" s="1843" t="s">
        <v>90</v>
      </c>
      <c r="U1081" s="1843" t="s">
        <v>2433</v>
      </c>
      <c r="V1081" s="1843" t="s">
        <v>92</v>
      </c>
      <c r="W1081" s="1846" t="s">
        <v>87</v>
      </c>
      <c r="Y1081" s="1658" t="str">
        <f t="shared" si="126"/>
        <v>Forseti: Equilibirum mundi</v>
      </c>
      <c r="Z1081" s="2266">
        <f t="shared" si="127"/>
        <v>68</v>
      </c>
      <c r="AA1081" s="369" t="s">
        <v>984</v>
      </c>
      <c r="AB1081" s="213">
        <v>240</v>
      </c>
      <c r="AC1081" s="234">
        <v>350</v>
      </c>
    </row>
    <row r="1082" spans="1:36" ht="12.75" customHeight="1" thickBot="1" x14ac:dyDescent="0.25">
      <c r="A1082" s="1916">
        <v>1082</v>
      </c>
      <c r="B1082" s="5144"/>
      <c r="M1082" s="2806" t="s">
        <v>93</v>
      </c>
      <c r="N1082" s="2807" t="s">
        <v>87</v>
      </c>
      <c r="O1082" s="2807" t="s">
        <v>93</v>
      </c>
      <c r="P1082" s="2807" t="s">
        <v>2433</v>
      </c>
      <c r="Q1082" s="2807" t="s">
        <v>93</v>
      </c>
      <c r="R1082" s="2807" t="s">
        <v>2608</v>
      </c>
      <c r="S1082" s="2807" t="s">
        <v>93</v>
      </c>
      <c r="T1082" s="2807" t="s">
        <v>92</v>
      </c>
      <c r="U1082" s="2807" t="s">
        <v>93</v>
      </c>
      <c r="V1082" s="2807" t="s">
        <v>93</v>
      </c>
      <c r="W1082" s="2808" t="s">
        <v>92</v>
      </c>
      <c r="Y1082" s="1658" t="str">
        <f t="shared" si="126"/>
        <v>Galgaliel, Ángel de los Dones</v>
      </c>
      <c r="Z1082" s="2266">
        <f t="shared" si="127"/>
        <v>67</v>
      </c>
      <c r="AA1082" s="369" t="s">
        <v>985</v>
      </c>
      <c r="AB1082" s="213">
        <v>240</v>
      </c>
      <c r="AC1082" s="234">
        <v>400</v>
      </c>
    </row>
    <row r="1083" spans="1:36" ht="12.75" customHeight="1" x14ac:dyDescent="0.2">
      <c r="A1083" s="1916">
        <v>1083</v>
      </c>
      <c r="B1083" s="5144"/>
      <c r="Y1083" s="1658" t="str">
        <f t="shared" si="126"/>
        <v>Garuda, Alas de Fuego</v>
      </c>
      <c r="Z1083" s="2266">
        <f t="shared" si="127"/>
        <v>10</v>
      </c>
      <c r="AA1083" s="369" t="s">
        <v>986</v>
      </c>
      <c r="AB1083" s="213">
        <v>340</v>
      </c>
      <c r="AC1083" s="234">
        <v>700</v>
      </c>
    </row>
    <row r="1084" spans="1:36" ht="12.75" customHeight="1" x14ac:dyDescent="0.2">
      <c r="A1084" s="1916">
        <v>1084</v>
      </c>
      <c r="B1084" s="5144"/>
      <c r="M1084" s="1842"/>
      <c r="N1084" s="1842"/>
      <c r="O1084" s="2017"/>
      <c r="P1084" s="1842"/>
      <c r="Q1084" s="1842"/>
      <c r="R1084" s="1842"/>
      <c r="S1084" s="1842"/>
      <c r="T1084" s="1842"/>
      <c r="U1084" s="1842"/>
      <c r="V1084" s="1842"/>
      <c r="W1084" s="1842"/>
      <c r="Y1084" s="1658" t="str">
        <f t="shared" si="126"/>
        <v>Genbu, la Tortuga Negra</v>
      </c>
      <c r="Z1084" s="2266">
        <f t="shared" si="127"/>
        <v>49</v>
      </c>
      <c r="AA1084" s="369" t="s">
        <v>987</v>
      </c>
      <c r="AB1084" s="213">
        <v>280</v>
      </c>
      <c r="AC1084" s="234">
        <v>500</v>
      </c>
    </row>
    <row r="1085" spans="1:36" ht="12.75" customHeight="1" x14ac:dyDescent="0.2">
      <c r="A1085" s="1916">
        <v>1085</v>
      </c>
      <c r="B1085" s="5144"/>
      <c r="N1085" s="2409"/>
      <c r="O1085" s="1999"/>
      <c r="Y1085" s="1658" t="str">
        <f t="shared" si="126"/>
        <v>Genbu: Amo de las entrañas de la tierra</v>
      </c>
      <c r="Z1085" s="2266">
        <f t="shared" si="127"/>
        <v>40</v>
      </c>
      <c r="AA1085" s="369" t="s">
        <v>988</v>
      </c>
      <c r="AB1085" s="213">
        <v>200</v>
      </c>
      <c r="AC1085" s="234">
        <v>350</v>
      </c>
    </row>
    <row r="1086" spans="1:36" ht="12.75" customHeight="1" x14ac:dyDescent="0.2">
      <c r="A1086" s="1916">
        <v>1086</v>
      </c>
      <c r="B1086" s="5144"/>
      <c r="Y1086" s="1658" t="str">
        <f t="shared" si="126"/>
        <v>Genbu: Clarividencia</v>
      </c>
      <c r="Z1086" s="2266">
        <f t="shared" si="127"/>
        <v>41</v>
      </c>
      <c r="AA1086" s="369" t="s">
        <v>989</v>
      </c>
      <c r="AB1086" s="213">
        <v>360</v>
      </c>
      <c r="AC1086" s="234">
        <v>650</v>
      </c>
    </row>
    <row r="1087" spans="1:36" ht="12.75" customHeight="1" x14ac:dyDescent="0.2">
      <c r="A1087" s="1916">
        <v>1087</v>
      </c>
      <c r="B1087" s="5144"/>
      <c r="Y1087" s="1658" t="str">
        <f t="shared" si="126"/>
        <v>Genbu: El escudo definitivo</v>
      </c>
      <c r="Z1087" s="2266">
        <f t="shared" si="127"/>
        <v>22</v>
      </c>
      <c r="AA1087" s="369" t="s">
        <v>990</v>
      </c>
      <c r="AB1087" s="213">
        <v>320</v>
      </c>
      <c r="AC1087" s="234">
        <v>600</v>
      </c>
    </row>
    <row r="1088" spans="1:36" ht="12.75" customHeight="1" thickBot="1" x14ac:dyDescent="0.25">
      <c r="A1088" s="1916">
        <v>1088</v>
      </c>
      <c r="B1088" s="5144"/>
      <c r="H1088" s="363"/>
      <c r="I1088" s="1653"/>
      <c r="N1088" s="363"/>
      <c r="O1088" s="1999"/>
      <c r="Y1088" s="1658" t="str">
        <f t="shared" si="126"/>
        <v>Genbu: Señor del norte</v>
      </c>
      <c r="Z1088" s="2266">
        <f t="shared" si="127"/>
        <v>23</v>
      </c>
      <c r="AA1088" s="369" t="s">
        <v>991</v>
      </c>
      <c r="AB1088" s="213">
        <v>280</v>
      </c>
      <c r="AC1088" s="234">
        <v>500</v>
      </c>
    </row>
    <row r="1089" spans="1:29" ht="12.75" customHeight="1" thickBot="1" x14ac:dyDescent="0.25">
      <c r="A1089" s="1916">
        <v>1089</v>
      </c>
      <c r="B1089" s="5144"/>
      <c r="C1089" s="5265" t="s">
        <v>30</v>
      </c>
      <c r="D1089" s="5265"/>
      <c r="E1089" s="5265"/>
      <c r="F1089" s="5265"/>
      <c r="G1089" s="5265"/>
      <c r="H1089" s="5265"/>
      <c r="I1089" s="5265"/>
      <c r="J1089" s="5265"/>
      <c r="K1089" s="5265"/>
      <c r="L1089" s="5265"/>
      <c r="M1089" s="5265"/>
      <c r="N1089" s="5265"/>
      <c r="O1089" s="5265"/>
      <c r="P1089" s="5265"/>
      <c r="Q1089" s="5265"/>
      <c r="R1089" s="5265"/>
      <c r="S1089" s="5265"/>
      <c r="T1089" s="5265"/>
      <c r="U1089" s="5265"/>
      <c r="V1089" s="5265"/>
      <c r="W1089" s="5265"/>
      <c r="Y1089" s="1658" t="str">
        <f t="shared" si="126"/>
        <v>Hermod, el Mensajero de los Dioses</v>
      </c>
      <c r="Z1089" s="2266">
        <f t="shared" si="127"/>
        <v>24</v>
      </c>
      <c r="AA1089" s="369" t="s">
        <v>992</v>
      </c>
      <c r="AB1089" s="213">
        <v>340</v>
      </c>
      <c r="AC1089" s="234">
        <v>700</v>
      </c>
    </row>
    <row r="1090" spans="1:29" ht="12.75" customHeight="1" x14ac:dyDescent="0.2">
      <c r="A1090" s="1916">
        <v>1090</v>
      </c>
      <c r="B1090" s="5144"/>
      <c r="C1090" s="5265"/>
      <c r="D1090" s="5265"/>
      <c r="E1090" s="5265"/>
      <c r="F1090" s="5265"/>
      <c r="G1090" s="5265"/>
      <c r="H1090" s="5265"/>
      <c r="I1090" s="5265"/>
      <c r="J1090" s="5265"/>
      <c r="K1090" s="5265"/>
      <c r="L1090" s="5265"/>
      <c r="M1090" s="5265"/>
      <c r="N1090" s="5265"/>
      <c r="O1090" s="5265"/>
      <c r="P1090" s="5265"/>
      <c r="Q1090" s="5265"/>
      <c r="R1090" s="5265"/>
      <c r="S1090" s="5265"/>
      <c r="T1090" s="5265"/>
      <c r="U1090" s="5265"/>
      <c r="V1090" s="5265"/>
      <c r="W1090" s="5265"/>
      <c r="Y1090" s="1658" t="str">
        <f t="shared" ref="Y1090:Y1121" si="129">VLOOKUP(A33,$Z$1058:$AA$1128,2,0)</f>
        <v>Huginn y Muninn, Ojos de Cuervo</v>
      </c>
      <c r="Z1090" s="2266">
        <f t="shared" ref="Z1090:Z1121" si="130">COUNTIF($AA$1058:$AA$1128,"&lt;="&amp;AA1090)</f>
        <v>11</v>
      </c>
      <c r="AA1090" s="369" t="s">
        <v>993</v>
      </c>
      <c r="AB1090" s="213">
        <v>320</v>
      </c>
      <c r="AC1090" s="234">
        <v>550</v>
      </c>
    </row>
    <row r="1091" spans="1:29" ht="12.75" customHeight="1" thickBot="1" x14ac:dyDescent="0.25">
      <c r="A1091" s="1916">
        <v>1091</v>
      </c>
      <c r="B1091" s="5144"/>
      <c r="C1091" s="5263" t="s">
        <v>31</v>
      </c>
      <c r="D1091" s="5263"/>
      <c r="E1091" s="399" t="s">
        <v>1801</v>
      </c>
      <c r="F1091" s="399" t="s">
        <v>2171</v>
      </c>
      <c r="G1091" s="505" t="s">
        <v>1861</v>
      </c>
      <c r="H1091" s="506"/>
      <c r="I1091" s="1722"/>
      <c r="J1091" s="5273" t="s">
        <v>1509</v>
      </c>
      <c r="K1091" s="5273"/>
      <c r="L1091" s="5273"/>
      <c r="M1091" s="5273"/>
      <c r="N1091" s="5273"/>
      <c r="O1091" s="5273"/>
      <c r="P1091" s="5273"/>
      <c r="Q1091" s="5273"/>
      <c r="R1091" s="5264" t="s">
        <v>1297</v>
      </c>
      <c r="S1091" s="5264"/>
      <c r="T1091" s="5264"/>
      <c r="U1091" s="5264"/>
      <c r="V1091" s="5264"/>
      <c r="W1091" s="5264"/>
      <c r="Y1091" s="1658" t="str">
        <f t="shared" si="129"/>
        <v>Huginn y Muninn: Ojo del mundo</v>
      </c>
      <c r="Z1091" s="2266">
        <f t="shared" si="130"/>
        <v>12</v>
      </c>
      <c r="AA1091" s="369" t="s">
        <v>994</v>
      </c>
      <c r="AB1091" s="213">
        <v>280</v>
      </c>
      <c r="AC1091" s="234">
        <v>400</v>
      </c>
    </row>
    <row r="1092" spans="1:29" ht="12.75" customHeight="1" x14ac:dyDescent="0.2">
      <c r="A1092" s="1916">
        <v>1092</v>
      </c>
      <c r="B1092" s="5144"/>
      <c r="C1092" s="486"/>
      <c r="D1092" s="487" t="s">
        <v>32</v>
      </c>
      <c r="E1092" s="488">
        <v>30</v>
      </c>
      <c r="F1092" s="488">
        <v>40</v>
      </c>
      <c r="G1092" s="489" t="s">
        <v>33</v>
      </c>
      <c r="H1092" s="67"/>
      <c r="I1092" s="255"/>
      <c r="J1092" s="19" t="s">
        <v>34</v>
      </c>
      <c r="K1092" s="67"/>
      <c r="L1092" s="67"/>
      <c r="M1092" s="67"/>
      <c r="N1092" s="67"/>
      <c r="O1092" s="255"/>
      <c r="P1092" s="67"/>
      <c r="Q1092" s="67"/>
      <c r="R1092" s="489" t="s">
        <v>35</v>
      </c>
      <c r="S1092" s="67"/>
      <c r="T1092" s="67"/>
      <c r="U1092" s="67"/>
      <c r="V1092" s="68"/>
      <c r="W1092" s="68"/>
      <c r="Y1092" s="1658" t="str">
        <f t="shared" si="129"/>
        <v>Huginn y Muninn: Visión verdadera</v>
      </c>
      <c r="Z1092" s="2266">
        <f t="shared" si="130"/>
        <v>13</v>
      </c>
      <c r="AA1092" s="369" t="s">
        <v>995</v>
      </c>
      <c r="AB1092" s="213">
        <v>340</v>
      </c>
      <c r="AC1092" s="234">
        <v>700</v>
      </c>
    </row>
    <row r="1093" spans="1:29" ht="12.75" customHeight="1" x14ac:dyDescent="0.2">
      <c r="A1093" s="1916">
        <v>1093</v>
      </c>
      <c r="B1093" s="5144"/>
      <c r="C1093" s="65"/>
      <c r="D1093" s="487" t="s">
        <v>36</v>
      </c>
      <c r="E1093" s="488">
        <v>30</v>
      </c>
      <c r="F1093" s="488">
        <v>40</v>
      </c>
      <c r="G1093" s="507" t="s">
        <v>37</v>
      </c>
      <c r="H1093" s="67"/>
      <c r="I1093" s="255"/>
      <c r="J1093" s="19" t="s">
        <v>38</v>
      </c>
      <c r="K1093" s="67"/>
      <c r="L1093" s="67"/>
      <c r="M1093" s="67"/>
      <c r="N1093" s="67"/>
      <c r="O1093" s="255"/>
      <c r="P1093" s="67"/>
      <c r="Q1093" s="67"/>
      <c r="R1093" s="19" t="s">
        <v>39</v>
      </c>
      <c r="S1093" s="67"/>
      <c r="T1093" s="67"/>
      <c r="U1093" s="67"/>
      <c r="V1093" s="67"/>
      <c r="W1093" s="68"/>
      <c r="Y1093" s="1658" t="str">
        <f t="shared" si="129"/>
        <v>Idea, Musa de la Locura</v>
      </c>
      <c r="Z1093" s="2266">
        <f t="shared" si="130"/>
        <v>2</v>
      </c>
      <c r="AA1093" s="369" t="s">
        <v>996</v>
      </c>
      <c r="AB1093" s="213">
        <v>280</v>
      </c>
      <c r="AC1093" s="234">
        <v>500</v>
      </c>
    </row>
    <row r="1094" spans="1:29" ht="12.75" customHeight="1" x14ac:dyDescent="0.2">
      <c r="A1094" s="1916">
        <v>1094</v>
      </c>
      <c r="B1094" s="5144"/>
      <c r="C1094" s="65"/>
      <c r="D1094" s="487" t="s">
        <v>40</v>
      </c>
      <c r="E1094" s="488">
        <v>20</v>
      </c>
      <c r="F1094" s="488">
        <v>30</v>
      </c>
      <c r="G1094" s="507" t="s">
        <v>41</v>
      </c>
      <c r="H1094" s="67"/>
      <c r="I1094" s="255"/>
      <c r="J1094" s="19" t="s">
        <v>42</v>
      </c>
      <c r="K1094" s="67"/>
      <c r="L1094" s="67"/>
      <c r="M1094" s="67"/>
      <c r="N1094" s="67"/>
      <c r="O1094" s="255"/>
      <c r="P1094" s="67"/>
      <c r="Q1094" s="67"/>
      <c r="R1094" s="19" t="s">
        <v>43</v>
      </c>
      <c r="S1094" s="67"/>
      <c r="T1094" s="67"/>
      <c r="U1094" s="67"/>
      <c r="V1094" s="67"/>
      <c r="W1094" s="68"/>
      <c r="Y1094" s="1658" t="str">
        <f t="shared" si="129"/>
        <v>Idún, Señora de la Juventud Eterna</v>
      </c>
      <c r="Z1094" s="2266">
        <f t="shared" si="130"/>
        <v>3</v>
      </c>
      <c r="AA1094" s="369" t="s">
        <v>997</v>
      </c>
      <c r="AB1094" s="213">
        <v>240</v>
      </c>
      <c r="AC1094" s="234">
        <v>350</v>
      </c>
    </row>
    <row r="1095" spans="1:29" ht="12.75" customHeight="1" x14ac:dyDescent="0.2">
      <c r="A1095" s="1916">
        <v>1095</v>
      </c>
      <c r="B1095" s="5144"/>
      <c r="C1095" s="65"/>
      <c r="D1095" s="487" t="s">
        <v>44</v>
      </c>
      <c r="E1095" s="488">
        <v>30</v>
      </c>
      <c r="F1095" s="488">
        <v>40</v>
      </c>
      <c r="G1095" s="507" t="s">
        <v>45</v>
      </c>
      <c r="H1095" s="67"/>
      <c r="I1095" s="255"/>
      <c r="J1095" s="19" t="s">
        <v>46</v>
      </c>
      <c r="K1095" s="67"/>
      <c r="L1095" s="67"/>
      <c r="M1095" s="67"/>
      <c r="N1095" s="67"/>
      <c r="O1095" s="255"/>
      <c r="P1095" s="67"/>
      <c r="Q1095" s="67"/>
      <c r="R1095" s="19" t="s">
        <v>47</v>
      </c>
      <c r="S1095" s="67"/>
      <c r="T1095" s="67"/>
      <c r="U1095" s="67"/>
      <c r="V1095" s="67"/>
      <c r="W1095" s="68"/>
      <c r="Y1095" s="1658" t="str">
        <f t="shared" si="129"/>
        <v>Idún: Envejecer</v>
      </c>
      <c r="Z1095" s="2266">
        <f t="shared" si="130"/>
        <v>4</v>
      </c>
      <c r="AA1095" s="369" t="s">
        <v>998</v>
      </c>
      <c r="AB1095" s="213">
        <v>380</v>
      </c>
      <c r="AC1095" s="234">
        <v>800</v>
      </c>
    </row>
    <row r="1096" spans="1:29" ht="12.75" customHeight="1" x14ac:dyDescent="0.2">
      <c r="A1096" s="1916">
        <v>1096</v>
      </c>
      <c r="B1096" s="5144"/>
      <c r="C1096" s="65"/>
      <c r="D1096" s="487" t="s">
        <v>48</v>
      </c>
      <c r="E1096" s="488">
        <v>30</v>
      </c>
      <c r="F1096" s="488">
        <v>40</v>
      </c>
      <c r="G1096" s="507" t="s">
        <v>49</v>
      </c>
      <c r="H1096" s="67"/>
      <c r="I1096" s="255"/>
      <c r="J1096" s="19" t="s">
        <v>50</v>
      </c>
      <c r="K1096" s="67"/>
      <c r="L1096" s="67"/>
      <c r="M1096" s="67"/>
      <c r="N1096" s="67"/>
      <c r="O1096" s="255"/>
      <c r="P1096" s="67"/>
      <c r="Q1096" s="67"/>
      <c r="R1096" s="19" t="s">
        <v>51</v>
      </c>
      <c r="S1096" s="67"/>
      <c r="T1096" s="67"/>
      <c r="U1096" s="67"/>
      <c r="V1096" s="67"/>
      <c r="W1096" s="68"/>
      <c r="Y1096" s="1658" t="str">
        <f t="shared" si="129"/>
        <v>Idún: Rejuvenecer</v>
      </c>
      <c r="Z1096" s="2266">
        <f t="shared" si="130"/>
        <v>44</v>
      </c>
      <c r="AA1096" s="369" t="s">
        <v>999</v>
      </c>
      <c r="AB1096" s="213">
        <v>280</v>
      </c>
      <c r="AC1096" s="234">
        <v>500</v>
      </c>
    </row>
    <row r="1097" spans="1:29" ht="12.75" customHeight="1" x14ac:dyDescent="0.2">
      <c r="A1097" s="1916">
        <v>1097</v>
      </c>
      <c r="B1097" s="5144"/>
      <c r="C1097" s="65"/>
      <c r="D1097" s="487" t="s">
        <v>2853</v>
      </c>
      <c r="E1097" s="488">
        <v>30</v>
      </c>
      <c r="F1097" s="488">
        <v>40</v>
      </c>
      <c r="G1097" s="507" t="s">
        <v>52</v>
      </c>
      <c r="H1097" s="67"/>
      <c r="I1097" s="255"/>
      <c r="J1097" s="19" t="s">
        <v>53</v>
      </c>
      <c r="K1097" s="67"/>
      <c r="L1097" s="67"/>
      <c r="M1097" s="67"/>
      <c r="N1097" s="67"/>
      <c r="O1097" s="255"/>
      <c r="P1097" s="67"/>
      <c r="Q1097" s="67"/>
      <c r="R1097" s="19" t="s">
        <v>54</v>
      </c>
      <c r="S1097" s="67"/>
      <c r="T1097" s="67"/>
      <c r="U1097" s="67"/>
      <c r="V1097" s="67"/>
      <c r="W1097" s="68"/>
      <c r="Y1097" s="1658" t="str">
        <f t="shared" si="129"/>
        <v>Kagutsuchi: Hi no kodomo</v>
      </c>
      <c r="Z1097" s="2266">
        <f t="shared" si="130"/>
        <v>45</v>
      </c>
      <c r="AA1097" s="369" t="s">
        <v>1000</v>
      </c>
      <c r="AB1097" s="213">
        <v>240</v>
      </c>
      <c r="AC1097" s="234">
        <v>350</v>
      </c>
    </row>
    <row r="1098" spans="1:29" ht="12.75" customHeight="1" x14ac:dyDescent="0.2">
      <c r="A1098" s="1916">
        <v>1098</v>
      </c>
      <c r="B1098" s="5144"/>
      <c r="C1098" s="65"/>
      <c r="D1098" s="487" t="s">
        <v>55</v>
      </c>
      <c r="E1098" s="488">
        <v>30</v>
      </c>
      <c r="F1098" s="488">
        <v>40</v>
      </c>
      <c r="G1098" s="507" t="s">
        <v>56</v>
      </c>
      <c r="H1098" s="67"/>
      <c r="I1098" s="255"/>
      <c r="J1098" s="19" t="s">
        <v>57</v>
      </c>
      <c r="K1098" s="67"/>
      <c r="L1098" s="67"/>
      <c r="M1098" s="67"/>
      <c r="N1098" s="67"/>
      <c r="O1098" s="255"/>
      <c r="P1098" s="67"/>
      <c r="Q1098" s="67"/>
      <c r="R1098" s="19" t="s">
        <v>58</v>
      </c>
      <c r="S1098" s="67"/>
      <c r="T1098" s="67"/>
      <c r="U1098" s="67"/>
      <c r="V1098" s="67"/>
      <c r="W1098" s="68"/>
      <c r="Y1098" s="1658" t="str">
        <f t="shared" si="129"/>
        <v>Kagutsuchi: Hi no tsubasa</v>
      </c>
      <c r="Z1098" s="2266">
        <f t="shared" si="130"/>
        <v>46</v>
      </c>
      <c r="AA1098" s="369" t="s">
        <v>1001</v>
      </c>
      <c r="AB1098" s="213">
        <v>380</v>
      </c>
      <c r="AC1098" s="234">
        <v>800</v>
      </c>
    </row>
    <row r="1099" spans="1:29" ht="12.75" customHeight="1" x14ac:dyDescent="0.2">
      <c r="A1099" s="1916">
        <v>1099</v>
      </c>
      <c r="B1099" s="5144"/>
      <c r="C1099" s="65"/>
      <c r="D1099" s="487" t="s">
        <v>59</v>
      </c>
      <c r="E1099" s="488">
        <v>10</v>
      </c>
      <c r="F1099" s="488">
        <v>10</v>
      </c>
      <c r="G1099" s="507" t="s">
        <v>60</v>
      </c>
      <c r="H1099" s="67"/>
      <c r="I1099" s="255"/>
      <c r="J1099" s="67" t="str">
        <f t="shared" ref="J1099:J1105" si="131">""</f>
        <v/>
      </c>
      <c r="K1099" s="67"/>
      <c r="L1099" s="67"/>
      <c r="M1099" s="67"/>
      <c r="N1099" s="67"/>
      <c r="O1099" s="255"/>
      <c r="P1099" s="67"/>
      <c r="Q1099" s="67"/>
      <c r="R1099" s="507" t="s">
        <v>61</v>
      </c>
      <c r="S1099" s="67"/>
      <c r="T1099" s="67"/>
      <c r="U1099" s="67"/>
      <c r="V1099" s="67"/>
      <c r="W1099" s="68"/>
      <c r="Y1099" s="1658" t="str">
        <f t="shared" si="129"/>
        <v>Kirin, el Centro</v>
      </c>
      <c r="Z1099" s="2266">
        <f t="shared" si="130"/>
        <v>69</v>
      </c>
      <c r="AA1099" s="369" t="s">
        <v>1002</v>
      </c>
      <c r="AB1099" s="213">
        <v>280</v>
      </c>
      <c r="AC1099" s="234">
        <v>500</v>
      </c>
    </row>
    <row r="1100" spans="1:29" ht="12.75" customHeight="1" x14ac:dyDescent="0.2">
      <c r="A1100" s="1916">
        <v>1100</v>
      </c>
      <c r="B1100" s="5144"/>
      <c r="C1100" s="65"/>
      <c r="D1100" s="487" t="s">
        <v>62</v>
      </c>
      <c r="E1100" s="488">
        <v>10</v>
      </c>
      <c r="F1100" s="488">
        <v>10</v>
      </c>
      <c r="G1100" s="507" t="s">
        <v>63</v>
      </c>
      <c r="H1100" s="67"/>
      <c r="I1100" s="255"/>
      <c r="J1100" s="67" t="str">
        <f t="shared" si="131"/>
        <v/>
      </c>
      <c r="K1100" s="67"/>
      <c r="L1100" s="67"/>
      <c r="M1100" s="67"/>
      <c r="N1100" s="67"/>
      <c r="O1100" s="255"/>
      <c r="P1100" s="67"/>
      <c r="Q1100" s="67"/>
      <c r="R1100" s="507" t="s">
        <v>64</v>
      </c>
      <c r="S1100" s="67"/>
      <c r="T1100" s="67"/>
      <c r="U1100" s="67"/>
      <c r="V1100" s="67"/>
      <c r="W1100" s="68"/>
      <c r="Y1100" s="1658" t="str">
        <f t="shared" si="129"/>
        <v>Kirin: Feng Shui</v>
      </c>
      <c r="Z1100" s="2266">
        <f t="shared" si="130"/>
        <v>70</v>
      </c>
      <c r="AA1100" s="369" t="s">
        <v>1003</v>
      </c>
      <c r="AB1100" s="213">
        <v>240</v>
      </c>
      <c r="AC1100" s="234">
        <v>350</v>
      </c>
    </row>
    <row r="1101" spans="1:29" ht="12.75" customHeight="1" x14ac:dyDescent="0.2">
      <c r="A1101" s="1916">
        <v>1101</v>
      </c>
      <c r="B1101" s="5144"/>
      <c r="C1101" s="65"/>
      <c r="D1101" s="487" t="s">
        <v>65</v>
      </c>
      <c r="E1101" s="488">
        <v>10</v>
      </c>
      <c r="F1101" s="488">
        <v>10</v>
      </c>
      <c r="G1101" s="507" t="s">
        <v>66</v>
      </c>
      <c r="H1101" s="67"/>
      <c r="I1101" s="255"/>
      <c r="J1101" s="67" t="str">
        <f t="shared" si="131"/>
        <v/>
      </c>
      <c r="K1101" s="67"/>
      <c r="L1101" s="67"/>
      <c r="M1101" s="67"/>
      <c r="N1101" s="67"/>
      <c r="O1101" s="255"/>
      <c r="P1101" s="67"/>
      <c r="Q1101" s="67"/>
      <c r="R1101" s="507" t="s">
        <v>67</v>
      </c>
      <c r="S1101" s="67"/>
      <c r="T1101" s="67"/>
      <c r="U1101" s="67"/>
      <c r="V1101" s="67"/>
      <c r="W1101" s="68"/>
      <c r="Y1101" s="1658" t="str">
        <f t="shared" si="129"/>
        <v>Leviathan, Señor de los Océanos</v>
      </c>
      <c r="Z1101" s="2266">
        <f t="shared" si="130"/>
        <v>71</v>
      </c>
      <c r="AA1101" s="369" t="s">
        <v>1004</v>
      </c>
      <c r="AB1101" s="213">
        <v>380</v>
      </c>
      <c r="AC1101" s="234">
        <v>800</v>
      </c>
    </row>
    <row r="1102" spans="1:29" ht="12.75" customHeight="1" x14ac:dyDescent="0.2">
      <c r="A1102" s="1916">
        <v>1102</v>
      </c>
      <c r="B1102" s="5144"/>
      <c r="C1102" s="65"/>
      <c r="D1102" s="487" t="s">
        <v>68</v>
      </c>
      <c r="E1102" s="488">
        <v>10</v>
      </c>
      <c r="F1102" s="488">
        <v>10</v>
      </c>
      <c r="G1102" s="507" t="s">
        <v>69</v>
      </c>
      <c r="H1102" s="67"/>
      <c r="I1102" s="255"/>
      <c r="J1102" s="67" t="str">
        <f t="shared" si="131"/>
        <v/>
      </c>
      <c r="K1102" s="67"/>
      <c r="L1102" s="67"/>
      <c r="M1102" s="67"/>
      <c r="N1102" s="67"/>
      <c r="O1102" s="255"/>
      <c r="P1102" s="67"/>
      <c r="Q1102" s="67"/>
      <c r="R1102" s="507" t="s">
        <v>70</v>
      </c>
      <c r="S1102" s="67"/>
      <c r="T1102" s="67"/>
      <c r="U1102" s="67"/>
      <c r="V1102" s="67"/>
      <c r="W1102" s="68"/>
      <c r="Y1102" s="1658" t="str">
        <f t="shared" si="129"/>
        <v>Leviathan: Comunión con el agua</v>
      </c>
      <c r="Z1102" s="2266">
        <f t="shared" si="130"/>
        <v>53</v>
      </c>
      <c r="AA1102" s="369" t="s">
        <v>1005</v>
      </c>
      <c r="AB1102" s="213">
        <v>400</v>
      </c>
      <c r="AC1102" s="234">
        <v>800</v>
      </c>
    </row>
    <row r="1103" spans="1:29" ht="12.75" customHeight="1" x14ac:dyDescent="0.2">
      <c r="A1103" s="1916">
        <v>1103</v>
      </c>
      <c r="B1103" s="5144"/>
      <c r="C1103" s="65"/>
      <c r="D1103" s="487" t="s">
        <v>71</v>
      </c>
      <c r="E1103" s="488">
        <v>10</v>
      </c>
      <c r="F1103" s="488">
        <v>10</v>
      </c>
      <c r="G1103" s="507" t="s">
        <v>72</v>
      </c>
      <c r="H1103" s="67"/>
      <c r="I1103" s="255"/>
      <c r="J1103" s="67" t="str">
        <f t="shared" si="131"/>
        <v/>
      </c>
      <c r="K1103" s="67"/>
      <c r="L1103" s="67"/>
      <c r="M1103" s="67"/>
      <c r="N1103" s="67"/>
      <c r="O1103" s="255"/>
      <c r="P1103" s="67"/>
      <c r="Q1103" s="67"/>
      <c r="R1103" s="507" t="s">
        <v>73</v>
      </c>
      <c r="S1103" s="67"/>
      <c r="T1103" s="67"/>
      <c r="U1103" s="67"/>
      <c r="V1103" s="67"/>
      <c r="W1103" s="68"/>
      <c r="Y1103" s="1658" t="str">
        <f t="shared" si="129"/>
        <v>Leviathan: Señor de las aguas</v>
      </c>
      <c r="Z1103" s="2266">
        <f t="shared" si="130"/>
        <v>57</v>
      </c>
      <c r="AA1103" s="369" t="s">
        <v>1006</v>
      </c>
      <c r="AB1103" s="213">
        <v>220</v>
      </c>
      <c r="AC1103" s="234">
        <v>300</v>
      </c>
    </row>
    <row r="1104" spans="1:29" ht="12.75" customHeight="1" x14ac:dyDescent="0.2">
      <c r="A1104" s="1916">
        <v>1104</v>
      </c>
      <c r="B1104" s="5144"/>
      <c r="C1104" s="65"/>
      <c r="D1104" s="487" t="s">
        <v>74</v>
      </c>
      <c r="E1104" s="488">
        <v>10</v>
      </c>
      <c r="F1104" s="488">
        <v>10</v>
      </c>
      <c r="G1104" s="507" t="s">
        <v>75</v>
      </c>
      <c r="H1104" s="67"/>
      <c r="I1104" s="255"/>
      <c r="J1104" s="67" t="str">
        <f t="shared" si="131"/>
        <v/>
      </c>
      <c r="K1104" s="67"/>
      <c r="L1104" s="67"/>
      <c r="M1104" s="67"/>
      <c r="N1104" s="67"/>
      <c r="O1104" s="255"/>
      <c r="P1104" s="67"/>
      <c r="Q1104" s="67"/>
      <c r="R1104" s="507" t="s">
        <v>76</v>
      </c>
      <c r="S1104" s="67"/>
      <c r="T1104" s="67"/>
      <c r="U1104" s="67"/>
      <c r="V1104" s="67"/>
      <c r="W1104" s="68"/>
      <c r="Y1104" s="1658" t="str">
        <f t="shared" si="129"/>
        <v>Lix Tetrax</v>
      </c>
      <c r="Z1104" s="2266">
        <f t="shared" si="130"/>
        <v>55</v>
      </c>
      <c r="AA1104" s="369" t="s">
        <v>1007</v>
      </c>
      <c r="AB1104" s="213">
        <v>280</v>
      </c>
      <c r="AC1104" s="234">
        <v>500</v>
      </c>
    </row>
    <row r="1105" spans="1:29" ht="12.75" customHeight="1" x14ac:dyDescent="0.2">
      <c r="A1105" s="1916">
        <v>1105</v>
      </c>
      <c r="B1105" s="5144"/>
      <c r="C1105" s="65"/>
      <c r="D1105" s="487" t="s">
        <v>77</v>
      </c>
      <c r="E1105" s="488">
        <v>10</v>
      </c>
      <c r="F1105" s="488">
        <v>10</v>
      </c>
      <c r="G1105" s="507" t="s">
        <v>78</v>
      </c>
      <c r="H1105" s="67"/>
      <c r="I1105" s="255"/>
      <c r="J1105" s="67" t="str">
        <f t="shared" si="131"/>
        <v/>
      </c>
      <c r="K1105" s="67"/>
      <c r="L1105" s="67"/>
      <c r="M1105" s="67"/>
      <c r="N1105" s="67"/>
      <c r="O1105" s="255"/>
      <c r="P1105" s="67"/>
      <c r="Q1105" s="67"/>
      <c r="R1105" s="507" t="s">
        <v>79</v>
      </c>
      <c r="S1105" s="67"/>
      <c r="T1105" s="67"/>
      <c r="U1105" s="67"/>
      <c r="V1105" s="67"/>
      <c r="W1105" s="68"/>
      <c r="Y1105" s="1658" t="str">
        <f t="shared" si="129"/>
        <v>Naaga, Madre de los Venenos</v>
      </c>
      <c r="Z1105" s="2266">
        <f t="shared" si="130"/>
        <v>56</v>
      </c>
      <c r="AA1105" s="369" t="s">
        <v>1008</v>
      </c>
      <c r="AB1105" s="213">
        <v>340</v>
      </c>
      <c r="AC1105" s="234">
        <v>660</v>
      </c>
    </row>
    <row r="1106" spans="1:29" ht="12.75" customHeight="1" x14ac:dyDescent="0.2">
      <c r="A1106" s="1916">
        <v>1106</v>
      </c>
      <c r="B1106" s="5144"/>
      <c r="C1106" s="65"/>
      <c r="D1106" s="487" t="str">
        <f>IF(Personalización!W69=0,"Patrón mental #1",Personalización!W69)</f>
        <v>Patrón mental #1</v>
      </c>
      <c r="E1106" s="488">
        <f>Personalización!AB69</f>
        <v>0</v>
      </c>
      <c r="F1106" s="488">
        <f>Personalización!AC69</f>
        <v>0</v>
      </c>
      <c r="G1106" s="507">
        <f>Personalización!AD69</f>
        <v>0</v>
      </c>
      <c r="H1106" s="67"/>
      <c r="I1106" s="255"/>
      <c r="J1106" s="19">
        <f>Personalización!Y71</f>
        <v>0</v>
      </c>
      <c r="K1106" s="67"/>
      <c r="L1106" s="67"/>
      <c r="M1106" s="67"/>
      <c r="N1106" s="67"/>
      <c r="O1106" s="255"/>
      <c r="P1106" s="67"/>
      <c r="Q1106" s="67"/>
      <c r="R1106" s="507">
        <f>Personalización!Y70</f>
        <v>0</v>
      </c>
      <c r="S1106" s="67"/>
      <c r="T1106" s="67"/>
      <c r="U1106" s="67"/>
      <c r="V1106" s="67"/>
      <c r="W1106" s="68"/>
      <c r="Y1106" s="1658" t="str">
        <f t="shared" si="129"/>
        <v>Pandora, el Castigo Divino</v>
      </c>
      <c r="Z1106" s="2266">
        <f t="shared" si="130"/>
        <v>54</v>
      </c>
      <c r="AA1106" s="369" t="s">
        <v>1009</v>
      </c>
      <c r="AB1106" s="213">
        <v>400</v>
      </c>
      <c r="AC1106" s="234">
        <v>880</v>
      </c>
    </row>
    <row r="1107" spans="1:29" ht="12.75" customHeight="1" thickBot="1" x14ac:dyDescent="0.25">
      <c r="A1107" s="1916">
        <v>1107</v>
      </c>
      <c r="B1107" s="5144"/>
      <c r="C1107" s="178"/>
      <c r="D1107" s="490" t="str">
        <f>IF(Personalización!W73=0,"Patrón mental #2",Personalización!W73)</f>
        <v>Patrón mental #2</v>
      </c>
      <c r="E1107" s="491">
        <f>Personalización!AB73</f>
        <v>0</v>
      </c>
      <c r="F1107" s="491">
        <f>Personalización!AC73</f>
        <v>0</v>
      </c>
      <c r="G1107" s="508">
        <f>Personalización!AD73</f>
        <v>0</v>
      </c>
      <c r="H1107" s="179"/>
      <c r="I1107" s="1754"/>
      <c r="J1107" s="41">
        <f>Personalización!Y75</f>
        <v>0</v>
      </c>
      <c r="K1107" s="179"/>
      <c r="L1107" s="179"/>
      <c r="M1107" s="179"/>
      <c r="N1107" s="179"/>
      <c r="O1107" s="1754"/>
      <c r="P1107" s="179"/>
      <c r="Q1107" s="179"/>
      <c r="R1107" s="508">
        <f>Personalización!Y74</f>
        <v>0</v>
      </c>
      <c r="S1107" s="179"/>
      <c r="T1107" s="179"/>
      <c r="U1107" s="179"/>
      <c r="V1107" s="179"/>
      <c r="W1107" s="180"/>
      <c r="Y1107" s="1658" t="str">
        <f t="shared" si="129"/>
        <v>Raksasha</v>
      </c>
      <c r="Z1107" s="2266">
        <f t="shared" si="130"/>
        <v>27</v>
      </c>
      <c r="AA1107" s="369" t="s">
        <v>1010</v>
      </c>
      <c r="AB1107" s="213">
        <v>400</v>
      </c>
      <c r="AC1107" s="234">
        <v>800</v>
      </c>
    </row>
    <row r="1108" spans="1:29" ht="12.75" customHeight="1" thickBot="1" x14ac:dyDescent="0.25">
      <c r="A1108" s="1916">
        <v>1108</v>
      </c>
      <c r="B1108" s="5144"/>
      <c r="H1108" s="363"/>
      <c r="I1108" s="1653"/>
      <c r="N1108" s="363"/>
      <c r="O1108" s="1999"/>
      <c r="Y1108" s="1658" t="str">
        <f t="shared" si="129"/>
        <v>Rudraskha: Exodus void nova</v>
      </c>
      <c r="Z1108" s="2266">
        <f t="shared" si="130"/>
        <v>29</v>
      </c>
      <c r="AA1108" s="369" t="s">
        <v>1011</v>
      </c>
      <c r="AB1108" s="213">
        <v>220</v>
      </c>
      <c r="AC1108" s="234">
        <v>300</v>
      </c>
    </row>
    <row r="1109" spans="1:29" ht="12.75" customHeight="1" thickBot="1" x14ac:dyDescent="0.25">
      <c r="A1109" s="1916">
        <v>1109</v>
      </c>
      <c r="B1109" s="5144"/>
      <c r="C1109" s="3297" t="s">
        <v>2114</v>
      </c>
      <c r="D1109" s="3298"/>
      <c r="E1109" s="3298"/>
      <c r="F1109" s="3298"/>
      <c r="G1109" s="3298"/>
      <c r="H1109" s="3298"/>
      <c r="I1109" s="3298"/>
      <c r="J1109" s="3298"/>
      <c r="K1109" s="3298"/>
      <c r="L1109" s="3298"/>
      <c r="M1109" s="3298"/>
      <c r="N1109" s="3299"/>
      <c r="P1109" s="3201" t="s">
        <v>98</v>
      </c>
      <c r="Q1109" s="3201"/>
      <c r="R1109" s="3201"/>
      <c r="S1109" s="3201"/>
      <c r="T1109" s="3201"/>
      <c r="U1109" s="3201"/>
      <c r="V1109" s="3201"/>
      <c r="W1109" s="3201"/>
      <c r="Y1109" s="1658" t="str">
        <f t="shared" si="129"/>
        <v>Rudraskha: Void nova</v>
      </c>
      <c r="Z1109" s="2266">
        <f t="shared" si="130"/>
        <v>30</v>
      </c>
      <c r="AA1109" s="369" t="s">
        <v>1012</v>
      </c>
      <c r="AB1109" s="213">
        <v>280</v>
      </c>
      <c r="AC1109" s="234">
        <v>500</v>
      </c>
    </row>
    <row r="1110" spans="1:29" ht="12.75" customHeight="1" thickBot="1" x14ac:dyDescent="0.25">
      <c r="A1110" s="1916">
        <v>1110</v>
      </c>
      <c r="B1110" s="5144"/>
      <c r="C1110" s="5166"/>
      <c r="D1110" s="5167"/>
      <c r="E1110" s="5167"/>
      <c r="F1110" s="5167"/>
      <c r="G1110" s="5167"/>
      <c r="H1110" s="5167"/>
      <c r="I1110" s="5167"/>
      <c r="J1110" s="5167"/>
      <c r="K1110" s="5167"/>
      <c r="L1110" s="5167"/>
      <c r="M1110" s="5167"/>
      <c r="N1110" s="5168"/>
      <c r="P1110" s="3201"/>
      <c r="Q1110" s="3201"/>
      <c r="R1110" s="3201"/>
      <c r="S1110" s="3201"/>
      <c r="T1110" s="3201"/>
      <c r="U1110" s="3201"/>
      <c r="V1110" s="3201"/>
      <c r="W1110" s="3201"/>
      <c r="Y1110" s="1658" t="str">
        <f t="shared" si="129"/>
        <v>Seiryu, el Dragón Celeste</v>
      </c>
      <c r="Z1110" s="2266">
        <f t="shared" si="130"/>
        <v>31</v>
      </c>
      <c r="AA1110" s="369" t="s">
        <v>1013</v>
      </c>
      <c r="AB1110" s="213">
        <v>340</v>
      </c>
      <c r="AC1110" s="234">
        <v>660</v>
      </c>
    </row>
    <row r="1111" spans="1:29" ht="12.75" customHeight="1" x14ac:dyDescent="0.2">
      <c r="A1111" s="1916">
        <v>1111</v>
      </c>
      <c r="B1111" s="5144"/>
      <c r="C1111" s="1691"/>
      <c r="D1111" s="2608" t="s">
        <v>113</v>
      </c>
      <c r="E1111" s="2630" t="s">
        <v>102</v>
      </c>
      <c r="F1111" s="67"/>
      <c r="G1111" s="67"/>
      <c r="H1111" s="67"/>
      <c r="I1111" s="255"/>
      <c r="J1111" s="67"/>
      <c r="K1111" s="67"/>
      <c r="L1111" s="67"/>
      <c r="M1111" s="67"/>
      <c r="N1111" s="1698"/>
      <c r="P1111" s="516">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58" t="str">
        <f t="shared" si="129"/>
        <v>Seiryu: La furia de la última tormenta</v>
      </c>
      <c r="Z1111" s="2266">
        <f t="shared" si="130"/>
        <v>28</v>
      </c>
      <c r="AA1111" s="369" t="s">
        <v>1014</v>
      </c>
      <c r="AB1111" s="213">
        <v>400</v>
      </c>
      <c r="AC1111" s="234">
        <v>880</v>
      </c>
    </row>
    <row r="1112" spans="1:29" ht="12.75" customHeight="1" x14ac:dyDescent="0.2">
      <c r="A1112" s="1916">
        <v>1112</v>
      </c>
      <c r="B1112" s="5144"/>
      <c r="C1112" s="1691"/>
      <c r="D1112" s="2608" t="s">
        <v>105</v>
      </c>
      <c r="E1112" s="2630" t="s">
        <v>106</v>
      </c>
      <c r="F1112" s="67"/>
      <c r="G1112" s="67"/>
      <c r="H1112" s="67"/>
      <c r="I1112" s="255"/>
      <c r="J1112" s="67"/>
      <c r="K1112" s="67"/>
      <c r="L1112" s="67"/>
      <c r="M1112" s="67"/>
      <c r="N1112" s="1698"/>
      <c r="P1112" s="516">
        <f t="shared" ref="P1112:P1152" si="132">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58" t="str">
        <f t="shared" si="129"/>
        <v>Seiryu: Rayo</v>
      </c>
      <c r="Z1112" s="2266">
        <f t="shared" si="130"/>
        <v>58</v>
      </c>
      <c r="AA1112" s="369" t="s">
        <v>1015</v>
      </c>
      <c r="AB1112" s="213">
        <v>400</v>
      </c>
      <c r="AC1112" s="234">
        <v>800</v>
      </c>
    </row>
    <row r="1113" spans="1:29" ht="12.75" customHeight="1" x14ac:dyDescent="0.2">
      <c r="A1113" s="1916">
        <v>1113</v>
      </c>
      <c r="B1113" s="5144"/>
      <c r="C1113" s="1691"/>
      <c r="D1113" s="2608" t="s">
        <v>108</v>
      </c>
      <c r="E1113" s="2630" t="s">
        <v>102</v>
      </c>
      <c r="F1113" s="67"/>
      <c r="G1113" s="67"/>
      <c r="H1113" s="67"/>
      <c r="I1113" s="255"/>
      <c r="J1113" s="67"/>
      <c r="K1113" s="67"/>
      <c r="L1113" s="67"/>
      <c r="M1113" s="67"/>
      <c r="N1113" s="1698"/>
      <c r="P1113" s="516">
        <f t="shared" si="132"/>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58" t="str">
        <f t="shared" si="129"/>
        <v>Seiryu: Señor del este</v>
      </c>
      <c r="Z1113" s="2266">
        <f t="shared" si="130"/>
        <v>62</v>
      </c>
      <c r="AA1113" s="369" t="s">
        <v>1016</v>
      </c>
      <c r="AB1113" s="213">
        <v>220</v>
      </c>
      <c r="AC1113" s="234">
        <v>300</v>
      </c>
    </row>
    <row r="1114" spans="1:29" ht="12.75" customHeight="1" x14ac:dyDescent="0.2">
      <c r="A1114" s="1916">
        <v>1114</v>
      </c>
      <c r="B1114" s="5144"/>
      <c r="C1114" s="1691"/>
      <c r="D1114" s="2608" t="s">
        <v>114</v>
      </c>
      <c r="E1114" s="2630" t="s">
        <v>115</v>
      </c>
      <c r="F1114" s="67"/>
      <c r="G1114" s="67"/>
      <c r="H1114" s="67"/>
      <c r="I1114" s="255"/>
      <c r="J1114" s="67"/>
      <c r="K1114" s="67"/>
      <c r="L1114" s="67"/>
      <c r="M1114" s="67"/>
      <c r="N1114" s="1698"/>
      <c r="P1114" s="516">
        <f t="shared" si="132"/>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58" t="str">
        <f t="shared" si="129"/>
        <v>Seiryu: Tormenta</v>
      </c>
      <c r="Z1114" s="2266">
        <f t="shared" si="130"/>
        <v>59</v>
      </c>
      <c r="AA1114" s="369" t="s">
        <v>1017</v>
      </c>
      <c r="AB1114" s="213">
        <v>280</v>
      </c>
      <c r="AC1114" s="234">
        <v>500</v>
      </c>
    </row>
    <row r="1115" spans="1:29" ht="12.75" customHeight="1" x14ac:dyDescent="0.2">
      <c r="A1115" s="1916">
        <v>1115</v>
      </c>
      <c r="B1115" s="5144"/>
      <c r="C1115" s="1691"/>
      <c r="D1115" s="2608" t="s">
        <v>117</v>
      </c>
      <c r="E1115" s="2630" t="s">
        <v>118</v>
      </c>
      <c r="F1115" s="67"/>
      <c r="G1115" s="67"/>
      <c r="H1115" s="67"/>
      <c r="I1115" s="255"/>
      <c r="J1115" s="67"/>
      <c r="K1115" s="67"/>
      <c r="L1115" s="67"/>
      <c r="M1115" s="67"/>
      <c r="N1115" s="1698"/>
      <c r="P1115" s="516">
        <f t="shared" si="132"/>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58" t="str">
        <f t="shared" si="129"/>
        <v>Suzaku, el Fénix</v>
      </c>
      <c r="Z1115" s="2266">
        <f t="shared" si="130"/>
        <v>61</v>
      </c>
      <c r="AA1115" s="369" t="s">
        <v>1018</v>
      </c>
      <c r="AB1115" s="213">
        <v>340</v>
      </c>
      <c r="AC1115" s="234">
        <v>660</v>
      </c>
    </row>
    <row r="1116" spans="1:29" ht="12.75" customHeight="1" x14ac:dyDescent="0.2">
      <c r="A1116" s="1916">
        <v>1116</v>
      </c>
      <c r="B1116" s="5144"/>
      <c r="C1116" s="1691"/>
      <c r="D1116" s="2608" t="s">
        <v>107</v>
      </c>
      <c r="E1116" s="2630" t="s">
        <v>102</v>
      </c>
      <c r="F1116" s="67"/>
      <c r="G1116" s="67"/>
      <c r="H1116" s="67"/>
      <c r="I1116" s="255"/>
      <c r="J1116" s="67"/>
      <c r="K1116" s="67"/>
      <c r="L1116" s="67"/>
      <c r="M1116" s="67"/>
      <c r="N1116" s="1698"/>
      <c r="P1116" s="516">
        <f t="shared" si="132"/>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58" t="str">
        <f t="shared" si="129"/>
        <v>Suzaku: Calamidad</v>
      </c>
      <c r="Z1116" s="2266">
        <f t="shared" si="130"/>
        <v>60</v>
      </c>
      <c r="AA1116" s="369" t="s">
        <v>1019</v>
      </c>
      <c r="AB1116" s="213">
        <v>400</v>
      </c>
      <c r="AC1116" s="234">
        <v>880</v>
      </c>
    </row>
    <row r="1117" spans="1:29" ht="12.75" customHeight="1" x14ac:dyDescent="0.2">
      <c r="A1117" s="1916">
        <v>1117</v>
      </c>
      <c r="B1117" s="5144"/>
      <c r="C1117" s="1691"/>
      <c r="D1117" s="2608" t="s">
        <v>2019</v>
      </c>
      <c r="E1117" s="2630" t="s">
        <v>102</v>
      </c>
      <c r="F1117" s="67"/>
      <c r="G1117" s="67"/>
      <c r="H1117" s="67"/>
      <c r="I1117" s="255"/>
      <c r="J1117" s="67"/>
      <c r="K1117" s="67"/>
      <c r="L1117" s="67"/>
      <c r="M1117" s="67"/>
      <c r="N1117" s="1698"/>
      <c r="P1117" s="516">
        <f t="shared" si="132"/>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58" t="str">
        <f t="shared" si="129"/>
        <v>Suzaku: El elegido del sol</v>
      </c>
      <c r="Z1117" s="2266">
        <f t="shared" si="130"/>
        <v>5</v>
      </c>
      <c r="AA1117" s="369" t="s">
        <v>1020</v>
      </c>
      <c r="AB1117" s="213">
        <v>400</v>
      </c>
      <c r="AC1117" s="234">
        <v>800</v>
      </c>
    </row>
    <row r="1118" spans="1:29" ht="12.75" customHeight="1" x14ac:dyDescent="0.2">
      <c r="A1118" s="1916">
        <v>1118</v>
      </c>
      <c r="B1118" s="5144"/>
      <c r="C1118" s="1691"/>
      <c r="D1118" s="2608" t="s">
        <v>103</v>
      </c>
      <c r="E1118" s="2630" t="s">
        <v>104</v>
      </c>
      <c r="F1118" s="67"/>
      <c r="G1118" s="67"/>
      <c r="H1118" s="67"/>
      <c r="I1118" s="255"/>
      <c r="J1118" s="67"/>
      <c r="K1118" s="67"/>
      <c r="L1118" s="67"/>
      <c r="M1118" s="67"/>
      <c r="N1118" s="1698"/>
      <c r="P1118" s="516">
        <f t="shared" si="132"/>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58" t="str">
        <f t="shared" si="129"/>
        <v>Suzaku: Señor del sur</v>
      </c>
      <c r="Z1118" s="2266">
        <f t="shared" si="130"/>
        <v>8</v>
      </c>
      <c r="AA1118" s="369" t="s">
        <v>1021</v>
      </c>
      <c r="AB1118" s="213">
        <v>220</v>
      </c>
      <c r="AC1118" s="234">
        <v>300</v>
      </c>
    </row>
    <row r="1119" spans="1:29" ht="12.75" customHeight="1" x14ac:dyDescent="0.2">
      <c r="A1119" s="1916">
        <v>1119</v>
      </c>
      <c r="B1119" s="5144"/>
      <c r="C1119" s="1691"/>
      <c r="D1119" s="2608" t="s">
        <v>111</v>
      </c>
      <c r="E1119" s="2630" t="s">
        <v>112</v>
      </c>
      <c r="F1119" s="67"/>
      <c r="G1119" s="67"/>
      <c r="H1119" s="67"/>
      <c r="I1119" s="255"/>
      <c r="J1119" s="67"/>
      <c r="K1119" s="67"/>
      <c r="L1119" s="67"/>
      <c r="M1119" s="67"/>
      <c r="N1119" s="1698"/>
      <c r="P1119" s="516">
        <f t="shared" si="132"/>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58" t="str">
        <f t="shared" si="129"/>
        <v>Suzaku: uena fortuna</v>
      </c>
      <c r="Z1119" s="2266">
        <f t="shared" si="130"/>
        <v>7</v>
      </c>
      <c r="AA1119" s="369" t="s">
        <v>1022</v>
      </c>
      <c r="AB1119" s="213">
        <v>280</v>
      </c>
      <c r="AC1119" s="234">
        <v>500</v>
      </c>
    </row>
    <row r="1120" spans="1:29" ht="12.75" customHeight="1" x14ac:dyDescent="0.2">
      <c r="A1120" s="1916">
        <v>1120</v>
      </c>
      <c r="B1120" s="5144"/>
      <c r="C1120" s="1691"/>
      <c r="D1120" s="2608" t="s">
        <v>109</v>
      </c>
      <c r="E1120" s="2630" t="s">
        <v>110</v>
      </c>
      <c r="F1120" s="67"/>
      <c r="G1120" s="67"/>
      <c r="H1120" s="67"/>
      <c r="I1120" s="255"/>
      <c r="J1120" s="67"/>
      <c r="K1120" s="67"/>
      <c r="L1120" s="67"/>
      <c r="M1120" s="67"/>
      <c r="N1120" s="1698"/>
      <c r="P1120" s="516">
        <f t="shared" si="132"/>
        <v>0</v>
      </c>
      <c r="Q1120" s="517" t="str">
        <f>IF(Metamagia!I49+Metamagia!L48&gt;1,"Bucle existencial (2)",IF(Metamagia!I49+Metamagia!L48&gt;0,"Bucle existencial (1)",""))</f>
        <v/>
      </c>
      <c r="R1120" s="517"/>
      <c r="S1120" s="517" t="str">
        <f>IF(Metamagia!I49+Metamagia!L48&gt;1,"Puede mantenerse hasta 5 asaltos",IF(Metamagia!I49+Metamagia!L48&gt;0,"Puede mantenerse hasta 2 asaltos",""))</f>
        <v/>
      </c>
      <c r="T1120" s="517"/>
      <c r="U1120" s="96"/>
      <c r="V1120" s="119"/>
      <c r="W1120" s="121"/>
      <c r="Y1120" s="1658" t="str">
        <f t="shared" si="129"/>
        <v>Tawil At-U'mr, Señor de las Puertas</v>
      </c>
      <c r="Z1120" s="2266">
        <f t="shared" si="130"/>
        <v>9</v>
      </c>
      <c r="AA1120" s="369" t="s">
        <v>1023</v>
      </c>
      <c r="AB1120" s="213">
        <v>340</v>
      </c>
      <c r="AC1120" s="234">
        <v>660</v>
      </c>
    </row>
    <row r="1121" spans="1:29" ht="12.75" customHeight="1" x14ac:dyDescent="0.2">
      <c r="A1121" s="1916">
        <v>1121</v>
      </c>
      <c r="B1121" s="5144"/>
      <c r="C1121" s="1691"/>
      <c r="D1121" s="2608" t="s">
        <v>99</v>
      </c>
      <c r="E1121" s="2630" t="s">
        <v>100</v>
      </c>
      <c r="F1121" s="67"/>
      <c r="G1121" s="67"/>
      <c r="H1121" s="67"/>
      <c r="I1121" s="255"/>
      <c r="J1121" s="67"/>
      <c r="K1121" s="67"/>
      <c r="L1121" s="67"/>
      <c r="M1121" s="67"/>
      <c r="N1121" s="1698"/>
      <c r="P1121" s="516">
        <f t="shared" si="132"/>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58" t="str">
        <f t="shared" si="129"/>
        <v>Tawil At-U'mr: Compresión del tiempo</v>
      </c>
      <c r="Z1121" s="2266">
        <f t="shared" si="130"/>
        <v>6</v>
      </c>
      <c r="AA1121" s="369" t="s">
        <v>1024</v>
      </c>
      <c r="AB1121" s="213">
        <v>400</v>
      </c>
      <c r="AC1121" s="234">
        <v>880</v>
      </c>
    </row>
    <row r="1122" spans="1:29" ht="12.75" customHeight="1" x14ac:dyDescent="0.2">
      <c r="A1122" s="1916">
        <v>1122</v>
      </c>
      <c r="B1122" s="5144"/>
      <c r="C1122" s="1691"/>
      <c r="D1122" s="2608" t="s">
        <v>101</v>
      </c>
      <c r="E1122" s="2630" t="s">
        <v>102</v>
      </c>
      <c r="F1122" s="67"/>
      <c r="G1122" s="67"/>
      <c r="H1122" s="67"/>
      <c r="I1122" s="255"/>
      <c r="J1122" s="67"/>
      <c r="K1122" s="67"/>
      <c r="L1122" s="67"/>
      <c r="M1122" s="67"/>
      <c r="N1122" s="1698"/>
      <c r="P1122" s="516">
        <f t="shared" si="132"/>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58" t="str">
        <f t="shared" ref="Y1122:Y1128" si="133">VLOOKUP(A65,$Z$1058:$AA$1128,2,0)</f>
        <v>Tawil At-U'mr: La puerta</v>
      </c>
      <c r="Z1122" s="2266">
        <f t="shared" ref="Z1122:Z1128" si="134">COUNTIF($AA$1058:$AA$1128,"&lt;="&amp;AA1122)</f>
        <v>42</v>
      </c>
      <c r="AA1122" s="369" t="s">
        <v>1025</v>
      </c>
      <c r="AB1122" s="213">
        <v>440</v>
      </c>
      <c r="AC1122" s="234">
        <v>800</v>
      </c>
    </row>
    <row r="1123" spans="1:29" ht="12.75" customHeight="1" thickBot="1" x14ac:dyDescent="0.25">
      <c r="A1123" s="1916">
        <v>1123</v>
      </c>
      <c r="B1123" s="5144"/>
      <c r="C1123" s="1692"/>
      <c r="D1123" s="2631" t="s">
        <v>116</v>
      </c>
      <c r="E1123" s="2632" t="s">
        <v>102</v>
      </c>
      <c r="F1123" s="1693"/>
      <c r="G1123" s="1693"/>
      <c r="H1123" s="1693"/>
      <c r="I1123" s="2633"/>
      <c r="J1123" s="1693"/>
      <c r="K1123" s="1693"/>
      <c r="L1123" s="1693"/>
      <c r="M1123" s="1693"/>
      <c r="N1123" s="1699"/>
      <c r="P1123" s="516">
        <f t="shared" si="132"/>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58" t="str">
        <f t="shared" si="133"/>
        <v>Tawil At-U'mr: Más allá del tiempo y el espacio</v>
      </c>
      <c r="Z1123" s="2266">
        <f t="shared" si="134"/>
        <v>43</v>
      </c>
      <c r="AA1123" s="369" t="s">
        <v>1026</v>
      </c>
      <c r="AB1123" s="213">
        <v>440</v>
      </c>
      <c r="AC1123" s="234">
        <v>1000</v>
      </c>
    </row>
    <row r="1124" spans="1:29" ht="12.75" customHeight="1" x14ac:dyDescent="0.2">
      <c r="A1124" s="1916">
        <v>1124</v>
      </c>
      <c r="B1124" s="5144"/>
      <c r="F1124" s="1999"/>
      <c r="H1124" s="363"/>
      <c r="N1124" s="363"/>
      <c r="P1124" s="516">
        <f t="shared" si="132"/>
        <v>0</v>
      </c>
      <c r="Q1124" s="19" t="str">
        <f>IF(Metamagia!F37=1,"Metamagister: Doble daño","")</f>
        <v/>
      </c>
      <c r="R1124" s="19"/>
      <c r="S1124" s="19" t="str">
        <f>IF(Metamagia!F37=1,"El Daño Base de los conjuros ofensivos se dobla","")</f>
        <v/>
      </c>
      <c r="T1124" s="19"/>
      <c r="U1124" s="19"/>
      <c r="V1124" s="447"/>
      <c r="W1124" s="11"/>
      <c r="Y1124" s="1658" t="str">
        <f t="shared" si="133"/>
        <v>Thanathos</v>
      </c>
      <c r="Z1124" s="2266">
        <f t="shared" si="134"/>
        <v>17</v>
      </c>
      <c r="AA1124" s="369" t="s">
        <v>1027</v>
      </c>
      <c r="AB1124" s="213">
        <v>240</v>
      </c>
      <c r="AC1124" s="234">
        <v>800</v>
      </c>
    </row>
    <row r="1125" spans="1:29" ht="12.75" customHeight="1" x14ac:dyDescent="0.2">
      <c r="A1125" s="1916">
        <v>1125</v>
      </c>
      <c r="B1125" s="5144"/>
      <c r="F1125" s="1999"/>
      <c r="H1125" s="363"/>
      <c r="N1125" s="363"/>
      <c r="P1125" s="516">
        <f t="shared" si="132"/>
        <v>0</v>
      </c>
      <c r="Q1125" s="19" t="str">
        <f>IF(Metamagia!C54=1,"Sentir la magia","")</f>
        <v/>
      </c>
      <c r="R1125" s="67"/>
      <c r="S1125" s="19" t="str">
        <f>IF(Metamagia!C54=1,"Mejora un Grado los resultados en Valoración Mágica. Ver","")</f>
        <v/>
      </c>
      <c r="T1125" s="67"/>
      <c r="U1125" s="67"/>
      <c r="V1125" s="255"/>
      <c r="W1125" s="68"/>
      <c r="Y1125" s="1658" t="str">
        <f t="shared" si="133"/>
        <v>Veles, el Poder de la Magia</v>
      </c>
      <c r="Z1125" s="2266">
        <f t="shared" si="134"/>
        <v>63</v>
      </c>
      <c r="AA1125" s="369" t="s">
        <v>1028</v>
      </c>
      <c r="AB1125" s="213">
        <v>400</v>
      </c>
      <c r="AC1125" s="234">
        <v>800</v>
      </c>
    </row>
    <row r="1126" spans="1:29" ht="12.75" customHeight="1" x14ac:dyDescent="0.2">
      <c r="A1126" s="1916">
        <v>1126</v>
      </c>
      <c r="B1126" s="5144"/>
      <c r="C1126" s="2986" t="s">
        <v>255</v>
      </c>
      <c r="D1126" s="2986"/>
      <c r="E1126" s="2986"/>
      <c r="F1126" s="2986"/>
      <c r="G1126" s="2986"/>
      <c r="H1126" s="363"/>
      <c r="I1126" s="2986"/>
      <c r="J1126" s="2986"/>
      <c r="K1126" s="2986"/>
      <c r="L1126" s="2986"/>
      <c r="M1126" s="2986"/>
      <c r="N1126" s="363"/>
      <c r="P1126" s="516">
        <f t="shared" si="132"/>
        <v>0</v>
      </c>
      <c r="Q1126" s="19" t="str">
        <f>IF(Metamagia!F48=1,"Control del espacio","")</f>
        <v/>
      </c>
      <c r="R1126" s="67"/>
      <c r="S1126" s="19" t="str">
        <f>IF(Metamagia!F48=1,"Permite seleccionar blancos en todos los conjuros de área","")</f>
        <v/>
      </c>
      <c r="T1126" s="67"/>
      <c r="U1126" s="67"/>
      <c r="V1126" s="255"/>
      <c r="W1126" s="68"/>
      <c r="Y1126" s="1658" t="str">
        <f t="shared" si="133"/>
        <v>Ziz, Señor de los Cielos</v>
      </c>
      <c r="Z1126" s="2266">
        <f t="shared" si="134"/>
        <v>64</v>
      </c>
      <c r="AA1126" s="369" t="s">
        <v>1029</v>
      </c>
      <c r="AB1126" s="213">
        <v>280</v>
      </c>
      <c r="AC1126" s="234">
        <v>500</v>
      </c>
    </row>
    <row r="1127" spans="1:29" ht="12.75" customHeight="1" x14ac:dyDescent="0.2">
      <c r="A1127" s="1916">
        <v>1127</v>
      </c>
      <c r="B1127" s="5144"/>
      <c r="C1127" s="2986"/>
      <c r="D1127" s="2986"/>
      <c r="E1127" s="2986"/>
      <c r="F1127" s="2986"/>
      <c r="G1127" s="2986"/>
      <c r="H1127" s="363"/>
      <c r="I1127" s="2986"/>
      <c r="J1127" s="2986"/>
      <c r="K1127" s="2986"/>
      <c r="L1127" s="2986"/>
      <c r="M1127" s="2986"/>
      <c r="N1127" s="363"/>
      <c r="P1127" s="516">
        <f t="shared" si="132"/>
        <v>0</v>
      </c>
      <c r="Q1127" s="19" t="str">
        <f>IF(Metamagia!F54=1,"Transmisión de magia","")</f>
        <v/>
      </c>
      <c r="R1127" s="67"/>
      <c r="S1127" s="19" t="str">
        <f>IF(Metamagia!F54=1,"Permite la transferencia de Zeón a distancia (Presencia en metros)","")</f>
        <v/>
      </c>
      <c r="T1127" s="67"/>
      <c r="U1127" s="67"/>
      <c r="V1127" s="255"/>
      <c r="W1127" s="68"/>
      <c r="Y1127" s="1658" t="str">
        <f t="shared" si="133"/>
        <v>Ziz: Comunión con el viento</v>
      </c>
      <c r="Z1127" s="2266">
        <f t="shared" si="134"/>
        <v>65</v>
      </c>
      <c r="AA1127" s="369" t="s">
        <v>1030</v>
      </c>
      <c r="AB1127" s="213">
        <v>400</v>
      </c>
      <c r="AC1127" s="234">
        <v>900</v>
      </c>
    </row>
    <row r="1128" spans="1:29" ht="12.75" customHeight="1" x14ac:dyDescent="0.2">
      <c r="A1128" s="1916">
        <v>1128</v>
      </c>
      <c r="B1128" s="5144"/>
      <c r="C1128" s="2986"/>
      <c r="D1128" s="2986"/>
      <c r="E1128" s="2986"/>
      <c r="F1128" s="2986"/>
      <c r="G1128" s="2986"/>
      <c r="H1128" s="363"/>
      <c r="I1128" s="1093"/>
      <c r="J1128" s="1093"/>
      <c r="K1128" s="1093"/>
      <c r="L1128" s="2970"/>
      <c r="M1128" s="2970"/>
      <c r="N1128" s="363"/>
      <c r="P1128" s="516">
        <f t="shared" si="132"/>
        <v>0</v>
      </c>
      <c r="Q1128" s="19" t="str">
        <f>IF(Metamagia!F63=1,"Seguridad defensiva","")</f>
        <v/>
      </c>
      <c r="R1128" s="67"/>
      <c r="S1128" s="19" t="str">
        <f>IF(Metamagia!F63=1,"Con Pifia al proyectar un escudo se sigue activando el conjuro","")</f>
        <v/>
      </c>
      <c r="T1128" s="67"/>
      <c r="U1128" s="67"/>
      <c r="V1128" s="255"/>
      <c r="W1128" s="68"/>
      <c r="Y1128" s="1658" t="str">
        <f t="shared" si="133"/>
        <v>Ziz: Señor del viento</v>
      </c>
      <c r="Z1128" s="2266">
        <f t="shared" si="134"/>
        <v>66</v>
      </c>
      <c r="AA1128" s="369" t="s">
        <v>1031</v>
      </c>
      <c r="AB1128" s="213">
        <v>500</v>
      </c>
      <c r="AC1128" s="234">
        <v>1200</v>
      </c>
    </row>
    <row r="1129" spans="1:29" ht="12.75" customHeight="1" x14ac:dyDescent="0.2">
      <c r="A1129" s="1916">
        <v>1129</v>
      </c>
      <c r="B1129" s="5144"/>
      <c r="C1129" s="2986"/>
      <c r="D1129" s="2986"/>
      <c r="E1129" s="2986"/>
      <c r="F1129" s="2986"/>
      <c r="G1129" s="2986"/>
      <c r="H1129" s="363"/>
      <c r="I1129" s="422"/>
      <c r="J1129" s="422"/>
      <c r="K1129" s="422"/>
      <c r="L1129" s="2987"/>
      <c r="M1129" s="523"/>
      <c r="N1129" s="363"/>
      <c r="P1129" s="516">
        <f t="shared" si="132"/>
        <v>0</v>
      </c>
      <c r="Q1129" s="19" t="str">
        <f>IF(Metamagia!I59=1,"Control de la energía","")</f>
        <v/>
      </c>
      <c r="R1129" s="67"/>
      <c r="S1129" s="19" t="str">
        <f>IF(Metamagia!I59=1,"Por 10 de Zeón permite que un conjuro físico pueda dañar o parar energía","")</f>
        <v/>
      </c>
      <c r="T1129" s="67"/>
      <c r="U1129" s="67"/>
      <c r="V1129" s="255"/>
      <c r="W1129" s="68"/>
      <c r="Y1129" s="1658" t="str">
        <f t="shared" ref="Y1129:Y1174" si="135">VLOOKUP(A1,$Z$1129:$AA$1174,2,0)</f>
        <v>&gt; ENCARNACIONES</v>
      </c>
      <c r="Z1129" s="2266">
        <f t="shared" ref="Z1129:Z1174" si="136">COUNTIF($AA$1129:$AA$1174,"&lt;="&amp;AA1129)</f>
        <v>1</v>
      </c>
      <c r="AA1129" s="369" t="s">
        <v>1032</v>
      </c>
      <c r="AB1129" s="213"/>
      <c r="AC1129" s="234"/>
    </row>
    <row r="1130" spans="1:29" ht="12.75" customHeight="1" x14ac:dyDescent="0.2">
      <c r="A1130" s="1916">
        <v>1130</v>
      </c>
      <c r="B1130" s="5144"/>
      <c r="C1130" s="2986"/>
      <c r="D1130" s="2986"/>
      <c r="E1130" s="2986"/>
      <c r="F1130" s="2986"/>
      <c r="G1130" s="2986"/>
      <c r="H1130" s="363"/>
      <c r="I1130" s="422"/>
      <c r="J1130" s="422"/>
      <c r="K1130" s="422"/>
      <c r="L1130" s="525"/>
      <c r="M1130" s="523"/>
      <c r="N1130" s="363"/>
      <c r="P1130" s="516">
        <f t="shared" si="132"/>
        <v>0</v>
      </c>
      <c r="Q1130" s="19" t="str">
        <f>IF(Metamagia!I44=1,"Doble conjuro innato","")</f>
        <v/>
      </c>
      <c r="R1130" s="67"/>
      <c r="S1130" s="19" t="str">
        <f>IF(Metamagia!I44=1,"Permite realizar 2 conjuros innatos distintos por asalto","")</f>
        <v/>
      </c>
      <c r="T1130" s="67"/>
      <c r="U1130" s="67"/>
      <c r="V1130" s="255"/>
      <c r="W1130" s="68"/>
      <c r="Y1130" s="1658" t="str">
        <f t="shared" si="135"/>
        <v>Aeriel, el Caballero de Argenta (Nv 12)</v>
      </c>
      <c r="Z1130" s="2266">
        <f t="shared" si="136"/>
        <v>30</v>
      </c>
      <c r="AA1130" s="369" t="s">
        <v>1033</v>
      </c>
      <c r="AB1130" s="213">
        <v>260</v>
      </c>
      <c r="AC1130" s="234">
        <v>400</v>
      </c>
    </row>
    <row r="1131" spans="1:29" ht="12.75" customHeight="1" x14ac:dyDescent="0.2">
      <c r="A1131" s="1916">
        <v>1131</v>
      </c>
      <c r="B1131" s="5144"/>
      <c r="C1131" s="2986"/>
      <c r="D1131" s="2986"/>
      <c r="E1131" s="2986"/>
      <c r="F1131" s="2986"/>
      <c r="G1131" s="2986"/>
      <c r="H1131" s="363"/>
      <c r="I1131" s="422"/>
      <c r="J1131" s="422"/>
      <c r="K1131" s="422"/>
      <c r="L1131" s="525"/>
      <c r="M1131" s="523"/>
      <c r="N1131" s="363"/>
      <c r="P1131" s="516">
        <f t="shared" si="132"/>
        <v>0</v>
      </c>
      <c r="Q1131" s="19" t="str">
        <f>IF(Metamagia!L41=1,"Metamagister: Mantenimiento añadido","")</f>
        <v/>
      </c>
      <c r="R1131" s="67"/>
      <c r="S1131" s="19" t="str">
        <f>IF(Metamagia!L41=1,"El mantenimiento pasa a ser cada 5 asaltos (cada semana los Diarios)","")</f>
        <v/>
      </c>
      <c r="T1131" s="67"/>
      <c r="U1131" s="67"/>
      <c r="V1131" s="255"/>
      <c r="W1131" s="68"/>
      <c r="Y1131" s="1658" t="str">
        <f t="shared" si="135"/>
        <v>Aeriel, el Caballero de Argenta (Nv 6)</v>
      </c>
      <c r="Z1131" s="2266">
        <f t="shared" si="136"/>
        <v>31</v>
      </c>
      <c r="AA1131" s="369" t="s">
        <v>1034</v>
      </c>
      <c r="AB1131" s="213">
        <v>300</v>
      </c>
      <c r="AC1131" s="234">
        <v>600</v>
      </c>
    </row>
    <row r="1132" spans="1:29" ht="12.75" customHeight="1" x14ac:dyDescent="0.2">
      <c r="A1132" s="1916">
        <v>1132</v>
      </c>
      <c r="B1132" s="5144"/>
      <c r="C1132" s="2986"/>
      <c r="D1132" s="2986"/>
      <c r="E1132" s="2986"/>
      <c r="F1132" s="2986"/>
      <c r="G1132" s="2986"/>
      <c r="H1132" s="363"/>
      <c r="I1132" s="422"/>
      <c r="J1132" s="422"/>
      <c r="K1132" s="422"/>
      <c r="L1132" s="525"/>
      <c r="M1132" s="523"/>
      <c r="N1132" s="363"/>
      <c r="P1132" s="516">
        <f t="shared" si="132"/>
        <v>0</v>
      </c>
      <c r="Q1132" s="19" t="str">
        <f>IF(Metamagia!L54=1,"Aguante al daño sobrenatural","")</f>
        <v/>
      </c>
      <c r="R1132" s="67"/>
      <c r="S1132" s="19" t="str">
        <f>IF(Metamagia!L54=1,"Permite sufrir hasta la mitad de Daño mágico en puntos de Zeón","")</f>
        <v/>
      </c>
      <c r="T1132" s="67"/>
      <c r="U1132" s="67"/>
      <c r="V1132" s="255"/>
      <c r="W1132" s="68"/>
      <c r="Y1132" s="1658" t="str">
        <f t="shared" si="135"/>
        <v>Aeriel, el Caballero de Argenta (Nv 9)</v>
      </c>
      <c r="Z1132" s="2266">
        <f t="shared" si="136"/>
        <v>29</v>
      </c>
      <c r="AA1132" s="369" t="s">
        <v>1035</v>
      </c>
      <c r="AB1132" s="213">
        <v>380</v>
      </c>
      <c r="AC1132" s="234">
        <v>900</v>
      </c>
    </row>
    <row r="1133" spans="1:29" ht="12.75" customHeight="1" x14ac:dyDescent="0.2">
      <c r="A1133" s="1916">
        <v>1133</v>
      </c>
      <c r="B1133" s="5144"/>
      <c r="C1133" s="2986"/>
      <c r="D1133" s="2986"/>
      <c r="E1133" s="2986"/>
      <c r="F1133" s="2986"/>
      <c r="G1133" s="2986"/>
      <c r="H1133" s="363"/>
      <c r="I1133" s="422"/>
      <c r="J1133" s="422"/>
      <c r="K1133" s="422"/>
      <c r="L1133" s="525"/>
      <c r="M1133" s="523"/>
      <c r="N1133" s="363"/>
      <c r="P1133" s="516">
        <f t="shared" si="132"/>
        <v>0</v>
      </c>
      <c r="Q1133" s="19" t="str">
        <f>IF(Metamagia!O54=1,"Magia oculta","")</f>
        <v/>
      </c>
      <c r="R1133" s="67"/>
      <c r="S1133" s="19" t="str">
        <f>IF(Metamagia!O54=1,"Disminuye penalizador para ocultar sortilegios y dificulta la detección de la magia","")</f>
        <v/>
      </c>
      <c r="T1133" s="67"/>
      <c r="U1133" s="67"/>
      <c r="V1133" s="255"/>
      <c r="W1133" s="68"/>
      <c r="Y1133" s="1658" t="str">
        <f t="shared" si="135"/>
        <v>Ambrose Magus, el Hechicero (Nv 4)</v>
      </c>
      <c r="Z1133" s="2266">
        <f t="shared" si="136"/>
        <v>36</v>
      </c>
      <c r="AA1133" s="369" t="s">
        <v>1036</v>
      </c>
      <c r="AB1133" s="213">
        <v>280</v>
      </c>
      <c r="AC1133" s="234">
        <v>350</v>
      </c>
    </row>
    <row r="1134" spans="1:29" ht="12.75" customHeight="1" x14ac:dyDescent="0.2">
      <c r="A1134" s="1916">
        <v>1134</v>
      </c>
      <c r="B1134" s="5144"/>
      <c r="C1134" s="2986"/>
      <c r="D1134" s="2986"/>
      <c r="E1134" s="2986"/>
      <c r="F1134" s="2986"/>
      <c r="G1134" s="2986"/>
      <c r="H1134" s="363"/>
      <c r="I1134" s="422"/>
      <c r="J1134" s="422"/>
      <c r="K1134" s="422"/>
      <c r="L1134" s="525"/>
      <c r="M1134" s="523"/>
      <c r="N1134" s="363"/>
      <c r="P1134" s="516">
        <f t="shared" si="132"/>
        <v>0</v>
      </c>
      <c r="Q1134" s="19" t="str">
        <f>IF(Metamagia!X54=1,"Magia combinada","")</f>
        <v/>
      </c>
      <c r="R1134" s="67"/>
      <c r="S1134" s="19" t="str">
        <f>IF(Metamagia!X54=1,"Permite a varios hechiceros combinarse para lanzar un conjuro. Ver","")</f>
        <v/>
      </c>
      <c r="T1134" s="67"/>
      <c r="U1134" s="67"/>
      <c r="V1134" s="255"/>
      <c r="W1134" s="68"/>
      <c r="Y1134" s="1658" t="str">
        <f t="shared" si="135"/>
        <v>Ambrose Magus, el Hechicero (Nv 6)</v>
      </c>
      <c r="Z1134" s="2266">
        <f t="shared" si="136"/>
        <v>37</v>
      </c>
      <c r="AA1134" s="369" t="s">
        <v>1037</v>
      </c>
      <c r="AB1134" s="213">
        <v>340</v>
      </c>
      <c r="AC1134" s="234">
        <v>700</v>
      </c>
    </row>
    <row r="1135" spans="1:29" ht="12.75" customHeight="1" x14ac:dyDescent="0.2">
      <c r="A1135" s="1916">
        <v>1135</v>
      </c>
      <c r="B1135" s="5144"/>
      <c r="C1135" s="2986"/>
      <c r="D1135" s="2986"/>
      <c r="E1135" s="2986"/>
      <c r="F1135" s="2986"/>
      <c r="G1135" s="2986"/>
      <c r="H1135" s="363"/>
      <c r="I1135" s="422"/>
      <c r="J1135" s="422"/>
      <c r="K1135" s="422"/>
      <c r="L1135" s="525"/>
      <c r="M1135" s="523"/>
      <c r="N1135" s="363"/>
      <c r="P1135" s="516">
        <f t="shared" si="132"/>
        <v>0</v>
      </c>
      <c r="Q1135" s="19" t="str">
        <f>IF(Metamagia!AD54=1,"Efectos persistentes","")</f>
        <v/>
      </c>
      <c r="R1135" s="67"/>
      <c r="S1135" s="19" t="str">
        <f>IF(Metamagia!AD54=1,"El afectado por un conjuro Anímico no puede repetir RM hasta 10 asaltos","")</f>
        <v/>
      </c>
      <c r="T1135" s="67"/>
      <c r="U1135" s="67"/>
      <c r="V1135" s="255"/>
      <c r="W1135" s="68"/>
      <c r="Y1135" s="1658" t="str">
        <f t="shared" si="135"/>
        <v>Ambrose Magus, el Hechicero (Nv 8)</v>
      </c>
      <c r="Z1135" s="2266">
        <f t="shared" si="136"/>
        <v>35</v>
      </c>
      <c r="AA1135" s="369" t="s">
        <v>1038</v>
      </c>
      <c r="AB1135" s="213">
        <v>400</v>
      </c>
      <c r="AC1135" s="234">
        <v>900</v>
      </c>
    </row>
    <row r="1136" spans="1:29" ht="12.75" customHeight="1" x14ac:dyDescent="0.2">
      <c r="A1136" s="1916">
        <v>1136</v>
      </c>
      <c r="B1136" s="5144"/>
      <c r="C1136" s="2986"/>
      <c r="D1136" s="2986"/>
      <c r="E1136" s="2986"/>
      <c r="F1136" s="2986"/>
      <c r="G1136" s="2986"/>
      <c r="H1136" s="363"/>
      <c r="I1136" s="422"/>
      <c r="J1136" s="422"/>
      <c r="K1136" s="422"/>
      <c r="L1136" s="525"/>
      <c r="M1136" s="523"/>
      <c r="N1136" s="363"/>
      <c r="P1136" s="516">
        <f t="shared" si="132"/>
        <v>0</v>
      </c>
      <c r="Q1136" s="19" t="str">
        <f>IF(Metamagia!AA49=1,"Elevación","")</f>
        <v/>
      </c>
      <c r="R1136" s="67"/>
      <c r="S1136" s="19" t="str">
        <f>IF(Metamagia!AA49=1,"Permite entrar en un trance cuya duración cuenta doble para recuperar Zeón","")</f>
        <v/>
      </c>
      <c r="T1136" s="67"/>
      <c r="U1136" s="67"/>
      <c r="V1136" s="255"/>
      <c r="W1136" s="68"/>
      <c r="Y1136" s="1658" t="str">
        <f t="shared" si="135"/>
        <v>Anassilish, el Sin Rostro (Nv 2)</v>
      </c>
      <c r="Z1136" s="2266">
        <f t="shared" si="136"/>
        <v>14</v>
      </c>
      <c r="AA1136" s="369" t="s">
        <v>1039</v>
      </c>
      <c r="AB1136" s="213">
        <v>220</v>
      </c>
      <c r="AC1136" s="234">
        <v>200</v>
      </c>
    </row>
    <row r="1137" spans="1:29" ht="12.75" customHeight="1" x14ac:dyDescent="0.2">
      <c r="A1137" s="1916">
        <v>1137</v>
      </c>
      <c r="B1137" s="5144"/>
      <c r="C1137" s="2986"/>
      <c r="D1137" s="2986"/>
      <c r="E1137" s="2986"/>
      <c r="F1137" s="2986"/>
      <c r="G1137" s="2986"/>
      <c r="H1137" s="363"/>
      <c r="I1137" s="422"/>
      <c r="J1137" s="422"/>
      <c r="K1137" s="422"/>
      <c r="L1137" s="525"/>
      <c r="M1137" s="523"/>
      <c r="N1137" s="363"/>
      <c r="P1137" s="516">
        <f t="shared" si="132"/>
        <v>0</v>
      </c>
      <c r="Q1137" s="19" t="str">
        <f>IF(Metamagia!AA44=1,"Avatar","")</f>
        <v/>
      </c>
      <c r="R1137" s="67"/>
      <c r="S1137" s="19" t="str">
        <f>IF(Metamagia!AA44=1,"El personaje puede convertirse en un Avatar de Magia. Ver","")</f>
        <v/>
      </c>
      <c r="T1137" s="67"/>
      <c r="U1137" s="67"/>
      <c r="V1137" s="255"/>
      <c r="W1137" s="68"/>
      <c r="Y1137" s="1658" t="str">
        <f t="shared" si="135"/>
        <v>Anassilish, el Sin Rostro (Nv 5)</v>
      </c>
      <c r="Z1137" s="2266">
        <f t="shared" si="136"/>
        <v>15</v>
      </c>
      <c r="AA1137" s="369" t="s">
        <v>1040</v>
      </c>
      <c r="AB1137" s="213">
        <v>300</v>
      </c>
      <c r="AC1137" s="234">
        <v>480</v>
      </c>
    </row>
    <row r="1138" spans="1:29" ht="12.75" customHeight="1" x14ac:dyDescent="0.2">
      <c r="A1138" s="1916">
        <v>1138</v>
      </c>
      <c r="B1138" s="5144"/>
      <c r="C1138" s="2986"/>
      <c r="D1138" s="2986"/>
      <c r="E1138" s="2986"/>
      <c r="F1138" s="2986"/>
      <c r="G1138" s="2986"/>
      <c r="H1138" s="363"/>
      <c r="I1138" s="422"/>
      <c r="J1138" s="422"/>
      <c r="K1138" s="422"/>
      <c r="L1138" s="525"/>
      <c r="M1138" s="523"/>
      <c r="N1138" s="363"/>
      <c r="P1138" s="516">
        <f t="shared" si="132"/>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5"/>
      <c r="W1138" s="68"/>
      <c r="Y1138" s="1658" t="str">
        <f t="shared" si="135"/>
        <v>Anassilish, el Sin Rostro (Nv 8)</v>
      </c>
      <c r="Z1138" s="2266">
        <f t="shared" si="136"/>
        <v>16</v>
      </c>
      <c r="AA1138" s="369" t="s">
        <v>1041</v>
      </c>
      <c r="AB1138" s="213">
        <v>360</v>
      </c>
      <c r="AC1138" s="234">
        <v>600</v>
      </c>
    </row>
    <row r="1139" spans="1:29" ht="12.75" customHeight="1" x14ac:dyDescent="0.2">
      <c r="A1139" s="1916">
        <v>1139</v>
      </c>
      <c r="B1139" s="5144"/>
      <c r="C1139" s="2986"/>
      <c r="D1139" s="2986"/>
      <c r="E1139" s="2986"/>
      <c r="F1139" s="2986"/>
      <c r="G1139" s="2986"/>
      <c r="H1139" s="363"/>
      <c r="I1139" s="422"/>
      <c r="J1139" s="422"/>
      <c r="K1139" s="422"/>
      <c r="L1139" s="525"/>
      <c r="M1139" s="523"/>
      <c r="N1139" s="363"/>
      <c r="P1139" s="516">
        <f t="shared" si="132"/>
        <v>0</v>
      </c>
      <c r="Q1139" s="19" t="str">
        <f>IF(Metamagia!AD41=1,"Metamagister: Zeón Ilimitado","")</f>
        <v/>
      </c>
      <c r="R1139" s="67"/>
      <c r="S1139" s="19" t="str">
        <f>IF(Metamagia!AD41=1,"El hechicero devuelve a la reserva la mitad del coste de sus conjuros","")</f>
        <v/>
      </c>
      <c r="T1139" s="67"/>
      <c r="U1139" s="67"/>
      <c r="V1139" s="255"/>
      <c r="W1139" s="68"/>
      <c r="Y1139" s="1658" t="str">
        <f t="shared" si="135"/>
        <v>Arturia, el León Blanco (Nv 1)</v>
      </c>
      <c r="Z1139" s="2266">
        <f t="shared" si="136"/>
        <v>38</v>
      </c>
      <c r="AA1139" s="369" t="s">
        <v>1042</v>
      </c>
      <c r="AB1139" s="213">
        <v>200</v>
      </c>
      <c r="AC1139" s="234">
        <v>150</v>
      </c>
    </row>
    <row r="1140" spans="1:29" ht="12.75" customHeight="1" x14ac:dyDescent="0.2">
      <c r="A1140" s="1916">
        <v>1140</v>
      </c>
      <c r="B1140" s="5144"/>
      <c r="C1140" s="2986"/>
      <c r="D1140" s="2986"/>
      <c r="E1140" s="2986"/>
      <c r="F1140" s="2986"/>
      <c r="G1140" s="2986"/>
      <c r="H1140" s="363"/>
      <c r="I1140" s="422"/>
      <c r="J1140" s="422"/>
      <c r="K1140" s="422"/>
      <c r="L1140" s="525"/>
      <c r="M1140" s="523"/>
      <c r="N1140" s="363"/>
      <c r="P1140" s="516">
        <f t="shared" si="132"/>
        <v>0</v>
      </c>
      <c r="Q1140" s="19" t="str">
        <f>IF(Metamagia!AD30=1,"Enlazar conjuros","")</f>
        <v/>
      </c>
      <c r="R1140" s="67"/>
      <c r="S1140" s="19" t="str">
        <f>IF(Metamagia!AD30=1,"Permite mezclar dos conjuros en uno solo. Ver","")</f>
        <v/>
      </c>
      <c r="T1140" s="67"/>
      <c r="U1140" s="67"/>
      <c r="V1140" s="255"/>
      <c r="W1140" s="68"/>
      <c r="Y1140" s="1658" t="str">
        <f t="shared" si="135"/>
        <v>Arturia, el León Blanco (Nv 3)</v>
      </c>
      <c r="Z1140" s="2266">
        <f t="shared" si="136"/>
        <v>39</v>
      </c>
      <c r="AA1140" s="369" t="s">
        <v>1043</v>
      </c>
      <c r="AB1140" s="213">
        <v>240</v>
      </c>
      <c r="AC1140" s="234">
        <v>300</v>
      </c>
    </row>
    <row r="1141" spans="1:29" ht="12.75" customHeight="1" x14ac:dyDescent="0.2">
      <c r="A1141" s="1916">
        <v>1141</v>
      </c>
      <c r="B1141" s="5144"/>
      <c r="C1141" s="2986"/>
      <c r="D1141" s="2986"/>
      <c r="E1141" s="2986"/>
      <c r="F1141" s="2986"/>
      <c r="G1141" s="2986"/>
      <c r="H1141" s="363"/>
      <c r="I1141" s="422"/>
      <c r="J1141" s="422"/>
      <c r="K1141" s="422"/>
      <c r="L1141" s="525"/>
      <c r="M1141" s="523"/>
      <c r="N1141" s="363"/>
      <c r="P1141" s="516">
        <f t="shared" si="132"/>
        <v>0</v>
      </c>
      <c r="Q1141" s="19" t="str">
        <f>IF(Metamagia!AA14=1,"Concentración mística","")</f>
        <v/>
      </c>
      <c r="R1141" s="67"/>
      <c r="S1141" s="19" t="str">
        <f>IF(Metamagia!AA14=1,"Reduce a la mitad la dificultad de Resistir Dolor al concentrar Zeón","")</f>
        <v/>
      </c>
      <c r="T1141" s="67"/>
      <c r="U1141" s="67"/>
      <c r="V1141" s="255"/>
      <c r="W1141" s="68"/>
      <c r="Y1141" s="1658" t="str">
        <f t="shared" si="135"/>
        <v>Arturia, el León Blanco (Nv 6)</v>
      </c>
      <c r="Z1141" s="2266">
        <f t="shared" si="136"/>
        <v>40</v>
      </c>
      <c r="AA1141" s="369" t="s">
        <v>1044</v>
      </c>
      <c r="AB1141" s="213">
        <v>260</v>
      </c>
      <c r="AC1141" s="234">
        <v>450</v>
      </c>
    </row>
    <row r="1142" spans="1:29" ht="12.75" customHeight="1" x14ac:dyDescent="0.2">
      <c r="A1142" s="1916">
        <v>1142</v>
      </c>
      <c r="B1142" s="5144"/>
      <c r="C1142" s="2986"/>
      <c r="D1142" s="2986"/>
      <c r="E1142" s="2986"/>
      <c r="F1142" s="2986"/>
      <c r="G1142" s="2986"/>
      <c r="H1142" s="363"/>
      <c r="I1142" s="422"/>
      <c r="J1142" s="422"/>
      <c r="K1142" s="422"/>
      <c r="L1142" s="525"/>
      <c r="M1142" s="523"/>
      <c r="N1142" s="363"/>
      <c r="P1142" s="516">
        <f t="shared" si="132"/>
        <v>0</v>
      </c>
      <c r="Q1142" s="19" t="str">
        <f>IF(Metamagia!AA24=1,"Maximización de conjuros","")</f>
        <v/>
      </c>
      <c r="R1142" s="67"/>
      <c r="S1142" s="19" t="str">
        <f>IF(Metamagia!AA24=1,"Se considera que el personaje tiene +1 INT para los Requisitos de conjuro","")</f>
        <v/>
      </c>
      <c r="T1142" s="67"/>
      <c r="U1142" s="67"/>
      <c r="V1142" s="255"/>
      <c r="W1142" s="68"/>
      <c r="Y1142" s="1658" t="str">
        <f t="shared" si="135"/>
        <v>Eiko, la princesa Oni (Nv 3)</v>
      </c>
      <c r="Z1142" s="2266">
        <f t="shared" si="136"/>
        <v>18</v>
      </c>
      <c r="AA1142" s="369" t="s">
        <v>1045</v>
      </c>
      <c r="AB1142" s="213">
        <v>270</v>
      </c>
      <c r="AC1142" s="234">
        <v>390</v>
      </c>
    </row>
    <row r="1143" spans="1:29" ht="12.75" customHeight="1" x14ac:dyDescent="0.2">
      <c r="A1143" s="1916">
        <v>1143</v>
      </c>
      <c r="B1143" s="5144"/>
      <c r="C1143" s="2986"/>
      <c r="D1143" s="2986"/>
      <c r="E1143" s="2986"/>
      <c r="F1143" s="2986"/>
      <c r="G1143" s="2986"/>
      <c r="H1143" s="363"/>
      <c r="I1143" s="422"/>
      <c r="J1143" s="422"/>
      <c r="K1143" s="422"/>
      <c r="L1143" s="525"/>
      <c r="M1143" s="523"/>
      <c r="N1143" s="363"/>
      <c r="P1143" s="516">
        <f t="shared" si="132"/>
        <v>0</v>
      </c>
      <c r="Q1143" s="19" t="str">
        <f>IF(Metamagia!X30=1,"Doble conjuro","")</f>
        <v/>
      </c>
      <c r="R1143" s="67"/>
      <c r="S1143" s="19" t="str">
        <f>IF(Metamagia!X30=1,"Permite lanzar dos conjuros con la ACT doblada. Ver","")</f>
        <v/>
      </c>
      <c r="T1143" s="67"/>
      <c r="U1143" s="67"/>
      <c r="V1143" s="255"/>
      <c r="W1143" s="68"/>
      <c r="Y1143" s="1658" t="str">
        <f t="shared" si="135"/>
        <v>Eiko, la princesa Oni (Nv 6)</v>
      </c>
      <c r="Z1143" s="2266">
        <f t="shared" si="136"/>
        <v>19</v>
      </c>
      <c r="AA1143" s="369" t="s">
        <v>1046</v>
      </c>
      <c r="AB1143" s="213">
        <v>380</v>
      </c>
      <c r="AC1143" s="234">
        <v>750</v>
      </c>
    </row>
    <row r="1144" spans="1:29" ht="12.75" customHeight="1" x14ac:dyDescent="0.2">
      <c r="A1144" s="1916">
        <v>1144</v>
      </c>
      <c r="B1144" s="5144"/>
      <c r="C1144" s="2986"/>
      <c r="D1144" s="2986"/>
      <c r="E1144" s="2986"/>
      <c r="F1144" s="2986"/>
      <c r="G1144" s="2986"/>
      <c r="H1144" s="363"/>
      <c r="I1144" s="422"/>
      <c r="J1144" s="422"/>
      <c r="K1144" s="422"/>
      <c r="L1144" s="525"/>
      <c r="M1144" s="523"/>
      <c r="N1144" s="363"/>
      <c r="P1144" s="516">
        <f t="shared" si="132"/>
        <v>0</v>
      </c>
      <c r="Q1144" s="19" t="str">
        <f>IF(Metamagia!AA34=1,"Conjuro innato superior","")</f>
        <v/>
      </c>
      <c r="R1144" s="67"/>
      <c r="S1144" s="19" t="str">
        <f>IF(Metamagia!AA34=1,"Permite acumular magia mientras se lanzan conjuros innatos","")</f>
        <v/>
      </c>
      <c r="T1144" s="67"/>
      <c r="U1144" s="67"/>
      <c r="V1144" s="255"/>
      <c r="W1144" s="68"/>
      <c r="Y1144" s="1658" t="str">
        <f t="shared" si="135"/>
        <v>Eiko, la princesa Oni (Nv 9)</v>
      </c>
      <c r="Z1144" s="2266">
        <f t="shared" si="136"/>
        <v>17</v>
      </c>
      <c r="AA1144" s="369" t="s">
        <v>1047</v>
      </c>
      <c r="AB1144" s="213">
        <v>490</v>
      </c>
      <c r="AC1144" s="234">
        <v>1400</v>
      </c>
    </row>
    <row r="1145" spans="1:29" ht="12.75" customHeight="1" x14ac:dyDescent="0.2">
      <c r="A1145" s="1916">
        <v>1145</v>
      </c>
      <c r="B1145" s="5144"/>
      <c r="C1145" s="2986"/>
      <c r="D1145" s="2986"/>
      <c r="E1145" s="2986"/>
      <c r="F1145" s="2986"/>
      <c r="G1145" s="2986"/>
      <c r="H1145" s="363"/>
      <c r="I1145" s="422"/>
      <c r="J1145" s="422"/>
      <c r="K1145" s="422"/>
      <c r="L1145" s="525"/>
      <c r="M1145" s="523"/>
      <c r="N1145" s="363"/>
      <c r="P1145" s="516">
        <f t="shared" si="132"/>
        <v>0</v>
      </c>
      <c r="Q1145" s="19" t="str">
        <f>IF(Metamagia!X37=1,"Metamagister: Alta Magia","")</f>
        <v/>
      </c>
      <c r="R1145" s="67"/>
      <c r="S1145" s="19" t="str">
        <f>IF(Metamagia!X37=1,"Permite lanzar conjuros de Alta Magia sin Gnosis 25. Ver","")</f>
        <v/>
      </c>
      <c r="T1145" s="67"/>
      <c r="U1145" s="67"/>
      <c r="V1145" s="255"/>
      <c r="W1145" s="68"/>
      <c r="Y1145" s="1658" t="str">
        <f t="shared" si="135"/>
        <v>Gygjur, Asesino de Dragones (Nv 13)</v>
      </c>
      <c r="Z1145" s="2266">
        <f t="shared" si="136"/>
        <v>11</v>
      </c>
      <c r="AA1145" s="369" t="s">
        <v>1048</v>
      </c>
      <c r="AB1145" s="213">
        <v>160</v>
      </c>
      <c r="AC1145" s="234">
        <v>180</v>
      </c>
    </row>
    <row r="1146" spans="1:29" ht="12.75" customHeight="1" x14ac:dyDescent="0.2">
      <c r="A1146" s="1916">
        <v>1146</v>
      </c>
      <c r="B1146" s="5144"/>
      <c r="C1146" s="2986"/>
      <c r="D1146" s="2986"/>
      <c r="E1146" s="2986"/>
      <c r="F1146" s="2986"/>
      <c r="G1146" s="2986"/>
      <c r="H1146" s="363"/>
      <c r="I1146" s="422"/>
      <c r="J1146" s="422"/>
      <c r="K1146" s="422"/>
      <c r="L1146" s="525"/>
      <c r="M1146" s="523"/>
      <c r="N1146" s="363"/>
      <c r="P1146" s="516">
        <f t="shared" si="132"/>
        <v>0</v>
      </c>
      <c r="Q1146" s="19" t="str">
        <f>IF(Metamagia!X15=1,"Conjuro especializado Nv 30","")</f>
        <v/>
      </c>
      <c r="R1146" s="67"/>
      <c r="S1146" s="19" t="str">
        <f>IF(Metamagia!X15=1,"+10 ACT, +1 INT para Requisitos de conjuro: "&amp;Personalización!AF60,"")</f>
        <v/>
      </c>
      <c r="T1146" s="67"/>
      <c r="U1146" s="67"/>
      <c r="V1146" s="255"/>
      <c r="W1146" s="68"/>
      <c r="Y1146" s="1658" t="str">
        <f t="shared" si="135"/>
        <v>Gygjur, Asesino de Dragones (Nv 5)</v>
      </c>
      <c r="Z1146" s="2266">
        <f t="shared" si="136"/>
        <v>12</v>
      </c>
      <c r="AA1146" s="369" t="s">
        <v>1049</v>
      </c>
      <c r="AB1146" s="213">
        <v>200</v>
      </c>
      <c r="AC1146" s="234">
        <v>300</v>
      </c>
    </row>
    <row r="1147" spans="1:29" ht="12.75" customHeight="1" x14ac:dyDescent="0.2">
      <c r="A1147" s="1916">
        <v>1147</v>
      </c>
      <c r="B1147" s="5144"/>
      <c r="C1147" s="2986"/>
      <c r="D1147" s="2986"/>
      <c r="E1147" s="2986"/>
      <c r="F1147" s="2986"/>
      <c r="G1147" s="2986"/>
      <c r="H1147" s="363"/>
      <c r="I1147" s="422"/>
      <c r="J1147" s="422"/>
      <c r="K1147" s="422"/>
      <c r="L1147" s="525"/>
      <c r="M1147" s="523"/>
      <c r="N1147" s="363"/>
      <c r="P1147" s="516">
        <f t="shared" si="132"/>
        <v>0</v>
      </c>
      <c r="Q1147" s="19" t="str">
        <f>IF(Metamagia!AD15=1,"Conjuro especializado Nv 30","")</f>
        <v/>
      </c>
      <c r="R1147" s="67"/>
      <c r="S1147" s="19" t="str">
        <f>IF(Metamagia!AD15=1,"+10 ACT, +1 INT para Requisitos de conjuro: "&amp;Personalización!AF61,"")</f>
        <v/>
      </c>
      <c r="T1147" s="67"/>
      <c r="U1147" s="67"/>
      <c r="V1147" s="255"/>
      <c r="W1147" s="68"/>
      <c r="Y1147" s="1658" t="str">
        <f t="shared" si="135"/>
        <v>Gygjur, Asesino de Dragones (Nv 9)</v>
      </c>
      <c r="Z1147" s="2266">
        <f t="shared" si="136"/>
        <v>13</v>
      </c>
      <c r="AA1147" s="369" t="s">
        <v>1050</v>
      </c>
      <c r="AB1147" s="213">
        <v>280</v>
      </c>
      <c r="AC1147" s="234">
        <v>400</v>
      </c>
    </row>
    <row r="1148" spans="1:29" ht="12.75" customHeight="1" x14ac:dyDescent="0.2">
      <c r="A1148" s="1916">
        <v>1148</v>
      </c>
      <c r="B1148" s="5144"/>
      <c r="C1148" s="2986"/>
      <c r="D1148" s="2986"/>
      <c r="E1148" s="2986"/>
      <c r="F1148" s="2986"/>
      <c r="G1148" s="2986"/>
      <c r="H1148" s="363"/>
      <c r="I1148" s="422"/>
      <c r="J1148" s="422"/>
      <c r="K1148" s="422"/>
      <c r="L1148" s="525"/>
      <c r="M1148" s="523"/>
      <c r="N1148" s="363"/>
      <c r="P1148" s="516">
        <f t="shared" si="132"/>
        <v>0</v>
      </c>
      <c r="Q1148" s="19" t="str">
        <f>IF(Metamagia!R29=1,"Conjuro especializado Nv 50","")</f>
        <v/>
      </c>
      <c r="R1148" s="67"/>
      <c r="S1148" s="19" t="str">
        <f>IF(Metamagia!R29=1,"+10 ACT, +1 INT para Requisitos de conjuro: "&amp;Personalización!AF62,"")</f>
        <v/>
      </c>
      <c r="T1148" s="67"/>
      <c r="U1148" s="67"/>
      <c r="V1148" s="255"/>
      <c r="W1148" s="68"/>
      <c r="Y1148" s="1658" t="str">
        <f t="shared" si="135"/>
        <v>Holst, Rey de Héroes (Nv 12)</v>
      </c>
      <c r="Z1148" s="2266">
        <f t="shared" si="136"/>
        <v>23</v>
      </c>
      <c r="AA1148" s="369" t="s">
        <v>1051</v>
      </c>
      <c r="AB1148" s="213">
        <v>230</v>
      </c>
      <c r="AC1148" s="234">
        <v>200</v>
      </c>
    </row>
    <row r="1149" spans="1:29" ht="12.75" customHeight="1" x14ac:dyDescent="0.2">
      <c r="A1149" s="1916">
        <v>1149</v>
      </c>
      <c r="B1149" s="5144"/>
      <c r="C1149" s="2986"/>
      <c r="D1149" s="2986"/>
      <c r="E1149" s="2986"/>
      <c r="F1149" s="2986"/>
      <c r="G1149" s="2986"/>
      <c r="H1149" s="363"/>
      <c r="I1149" s="422"/>
      <c r="J1149" s="422"/>
      <c r="K1149" s="422"/>
      <c r="L1149" s="525"/>
      <c r="M1149" s="523"/>
      <c r="N1149" s="363"/>
      <c r="P1149" s="516">
        <f t="shared" si="132"/>
        <v>0</v>
      </c>
      <c r="Q1149" s="19" t="str">
        <f>IF(Metamagia!X24=1,"Conjuro especializado Nv 60","")</f>
        <v/>
      </c>
      <c r="R1149" s="67"/>
      <c r="S1149" s="19" t="str">
        <f>IF(Metamagia!X24=1,"+10 ACT, +1 INT para Requisitos de conjuro: "&amp;Personalización!AF64,"")</f>
        <v/>
      </c>
      <c r="T1149" s="67"/>
      <c r="U1149" s="67"/>
      <c r="V1149" s="255"/>
      <c r="W1149" s="68"/>
      <c r="Y1149" s="1658" t="str">
        <f t="shared" si="135"/>
        <v>Holst, Rey de Héroes (Nv 15)</v>
      </c>
      <c r="Z1149" s="2266">
        <f t="shared" si="136"/>
        <v>24</v>
      </c>
      <c r="AA1149" s="369" t="s">
        <v>1052</v>
      </c>
      <c r="AB1149" s="213">
        <v>280</v>
      </c>
      <c r="AC1149" s="234">
        <v>450</v>
      </c>
    </row>
    <row r="1150" spans="1:29" ht="12.75" customHeight="1" x14ac:dyDescent="0.2">
      <c r="A1150" s="1916">
        <v>1150</v>
      </c>
      <c r="B1150" s="5144"/>
      <c r="C1150" s="2986"/>
      <c r="D1150" s="2986"/>
      <c r="E1150" s="2986"/>
      <c r="F1150" s="2986"/>
      <c r="G1150" s="2986"/>
      <c r="H1150" s="363"/>
      <c r="I1150" s="422"/>
      <c r="J1150" s="422"/>
      <c r="K1150" s="422"/>
      <c r="L1150" s="525"/>
      <c r="M1150" s="523"/>
      <c r="N1150" s="363"/>
      <c r="P1150" s="516">
        <f t="shared" si="132"/>
        <v>0</v>
      </c>
      <c r="Q1150" s="19" t="str">
        <f>IF(Metamagia!AG24=1,"Conjuro especializado Nv 60","")</f>
        <v/>
      </c>
      <c r="R1150" s="67"/>
      <c r="S1150" s="19" t="str">
        <f>IF(Metamagia!AG24=1,"+10 ACT, +1 INT para Requisitos de conjuro: "&amp;Personalización!AF63,"")</f>
        <v/>
      </c>
      <c r="T1150" s="67"/>
      <c r="U1150" s="67"/>
      <c r="V1150" s="255"/>
      <c r="W1150" s="68"/>
      <c r="Y1150" s="1658" t="str">
        <f t="shared" si="135"/>
        <v>Holst, Rey de Héroes (Nv 8)</v>
      </c>
      <c r="Z1150" s="2266">
        <f t="shared" si="136"/>
        <v>25</v>
      </c>
      <c r="AA1150" s="369" t="s">
        <v>1053</v>
      </c>
      <c r="AB1150" s="213">
        <v>320</v>
      </c>
      <c r="AC1150" s="234">
        <v>550</v>
      </c>
    </row>
    <row r="1151" spans="1:29" ht="12.75" customHeight="1" x14ac:dyDescent="0.2">
      <c r="A1151" s="1916">
        <v>1151</v>
      </c>
      <c r="B1151" s="5144"/>
      <c r="C1151" s="2986"/>
      <c r="D1151" s="2986"/>
      <c r="E1151" s="2986"/>
      <c r="F1151" s="2986"/>
      <c r="G1151" s="2986"/>
      <c r="H1151" s="363"/>
      <c r="I1151" s="422"/>
      <c r="J1151" s="422"/>
      <c r="K1151" s="422"/>
      <c r="L1151" s="525"/>
      <c r="M1151" s="523"/>
      <c r="N1151" s="363"/>
      <c r="P1151" s="516">
        <f t="shared" si="132"/>
        <v>0</v>
      </c>
      <c r="Q1151" s="19" t="str">
        <f>IF(Metamagia!AG39=1,"Conjuro especializado Nv 70","")</f>
        <v/>
      </c>
      <c r="R1151" s="67"/>
      <c r="S1151" s="19" t="str">
        <f>IF(Metamagia!AG39=1,"+10 ACT, +1 INT para Requisitos de conjuro: "&amp;Personalización!AF65,"")</f>
        <v/>
      </c>
      <c r="T1151" s="67"/>
      <c r="U1151" s="67"/>
      <c r="V1151" s="255"/>
      <c r="W1151" s="68"/>
      <c r="Y1151" s="1658" t="str">
        <f t="shared" si="135"/>
        <v>Kha-nefer, el Sacerdote Impío (Nv 3)</v>
      </c>
      <c r="Z1151" s="2266">
        <f t="shared" si="136"/>
        <v>8</v>
      </c>
      <c r="AA1151" s="369" t="s">
        <v>1054</v>
      </c>
      <c r="AB1151" s="213">
        <v>180</v>
      </c>
      <c r="AC1151" s="234">
        <v>150</v>
      </c>
    </row>
    <row r="1152" spans="1:29" ht="12.75" customHeight="1" thickBot="1" x14ac:dyDescent="0.25">
      <c r="A1152" s="1916">
        <v>1152</v>
      </c>
      <c r="B1152" s="5144"/>
      <c r="C1152" s="2986"/>
      <c r="D1152" s="2986"/>
      <c r="E1152" s="2986"/>
      <c r="F1152" s="2986"/>
      <c r="G1152" s="2986"/>
      <c r="H1152" s="363"/>
      <c r="I1152" s="422"/>
      <c r="J1152" s="422"/>
      <c r="K1152" s="422"/>
      <c r="L1152" s="525"/>
      <c r="M1152" s="523"/>
      <c r="N1152" s="363"/>
      <c r="P1152" s="518">
        <f t="shared" si="132"/>
        <v>0</v>
      </c>
      <c r="Q1152" s="41" t="str">
        <f>IF(Metamagia!AA29=1,"Conjuro especializado Nv 80","")</f>
        <v/>
      </c>
      <c r="R1152" s="179"/>
      <c r="S1152" s="41" t="str">
        <f>IF(Metamagia!AA29=1,"+10 ACT, +1 INT para Requisitos de conjuro: "&amp;Personalización!AF66,"")</f>
        <v/>
      </c>
      <c r="T1152" s="179"/>
      <c r="U1152" s="179"/>
      <c r="V1152" s="1754"/>
      <c r="W1152" s="180"/>
      <c r="Y1152" s="1658" t="str">
        <f t="shared" si="135"/>
        <v>Kha-nefer, el Sacerdote Impío (Nv 6)</v>
      </c>
      <c r="Z1152" s="2266">
        <f t="shared" si="136"/>
        <v>9</v>
      </c>
      <c r="AA1152" s="369" t="s">
        <v>1055</v>
      </c>
      <c r="AB1152" s="213">
        <v>280</v>
      </c>
      <c r="AC1152" s="234">
        <v>400</v>
      </c>
    </row>
    <row r="1153" spans="1:29" ht="12.75" customHeight="1" x14ac:dyDescent="0.2">
      <c r="A1153" s="1916">
        <v>1153</v>
      </c>
      <c r="B1153" s="5144"/>
      <c r="C1153" s="2986"/>
      <c r="D1153" s="2986"/>
      <c r="E1153" s="2986"/>
      <c r="F1153" s="2986"/>
      <c r="G1153" s="2986"/>
      <c r="H1153" s="363"/>
      <c r="I1153" s="422"/>
      <c r="J1153" s="422"/>
      <c r="K1153" s="422"/>
      <c r="L1153" s="525"/>
      <c r="M1153" s="523"/>
      <c r="N1153" s="363"/>
      <c r="T1153" s="1915"/>
      <c r="Y1153" s="1658" t="str">
        <f t="shared" si="135"/>
        <v>Kha-nefer, el Sacerdote Impío (Nv 9)</v>
      </c>
      <c r="Z1153" s="2266">
        <f t="shared" si="136"/>
        <v>10</v>
      </c>
      <c r="AA1153" s="369" t="s">
        <v>1056</v>
      </c>
      <c r="AB1153" s="213">
        <v>300</v>
      </c>
      <c r="AC1153" s="234">
        <v>600</v>
      </c>
    </row>
    <row r="1154" spans="1:29" ht="12.75" customHeight="1" x14ac:dyDescent="0.2">
      <c r="A1154" s="1916">
        <v>1154</v>
      </c>
      <c r="B1154" s="5144"/>
      <c r="C1154" s="2986"/>
      <c r="D1154" s="2986"/>
      <c r="E1154" s="2986"/>
      <c r="F1154" s="2986"/>
      <c r="G1154" s="2986"/>
      <c r="H1154" s="363"/>
      <c r="I1154" s="422"/>
      <c r="J1154" s="422"/>
      <c r="K1154" s="422"/>
      <c r="L1154" s="525"/>
      <c r="M1154" s="523"/>
      <c r="N1154" s="363"/>
      <c r="Y1154" s="1658" t="str">
        <f t="shared" si="135"/>
        <v>Kristoff, el Rey Pirata (Nv 11)</v>
      </c>
      <c r="Z1154" s="2266">
        <f t="shared" si="136"/>
        <v>5</v>
      </c>
      <c r="AA1154" s="369" t="s">
        <v>1057</v>
      </c>
      <c r="AB1154" s="213">
        <v>240</v>
      </c>
      <c r="AC1154" s="234">
        <v>200</v>
      </c>
    </row>
    <row r="1155" spans="1:29" ht="12.75" customHeight="1" x14ac:dyDescent="0.2">
      <c r="A1155" s="1916">
        <v>1155</v>
      </c>
      <c r="B1155" s="5144"/>
      <c r="C1155" s="2986"/>
      <c r="D1155" s="2986"/>
      <c r="E1155" s="2986"/>
      <c r="F1155" s="2986"/>
      <c r="G1155" s="2986"/>
      <c r="H1155" s="363"/>
      <c r="I1155" s="422"/>
      <c r="J1155" s="422"/>
      <c r="K1155" s="422"/>
      <c r="L1155" s="525"/>
      <c r="M1155" s="523"/>
      <c r="N1155" s="363"/>
      <c r="Y1155" s="1658" t="str">
        <f t="shared" si="135"/>
        <v>Kristoff, el Rey Pirata (Nv 4)</v>
      </c>
      <c r="Z1155" s="2266">
        <f t="shared" si="136"/>
        <v>6</v>
      </c>
      <c r="AA1155" s="369" t="s">
        <v>1058</v>
      </c>
      <c r="AB1155" s="213">
        <v>260</v>
      </c>
      <c r="AC1155" s="234">
        <v>350</v>
      </c>
    </row>
    <row r="1156" spans="1:29" ht="12.75" customHeight="1" x14ac:dyDescent="0.2">
      <c r="A1156" s="1916">
        <v>1156</v>
      </c>
      <c r="B1156" s="5144"/>
      <c r="C1156" s="2986"/>
      <c r="D1156" s="2986"/>
      <c r="E1156" s="2986"/>
      <c r="F1156" s="2986"/>
      <c r="G1156" s="2986"/>
      <c r="H1156" s="363"/>
      <c r="I1156" s="422"/>
      <c r="J1156" s="422"/>
      <c r="K1156" s="422"/>
      <c r="L1156" s="525"/>
      <c r="M1156" s="523"/>
      <c r="N1156" s="363"/>
      <c r="Y1156" s="1658" t="str">
        <f t="shared" si="135"/>
        <v>Kristoff, el Rey Pirata (Nv 8)</v>
      </c>
      <c r="Z1156" s="2266">
        <f t="shared" si="136"/>
        <v>7</v>
      </c>
      <c r="AA1156" s="369" t="s">
        <v>1059</v>
      </c>
      <c r="AB1156" s="213">
        <v>280</v>
      </c>
      <c r="AC1156" s="234">
        <v>500</v>
      </c>
    </row>
    <row r="1157" spans="1:29" ht="12.75" customHeight="1" x14ac:dyDescent="0.2">
      <c r="A1157" s="1916">
        <v>1157</v>
      </c>
      <c r="B1157" s="5144"/>
      <c r="C1157" s="2986"/>
      <c r="D1157" s="2986"/>
      <c r="E1157" s="2986"/>
      <c r="F1157" s="2986"/>
      <c r="G1157" s="2986"/>
      <c r="H1157" s="363"/>
      <c r="I1157" s="422"/>
      <c r="J1157" s="422"/>
      <c r="K1157" s="422"/>
      <c r="L1157" s="525"/>
      <c r="M1157" s="523"/>
      <c r="N1157" s="363"/>
      <c r="Y1157" s="1658" t="str">
        <f t="shared" si="135"/>
        <v>Linx Kazte Hex, la Sombra de la Muerte (Nv 12)</v>
      </c>
      <c r="Z1157" s="2266">
        <f t="shared" si="136"/>
        <v>42</v>
      </c>
      <c r="AA1157" s="369" t="s">
        <v>1060</v>
      </c>
      <c r="AB1157" s="213">
        <v>280</v>
      </c>
      <c r="AC1157" s="234">
        <v>450</v>
      </c>
    </row>
    <row r="1158" spans="1:29" ht="12.75" customHeight="1" x14ac:dyDescent="0.2">
      <c r="A1158" s="1916">
        <v>1158</v>
      </c>
      <c r="B1158" s="5144"/>
      <c r="C1158" s="2986"/>
      <c r="D1158" s="2986"/>
      <c r="E1158" s="2986"/>
      <c r="F1158" s="2986"/>
      <c r="G1158" s="2986"/>
      <c r="H1158" s="363"/>
      <c r="I1158" s="422"/>
      <c r="J1158" s="422"/>
      <c r="K1158" s="422"/>
      <c r="L1158" s="525"/>
      <c r="M1158" s="523"/>
      <c r="N1158" s="363"/>
      <c r="Y1158" s="1658" t="str">
        <f t="shared" si="135"/>
        <v>Linx Kazte Hex, la Sombra de la Muerte (Nv 4)</v>
      </c>
      <c r="Z1158" s="2266">
        <f t="shared" si="136"/>
        <v>43</v>
      </c>
      <c r="AA1158" s="369" t="s">
        <v>1061</v>
      </c>
      <c r="AB1158" s="213">
        <v>360</v>
      </c>
      <c r="AC1158" s="234">
        <v>750</v>
      </c>
    </row>
    <row r="1159" spans="1:29" ht="12.75" customHeight="1" x14ac:dyDescent="0.2">
      <c r="A1159" s="1916">
        <v>1159</v>
      </c>
      <c r="B1159" s="5144"/>
      <c r="C1159" s="2986"/>
      <c r="D1159" s="2986"/>
      <c r="E1159" s="2986"/>
      <c r="F1159" s="2986"/>
      <c r="G1159" s="2986"/>
      <c r="H1159" s="363"/>
      <c r="I1159" s="422"/>
      <c r="J1159" s="422"/>
      <c r="K1159" s="422"/>
      <c r="L1159" s="525"/>
      <c r="M1159" s="523"/>
      <c r="N1159" s="363"/>
      <c r="Y1159" s="1658" t="str">
        <f t="shared" si="135"/>
        <v>Linx Kazte Hex, la Sombra de la Muerte (Nv 8)</v>
      </c>
      <c r="Z1159" s="2266">
        <f t="shared" si="136"/>
        <v>41</v>
      </c>
      <c r="AA1159" s="369" t="s">
        <v>1062</v>
      </c>
      <c r="AB1159" s="213">
        <v>460</v>
      </c>
      <c r="AC1159" s="234">
        <v>1000</v>
      </c>
    </row>
    <row r="1160" spans="1:29" ht="12.75" customHeight="1" x14ac:dyDescent="0.2">
      <c r="A1160" s="1916">
        <v>1160</v>
      </c>
      <c r="B1160" s="5144"/>
      <c r="C1160" s="2986"/>
      <c r="D1160" s="2986"/>
      <c r="E1160" s="2986"/>
      <c r="F1160" s="2986"/>
      <c r="G1160" s="2986"/>
      <c r="H1160" s="363"/>
      <c r="I1160" s="422"/>
      <c r="J1160" s="422"/>
      <c r="K1160" s="422"/>
      <c r="L1160" s="525"/>
      <c r="M1160" s="523"/>
      <c r="N1160" s="363"/>
      <c r="Y1160" s="1658" t="str">
        <f t="shared" si="135"/>
        <v>Loly Ann (Nv 1)</v>
      </c>
      <c r="Z1160" s="2266">
        <f t="shared" si="136"/>
        <v>27</v>
      </c>
      <c r="AA1160" s="369" t="s">
        <v>1063</v>
      </c>
      <c r="AB1160" s="213">
        <v>250</v>
      </c>
      <c r="AC1160" s="234">
        <v>350</v>
      </c>
    </row>
    <row r="1161" spans="1:29" ht="12.75" customHeight="1" x14ac:dyDescent="0.2">
      <c r="A1161" s="1916">
        <v>1161</v>
      </c>
      <c r="B1161" s="5144"/>
      <c r="C1161" s="2986"/>
      <c r="D1161" s="2986"/>
      <c r="E1161" s="2986"/>
      <c r="F1161" s="2986"/>
      <c r="G1161" s="2986"/>
      <c r="H1161" s="363"/>
      <c r="I1161" s="422"/>
      <c r="J1161" s="422"/>
      <c r="K1161" s="422"/>
      <c r="L1161" s="525"/>
      <c r="M1161" s="523"/>
      <c r="N1161" s="363"/>
      <c r="Y1161" s="1658" t="str">
        <f t="shared" si="135"/>
        <v>Loly Ann (Nv 3)</v>
      </c>
      <c r="Z1161" s="2266">
        <f t="shared" si="136"/>
        <v>28</v>
      </c>
      <c r="AA1161" s="369" t="s">
        <v>1064</v>
      </c>
      <c r="AB1161" s="213">
        <v>300</v>
      </c>
      <c r="AC1161" s="234">
        <v>500</v>
      </c>
    </row>
    <row r="1162" spans="1:29" ht="12.75" customHeight="1" x14ac:dyDescent="0.2">
      <c r="A1162" s="1916">
        <v>1162</v>
      </c>
      <c r="B1162" s="5144"/>
      <c r="C1162" s="2986"/>
      <c r="D1162" s="2986"/>
      <c r="E1162" s="2986"/>
      <c r="F1162" s="2986"/>
      <c r="G1162" s="2986"/>
      <c r="H1162" s="363"/>
      <c r="I1162" s="422"/>
      <c r="J1162" s="422"/>
      <c r="K1162" s="422"/>
      <c r="L1162" s="525"/>
      <c r="M1162" s="523"/>
      <c r="N1162" s="363"/>
      <c r="Y1162" s="1658" t="str">
        <f t="shared" si="135"/>
        <v>Loly Ann (Nv 5)</v>
      </c>
      <c r="Z1162" s="2266">
        <f t="shared" si="136"/>
        <v>26</v>
      </c>
      <c r="AA1162" s="369" t="s">
        <v>1065</v>
      </c>
      <c r="AB1162" s="213">
        <v>380</v>
      </c>
      <c r="AC1162" s="234">
        <v>800</v>
      </c>
    </row>
    <row r="1163" spans="1:29" ht="12.75" customHeight="1" x14ac:dyDescent="0.2">
      <c r="A1163" s="1916">
        <v>1163</v>
      </c>
      <c r="B1163" s="5144"/>
      <c r="C1163" s="2986"/>
      <c r="D1163" s="2986"/>
      <c r="E1163" s="2986"/>
      <c r="F1163" s="2986"/>
      <c r="G1163" s="2986"/>
      <c r="H1163" s="363"/>
      <c r="I1163" s="422"/>
      <c r="J1163" s="422"/>
      <c r="K1163" s="422"/>
      <c r="L1163" s="525"/>
      <c r="M1163" s="523"/>
      <c r="N1163" s="363"/>
      <c r="Y1163" s="1658" t="str">
        <f t="shared" si="135"/>
        <v>Nerval, Defensor de los Perdidos (Nv 11)</v>
      </c>
      <c r="Z1163" s="2266">
        <f t="shared" si="136"/>
        <v>32</v>
      </c>
      <c r="AA1163" s="369" t="s">
        <v>1066</v>
      </c>
      <c r="AB1163" s="213">
        <v>180</v>
      </c>
      <c r="AC1163" s="234">
        <v>150</v>
      </c>
    </row>
    <row r="1164" spans="1:29" ht="12.75" customHeight="1" x14ac:dyDescent="0.2">
      <c r="A1164" s="1916">
        <v>1164</v>
      </c>
      <c r="B1164" s="5144"/>
      <c r="C1164" s="2986"/>
      <c r="D1164" s="2986"/>
      <c r="E1164" s="2986"/>
      <c r="F1164" s="2986"/>
      <c r="G1164" s="2986"/>
      <c r="H1164" s="363"/>
      <c r="I1164" s="422"/>
      <c r="J1164" s="422"/>
      <c r="K1164" s="422"/>
      <c r="L1164" s="525"/>
      <c r="M1164" s="523"/>
      <c r="N1164" s="363"/>
      <c r="Y1164" s="1658" t="str">
        <f t="shared" si="135"/>
        <v>Nerval, Defensor de los Perdidos (Nv 4)</v>
      </c>
      <c r="Z1164" s="2266">
        <f t="shared" si="136"/>
        <v>33</v>
      </c>
      <c r="AA1164" s="369" t="s">
        <v>1067</v>
      </c>
      <c r="AB1164" s="213">
        <v>220</v>
      </c>
      <c r="AC1164" s="234">
        <v>250</v>
      </c>
    </row>
    <row r="1165" spans="1:29" ht="12.75" customHeight="1" x14ac:dyDescent="0.2">
      <c r="A1165" s="1916">
        <v>1165</v>
      </c>
      <c r="B1165" s="5144"/>
      <c r="C1165" s="2986"/>
      <c r="D1165" s="2986"/>
      <c r="E1165" s="2986"/>
      <c r="F1165" s="2986"/>
      <c r="G1165" s="2986"/>
      <c r="H1165" s="363"/>
      <c r="I1165" s="422"/>
      <c r="J1165" s="422"/>
      <c r="K1165" s="422"/>
      <c r="L1165" s="525"/>
      <c r="M1165" s="523"/>
      <c r="N1165" s="363"/>
      <c r="Y1165" s="1658" t="str">
        <f t="shared" si="135"/>
        <v>Nerval, Defensor de los Perdidos (Nv 7)</v>
      </c>
      <c r="Z1165" s="2266">
        <f t="shared" si="136"/>
        <v>34</v>
      </c>
      <c r="AA1165" s="369" t="s">
        <v>1068</v>
      </c>
      <c r="AB1165" s="213">
        <v>280</v>
      </c>
      <c r="AC1165" s="234">
        <v>400</v>
      </c>
    </row>
    <row r="1166" spans="1:29" ht="12.75" customHeight="1" x14ac:dyDescent="0.2">
      <c r="A1166" s="1916">
        <v>1166</v>
      </c>
      <c r="B1166" s="5144"/>
      <c r="C1166" s="2986"/>
      <c r="D1166" s="2986"/>
      <c r="E1166" s="2986"/>
      <c r="F1166" s="2986"/>
      <c r="G1166" s="2986"/>
      <c r="H1166" s="363"/>
      <c r="I1166" s="422"/>
      <c r="J1166" s="422"/>
      <c r="K1166" s="422"/>
      <c r="L1166" s="525"/>
      <c r="M1166" s="523"/>
      <c r="N1166" s="363"/>
      <c r="Y1166" s="1658" t="str">
        <f t="shared" si="135"/>
        <v>Quezcatli, Hijo del Sol (Nv 2)</v>
      </c>
      <c r="Z1166" s="2266">
        <f t="shared" si="136"/>
        <v>3</v>
      </c>
      <c r="AA1166" s="369" t="s">
        <v>1069</v>
      </c>
      <c r="AB1166" s="213">
        <v>290</v>
      </c>
      <c r="AC1166" s="234">
        <v>450</v>
      </c>
    </row>
    <row r="1167" spans="1:29" ht="12.75" customHeight="1" x14ac:dyDescent="0.2">
      <c r="A1167" s="1916">
        <v>1167</v>
      </c>
      <c r="B1167" s="5144"/>
      <c r="C1167" s="2986"/>
      <c r="D1167" s="2986"/>
      <c r="E1167" s="2986"/>
      <c r="F1167" s="2986"/>
      <c r="G1167" s="2986"/>
      <c r="H1167" s="363"/>
      <c r="I1167" s="422"/>
      <c r="J1167" s="422"/>
      <c r="K1167" s="422"/>
      <c r="L1167" s="525"/>
      <c r="M1167" s="523"/>
      <c r="N1167" s="363"/>
      <c r="Y1167" s="1658" t="str">
        <f t="shared" si="135"/>
        <v>Quezcatli, Hijo del Sol (Nv 4)</v>
      </c>
      <c r="Z1167" s="2266">
        <f t="shared" si="136"/>
        <v>4</v>
      </c>
      <c r="AA1167" s="369" t="s">
        <v>1070</v>
      </c>
      <c r="AB1167" s="213">
        <v>380</v>
      </c>
      <c r="AC1167" s="234">
        <v>750</v>
      </c>
    </row>
    <row r="1168" spans="1:29" ht="12.75" customHeight="1" x14ac:dyDescent="0.2">
      <c r="A1168" s="1916">
        <v>1168</v>
      </c>
      <c r="B1168" s="5144"/>
      <c r="C1168" s="2986"/>
      <c r="D1168" s="2986"/>
      <c r="E1168" s="2986"/>
      <c r="F1168" s="2986"/>
      <c r="G1168" s="2986"/>
      <c r="H1168" s="363"/>
      <c r="I1168" s="422"/>
      <c r="J1168" s="422"/>
      <c r="K1168" s="422"/>
      <c r="L1168" s="525"/>
      <c r="M1168" s="523"/>
      <c r="N1168" s="363"/>
      <c r="Y1168" s="1658" t="str">
        <f t="shared" si="135"/>
        <v>Quezcatli, Hijo del Sol (Nv 6)</v>
      </c>
      <c r="Z1168" s="2266">
        <f t="shared" si="136"/>
        <v>2</v>
      </c>
      <c r="AA1168" s="369" t="s">
        <v>1071</v>
      </c>
      <c r="AB1168" s="213">
        <v>460</v>
      </c>
      <c r="AC1168" s="234">
        <v>1250</v>
      </c>
    </row>
    <row r="1169" spans="1:79" ht="12.75" customHeight="1" x14ac:dyDescent="0.2">
      <c r="A1169" s="1916">
        <v>1169</v>
      </c>
      <c r="B1169" s="5144"/>
      <c r="C1169" s="2986"/>
      <c r="D1169" s="2986"/>
      <c r="E1169" s="2986"/>
      <c r="F1169" s="2986"/>
      <c r="G1169" s="2986"/>
      <c r="H1169" s="363"/>
      <c r="I1169" s="422"/>
      <c r="J1169" s="422"/>
      <c r="K1169" s="422"/>
      <c r="L1169" s="525"/>
      <c r="M1169" s="523"/>
      <c r="N1169" s="363"/>
      <c r="Y1169" s="1658" t="str">
        <f t="shared" si="135"/>
        <v>Ruatha Synn (Nv 12)</v>
      </c>
      <c r="Z1169" s="2266">
        <f t="shared" si="136"/>
        <v>45</v>
      </c>
      <c r="AA1169" s="369" t="s">
        <v>1072</v>
      </c>
      <c r="AB1169" s="213">
        <v>260</v>
      </c>
      <c r="AC1169" s="234">
        <v>400</v>
      </c>
    </row>
    <row r="1170" spans="1:79" ht="12.75" customHeight="1" x14ac:dyDescent="0.2">
      <c r="A1170" s="1916">
        <v>1170</v>
      </c>
      <c r="B1170" s="5144"/>
      <c r="C1170" s="2986"/>
      <c r="D1170" s="2986"/>
      <c r="E1170" s="2986"/>
      <c r="F1170" s="2986"/>
      <c r="G1170" s="2986"/>
      <c r="H1170" s="363"/>
      <c r="I1170" s="422"/>
      <c r="J1170" s="422"/>
      <c r="K1170" s="422"/>
      <c r="L1170" s="525"/>
      <c r="M1170" s="523"/>
      <c r="N1170" s="363"/>
      <c r="Y1170" s="1658" t="str">
        <f t="shared" si="135"/>
        <v>Ruatha Synn (Nv 4)</v>
      </c>
      <c r="Z1170" s="2266">
        <f t="shared" si="136"/>
        <v>46</v>
      </c>
      <c r="AA1170" s="369" t="s">
        <v>1073</v>
      </c>
      <c r="AB1170" s="213">
        <v>300</v>
      </c>
      <c r="AC1170" s="234">
        <v>600</v>
      </c>
    </row>
    <row r="1171" spans="1:79" ht="12.75" customHeight="1" x14ac:dyDescent="0.2">
      <c r="A1171" s="1916">
        <v>1171</v>
      </c>
      <c r="B1171" s="5144"/>
      <c r="C1171" s="2986"/>
      <c r="D1171" s="2986"/>
      <c r="E1171" s="2986"/>
      <c r="F1171" s="2986"/>
      <c r="G1171" s="2986"/>
      <c r="H1171" s="363"/>
      <c r="I1171" s="422"/>
      <c r="J1171" s="422"/>
      <c r="K1171" s="422"/>
      <c r="L1171" s="525"/>
      <c r="M1171" s="523"/>
      <c r="N1171" s="363"/>
      <c r="Y1171" s="1658" t="str">
        <f t="shared" si="135"/>
        <v>Ruatha Synn (Nv 8)</v>
      </c>
      <c r="Z1171" s="2266">
        <f t="shared" si="136"/>
        <v>44</v>
      </c>
      <c r="AA1171" s="369" t="s">
        <v>1074</v>
      </c>
      <c r="AB1171" s="213">
        <v>500</v>
      </c>
      <c r="AC1171" s="234">
        <v>1200</v>
      </c>
    </row>
    <row r="1172" spans="1:79" ht="12.75" customHeight="1" x14ac:dyDescent="0.2">
      <c r="A1172" s="1916">
        <v>1172</v>
      </c>
      <c r="B1172" s="5144"/>
      <c r="C1172" s="2986"/>
      <c r="D1172" s="2986"/>
      <c r="E1172" s="2986"/>
      <c r="F1172" s="2986"/>
      <c r="G1172" s="2986"/>
      <c r="H1172" s="363"/>
      <c r="I1172" s="422"/>
      <c r="J1172" s="422"/>
      <c r="K1172" s="422"/>
      <c r="L1172" s="525"/>
      <c r="M1172" s="523"/>
      <c r="N1172" s="363"/>
      <c r="Y1172" s="1658" t="str">
        <f t="shared" si="135"/>
        <v>Wang Shou Bo (Nv 13)</v>
      </c>
      <c r="Z1172" s="2266">
        <f t="shared" si="136"/>
        <v>22</v>
      </c>
      <c r="AA1172" s="369" t="s">
        <v>1075</v>
      </c>
      <c r="AB1172" s="213">
        <v>360</v>
      </c>
      <c r="AC1172" s="234">
        <v>750</v>
      </c>
    </row>
    <row r="1173" spans="1:79" ht="12.75" customHeight="1" x14ac:dyDescent="0.2">
      <c r="A1173" s="1916">
        <v>1173</v>
      </c>
      <c r="B1173" s="5144"/>
      <c r="C1173" s="2986"/>
      <c r="D1173" s="2986"/>
      <c r="E1173" s="2986"/>
      <c r="F1173" s="2986"/>
      <c r="G1173" s="2986"/>
      <c r="H1173" s="363"/>
      <c r="I1173" s="422"/>
      <c r="J1173" s="422"/>
      <c r="K1173" s="422"/>
      <c r="L1173" s="525"/>
      <c r="M1173" s="523"/>
      <c r="N1173" s="363"/>
      <c r="Y1173" s="1658" t="str">
        <f t="shared" si="135"/>
        <v>Wang Shou Bo (Nv 5)</v>
      </c>
      <c r="Z1173" s="2266">
        <f t="shared" si="136"/>
        <v>20</v>
      </c>
      <c r="AA1173" s="369" t="s">
        <v>1076</v>
      </c>
      <c r="AB1173" s="213">
        <v>440</v>
      </c>
      <c r="AC1173" s="234">
        <v>1200</v>
      </c>
    </row>
    <row r="1174" spans="1:79" ht="12.75" customHeight="1" x14ac:dyDescent="0.2">
      <c r="A1174" s="1916">
        <v>1174</v>
      </c>
      <c r="B1174" s="5144"/>
      <c r="C1174" s="2986"/>
      <c r="D1174" s="2986"/>
      <c r="E1174" s="2986"/>
      <c r="F1174" s="2986"/>
      <c r="G1174" s="2986"/>
      <c r="H1174" s="363"/>
      <c r="I1174" s="422"/>
      <c r="J1174" s="422"/>
      <c r="K1174" s="422"/>
      <c r="L1174" s="525"/>
      <c r="M1174" s="523"/>
      <c r="N1174" s="363"/>
      <c r="Y1174" s="1658" t="str">
        <f t="shared" si="135"/>
        <v>Wang Shou Bo (Nv 9)</v>
      </c>
      <c r="Z1174" s="2266">
        <f t="shared" si="136"/>
        <v>21</v>
      </c>
      <c r="AA1174" s="369" t="s">
        <v>1077</v>
      </c>
      <c r="AB1174" s="213">
        <v>520</v>
      </c>
      <c r="AC1174" s="234">
        <v>1500</v>
      </c>
    </row>
    <row r="1175" spans="1:79" ht="12.75" customHeight="1" x14ac:dyDescent="0.2">
      <c r="A1175" s="1916">
        <v>1175</v>
      </c>
      <c r="B1175" s="5144"/>
      <c r="C1175" s="2986"/>
      <c r="D1175" s="2986"/>
      <c r="E1175" s="2986"/>
      <c r="F1175" s="2986"/>
      <c r="G1175" s="2986"/>
      <c r="H1175" s="363"/>
      <c r="I1175" s="422"/>
      <c r="J1175" s="422"/>
      <c r="K1175" s="422"/>
      <c r="L1175" s="525"/>
      <c r="M1175" s="523"/>
      <c r="N1175" s="363"/>
      <c r="Y1175" s="1658" t="str">
        <f>AA1175</f>
        <v>&gt; INVOCACIONES PERSONALIZADAS</v>
      </c>
      <c r="Z1175" s="2266"/>
      <c r="AA1175" s="369" t="s">
        <v>1078</v>
      </c>
      <c r="AB1175" s="213"/>
      <c r="AC1175" s="234"/>
    </row>
    <row r="1176" spans="1:79" ht="12.75" customHeight="1" x14ac:dyDescent="0.2">
      <c r="A1176" s="1916">
        <v>1176</v>
      </c>
      <c r="B1176" s="5144"/>
      <c r="C1176" s="2986"/>
      <c r="D1176" s="2986"/>
      <c r="E1176" s="2986"/>
      <c r="F1176" s="2986"/>
      <c r="G1176" s="2986"/>
      <c r="H1176" s="363"/>
      <c r="I1176" s="422"/>
      <c r="J1176" s="422"/>
      <c r="K1176" s="422"/>
      <c r="L1176" s="525"/>
      <c r="M1176" s="523"/>
      <c r="N1176" s="363"/>
      <c r="Y1176" s="1658" t="str">
        <f t="shared" ref="Y1176:Y1181" si="137">AA1176</f>
        <v>Invocación personalizada #1</v>
      </c>
      <c r="Z1176" s="2266"/>
      <c r="AA1176" s="369" t="str">
        <f>IF(Personalización!V60=0,"Invocación personalizada #1",Personalización!V60)</f>
        <v>Invocación personalizada #1</v>
      </c>
      <c r="AB1176" s="213">
        <f>Personalización!AB60</f>
        <v>0</v>
      </c>
      <c r="AC1176" s="234">
        <f>Personalización!AC60</f>
        <v>0</v>
      </c>
    </row>
    <row r="1177" spans="1:79" ht="12.75" customHeight="1" x14ac:dyDescent="0.2">
      <c r="A1177" s="1916">
        <v>1177</v>
      </c>
      <c r="B1177" s="5144"/>
      <c r="C1177" s="2986"/>
      <c r="D1177" s="2986"/>
      <c r="E1177" s="2986"/>
      <c r="F1177" s="2986"/>
      <c r="G1177" s="2986"/>
      <c r="H1177" s="363"/>
      <c r="I1177" s="422"/>
      <c r="J1177" s="422"/>
      <c r="K1177" s="422"/>
      <c r="L1177" s="525"/>
      <c r="M1177" s="523"/>
      <c r="N1177" s="363"/>
      <c r="Y1177" s="1658" t="str">
        <f t="shared" si="137"/>
        <v>Invocación personalizada #2</v>
      </c>
      <c r="Z1177" s="2266"/>
      <c r="AA1177" s="369" t="str">
        <f>IF(Personalización!V61=0,"Invocación personalizada #2",Personalización!V61)</f>
        <v>Invocación personalizada #2</v>
      </c>
      <c r="AB1177" s="213">
        <f>Personalización!AB61</f>
        <v>0</v>
      </c>
      <c r="AC1177" s="234">
        <f>Personalización!AC61</f>
        <v>0</v>
      </c>
    </row>
    <row r="1178" spans="1:79" ht="12.75" customHeight="1" x14ac:dyDescent="0.2">
      <c r="A1178" s="1916">
        <v>1178</v>
      </c>
      <c r="B1178" s="5144"/>
      <c r="C1178" s="2986"/>
      <c r="D1178" s="2986"/>
      <c r="E1178" s="2986"/>
      <c r="F1178" s="2986"/>
      <c r="G1178" s="2986"/>
      <c r="H1178" s="363"/>
      <c r="I1178" s="422"/>
      <c r="J1178" s="422"/>
      <c r="K1178" s="422"/>
      <c r="L1178" s="525"/>
      <c r="M1178" s="523"/>
      <c r="N1178" s="363"/>
      <c r="Y1178" s="1658" t="str">
        <f t="shared" si="137"/>
        <v>Invocación personalizada #3</v>
      </c>
      <c r="Z1178" s="2266"/>
      <c r="AA1178" s="369" t="str">
        <f>IF(Personalización!V62=0,"Invocación personalizada #3",Personalización!V62)</f>
        <v>Invocación personalizada #3</v>
      </c>
      <c r="AB1178" s="213">
        <f>Personalización!AB62</f>
        <v>0</v>
      </c>
      <c r="AC1178" s="234">
        <f>Personalización!AC62</f>
        <v>0</v>
      </c>
    </row>
    <row r="1179" spans="1:79" ht="12.75" customHeight="1" x14ac:dyDescent="0.2">
      <c r="A1179" s="1916">
        <v>1179</v>
      </c>
      <c r="B1179" s="5144"/>
      <c r="C1179" s="2986"/>
      <c r="D1179" s="2986"/>
      <c r="E1179" s="2986"/>
      <c r="F1179" s="2986"/>
      <c r="G1179" s="2986"/>
      <c r="H1179" s="363"/>
      <c r="I1179" s="422"/>
      <c r="J1179" s="422"/>
      <c r="K1179" s="422"/>
      <c r="L1179" s="525"/>
      <c r="M1179" s="523"/>
      <c r="N1179" s="363"/>
      <c r="Y1179" s="1658" t="str">
        <f t="shared" si="137"/>
        <v>Invocación personalizada #4</v>
      </c>
      <c r="Z1179" s="2266"/>
      <c r="AA1179" s="369" t="str">
        <f>IF(Personalización!V63=0,"Invocación personalizada #4",Personalización!V63)</f>
        <v>Invocación personalizada #4</v>
      </c>
      <c r="AB1179" s="213">
        <f>Personalización!AB63</f>
        <v>0</v>
      </c>
      <c r="AC1179" s="234">
        <f>Personalización!AC63</f>
        <v>0</v>
      </c>
    </row>
    <row r="1180" spans="1:79" ht="12.75" customHeight="1" x14ac:dyDescent="0.2">
      <c r="A1180" s="1916">
        <v>1180</v>
      </c>
      <c r="B1180" s="5144"/>
      <c r="C1180" s="2986"/>
      <c r="D1180" s="2986"/>
      <c r="E1180" s="2986"/>
      <c r="F1180" s="2986"/>
      <c r="G1180" s="2986"/>
      <c r="H1180" s="363"/>
      <c r="I1180" s="422"/>
      <c r="J1180" s="422"/>
      <c r="K1180" s="422"/>
      <c r="L1180" s="525"/>
      <c r="M1180" s="523"/>
      <c r="N1180" s="363"/>
      <c r="Y1180" s="1658" t="str">
        <f t="shared" si="137"/>
        <v>Invocación personalizada #5</v>
      </c>
      <c r="Z1180" s="2266"/>
      <c r="AA1180" s="369" t="str">
        <f>IF(Personalización!V64=0,"Invocación personalizada #5",Personalización!V64)</f>
        <v>Invocación personalizada #5</v>
      </c>
      <c r="AB1180" s="213">
        <f>Personalización!AB64</f>
        <v>0</v>
      </c>
      <c r="AC1180" s="234">
        <f>Personalización!AC64</f>
        <v>0</v>
      </c>
    </row>
    <row r="1181" spans="1:79" ht="12.75" customHeight="1" x14ac:dyDescent="0.2">
      <c r="A1181" s="1916">
        <v>1181</v>
      </c>
      <c r="B1181" s="5144"/>
      <c r="C1181" s="2986"/>
      <c r="D1181" s="2986"/>
      <c r="E1181" s="2986"/>
      <c r="F1181" s="2986"/>
      <c r="G1181" s="2986"/>
      <c r="H1181" s="363"/>
      <c r="I1181" s="422"/>
      <c r="J1181" s="422"/>
      <c r="K1181" s="422"/>
      <c r="L1181" s="525"/>
      <c r="M1181" s="523"/>
      <c r="N1181" s="363"/>
      <c r="Y1181" s="1658" t="str">
        <f t="shared" si="137"/>
        <v>Invocación personalizada #6</v>
      </c>
      <c r="Z1181" s="2266"/>
      <c r="AA1181" s="369" t="str">
        <f>IF(Personalización!V65=0,"Invocación personalizada #6",Personalización!V65)</f>
        <v>Invocación personalizada #6</v>
      </c>
      <c r="AB1181" s="213">
        <f>Personalización!AB65</f>
        <v>0</v>
      </c>
      <c r="AC1181" s="234">
        <f>Personalización!AC65</f>
        <v>0</v>
      </c>
    </row>
    <row r="1182" spans="1:79" ht="12.75" customHeight="1" thickBot="1" x14ac:dyDescent="0.25">
      <c r="A1182" s="1916">
        <v>1182</v>
      </c>
      <c r="B1182" s="5144"/>
      <c r="C1182" s="2986"/>
      <c r="D1182" s="2986"/>
      <c r="E1182" s="2986"/>
      <c r="F1182" s="2986"/>
      <c r="G1182" s="2986"/>
      <c r="H1182" s="363"/>
      <c r="I1182" s="422"/>
      <c r="J1182" s="422"/>
      <c r="K1182" s="422"/>
      <c r="L1182" s="525"/>
      <c r="M1182" s="523"/>
      <c r="N1182" s="363"/>
      <c r="Y1182" s="40" t="str">
        <f>AA1182</f>
        <v>Invocación personalizada #7</v>
      </c>
      <c r="Z1182" s="179"/>
      <c r="AA1182" s="528" t="str">
        <f>IF(Personalización!V66=0,"Invocación personalizada #7",Personalización!V66)</f>
        <v>Invocación personalizada #7</v>
      </c>
      <c r="AB1182" s="384">
        <f>Personalización!AB66</f>
        <v>0</v>
      </c>
      <c r="AC1182" s="376">
        <f>Personalización!AC66</f>
        <v>0</v>
      </c>
    </row>
    <row r="1183" spans="1:79" ht="12.75" customHeight="1" x14ac:dyDescent="0.2">
      <c r="A1183" s="1916">
        <v>1183</v>
      </c>
      <c r="B1183" s="5144"/>
      <c r="C1183" s="2986"/>
      <c r="D1183" s="2986"/>
      <c r="E1183" s="2986"/>
      <c r="F1183" s="2986"/>
      <c r="G1183" s="2986"/>
      <c r="H1183" s="363"/>
      <c r="I1183" s="422"/>
      <c r="J1183" s="422"/>
      <c r="K1183" s="422"/>
      <c r="L1183" s="525"/>
      <c r="M1183" s="523"/>
      <c r="N1183" s="363"/>
      <c r="AB1183" s="363"/>
      <c r="AC1183" s="2563"/>
    </row>
    <row r="1184" spans="1:79" ht="12.75" customHeight="1" x14ac:dyDescent="0.2">
      <c r="A1184" s="1916">
        <v>1184</v>
      </c>
      <c r="B1184" s="5148"/>
      <c r="C1184" s="5143" t="s">
        <v>8941</v>
      </c>
      <c r="D1184" s="5143"/>
      <c r="E1184" s="5143"/>
      <c r="F1184" s="5143"/>
      <c r="G1184" s="5143"/>
      <c r="H1184" s="5143"/>
      <c r="I1184" s="5143"/>
      <c r="J1184" s="5143"/>
      <c r="K1184" s="5143"/>
      <c r="L1184" s="5143"/>
      <c r="M1184" s="5143"/>
      <c r="N1184" s="5143"/>
      <c r="O1184" s="5143"/>
      <c r="P1184" s="5143"/>
      <c r="Q1184" s="5143"/>
      <c r="R1184" s="5143"/>
      <c r="S1184" s="5143"/>
      <c r="T1184" s="5143"/>
      <c r="U1184" s="5143"/>
      <c r="V1184" s="5143"/>
      <c r="W1184" s="5143"/>
      <c r="X1184" s="5143"/>
      <c r="Y1184" s="5143"/>
      <c r="Z1184" s="5143"/>
      <c r="AA1184" s="5143"/>
      <c r="AB1184" s="5143"/>
      <c r="AC1184" s="5143"/>
      <c r="AD1184" s="5143"/>
      <c r="AE1184" s="5143"/>
      <c r="AF1184" s="5143"/>
      <c r="AG1184" s="5143"/>
      <c r="AH1184" s="5143"/>
      <c r="AI1184" s="5143"/>
      <c r="AJ1184" s="5143"/>
      <c r="AK1184" s="5143"/>
      <c r="AL1184" s="5143"/>
      <c r="AM1184" s="5143"/>
      <c r="AN1184" s="5143"/>
      <c r="AO1184" s="5143"/>
      <c r="AP1184" s="5143"/>
      <c r="AQ1184" s="5143"/>
      <c r="AR1184" s="5143"/>
      <c r="AS1184" s="5143"/>
      <c r="AT1184" s="5143"/>
      <c r="AU1184" s="5143"/>
      <c r="AV1184" s="5143"/>
      <c r="AW1184" s="5143"/>
      <c r="AX1184" s="5143"/>
      <c r="AY1184" s="5143"/>
      <c r="AZ1184" s="5143"/>
      <c r="BA1184" s="5143"/>
      <c r="BB1184" s="5143"/>
      <c r="BC1184" s="5143"/>
      <c r="BD1184" s="5143"/>
      <c r="BE1184" s="5143"/>
      <c r="BF1184" s="5143"/>
      <c r="BG1184" s="5143"/>
      <c r="BH1184" s="5143"/>
      <c r="BI1184" s="5143"/>
      <c r="BJ1184" s="5143"/>
      <c r="BK1184" s="5143"/>
      <c r="BL1184" s="5143"/>
      <c r="BM1184" s="5143"/>
      <c r="BN1184" s="5143"/>
      <c r="BO1184" s="5143"/>
      <c r="BP1184" s="5143"/>
      <c r="BQ1184" s="5143"/>
      <c r="BR1184" s="5143"/>
      <c r="BS1184" s="5143"/>
      <c r="BT1184" s="5143"/>
      <c r="BU1184" s="5143"/>
      <c r="BV1184" s="5143"/>
      <c r="BW1184" s="5143"/>
      <c r="BX1184" s="5143"/>
      <c r="BY1184" s="5143"/>
      <c r="BZ1184" s="5143"/>
      <c r="CA1184" s="5143"/>
    </row>
    <row r="1185" spans="1:79" ht="12.75" customHeight="1" x14ac:dyDescent="0.2">
      <c r="A1185" s="1916">
        <v>1185</v>
      </c>
      <c r="B1185" s="5148"/>
      <c r="C1185" s="5143"/>
      <c r="D1185" s="5143"/>
      <c r="E1185" s="5143"/>
      <c r="F1185" s="5143"/>
      <c r="G1185" s="5143"/>
      <c r="H1185" s="5143"/>
      <c r="I1185" s="5143"/>
      <c r="J1185" s="5143"/>
      <c r="K1185" s="5143"/>
      <c r="L1185" s="5143"/>
      <c r="M1185" s="5143"/>
      <c r="N1185" s="5143"/>
      <c r="O1185" s="5143"/>
      <c r="P1185" s="5143"/>
      <c r="Q1185" s="5143"/>
      <c r="R1185" s="5143"/>
      <c r="S1185" s="5143"/>
      <c r="T1185" s="5143"/>
      <c r="U1185" s="5143"/>
      <c r="V1185" s="5143"/>
      <c r="W1185" s="5143"/>
      <c r="X1185" s="5143"/>
      <c r="Y1185" s="5143"/>
      <c r="Z1185" s="5143"/>
      <c r="AA1185" s="5143"/>
      <c r="AB1185" s="5143"/>
      <c r="AC1185" s="5143"/>
      <c r="AD1185" s="5143"/>
      <c r="AE1185" s="5143"/>
      <c r="AF1185" s="5143"/>
      <c r="AG1185" s="5143"/>
      <c r="AH1185" s="5143"/>
      <c r="AI1185" s="5143"/>
      <c r="AJ1185" s="5143"/>
      <c r="AK1185" s="5143"/>
      <c r="AL1185" s="5143"/>
      <c r="AM1185" s="5143"/>
      <c r="AN1185" s="5143"/>
      <c r="AO1185" s="5143"/>
      <c r="AP1185" s="5143"/>
      <c r="AQ1185" s="5143"/>
      <c r="AR1185" s="5143"/>
      <c r="AS1185" s="5143"/>
      <c r="AT1185" s="5143"/>
      <c r="AU1185" s="5143"/>
      <c r="AV1185" s="5143"/>
      <c r="AW1185" s="5143"/>
      <c r="AX1185" s="5143"/>
      <c r="AY1185" s="5143"/>
      <c r="AZ1185" s="5143"/>
      <c r="BA1185" s="5143"/>
      <c r="BB1185" s="5143"/>
      <c r="BC1185" s="5143"/>
      <c r="BD1185" s="5143"/>
      <c r="BE1185" s="5143"/>
      <c r="BF1185" s="5143"/>
      <c r="BG1185" s="5143"/>
      <c r="BH1185" s="5143"/>
      <c r="BI1185" s="5143"/>
      <c r="BJ1185" s="5143"/>
      <c r="BK1185" s="5143"/>
      <c r="BL1185" s="5143"/>
      <c r="BM1185" s="5143"/>
      <c r="BN1185" s="5143"/>
      <c r="BO1185" s="5143"/>
      <c r="BP1185" s="5143"/>
      <c r="BQ1185" s="5143"/>
      <c r="BR1185" s="5143"/>
      <c r="BS1185" s="5143"/>
      <c r="BT1185" s="5143"/>
      <c r="BU1185" s="5143"/>
      <c r="BV1185" s="5143"/>
      <c r="BW1185" s="5143"/>
      <c r="BX1185" s="5143"/>
      <c r="BY1185" s="5143"/>
      <c r="BZ1185" s="5143"/>
      <c r="CA1185" s="5143"/>
    </row>
    <row r="1186" spans="1:79" ht="12.75" customHeight="1" x14ac:dyDescent="0.2">
      <c r="A1186" s="1916">
        <v>1186</v>
      </c>
      <c r="B1186" s="5148"/>
      <c r="C1186" s="5143"/>
      <c r="D1186" s="5143"/>
      <c r="E1186" s="5143"/>
      <c r="F1186" s="5143"/>
      <c r="G1186" s="5143"/>
      <c r="H1186" s="5143"/>
      <c r="I1186" s="5143"/>
      <c r="J1186" s="5143"/>
      <c r="K1186" s="5143"/>
      <c r="L1186" s="5143"/>
      <c r="M1186" s="5143"/>
      <c r="N1186" s="5143"/>
      <c r="O1186" s="5143"/>
      <c r="P1186" s="5143"/>
      <c r="Q1186" s="5143"/>
      <c r="R1186" s="5143"/>
      <c r="S1186" s="5143"/>
      <c r="T1186" s="5143"/>
      <c r="U1186" s="5143"/>
      <c r="V1186" s="5143"/>
      <c r="W1186" s="5143"/>
      <c r="X1186" s="5143"/>
      <c r="Y1186" s="5143"/>
      <c r="Z1186" s="5143"/>
      <c r="AA1186" s="5143"/>
      <c r="AB1186" s="5143"/>
      <c r="AC1186" s="5143"/>
      <c r="AD1186" s="5143"/>
      <c r="AE1186" s="5143"/>
      <c r="AF1186" s="5143"/>
      <c r="AG1186" s="5143"/>
      <c r="AH1186" s="5143"/>
      <c r="AI1186" s="5143"/>
      <c r="AJ1186" s="5143"/>
      <c r="AK1186" s="5143"/>
      <c r="AL1186" s="5143"/>
      <c r="AM1186" s="5143"/>
      <c r="AN1186" s="5143"/>
      <c r="AO1186" s="5143"/>
      <c r="AP1186" s="5143"/>
      <c r="AQ1186" s="5143"/>
      <c r="AR1186" s="5143"/>
      <c r="AS1186" s="5143"/>
      <c r="AT1186" s="5143"/>
      <c r="AU1186" s="5143"/>
      <c r="AV1186" s="5143"/>
      <c r="AW1186" s="5143"/>
      <c r="AX1186" s="5143"/>
      <c r="AY1186" s="5143"/>
      <c r="AZ1186" s="5143"/>
      <c r="BA1186" s="5143"/>
      <c r="BB1186" s="5143"/>
      <c r="BC1186" s="5143"/>
      <c r="BD1186" s="5143"/>
      <c r="BE1186" s="5143"/>
      <c r="BF1186" s="5143"/>
      <c r="BG1186" s="5143"/>
      <c r="BH1186" s="5143"/>
      <c r="BI1186" s="5143"/>
      <c r="BJ1186" s="5143"/>
      <c r="BK1186" s="5143"/>
      <c r="BL1186" s="5143"/>
      <c r="BM1186" s="5143"/>
      <c r="BN1186" s="5143"/>
      <c r="BO1186" s="5143"/>
      <c r="BP1186" s="5143"/>
      <c r="BQ1186" s="5143"/>
      <c r="BR1186" s="5143"/>
      <c r="BS1186" s="5143"/>
      <c r="BT1186" s="5143"/>
      <c r="BU1186" s="5143"/>
      <c r="BV1186" s="5143"/>
      <c r="BW1186" s="5143"/>
      <c r="BX1186" s="5143"/>
      <c r="BY1186" s="5143"/>
      <c r="BZ1186" s="5143"/>
      <c r="CA1186" s="5143"/>
    </row>
    <row r="1187" spans="1:79" ht="12.75" customHeight="1" thickBot="1" x14ac:dyDescent="0.25">
      <c r="A1187" s="1916">
        <v>1187</v>
      </c>
      <c r="B1187" s="5148"/>
      <c r="H1187" s="363"/>
      <c r="I1187" s="1653"/>
      <c r="N1187" s="363"/>
      <c r="O1187" s="1999"/>
      <c r="AB1187" s="363"/>
      <c r="AC1187" s="2563"/>
    </row>
    <row r="1188" spans="1:79" ht="12.75" customHeight="1" x14ac:dyDescent="0.2">
      <c r="A1188" s="1916">
        <v>1188</v>
      </c>
      <c r="B1188" s="5148"/>
      <c r="C1188" s="5274" t="s">
        <v>1549</v>
      </c>
      <c r="D1188" s="5275"/>
      <c r="E1188" s="5275"/>
      <c r="F1188" s="5275"/>
      <c r="G1188" s="5275"/>
      <c r="H1188" s="5275"/>
      <c r="I1188" s="5275"/>
      <c r="J1188" s="5275"/>
      <c r="K1188" s="5276"/>
      <c r="M1188" s="4252" t="s">
        <v>1749</v>
      </c>
      <c r="N1188" s="4093"/>
      <c r="O1188" s="4093"/>
      <c r="P1188" s="4093"/>
      <c r="Q1188" s="4093"/>
      <c r="R1188" s="4093"/>
      <c r="S1188" s="4093"/>
      <c r="T1188" s="4248"/>
      <c r="V1188" s="5364" t="s">
        <v>1751</v>
      </c>
      <c r="W1188" s="4275"/>
      <c r="X1188" s="5362" t="s">
        <v>8952</v>
      </c>
      <c r="Y1188" s="5367" t="s">
        <v>8957</v>
      </c>
      <c r="Z1188" s="5362"/>
      <c r="AA1188" s="5362"/>
      <c r="AB1188" s="5362"/>
      <c r="AC1188" s="5362"/>
      <c r="AD1188" s="5362"/>
      <c r="AE1188" s="5362"/>
      <c r="AF1188" s="5362"/>
      <c r="AG1188" s="5362"/>
      <c r="AH1188" s="5362"/>
      <c r="AI1188" s="5362"/>
      <c r="AJ1188" s="5362"/>
      <c r="AK1188" s="5362"/>
      <c r="AL1188" s="5362"/>
      <c r="AM1188" s="5362"/>
      <c r="AN1188" s="5362"/>
      <c r="AO1188" s="5362"/>
      <c r="AP1188" s="5362"/>
      <c r="AQ1188" s="5362"/>
      <c r="AR1188" s="5362"/>
      <c r="AS1188" s="5362"/>
      <c r="AT1188" s="5362"/>
      <c r="AU1188" s="5362"/>
      <c r="AV1188" s="5362"/>
      <c r="AW1188" s="5362"/>
      <c r="AX1188" s="5362"/>
      <c r="AY1188" s="5362"/>
      <c r="AZ1188" s="5362"/>
      <c r="BA1188" s="5362"/>
      <c r="BB1188" s="5362"/>
      <c r="BC1188" s="5362"/>
      <c r="BD1188" s="5362"/>
      <c r="BE1188" s="5362"/>
      <c r="BF1188" s="5362"/>
      <c r="BG1188" s="5362"/>
      <c r="BH1188" s="5362"/>
      <c r="BI1188" s="5362"/>
      <c r="BJ1188" s="5362"/>
      <c r="BK1188" s="5362"/>
      <c r="BL1188" s="5362"/>
      <c r="BM1188" s="5362"/>
      <c r="BN1188" s="5362"/>
      <c r="BO1188" s="5362"/>
      <c r="BP1188" s="5362"/>
      <c r="BQ1188" s="5362"/>
      <c r="BR1188" s="5362"/>
      <c r="BS1188" s="5362"/>
      <c r="BT1188" s="5362"/>
      <c r="BU1188" s="5362"/>
      <c r="BV1188" s="5362"/>
      <c r="BW1188" s="5362"/>
      <c r="BX1188" s="5362"/>
      <c r="BY1188" s="5362"/>
      <c r="BZ1188" s="5362"/>
      <c r="CA1188" s="5368"/>
    </row>
    <row r="1189" spans="1:79" ht="12.75" customHeight="1" x14ac:dyDescent="0.2">
      <c r="A1189" s="1916">
        <v>1189</v>
      </c>
      <c r="B1189" s="5148"/>
      <c r="C1189" s="5277"/>
      <c r="D1189" s="5278"/>
      <c r="E1189" s="5278"/>
      <c r="F1189" s="5278"/>
      <c r="G1189" s="5278"/>
      <c r="H1189" s="5278"/>
      <c r="I1189" s="5278"/>
      <c r="J1189" s="5278"/>
      <c r="K1189" s="5279"/>
      <c r="M1189" s="5211"/>
      <c r="N1189" s="5172"/>
      <c r="O1189" s="5172"/>
      <c r="P1189" s="5172"/>
      <c r="Q1189" s="5172"/>
      <c r="R1189" s="5172"/>
      <c r="S1189" s="5172"/>
      <c r="T1189" s="5212"/>
      <c r="V1189" s="5365"/>
      <c r="W1189" s="4109"/>
      <c r="X1189" s="5363"/>
      <c r="Y1189" s="5369"/>
      <c r="Z1189" s="5363"/>
      <c r="AA1189" s="5363"/>
      <c r="AB1189" s="5363"/>
      <c r="AC1189" s="5363"/>
      <c r="AD1189" s="5363"/>
      <c r="AE1189" s="5363"/>
      <c r="AF1189" s="5363"/>
      <c r="AG1189" s="5363"/>
      <c r="AH1189" s="5363"/>
      <c r="AI1189" s="5363"/>
      <c r="AJ1189" s="5363"/>
      <c r="AK1189" s="5363"/>
      <c r="AL1189" s="5363"/>
      <c r="AM1189" s="5363"/>
      <c r="AN1189" s="5363"/>
      <c r="AO1189" s="5363"/>
      <c r="AP1189" s="5363"/>
      <c r="AQ1189" s="5363"/>
      <c r="AR1189" s="5363"/>
      <c r="AS1189" s="5363"/>
      <c r="AT1189" s="5363"/>
      <c r="AU1189" s="5363"/>
      <c r="AV1189" s="5363"/>
      <c r="AW1189" s="5363"/>
      <c r="AX1189" s="5363"/>
      <c r="AY1189" s="5363"/>
      <c r="AZ1189" s="5363"/>
      <c r="BA1189" s="5363"/>
      <c r="BB1189" s="5363"/>
      <c r="BC1189" s="5363"/>
      <c r="BD1189" s="5363"/>
      <c r="BE1189" s="5363"/>
      <c r="BF1189" s="5363"/>
      <c r="BG1189" s="5363"/>
      <c r="BH1189" s="5363"/>
      <c r="BI1189" s="5363"/>
      <c r="BJ1189" s="5363"/>
      <c r="BK1189" s="5363"/>
      <c r="BL1189" s="5363"/>
      <c r="BM1189" s="5363"/>
      <c r="BN1189" s="5363"/>
      <c r="BO1189" s="5363"/>
      <c r="BP1189" s="5363"/>
      <c r="BQ1189" s="5363"/>
      <c r="BR1189" s="5363"/>
      <c r="BS1189" s="5363"/>
      <c r="BT1189" s="5363"/>
      <c r="BU1189" s="5363"/>
      <c r="BV1189" s="5363"/>
      <c r="BW1189" s="5363"/>
      <c r="BX1189" s="5363"/>
      <c r="BY1189" s="5363"/>
      <c r="BZ1189" s="5363"/>
      <c r="CA1189" s="5366"/>
    </row>
    <row r="1190" spans="1:79" ht="12.75" customHeight="1" x14ac:dyDescent="0.2">
      <c r="A1190" s="1916">
        <v>1190</v>
      </c>
      <c r="B1190" s="5148"/>
      <c r="C1190" s="2587"/>
      <c r="D1190" s="2464"/>
      <c r="E1190" s="2464">
        <v>1</v>
      </c>
      <c r="F1190" s="2464">
        <v>2</v>
      </c>
      <c r="G1190" s="2464">
        <v>3</v>
      </c>
      <c r="H1190" s="2464">
        <v>4</v>
      </c>
      <c r="I1190" s="2464">
        <v>5</v>
      </c>
      <c r="J1190" s="2464">
        <v>6</v>
      </c>
      <c r="K1190" s="2465">
        <v>7</v>
      </c>
      <c r="M1190" s="2587"/>
      <c r="N1190" s="2464"/>
      <c r="O1190" s="2464">
        <v>1</v>
      </c>
      <c r="P1190" s="2464">
        <v>2</v>
      </c>
      <c r="Q1190" s="2464">
        <v>3</v>
      </c>
      <c r="R1190" s="2464">
        <v>4</v>
      </c>
      <c r="S1190" s="2464">
        <v>5</v>
      </c>
      <c r="T1190" s="2465">
        <v>6</v>
      </c>
      <c r="V1190" s="2634" t="s">
        <v>1608</v>
      </c>
      <c r="W1190" s="2016"/>
      <c r="X1190" s="2605"/>
      <c r="Y1190" s="2620"/>
      <c r="Z1190" s="2621"/>
      <c r="AA1190" s="2621"/>
      <c r="AB1190" s="2621"/>
      <c r="AC1190" s="2621"/>
      <c r="AD1190" s="2621"/>
      <c r="AE1190" s="2621"/>
      <c r="AF1190" s="2621"/>
      <c r="AG1190" s="2621"/>
      <c r="AH1190" s="2621"/>
      <c r="AI1190" s="2621"/>
      <c r="AJ1190" s="2621"/>
      <c r="AK1190" s="2621"/>
      <c r="AL1190" s="2621"/>
      <c r="AM1190" s="2621"/>
      <c r="AN1190" s="2621"/>
      <c r="AO1190" s="2621"/>
      <c r="AP1190" s="2621"/>
      <c r="AQ1190" s="2621"/>
      <c r="AR1190" s="2621"/>
      <c r="AS1190" s="2621"/>
      <c r="AT1190" s="2621"/>
      <c r="AU1190" s="2621"/>
      <c r="AV1190" s="2621"/>
      <c r="AW1190" s="2621"/>
      <c r="AX1190" s="2621"/>
      <c r="AY1190" s="2621"/>
      <c r="AZ1190" s="2621"/>
      <c r="BA1190" s="2621"/>
      <c r="BB1190" s="2621"/>
      <c r="BC1190" s="2621"/>
      <c r="BD1190" s="2621"/>
      <c r="BE1190" s="2621"/>
      <c r="BF1190" s="2621"/>
      <c r="BG1190" s="2621"/>
      <c r="BH1190" s="2621"/>
      <c r="BI1190" s="2621"/>
      <c r="BJ1190" s="2621"/>
      <c r="BK1190" s="2621"/>
      <c r="BL1190" s="2609"/>
      <c r="BM1190" s="2609"/>
      <c r="BN1190" s="2609"/>
      <c r="BO1190" s="2609"/>
      <c r="BP1190" s="2609"/>
      <c r="BQ1190" s="2609"/>
      <c r="BR1190" s="2609"/>
      <c r="BS1190" s="2609"/>
      <c r="BT1190" s="2609"/>
      <c r="BU1190" s="2609"/>
      <c r="BV1190" s="2609"/>
      <c r="BW1190" s="2609"/>
      <c r="BX1190" s="2609"/>
      <c r="BY1190" s="2609"/>
      <c r="BZ1190" s="2609"/>
      <c r="CA1190" s="2635"/>
    </row>
    <row r="1191" spans="1:79" ht="12.75" customHeight="1" x14ac:dyDescent="0.2">
      <c r="A1191" s="1916">
        <v>1191</v>
      </c>
      <c r="B1191" s="5148"/>
      <c r="C1191" s="2588"/>
      <c r="D1191" s="2589"/>
      <c r="E1191" s="2463" t="s">
        <v>1751</v>
      </c>
      <c r="F1191" s="2463" t="s">
        <v>1550</v>
      </c>
      <c r="G1191" s="2463" t="s">
        <v>1801</v>
      </c>
      <c r="H1191" s="2463" t="s">
        <v>2637</v>
      </c>
      <c r="I1191" s="2590" t="s">
        <v>2238</v>
      </c>
      <c r="J1191" s="2463" t="s">
        <v>8676</v>
      </c>
      <c r="K1191" s="2591" t="s">
        <v>8949</v>
      </c>
      <c r="M1191" s="2597"/>
      <c r="N1191" s="2598"/>
      <c r="O1191" s="2463" t="s">
        <v>1751</v>
      </c>
      <c r="P1191" s="2463" t="s">
        <v>1685</v>
      </c>
      <c r="Q1191" s="2599" t="s">
        <v>1801</v>
      </c>
      <c r="R1191" s="2463" t="s">
        <v>2637</v>
      </c>
      <c r="S1191" s="2463" t="s">
        <v>8676</v>
      </c>
      <c r="T1191" s="2591" t="s">
        <v>8949</v>
      </c>
      <c r="V1191" s="2634" t="s">
        <v>2251</v>
      </c>
      <c r="W1191" s="2603"/>
      <c r="X1191" s="2610" t="str">
        <f>IF(Y1191="","",SUBSTITUTE("PodHab_"&amp;V1191," ",""))</f>
        <v/>
      </c>
      <c r="Y1191" s="2622" t="s">
        <v>8500</v>
      </c>
      <c r="Z1191" s="2619"/>
      <c r="AA1191" s="2619"/>
      <c r="AB1191" s="2619"/>
      <c r="AC1191" s="2619"/>
      <c r="AD1191" s="2619"/>
      <c r="AE1191" s="2619"/>
      <c r="AF1191" s="2619"/>
      <c r="AG1191" s="2619"/>
      <c r="AH1191" s="2619"/>
      <c r="AI1191" s="2619"/>
      <c r="AJ1191" s="2619"/>
      <c r="AK1191" s="2619"/>
      <c r="AL1191" s="2619"/>
      <c r="AM1191" s="2619"/>
      <c r="AN1191" s="2619"/>
      <c r="AO1191" s="2619"/>
      <c r="AP1191" s="2619"/>
      <c r="AQ1191" s="2619"/>
      <c r="AR1191" s="2619"/>
      <c r="AS1191" s="2619"/>
      <c r="AT1191" s="2619"/>
      <c r="AU1191" s="2619"/>
      <c r="AV1191" s="2619"/>
      <c r="AW1191" s="2619"/>
      <c r="AX1191" s="2619"/>
      <c r="AY1191" s="2619"/>
      <c r="AZ1191" s="2619"/>
      <c r="BA1191" s="2619"/>
      <c r="BB1191" s="2619"/>
      <c r="BC1191" s="2619"/>
      <c r="BD1191" s="2619"/>
      <c r="BE1191" s="2619"/>
      <c r="BF1191" s="2619"/>
      <c r="BG1191" s="2619"/>
      <c r="BH1191" s="2619"/>
      <c r="BI1191" s="2619"/>
      <c r="BJ1191" s="2619"/>
      <c r="BK1191" s="2619"/>
      <c r="BL1191" s="2609"/>
      <c r="BM1191" s="2609"/>
      <c r="BN1191" s="2609"/>
      <c r="BO1191" s="2609"/>
      <c r="BP1191" s="2609"/>
      <c r="BQ1191" s="2609"/>
      <c r="BR1191" s="2609"/>
      <c r="BS1191" s="2609"/>
      <c r="BT1191" s="2609"/>
      <c r="BU1191" s="2609"/>
      <c r="BV1191" s="2609"/>
      <c r="BW1191" s="2609"/>
      <c r="BX1191" s="2609"/>
      <c r="BY1191" s="2609"/>
      <c r="BZ1191" s="2609"/>
      <c r="CA1191" s="2635"/>
    </row>
    <row r="1192" spans="1:79" ht="12.75" customHeight="1" x14ac:dyDescent="0.2">
      <c r="A1192" s="1916">
        <v>1192</v>
      </c>
      <c r="B1192" s="5148"/>
      <c r="C1192" s="1658"/>
      <c r="D1192" s="511"/>
      <c r="E1192" s="2583" t="s">
        <v>1551</v>
      </c>
      <c r="F1192" s="195">
        <v>0</v>
      </c>
      <c r="G1192" s="195">
        <v>0</v>
      </c>
      <c r="H1192" s="195"/>
      <c r="I1192" s="2585"/>
      <c r="J1192" s="370"/>
      <c r="K1192" s="2576"/>
      <c r="M1192" s="1847"/>
      <c r="N1192" s="96"/>
      <c r="O1192" s="411" t="s">
        <v>1608</v>
      </c>
      <c r="P1192" s="2594"/>
      <c r="Q1192" s="2473"/>
      <c r="R1192" s="2585"/>
      <c r="S1192" s="370"/>
      <c r="T1192" s="2576"/>
      <c r="V1192" s="2634" t="s">
        <v>8959</v>
      </c>
      <c r="W1192" s="2603"/>
      <c r="X1192" s="2172" t="str">
        <f t="shared" ref="X1192:X1197" si="138">IF(Y1192="","",SUBSTITUTE("PodHab_"&amp;V1192," ",""))</f>
        <v>PodHab_Ataqueadicional</v>
      </c>
      <c r="Y1192" s="2622" t="s">
        <v>9011</v>
      </c>
      <c r="Z1192" s="2619" t="s">
        <v>9012</v>
      </c>
      <c r="AA1192" s="2619" t="s">
        <v>9013</v>
      </c>
      <c r="AB1192" s="2619" t="s">
        <v>9014</v>
      </c>
      <c r="AC1192" s="2619" t="s">
        <v>9015</v>
      </c>
      <c r="AD1192" s="2619" t="s">
        <v>9016</v>
      </c>
      <c r="AE1192" s="2619" t="s">
        <v>8981</v>
      </c>
      <c r="AF1192" s="2619"/>
      <c r="AG1192" s="2619"/>
      <c r="AH1192" s="2619"/>
      <c r="AI1192" s="2619"/>
      <c r="AJ1192" s="2619"/>
      <c r="AK1192" s="2619"/>
      <c r="AL1192" s="2619"/>
      <c r="AM1192" s="2619"/>
      <c r="AN1192" s="2619"/>
      <c r="AO1192" s="2619"/>
      <c r="AP1192" s="2619"/>
      <c r="AQ1192" s="2619"/>
      <c r="AR1192" s="2619"/>
      <c r="AS1192" s="2619"/>
      <c r="AT1192" s="2619"/>
      <c r="AU1192" s="2619"/>
      <c r="AV1192" s="2619"/>
      <c r="AW1192" s="2619"/>
      <c r="AX1192" s="2619"/>
      <c r="AY1192" s="2619"/>
      <c r="AZ1192" s="2619"/>
      <c r="BA1192" s="2619"/>
      <c r="BB1192" s="2619"/>
      <c r="BC1192" s="2619"/>
      <c r="BD1192" s="2619"/>
      <c r="BE1192" s="2619"/>
      <c r="BF1192" s="2619"/>
      <c r="BG1192" s="2619"/>
      <c r="BH1192" s="2619"/>
      <c r="BI1192" s="2619"/>
      <c r="BJ1192" s="2619"/>
      <c r="BK1192" s="2619"/>
      <c r="BL1192" s="2609"/>
      <c r="BM1192" s="2609"/>
      <c r="BN1192" s="2609"/>
      <c r="BO1192" s="2609"/>
      <c r="BP1192" s="2609"/>
      <c r="BQ1192" s="2609"/>
      <c r="BR1192" s="2609"/>
      <c r="BS1192" s="2609"/>
      <c r="BT1192" s="2609"/>
      <c r="BU1192" s="2609"/>
      <c r="BV1192" s="2609"/>
      <c r="BW1192" s="2609"/>
      <c r="BX1192" s="2609"/>
      <c r="BY1192" s="2609"/>
      <c r="BZ1192" s="2609"/>
      <c r="CA1192" s="2635"/>
    </row>
    <row r="1193" spans="1:79" ht="12.75" customHeight="1" x14ac:dyDescent="0.2">
      <c r="A1193" s="1916">
        <v>1193</v>
      </c>
      <c r="B1193" s="5148"/>
      <c r="C1193" s="2580"/>
      <c r="D1193" s="210"/>
      <c r="E1193" s="2583" t="s">
        <v>1552</v>
      </c>
      <c r="F1193" s="195">
        <v>0</v>
      </c>
      <c r="G1193" s="195">
        <v>10</v>
      </c>
      <c r="H1193" s="195">
        <f>COUNTIF(HabilidadesEsenciales_Adquiridas,Tablas!E1193)</f>
        <v>0</v>
      </c>
      <c r="I1193" s="2585">
        <v>1</v>
      </c>
      <c r="J1193" s="370"/>
      <c r="K1193" s="2576"/>
      <c r="M1193" s="1847"/>
      <c r="N1193" s="96"/>
      <c r="O1193" s="411" t="s">
        <v>2251</v>
      </c>
      <c r="P1193" s="2578">
        <v>0</v>
      </c>
      <c r="Q1193" s="503">
        <v>20</v>
      </c>
      <c r="R1193" s="2585">
        <f>COUNTIF(PoderesDeCriatura_Adquiridos,Tablas!O1193)</f>
        <v>0</v>
      </c>
      <c r="S1193" s="370"/>
      <c r="T1193" s="2576"/>
      <c r="V1193" s="2634" t="s">
        <v>1955</v>
      </c>
      <c r="W1193" s="1767"/>
      <c r="X1193" s="2172" t="str">
        <f t="shared" si="138"/>
        <v/>
      </c>
      <c r="Y1193" s="2623"/>
      <c r="Z1193" s="1767"/>
      <c r="AA1193" s="1767"/>
      <c r="AB1193" s="1767"/>
      <c r="AC1193" s="1767"/>
      <c r="AD1193" s="1767"/>
      <c r="AE1193" s="1767"/>
      <c r="AF1193" s="1767"/>
      <c r="AG1193" s="1767"/>
      <c r="AH1193" s="1767"/>
      <c r="AI1193" s="1767"/>
      <c r="AJ1193" s="1767"/>
      <c r="AK1193" s="1767"/>
      <c r="AL1193" s="1767"/>
      <c r="AM1193" s="1767"/>
      <c r="AN1193" s="1767"/>
      <c r="AO1193" s="1767"/>
      <c r="AP1193" s="1767"/>
      <c r="AQ1193" s="1767"/>
      <c r="AR1193" s="1767"/>
      <c r="AS1193" s="1767"/>
      <c r="AT1193" s="1767"/>
      <c r="AU1193" s="1767"/>
      <c r="AV1193" s="1767"/>
      <c r="AW1193" s="1767"/>
      <c r="AX1193" s="1767"/>
      <c r="AY1193" s="1767"/>
      <c r="AZ1193" s="1767"/>
      <c r="BA1193" s="1767"/>
      <c r="BB1193" s="1767"/>
      <c r="BC1193" s="1767"/>
      <c r="BD1193" s="1767"/>
      <c r="BE1193" s="1767"/>
      <c r="BF1193" s="1767"/>
      <c r="BG1193" s="1767"/>
      <c r="BH1193" s="1767"/>
      <c r="BI1193" s="1767"/>
      <c r="BJ1193" s="1767"/>
      <c r="BK1193" s="2619"/>
      <c r="BL1193" s="2609"/>
      <c r="BM1193" s="2609"/>
      <c r="BN1193" s="2609"/>
      <c r="BO1193" s="2609"/>
      <c r="BP1193" s="2609"/>
      <c r="BQ1193" s="2609"/>
      <c r="BR1193" s="2609"/>
      <c r="BS1193" s="2609"/>
      <c r="BT1193" s="2609"/>
      <c r="BU1193" s="2609"/>
      <c r="BV1193" s="2609"/>
      <c r="BW1193" s="2609"/>
      <c r="BX1193" s="2609"/>
      <c r="BY1193" s="2609"/>
      <c r="BZ1193" s="2609"/>
      <c r="CA1193" s="2635"/>
    </row>
    <row r="1194" spans="1:79" ht="12.75" customHeight="1" x14ac:dyDescent="0.2">
      <c r="A1194" s="1916">
        <v>1194</v>
      </c>
      <c r="B1194" s="5148"/>
      <c r="C1194" s="2580"/>
      <c r="D1194" s="210"/>
      <c r="E1194" s="2583" t="s">
        <v>2657</v>
      </c>
      <c r="F1194" s="195">
        <v>5</v>
      </c>
      <c r="G1194" s="195">
        <v>30</v>
      </c>
      <c r="H1194" s="195">
        <f>COUNTIF(HabilidadesEsenciales_Adquiridas,Tablas!E1194)</f>
        <v>0</v>
      </c>
      <c r="I1194" s="2585">
        <v>2</v>
      </c>
      <c r="J1194" s="370"/>
      <c r="K1194" s="2576"/>
      <c r="M1194" s="1847"/>
      <c r="N1194" s="96"/>
      <c r="O1194" s="411" t="s">
        <v>9308</v>
      </c>
      <c r="P1194" s="2578">
        <v>0</v>
      </c>
      <c r="Q1194" s="503">
        <v>20</v>
      </c>
      <c r="R1194" s="2585">
        <f>COUNTIF(PoderesDeCriatura_Adquiridos,Tablas!O1194)</f>
        <v>0</v>
      </c>
      <c r="S1194" s="370"/>
      <c r="T1194" s="2576"/>
      <c r="V1194" s="2634" t="s">
        <v>8982</v>
      </c>
      <c r="W1194" s="2603"/>
      <c r="X1194" s="2172" t="str">
        <f t="shared" si="138"/>
        <v>PodHab_Ataqueespecial</v>
      </c>
      <c r="Y1194" s="2622" t="s">
        <v>9017</v>
      </c>
      <c r="Z1194" s="2619" t="s">
        <v>9018</v>
      </c>
      <c r="AA1194" s="2619" t="s">
        <v>9019</v>
      </c>
      <c r="AB1194" s="2619" t="s">
        <v>9020</v>
      </c>
      <c r="AC1194" s="2619" t="s">
        <v>9021</v>
      </c>
      <c r="AD1194" s="2619" t="s">
        <v>9022</v>
      </c>
      <c r="AE1194" s="2619" t="s">
        <v>9023</v>
      </c>
      <c r="AF1194" s="2619" t="s">
        <v>9024</v>
      </c>
      <c r="AG1194" s="2619" t="s">
        <v>9025</v>
      </c>
      <c r="AH1194" s="2619" t="s">
        <v>9026</v>
      </c>
      <c r="AI1194" s="2619" t="s">
        <v>9027</v>
      </c>
      <c r="AJ1194" s="2619" t="s">
        <v>9028</v>
      </c>
      <c r="AK1194" s="2619" t="s">
        <v>9029</v>
      </c>
      <c r="AL1194" s="2619" t="s">
        <v>9030</v>
      </c>
      <c r="AM1194" s="2619" t="s">
        <v>9031</v>
      </c>
      <c r="AN1194" s="2619" t="s">
        <v>9032</v>
      </c>
      <c r="AO1194" s="2619" t="s">
        <v>9033</v>
      </c>
      <c r="AP1194" s="2619" t="s">
        <v>9034</v>
      </c>
      <c r="AQ1194" s="2619" t="s">
        <v>9035</v>
      </c>
      <c r="AR1194" s="2619" t="s">
        <v>9036</v>
      </c>
      <c r="AS1194" s="2619" t="s">
        <v>9037</v>
      </c>
      <c r="AT1194" s="2619" t="s">
        <v>9038</v>
      </c>
      <c r="AU1194" s="2619" t="s">
        <v>9039</v>
      </c>
      <c r="AV1194" s="2619" t="s">
        <v>6999</v>
      </c>
      <c r="AW1194" s="2619" t="s">
        <v>9040</v>
      </c>
      <c r="AX1194" s="2619" t="s">
        <v>9041</v>
      </c>
      <c r="AY1194" s="2619" t="s">
        <v>9042</v>
      </c>
      <c r="AZ1194" s="2619" t="s">
        <v>9043</v>
      </c>
      <c r="BA1194" s="2619" t="s">
        <v>9044</v>
      </c>
      <c r="BB1194" s="2619" t="s">
        <v>9045</v>
      </c>
      <c r="BC1194" s="2619" t="s">
        <v>9046</v>
      </c>
      <c r="BD1194" s="2619"/>
      <c r="BE1194" s="1767"/>
      <c r="BF1194" s="1767"/>
      <c r="BG1194" s="1767"/>
      <c r="BH1194" s="1767"/>
      <c r="BI1194" s="1767"/>
      <c r="BJ1194" s="1767"/>
      <c r="BK1194" s="2619"/>
      <c r="BL1194" s="2609"/>
      <c r="BM1194" s="2609"/>
      <c r="BN1194" s="2609"/>
      <c r="BO1194" s="2609"/>
      <c r="BP1194" s="2609"/>
      <c r="BQ1194" s="2609"/>
      <c r="BR1194" s="2609"/>
      <c r="BS1194" s="2609"/>
      <c r="BT1194" s="2609"/>
      <c r="BU1194" s="2609"/>
      <c r="BV1194" s="2609"/>
      <c r="BW1194" s="2609"/>
      <c r="BX1194" s="2609"/>
      <c r="BY1194" s="2609"/>
      <c r="BZ1194" s="2609"/>
      <c r="CA1194" s="2635"/>
    </row>
    <row r="1195" spans="1:79" ht="12.75" customHeight="1" x14ac:dyDescent="0.2">
      <c r="A1195" s="1916">
        <v>1195</v>
      </c>
      <c r="B1195" s="5148"/>
      <c r="C1195" s="2580"/>
      <c r="D1195" s="210"/>
      <c r="E1195" s="2583" t="s">
        <v>1553</v>
      </c>
      <c r="F1195" s="195">
        <v>5</v>
      </c>
      <c r="G1195" s="195">
        <v>15</v>
      </c>
      <c r="H1195" s="195">
        <f>COUNTIF(HabilidadesEsenciales_Adquiridas,Tablas!E1195)</f>
        <v>0</v>
      </c>
      <c r="I1195" s="2585"/>
      <c r="J1195" s="370"/>
      <c r="K1195" s="2576"/>
      <c r="M1195" s="1847"/>
      <c r="N1195" s="96"/>
      <c r="O1195" s="411" t="s">
        <v>9309</v>
      </c>
      <c r="P1195" s="2578">
        <v>0</v>
      </c>
      <c r="Q1195" s="503">
        <v>30</v>
      </c>
      <c r="R1195" s="2585">
        <f>COUNTIF(PoderesDeCriatura_Adquiridos,Tablas!O1195)</f>
        <v>0</v>
      </c>
      <c r="S1195" s="370"/>
      <c r="T1195" s="2576"/>
      <c r="V1195" s="2634" t="s">
        <v>1610</v>
      </c>
      <c r="W1195" s="1767"/>
      <c r="X1195" s="2172" t="str">
        <f t="shared" si="138"/>
        <v/>
      </c>
      <c r="Y1195" s="2623"/>
      <c r="Z1195" s="1767"/>
      <c r="AA1195" s="1767"/>
      <c r="AB1195" s="1767"/>
      <c r="AC1195" s="1767"/>
      <c r="AD1195" s="1767"/>
      <c r="AE1195" s="1767"/>
      <c r="AF1195" s="1767"/>
      <c r="AG1195" s="1767"/>
      <c r="AH1195" s="1767"/>
      <c r="AI1195" s="1767"/>
      <c r="AJ1195" s="1767"/>
      <c r="AK1195" s="1767"/>
      <c r="AL1195" s="1767"/>
      <c r="AM1195" s="1767"/>
      <c r="AN1195" s="1767"/>
      <c r="AO1195" s="1767"/>
      <c r="AP1195" s="1767"/>
      <c r="AQ1195" s="1767"/>
      <c r="AR1195" s="1767"/>
      <c r="AS1195" s="1767"/>
      <c r="AT1195" s="1767"/>
      <c r="AU1195" s="1767"/>
      <c r="AV1195" s="1767"/>
      <c r="AW1195" s="1767"/>
      <c r="AX1195" s="1767"/>
      <c r="AY1195" s="1767"/>
      <c r="AZ1195" s="1767"/>
      <c r="BA1195" s="1767"/>
      <c r="BB1195" s="1767"/>
      <c r="BC1195" s="1767"/>
      <c r="BD1195" s="1767"/>
      <c r="BE1195" s="1767"/>
      <c r="BF1195" s="1767"/>
      <c r="BG1195" s="1767"/>
      <c r="BH1195" s="1767"/>
      <c r="BI1195" s="1767"/>
      <c r="BJ1195" s="1767"/>
      <c r="BK1195" s="2619"/>
      <c r="BL1195" s="2609"/>
      <c r="BM1195" s="2609"/>
      <c r="BN1195" s="2609"/>
      <c r="BO1195" s="2609"/>
      <c r="BP1195" s="2609"/>
      <c r="BQ1195" s="2609"/>
      <c r="BR1195" s="2609"/>
      <c r="BS1195" s="2609"/>
      <c r="BT1195" s="2609"/>
      <c r="BU1195" s="2609"/>
      <c r="BV1195" s="2609"/>
      <c r="BW1195" s="2609"/>
      <c r="BX1195" s="2609"/>
      <c r="BY1195" s="2609"/>
      <c r="BZ1195" s="2609"/>
      <c r="CA1195" s="2635"/>
    </row>
    <row r="1196" spans="1:79" ht="12.75" customHeight="1" x14ac:dyDescent="0.2">
      <c r="A1196" s="1916">
        <v>1196</v>
      </c>
      <c r="B1196" s="5148"/>
      <c r="C1196" s="2580"/>
      <c r="D1196" s="210"/>
      <c r="E1196" s="2583" t="s">
        <v>1554</v>
      </c>
      <c r="F1196" s="195">
        <v>5</v>
      </c>
      <c r="G1196" s="195">
        <v>30</v>
      </c>
      <c r="H1196" s="195">
        <f>COUNTIF(HabilidadesEsenciales_Adquiridas,Tablas!E1196)</f>
        <v>0</v>
      </c>
      <c r="I1196" s="2585"/>
      <c r="J1196" s="370"/>
      <c r="K1196" s="2576"/>
      <c r="M1196" s="1847"/>
      <c r="N1196" s="96"/>
      <c r="O1196" s="411" t="s">
        <v>9310</v>
      </c>
      <c r="P1196" s="2578">
        <v>0</v>
      </c>
      <c r="Q1196" s="503">
        <v>40</v>
      </c>
      <c r="R1196" s="2585">
        <f>COUNTIF(PoderesDeCriatura_Adquiridos,Tablas!O1196)</f>
        <v>0</v>
      </c>
      <c r="S1196" s="370"/>
      <c r="T1196" s="2576"/>
      <c r="V1196" s="2634" t="s">
        <v>8962</v>
      </c>
      <c r="W1196" s="2603"/>
      <c r="X1196" s="2172" t="str">
        <f t="shared" si="138"/>
        <v>PodHab_Ataquevenenoso</v>
      </c>
      <c r="Y1196" s="2622" t="s">
        <v>9047</v>
      </c>
      <c r="Z1196" s="2619" t="s">
        <v>9048</v>
      </c>
      <c r="AA1196" s="2619" t="s">
        <v>9049</v>
      </c>
      <c r="AB1196" s="2619" t="s">
        <v>9050</v>
      </c>
      <c r="AC1196" s="2619" t="s">
        <v>9051</v>
      </c>
      <c r="AD1196" s="2619" t="s">
        <v>9052</v>
      </c>
      <c r="AE1196" s="2619" t="s">
        <v>9053</v>
      </c>
      <c r="AF1196" s="2619" t="s">
        <v>9054</v>
      </c>
      <c r="AG1196" s="2619" t="s">
        <v>9055</v>
      </c>
      <c r="AH1196" s="2619" t="s">
        <v>9056</v>
      </c>
      <c r="AI1196" s="2619"/>
      <c r="AJ1196" s="1767"/>
      <c r="AK1196" s="1767"/>
      <c r="AL1196" s="1767"/>
      <c r="AM1196" s="1767"/>
      <c r="AN1196" s="1767"/>
      <c r="AO1196" s="1767"/>
      <c r="AP1196" s="1767"/>
      <c r="AQ1196" s="1767"/>
      <c r="AR1196" s="1767"/>
      <c r="AS1196" s="1767"/>
      <c r="AT1196" s="1767"/>
      <c r="AU1196" s="1767"/>
      <c r="AV1196" s="1767"/>
      <c r="AW1196" s="1767"/>
      <c r="AX1196" s="1767"/>
      <c r="AY1196" s="1767"/>
      <c r="AZ1196" s="1767"/>
      <c r="BA1196" s="1767"/>
      <c r="BB1196" s="1767"/>
      <c r="BC1196" s="1767"/>
      <c r="BD1196" s="1767"/>
      <c r="BE1196" s="1767"/>
      <c r="BF1196" s="1767"/>
      <c r="BG1196" s="1767"/>
      <c r="BH1196" s="1767"/>
      <c r="BI1196" s="1767"/>
      <c r="BJ1196" s="1767"/>
      <c r="BK1196" s="2619"/>
      <c r="BL1196" s="2609"/>
      <c r="BM1196" s="2609"/>
      <c r="BN1196" s="2609"/>
      <c r="BO1196" s="2609"/>
      <c r="BP1196" s="2609"/>
      <c r="BQ1196" s="2609"/>
      <c r="BR1196" s="2609"/>
      <c r="BS1196" s="2609"/>
      <c r="BT1196" s="2609"/>
      <c r="BU1196" s="2609"/>
      <c r="BV1196" s="2609"/>
      <c r="BW1196" s="2609"/>
      <c r="BX1196" s="2609"/>
      <c r="BY1196" s="2609"/>
      <c r="BZ1196" s="2609"/>
      <c r="CA1196" s="2635"/>
    </row>
    <row r="1197" spans="1:79" ht="12.75" customHeight="1" x14ac:dyDescent="0.2">
      <c r="A1197" s="1916">
        <v>1197</v>
      </c>
      <c r="B1197" s="5148"/>
      <c r="C1197" s="2580"/>
      <c r="D1197" s="210"/>
      <c r="E1197" s="2583" t="s">
        <v>1555</v>
      </c>
      <c r="F1197" s="195">
        <v>0</v>
      </c>
      <c r="G1197" s="195">
        <v>10</v>
      </c>
      <c r="H1197" s="195">
        <f>COUNTIF(HabilidadesEsenciales_Adquiridas,Tablas!E1197)</f>
        <v>0</v>
      </c>
      <c r="I1197" s="2585"/>
      <c r="J1197" s="370"/>
      <c r="K1197" s="2576"/>
      <c r="M1197" s="1847"/>
      <c r="N1197" s="96"/>
      <c r="O1197" s="411" t="s">
        <v>9311</v>
      </c>
      <c r="P1197" s="2578">
        <v>5</v>
      </c>
      <c r="Q1197" s="503">
        <v>50</v>
      </c>
      <c r="R1197" s="2585">
        <f>COUNTIF(PoderesDeCriatura_Adquiridos,Tablas!O1197)</f>
        <v>0</v>
      </c>
      <c r="S1197" s="370"/>
      <c r="T1197" s="2576"/>
      <c r="V1197" s="2634" t="s">
        <v>8700</v>
      </c>
      <c r="W1197" s="2603"/>
      <c r="X1197" s="2172" t="str">
        <f t="shared" si="138"/>
        <v>PodHab_Críticoincrementado</v>
      </c>
      <c r="Y1197" s="2622" t="s">
        <v>9057</v>
      </c>
      <c r="Z1197" s="2619" t="s">
        <v>9058</v>
      </c>
      <c r="AA1197" s="2619" t="s">
        <v>9059</v>
      </c>
      <c r="AB1197" s="2619" t="s">
        <v>9060</v>
      </c>
      <c r="AC1197" s="2619" t="s">
        <v>9061</v>
      </c>
      <c r="AD1197" s="2619" t="s">
        <v>9062</v>
      </c>
      <c r="AE1197" s="2619" t="s">
        <v>9063</v>
      </c>
      <c r="AF1197" s="2619" t="s">
        <v>9064</v>
      </c>
      <c r="AG1197" s="2619" t="s">
        <v>9065</v>
      </c>
      <c r="AH1197" s="2619" t="s">
        <v>9066</v>
      </c>
      <c r="AI1197" s="2619"/>
      <c r="AJ1197" s="1767"/>
      <c r="AK1197" s="1767"/>
      <c r="AL1197" s="1767"/>
      <c r="AM1197" s="1767"/>
      <c r="AN1197" s="1767"/>
      <c r="AO1197" s="1767"/>
      <c r="AP1197" s="1767"/>
      <c r="AQ1197" s="1767"/>
      <c r="AR1197" s="1767"/>
      <c r="AS1197" s="1767"/>
      <c r="AT1197" s="1767"/>
      <c r="AU1197" s="1767"/>
      <c r="AV1197" s="1767"/>
      <c r="AW1197" s="1767"/>
      <c r="AX1197" s="1767"/>
      <c r="AY1197" s="1767"/>
      <c r="AZ1197" s="1767"/>
      <c r="BA1197" s="1767"/>
      <c r="BB1197" s="1767"/>
      <c r="BC1197" s="1767"/>
      <c r="BD1197" s="1767"/>
      <c r="BE1197" s="1767"/>
      <c r="BF1197" s="1767"/>
      <c r="BG1197" s="1767"/>
      <c r="BH1197" s="1767"/>
      <c r="BI1197" s="1767"/>
      <c r="BJ1197" s="1767"/>
      <c r="BK1197" s="2619"/>
      <c r="BL1197" s="2609"/>
      <c r="BM1197" s="2609"/>
      <c r="BN1197" s="2609"/>
      <c r="BO1197" s="2609"/>
      <c r="BP1197" s="2609"/>
      <c r="BQ1197" s="2609"/>
      <c r="BR1197" s="2609"/>
      <c r="BS1197" s="2609"/>
      <c r="BT1197" s="2609"/>
      <c r="BU1197" s="2609"/>
      <c r="BV1197" s="2609"/>
      <c r="BW1197" s="2609"/>
      <c r="BX1197" s="2609"/>
      <c r="BY1197" s="2609"/>
      <c r="BZ1197" s="2609"/>
      <c r="CA1197" s="2635"/>
    </row>
    <row r="1198" spans="1:79" ht="12.75" customHeight="1" x14ac:dyDescent="0.2">
      <c r="A1198" s="1916">
        <v>1198</v>
      </c>
      <c r="B1198" s="5148"/>
      <c r="C1198" s="2580"/>
      <c r="D1198" s="210"/>
      <c r="E1198" s="2583" t="s">
        <v>1556</v>
      </c>
      <c r="F1198" s="195">
        <v>5</v>
      </c>
      <c r="G1198" s="195">
        <v>10</v>
      </c>
      <c r="H1198" s="195">
        <f>COUNTIF(HabilidadesEsenciales_Adquiridas,Tablas!E1198)</f>
        <v>0</v>
      </c>
      <c r="I1198" s="2585"/>
      <c r="J1198" s="370"/>
      <c r="K1198" s="2576"/>
      <c r="M1198" s="1847"/>
      <c r="N1198" s="96"/>
      <c r="O1198" s="411" t="s">
        <v>9312</v>
      </c>
      <c r="P1198" s="2578">
        <v>5</v>
      </c>
      <c r="Q1198" s="503">
        <v>60</v>
      </c>
      <c r="R1198" s="2585">
        <f>COUNTIF(PoderesDeCriatura_Adquiridos,Tablas!O1198)</f>
        <v>0</v>
      </c>
      <c r="S1198" s="370"/>
      <c r="T1198" s="2576"/>
      <c r="V1198" s="2634" t="s">
        <v>10018</v>
      </c>
      <c r="W1198" s="2603"/>
      <c r="X1198" s="2172"/>
      <c r="Y1198" s="2622"/>
      <c r="Z1198" s="2619"/>
      <c r="AA1198" s="2619"/>
      <c r="AB1198" s="2619"/>
      <c r="AC1198" s="2619"/>
      <c r="AD1198" s="2619"/>
      <c r="AE1198" s="2619"/>
      <c r="AF1198" s="2619"/>
      <c r="AG1198" s="2619"/>
      <c r="AH1198" s="2619"/>
      <c r="AI1198" s="2619"/>
      <c r="AJ1198" s="1767"/>
      <c r="AK1198" s="1767"/>
      <c r="AL1198" s="1767"/>
      <c r="AM1198" s="1767"/>
      <c r="AN1198" s="1767"/>
      <c r="AO1198" s="1767"/>
      <c r="AP1198" s="1767"/>
      <c r="AQ1198" s="1767"/>
      <c r="AR1198" s="1767"/>
      <c r="AS1198" s="1767"/>
      <c r="AT1198" s="1767"/>
      <c r="AU1198" s="1767"/>
      <c r="AV1198" s="1767"/>
      <c r="AW1198" s="1767"/>
      <c r="AX1198" s="1767"/>
      <c r="AY1198" s="1767"/>
      <c r="AZ1198" s="1767"/>
      <c r="BA1198" s="1767"/>
      <c r="BB1198" s="1767"/>
      <c r="BC1198" s="1767"/>
      <c r="BD1198" s="1767"/>
      <c r="BE1198" s="1767"/>
      <c r="BF1198" s="1767"/>
      <c r="BG1198" s="1767"/>
      <c r="BH1198" s="1767"/>
      <c r="BI1198" s="1767"/>
      <c r="BJ1198" s="1767"/>
      <c r="BK1198" s="2619"/>
      <c r="BL1198" s="2609"/>
      <c r="BM1198" s="2609"/>
      <c r="BN1198" s="2609"/>
      <c r="BO1198" s="2609"/>
      <c r="BP1198" s="2609"/>
      <c r="BQ1198" s="2609"/>
      <c r="BR1198" s="2609"/>
      <c r="BS1198" s="2609"/>
      <c r="BT1198" s="2609"/>
      <c r="BU1198" s="2609"/>
      <c r="BV1198" s="2609"/>
      <c r="BW1198" s="2609"/>
      <c r="BX1198" s="2609"/>
      <c r="BY1198" s="2609"/>
      <c r="BZ1198" s="2609"/>
      <c r="CA1198" s="2635"/>
    </row>
    <row r="1199" spans="1:79" ht="12.75" customHeight="1" x14ac:dyDescent="0.2">
      <c r="A1199" s="1916">
        <v>1199</v>
      </c>
      <c r="B1199" s="5148"/>
      <c r="C1199" s="2580"/>
      <c r="D1199" s="210"/>
      <c r="E1199" s="2583" t="s">
        <v>1557</v>
      </c>
      <c r="F1199" s="195">
        <v>0</v>
      </c>
      <c r="G1199" s="195">
        <v>20</v>
      </c>
      <c r="H1199" s="195">
        <f>COUNTIF(HabilidadesEsenciales_Adquiridas,Tablas!E1199)</f>
        <v>0</v>
      </c>
      <c r="I1199" s="2585">
        <v>1</v>
      </c>
      <c r="J1199" s="370">
        <f>IF(H1203&gt;0,20,IF(H1201&gt;0,15,IF(H1199&gt;0,13,10)))</f>
        <v>10</v>
      </c>
      <c r="K1199" s="2576" t="s">
        <v>9996</v>
      </c>
      <c r="M1199" s="1847"/>
      <c r="N1199" s="96"/>
      <c r="O1199" s="411" t="s">
        <v>9313</v>
      </c>
      <c r="P1199" s="2578">
        <v>10</v>
      </c>
      <c r="Q1199" s="503">
        <v>80</v>
      </c>
      <c r="R1199" s="2585">
        <f>COUNTIF(PoderesDeCriatura_Adquiridos,Tablas!O1199)</f>
        <v>0</v>
      </c>
      <c r="S1199" s="370"/>
      <c r="T1199" s="2576"/>
      <c r="V1199" s="2634" t="s">
        <v>1956</v>
      </c>
      <c r="W1199" s="2603"/>
      <c r="X1199" s="2172" t="str">
        <f>IF(Y1199="","",SUBSTITUTE("PodHab_"&amp;V1199," ",""))</f>
        <v>PodHab_Dañoincrementado</v>
      </c>
      <c r="Y1199" s="2622" t="s">
        <v>9067</v>
      </c>
      <c r="Z1199" s="2619" t="s">
        <v>9068</v>
      </c>
      <c r="AA1199" s="2619" t="s">
        <v>9069</v>
      </c>
      <c r="AB1199" s="2619" t="s">
        <v>9070</v>
      </c>
      <c r="AC1199" s="2619" t="s">
        <v>9071</v>
      </c>
      <c r="AD1199" s="2619" t="s">
        <v>9072</v>
      </c>
      <c r="AE1199" s="2619" t="s">
        <v>9073</v>
      </c>
      <c r="AF1199" s="2619" t="s">
        <v>9074</v>
      </c>
      <c r="AG1199" s="2619" t="s">
        <v>9075</v>
      </c>
      <c r="AH1199" s="1767"/>
      <c r="AI1199" s="1767"/>
      <c r="AJ1199" s="1767"/>
      <c r="AK1199" s="1767"/>
      <c r="AL1199" s="1767"/>
      <c r="AM1199" s="1767"/>
      <c r="AN1199" s="1767"/>
      <c r="AO1199" s="1767"/>
      <c r="AP1199" s="1767"/>
      <c r="AQ1199" s="1767"/>
      <c r="AR1199" s="1767"/>
      <c r="AS1199" s="1767"/>
      <c r="AT1199" s="1767"/>
      <c r="AU1199" s="1767"/>
      <c r="AV1199" s="1767"/>
      <c r="AW1199" s="1767"/>
      <c r="AX1199" s="1767"/>
      <c r="AY1199" s="1767"/>
      <c r="AZ1199" s="1767"/>
      <c r="BA1199" s="1767"/>
      <c r="BB1199" s="1767"/>
      <c r="BC1199" s="1767"/>
      <c r="BD1199" s="1767"/>
      <c r="BE1199" s="1767"/>
      <c r="BF1199" s="1767"/>
      <c r="BG1199" s="1767"/>
      <c r="BH1199" s="1767"/>
      <c r="BI1199" s="1767"/>
      <c r="BJ1199" s="1767"/>
      <c r="BK1199" s="2619"/>
      <c r="BL1199" s="2609"/>
      <c r="BM1199" s="2609"/>
      <c r="BN1199" s="2609"/>
      <c r="BO1199" s="2609"/>
      <c r="BP1199" s="2609"/>
      <c r="BQ1199" s="2609"/>
      <c r="BR1199" s="2609"/>
      <c r="BS1199" s="2609"/>
      <c r="BT1199" s="2609"/>
      <c r="BU1199" s="2609"/>
      <c r="BV1199" s="2609"/>
      <c r="BW1199" s="2609"/>
      <c r="BX1199" s="2609"/>
      <c r="BY1199" s="2609"/>
      <c r="BZ1199" s="2609"/>
      <c r="CA1199" s="2635"/>
    </row>
    <row r="1200" spans="1:79" ht="12.75" customHeight="1" x14ac:dyDescent="0.2">
      <c r="A1200" s="1916">
        <v>1200</v>
      </c>
      <c r="B1200" s="5148"/>
      <c r="C1200" s="2580"/>
      <c r="D1200" s="210"/>
      <c r="E1200" s="2583" t="s">
        <v>1558</v>
      </c>
      <c r="F1200" s="195">
        <v>5</v>
      </c>
      <c r="G1200" s="195">
        <v>20</v>
      </c>
      <c r="H1200" s="195">
        <f>COUNTIF(HabilidadesEsenciales_Adquiridas,Tablas!E1200)</f>
        <v>0</v>
      </c>
      <c r="I1200" s="2585">
        <v>1</v>
      </c>
      <c r="J1200" s="370">
        <f>IF(H1204&gt;0,20,IF(H1202&gt;0,15,IF(H1200&gt;0,13,10)))</f>
        <v>10</v>
      </c>
      <c r="K1200" s="2576" t="s">
        <v>9997</v>
      </c>
      <c r="M1200" s="1847"/>
      <c r="N1200" s="96"/>
      <c r="O1200" s="411" t="s">
        <v>9314</v>
      </c>
      <c r="P1200" s="2578">
        <v>15</v>
      </c>
      <c r="Q1200" s="503">
        <v>100</v>
      </c>
      <c r="R1200" s="2585">
        <f>COUNTIF(PoderesDeCriatura_Adquiridos,Tablas!O1200)</f>
        <v>0</v>
      </c>
      <c r="S1200" s="370"/>
      <c r="T1200" s="2576"/>
      <c r="V1200" s="2634" t="s">
        <v>8963</v>
      </c>
      <c r="W1200" s="2603"/>
      <c r="X1200" s="2172" t="str">
        <f>IF(Y1200="","",SUBSTITUTE("PodHab_"&amp;V1200," ",""))</f>
        <v>PodHab_Efectomísticoañadido</v>
      </c>
      <c r="Y1200" s="2622" t="s">
        <v>9076</v>
      </c>
      <c r="Z1200" s="2619" t="s">
        <v>9077</v>
      </c>
      <c r="AA1200" s="2619" t="s">
        <v>6089</v>
      </c>
      <c r="AB1200" s="2619" t="s">
        <v>6090</v>
      </c>
      <c r="AC1200" s="2619" t="s">
        <v>5180</v>
      </c>
      <c r="AD1200" s="2619" t="s">
        <v>5181</v>
      </c>
      <c r="AE1200" s="2619" t="s">
        <v>5182</v>
      </c>
      <c r="AF1200" s="2619" t="s">
        <v>5183</v>
      </c>
      <c r="AG1200" s="2619" t="s">
        <v>9078</v>
      </c>
      <c r="AH1200" s="2619" t="s">
        <v>4350</v>
      </c>
      <c r="AI1200" s="2619" t="s">
        <v>896</v>
      </c>
      <c r="AJ1200" s="2619" t="s">
        <v>4342</v>
      </c>
      <c r="AK1200" s="2619" t="s">
        <v>9079</v>
      </c>
      <c r="AL1200" s="2619" t="s">
        <v>718</v>
      </c>
      <c r="AM1200" s="2619" t="s">
        <v>9080</v>
      </c>
      <c r="AN1200" s="2619" t="s">
        <v>9081</v>
      </c>
      <c r="AO1200" s="2619" t="s">
        <v>844</v>
      </c>
      <c r="AP1200" s="2619" t="s">
        <v>705</v>
      </c>
      <c r="AQ1200" s="2619" t="s">
        <v>706</v>
      </c>
      <c r="AR1200" s="2619" t="s">
        <v>707</v>
      </c>
      <c r="AS1200" s="2619" t="s">
        <v>4346</v>
      </c>
      <c r="AT1200" s="2619" t="s">
        <v>9082</v>
      </c>
      <c r="AU1200" s="2619" t="s">
        <v>9083</v>
      </c>
      <c r="AV1200" s="2619" t="s">
        <v>4349</v>
      </c>
      <c r="AW1200" s="2619" t="s">
        <v>733</v>
      </c>
      <c r="AX1200" s="2619" t="s">
        <v>84</v>
      </c>
      <c r="AY1200" s="2619" t="s">
        <v>40</v>
      </c>
      <c r="AZ1200" s="2619" t="s">
        <v>9084</v>
      </c>
      <c r="BA1200" s="2619" t="s">
        <v>9085</v>
      </c>
      <c r="BB1200" s="2619" t="s">
        <v>9086</v>
      </c>
      <c r="BC1200" s="2619" t="s">
        <v>9087</v>
      </c>
      <c r="BD1200" s="2619" t="s">
        <v>755</v>
      </c>
      <c r="BE1200" s="2619" t="s">
        <v>9088</v>
      </c>
      <c r="BF1200" s="2619" t="s">
        <v>9089</v>
      </c>
      <c r="BG1200" s="2619" t="s">
        <v>9090</v>
      </c>
      <c r="BH1200" s="2619" t="s">
        <v>9091</v>
      </c>
      <c r="BI1200" s="2619" t="s">
        <v>9092</v>
      </c>
      <c r="BJ1200" s="2619"/>
      <c r="BK1200" s="2619"/>
      <c r="BL1200" s="2609"/>
      <c r="BM1200" s="2609"/>
      <c r="BN1200" s="2609"/>
      <c r="BO1200" s="2609"/>
      <c r="BP1200" s="2609"/>
      <c r="BQ1200" s="2609"/>
      <c r="BR1200" s="2609"/>
      <c r="BS1200" s="2609"/>
      <c r="BT1200" s="2609"/>
      <c r="BU1200" s="2609"/>
      <c r="BV1200" s="2609"/>
      <c r="BW1200" s="2609"/>
      <c r="BX1200" s="2609"/>
      <c r="BY1200" s="2609"/>
      <c r="BZ1200" s="2609"/>
      <c r="CA1200" s="2635"/>
    </row>
    <row r="1201" spans="1:79" ht="12.75" customHeight="1" x14ac:dyDescent="0.2">
      <c r="A1201" s="1916">
        <v>1201</v>
      </c>
      <c r="B1201" s="5148"/>
      <c r="C1201" s="2580"/>
      <c r="D1201" s="210"/>
      <c r="E1201" s="2583" t="s">
        <v>1559</v>
      </c>
      <c r="F1201" s="195">
        <v>20</v>
      </c>
      <c r="G1201" s="195">
        <v>40</v>
      </c>
      <c r="H1201" s="195">
        <f>COUNTIF(HabilidadesEsenciales_Adquiridas,Tablas!E1201)</f>
        <v>0</v>
      </c>
      <c r="I1201" s="2585">
        <v>1</v>
      </c>
      <c r="J1201" s="370"/>
      <c r="K1201" s="2576"/>
      <c r="M1201" s="1847"/>
      <c r="N1201" s="96"/>
      <c r="O1201" s="411" t="s">
        <v>9315</v>
      </c>
      <c r="P1201" s="2578">
        <v>0</v>
      </c>
      <c r="Q1201" s="503">
        <v>10</v>
      </c>
      <c r="R1201" s="2585">
        <f>COUNTIF(PoderesDeCriatura_Adquiridos,Tablas!O1201)</f>
        <v>0</v>
      </c>
      <c r="S1201" s="370"/>
      <c r="T1201" s="2576"/>
      <c r="V1201" s="2634" t="s">
        <v>8961</v>
      </c>
      <c r="W1201" s="2603"/>
      <c r="X1201" s="2172" t="str">
        <f>IF(Y1201="","",SUBSTITUTE("PodHab_"&amp;V1201," ",""))</f>
        <v>PodHab_Modificadordearmadura</v>
      </c>
      <c r="Y1201" s="2622" t="s">
        <v>9093</v>
      </c>
      <c r="Z1201" s="2619" t="s">
        <v>9094</v>
      </c>
      <c r="AA1201" s="2619" t="s">
        <v>9095</v>
      </c>
      <c r="AB1201" s="2619" t="s">
        <v>9096</v>
      </c>
      <c r="AC1201" s="2619" t="s">
        <v>9097</v>
      </c>
      <c r="AD1201" s="1767"/>
      <c r="AE1201" s="1767"/>
      <c r="AF1201" s="1767"/>
      <c r="AG1201" s="1767"/>
      <c r="AH1201" s="1767"/>
      <c r="AI1201" s="1767"/>
      <c r="AJ1201" s="1767"/>
      <c r="AK1201" s="1767"/>
      <c r="AL1201" s="1767"/>
      <c r="AM1201" s="1767"/>
      <c r="AN1201" s="1767"/>
      <c r="AO1201" s="1767"/>
      <c r="AP1201" s="1767"/>
      <c r="AQ1201" s="1767"/>
      <c r="AR1201" s="1767"/>
      <c r="AS1201" s="1767"/>
      <c r="AT1201" s="1767"/>
      <c r="AU1201" s="1767"/>
      <c r="AV1201" s="1767"/>
      <c r="AW1201" s="1767"/>
      <c r="AX1201" s="1767"/>
      <c r="AY1201" s="1767"/>
      <c r="AZ1201" s="1767"/>
      <c r="BA1201" s="1767"/>
      <c r="BB1201" s="1767"/>
      <c r="BC1201" s="1767"/>
      <c r="BD1201" s="1767"/>
      <c r="BE1201" s="1767"/>
      <c r="BF1201" s="1767"/>
      <c r="BG1201" s="1767"/>
      <c r="BH1201" s="1767"/>
      <c r="BI1201" s="1767"/>
      <c r="BJ1201" s="1767"/>
      <c r="BK1201" s="2619"/>
      <c r="BL1201" s="2609"/>
      <c r="BM1201" s="2609"/>
      <c r="BN1201" s="2609"/>
      <c r="BO1201" s="2609"/>
      <c r="BP1201" s="2609"/>
      <c r="BQ1201" s="2609"/>
      <c r="BR1201" s="2609"/>
      <c r="BS1201" s="2609"/>
      <c r="BT1201" s="2609"/>
      <c r="BU1201" s="2609"/>
      <c r="BV1201" s="2609"/>
      <c r="BW1201" s="2609"/>
      <c r="BX1201" s="2609"/>
      <c r="BY1201" s="2609"/>
      <c r="BZ1201" s="2609"/>
      <c r="CA1201" s="2635"/>
    </row>
    <row r="1202" spans="1:79" ht="12.75" customHeight="1" x14ac:dyDescent="0.2">
      <c r="A1202" s="1916">
        <v>1202</v>
      </c>
      <c r="B1202" s="5148"/>
      <c r="C1202" s="2580"/>
      <c r="D1202" s="210"/>
      <c r="E1202" s="2583" t="s">
        <v>1560</v>
      </c>
      <c r="F1202" s="195">
        <v>20</v>
      </c>
      <c r="G1202" s="195">
        <v>40</v>
      </c>
      <c r="H1202" s="195">
        <f>COUNTIF(HabilidadesEsenciales_Adquiridas,Tablas!E1202)</f>
        <v>0</v>
      </c>
      <c r="I1202" s="2585">
        <v>1</v>
      </c>
      <c r="J1202" s="370"/>
      <c r="K1202" s="2576"/>
      <c r="M1202" s="1847"/>
      <c r="N1202" s="96"/>
      <c r="O1202" s="411" t="s">
        <v>9316</v>
      </c>
      <c r="P1202" s="2578">
        <v>0</v>
      </c>
      <c r="Q1202" s="503">
        <v>20</v>
      </c>
      <c r="R1202" s="2585">
        <f>COUNTIF(PoderesDeCriatura_Adquiridos,Tablas!O1202)</f>
        <v>0</v>
      </c>
      <c r="S1202" s="370"/>
      <c r="T1202" s="2576"/>
      <c r="V1202" s="2634" t="s">
        <v>8964</v>
      </c>
      <c r="W1202" s="2603"/>
      <c r="X1202" s="2172" t="str">
        <f>IF(Y1202="","",SUBSTITUTE("PodHab_"&amp;V1202," ",""))</f>
        <v>PodHab_Presaespecial</v>
      </c>
      <c r="Y1202" s="2622" t="s">
        <v>9098</v>
      </c>
      <c r="Z1202" s="2619" t="s">
        <v>9099</v>
      </c>
      <c r="AA1202" s="2619" t="s">
        <v>9100</v>
      </c>
      <c r="AB1202" s="2619" t="s">
        <v>9101</v>
      </c>
      <c r="AC1202" s="2619" t="s">
        <v>9102</v>
      </c>
      <c r="AD1202" s="2619" t="s">
        <v>9103</v>
      </c>
      <c r="AE1202" s="1767"/>
      <c r="AF1202" s="1767"/>
      <c r="AG1202" s="1767"/>
      <c r="AH1202" s="1767"/>
      <c r="AI1202" s="1767"/>
      <c r="AJ1202" s="1767"/>
      <c r="AK1202" s="1767"/>
      <c r="AL1202" s="1767"/>
      <c r="AM1202" s="1767"/>
      <c r="AN1202" s="1767"/>
      <c r="AO1202" s="1767"/>
      <c r="AP1202" s="1767"/>
      <c r="AQ1202" s="1767"/>
      <c r="AR1202" s="1767"/>
      <c r="AS1202" s="1767"/>
      <c r="AT1202" s="1767"/>
      <c r="AU1202" s="1767"/>
      <c r="AV1202" s="1767"/>
      <c r="AW1202" s="1767"/>
      <c r="AX1202" s="1767"/>
      <c r="AY1202" s="1767"/>
      <c r="AZ1202" s="1767"/>
      <c r="BA1202" s="1767"/>
      <c r="BB1202" s="1767"/>
      <c r="BC1202" s="1767"/>
      <c r="BD1202" s="1767"/>
      <c r="BE1202" s="1767"/>
      <c r="BF1202" s="1767"/>
      <c r="BG1202" s="1767"/>
      <c r="BH1202" s="1767"/>
      <c r="BI1202" s="1767"/>
      <c r="BJ1202" s="1767"/>
      <c r="BK1202" s="2619"/>
      <c r="BL1202" s="2609"/>
      <c r="BM1202" s="2609"/>
      <c r="BN1202" s="2609"/>
      <c r="BO1202" s="2609"/>
      <c r="BP1202" s="2609"/>
      <c r="BQ1202" s="2609"/>
      <c r="BR1202" s="2609"/>
      <c r="BS1202" s="2609"/>
      <c r="BT1202" s="2609"/>
      <c r="BU1202" s="2609"/>
      <c r="BV1202" s="2609"/>
      <c r="BW1202" s="2609"/>
      <c r="BX1202" s="2609"/>
      <c r="BY1202" s="2609"/>
      <c r="BZ1202" s="2609"/>
      <c r="CA1202" s="2635"/>
    </row>
    <row r="1203" spans="1:79" ht="12.75" customHeight="1" x14ac:dyDescent="0.2">
      <c r="A1203" s="1916">
        <v>1203</v>
      </c>
      <c r="B1203" s="5148"/>
      <c r="C1203" s="2580"/>
      <c r="D1203" s="210"/>
      <c r="E1203" s="2583" t="s">
        <v>1561</v>
      </c>
      <c r="F1203" s="195">
        <v>30</v>
      </c>
      <c r="G1203" s="195">
        <v>80</v>
      </c>
      <c r="H1203" s="195">
        <f>COUNTIF(HabilidadesEsenciales_Adquiridas,Tablas!E1203)</f>
        <v>0</v>
      </c>
      <c r="I1203" s="2585">
        <v>1</v>
      </c>
      <c r="J1203" s="370"/>
      <c r="K1203" s="2576"/>
      <c r="M1203" s="1847"/>
      <c r="N1203" s="96"/>
      <c r="O1203" s="411" t="s">
        <v>9317</v>
      </c>
      <c r="P1203" s="2578">
        <v>0</v>
      </c>
      <c r="Q1203" s="503">
        <v>30</v>
      </c>
      <c r="R1203" s="2585">
        <f>COUNTIF(PoderesDeCriatura_Adquiridos,Tablas!O1203)</f>
        <v>0</v>
      </c>
      <c r="S1203" s="370"/>
      <c r="T1203" s="2576"/>
      <c r="V1203" s="2634" t="s">
        <v>8960</v>
      </c>
      <c r="W1203" s="2603"/>
      <c r="X1203" s="2172" t="str">
        <f>IF(Y1203="","",SUBSTITUTE("PodHab_"&amp;V1203," ",""))</f>
        <v>PodHab_Reacciónincrementada</v>
      </c>
      <c r="Y1203" s="2622" t="s">
        <v>9104</v>
      </c>
      <c r="Z1203" s="2619" t="s">
        <v>9105</v>
      </c>
      <c r="AA1203" s="2619" t="s">
        <v>9106</v>
      </c>
      <c r="AB1203" s="1767"/>
      <c r="AC1203" s="1767"/>
      <c r="AD1203" s="1767"/>
      <c r="AE1203" s="1767"/>
      <c r="AF1203" s="1767"/>
      <c r="AG1203" s="1767"/>
      <c r="AH1203" s="1767"/>
      <c r="AI1203" s="1767"/>
      <c r="AJ1203" s="1767"/>
      <c r="AK1203" s="1767"/>
      <c r="AL1203" s="1767"/>
      <c r="AM1203" s="1767"/>
      <c r="AN1203" s="1767"/>
      <c r="AO1203" s="1767"/>
      <c r="AP1203" s="1767"/>
      <c r="AQ1203" s="1767"/>
      <c r="AR1203" s="1767"/>
      <c r="AS1203" s="1767"/>
      <c r="AT1203" s="1767"/>
      <c r="AU1203" s="1767"/>
      <c r="AV1203" s="1767"/>
      <c r="AW1203" s="1767"/>
      <c r="AX1203" s="1767"/>
      <c r="AY1203" s="1767"/>
      <c r="AZ1203" s="1767"/>
      <c r="BA1203" s="1767"/>
      <c r="BB1203" s="1767"/>
      <c r="BC1203" s="1767"/>
      <c r="BD1203" s="1767"/>
      <c r="BE1203" s="1767"/>
      <c r="BF1203" s="1767"/>
      <c r="BG1203" s="1767"/>
      <c r="BH1203" s="1767"/>
      <c r="BI1203" s="1767"/>
      <c r="BJ1203" s="1767"/>
      <c r="BK1203" s="2619"/>
      <c r="BL1203" s="2609"/>
      <c r="BM1203" s="2609"/>
      <c r="BN1203" s="2609"/>
      <c r="BO1203" s="2609"/>
      <c r="BP1203" s="2609"/>
      <c r="BQ1203" s="2609"/>
      <c r="BR1203" s="2609"/>
      <c r="BS1203" s="2609"/>
      <c r="BT1203" s="2609"/>
      <c r="BU1203" s="2609"/>
      <c r="BV1203" s="2609"/>
      <c r="BW1203" s="2609"/>
      <c r="BX1203" s="2609"/>
      <c r="BY1203" s="2609"/>
      <c r="BZ1203" s="2609"/>
      <c r="CA1203" s="2635"/>
    </row>
    <row r="1204" spans="1:79" ht="12.75" customHeight="1" x14ac:dyDescent="0.2">
      <c r="A1204" s="1916">
        <v>1204</v>
      </c>
      <c r="B1204" s="5148"/>
      <c r="C1204" s="2580"/>
      <c r="D1204" s="210"/>
      <c r="E1204" s="2583" t="s">
        <v>1562</v>
      </c>
      <c r="F1204" s="195">
        <v>35</v>
      </c>
      <c r="G1204" s="195">
        <v>80</v>
      </c>
      <c r="H1204" s="195">
        <f>COUNTIF(HabilidadesEsenciales_Adquiridas,Tablas!E1204)</f>
        <v>0</v>
      </c>
      <c r="I1204" s="2585">
        <v>1</v>
      </c>
      <c r="J1204" s="370"/>
      <c r="K1204" s="2576"/>
      <c r="M1204" s="1847"/>
      <c r="N1204" s="96"/>
      <c r="O1204" s="411" t="s">
        <v>9318</v>
      </c>
      <c r="P1204" s="2578">
        <v>0</v>
      </c>
      <c r="Q1204" s="503">
        <v>40</v>
      </c>
      <c r="R1204" s="2585">
        <f>COUNTIF(PoderesDeCriatura_Adquiridos,Tablas!O1204)</f>
        <v>0</v>
      </c>
      <c r="S1204" s="370"/>
      <c r="T1204" s="2576"/>
      <c r="V1204" s="2634" t="s">
        <v>1611</v>
      </c>
      <c r="W1204" s="2016"/>
      <c r="X1204" s="2172"/>
      <c r="Y1204" s="2622" t="s">
        <v>8500</v>
      </c>
      <c r="Z1204" s="2619"/>
      <c r="AA1204" s="2619"/>
      <c r="AB1204" s="2619"/>
      <c r="AC1204" s="2619"/>
      <c r="AD1204" s="2619"/>
      <c r="AE1204" s="2619"/>
      <c r="AF1204" s="2619"/>
      <c r="AG1204" s="2619"/>
      <c r="AH1204" s="2619"/>
      <c r="AI1204" s="2619"/>
      <c r="AJ1204" s="2619"/>
      <c r="AK1204" s="2619"/>
      <c r="AL1204" s="2619"/>
      <c r="AM1204" s="2619"/>
      <c r="AN1204" s="2619"/>
      <c r="AO1204" s="2619"/>
      <c r="AP1204" s="2619"/>
      <c r="AQ1204" s="2619"/>
      <c r="AR1204" s="2619"/>
      <c r="AS1204" s="2619"/>
      <c r="AT1204" s="2619"/>
      <c r="AU1204" s="2619"/>
      <c r="AV1204" s="2619"/>
      <c r="AW1204" s="2619"/>
      <c r="AX1204" s="2619"/>
      <c r="AY1204" s="2619"/>
      <c r="AZ1204" s="2619"/>
      <c r="BA1204" s="2619"/>
      <c r="BB1204" s="2619"/>
      <c r="BC1204" s="2619"/>
      <c r="BD1204" s="2619"/>
      <c r="BE1204" s="2619"/>
      <c r="BF1204" s="2619"/>
      <c r="BG1204" s="2619"/>
      <c r="BH1204" s="2619"/>
      <c r="BI1204" s="2619"/>
      <c r="BJ1204" s="2619"/>
      <c r="BK1204" s="2619"/>
      <c r="BL1204" s="2609"/>
      <c r="BM1204" s="2609"/>
      <c r="BN1204" s="2609"/>
      <c r="BO1204" s="2609"/>
      <c r="BP1204" s="2609"/>
      <c r="BQ1204" s="2609"/>
      <c r="BR1204" s="2609"/>
      <c r="BS1204" s="2609"/>
      <c r="BT1204" s="2609"/>
      <c r="BU1204" s="2609"/>
      <c r="BV1204" s="2609"/>
      <c r="BW1204" s="2609"/>
      <c r="BX1204" s="2609"/>
      <c r="BY1204" s="2609"/>
      <c r="BZ1204" s="2609"/>
      <c r="CA1204" s="2635"/>
    </row>
    <row r="1205" spans="1:79" ht="12.75" customHeight="1" x14ac:dyDescent="0.2">
      <c r="A1205" s="1916">
        <v>1205</v>
      </c>
      <c r="B1205" s="5148"/>
      <c r="C1205" s="2580"/>
      <c r="D1205" s="210"/>
      <c r="E1205" s="2583" t="s">
        <v>9767</v>
      </c>
      <c r="F1205" s="195">
        <v>0</v>
      </c>
      <c r="G1205" s="195">
        <v>20</v>
      </c>
      <c r="H1205" s="195">
        <f>COUNTIF(HabilidadesEsenciales_Adquiridas,Tablas!E1205)</f>
        <v>0</v>
      </c>
      <c r="I1205" s="2585">
        <v>1</v>
      </c>
      <c r="J1205" s="370">
        <f t="array" ref="J1205">MAX({1;2;3;4;5}*H1205:H1209)</f>
        <v>0</v>
      </c>
      <c r="K1205" s="2576" t="s">
        <v>1682</v>
      </c>
      <c r="M1205" s="1847"/>
      <c r="N1205" s="96"/>
      <c r="O1205" s="411" t="s">
        <v>9319</v>
      </c>
      <c r="P1205" s="2578">
        <v>5</v>
      </c>
      <c r="Q1205" s="503">
        <v>50</v>
      </c>
      <c r="R1205" s="2585">
        <f>COUNTIF(PoderesDeCriatura_Adquiridos,Tablas!O1205)</f>
        <v>0</v>
      </c>
      <c r="S1205" s="370"/>
      <c r="T1205" s="2576"/>
      <c r="V1205" s="2634" t="s">
        <v>8983</v>
      </c>
      <c r="W1205" s="2016"/>
      <c r="X1205" s="2172" t="str">
        <f>IF(Y1205="","",SUBSTITUTE("PodHab_"&amp;V1205," ",""))</f>
        <v>PodHab_Desplazamientoespecial</v>
      </c>
      <c r="Y1205" s="2622" t="s">
        <v>2925</v>
      </c>
      <c r="Z1205" s="2619" t="s">
        <v>1612</v>
      </c>
      <c r="AA1205" s="2619" t="s">
        <v>1613</v>
      </c>
      <c r="AB1205" s="2619" t="s">
        <v>1614</v>
      </c>
      <c r="AC1205" s="2619" t="s">
        <v>1615</v>
      </c>
      <c r="AD1205" s="2619" t="s">
        <v>1616</v>
      </c>
      <c r="AE1205" s="2619"/>
      <c r="AF1205" s="2619"/>
      <c r="AG1205" s="2619"/>
      <c r="AH1205" s="2619"/>
      <c r="AI1205" s="2619"/>
      <c r="AJ1205" s="2619"/>
      <c r="AK1205" s="2619"/>
      <c r="AL1205" s="2619"/>
      <c r="AM1205" s="2619"/>
      <c r="AN1205" s="2619"/>
      <c r="AO1205" s="2619"/>
      <c r="AP1205" s="2619"/>
      <c r="AQ1205" s="2619"/>
      <c r="AR1205" s="2619"/>
      <c r="AS1205" s="2619"/>
      <c r="AT1205" s="2619"/>
      <c r="AU1205" s="2619"/>
      <c r="AV1205" s="2619"/>
      <c r="AW1205" s="2619"/>
      <c r="AX1205" s="2619"/>
      <c r="AY1205" s="2619"/>
      <c r="AZ1205" s="2619"/>
      <c r="BA1205" s="2619"/>
      <c r="BB1205" s="2619"/>
      <c r="BC1205" s="2619"/>
      <c r="BD1205" s="2619"/>
      <c r="BE1205" s="2619"/>
      <c r="BF1205" s="2619"/>
      <c r="BG1205" s="2619"/>
      <c r="BH1205" s="2619"/>
      <c r="BI1205" s="2619"/>
      <c r="BJ1205" s="2619"/>
      <c r="BK1205" s="2619"/>
      <c r="BL1205" s="2609"/>
      <c r="BM1205" s="2609"/>
      <c r="BN1205" s="2609"/>
      <c r="BO1205" s="2609"/>
      <c r="BP1205" s="2609"/>
      <c r="BQ1205" s="2609"/>
      <c r="BR1205" s="2609"/>
      <c r="BS1205" s="2609"/>
      <c r="BT1205" s="2609"/>
      <c r="BU1205" s="2609"/>
      <c r="BV1205" s="2609"/>
      <c r="BW1205" s="2609"/>
      <c r="BX1205" s="2609"/>
      <c r="BY1205" s="2609"/>
      <c r="BZ1205" s="2609"/>
      <c r="CA1205" s="2635"/>
    </row>
    <row r="1206" spans="1:79" ht="12.75" customHeight="1" x14ac:dyDescent="0.2">
      <c r="A1206" s="1916">
        <v>1206</v>
      </c>
      <c r="B1206" s="5148"/>
      <c r="C1206" s="2580"/>
      <c r="D1206" s="210"/>
      <c r="E1206" s="2583" t="s">
        <v>9768</v>
      </c>
      <c r="F1206" s="195">
        <v>5</v>
      </c>
      <c r="G1206" s="195">
        <v>40</v>
      </c>
      <c r="H1206" s="195">
        <f>COUNTIF(HabilidadesEsenciales_Adquiridas,Tablas!E1206)</f>
        <v>0</v>
      </c>
      <c r="I1206" s="2585">
        <v>1</v>
      </c>
      <c r="J1206" s="370">
        <f t="array" ref="J1206">MAX({1;2;3;4;5}*H1210:H1214)</f>
        <v>0</v>
      </c>
      <c r="K1206" s="2576" t="s">
        <v>1809</v>
      </c>
      <c r="M1206" s="1847"/>
      <c r="N1206" s="96"/>
      <c r="O1206" s="411" t="s">
        <v>9320</v>
      </c>
      <c r="P1206" s="2578">
        <v>10</v>
      </c>
      <c r="Q1206" s="503">
        <v>60</v>
      </c>
      <c r="R1206" s="2585">
        <f>COUNTIF(PoderesDeCriatura_Adquiridos,Tablas!O1206)</f>
        <v>0</v>
      </c>
      <c r="S1206" s="370"/>
      <c r="T1206" s="2576"/>
      <c r="V1206" s="2634" t="s">
        <v>9001</v>
      </c>
      <c r="W1206" s="2603"/>
      <c r="X1206" s="2172" t="str">
        <f>IF(Y1206="","",SUBSTITUTE("PodHab_"&amp;V1206," ",""))</f>
        <v>PodHab_Transporteautomático</v>
      </c>
      <c r="Y1206" s="2622" t="s">
        <v>9107</v>
      </c>
      <c r="Z1206" s="2619" t="s">
        <v>7523</v>
      </c>
      <c r="AA1206" s="2619" t="s">
        <v>7150</v>
      </c>
      <c r="AB1206" s="2619" t="s">
        <v>7596</v>
      </c>
      <c r="AC1206" s="2619" t="s">
        <v>7151</v>
      </c>
      <c r="AD1206" s="2619" t="s">
        <v>7508</v>
      </c>
      <c r="AE1206" s="2619" t="s">
        <v>7525</v>
      </c>
      <c r="AF1206" s="2619" t="s">
        <v>9108</v>
      </c>
      <c r="AG1206" s="2619" t="s">
        <v>7154</v>
      </c>
      <c r="AH1206" s="2619" t="s">
        <v>9109</v>
      </c>
      <c r="AI1206" s="2619" t="s">
        <v>9040</v>
      </c>
      <c r="AJ1206" s="2619" t="s">
        <v>9041</v>
      </c>
      <c r="AK1206" s="2619" t="s">
        <v>9042</v>
      </c>
      <c r="AL1206" s="2619" t="s">
        <v>9045</v>
      </c>
      <c r="AM1206" s="2619" t="s">
        <v>9046</v>
      </c>
      <c r="AN1206" s="2619" t="s">
        <v>9110</v>
      </c>
      <c r="AO1206" s="2619"/>
      <c r="AP1206" s="2619"/>
      <c r="AQ1206" s="2619"/>
      <c r="AR1206" s="2619"/>
      <c r="AS1206" s="2619"/>
      <c r="AT1206" s="2619"/>
      <c r="AU1206" s="2619"/>
      <c r="AV1206" s="2619"/>
      <c r="AW1206" s="2619"/>
      <c r="AX1206" s="2619"/>
      <c r="AY1206" s="2619"/>
      <c r="AZ1206" s="2619"/>
      <c r="BA1206" s="2619"/>
      <c r="BB1206" s="2619"/>
      <c r="BC1206" s="2619"/>
      <c r="BD1206" s="2619"/>
      <c r="BE1206" s="2619"/>
      <c r="BF1206" s="2619"/>
      <c r="BG1206" s="2619"/>
      <c r="BH1206" s="2619"/>
      <c r="BI1206" s="2619"/>
      <c r="BJ1206" s="2619"/>
      <c r="BK1206" s="2619"/>
      <c r="BL1206" s="2609"/>
      <c r="BM1206" s="2609"/>
      <c r="BN1206" s="2609"/>
      <c r="BO1206" s="2609"/>
      <c r="BP1206" s="2609"/>
      <c r="BQ1206" s="2609"/>
      <c r="BR1206" s="2609"/>
      <c r="BS1206" s="2609"/>
      <c r="BT1206" s="2609"/>
      <c r="BU1206" s="2609"/>
      <c r="BV1206" s="2609"/>
      <c r="BW1206" s="2609"/>
      <c r="BX1206" s="2609"/>
      <c r="BY1206" s="2609"/>
      <c r="BZ1206" s="2609"/>
      <c r="CA1206" s="2635"/>
    </row>
    <row r="1207" spans="1:79" ht="12.75" customHeight="1" x14ac:dyDescent="0.2">
      <c r="A1207" s="1916">
        <v>1207</v>
      </c>
      <c r="B1207" s="5148"/>
      <c r="C1207" s="2580"/>
      <c r="D1207" s="210"/>
      <c r="E1207" s="2583" t="s">
        <v>9769</v>
      </c>
      <c r="F1207" s="195">
        <v>15</v>
      </c>
      <c r="G1207" s="195">
        <v>60</v>
      </c>
      <c r="H1207" s="195">
        <f>COUNTIF(HabilidadesEsenciales_Adquiridas,Tablas!E1207)</f>
        <v>0</v>
      </c>
      <c r="I1207" s="2585">
        <v>1</v>
      </c>
      <c r="J1207" s="370">
        <f t="array" ref="J1207">MAX({1;2;3;4;5}*H1215:H1219)</f>
        <v>0</v>
      </c>
      <c r="K1207" s="2576" t="s">
        <v>1687</v>
      </c>
      <c r="M1207" s="1847"/>
      <c r="N1207" s="96"/>
      <c r="O1207" s="411" t="s">
        <v>9321</v>
      </c>
      <c r="P1207" s="2578">
        <v>20</v>
      </c>
      <c r="Q1207" s="503">
        <v>80</v>
      </c>
      <c r="R1207" s="2585">
        <f>COUNTIF(PoderesDeCriatura_Adquiridos,Tablas!O1207)</f>
        <v>0</v>
      </c>
      <c r="S1207" s="370"/>
      <c r="T1207" s="2576"/>
      <c r="V1207" s="2634" t="s">
        <v>9002</v>
      </c>
      <c r="W1207" s="2603"/>
      <c r="X1207" s="2172" t="str">
        <f>IF(Y1207="","",SUBSTITUTE("PodHab_"&amp;V1207," ",""))</f>
        <v>PodHab_Tipodemovimiento</v>
      </c>
      <c r="Y1207" s="2622" t="str">
        <f t="shared" ref="Y1207:AB1207" si="139">"+"&amp;A1</f>
        <v>+1</v>
      </c>
      <c r="Z1207" s="2619" t="str">
        <f t="shared" si="139"/>
        <v>+2</v>
      </c>
      <c r="AA1207" s="2619" t="str">
        <f t="shared" si="139"/>
        <v>+3</v>
      </c>
      <c r="AB1207" s="2619" t="str">
        <f t="shared" si="139"/>
        <v>+4</v>
      </c>
      <c r="AC1207" s="2619"/>
      <c r="AD1207" s="2619"/>
      <c r="AE1207" s="2619"/>
      <c r="AF1207" s="2619"/>
      <c r="AG1207" s="2619"/>
      <c r="AH1207" s="2619"/>
      <c r="AI1207" s="2619"/>
      <c r="AJ1207" s="2619"/>
      <c r="AK1207" s="2619"/>
      <c r="AL1207" s="2619"/>
      <c r="AM1207" s="2619"/>
      <c r="AN1207" s="2619"/>
      <c r="AO1207" s="2619"/>
      <c r="AP1207" s="2619"/>
      <c r="AQ1207" s="2619"/>
      <c r="AR1207" s="2619"/>
      <c r="AS1207" s="2619"/>
      <c r="AT1207" s="2619"/>
      <c r="AU1207" s="2619"/>
      <c r="AV1207" s="2619"/>
      <c r="AW1207" s="2619"/>
      <c r="AX1207" s="2619"/>
      <c r="AY1207" s="2619"/>
      <c r="AZ1207" s="2619"/>
      <c r="BA1207" s="2619"/>
      <c r="BB1207" s="2619"/>
      <c r="BC1207" s="2619"/>
      <c r="BD1207" s="2619"/>
      <c r="BE1207" s="2619"/>
      <c r="BF1207" s="2619"/>
      <c r="BG1207" s="2619"/>
      <c r="BH1207" s="2619"/>
      <c r="BI1207" s="2619"/>
      <c r="BJ1207" s="2619"/>
      <c r="BK1207" s="2619"/>
      <c r="BL1207" s="2609"/>
      <c r="BM1207" s="2609"/>
      <c r="BN1207" s="2609"/>
      <c r="BO1207" s="2609"/>
      <c r="BP1207" s="2609"/>
      <c r="BQ1207" s="2609"/>
      <c r="BR1207" s="2609"/>
      <c r="BS1207" s="2609"/>
      <c r="BT1207" s="2609"/>
      <c r="BU1207" s="2609"/>
      <c r="BV1207" s="2609"/>
      <c r="BW1207" s="2609"/>
      <c r="BX1207" s="2609"/>
      <c r="BY1207" s="2609"/>
      <c r="BZ1207" s="2609"/>
      <c r="CA1207" s="2635"/>
    </row>
    <row r="1208" spans="1:79" ht="12.75" customHeight="1" x14ac:dyDescent="0.2">
      <c r="A1208" s="1916">
        <v>1208</v>
      </c>
      <c r="B1208" s="5148"/>
      <c r="C1208" s="2580"/>
      <c r="D1208" s="210"/>
      <c r="E1208" s="2583" t="s">
        <v>9770</v>
      </c>
      <c r="F1208" s="195">
        <v>20</v>
      </c>
      <c r="G1208" s="195">
        <v>120</v>
      </c>
      <c r="H1208" s="195">
        <f>COUNTIF(HabilidadesEsenciales_Adquiridas,Tablas!E1208)</f>
        <v>0</v>
      </c>
      <c r="I1208" s="2585"/>
      <c r="J1208" s="370">
        <f t="array" ref="J1208">MAX({1;2;3;4;5}*H1220:H1224)</f>
        <v>0</v>
      </c>
      <c r="K1208" s="2576" t="s">
        <v>1692</v>
      </c>
      <c r="M1208" s="1847"/>
      <c r="N1208" s="96"/>
      <c r="O1208" s="411" t="s">
        <v>9322</v>
      </c>
      <c r="P1208" s="2578">
        <v>25</v>
      </c>
      <c r="Q1208" s="503">
        <v>100</v>
      </c>
      <c r="R1208" s="2585">
        <f>COUNTIF(PoderesDeCriatura_Adquiridos,Tablas!O1208)</f>
        <v>0</v>
      </c>
      <c r="S1208" s="370"/>
      <c r="T1208" s="2576"/>
      <c r="V1208" s="2634" t="s">
        <v>8965</v>
      </c>
      <c r="W1208" s="2603"/>
      <c r="X1208" s="2172" t="str">
        <f>IF(Y1208="","",SUBSTITUTE("PodHab_"&amp;V1208," ",""))</f>
        <v>PodHab_Vuelonatural</v>
      </c>
      <c r="Y1208" s="2622" t="s">
        <v>9111</v>
      </c>
      <c r="Z1208" s="2619" t="s">
        <v>9112</v>
      </c>
      <c r="AA1208" s="2619" t="s">
        <v>9113</v>
      </c>
      <c r="AB1208" s="2619" t="s">
        <v>9114</v>
      </c>
      <c r="AC1208" s="2619" t="s">
        <v>9115</v>
      </c>
      <c r="AD1208" s="2619"/>
      <c r="AE1208" s="2619"/>
      <c r="AF1208" s="2619"/>
      <c r="AG1208" s="2619"/>
      <c r="AH1208" s="2619"/>
      <c r="AI1208" s="2619"/>
      <c r="AJ1208" s="2619"/>
      <c r="AK1208" s="2619"/>
      <c r="AL1208" s="2619"/>
      <c r="AM1208" s="2619"/>
      <c r="AN1208" s="2619"/>
      <c r="AO1208" s="2619"/>
      <c r="AP1208" s="2619"/>
      <c r="AQ1208" s="2619"/>
      <c r="AR1208" s="2619"/>
      <c r="AS1208" s="2619"/>
      <c r="AT1208" s="2619"/>
      <c r="AU1208" s="2619"/>
      <c r="AV1208" s="2619"/>
      <c r="AW1208" s="2619"/>
      <c r="AX1208" s="2619"/>
      <c r="AY1208" s="2619"/>
      <c r="AZ1208" s="2619"/>
      <c r="BA1208" s="2619"/>
      <c r="BB1208" s="2619"/>
      <c r="BC1208" s="2619"/>
      <c r="BD1208" s="2619"/>
      <c r="BE1208" s="2619"/>
      <c r="BF1208" s="2619"/>
      <c r="BG1208" s="2619"/>
      <c r="BH1208" s="2619"/>
      <c r="BI1208" s="2619"/>
      <c r="BJ1208" s="2619"/>
      <c r="BK1208" s="2619"/>
      <c r="BL1208" s="2609"/>
      <c r="BM1208" s="2609"/>
      <c r="BN1208" s="2609"/>
      <c r="BO1208" s="2609"/>
      <c r="BP1208" s="2609"/>
      <c r="BQ1208" s="2609"/>
      <c r="BR1208" s="2609"/>
      <c r="BS1208" s="2609"/>
      <c r="BT1208" s="2609"/>
      <c r="BU1208" s="2609"/>
      <c r="BV1208" s="2609"/>
      <c r="BW1208" s="2609"/>
      <c r="BX1208" s="2609"/>
      <c r="BY1208" s="2609"/>
      <c r="BZ1208" s="2609"/>
      <c r="CA1208" s="2635"/>
    </row>
    <row r="1209" spans="1:79" ht="12.75" customHeight="1" x14ac:dyDescent="0.2">
      <c r="A1209" s="1916">
        <v>1209</v>
      </c>
      <c r="B1209" s="5148"/>
      <c r="C1209" s="2580"/>
      <c r="D1209" s="210"/>
      <c r="E1209" s="2583" t="s">
        <v>9771</v>
      </c>
      <c r="F1209" s="195">
        <v>25</v>
      </c>
      <c r="G1209" s="195">
        <v>180</v>
      </c>
      <c r="H1209" s="195">
        <f>COUNTIF(HabilidadesEsenciales_Adquiridas,Tablas!E1209)</f>
        <v>0</v>
      </c>
      <c r="I1209" s="2585"/>
      <c r="J1209" s="370">
        <f t="array" ref="J1209">MAX({1;2;3;4;5}*H1225:H1229)</f>
        <v>0</v>
      </c>
      <c r="K1209" s="2576" t="s">
        <v>1695</v>
      </c>
      <c r="M1209" s="1847"/>
      <c r="N1209" s="96"/>
      <c r="O1209" s="411" t="s">
        <v>9323</v>
      </c>
      <c r="P1209" s="2578">
        <v>30</v>
      </c>
      <c r="Q1209" s="503">
        <v>120</v>
      </c>
      <c r="R1209" s="2585">
        <f>COUNTIF(PoderesDeCriatura_Adquiridos,Tablas!O1209)</f>
        <v>0</v>
      </c>
      <c r="S1209" s="370"/>
      <c r="T1209" s="2576"/>
      <c r="V1209" s="2634" t="s">
        <v>8966</v>
      </c>
      <c r="W1209" s="2603"/>
      <c r="X1209" s="2172" t="str">
        <f>IF(Y1209="","",SUBSTITUTE("PodHab_"&amp;V1209," ",""))</f>
        <v>PodHab_Vuelomístico</v>
      </c>
      <c r="Y1209" s="2622" t="s">
        <v>9116</v>
      </c>
      <c r="Z1209" s="2619" t="s">
        <v>9111</v>
      </c>
      <c r="AA1209" s="2619" t="s">
        <v>9112</v>
      </c>
      <c r="AB1209" s="2619" t="s">
        <v>9113</v>
      </c>
      <c r="AC1209" s="2619" t="s">
        <v>9114</v>
      </c>
      <c r="AD1209" s="2619" t="s">
        <v>9115</v>
      </c>
      <c r="AE1209" s="2619" t="s">
        <v>9117</v>
      </c>
      <c r="AF1209" s="2619" t="s">
        <v>9118</v>
      </c>
      <c r="AG1209" s="2619"/>
      <c r="AH1209" s="2619"/>
      <c r="AI1209" s="2619"/>
      <c r="AJ1209" s="2619"/>
      <c r="AK1209" s="2619"/>
      <c r="AL1209" s="2619"/>
      <c r="AM1209" s="2619"/>
      <c r="AN1209" s="2619"/>
      <c r="AO1209" s="2619"/>
      <c r="AP1209" s="2619"/>
      <c r="AQ1209" s="2619"/>
      <c r="AR1209" s="2619"/>
      <c r="AS1209" s="2619"/>
      <c r="AT1209" s="2619"/>
      <c r="AU1209" s="2619"/>
      <c r="AV1209" s="2619"/>
      <c r="AW1209" s="2619"/>
      <c r="AX1209" s="2619"/>
      <c r="AY1209" s="2619"/>
      <c r="AZ1209" s="2619"/>
      <c r="BA1209" s="2619"/>
      <c r="BB1209" s="2619"/>
      <c r="BC1209" s="2619"/>
      <c r="BD1209" s="2619"/>
      <c r="BE1209" s="2619"/>
      <c r="BF1209" s="2619"/>
      <c r="BG1209" s="2619"/>
      <c r="BH1209" s="2619"/>
      <c r="BI1209" s="2619"/>
      <c r="BJ1209" s="2619"/>
      <c r="BK1209" s="2619"/>
      <c r="BL1209" s="2609"/>
      <c r="BM1209" s="2609"/>
      <c r="BN1209" s="2609"/>
      <c r="BO1209" s="2609"/>
      <c r="BP1209" s="2609"/>
      <c r="BQ1209" s="2609"/>
      <c r="BR1209" s="2609"/>
      <c r="BS1209" s="2609"/>
      <c r="BT1209" s="2609"/>
      <c r="BU1209" s="2609"/>
      <c r="BV1209" s="2609"/>
      <c r="BW1209" s="2609"/>
      <c r="BX1209" s="2609"/>
      <c r="BY1209" s="2609"/>
      <c r="BZ1209" s="2609"/>
      <c r="CA1209" s="2635"/>
    </row>
    <row r="1210" spans="1:79" ht="12.75" customHeight="1" x14ac:dyDescent="0.2">
      <c r="A1210" s="1916">
        <v>1210</v>
      </c>
      <c r="B1210" s="5148"/>
      <c r="C1210" s="2580"/>
      <c r="D1210" s="210"/>
      <c r="E1210" s="2583" t="s">
        <v>9772</v>
      </c>
      <c r="F1210" s="195">
        <v>0</v>
      </c>
      <c r="G1210" s="195">
        <v>20</v>
      </c>
      <c r="H1210" s="195">
        <f>COUNTIF(HabilidadesEsenciales_Adquiridas,Tablas!E1210)</f>
        <v>0</v>
      </c>
      <c r="I1210" s="2585">
        <v>1</v>
      </c>
      <c r="J1210" s="370">
        <f t="array" ref="J1210">MAX({1;2;3;4;5}*H1230:H1234)</f>
        <v>0</v>
      </c>
      <c r="K1210" s="2576" t="s">
        <v>1698</v>
      </c>
      <c r="M1210" s="1847"/>
      <c r="N1210" s="96"/>
      <c r="O1210" s="411" t="s">
        <v>9324</v>
      </c>
      <c r="P1210" s="2578">
        <v>0</v>
      </c>
      <c r="Q1210" s="503">
        <v>10</v>
      </c>
      <c r="R1210" s="2585">
        <f>COUNTIF(PoderesDeCriatura_Adquiridos,Tablas!O1210)</f>
        <v>0</v>
      </c>
      <c r="S1210" s="370"/>
      <c r="T1210" s="2576"/>
      <c r="V1210" s="2634" t="s">
        <v>1621</v>
      </c>
      <c r="W1210" s="2016"/>
      <c r="X1210" s="2172"/>
      <c r="Y1210" s="2622" t="s">
        <v>8500</v>
      </c>
      <c r="Z1210" s="2619" t="s">
        <v>8500</v>
      </c>
      <c r="AA1210" s="2619" t="s">
        <v>8500</v>
      </c>
      <c r="AB1210" s="2619" t="s">
        <v>8500</v>
      </c>
      <c r="AC1210" s="2619" t="s">
        <v>8500</v>
      </c>
      <c r="AD1210" s="2619" t="s">
        <v>8500</v>
      </c>
      <c r="AE1210" s="2619"/>
      <c r="AF1210" s="2619"/>
      <c r="AG1210" s="2619"/>
      <c r="AH1210" s="2619"/>
      <c r="AI1210" s="2619"/>
      <c r="AJ1210" s="2619"/>
      <c r="AK1210" s="2619"/>
      <c r="AL1210" s="2619"/>
      <c r="AM1210" s="2619"/>
      <c r="AN1210" s="2619"/>
      <c r="AO1210" s="2619"/>
      <c r="AP1210" s="2619"/>
      <c r="AQ1210" s="2619"/>
      <c r="AR1210" s="2619"/>
      <c r="AS1210" s="2619"/>
      <c r="AT1210" s="2619"/>
      <c r="AU1210" s="2619"/>
      <c r="AV1210" s="2619"/>
      <c r="AW1210" s="2619"/>
      <c r="AX1210" s="2619"/>
      <c r="AY1210" s="2619"/>
      <c r="AZ1210" s="2619"/>
      <c r="BA1210" s="2619"/>
      <c r="BB1210" s="2619"/>
      <c r="BC1210" s="2619"/>
      <c r="BD1210" s="2619"/>
      <c r="BE1210" s="2619"/>
      <c r="BF1210" s="2619"/>
      <c r="BG1210" s="2619"/>
      <c r="BH1210" s="2619"/>
      <c r="BI1210" s="2619"/>
      <c r="BJ1210" s="2619"/>
      <c r="BK1210" s="2619"/>
      <c r="BL1210" s="2609"/>
      <c r="BM1210" s="2609"/>
      <c r="BN1210" s="2609"/>
      <c r="BO1210" s="2609"/>
      <c r="BP1210" s="2609"/>
      <c r="BQ1210" s="2609"/>
      <c r="BR1210" s="2609"/>
      <c r="BS1210" s="2609"/>
      <c r="BT1210" s="2609"/>
      <c r="BU1210" s="2609"/>
      <c r="BV1210" s="2609"/>
      <c r="BW1210" s="2609"/>
      <c r="BX1210" s="2609"/>
      <c r="BY1210" s="2609"/>
      <c r="BZ1210" s="2609"/>
      <c r="CA1210" s="2635"/>
    </row>
    <row r="1211" spans="1:79" ht="12.75" customHeight="1" x14ac:dyDescent="0.2">
      <c r="A1211" s="1916">
        <v>1211</v>
      </c>
      <c r="B1211" s="5148"/>
      <c r="C1211" s="2580"/>
      <c r="D1211" s="210"/>
      <c r="E1211" s="2583" t="s">
        <v>9773</v>
      </c>
      <c r="F1211" s="195">
        <v>5</v>
      </c>
      <c r="G1211" s="195">
        <v>40</v>
      </c>
      <c r="H1211" s="195">
        <f>COUNTIF(HabilidadesEsenciales_Adquiridas,Tablas!E1211)</f>
        <v>0</v>
      </c>
      <c r="I1211" s="2585">
        <v>1</v>
      </c>
      <c r="J1211" s="370">
        <f t="array" ref="J1211">MAX({1;2;3;4;5}*H1235:H1239)</f>
        <v>0</v>
      </c>
      <c r="K1211" s="2576" t="s">
        <v>1700</v>
      </c>
      <c r="M1211" s="1847"/>
      <c r="N1211" s="96"/>
      <c r="O1211" s="411" t="s">
        <v>9325</v>
      </c>
      <c r="P1211" s="2578">
        <v>10</v>
      </c>
      <c r="Q1211" s="503">
        <v>20</v>
      </c>
      <c r="R1211" s="2585">
        <f>COUNTIF(PoderesDeCriatura_Adquiridos,Tablas!O1211)</f>
        <v>0</v>
      </c>
      <c r="S1211" s="370">
        <f>IF(R1210=1,10,IF(R1211=1,20,IF(R1212=1,30,0)))</f>
        <v>0</v>
      </c>
      <c r="T1211" s="2576" t="s">
        <v>1702</v>
      </c>
      <c r="V1211" s="2634" t="s">
        <v>8984</v>
      </c>
      <c r="W1211" s="2603"/>
      <c r="X1211" s="2172" t="str">
        <f>IF(Y1211="","",SUBSTITUTE("PodHab_"&amp;V1211," ",""))</f>
        <v>PodHab_Resistenciafísicamejorada</v>
      </c>
      <c r="Y1211" s="2622" t="s">
        <v>9119</v>
      </c>
      <c r="Z1211" s="2619" t="s">
        <v>3148</v>
      </c>
      <c r="AA1211" s="2619" t="s">
        <v>9120</v>
      </c>
      <c r="AB1211" s="2619" t="s">
        <v>9121</v>
      </c>
      <c r="AC1211" s="2619" t="s">
        <v>9122</v>
      </c>
      <c r="AD1211" s="2619" t="s">
        <v>9123</v>
      </c>
      <c r="AE1211" s="2619" t="s">
        <v>9124</v>
      </c>
      <c r="AF1211" s="2619" t="s">
        <v>9125</v>
      </c>
      <c r="AG1211" s="2619"/>
      <c r="AH1211" s="2619"/>
      <c r="AI1211" s="2619"/>
      <c r="AJ1211" s="2619"/>
      <c r="AK1211" s="2619"/>
      <c r="AL1211" s="2619"/>
      <c r="AM1211" s="2619"/>
      <c r="AN1211" s="2619"/>
      <c r="AO1211" s="2619"/>
      <c r="AP1211" s="2619"/>
      <c r="AQ1211" s="2619"/>
      <c r="AR1211" s="2619"/>
      <c r="AS1211" s="2619"/>
      <c r="AT1211" s="2619"/>
      <c r="AU1211" s="2619"/>
      <c r="AV1211" s="2619"/>
      <c r="AW1211" s="2619"/>
      <c r="AX1211" s="2619"/>
      <c r="AY1211" s="2619"/>
      <c r="AZ1211" s="2619"/>
      <c r="BA1211" s="2619"/>
      <c r="BB1211" s="2619"/>
      <c r="BC1211" s="2619"/>
      <c r="BD1211" s="2619"/>
      <c r="BE1211" s="2619"/>
      <c r="BF1211" s="2619"/>
      <c r="BG1211" s="2619"/>
      <c r="BH1211" s="2619"/>
      <c r="BI1211" s="2619"/>
      <c r="BJ1211" s="2619"/>
      <c r="BK1211" s="2619"/>
      <c r="BL1211" s="2609"/>
      <c r="BM1211" s="2609"/>
      <c r="BN1211" s="2609"/>
      <c r="BO1211" s="2609"/>
      <c r="BP1211" s="2609"/>
      <c r="BQ1211" s="2609"/>
      <c r="BR1211" s="2609"/>
      <c r="BS1211" s="2609"/>
      <c r="BT1211" s="2609"/>
      <c r="BU1211" s="2609"/>
      <c r="BV1211" s="2609"/>
      <c r="BW1211" s="2609"/>
      <c r="BX1211" s="2609"/>
      <c r="BY1211" s="2609"/>
      <c r="BZ1211" s="2609"/>
      <c r="CA1211" s="2635"/>
    </row>
    <row r="1212" spans="1:79" ht="12.75" customHeight="1" x14ac:dyDescent="0.2">
      <c r="A1212" s="1916">
        <v>1212</v>
      </c>
      <c r="B1212" s="5148"/>
      <c r="C1212" s="2580"/>
      <c r="D1212" s="210"/>
      <c r="E1212" s="2583" t="s">
        <v>9774</v>
      </c>
      <c r="F1212" s="195">
        <v>15</v>
      </c>
      <c r="G1212" s="195">
        <v>60</v>
      </c>
      <c r="H1212" s="195">
        <f>COUNTIF(HabilidadesEsenciales_Adquiridas,Tablas!E1212)</f>
        <v>0</v>
      </c>
      <c r="I1212" s="2585">
        <v>1</v>
      </c>
      <c r="J1212" s="370">
        <f t="array" ref="J1212">MAX({1;2;3;4;5}*H1240:H1244)</f>
        <v>0</v>
      </c>
      <c r="K1212" s="2576" t="s">
        <v>1701</v>
      </c>
      <c r="M1212" s="1847"/>
      <c r="N1212" s="96"/>
      <c r="O1212" s="411" t="s">
        <v>9326</v>
      </c>
      <c r="P1212" s="2578">
        <v>20</v>
      </c>
      <c r="Q1212" s="503">
        <v>30</v>
      </c>
      <c r="R1212" s="2585">
        <f>COUNTIF(PoderesDeCriatura_Adquiridos,Tablas!O1212)</f>
        <v>0</v>
      </c>
      <c r="S1212" s="370"/>
      <c r="T1212" s="2576"/>
      <c r="V1212" s="2634" t="s">
        <v>8985</v>
      </c>
      <c r="W1212" s="2603"/>
      <c r="X1212" s="2172" t="str">
        <f>IF(Y1212="","",SUBSTITUTE("PodHab_"&amp;V1212," ",""))</f>
        <v>PodHab_Resistenciamísticamejorada</v>
      </c>
      <c r="Y1212" s="2622" t="s">
        <v>9126</v>
      </c>
      <c r="Z1212" s="2619" t="s">
        <v>9127</v>
      </c>
      <c r="AA1212" s="2619" t="s">
        <v>9128</v>
      </c>
      <c r="AB1212" s="2619" t="s">
        <v>9129</v>
      </c>
      <c r="AC1212" s="2619" t="s">
        <v>9130</v>
      </c>
      <c r="AD1212" s="2619" t="s">
        <v>9131</v>
      </c>
      <c r="AE1212" s="2619" t="s">
        <v>9132</v>
      </c>
      <c r="AF1212" s="2619" t="s">
        <v>9133</v>
      </c>
      <c r="AG1212" s="2619" t="s">
        <v>9134</v>
      </c>
      <c r="AH1212" s="2619" t="s">
        <v>9135</v>
      </c>
      <c r="AI1212" s="2619" t="s">
        <v>9136</v>
      </c>
      <c r="AJ1212" s="2619" t="s">
        <v>9137</v>
      </c>
      <c r="AK1212" s="2619" t="s">
        <v>9138</v>
      </c>
      <c r="AL1212" s="2619" t="s">
        <v>9139</v>
      </c>
      <c r="AM1212" s="2619" t="s">
        <v>9140</v>
      </c>
      <c r="AN1212" s="2619"/>
      <c r="AO1212" s="2619"/>
      <c r="AP1212" s="2619"/>
      <c r="AQ1212" s="2619"/>
      <c r="AR1212" s="2619"/>
      <c r="AS1212" s="2619"/>
      <c r="AT1212" s="2619"/>
      <c r="AU1212" s="2619"/>
      <c r="AV1212" s="2619"/>
      <c r="AW1212" s="2619"/>
      <c r="AX1212" s="2619"/>
      <c r="AY1212" s="2619"/>
      <c r="AZ1212" s="2619"/>
      <c r="BA1212" s="2619"/>
      <c r="BB1212" s="2619"/>
      <c r="BC1212" s="2619"/>
      <c r="BD1212" s="2619"/>
      <c r="BE1212" s="2619"/>
      <c r="BF1212" s="2619"/>
      <c r="BG1212" s="2619"/>
      <c r="BH1212" s="2619"/>
      <c r="BI1212" s="2619"/>
      <c r="BJ1212" s="2619"/>
      <c r="BK1212" s="2619"/>
      <c r="BL1212" s="2609"/>
      <c r="BM1212" s="2609"/>
      <c r="BN1212" s="2609"/>
      <c r="BO1212" s="2609"/>
      <c r="BP1212" s="2609"/>
      <c r="BQ1212" s="2609"/>
      <c r="BR1212" s="2609"/>
      <c r="BS1212" s="2609"/>
      <c r="BT1212" s="2609"/>
      <c r="BU1212" s="2609"/>
      <c r="BV1212" s="2609"/>
      <c r="BW1212" s="2609"/>
      <c r="BX1212" s="2609"/>
      <c r="BY1212" s="2609"/>
      <c r="BZ1212" s="2609"/>
      <c r="CA1212" s="2635"/>
    </row>
    <row r="1213" spans="1:79" ht="12.75" customHeight="1" x14ac:dyDescent="0.2">
      <c r="A1213" s="1916">
        <v>1213</v>
      </c>
      <c r="B1213" s="5148"/>
      <c r="C1213" s="2580"/>
      <c r="D1213" s="210"/>
      <c r="E1213" s="2583" t="s">
        <v>9775</v>
      </c>
      <c r="F1213" s="195">
        <v>20</v>
      </c>
      <c r="G1213" s="195">
        <v>120</v>
      </c>
      <c r="H1213" s="195">
        <f>COUNTIF(HabilidadesEsenciales_Adquiridas,Tablas!E1213)</f>
        <v>0</v>
      </c>
      <c r="I1213" s="2585"/>
      <c r="J1213" s="370"/>
      <c r="K1213" s="2576"/>
      <c r="M1213" s="1847"/>
      <c r="N1213" s="96"/>
      <c r="O1213" s="411" t="s">
        <v>1609</v>
      </c>
      <c r="P1213" s="2578">
        <v>10</v>
      </c>
      <c r="Q1213" s="503">
        <v>10</v>
      </c>
      <c r="R1213" s="2585">
        <f>COUNTIF(PoderesDeCriatura_Adquiridos,Tablas!O1213)</f>
        <v>0</v>
      </c>
      <c r="S1213" s="370"/>
      <c r="T1213" s="2576"/>
      <c r="V1213" s="2634" t="s">
        <v>8986</v>
      </c>
      <c r="W1213" s="2603"/>
      <c r="X1213" s="2172" t="str">
        <f>IF(Y1213="","",SUBSTITUTE("PodHab_"&amp;V1213," ",""))</f>
        <v>PodHab_Pen.alaResistenciamística</v>
      </c>
      <c r="Y1213" s="2622" t="s">
        <v>9141</v>
      </c>
      <c r="Z1213" s="2619" t="s">
        <v>9142</v>
      </c>
      <c r="AA1213" s="2619" t="s">
        <v>9143</v>
      </c>
      <c r="AB1213" s="2619" t="s">
        <v>9144</v>
      </c>
      <c r="AC1213" s="2619" t="s">
        <v>9145</v>
      </c>
      <c r="AD1213" s="2619" t="s">
        <v>9146</v>
      </c>
      <c r="AE1213" s="2619" t="s">
        <v>9147</v>
      </c>
      <c r="AF1213" s="2619" t="s">
        <v>9148</v>
      </c>
      <c r="AG1213" s="2619" t="s">
        <v>9149</v>
      </c>
      <c r="AH1213" s="2619" t="s">
        <v>9150</v>
      </c>
      <c r="AI1213" s="2619" t="s">
        <v>9151</v>
      </c>
      <c r="AJ1213" s="2619" t="s">
        <v>9152</v>
      </c>
      <c r="AK1213" s="2619" t="s">
        <v>9153</v>
      </c>
      <c r="AL1213" s="2619" t="s">
        <v>9154</v>
      </c>
      <c r="AM1213" s="2619" t="s">
        <v>9155</v>
      </c>
      <c r="AN1213" s="2619" t="s">
        <v>8500</v>
      </c>
      <c r="AO1213" s="2619" t="s">
        <v>8500</v>
      </c>
      <c r="AP1213" s="2619"/>
      <c r="AQ1213" s="2619"/>
      <c r="AR1213" s="2619"/>
      <c r="AS1213" s="2619"/>
      <c r="AT1213" s="2619"/>
      <c r="AU1213" s="2619"/>
      <c r="AV1213" s="2619"/>
      <c r="AW1213" s="2619"/>
      <c r="AX1213" s="2619"/>
      <c r="AY1213" s="2619"/>
      <c r="AZ1213" s="2619"/>
      <c r="BA1213" s="2619"/>
      <c r="BB1213" s="2619"/>
      <c r="BC1213" s="2619"/>
      <c r="BD1213" s="2619"/>
      <c r="BE1213" s="2619"/>
      <c r="BF1213" s="2619"/>
      <c r="BG1213" s="2619"/>
      <c r="BH1213" s="2619"/>
      <c r="BI1213" s="2619"/>
      <c r="BJ1213" s="2619"/>
      <c r="BK1213" s="2619"/>
      <c r="BL1213" s="2609"/>
      <c r="BM1213" s="2609"/>
      <c r="BN1213" s="2609"/>
      <c r="BO1213" s="2609"/>
      <c r="BP1213" s="2609"/>
      <c r="BQ1213" s="2609"/>
      <c r="BR1213" s="2609"/>
      <c r="BS1213" s="2609"/>
      <c r="BT1213" s="2609"/>
      <c r="BU1213" s="2609"/>
      <c r="BV1213" s="2609"/>
      <c r="BW1213" s="2609"/>
      <c r="BX1213" s="2609"/>
      <c r="BY1213" s="2609"/>
      <c r="BZ1213" s="2609"/>
      <c r="CA1213" s="2635"/>
    </row>
    <row r="1214" spans="1:79" ht="12.75" customHeight="1" x14ac:dyDescent="0.2">
      <c r="A1214" s="1916">
        <v>1214</v>
      </c>
      <c r="B1214" s="5148"/>
      <c r="C1214" s="2580"/>
      <c r="D1214" s="210"/>
      <c r="E1214" s="2583" t="s">
        <v>9776</v>
      </c>
      <c r="F1214" s="195">
        <v>25</v>
      </c>
      <c r="G1214" s="195">
        <v>180</v>
      </c>
      <c r="H1214" s="195">
        <f>COUNTIF(HabilidadesEsenciales_Adquiridas,Tablas!E1214)</f>
        <v>0</v>
      </c>
      <c r="I1214" s="2585"/>
      <c r="J1214" s="370"/>
      <c r="K1214" s="2576"/>
      <c r="M1214" s="1847"/>
      <c r="N1214" s="96"/>
      <c r="O1214" s="411" t="s">
        <v>9327</v>
      </c>
      <c r="P1214" s="2578">
        <v>0</v>
      </c>
      <c r="Q1214" s="503">
        <v>10</v>
      </c>
      <c r="R1214" s="2585">
        <f>COUNTIF(PoderesDeCriatura_Adquiridos,Tablas!O1214)</f>
        <v>0</v>
      </c>
      <c r="S1214" s="370"/>
      <c r="T1214" s="2576"/>
      <c r="V1214" s="2634" t="s">
        <v>1677</v>
      </c>
      <c r="W1214" s="2603"/>
      <c r="X1214" s="2172" t="str">
        <f>IF(Y1214="","",SUBSTITUTE("PodHab_"&amp;V1214," ",""))</f>
        <v>PodHab_Regeneración</v>
      </c>
      <c r="Y1214" s="2622" t="s">
        <v>9156</v>
      </c>
      <c r="Z1214" s="2619" t="s">
        <v>9116</v>
      </c>
      <c r="AA1214" s="2619" t="s">
        <v>9111</v>
      </c>
      <c r="AB1214" s="2619" t="s">
        <v>9112</v>
      </c>
      <c r="AC1214" s="2619" t="s">
        <v>9113</v>
      </c>
      <c r="AD1214" s="2619" t="s">
        <v>9114</v>
      </c>
      <c r="AE1214" s="2619" t="s">
        <v>9115</v>
      </c>
      <c r="AF1214" s="2619" t="s">
        <v>9117</v>
      </c>
      <c r="AG1214" s="2619" t="s">
        <v>9157</v>
      </c>
      <c r="AH1214" s="2619" t="s">
        <v>9158</v>
      </c>
      <c r="AI1214" s="2619" t="s">
        <v>9159</v>
      </c>
      <c r="AJ1214" s="2619" t="s">
        <v>9160</v>
      </c>
      <c r="AK1214" s="2619" t="s">
        <v>9161</v>
      </c>
      <c r="AL1214" s="2619"/>
      <c r="AM1214" s="2619"/>
      <c r="AN1214" s="2619"/>
      <c r="AO1214" s="2619"/>
      <c r="AP1214" s="2619"/>
      <c r="AQ1214" s="2619"/>
      <c r="AR1214" s="2619"/>
      <c r="AS1214" s="2619"/>
      <c r="AT1214" s="2619"/>
      <c r="AU1214" s="2619"/>
      <c r="AV1214" s="2619"/>
      <c r="AW1214" s="2619"/>
      <c r="AX1214" s="2619"/>
      <c r="AY1214" s="2619"/>
      <c r="AZ1214" s="2619"/>
      <c r="BA1214" s="2619"/>
      <c r="BB1214" s="2619"/>
      <c r="BC1214" s="2619"/>
      <c r="BD1214" s="2619"/>
      <c r="BE1214" s="2619"/>
      <c r="BF1214" s="2619"/>
      <c r="BG1214" s="2619"/>
      <c r="BH1214" s="2619"/>
      <c r="BI1214" s="2619"/>
      <c r="BJ1214" s="2619"/>
      <c r="BK1214" s="2619"/>
      <c r="BL1214" s="2609"/>
      <c r="BM1214" s="2609"/>
      <c r="BN1214" s="2609"/>
      <c r="BO1214" s="2609"/>
      <c r="BP1214" s="2609"/>
      <c r="BQ1214" s="2609"/>
      <c r="BR1214" s="2609"/>
      <c r="BS1214" s="2609"/>
      <c r="BT1214" s="2609"/>
      <c r="BU1214" s="2609"/>
      <c r="BV1214" s="2609"/>
      <c r="BW1214" s="2609"/>
      <c r="BX1214" s="2609"/>
      <c r="BY1214" s="2609"/>
      <c r="BZ1214" s="2609"/>
      <c r="CA1214" s="2635"/>
    </row>
    <row r="1215" spans="1:79" ht="12.75" customHeight="1" x14ac:dyDescent="0.2">
      <c r="A1215" s="1916">
        <v>1215</v>
      </c>
      <c r="B1215" s="5148"/>
      <c r="C1215" s="2580"/>
      <c r="D1215" s="210"/>
      <c r="E1215" s="2583" t="s">
        <v>9777</v>
      </c>
      <c r="F1215" s="195">
        <v>0</v>
      </c>
      <c r="G1215" s="195">
        <v>20</v>
      </c>
      <c r="H1215" s="195">
        <f>COUNTIF(HabilidadesEsenciales_Adquiridas,Tablas!E1215)</f>
        <v>0</v>
      </c>
      <c r="I1215" s="2585">
        <v>1</v>
      </c>
      <c r="J1215" s="370"/>
      <c r="K1215" s="2576"/>
      <c r="M1215" s="1847"/>
      <c r="N1215" s="96"/>
      <c r="O1215" s="411" t="s">
        <v>9328</v>
      </c>
      <c r="P1215" s="2578">
        <v>10</v>
      </c>
      <c r="Q1215" s="503">
        <v>15</v>
      </c>
      <c r="R1215" s="2585">
        <f>COUNTIF(PoderesDeCriatura_Adquiridos,Tablas!O1215)</f>
        <v>0</v>
      </c>
      <c r="S1215" s="370"/>
      <c r="T1215" s="2576"/>
      <c r="V1215" s="2634" t="s">
        <v>8967</v>
      </c>
      <c r="W1215" s="2603"/>
      <c r="X1215" s="2172" t="str">
        <f>IF(Y1215="","",SUBSTITUTE("PodHab_"&amp;V1215," ",""))</f>
        <v>PodHab_Degeneración</v>
      </c>
      <c r="Y1215" s="2622" t="s">
        <v>9162</v>
      </c>
      <c r="Z1215" s="2619" t="s">
        <v>9163</v>
      </c>
      <c r="AA1215" s="2619" t="s">
        <v>9164</v>
      </c>
      <c r="AB1215" s="2619" t="s">
        <v>9165</v>
      </c>
      <c r="AC1215" s="2619" t="s">
        <v>9166</v>
      </c>
      <c r="AD1215" s="2619"/>
      <c r="AE1215" s="2619"/>
      <c r="AF1215" s="2619"/>
      <c r="AG1215" s="2619"/>
      <c r="AH1215" s="2619"/>
      <c r="AI1215" s="2619"/>
      <c r="AJ1215" s="2619"/>
      <c r="AK1215" s="2619"/>
      <c r="AL1215" s="2619"/>
      <c r="AM1215" s="2619"/>
      <c r="AN1215" s="2619"/>
      <c r="AO1215" s="2619"/>
      <c r="AP1215" s="2619"/>
      <c r="AQ1215" s="2619"/>
      <c r="AR1215" s="2619"/>
      <c r="AS1215" s="2619"/>
      <c r="AT1215" s="2619"/>
      <c r="AU1215" s="2619"/>
      <c r="AV1215" s="2619"/>
      <c r="AW1215" s="2619"/>
      <c r="AX1215" s="2619"/>
      <c r="AY1215" s="2619"/>
      <c r="AZ1215" s="2619"/>
      <c r="BA1215" s="2619"/>
      <c r="BB1215" s="2619"/>
      <c r="BC1215" s="2619"/>
      <c r="BD1215" s="2619"/>
      <c r="BE1215" s="2619"/>
      <c r="BF1215" s="2619"/>
      <c r="BG1215" s="2619"/>
      <c r="BH1215" s="2619"/>
      <c r="BI1215" s="2619"/>
      <c r="BJ1215" s="2619"/>
      <c r="BK1215" s="2619"/>
      <c r="BL1215" s="2609"/>
      <c r="BM1215" s="2609"/>
      <c r="BN1215" s="2609"/>
      <c r="BO1215" s="2609"/>
      <c r="BP1215" s="2609"/>
      <c r="BQ1215" s="2609"/>
      <c r="BR1215" s="2609"/>
      <c r="BS1215" s="2609"/>
      <c r="BT1215" s="2609"/>
      <c r="BU1215" s="2609"/>
      <c r="BV1215" s="2609"/>
      <c r="BW1215" s="2609"/>
      <c r="BX1215" s="2609"/>
      <c r="BY1215" s="2609"/>
      <c r="BZ1215" s="2609"/>
      <c r="CA1215" s="2635"/>
    </row>
    <row r="1216" spans="1:79" ht="12.75" customHeight="1" x14ac:dyDescent="0.2">
      <c r="A1216" s="1916">
        <v>1216</v>
      </c>
      <c r="B1216" s="5148"/>
      <c r="C1216" s="2580"/>
      <c r="D1216" s="210"/>
      <c r="E1216" s="2583" t="s">
        <v>9778</v>
      </c>
      <c r="F1216" s="195">
        <v>5</v>
      </c>
      <c r="G1216" s="195">
        <v>40</v>
      </c>
      <c r="H1216" s="195">
        <f>COUNTIF(HabilidadesEsenciales_Adquiridas,Tablas!E1216)</f>
        <v>0</v>
      </c>
      <c r="I1216" s="2585">
        <v>1</v>
      </c>
      <c r="J1216" s="370"/>
      <c r="K1216" s="2576"/>
      <c r="M1216" s="1847"/>
      <c r="N1216" s="96"/>
      <c r="O1216" s="411" t="s">
        <v>9329</v>
      </c>
      <c r="P1216" s="2578">
        <v>15</v>
      </c>
      <c r="Q1216" s="503">
        <v>20</v>
      </c>
      <c r="R1216" s="2585">
        <f>COUNTIF(PoderesDeCriatura_Adquiridos,Tablas!O1216)</f>
        <v>0</v>
      </c>
      <c r="S1216" s="370"/>
      <c r="T1216" s="2576"/>
      <c r="V1216" s="2634" t="s">
        <v>1622</v>
      </c>
      <c r="W1216" s="2603"/>
      <c r="X1216" s="2172"/>
      <c r="Y1216" s="2622"/>
      <c r="Z1216" s="2619"/>
      <c r="AA1216" s="2619"/>
      <c r="AB1216" s="2619"/>
      <c r="AC1216" s="2619"/>
      <c r="AD1216" s="2619"/>
      <c r="AE1216" s="2619"/>
      <c r="AF1216" s="2619"/>
      <c r="AG1216" s="2619"/>
      <c r="AH1216" s="2619"/>
      <c r="AI1216" s="2619"/>
      <c r="AJ1216" s="2619"/>
      <c r="AK1216" s="2619"/>
      <c r="AL1216" s="2619"/>
      <c r="AM1216" s="2619"/>
      <c r="AN1216" s="2619"/>
      <c r="AO1216" s="2619"/>
      <c r="AP1216" s="2619"/>
      <c r="AQ1216" s="2619"/>
      <c r="AR1216" s="2619"/>
      <c r="AS1216" s="2619"/>
      <c r="AT1216" s="2619"/>
      <c r="AU1216" s="2619"/>
      <c r="AV1216" s="2619"/>
      <c r="AW1216" s="2619"/>
      <c r="AX1216" s="2619"/>
      <c r="AY1216" s="2619"/>
      <c r="AZ1216" s="2619"/>
      <c r="BA1216" s="2619"/>
      <c r="BB1216" s="2619"/>
      <c r="BC1216" s="2619"/>
      <c r="BD1216" s="2619"/>
      <c r="BE1216" s="2619"/>
      <c r="BF1216" s="2619"/>
      <c r="BG1216" s="2619"/>
      <c r="BH1216" s="2619"/>
      <c r="BI1216" s="2619"/>
      <c r="BJ1216" s="2619"/>
      <c r="BK1216" s="2619"/>
      <c r="BL1216" s="2609"/>
      <c r="BM1216" s="2609"/>
      <c r="BN1216" s="2609"/>
      <c r="BO1216" s="2609"/>
      <c r="BP1216" s="2609"/>
      <c r="BQ1216" s="2609"/>
      <c r="BR1216" s="2609"/>
      <c r="BS1216" s="2609"/>
      <c r="BT1216" s="2609"/>
      <c r="BU1216" s="2609"/>
      <c r="BV1216" s="2609"/>
      <c r="BW1216" s="2609"/>
      <c r="BX1216" s="2609"/>
      <c r="BY1216" s="2609"/>
      <c r="BZ1216" s="2609"/>
      <c r="CA1216" s="2635"/>
    </row>
    <row r="1217" spans="1:79" ht="12.75" customHeight="1" x14ac:dyDescent="0.2">
      <c r="A1217" s="1916">
        <v>1217</v>
      </c>
      <c r="B1217" s="5148"/>
      <c r="C1217" s="2580"/>
      <c r="D1217" s="210"/>
      <c r="E1217" s="2583" t="s">
        <v>9779</v>
      </c>
      <c r="F1217" s="195">
        <v>15</v>
      </c>
      <c r="G1217" s="195">
        <v>60</v>
      </c>
      <c r="H1217" s="195">
        <f>COUNTIF(HabilidadesEsenciales_Adquiridas,Tablas!E1217)</f>
        <v>0</v>
      </c>
      <c r="I1217" s="2585">
        <v>1</v>
      </c>
      <c r="J1217" s="370"/>
      <c r="K1217" s="2576"/>
      <c r="M1217" s="1847"/>
      <c r="N1217" s="96"/>
      <c r="O1217" s="411" t="s">
        <v>9330</v>
      </c>
      <c r="P1217" s="2578">
        <v>20</v>
      </c>
      <c r="Q1217" s="503">
        <v>25</v>
      </c>
      <c r="R1217" s="2585">
        <f>COUNTIF(PoderesDeCriatura_Adquiridos,Tablas!O1217)</f>
        <v>0</v>
      </c>
      <c r="S1217" s="370"/>
      <c r="T1217" s="2576"/>
      <c r="V1217" s="2634" t="s">
        <v>196</v>
      </c>
      <c r="W1217" s="2603"/>
      <c r="X1217" s="2172" t="str">
        <f t="shared" ref="X1217:X1248" si="140">IF(Y1217="","",SUBSTITUTE("PodHab_"&amp;V1217," ",""))</f>
        <v>PodHab_Inmunidad</v>
      </c>
      <c r="Y1217" s="2622" t="s">
        <v>9167</v>
      </c>
      <c r="Z1217" s="2619" t="s">
        <v>9168</v>
      </c>
      <c r="AA1217" s="2619" t="s">
        <v>9169</v>
      </c>
      <c r="AB1217" s="2619" t="s">
        <v>9170</v>
      </c>
      <c r="AC1217" s="2619" t="s">
        <v>9171</v>
      </c>
      <c r="AD1217" s="2619" t="s">
        <v>9172</v>
      </c>
      <c r="AE1217" s="2619" t="s">
        <v>9173</v>
      </c>
      <c r="AF1217" s="2619" t="s">
        <v>9174</v>
      </c>
      <c r="AG1217" s="2619" t="s">
        <v>9175</v>
      </c>
      <c r="AH1217" s="2619" t="s">
        <v>9176</v>
      </c>
      <c r="AI1217" s="2619" t="s">
        <v>9177</v>
      </c>
      <c r="AJ1217" s="2619" t="s">
        <v>9178</v>
      </c>
      <c r="AK1217" s="2619" t="s">
        <v>9179</v>
      </c>
      <c r="AL1217" s="2619" t="s">
        <v>9180</v>
      </c>
      <c r="AM1217" s="2619" t="s">
        <v>9181</v>
      </c>
      <c r="AN1217" s="2619" t="s">
        <v>9182</v>
      </c>
      <c r="AO1217" s="2619" t="s">
        <v>9183</v>
      </c>
      <c r="AP1217" s="2619" t="s">
        <v>9184</v>
      </c>
      <c r="AQ1217" s="2619"/>
      <c r="AR1217" s="2619"/>
      <c r="AS1217" s="2619"/>
      <c r="AT1217" s="2619"/>
      <c r="AU1217" s="2619"/>
      <c r="AV1217" s="2619"/>
      <c r="AW1217" s="2619"/>
      <c r="AX1217" s="2619"/>
      <c r="AY1217" s="2619"/>
      <c r="AZ1217" s="2619"/>
      <c r="BA1217" s="2619"/>
      <c r="BB1217" s="2619"/>
      <c r="BC1217" s="2619"/>
      <c r="BD1217" s="2619"/>
      <c r="BE1217" s="2619"/>
      <c r="BF1217" s="2619"/>
      <c r="BG1217" s="2619"/>
      <c r="BH1217" s="2619"/>
      <c r="BI1217" s="2619"/>
      <c r="BJ1217" s="2619"/>
      <c r="BK1217" s="2619"/>
      <c r="BL1217" s="2609"/>
      <c r="BM1217" s="2609"/>
      <c r="BN1217" s="2609"/>
      <c r="BO1217" s="2609"/>
      <c r="BP1217" s="2609"/>
      <c r="BQ1217" s="2609"/>
      <c r="BR1217" s="2609"/>
      <c r="BS1217" s="2609"/>
      <c r="BT1217" s="2609"/>
      <c r="BU1217" s="2609"/>
      <c r="BV1217" s="2609"/>
      <c r="BW1217" s="2609"/>
      <c r="BX1217" s="2609"/>
      <c r="BY1217" s="2609"/>
      <c r="BZ1217" s="2609"/>
      <c r="CA1217" s="2635"/>
    </row>
    <row r="1218" spans="1:79" ht="12.75" customHeight="1" x14ac:dyDescent="0.2">
      <c r="A1218" s="1916">
        <v>1218</v>
      </c>
      <c r="B1218" s="5148"/>
      <c r="C1218" s="2580"/>
      <c r="D1218" s="210"/>
      <c r="E1218" s="2583" t="s">
        <v>9780</v>
      </c>
      <c r="F1218" s="195">
        <v>20</v>
      </c>
      <c r="G1218" s="195">
        <v>120</v>
      </c>
      <c r="H1218" s="195">
        <f>COUNTIF(HabilidadesEsenciales_Adquiridas,Tablas!E1218)</f>
        <v>0</v>
      </c>
      <c r="I1218" s="2585"/>
      <c r="J1218" s="370"/>
      <c r="K1218" s="2576"/>
      <c r="M1218" s="1847"/>
      <c r="N1218" s="96"/>
      <c r="O1218" s="411" t="s">
        <v>9331</v>
      </c>
      <c r="P1218" s="2578">
        <v>25</v>
      </c>
      <c r="Q1218" s="503">
        <v>30</v>
      </c>
      <c r="R1218" s="2585">
        <f>COUNTIF(PoderesDeCriatura_Adquiridos,Tablas!O1218)</f>
        <v>0</v>
      </c>
      <c r="S1218" s="370"/>
      <c r="T1218" s="2576"/>
      <c r="V1218" s="2634" t="s">
        <v>8968</v>
      </c>
      <c r="W1218" s="2603"/>
      <c r="X1218" s="2172" t="str">
        <f t="shared" si="140"/>
        <v>PodHab_Vulnerabilidadextrema</v>
      </c>
      <c r="Y1218" s="2622" t="s">
        <v>9185</v>
      </c>
      <c r="Z1218" s="2619" t="s">
        <v>9186</v>
      </c>
      <c r="AA1218" s="2619" t="s">
        <v>9187</v>
      </c>
      <c r="AB1218" s="2619" t="s">
        <v>9188</v>
      </c>
      <c r="AC1218" s="2619" t="s">
        <v>9189</v>
      </c>
      <c r="AD1218" s="2619" t="s">
        <v>9190</v>
      </c>
      <c r="AE1218" s="2619" t="s">
        <v>9191</v>
      </c>
      <c r="AF1218" s="2619" t="s">
        <v>10069</v>
      </c>
      <c r="AG1218" s="2619" t="s">
        <v>10070</v>
      </c>
      <c r="AH1218" s="2619" t="s">
        <v>4349</v>
      </c>
      <c r="AI1218" s="2619" t="s">
        <v>9081</v>
      </c>
      <c r="AJ1218" s="2619" t="s">
        <v>718</v>
      </c>
      <c r="AK1218" s="2619" t="s">
        <v>84</v>
      </c>
      <c r="AL1218" s="2619" t="s">
        <v>5181</v>
      </c>
      <c r="AM1218" s="2619" t="s">
        <v>5182</v>
      </c>
      <c r="AN1218" s="2619" t="s">
        <v>5183</v>
      </c>
      <c r="AO1218" s="2619" t="s">
        <v>9078</v>
      </c>
      <c r="AP1218" s="2619"/>
      <c r="AQ1218" s="2619"/>
      <c r="AR1218" s="2619"/>
      <c r="AS1218" s="2619"/>
      <c r="AT1218" s="2619"/>
      <c r="AU1218" s="2619"/>
      <c r="AV1218" s="2619"/>
      <c r="AW1218" s="2619"/>
      <c r="AX1218" s="2619"/>
      <c r="AY1218" s="2619"/>
      <c r="AZ1218" s="2619"/>
      <c r="BA1218" s="2619"/>
      <c r="BB1218" s="2619"/>
      <c r="BC1218" s="2619"/>
      <c r="BD1218" s="2619"/>
      <c r="BE1218" s="2619"/>
      <c r="BF1218" s="2619"/>
      <c r="BG1218" s="2619"/>
      <c r="BH1218" s="2619"/>
      <c r="BI1218" s="2619"/>
      <c r="BJ1218" s="2619"/>
      <c r="BK1218" s="2619"/>
      <c r="BL1218" s="2609"/>
      <c r="BM1218" s="2609"/>
      <c r="BN1218" s="2609"/>
      <c r="BO1218" s="2609"/>
      <c r="BP1218" s="2609"/>
      <c r="BQ1218" s="2609"/>
      <c r="BR1218" s="2609"/>
      <c r="BS1218" s="2609"/>
      <c r="BT1218" s="2609"/>
      <c r="BU1218" s="2609"/>
      <c r="BV1218" s="2609"/>
      <c r="BW1218" s="2609"/>
      <c r="BX1218" s="2609"/>
      <c r="BY1218" s="2609"/>
      <c r="BZ1218" s="2609"/>
      <c r="CA1218" s="2635"/>
    </row>
    <row r="1219" spans="1:79" ht="12.75" customHeight="1" x14ac:dyDescent="0.2">
      <c r="A1219" s="1916">
        <v>1219</v>
      </c>
      <c r="B1219" s="5148"/>
      <c r="C1219" s="2580"/>
      <c r="D1219" s="210"/>
      <c r="E1219" s="2583" t="s">
        <v>9781</v>
      </c>
      <c r="F1219" s="195">
        <v>25</v>
      </c>
      <c r="G1219" s="195">
        <v>180</v>
      </c>
      <c r="H1219" s="195">
        <f>COUNTIF(HabilidadesEsenciales_Adquiridas,Tablas!E1219)</f>
        <v>0</v>
      </c>
      <c r="I1219" s="2585"/>
      <c r="J1219" s="370"/>
      <c r="K1219" s="2576"/>
      <c r="M1219" s="1847"/>
      <c r="N1219" s="96"/>
      <c r="O1219" s="411" t="s">
        <v>9332</v>
      </c>
      <c r="P1219" s="2578">
        <v>5</v>
      </c>
      <c r="Q1219" s="503">
        <v>10</v>
      </c>
      <c r="R1219" s="2585">
        <f>COUNTIF(PoderesDeCriatura_Adquiridos,Tablas!O1219)</f>
        <v>0</v>
      </c>
      <c r="S1219" s="370"/>
      <c r="T1219" s="2576"/>
      <c r="V1219" s="2634" t="s">
        <v>8969</v>
      </c>
      <c r="W1219" s="2603"/>
      <c r="X1219" s="2172" t="str">
        <f t="shared" si="140"/>
        <v>PodHab_Barreradedaño</v>
      </c>
      <c r="Y1219" s="2622" t="s">
        <v>9192</v>
      </c>
      <c r="Z1219" s="2619" t="s">
        <v>9193</v>
      </c>
      <c r="AA1219" s="2619" t="s">
        <v>9194</v>
      </c>
      <c r="AB1219" s="2619" t="s">
        <v>9195</v>
      </c>
      <c r="AC1219" s="2619" t="s">
        <v>9196</v>
      </c>
      <c r="AD1219" s="2619" t="s">
        <v>9197</v>
      </c>
      <c r="AE1219" s="2619" t="s">
        <v>9198</v>
      </c>
      <c r="AF1219" s="2619"/>
      <c r="AG1219" s="2619"/>
      <c r="AH1219" s="2619"/>
      <c r="AI1219" s="2619"/>
      <c r="AJ1219" s="2619"/>
      <c r="AK1219" s="2619"/>
      <c r="AL1219" s="2619"/>
      <c r="AM1219" s="2619"/>
      <c r="AN1219" s="2619"/>
      <c r="AO1219" s="2619"/>
      <c r="AP1219" s="2619"/>
      <c r="AQ1219" s="2619"/>
      <c r="AR1219" s="2619"/>
      <c r="AS1219" s="2619"/>
      <c r="AT1219" s="2619"/>
      <c r="AU1219" s="2619"/>
      <c r="AV1219" s="2619"/>
      <c r="AW1219" s="2619"/>
      <c r="AX1219" s="2619"/>
      <c r="AY1219" s="2619"/>
      <c r="AZ1219" s="2619"/>
      <c r="BA1219" s="2619"/>
      <c r="BB1219" s="2619"/>
      <c r="BC1219" s="2619"/>
      <c r="BD1219" s="2619"/>
      <c r="BE1219" s="2619"/>
      <c r="BF1219" s="2619"/>
      <c r="BG1219" s="2619"/>
      <c r="BH1219" s="2619"/>
      <c r="BI1219" s="2619"/>
      <c r="BJ1219" s="2619"/>
      <c r="BK1219" s="2619"/>
      <c r="BL1219" s="2609"/>
      <c r="BM1219" s="2609"/>
      <c r="BN1219" s="2609"/>
      <c r="BO1219" s="2609"/>
      <c r="BP1219" s="2609"/>
      <c r="BQ1219" s="2609"/>
      <c r="BR1219" s="2609"/>
      <c r="BS1219" s="2609"/>
      <c r="BT1219" s="2609"/>
      <c r="BU1219" s="2609"/>
      <c r="BV1219" s="2609"/>
      <c r="BW1219" s="2609"/>
      <c r="BX1219" s="2609"/>
      <c r="BY1219" s="2609"/>
      <c r="BZ1219" s="2609"/>
      <c r="CA1219" s="2635"/>
    </row>
    <row r="1220" spans="1:79" ht="12.75" customHeight="1" x14ac:dyDescent="0.2">
      <c r="A1220" s="1916">
        <v>1220</v>
      </c>
      <c r="B1220" s="5148"/>
      <c r="C1220" s="2580"/>
      <c r="D1220" s="210"/>
      <c r="E1220" s="2583" t="s">
        <v>9782</v>
      </c>
      <c r="F1220" s="195">
        <v>0</v>
      </c>
      <c r="G1220" s="195">
        <v>20</v>
      </c>
      <c r="H1220" s="195">
        <f>COUNTIF(HabilidadesEsenciales_Adquiridas,Tablas!E1220)</f>
        <v>0</v>
      </c>
      <c r="I1220" s="2585">
        <v>1</v>
      </c>
      <c r="J1220" s="370"/>
      <c r="K1220" s="2576"/>
      <c r="M1220" s="1847"/>
      <c r="N1220" s="96"/>
      <c r="O1220" s="411" t="s">
        <v>9333</v>
      </c>
      <c r="P1220" s="2578">
        <v>10</v>
      </c>
      <c r="Q1220" s="503">
        <v>20</v>
      </c>
      <c r="R1220" s="2585">
        <f>COUNTIF(PoderesDeCriatura_Adquiridos,Tablas!O1220)</f>
        <v>0</v>
      </c>
      <c r="S1220" s="370"/>
      <c r="T1220" s="2576"/>
      <c r="V1220" s="2634" t="s">
        <v>1623</v>
      </c>
      <c r="W1220" s="2016"/>
      <c r="X1220" s="2172" t="str">
        <f t="shared" si="140"/>
        <v/>
      </c>
      <c r="Y1220" s="2622"/>
      <c r="Z1220" s="2619"/>
      <c r="AA1220" s="2619"/>
      <c r="AB1220" s="2619"/>
      <c r="AC1220" s="2619"/>
      <c r="AD1220" s="2619"/>
      <c r="AE1220" s="2619"/>
      <c r="AF1220" s="2619"/>
      <c r="AG1220" s="2619"/>
      <c r="AH1220" s="2619"/>
      <c r="AI1220" s="2619"/>
      <c r="AJ1220" s="2619"/>
      <c r="AK1220" s="2619"/>
      <c r="AL1220" s="2619"/>
      <c r="AM1220" s="2619"/>
      <c r="AN1220" s="2619"/>
      <c r="AO1220" s="2619"/>
      <c r="AP1220" s="2619"/>
      <c r="AQ1220" s="2619"/>
      <c r="AR1220" s="2619"/>
      <c r="AS1220" s="2619"/>
      <c r="AT1220" s="2619"/>
      <c r="AU1220" s="2619"/>
      <c r="AV1220" s="2619"/>
      <c r="AW1220" s="2619"/>
      <c r="AX1220" s="2619"/>
      <c r="AY1220" s="2619"/>
      <c r="AZ1220" s="2619"/>
      <c r="BA1220" s="2619"/>
      <c r="BB1220" s="2619"/>
      <c r="BC1220" s="2619"/>
      <c r="BD1220" s="2619"/>
      <c r="BE1220" s="2619"/>
      <c r="BF1220" s="2619"/>
      <c r="BG1220" s="2619"/>
      <c r="BH1220" s="2619"/>
      <c r="BI1220" s="2619"/>
      <c r="BJ1220" s="2619"/>
      <c r="BK1220" s="2619"/>
      <c r="BL1220" s="2609"/>
      <c r="BM1220" s="2609"/>
      <c r="BN1220" s="2609"/>
      <c r="BO1220" s="2609"/>
      <c r="BP1220" s="2609"/>
      <c r="BQ1220" s="2609"/>
      <c r="BR1220" s="2609"/>
      <c r="BS1220" s="2609"/>
      <c r="BT1220" s="2609"/>
      <c r="BU1220" s="2609"/>
      <c r="BV1220" s="2609"/>
      <c r="BW1220" s="2609"/>
      <c r="BX1220" s="2609"/>
      <c r="BY1220" s="2609"/>
      <c r="BZ1220" s="2609"/>
      <c r="CA1220" s="2635"/>
    </row>
    <row r="1221" spans="1:79" ht="12.75" customHeight="1" x14ac:dyDescent="0.2">
      <c r="A1221" s="1916">
        <v>1221</v>
      </c>
      <c r="B1221" s="5148"/>
      <c r="C1221" s="2580"/>
      <c r="D1221" s="210"/>
      <c r="E1221" s="2583" t="s">
        <v>9783</v>
      </c>
      <c r="F1221" s="195">
        <v>5</v>
      </c>
      <c r="G1221" s="195">
        <v>40</v>
      </c>
      <c r="H1221" s="195">
        <f>COUNTIF(HabilidadesEsenciales_Adquiridas,Tablas!E1221)</f>
        <v>0</v>
      </c>
      <c r="I1221" s="2585">
        <v>1</v>
      </c>
      <c r="J1221" s="370"/>
      <c r="K1221" s="2576"/>
      <c r="M1221" s="1847"/>
      <c r="N1221" s="96"/>
      <c r="O1221" s="411" t="s">
        <v>9334</v>
      </c>
      <c r="P1221" s="2578">
        <v>15</v>
      </c>
      <c r="Q1221" s="503">
        <v>30</v>
      </c>
      <c r="R1221" s="2585">
        <f>COUNTIF(PoderesDeCriatura_Adquiridos,Tablas!O1221)</f>
        <v>0</v>
      </c>
      <c r="S1221" s="370"/>
      <c r="T1221" s="2576"/>
      <c r="V1221" s="2634" t="s">
        <v>8987</v>
      </c>
      <c r="W1221" s="2603"/>
      <c r="X1221" s="2172" t="str">
        <f t="shared" si="140"/>
        <v>PodHab_Armadurafísica</v>
      </c>
      <c r="Y1221" s="2622" t="s">
        <v>7220</v>
      </c>
      <c r="Z1221" s="2619" t="s">
        <v>5691</v>
      </c>
      <c r="AA1221" s="2619" t="s">
        <v>9199</v>
      </c>
      <c r="AB1221" s="2619" t="s">
        <v>5692</v>
      </c>
      <c r="AC1221" s="2619" t="s">
        <v>9200</v>
      </c>
      <c r="AD1221" s="2619" t="s">
        <v>5693</v>
      </c>
      <c r="AE1221" s="2619" t="s">
        <v>9201</v>
      </c>
      <c r="AF1221" s="2619" t="s">
        <v>5694</v>
      </c>
      <c r="AG1221" s="2619" t="s">
        <v>9202</v>
      </c>
      <c r="AH1221" s="2619" t="s">
        <v>7221</v>
      </c>
      <c r="AI1221" s="2619" t="s">
        <v>7222</v>
      </c>
      <c r="AJ1221" s="2619" t="s">
        <v>9203</v>
      </c>
      <c r="AK1221" s="2619" t="s">
        <v>9204</v>
      </c>
      <c r="AL1221" s="2619" t="s">
        <v>9205</v>
      </c>
      <c r="AM1221" s="2619" t="s">
        <v>9206</v>
      </c>
      <c r="AN1221" s="2619" t="s">
        <v>9207</v>
      </c>
      <c r="AO1221" s="2619" t="s">
        <v>9208</v>
      </c>
      <c r="AP1221" s="2619" t="s">
        <v>9209</v>
      </c>
      <c r="AQ1221" s="2619"/>
      <c r="AR1221" s="2619"/>
      <c r="AS1221" s="2619"/>
      <c r="AT1221" s="2619"/>
      <c r="AU1221" s="2619"/>
      <c r="AV1221" s="2619"/>
      <c r="AW1221" s="2619"/>
      <c r="AX1221" s="2619"/>
      <c r="AY1221" s="2619"/>
      <c r="AZ1221" s="2619"/>
      <c r="BA1221" s="2619"/>
      <c r="BB1221" s="2619"/>
      <c r="BC1221" s="2619"/>
      <c r="BD1221" s="2619"/>
      <c r="BE1221" s="2619"/>
      <c r="BF1221" s="2619"/>
      <c r="BG1221" s="2619"/>
      <c r="BH1221" s="2619"/>
      <c r="BI1221" s="2619"/>
      <c r="BJ1221" s="2619"/>
      <c r="BK1221" s="2619"/>
      <c r="BL1221" s="2609"/>
      <c r="BM1221" s="2609"/>
      <c r="BN1221" s="2609"/>
      <c r="BO1221" s="2609"/>
      <c r="BP1221" s="2609"/>
      <c r="BQ1221" s="2609"/>
      <c r="BR1221" s="2609"/>
      <c r="BS1221" s="2609"/>
      <c r="BT1221" s="2609"/>
      <c r="BU1221" s="2609"/>
      <c r="BV1221" s="2609"/>
      <c r="BW1221" s="2609"/>
      <c r="BX1221" s="2609"/>
      <c r="BY1221" s="2609"/>
      <c r="BZ1221" s="2609"/>
      <c r="CA1221" s="2635"/>
    </row>
    <row r="1222" spans="1:79" ht="12.75" customHeight="1" x14ac:dyDescent="0.2">
      <c r="A1222" s="1916">
        <v>1222</v>
      </c>
      <c r="B1222" s="5148"/>
      <c r="C1222" s="2580"/>
      <c r="D1222" s="210"/>
      <c r="E1222" s="2583" t="s">
        <v>9784</v>
      </c>
      <c r="F1222" s="195">
        <v>15</v>
      </c>
      <c r="G1222" s="195">
        <v>60</v>
      </c>
      <c r="H1222" s="195">
        <f>COUNTIF(HabilidadesEsenciales_Adquiridas,Tablas!E1222)</f>
        <v>0</v>
      </c>
      <c r="I1222" s="2585">
        <v>1</v>
      </c>
      <c r="J1222" s="370"/>
      <c r="K1222" s="2576"/>
      <c r="M1222" s="1847"/>
      <c r="N1222" s="96"/>
      <c r="O1222" s="411" t="s">
        <v>9335</v>
      </c>
      <c r="P1222" s="2578">
        <v>20</v>
      </c>
      <c r="Q1222" s="503">
        <v>40</v>
      </c>
      <c r="R1222" s="2585">
        <f>COUNTIF(PoderesDeCriatura_Adquiridos,Tablas!O1222)</f>
        <v>0</v>
      </c>
      <c r="S1222" s="370"/>
      <c r="T1222" s="2576"/>
      <c r="V1222" s="2634" t="s">
        <v>2700</v>
      </c>
      <c r="W1222" s="2603"/>
      <c r="X1222" s="2172" t="str">
        <f t="shared" si="140"/>
        <v>PodHab_Armaduramística</v>
      </c>
      <c r="Y1222" s="2622" t="s">
        <v>7220</v>
      </c>
      <c r="Z1222" s="2619" t="s">
        <v>5691</v>
      </c>
      <c r="AA1222" s="2619" t="s">
        <v>9199</v>
      </c>
      <c r="AB1222" s="2619" t="s">
        <v>5692</v>
      </c>
      <c r="AC1222" s="2619" t="s">
        <v>9200</v>
      </c>
      <c r="AD1222" s="2619" t="s">
        <v>5693</v>
      </c>
      <c r="AE1222" s="2619" t="s">
        <v>9201</v>
      </c>
      <c r="AF1222" s="2619" t="s">
        <v>5694</v>
      </c>
      <c r="AG1222" s="2619"/>
      <c r="AH1222" s="2619"/>
      <c r="AI1222" s="2619"/>
      <c r="AJ1222" s="2619"/>
      <c r="AK1222" s="2619"/>
      <c r="AL1222" s="2619"/>
      <c r="AM1222" s="2619"/>
      <c r="AN1222" s="2619"/>
      <c r="AO1222" s="2619"/>
      <c r="AP1222" s="2619"/>
      <c r="AQ1222" s="2619"/>
      <c r="AR1222" s="2619"/>
      <c r="AS1222" s="2619"/>
      <c r="AT1222" s="2619"/>
      <c r="AU1222" s="2619"/>
      <c r="AV1222" s="2619"/>
      <c r="AW1222" s="2619"/>
      <c r="AX1222" s="2619"/>
      <c r="AY1222" s="2619"/>
      <c r="AZ1222" s="2619"/>
      <c r="BA1222" s="2619"/>
      <c r="BB1222" s="2619"/>
      <c r="BC1222" s="2619"/>
      <c r="BD1222" s="2619"/>
      <c r="BE1222" s="2619"/>
      <c r="BF1222" s="2619"/>
      <c r="BG1222" s="2619"/>
      <c r="BH1222" s="2619"/>
      <c r="BI1222" s="2619"/>
      <c r="BJ1222" s="2619"/>
      <c r="BK1222" s="2619"/>
      <c r="BL1222" s="2609"/>
      <c r="BM1222" s="2609"/>
      <c r="BN1222" s="2609"/>
      <c r="BO1222" s="2609"/>
      <c r="BP1222" s="2609"/>
      <c r="BQ1222" s="2609"/>
      <c r="BR1222" s="2609"/>
      <c r="BS1222" s="2609"/>
      <c r="BT1222" s="2609"/>
      <c r="BU1222" s="2609"/>
      <c r="BV1222" s="2609"/>
      <c r="BW1222" s="2609"/>
      <c r="BX1222" s="2609"/>
      <c r="BY1222" s="2609"/>
      <c r="BZ1222" s="2609"/>
      <c r="CA1222" s="2635"/>
    </row>
    <row r="1223" spans="1:79" ht="12.75" customHeight="1" x14ac:dyDescent="0.2">
      <c r="A1223" s="1916">
        <v>1223</v>
      </c>
      <c r="B1223" s="5148"/>
      <c r="C1223" s="2580"/>
      <c r="D1223" s="210"/>
      <c r="E1223" s="2583" t="s">
        <v>9785</v>
      </c>
      <c r="F1223" s="195">
        <v>20</v>
      </c>
      <c r="G1223" s="195">
        <v>120</v>
      </c>
      <c r="H1223" s="195">
        <f>COUNTIF(HabilidadesEsenciales_Adquiridas,Tablas!E1223)</f>
        <v>0</v>
      </c>
      <c r="I1223" s="2585"/>
      <c r="J1223" s="370"/>
      <c r="K1223" s="2576"/>
      <c r="M1223" s="1847"/>
      <c r="N1223" s="96"/>
      <c r="O1223" s="411" t="s">
        <v>9336</v>
      </c>
      <c r="P1223" s="2578">
        <v>25</v>
      </c>
      <c r="Q1223" s="503">
        <v>50</v>
      </c>
      <c r="R1223" s="2585">
        <f>COUNTIF(PoderesDeCriatura_Adquiridos,Tablas!O1223)</f>
        <v>0</v>
      </c>
      <c r="S1223" s="370"/>
      <c r="T1223" s="2576"/>
      <c r="V1223" s="2634" t="s">
        <v>1624</v>
      </c>
      <c r="W1223" s="2016"/>
      <c r="X1223" s="2172" t="str">
        <f t="shared" si="140"/>
        <v/>
      </c>
      <c r="Y1223" s="2622"/>
      <c r="Z1223" s="2619"/>
      <c r="AA1223" s="2619"/>
      <c r="AB1223" s="2619"/>
      <c r="AC1223" s="2619"/>
      <c r="AD1223" s="2619"/>
      <c r="AE1223" s="2619"/>
      <c r="AF1223" s="2619"/>
      <c r="AG1223" s="2619"/>
      <c r="AH1223" s="2619"/>
      <c r="AI1223" s="2619"/>
      <c r="AJ1223" s="2619"/>
      <c r="AK1223" s="2619"/>
      <c r="AL1223" s="2619"/>
      <c r="AM1223" s="2619"/>
      <c r="AN1223" s="2619"/>
      <c r="AO1223" s="2619"/>
      <c r="AP1223" s="2619"/>
      <c r="AQ1223" s="2619"/>
      <c r="AR1223" s="2619"/>
      <c r="AS1223" s="2619"/>
      <c r="AT1223" s="2619"/>
      <c r="AU1223" s="2619"/>
      <c r="AV1223" s="2619"/>
      <c r="AW1223" s="2619"/>
      <c r="AX1223" s="2619"/>
      <c r="AY1223" s="2619"/>
      <c r="AZ1223" s="2619"/>
      <c r="BA1223" s="2619"/>
      <c r="BB1223" s="2619"/>
      <c r="BC1223" s="2619"/>
      <c r="BD1223" s="2619"/>
      <c r="BE1223" s="2619"/>
      <c r="BF1223" s="2619"/>
      <c r="BG1223" s="2619"/>
      <c r="BH1223" s="2619"/>
      <c r="BI1223" s="2619"/>
      <c r="BJ1223" s="2619"/>
      <c r="BK1223" s="2619"/>
      <c r="BL1223" s="2609"/>
      <c r="BM1223" s="2609"/>
      <c r="BN1223" s="2609"/>
      <c r="BO1223" s="2609"/>
      <c r="BP1223" s="2609"/>
      <c r="BQ1223" s="2609"/>
      <c r="BR1223" s="2609"/>
      <c r="BS1223" s="2609"/>
      <c r="BT1223" s="2609"/>
      <c r="BU1223" s="2609"/>
      <c r="BV1223" s="2609"/>
      <c r="BW1223" s="2609"/>
      <c r="BX1223" s="2609"/>
      <c r="BY1223" s="2609"/>
      <c r="BZ1223" s="2609"/>
      <c r="CA1223" s="2635"/>
    </row>
    <row r="1224" spans="1:79" ht="12.75" customHeight="1" x14ac:dyDescent="0.2">
      <c r="A1224" s="1916">
        <v>1224</v>
      </c>
      <c r="B1224" s="5148"/>
      <c r="C1224" s="2580"/>
      <c r="D1224" s="210"/>
      <c r="E1224" s="2583" t="s">
        <v>9786</v>
      </c>
      <c r="F1224" s="195">
        <v>25</v>
      </c>
      <c r="G1224" s="195">
        <v>180</v>
      </c>
      <c r="H1224" s="195">
        <f>COUNTIF(HabilidadesEsenciales_Adquiridas,Tablas!E1224)</f>
        <v>0</v>
      </c>
      <c r="I1224" s="2585"/>
      <c r="J1224" s="370"/>
      <c r="K1224" s="2576"/>
      <c r="M1224" s="1847"/>
      <c r="N1224" s="96"/>
      <c r="O1224" s="411" t="s">
        <v>9337</v>
      </c>
      <c r="P1224" s="2578">
        <v>30</v>
      </c>
      <c r="Q1224" s="503">
        <v>60</v>
      </c>
      <c r="R1224" s="2585">
        <f>COUNTIF(PoderesDeCriatura_Adquiridos,Tablas!O1224)</f>
        <v>0</v>
      </c>
      <c r="S1224" s="370"/>
      <c r="T1224" s="2576"/>
      <c r="V1224" s="2634" t="s">
        <v>9003</v>
      </c>
      <c r="W1224" s="2603"/>
      <c r="X1224" s="2172" t="str">
        <f t="shared" si="140"/>
        <v>PodHab_HabilidadesEspirituales</v>
      </c>
      <c r="Y1224" s="2622" t="s">
        <v>9210</v>
      </c>
      <c r="Z1224" s="2619" t="s">
        <v>9211</v>
      </c>
      <c r="AA1224" s="2619" t="s">
        <v>9212</v>
      </c>
      <c r="AB1224" s="2619"/>
      <c r="AC1224" s="2619"/>
      <c r="AD1224" s="2619"/>
      <c r="AE1224" s="2619"/>
      <c r="AF1224" s="2619"/>
      <c r="AG1224" s="2619"/>
      <c r="AH1224" s="1767"/>
      <c r="AI1224" s="1767"/>
      <c r="AJ1224" s="1767"/>
      <c r="AK1224" s="1767"/>
      <c r="AL1224" s="1767"/>
      <c r="AM1224" s="1767"/>
      <c r="AN1224" s="1767"/>
      <c r="AO1224" s="1767"/>
      <c r="AP1224" s="1767"/>
      <c r="AQ1224" s="1767"/>
      <c r="AR1224" s="1767"/>
      <c r="AS1224" s="1767"/>
      <c r="AT1224" s="1767"/>
      <c r="AU1224" s="1767"/>
      <c r="AV1224" s="1767"/>
      <c r="AW1224" s="1767"/>
      <c r="AX1224" s="1767"/>
      <c r="AY1224" s="1767"/>
      <c r="AZ1224" s="2619"/>
      <c r="BA1224" s="2619"/>
      <c r="BB1224" s="2619"/>
      <c r="BC1224" s="2619"/>
      <c r="BD1224" s="2619"/>
      <c r="BE1224" s="2619"/>
      <c r="BF1224" s="2619"/>
      <c r="BG1224" s="2619"/>
      <c r="BH1224" s="2619"/>
      <c r="BI1224" s="2619"/>
      <c r="BJ1224" s="2619"/>
      <c r="BK1224" s="2619"/>
      <c r="BL1224" s="2609"/>
      <c r="BM1224" s="2609"/>
      <c r="BN1224" s="2609"/>
      <c r="BO1224" s="2609"/>
      <c r="BP1224" s="2609"/>
      <c r="BQ1224" s="2609"/>
      <c r="BR1224" s="2609"/>
      <c r="BS1224" s="2609"/>
      <c r="BT1224" s="2609"/>
      <c r="BU1224" s="2609"/>
      <c r="BV1224" s="2609"/>
      <c r="BW1224" s="2609"/>
      <c r="BX1224" s="2609"/>
      <c r="BY1224" s="2609"/>
      <c r="BZ1224" s="2609"/>
      <c r="CA1224" s="2635"/>
    </row>
    <row r="1225" spans="1:79" ht="12.75" customHeight="1" x14ac:dyDescent="0.2">
      <c r="A1225" s="1916">
        <v>1225</v>
      </c>
      <c r="B1225" s="5148"/>
      <c r="C1225" s="2580"/>
      <c r="D1225" s="210"/>
      <c r="E1225" s="2583" t="s">
        <v>9787</v>
      </c>
      <c r="F1225" s="195">
        <v>0</v>
      </c>
      <c r="G1225" s="195">
        <v>20</v>
      </c>
      <c r="H1225" s="195">
        <f>COUNTIF(HabilidadesEsenciales_Adquiridas,Tablas!E1225)</f>
        <v>0</v>
      </c>
      <c r="I1225" s="2585">
        <v>1</v>
      </c>
      <c r="J1225" s="370"/>
      <c r="K1225" s="2576"/>
      <c r="M1225" s="1847"/>
      <c r="N1225" s="96"/>
      <c r="O1225" s="411" t="s">
        <v>9338</v>
      </c>
      <c r="P1225" s="2578">
        <v>35</v>
      </c>
      <c r="Q1225" s="503">
        <v>70</v>
      </c>
      <c r="R1225" s="2585">
        <f>COUNTIF(PoderesDeCriatura_Adquiridos,Tablas!O1225)</f>
        <v>0</v>
      </c>
      <c r="S1225" s="370"/>
      <c r="T1225" s="2576"/>
      <c r="V1225" s="2634" t="s">
        <v>0</v>
      </c>
      <c r="W1225" s="2016"/>
      <c r="X1225" s="2172" t="str">
        <f t="shared" si="140"/>
        <v/>
      </c>
      <c r="Y1225" s="2622"/>
      <c r="Z1225" s="2619"/>
      <c r="AA1225" s="2619"/>
      <c r="AB1225" s="2619"/>
      <c r="AC1225" s="2619"/>
      <c r="AD1225" s="2619"/>
      <c r="AE1225" s="2619"/>
      <c r="AF1225" s="2619"/>
      <c r="AG1225" s="2619"/>
      <c r="AH1225" s="2619"/>
      <c r="AI1225" s="2619"/>
      <c r="AJ1225" s="2619"/>
      <c r="AK1225" s="2619"/>
      <c r="AL1225" s="2619"/>
      <c r="AM1225" s="2619"/>
      <c r="AN1225" s="2619"/>
      <c r="AO1225" s="2619"/>
      <c r="AP1225" s="2619"/>
      <c r="AQ1225" s="2619"/>
      <c r="AR1225" s="2619"/>
      <c r="AS1225" s="2619"/>
      <c r="AT1225" s="2619"/>
      <c r="AU1225" s="2619"/>
      <c r="AV1225" s="2619"/>
      <c r="AW1225" s="2619"/>
      <c r="AX1225" s="2619"/>
      <c r="AY1225" s="2619"/>
      <c r="AZ1225" s="2619"/>
      <c r="BA1225" s="2619"/>
      <c r="BB1225" s="2619"/>
      <c r="BC1225" s="2619"/>
      <c r="BD1225" s="2619"/>
      <c r="BE1225" s="2619"/>
      <c r="BF1225" s="2619"/>
      <c r="BG1225" s="2619"/>
      <c r="BH1225" s="2619"/>
      <c r="BI1225" s="2619"/>
      <c r="BJ1225" s="2619"/>
      <c r="BK1225" s="2619"/>
      <c r="BL1225" s="2609"/>
      <c r="BM1225" s="2609"/>
      <c r="BN1225" s="2609"/>
      <c r="BO1225" s="2609"/>
      <c r="BP1225" s="2609"/>
      <c r="BQ1225" s="2609"/>
      <c r="BR1225" s="2609"/>
      <c r="BS1225" s="2609"/>
      <c r="BT1225" s="2609"/>
      <c r="BU1225" s="2609"/>
      <c r="BV1225" s="2609"/>
      <c r="BW1225" s="2609"/>
      <c r="BX1225" s="2609"/>
      <c r="BY1225" s="2609"/>
      <c r="BZ1225" s="2609"/>
      <c r="CA1225" s="2635"/>
    </row>
    <row r="1226" spans="1:79" ht="12.75" customHeight="1" x14ac:dyDescent="0.2">
      <c r="A1226" s="1916">
        <v>1226</v>
      </c>
      <c r="B1226" s="5148"/>
      <c r="C1226" s="2580"/>
      <c r="D1226" s="210"/>
      <c r="E1226" s="2583" t="s">
        <v>9788</v>
      </c>
      <c r="F1226" s="195">
        <v>5</v>
      </c>
      <c r="G1226" s="195">
        <v>40</v>
      </c>
      <c r="H1226" s="195">
        <f>COUNTIF(HabilidadesEsenciales_Adquiridas,Tablas!E1226)</f>
        <v>0</v>
      </c>
      <c r="I1226" s="2585">
        <v>1</v>
      </c>
      <c r="J1226" s="370"/>
      <c r="K1226" s="2576"/>
      <c r="M1226" s="1847"/>
      <c r="N1226" s="96"/>
      <c r="O1226" s="411" t="s">
        <v>9339</v>
      </c>
      <c r="P1226" s="2578">
        <v>40</v>
      </c>
      <c r="Q1226" s="503">
        <v>80</v>
      </c>
      <c r="R1226" s="2585">
        <f>COUNTIF(PoderesDeCriatura_Adquiridos,Tablas!O1226)</f>
        <v>0</v>
      </c>
      <c r="S1226" s="370"/>
      <c r="T1226" s="2576"/>
      <c r="V1226" s="2634" t="s">
        <v>3172</v>
      </c>
      <c r="W1226" s="2603"/>
      <c r="X1226" s="2172" t="str">
        <f t="shared" si="140"/>
        <v>PodHab_Aura</v>
      </c>
      <c r="Y1226" s="2622" t="s">
        <v>9034</v>
      </c>
      <c r="Z1226" s="2619" t="s">
        <v>9036</v>
      </c>
      <c r="AA1226" s="2619" t="s">
        <v>9037</v>
      </c>
      <c r="AB1226" s="2619" t="s">
        <v>9038</v>
      </c>
      <c r="AC1226" s="2619" t="s">
        <v>9039</v>
      </c>
      <c r="AD1226" s="2619" t="s">
        <v>6999</v>
      </c>
      <c r="AE1226" s="2619" t="s">
        <v>9076</v>
      </c>
      <c r="AF1226" s="2619" t="s">
        <v>9077</v>
      </c>
      <c r="AG1226" s="2619" t="s">
        <v>6089</v>
      </c>
      <c r="AH1226" s="2619" t="s">
        <v>6090</v>
      </c>
      <c r="AI1226" s="2619" t="s">
        <v>5180</v>
      </c>
      <c r="AJ1226" s="2619" t="s">
        <v>5181</v>
      </c>
      <c r="AK1226" s="2619" t="s">
        <v>4350</v>
      </c>
      <c r="AL1226" s="2619" t="s">
        <v>896</v>
      </c>
      <c r="AM1226" s="2619" t="s">
        <v>4342</v>
      </c>
      <c r="AN1226" s="2619" t="s">
        <v>9079</v>
      </c>
      <c r="AO1226" s="2619" t="s">
        <v>718</v>
      </c>
      <c r="AP1226" s="2619" t="s">
        <v>9080</v>
      </c>
      <c r="AQ1226" s="2619" t="s">
        <v>9081</v>
      </c>
      <c r="AR1226" s="2619" t="s">
        <v>844</v>
      </c>
      <c r="AS1226" s="2619" t="s">
        <v>705</v>
      </c>
      <c r="AT1226" s="2619" t="s">
        <v>706</v>
      </c>
      <c r="AU1226" s="2619" t="s">
        <v>707</v>
      </c>
      <c r="AV1226" s="2619" t="s">
        <v>4346</v>
      </c>
      <c r="AW1226" s="2619" t="s">
        <v>9082</v>
      </c>
      <c r="AX1226" s="2619" t="s">
        <v>9083</v>
      </c>
      <c r="AY1226" s="2619" t="s">
        <v>4349</v>
      </c>
      <c r="AZ1226" s="2619" t="s">
        <v>733</v>
      </c>
      <c r="BA1226" s="2619" t="s">
        <v>84</v>
      </c>
      <c r="BB1226" s="2619" t="s">
        <v>40</v>
      </c>
      <c r="BC1226" s="2619" t="s">
        <v>9084</v>
      </c>
      <c r="BD1226" s="2619" t="s">
        <v>9085</v>
      </c>
      <c r="BE1226" s="2619" t="s">
        <v>9213</v>
      </c>
      <c r="BF1226" s="2619" t="s">
        <v>9091</v>
      </c>
      <c r="BG1226" s="2619" t="s">
        <v>9214</v>
      </c>
      <c r="BH1226" s="2619"/>
      <c r="BI1226" s="2619"/>
      <c r="BJ1226" s="2619"/>
      <c r="BK1226" s="2619"/>
      <c r="BL1226" s="2609"/>
      <c r="BM1226" s="2609"/>
      <c r="BN1226" s="2609"/>
      <c r="BO1226" s="2609"/>
      <c r="BP1226" s="2609"/>
      <c r="BQ1226" s="2609"/>
      <c r="BR1226" s="2609"/>
      <c r="BS1226" s="2609"/>
      <c r="BT1226" s="2609"/>
      <c r="BU1226" s="2609"/>
      <c r="BV1226" s="2609"/>
      <c r="BW1226" s="2609"/>
      <c r="BX1226" s="2609"/>
      <c r="BY1226" s="2609"/>
      <c r="BZ1226" s="2609"/>
      <c r="CA1226" s="2635"/>
    </row>
    <row r="1227" spans="1:79" ht="12.75" customHeight="1" x14ac:dyDescent="0.2">
      <c r="A1227" s="1916">
        <v>1227</v>
      </c>
      <c r="B1227" s="5148"/>
      <c r="C1227" s="2580"/>
      <c r="D1227" s="210"/>
      <c r="E1227" s="2583" t="s">
        <v>9789</v>
      </c>
      <c r="F1227" s="195">
        <v>15</v>
      </c>
      <c r="G1227" s="195">
        <v>60</v>
      </c>
      <c r="H1227" s="195">
        <f>COUNTIF(HabilidadesEsenciales_Adquiridas,Tablas!E1227)</f>
        <v>0</v>
      </c>
      <c r="I1227" s="2585">
        <v>1</v>
      </c>
      <c r="J1227" s="370"/>
      <c r="K1227" s="2576"/>
      <c r="M1227" s="1847"/>
      <c r="N1227" s="96"/>
      <c r="O1227" s="411" t="s">
        <v>9340</v>
      </c>
      <c r="P1227" s="2578">
        <v>5</v>
      </c>
      <c r="Q1227" s="503">
        <f>10+IF(OR(TipoDeCriatura="Entre mundos, Elemental",TipoDeCriatura="Ánima, Elemental"),10,0)</f>
        <v>10</v>
      </c>
      <c r="R1227" s="2585">
        <f>COUNTIF(PoderesDeCriatura_Adquiridos,Tablas!O1227)</f>
        <v>0</v>
      </c>
      <c r="S1227" s="370"/>
      <c r="T1227" s="2576"/>
      <c r="V1227" s="2634" t="s">
        <v>8970</v>
      </c>
      <c r="W1227" s="2603"/>
      <c r="X1227" s="2172" t="str">
        <f t="shared" si="140"/>
        <v>PodHab_Forma</v>
      </c>
      <c r="Y1227" s="2622" t="s">
        <v>9215</v>
      </c>
      <c r="Z1227" s="2619" t="s">
        <v>9216</v>
      </c>
      <c r="AA1227" s="2619" t="s">
        <v>624</v>
      </c>
      <c r="AB1227" s="2619" t="s">
        <v>9217</v>
      </c>
      <c r="AC1227" s="2619" t="s">
        <v>9184</v>
      </c>
      <c r="AD1227" s="2619"/>
      <c r="AE1227" s="2619"/>
      <c r="AF1227" s="2619"/>
      <c r="AG1227" s="2619"/>
      <c r="AH1227" s="2619"/>
      <c r="AI1227" s="2619"/>
      <c r="AJ1227" s="2619"/>
      <c r="AK1227" s="2619"/>
      <c r="AL1227" s="2619"/>
      <c r="AM1227" s="2619"/>
      <c r="AN1227" s="2619"/>
      <c r="AO1227" s="2619"/>
      <c r="AP1227" s="2619"/>
      <c r="AQ1227" s="2619"/>
      <c r="AR1227" s="2619"/>
      <c r="AS1227" s="2619"/>
      <c r="AT1227" s="2619"/>
      <c r="AU1227" s="2619"/>
      <c r="AV1227" s="2619"/>
      <c r="AW1227" s="2619"/>
      <c r="AX1227" s="2619"/>
      <c r="AY1227" s="2619"/>
      <c r="AZ1227" s="2619"/>
      <c r="BA1227" s="2619"/>
      <c r="BB1227" s="2619"/>
      <c r="BC1227" s="2619"/>
      <c r="BD1227" s="2619"/>
      <c r="BE1227" s="2619"/>
      <c r="BF1227" s="2619"/>
      <c r="BG1227" s="2619"/>
      <c r="BH1227" s="2619"/>
      <c r="BI1227" s="2619"/>
      <c r="BJ1227" s="2619"/>
      <c r="BK1227" s="2619"/>
      <c r="BL1227" s="2609"/>
      <c r="BM1227" s="2609"/>
      <c r="BN1227" s="2609"/>
      <c r="BO1227" s="2609"/>
      <c r="BP1227" s="2609"/>
      <c r="BQ1227" s="2609"/>
      <c r="BR1227" s="2609"/>
      <c r="BS1227" s="2609"/>
      <c r="BT1227" s="2609"/>
      <c r="BU1227" s="2609"/>
      <c r="BV1227" s="2609"/>
      <c r="BW1227" s="2609"/>
      <c r="BX1227" s="2609"/>
      <c r="BY1227" s="2609"/>
      <c r="BZ1227" s="2609"/>
      <c r="CA1227" s="2635"/>
    </row>
    <row r="1228" spans="1:79" ht="12.75" customHeight="1" x14ac:dyDescent="0.2">
      <c r="A1228" s="1916">
        <v>1228</v>
      </c>
      <c r="B1228" s="5148"/>
      <c r="C1228" s="2580"/>
      <c r="D1228" s="210"/>
      <c r="E1228" s="2583" t="s">
        <v>9790</v>
      </c>
      <c r="F1228" s="195">
        <v>20</v>
      </c>
      <c r="G1228" s="195">
        <v>120</v>
      </c>
      <c r="H1228" s="195">
        <f>COUNTIF(HabilidadesEsenciales_Adquiridas,Tablas!E1228)</f>
        <v>0</v>
      </c>
      <c r="I1228" s="2585">
        <v>1</v>
      </c>
      <c r="J1228" s="370"/>
      <c r="K1228" s="2576"/>
      <c r="M1228" s="1847"/>
      <c r="N1228" s="96"/>
      <c r="O1228" s="411" t="s">
        <v>9341</v>
      </c>
      <c r="P1228" s="2578">
        <v>10</v>
      </c>
      <c r="Q1228" s="503">
        <f>15+IF(OR(TipoDeCriatura="Entre mundos, Elemental",TipoDeCriatura="Ánima, Elemental"),10,0)</f>
        <v>15</v>
      </c>
      <c r="R1228" s="2585">
        <f>COUNTIF(PoderesDeCriatura_Adquiridos,Tablas!O1228)</f>
        <v>0</v>
      </c>
      <c r="S1228" s="370"/>
      <c r="T1228" s="2576"/>
      <c r="V1228" s="2634" t="s">
        <v>8988</v>
      </c>
      <c r="W1228" s="2603"/>
      <c r="X1228" s="2172" t="str">
        <f t="shared" si="140"/>
        <v>PodHab_Indetecciones</v>
      </c>
      <c r="Y1228" s="2622" t="s">
        <v>9218</v>
      </c>
      <c r="Z1228" s="2619" t="s">
        <v>9219</v>
      </c>
      <c r="AA1228" s="2619" t="s">
        <v>9220</v>
      </c>
      <c r="AB1228" s="2619" t="s">
        <v>9221</v>
      </c>
      <c r="AC1228" s="2619" t="s">
        <v>2</v>
      </c>
      <c r="AD1228" s="2619" t="s">
        <v>9222</v>
      </c>
      <c r="AE1228" s="2619" t="s">
        <v>3</v>
      </c>
      <c r="AF1228" s="2619" t="s">
        <v>9223</v>
      </c>
      <c r="AG1228" s="2619" t="s">
        <v>4</v>
      </c>
      <c r="AH1228" s="2619" t="s">
        <v>9224</v>
      </c>
      <c r="AI1228" s="2619"/>
      <c r="AJ1228" s="2619"/>
      <c r="AK1228" s="2619"/>
      <c r="AL1228" s="2619"/>
      <c r="AM1228" s="2619"/>
      <c r="AN1228" s="2619"/>
      <c r="AO1228" s="1767"/>
      <c r="AP1228" s="1767"/>
      <c r="AQ1228" s="1767"/>
      <c r="AR1228" s="1767"/>
      <c r="AS1228" s="1767"/>
      <c r="AT1228" s="1767"/>
      <c r="AU1228" s="1767"/>
      <c r="AV1228" s="2619"/>
      <c r="AW1228" s="2619"/>
      <c r="AX1228" s="2619"/>
      <c r="AY1228" s="2619"/>
      <c r="AZ1228" s="2619"/>
      <c r="BA1228" s="2619"/>
      <c r="BB1228" s="2619"/>
      <c r="BC1228" s="2619"/>
      <c r="BD1228" s="2619"/>
      <c r="BE1228" s="2619"/>
      <c r="BF1228" s="2619"/>
      <c r="BG1228" s="2619"/>
      <c r="BH1228" s="2619"/>
      <c r="BI1228" s="2619"/>
      <c r="BJ1228" s="2619"/>
      <c r="BK1228" s="2619"/>
      <c r="BL1228" s="2609"/>
      <c r="BM1228" s="2609"/>
      <c r="BN1228" s="2609"/>
      <c r="BO1228" s="2609"/>
      <c r="BP1228" s="2609"/>
      <c r="BQ1228" s="2609"/>
      <c r="BR1228" s="2609"/>
      <c r="BS1228" s="2609"/>
      <c r="BT1228" s="2609"/>
      <c r="BU1228" s="2609"/>
      <c r="BV1228" s="2609"/>
      <c r="BW1228" s="2609"/>
      <c r="BX1228" s="2609"/>
      <c r="BY1228" s="2609"/>
      <c r="BZ1228" s="2609"/>
      <c r="CA1228" s="2635"/>
    </row>
    <row r="1229" spans="1:79" ht="12.75" customHeight="1" x14ac:dyDescent="0.2">
      <c r="A1229" s="1916">
        <v>1229</v>
      </c>
      <c r="B1229" s="5148"/>
      <c r="C1229" s="2580"/>
      <c r="D1229" s="210"/>
      <c r="E1229" s="2583" t="s">
        <v>9791</v>
      </c>
      <c r="F1229" s="195">
        <v>25</v>
      </c>
      <c r="G1229" s="195">
        <v>180</v>
      </c>
      <c r="H1229" s="195">
        <f>COUNTIF(HabilidadesEsenciales_Adquiridas,Tablas!E1229)</f>
        <v>0</v>
      </c>
      <c r="I1229" s="2585">
        <v>1</v>
      </c>
      <c r="J1229" s="370"/>
      <c r="K1229" s="2576"/>
      <c r="M1229" s="1847"/>
      <c r="N1229" s="96"/>
      <c r="O1229" s="411" t="s">
        <v>9342</v>
      </c>
      <c r="P1229" s="2578">
        <v>10</v>
      </c>
      <c r="Q1229" s="503">
        <f>20+IF(OR(TipoDeCriatura="Entre mundos, Elemental",TipoDeCriatura="Ánima, Elemental"),10,0)</f>
        <v>20</v>
      </c>
      <c r="R1229" s="2585">
        <f>COUNTIF(PoderesDeCriatura_Adquiridos,Tablas!O1229)</f>
        <v>0</v>
      </c>
      <c r="S1229" s="370"/>
      <c r="T1229" s="2576"/>
      <c r="V1229" s="2634" t="s">
        <v>9004</v>
      </c>
      <c r="W1229" s="2603"/>
      <c r="X1229" s="2172" t="str">
        <f t="shared" si="140"/>
        <v>PodHab_MagiaInnata</v>
      </c>
      <c r="Y1229" s="2622" t="s">
        <v>9225</v>
      </c>
      <c r="Z1229" s="2619" t="s">
        <v>9226</v>
      </c>
      <c r="AA1229" s="2619" t="s">
        <v>9041</v>
      </c>
      <c r="AB1229" s="2619" t="s">
        <v>9227</v>
      </c>
      <c r="AC1229" s="2619" t="s">
        <v>9042</v>
      </c>
      <c r="AD1229" s="2619" t="s">
        <v>9043</v>
      </c>
      <c r="AE1229" s="2619" t="s">
        <v>9044</v>
      </c>
      <c r="AF1229" s="2619" t="s">
        <v>9045</v>
      </c>
      <c r="AG1229" s="2619" t="s">
        <v>9046</v>
      </c>
      <c r="AH1229" s="2619"/>
      <c r="AI1229" s="2619"/>
      <c r="AJ1229" s="2619"/>
      <c r="AK1229" s="2619"/>
      <c r="AL1229" s="2619"/>
      <c r="AM1229" s="2619"/>
      <c r="AN1229" s="2619"/>
      <c r="AO1229" s="2619"/>
      <c r="AP1229" s="2619"/>
      <c r="AQ1229" s="2619"/>
      <c r="AR1229" s="2619"/>
      <c r="AS1229" s="2619"/>
      <c r="AT1229" s="2619"/>
      <c r="AU1229" s="2619"/>
      <c r="AV1229" s="2619"/>
      <c r="AW1229" s="2619"/>
      <c r="AX1229" s="2619"/>
      <c r="AY1229" s="2619"/>
      <c r="AZ1229" s="2619"/>
      <c r="BA1229" s="2619"/>
      <c r="BB1229" s="2619"/>
      <c r="BC1229" s="2619"/>
      <c r="BD1229" s="2619"/>
      <c r="BE1229" s="2619"/>
      <c r="BF1229" s="2619"/>
      <c r="BG1229" s="2619"/>
      <c r="BH1229" s="2619"/>
      <c r="BI1229" s="2619"/>
      <c r="BJ1229" s="2619"/>
      <c r="BK1229" s="2619"/>
      <c r="BL1229" s="2609"/>
      <c r="BM1229" s="2609"/>
      <c r="BN1229" s="2609"/>
      <c r="BO1229" s="2609"/>
      <c r="BP1229" s="2609"/>
      <c r="BQ1229" s="2609"/>
      <c r="BR1229" s="2609"/>
      <c r="BS1229" s="2609"/>
      <c r="BT1229" s="2609"/>
      <c r="BU1229" s="2609"/>
      <c r="BV1229" s="2609"/>
      <c r="BW1229" s="2609"/>
      <c r="BX1229" s="2609"/>
      <c r="BY1229" s="2609"/>
      <c r="BZ1229" s="2609"/>
      <c r="CA1229" s="2635"/>
    </row>
    <row r="1230" spans="1:79" ht="12.75" customHeight="1" x14ac:dyDescent="0.2">
      <c r="A1230" s="1916">
        <v>1230</v>
      </c>
      <c r="B1230" s="5148"/>
      <c r="C1230" s="2580"/>
      <c r="D1230" s="210"/>
      <c r="E1230" s="2583" t="s">
        <v>9792</v>
      </c>
      <c r="F1230" s="195">
        <v>0</v>
      </c>
      <c r="G1230" s="195">
        <v>20</v>
      </c>
      <c r="H1230" s="195">
        <f>COUNTIF(HabilidadesEsenciales_Adquiridas,Tablas!E1230)</f>
        <v>0</v>
      </c>
      <c r="I1230" s="2585">
        <v>1</v>
      </c>
      <c r="J1230" s="370"/>
      <c r="K1230" s="2576"/>
      <c r="M1230" s="1847"/>
      <c r="N1230" s="96"/>
      <c r="O1230" s="411" t="s">
        <v>9343</v>
      </c>
      <c r="P1230" s="2578">
        <v>10</v>
      </c>
      <c r="Q1230" s="503">
        <f>25+IF(OR(TipoDeCriatura="Entre mundos, Elemental",TipoDeCriatura="Ánima, Elemental"),10,0)</f>
        <v>25</v>
      </c>
      <c r="R1230" s="2585">
        <f>COUNTIF(PoderesDeCriatura_Adquiridos,Tablas!O1230)</f>
        <v>0</v>
      </c>
      <c r="S1230" s="370"/>
      <c r="T1230" s="2576"/>
      <c r="V1230" s="2634" t="s">
        <v>8971</v>
      </c>
      <c r="W1230" s="2603"/>
      <c r="X1230" s="2172" t="str">
        <f t="shared" si="140"/>
        <v>PodHab_Psíquicainnata</v>
      </c>
      <c r="Y1230" s="2622" t="s">
        <v>9228</v>
      </c>
      <c r="Z1230" s="2619" t="s">
        <v>9226</v>
      </c>
      <c r="AA1230" s="2619" t="s">
        <v>9041</v>
      </c>
      <c r="AB1230" s="2619" t="s">
        <v>9227</v>
      </c>
      <c r="AC1230" s="2619" t="s">
        <v>9042</v>
      </c>
      <c r="AD1230" s="2619" t="s">
        <v>9043</v>
      </c>
      <c r="AE1230" s="2619" t="s">
        <v>9044</v>
      </c>
      <c r="AF1230" s="2619" t="s">
        <v>9045</v>
      </c>
      <c r="AG1230" s="2619" t="s">
        <v>9046</v>
      </c>
      <c r="AH1230" s="2619"/>
      <c r="AI1230" s="1767"/>
      <c r="AJ1230" s="1767"/>
      <c r="AK1230" s="2619"/>
      <c r="AL1230" s="2619"/>
      <c r="AM1230" s="2619"/>
      <c r="AN1230" s="2619"/>
      <c r="AO1230" s="2619"/>
      <c r="AP1230" s="2619"/>
      <c r="AQ1230" s="2619"/>
      <c r="AR1230" s="2619"/>
      <c r="AS1230" s="2619"/>
      <c r="AT1230" s="2619"/>
      <c r="AU1230" s="2619"/>
      <c r="AV1230" s="2619"/>
      <c r="AW1230" s="2619"/>
      <c r="AX1230" s="2619"/>
      <c r="AY1230" s="2619"/>
      <c r="AZ1230" s="2619"/>
      <c r="BA1230" s="2619"/>
      <c r="BB1230" s="2619"/>
      <c r="BC1230" s="2619"/>
      <c r="BD1230" s="2619"/>
      <c r="BE1230" s="2619"/>
      <c r="BF1230" s="2619"/>
      <c r="BG1230" s="2619"/>
      <c r="BH1230" s="2619"/>
      <c r="BI1230" s="2619"/>
      <c r="BJ1230" s="2619"/>
      <c r="BK1230" s="2619"/>
      <c r="BL1230" s="2609"/>
      <c r="BM1230" s="2609"/>
      <c r="BN1230" s="2609"/>
      <c r="BO1230" s="2609"/>
      <c r="BP1230" s="2609"/>
      <c r="BQ1230" s="2609"/>
      <c r="BR1230" s="2609"/>
      <c r="BS1230" s="2609"/>
      <c r="BT1230" s="2609"/>
      <c r="BU1230" s="2609"/>
      <c r="BV1230" s="2609"/>
      <c r="BW1230" s="2609"/>
      <c r="BX1230" s="2609"/>
      <c r="BY1230" s="2609"/>
      <c r="BZ1230" s="2609"/>
      <c r="CA1230" s="2635"/>
    </row>
    <row r="1231" spans="1:79" ht="12.75" customHeight="1" x14ac:dyDescent="0.2">
      <c r="A1231" s="1916">
        <v>1231</v>
      </c>
      <c r="B1231" s="5148"/>
      <c r="C1231" s="2580"/>
      <c r="D1231" s="210"/>
      <c r="E1231" s="2583" t="s">
        <v>9793</v>
      </c>
      <c r="F1231" s="195">
        <v>5</v>
      </c>
      <c r="G1231" s="195">
        <v>40</v>
      </c>
      <c r="H1231" s="195">
        <f>COUNTIF(HabilidadesEsenciales_Adquiridas,Tablas!E1231)</f>
        <v>0</v>
      </c>
      <c r="I1231" s="2585">
        <v>1</v>
      </c>
      <c r="J1231" s="370"/>
      <c r="K1231" s="2576"/>
      <c r="M1231" s="1847"/>
      <c r="N1231" s="96"/>
      <c r="O1231" s="411" t="s">
        <v>9344</v>
      </c>
      <c r="P1231" s="2578">
        <v>15</v>
      </c>
      <c r="Q1231" s="503">
        <f>30+IF(OR(TipoDeCriatura="Entre mundos, Elemental",TipoDeCriatura="Ánima, Elemental"),10,0)</f>
        <v>30</v>
      </c>
      <c r="R1231" s="2585">
        <f>COUNTIF(PoderesDeCriatura_Adquiridos,Tablas!O1231)</f>
        <v>0</v>
      </c>
      <c r="S1231" s="370"/>
      <c r="T1231" s="2576"/>
      <c r="V1231" s="2634" t="s">
        <v>1</v>
      </c>
      <c r="W1231" s="2603"/>
      <c r="X1231" s="2172" t="str">
        <f t="shared" si="140"/>
        <v>PodHab_Metamorfismo</v>
      </c>
      <c r="Y1231" s="2622" t="s">
        <v>9229</v>
      </c>
      <c r="Z1231" s="2619" t="s">
        <v>2052</v>
      </c>
      <c r="AA1231" s="2619" t="s">
        <v>4573</v>
      </c>
      <c r="AB1231" s="2619" t="s">
        <v>9227</v>
      </c>
      <c r="AC1231" s="1767"/>
      <c r="AD1231" s="1767"/>
      <c r="AE1231" s="1767"/>
      <c r="AF1231" s="1767"/>
      <c r="AG1231" s="1767"/>
      <c r="AH1231" s="1767"/>
      <c r="AI1231" s="1767"/>
      <c r="AJ1231" s="1767"/>
      <c r="AK1231" s="1767"/>
      <c r="AL1231" s="1767"/>
      <c r="AM1231" s="1767"/>
      <c r="AN1231" s="1767"/>
      <c r="AO1231" s="1767"/>
      <c r="AP1231" s="1767"/>
      <c r="AQ1231" s="1767"/>
      <c r="AR1231" s="1767"/>
      <c r="AS1231" s="1767"/>
      <c r="AT1231" s="1767"/>
      <c r="AU1231" s="1767"/>
      <c r="AV1231" s="1767"/>
      <c r="AW1231" s="1767"/>
      <c r="AX1231" s="1767"/>
      <c r="AY1231" s="1767"/>
      <c r="AZ1231" s="1767"/>
      <c r="BA1231" s="1767"/>
      <c r="BB1231" s="1767"/>
      <c r="BC1231" s="1767"/>
      <c r="BD1231" s="1767"/>
      <c r="BE1231" s="1767"/>
      <c r="BF1231" s="1767"/>
      <c r="BG1231" s="1767"/>
      <c r="BH1231" s="1767"/>
      <c r="BI1231" s="2619"/>
      <c r="BJ1231" s="2619"/>
      <c r="BK1231" s="2619"/>
      <c r="BL1231" s="2609"/>
      <c r="BM1231" s="2609"/>
      <c r="BN1231" s="2609"/>
      <c r="BO1231" s="2609"/>
      <c r="BP1231" s="2609"/>
      <c r="BQ1231" s="2609"/>
      <c r="BR1231" s="2609"/>
      <c r="BS1231" s="2609"/>
      <c r="BT1231" s="2609"/>
      <c r="BU1231" s="2609"/>
      <c r="BV1231" s="2609"/>
      <c r="BW1231" s="2609"/>
      <c r="BX1231" s="2609"/>
      <c r="BY1231" s="2609"/>
      <c r="BZ1231" s="2609"/>
      <c r="CA1231" s="2635"/>
    </row>
    <row r="1232" spans="1:79" ht="12.75" customHeight="1" x14ac:dyDescent="0.2">
      <c r="A1232" s="1916">
        <v>1232</v>
      </c>
      <c r="B1232" s="5148"/>
      <c r="C1232" s="2580"/>
      <c r="D1232" s="210"/>
      <c r="E1232" s="2583" t="s">
        <v>9794</v>
      </c>
      <c r="F1232" s="195">
        <v>15</v>
      </c>
      <c r="G1232" s="195">
        <v>60</v>
      </c>
      <c r="H1232" s="195">
        <f>COUNTIF(HabilidadesEsenciales_Adquiridas,Tablas!E1232)</f>
        <v>0</v>
      </c>
      <c r="I1232" s="2585">
        <v>1</v>
      </c>
      <c r="J1232" s="370"/>
      <c r="K1232" s="2576"/>
      <c r="M1232" s="1847"/>
      <c r="N1232" s="96"/>
      <c r="O1232" s="411" t="s">
        <v>9345</v>
      </c>
      <c r="P1232" s="2578">
        <v>20</v>
      </c>
      <c r="Q1232" s="503">
        <f>50+IF(OR(TipoDeCriatura="Entre mundos, Elemental",TipoDeCriatura="Ánima, Elemental"),10,0)</f>
        <v>50</v>
      </c>
      <c r="R1232" s="2585">
        <f>COUNTIF(PoderesDeCriatura_Adquiridos,Tablas!O1232)</f>
        <v>0</v>
      </c>
      <c r="S1232" s="370"/>
      <c r="T1232" s="2576"/>
      <c r="V1232" s="2634" t="s">
        <v>5</v>
      </c>
      <c r="W1232" s="2016"/>
      <c r="X1232" s="2172" t="str">
        <f t="shared" si="140"/>
        <v/>
      </c>
      <c r="Y1232" s="2622"/>
      <c r="Z1232" s="2619"/>
      <c r="AA1232" s="2619"/>
      <c r="AB1232" s="2619"/>
      <c r="AC1232" s="2619"/>
      <c r="AD1232" s="2619"/>
      <c r="AE1232" s="2619"/>
      <c r="AF1232" s="2619"/>
      <c r="AG1232" s="2619"/>
      <c r="AH1232" s="2619"/>
      <c r="AI1232" s="2619"/>
      <c r="AJ1232" s="2619"/>
      <c r="AK1232" s="2619"/>
      <c r="AL1232" s="2619"/>
      <c r="AM1232" s="2619"/>
      <c r="AN1232" s="2619"/>
      <c r="AO1232" s="2619"/>
      <c r="AP1232" s="2619"/>
      <c r="AQ1232" s="2619"/>
      <c r="AR1232" s="2619"/>
      <c r="AS1232" s="2619"/>
      <c r="AT1232" s="2619"/>
      <c r="AU1232" s="2619"/>
      <c r="AV1232" s="2619"/>
      <c r="AW1232" s="2619"/>
      <c r="AX1232" s="2619"/>
      <c r="AY1232" s="2619"/>
      <c r="AZ1232" s="2619"/>
      <c r="BA1232" s="2619"/>
      <c r="BB1232" s="2619"/>
      <c r="BC1232" s="2619"/>
      <c r="BD1232" s="2619"/>
      <c r="BE1232" s="2619"/>
      <c r="BF1232" s="2619"/>
      <c r="BG1232" s="2619"/>
      <c r="BH1232" s="2619"/>
      <c r="BI1232" s="2619"/>
      <c r="BJ1232" s="2619"/>
      <c r="BK1232" s="2619"/>
      <c r="BL1232" s="2609"/>
      <c r="BM1232" s="2609"/>
      <c r="BN1232" s="2609"/>
      <c r="BO1232" s="2609"/>
      <c r="BP1232" s="2609"/>
      <c r="BQ1232" s="2609"/>
      <c r="BR1232" s="2609"/>
      <c r="BS1232" s="2609"/>
      <c r="BT1232" s="2609"/>
      <c r="BU1232" s="2609"/>
      <c r="BV1232" s="2609"/>
      <c r="BW1232" s="2609"/>
      <c r="BX1232" s="2609"/>
      <c r="BY1232" s="2609"/>
      <c r="BZ1232" s="2609"/>
      <c r="CA1232" s="2635"/>
    </row>
    <row r="1233" spans="1:79" ht="12.75" customHeight="1" x14ac:dyDescent="0.2">
      <c r="A1233" s="1916">
        <v>1233</v>
      </c>
      <c r="B1233" s="5148"/>
      <c r="C1233" s="2580"/>
      <c r="D1233" s="210"/>
      <c r="E1233" s="2583" t="s">
        <v>9795</v>
      </c>
      <c r="F1233" s="195">
        <v>20</v>
      </c>
      <c r="G1233" s="195">
        <v>120</v>
      </c>
      <c r="H1233" s="195">
        <f>COUNTIF(HabilidadesEsenciales_Adquiridas,Tablas!E1233)</f>
        <v>0</v>
      </c>
      <c r="I1233" s="2585"/>
      <c r="J1233" s="370"/>
      <c r="K1233" s="2576"/>
      <c r="M1233" s="1847"/>
      <c r="N1233" s="96"/>
      <c r="O1233" s="411" t="s">
        <v>9346</v>
      </c>
      <c r="P1233" s="2578">
        <v>20</v>
      </c>
      <c r="Q1233" s="503">
        <f>60+IF(OR(TipoDeCriatura="Entre mundos, Elemental",TipoDeCriatura="Ánima, Elemental"),10,0)</f>
        <v>60</v>
      </c>
      <c r="R1233" s="2585">
        <f>COUNTIF(PoderesDeCriatura_Adquiridos,Tablas!O1233)</f>
        <v>0</v>
      </c>
      <c r="S1233" s="370"/>
      <c r="T1233" s="2576"/>
      <c r="V1233" s="2634" t="s">
        <v>8972</v>
      </c>
      <c r="W1233" s="2603"/>
      <c r="X1233" s="2172" t="str">
        <f t="shared" si="140"/>
        <v>PodHab_Detecciónsobrenatural</v>
      </c>
      <c r="Y1233" s="2622" t="s">
        <v>7023</v>
      </c>
      <c r="Z1233" s="2619" t="s">
        <v>7024</v>
      </c>
      <c r="AA1233" s="2619" t="s">
        <v>7025</v>
      </c>
      <c r="AB1233" s="2619" t="s">
        <v>7026</v>
      </c>
      <c r="AC1233" s="2619" t="s">
        <v>9230</v>
      </c>
      <c r="AD1233" s="2619" t="s">
        <v>9231</v>
      </c>
      <c r="AE1233" s="2619" t="s">
        <v>9232</v>
      </c>
      <c r="AF1233" s="2619" t="s">
        <v>5006</v>
      </c>
      <c r="AG1233" s="2619" t="s">
        <v>4969</v>
      </c>
      <c r="AH1233" s="2619" t="s">
        <v>4697</v>
      </c>
      <c r="AI1233" s="2619" t="s">
        <v>5159</v>
      </c>
      <c r="AJ1233" s="2619" t="s">
        <v>6048</v>
      </c>
      <c r="AK1233" s="2619" t="s">
        <v>9233</v>
      </c>
      <c r="AL1233" s="2619" t="s">
        <v>9234</v>
      </c>
      <c r="AM1233" s="2619"/>
      <c r="AN1233" s="1767"/>
      <c r="AO1233" s="1767"/>
      <c r="AP1233" s="1767"/>
      <c r="AQ1233" s="2619"/>
      <c r="AR1233" s="2619"/>
      <c r="AS1233" s="2619"/>
      <c r="AT1233" s="2619"/>
      <c r="AU1233" s="2619"/>
      <c r="AV1233" s="2619"/>
      <c r="AW1233" s="2619"/>
      <c r="AX1233" s="2619"/>
      <c r="AY1233" s="2619"/>
      <c r="AZ1233" s="2619"/>
      <c r="BA1233" s="2619"/>
      <c r="BB1233" s="2619"/>
      <c r="BC1233" s="2619"/>
      <c r="BD1233" s="2619"/>
      <c r="BE1233" s="2619"/>
      <c r="BF1233" s="2619"/>
      <c r="BG1233" s="2619"/>
      <c r="BH1233" s="2619"/>
      <c r="BI1233" s="2619"/>
      <c r="BJ1233" s="2619"/>
      <c r="BK1233" s="2619"/>
      <c r="BL1233" s="2609"/>
      <c r="BM1233" s="2609"/>
      <c r="BN1233" s="2609"/>
      <c r="BO1233" s="2609"/>
      <c r="BP1233" s="2609"/>
      <c r="BQ1233" s="2609"/>
      <c r="BR1233" s="2609"/>
      <c r="BS1233" s="2609"/>
      <c r="BT1233" s="2609"/>
      <c r="BU1233" s="2609"/>
      <c r="BV1233" s="2609"/>
      <c r="BW1233" s="2609"/>
      <c r="BX1233" s="2609"/>
      <c r="BY1233" s="2609"/>
      <c r="BZ1233" s="2609"/>
      <c r="CA1233" s="2635"/>
    </row>
    <row r="1234" spans="1:79" ht="12.75" customHeight="1" x14ac:dyDescent="0.2">
      <c r="A1234" s="1916">
        <v>1234</v>
      </c>
      <c r="B1234" s="5148"/>
      <c r="C1234" s="2580"/>
      <c r="D1234" s="210"/>
      <c r="E1234" s="2583" t="s">
        <v>9796</v>
      </c>
      <c r="F1234" s="195">
        <v>25</v>
      </c>
      <c r="G1234" s="195">
        <v>180</v>
      </c>
      <c r="H1234" s="195">
        <f>COUNTIF(HabilidadesEsenciales_Adquiridas,Tablas!E1234)</f>
        <v>0</v>
      </c>
      <c r="I1234" s="2585"/>
      <c r="J1234" s="370"/>
      <c r="K1234" s="2576"/>
      <c r="M1234" s="1847"/>
      <c r="N1234" s="96"/>
      <c r="O1234" s="411" t="s">
        <v>9347</v>
      </c>
      <c r="P1234" s="2578">
        <v>25</v>
      </c>
      <c r="Q1234" s="503">
        <f>80+IF(OR(TipoDeCriatura="Entre mundos, Elemental",TipoDeCriatura="Ánima, Elemental"),10,0)</f>
        <v>80</v>
      </c>
      <c r="R1234" s="2585">
        <f>COUNTIF(PoderesDeCriatura_Adquiridos,Tablas!O1234)</f>
        <v>0</v>
      </c>
      <c r="S1234" s="370"/>
      <c r="T1234" s="2576"/>
      <c r="V1234" s="2634" t="s">
        <v>8989</v>
      </c>
      <c r="W1234" s="2603"/>
      <c r="X1234" s="2172" t="str">
        <f t="shared" si="140"/>
        <v>PodHab_Visiónespecial</v>
      </c>
      <c r="Y1234" s="2622" t="s">
        <v>2247</v>
      </c>
      <c r="Z1234" s="2619" t="s">
        <v>6</v>
      </c>
      <c r="AA1234" s="2619" t="s">
        <v>7</v>
      </c>
      <c r="AB1234" s="2619" t="s">
        <v>8</v>
      </c>
      <c r="AC1234" s="2619" t="s">
        <v>9</v>
      </c>
      <c r="AD1234" s="2619" t="s">
        <v>10</v>
      </c>
      <c r="AE1234" s="2619" t="s">
        <v>2705</v>
      </c>
      <c r="AF1234" s="2619"/>
      <c r="AG1234" s="2619"/>
      <c r="AH1234" s="2619"/>
      <c r="AI1234" s="2619"/>
      <c r="AJ1234" s="2619"/>
      <c r="AK1234" s="2619"/>
      <c r="AL1234" s="2619"/>
      <c r="AM1234" s="2619"/>
      <c r="AN1234" s="2619"/>
      <c r="AO1234" s="2619"/>
      <c r="AP1234" s="2619"/>
      <c r="AQ1234" s="2619"/>
      <c r="AR1234" s="2619"/>
      <c r="AS1234" s="2619"/>
      <c r="AT1234" s="2619"/>
      <c r="AU1234" s="2619"/>
      <c r="AV1234" s="2619"/>
      <c r="AW1234" s="2619"/>
      <c r="AX1234" s="2619"/>
      <c r="AY1234" s="2619"/>
      <c r="AZ1234" s="2619"/>
      <c r="BA1234" s="2619"/>
      <c r="BB1234" s="2619"/>
      <c r="BC1234" s="2619"/>
      <c r="BD1234" s="2619"/>
      <c r="BE1234" s="2619"/>
      <c r="BF1234" s="2619"/>
      <c r="BG1234" s="2619"/>
      <c r="BH1234" s="2619"/>
      <c r="BI1234" s="2619"/>
      <c r="BJ1234" s="2619"/>
      <c r="BK1234" s="2619"/>
      <c r="BL1234" s="2609"/>
      <c r="BM1234" s="2609"/>
      <c r="BN1234" s="2609"/>
      <c r="BO1234" s="2609"/>
      <c r="BP1234" s="2609"/>
      <c r="BQ1234" s="2609"/>
      <c r="BR1234" s="2609"/>
      <c r="BS1234" s="2609"/>
      <c r="BT1234" s="2609"/>
      <c r="BU1234" s="2609"/>
      <c r="BV1234" s="2609"/>
      <c r="BW1234" s="2609"/>
      <c r="BX1234" s="2609"/>
      <c r="BY1234" s="2609"/>
      <c r="BZ1234" s="2609"/>
      <c r="CA1234" s="2635"/>
    </row>
    <row r="1235" spans="1:79" ht="12.75" customHeight="1" x14ac:dyDescent="0.2">
      <c r="A1235" s="1916">
        <v>1235</v>
      </c>
      <c r="B1235" s="5148"/>
      <c r="C1235" s="2580"/>
      <c r="D1235" s="210"/>
      <c r="E1235" s="2583" t="s">
        <v>9797</v>
      </c>
      <c r="F1235" s="195">
        <v>0</v>
      </c>
      <c r="G1235" s="195">
        <v>20</v>
      </c>
      <c r="H1235" s="195">
        <f>COUNTIF(HabilidadesEsenciales_Adquiridas,Tablas!E1235)</f>
        <v>0</v>
      </c>
      <c r="I1235" s="2585">
        <v>1</v>
      </c>
      <c r="J1235" s="370"/>
      <c r="K1235" s="2576"/>
      <c r="M1235" s="1847"/>
      <c r="N1235" s="96"/>
      <c r="O1235" s="411" t="s">
        <v>9348</v>
      </c>
      <c r="P1235" s="2578">
        <v>30</v>
      </c>
      <c r="Q1235" s="503">
        <f>100+IF(OR(TipoDeCriatura="Entre mundos, Elemental",TipoDeCriatura="Ánima, Elemental"),10,0)</f>
        <v>100</v>
      </c>
      <c r="R1235" s="2585">
        <f>COUNTIF(PoderesDeCriatura_Adquiridos,Tablas!O1235)</f>
        <v>0</v>
      </c>
      <c r="S1235" s="370"/>
      <c r="T1235" s="2576"/>
      <c r="V1235" s="2634" t="s">
        <v>11</v>
      </c>
      <c r="W1235" s="2016"/>
      <c r="X1235" s="2172" t="str">
        <f t="shared" si="140"/>
        <v/>
      </c>
      <c r="Y1235" s="2622"/>
      <c r="Z1235" s="2619"/>
      <c r="AA1235" s="2619"/>
      <c r="AB1235" s="2619"/>
      <c r="AC1235" s="2619"/>
      <c r="AD1235" s="2619"/>
      <c r="AE1235" s="2619"/>
      <c r="AF1235" s="2619"/>
      <c r="AG1235" s="2619"/>
      <c r="AH1235" s="2619"/>
      <c r="AI1235" s="2619"/>
      <c r="AJ1235" s="2619"/>
      <c r="AK1235" s="2619"/>
      <c r="AL1235" s="2619"/>
      <c r="AM1235" s="2619"/>
      <c r="AN1235" s="2619"/>
      <c r="AO1235" s="2619"/>
      <c r="AP1235" s="2619"/>
      <c r="AQ1235" s="2619"/>
      <c r="AR1235" s="2619"/>
      <c r="AS1235" s="2619"/>
      <c r="AT1235" s="2619"/>
      <c r="AU1235" s="2619"/>
      <c r="AV1235" s="2619"/>
      <c r="AW1235" s="2619"/>
      <c r="AX1235" s="2619"/>
      <c r="AY1235" s="2619"/>
      <c r="AZ1235" s="2619"/>
      <c r="BA1235" s="2619"/>
      <c r="BB1235" s="2619"/>
      <c r="BC1235" s="2619"/>
      <c r="BD1235" s="2619"/>
      <c r="BE1235" s="2619"/>
      <c r="BF1235" s="2619"/>
      <c r="BG1235" s="2619"/>
      <c r="BH1235" s="2619"/>
      <c r="BI1235" s="2619"/>
      <c r="BJ1235" s="2619"/>
      <c r="BK1235" s="2619"/>
      <c r="BL1235" s="2609"/>
      <c r="BM1235" s="2609"/>
      <c r="BN1235" s="2609"/>
      <c r="BO1235" s="2609"/>
      <c r="BP1235" s="2609"/>
      <c r="BQ1235" s="2609"/>
      <c r="BR1235" s="2609"/>
      <c r="BS1235" s="2609"/>
      <c r="BT1235" s="2609"/>
      <c r="BU1235" s="2609"/>
      <c r="BV1235" s="2609"/>
      <c r="BW1235" s="2609"/>
      <c r="BX1235" s="2609"/>
      <c r="BY1235" s="2609"/>
      <c r="BZ1235" s="2609"/>
      <c r="CA1235" s="2635"/>
    </row>
    <row r="1236" spans="1:79" ht="12.75" customHeight="1" x14ac:dyDescent="0.2">
      <c r="A1236" s="1916">
        <v>1236</v>
      </c>
      <c r="B1236" s="5148"/>
      <c r="C1236" s="2580"/>
      <c r="D1236" s="210"/>
      <c r="E1236" s="2583" t="s">
        <v>9798</v>
      </c>
      <c r="F1236" s="195">
        <v>5</v>
      </c>
      <c r="G1236" s="195">
        <v>40</v>
      </c>
      <c r="H1236" s="195">
        <f>COUNTIF(HabilidadesEsenciales_Adquiridas,Tablas!E1236)</f>
        <v>0</v>
      </c>
      <c r="I1236" s="2585">
        <v>1</v>
      </c>
      <c r="J1236" s="370"/>
      <c r="K1236" s="2576"/>
      <c r="M1236" s="1847"/>
      <c r="N1236" s="96"/>
      <c r="O1236" s="411" t="s">
        <v>9349</v>
      </c>
      <c r="P1236" s="2578">
        <v>10</v>
      </c>
      <c r="Q1236" s="503">
        <f>10+IF(OR(TipoDeCriatura="Entre mundos, Elemental",TipoDeCriatura="Ánima, Elemental"),10,0)</f>
        <v>10</v>
      </c>
      <c r="R1236" s="2585">
        <f>COUNTIF(PoderesDeCriatura_Adquiridos,Tablas!O1236)</f>
        <v>0</v>
      </c>
      <c r="S1236" s="370"/>
      <c r="T1236" s="2576"/>
      <c r="V1236" s="2634" t="s">
        <v>8975</v>
      </c>
      <c r="W1236" s="2603"/>
      <c r="X1236" s="2172" t="str">
        <f t="shared" si="140"/>
        <v>PodHab_Acumularataque</v>
      </c>
      <c r="Y1236" s="2622" t="s">
        <v>9235</v>
      </c>
      <c r="Z1236" s="2619" t="s">
        <v>9236</v>
      </c>
      <c r="AA1236" s="2619" t="s">
        <v>9237</v>
      </c>
      <c r="AB1236" s="2619" t="s">
        <v>9238</v>
      </c>
      <c r="AC1236" s="2619" t="s">
        <v>9239</v>
      </c>
      <c r="AD1236" s="2619" t="s">
        <v>9240</v>
      </c>
      <c r="AE1236" s="2619" t="s">
        <v>9241</v>
      </c>
      <c r="AF1236" s="2619"/>
      <c r="AG1236" s="2619"/>
      <c r="AH1236" s="2619"/>
      <c r="AI1236" s="2619"/>
      <c r="AJ1236" s="2619"/>
      <c r="AK1236" s="1767"/>
      <c r="AL1236" s="1767"/>
      <c r="AM1236" s="1767"/>
      <c r="AN1236" s="1767"/>
      <c r="AO1236" s="1767"/>
      <c r="AP1236" s="1767"/>
      <c r="AQ1236" s="1767"/>
      <c r="AR1236" s="1767"/>
      <c r="AS1236" s="1767"/>
      <c r="AT1236" s="1767"/>
      <c r="AU1236" s="1767"/>
      <c r="AV1236" s="1767"/>
      <c r="AW1236" s="1767"/>
      <c r="AX1236" s="2619"/>
      <c r="AY1236" s="2619"/>
      <c r="AZ1236" s="2619"/>
      <c r="BA1236" s="2619"/>
      <c r="BB1236" s="2619"/>
      <c r="BC1236" s="2619"/>
      <c r="BD1236" s="2619"/>
      <c r="BE1236" s="2619"/>
      <c r="BF1236" s="2619"/>
      <c r="BG1236" s="2619"/>
      <c r="BH1236" s="2619"/>
      <c r="BI1236" s="2619"/>
      <c r="BJ1236" s="2619"/>
      <c r="BK1236" s="2619"/>
      <c r="BL1236" s="2609"/>
      <c r="BM1236" s="2609"/>
      <c r="BN1236" s="2609"/>
      <c r="BO1236" s="2609"/>
      <c r="BP1236" s="2609"/>
      <c r="BQ1236" s="2609"/>
      <c r="BR1236" s="2609"/>
      <c r="BS1236" s="2609"/>
      <c r="BT1236" s="2609"/>
      <c r="BU1236" s="2609"/>
      <c r="BV1236" s="2609"/>
      <c r="BW1236" s="2609"/>
      <c r="BX1236" s="2609"/>
      <c r="BY1236" s="2609"/>
      <c r="BZ1236" s="2609"/>
      <c r="CA1236" s="2635"/>
    </row>
    <row r="1237" spans="1:79" ht="12.75" customHeight="1" x14ac:dyDescent="0.2">
      <c r="A1237" s="1916">
        <v>1237</v>
      </c>
      <c r="B1237" s="5148"/>
      <c r="C1237" s="2580"/>
      <c r="D1237" s="210"/>
      <c r="E1237" s="2583" t="s">
        <v>9799</v>
      </c>
      <c r="F1237" s="195">
        <v>15</v>
      </c>
      <c r="G1237" s="195">
        <v>60</v>
      </c>
      <c r="H1237" s="195">
        <f>COUNTIF(HabilidadesEsenciales_Adquiridas,Tablas!E1237)</f>
        <v>0</v>
      </c>
      <c r="I1237" s="2585">
        <v>1</v>
      </c>
      <c r="J1237" s="370"/>
      <c r="K1237" s="2576"/>
      <c r="M1237" s="1847"/>
      <c r="N1237" s="96"/>
      <c r="O1237" s="411" t="s">
        <v>9350</v>
      </c>
      <c r="P1237" s="2578">
        <v>10</v>
      </c>
      <c r="Q1237" s="503">
        <f>20+IF(OR(TipoDeCriatura="Entre mundos, Elemental",TipoDeCriatura="Ánima, Elemental"),10,0)</f>
        <v>20</v>
      </c>
      <c r="R1237" s="2585">
        <f>COUNTIF(PoderesDeCriatura_Adquiridos,Tablas!O1237)</f>
        <v>0</v>
      </c>
      <c r="S1237" s="370"/>
      <c r="T1237" s="2576"/>
      <c r="V1237" s="2634" t="s">
        <v>13</v>
      </c>
      <c r="W1237" s="2603"/>
      <c r="X1237" s="2172" t="str">
        <f t="shared" si="140"/>
        <v>PodHab_Armanaturaladistancia</v>
      </c>
      <c r="Y1237" s="2622" t="s">
        <v>9005</v>
      </c>
      <c r="Z1237" s="2619" t="s">
        <v>9006</v>
      </c>
      <c r="AA1237" s="2619" t="s">
        <v>9007</v>
      </c>
      <c r="AB1237" s="2619" t="s">
        <v>9008</v>
      </c>
      <c r="AC1237" s="2619"/>
      <c r="AD1237" s="2619"/>
      <c r="AE1237" s="2619"/>
      <c r="AF1237" s="2619"/>
      <c r="AG1237" s="2619"/>
      <c r="AH1237" s="2619"/>
      <c r="AI1237" s="2619"/>
      <c r="AJ1237" s="2619"/>
      <c r="AK1237" s="1767"/>
      <c r="AL1237" s="1767"/>
      <c r="AM1237" s="1767"/>
      <c r="AN1237" s="1767"/>
      <c r="AO1237" s="1767"/>
      <c r="AP1237" s="1767"/>
      <c r="AQ1237" s="1767"/>
      <c r="AR1237" s="1767"/>
      <c r="AS1237" s="1767"/>
      <c r="AT1237" s="1767"/>
      <c r="AU1237" s="1767"/>
      <c r="AV1237" s="1767"/>
      <c r="AW1237" s="1767"/>
      <c r="AX1237" s="2619"/>
      <c r="AY1237" s="2619"/>
      <c r="AZ1237" s="2619"/>
      <c r="BA1237" s="2619"/>
      <c r="BB1237" s="2619"/>
      <c r="BC1237" s="2619"/>
      <c r="BD1237" s="2619"/>
      <c r="BE1237" s="2619"/>
      <c r="BF1237" s="2619"/>
      <c r="BG1237" s="2619"/>
      <c r="BH1237" s="2619"/>
      <c r="BI1237" s="2619"/>
      <c r="BJ1237" s="2619"/>
      <c r="BK1237" s="2619"/>
      <c r="BL1237" s="2609"/>
      <c r="BM1237" s="2609"/>
      <c r="BN1237" s="2609"/>
      <c r="BO1237" s="2609"/>
      <c r="BP1237" s="2609"/>
      <c r="BQ1237" s="2609"/>
      <c r="BR1237" s="2609"/>
      <c r="BS1237" s="2609"/>
      <c r="BT1237" s="2609"/>
      <c r="BU1237" s="2609"/>
      <c r="BV1237" s="2609"/>
      <c r="BW1237" s="2609"/>
      <c r="BX1237" s="2609"/>
      <c r="BY1237" s="2609"/>
      <c r="BZ1237" s="2609"/>
      <c r="CA1237" s="2635"/>
    </row>
    <row r="1238" spans="1:79" ht="12.75" customHeight="1" x14ac:dyDescent="0.2">
      <c r="A1238" s="1916">
        <v>1238</v>
      </c>
      <c r="B1238" s="5148"/>
      <c r="C1238" s="2580"/>
      <c r="D1238" s="210"/>
      <c r="E1238" s="2583" t="s">
        <v>9800</v>
      </c>
      <c r="F1238" s="195">
        <v>20</v>
      </c>
      <c r="G1238" s="195">
        <v>120</v>
      </c>
      <c r="H1238" s="195">
        <f>COUNTIF(HabilidadesEsenciales_Adquiridas,Tablas!E1238)</f>
        <v>0</v>
      </c>
      <c r="I1238" s="2585"/>
      <c r="J1238" s="370"/>
      <c r="K1238" s="2576"/>
      <c r="M1238" s="1847"/>
      <c r="N1238" s="96"/>
      <c r="O1238" s="411" t="s">
        <v>9351</v>
      </c>
      <c r="P1238" s="2578">
        <v>15</v>
      </c>
      <c r="Q1238" s="503">
        <f>30+IF(OR(TipoDeCriatura="Entre mundos, Elemental",TipoDeCriatura="Ánima, Elemental"),10,0)</f>
        <v>30</v>
      </c>
      <c r="R1238" s="2585">
        <f>COUNTIF(PoderesDeCriatura_Adquiridos,Tablas!O1238)</f>
        <v>0</v>
      </c>
      <c r="S1238" s="370"/>
      <c r="T1238" s="2576"/>
      <c r="V1238" s="2634" t="s">
        <v>9009</v>
      </c>
      <c r="W1238" s="2603"/>
      <c r="X1238" s="2172" t="str">
        <f t="shared" si="140"/>
        <v>PodHab_At.automáticocondicionado</v>
      </c>
      <c r="Y1238" s="2622" t="s">
        <v>9242</v>
      </c>
      <c r="Z1238" s="2619" t="s">
        <v>9243</v>
      </c>
      <c r="AA1238" s="2619" t="s">
        <v>9244</v>
      </c>
      <c r="AB1238" s="2619" t="s">
        <v>9245</v>
      </c>
      <c r="AC1238" s="2619" t="s">
        <v>9246</v>
      </c>
      <c r="AD1238" s="2619" t="s">
        <v>9247</v>
      </c>
      <c r="AE1238" s="2172" t="s">
        <v>1131</v>
      </c>
      <c r="AF1238" s="2619" t="s">
        <v>84</v>
      </c>
      <c r="AG1238" s="2619" t="s">
        <v>2526</v>
      </c>
      <c r="AH1238" s="2619" t="s">
        <v>9248</v>
      </c>
      <c r="AI1238" s="2619"/>
      <c r="AJ1238" s="2619"/>
      <c r="AK1238" s="1767"/>
      <c r="AL1238" s="1767"/>
      <c r="AM1238" s="1767"/>
      <c r="AN1238" s="1767"/>
      <c r="AO1238" s="1767"/>
      <c r="AP1238" s="1767"/>
      <c r="AQ1238" s="1767"/>
      <c r="AR1238" s="1767"/>
      <c r="AS1238" s="1767"/>
      <c r="AT1238" s="1767"/>
      <c r="AU1238" s="1767"/>
      <c r="AV1238" s="1767"/>
      <c r="AW1238" s="1767"/>
      <c r="AX1238" s="2619"/>
      <c r="AY1238" s="2619"/>
      <c r="AZ1238" s="2619"/>
      <c r="BA1238" s="2619"/>
      <c r="BB1238" s="2619"/>
      <c r="BC1238" s="2619"/>
      <c r="BD1238" s="2619"/>
      <c r="BE1238" s="2619"/>
      <c r="BF1238" s="2619"/>
      <c r="BG1238" s="2619"/>
      <c r="BH1238" s="2619"/>
      <c r="BI1238" s="2619"/>
      <c r="BJ1238" s="2619"/>
      <c r="BK1238" s="2619"/>
      <c r="BL1238" s="2609"/>
      <c r="BM1238" s="2609"/>
      <c r="BN1238" s="2609"/>
      <c r="BO1238" s="2609"/>
      <c r="BP1238" s="2609"/>
      <c r="BQ1238" s="2609"/>
      <c r="BR1238" s="2609"/>
      <c r="BS1238" s="2609"/>
      <c r="BT1238" s="2609"/>
      <c r="BU1238" s="2609"/>
      <c r="BV1238" s="2609"/>
      <c r="BW1238" s="2609"/>
      <c r="BX1238" s="2609"/>
      <c r="BY1238" s="2609"/>
      <c r="BZ1238" s="2609"/>
      <c r="CA1238" s="2635"/>
    </row>
    <row r="1239" spans="1:79" ht="12.75" customHeight="1" x14ac:dyDescent="0.2">
      <c r="A1239" s="1916">
        <v>1239</v>
      </c>
      <c r="B1239" s="5148"/>
      <c r="C1239" s="2580"/>
      <c r="D1239" s="210"/>
      <c r="E1239" s="2583" t="s">
        <v>9801</v>
      </c>
      <c r="F1239" s="195">
        <v>25</v>
      </c>
      <c r="G1239" s="195">
        <v>180</v>
      </c>
      <c r="H1239" s="195">
        <f>COUNTIF(HabilidadesEsenciales_Adquiridas,Tablas!E1239)</f>
        <v>0</v>
      </c>
      <c r="I1239" s="2585"/>
      <c r="J1239" s="370"/>
      <c r="K1239" s="2576"/>
      <c r="M1239" s="1847"/>
      <c r="N1239" s="96"/>
      <c r="O1239" s="411" t="s">
        <v>9352</v>
      </c>
      <c r="P1239" s="2578">
        <v>20</v>
      </c>
      <c r="Q1239" s="503">
        <f>40+IF(OR(TipoDeCriatura="Entre mundos, Elemental",TipoDeCriatura="Ánima, Elemental"),10,0)</f>
        <v>40</v>
      </c>
      <c r="R1239" s="2585">
        <f>COUNTIF(PoderesDeCriatura_Adquiridos,Tablas!O1239)</f>
        <v>0</v>
      </c>
      <c r="S1239" s="370"/>
      <c r="T1239" s="2576"/>
      <c r="V1239" s="2634" t="s">
        <v>12</v>
      </c>
      <c r="W1239" s="2619"/>
      <c r="X1239" s="2172" t="str">
        <f t="shared" si="140"/>
        <v/>
      </c>
      <c r="Y1239" s="2622"/>
      <c r="Z1239" s="2619"/>
      <c r="AA1239" s="2619"/>
      <c r="AB1239" s="2619"/>
      <c r="AC1239" s="2619"/>
      <c r="AD1239" s="2619"/>
      <c r="AE1239" s="2619"/>
      <c r="AF1239" s="2619"/>
      <c r="AG1239" s="2619"/>
      <c r="AH1239" s="2619"/>
      <c r="AI1239" s="2619"/>
      <c r="AJ1239" s="2619"/>
      <c r="AK1239" s="1767"/>
      <c r="AL1239" s="1767"/>
      <c r="AM1239" s="1767"/>
      <c r="AN1239" s="1767"/>
      <c r="AO1239" s="1767"/>
      <c r="AP1239" s="1767"/>
      <c r="AQ1239" s="1767"/>
      <c r="AR1239" s="1767"/>
      <c r="AS1239" s="1767"/>
      <c r="AT1239" s="1767"/>
      <c r="AU1239" s="1767"/>
      <c r="AV1239" s="1767"/>
      <c r="AW1239" s="1767"/>
      <c r="AX1239" s="2619"/>
      <c r="AY1239" s="2619"/>
      <c r="AZ1239" s="2619"/>
      <c r="BA1239" s="2619"/>
      <c r="BB1239" s="2619"/>
      <c r="BC1239" s="2619"/>
      <c r="BD1239" s="2619"/>
      <c r="BE1239" s="2619"/>
      <c r="BF1239" s="2619"/>
      <c r="BG1239" s="2619"/>
      <c r="BH1239" s="2619"/>
      <c r="BI1239" s="2619"/>
      <c r="BJ1239" s="2619"/>
      <c r="BK1239" s="2619"/>
      <c r="BL1239" s="2609"/>
      <c r="BM1239" s="2609"/>
      <c r="BN1239" s="2609"/>
      <c r="BO1239" s="2609"/>
      <c r="BP1239" s="2609"/>
      <c r="BQ1239" s="2609"/>
      <c r="BR1239" s="2609"/>
      <c r="BS1239" s="2609"/>
      <c r="BT1239" s="2609"/>
      <c r="BU1239" s="2609"/>
      <c r="BV1239" s="2609"/>
      <c r="BW1239" s="2609"/>
      <c r="BX1239" s="2609"/>
      <c r="BY1239" s="2609"/>
      <c r="BZ1239" s="2609"/>
      <c r="CA1239" s="2635"/>
    </row>
    <row r="1240" spans="1:79" ht="12.75" customHeight="1" x14ac:dyDescent="0.2">
      <c r="A1240" s="1916">
        <v>1240</v>
      </c>
      <c r="B1240" s="5148"/>
      <c r="C1240" s="2580"/>
      <c r="D1240" s="210"/>
      <c r="E1240" s="2583" t="s">
        <v>9802</v>
      </c>
      <c r="F1240" s="195">
        <v>0</v>
      </c>
      <c r="G1240" s="195">
        <v>20</v>
      </c>
      <c r="H1240" s="195">
        <f>COUNTIF(HabilidadesEsenciales_Adquiridas,Tablas!E1240)</f>
        <v>0</v>
      </c>
      <c r="I1240" s="2585">
        <v>1</v>
      </c>
      <c r="J1240" s="370"/>
      <c r="K1240" s="2576"/>
      <c r="M1240" s="1847"/>
      <c r="N1240" s="96"/>
      <c r="O1240" s="411" t="s">
        <v>9353</v>
      </c>
      <c r="P1240" s="2578">
        <v>25</v>
      </c>
      <c r="Q1240" s="503">
        <f>50+IF(OR(TipoDeCriatura="Entre mundos, Elemental",TipoDeCriatura="Ánima, Elemental"),10,0)</f>
        <v>50</v>
      </c>
      <c r="R1240" s="2585">
        <f>COUNTIF(PoderesDeCriatura_Adquiridos,Tablas!O1240)</f>
        <v>0</v>
      </c>
      <c r="S1240" s="370"/>
      <c r="T1240" s="2576"/>
      <c r="V1240" s="2634" t="s">
        <v>8991</v>
      </c>
      <c r="W1240" s="2603"/>
      <c r="X1240" s="2172" t="str">
        <f t="shared" si="140"/>
        <v>PodHab_Ataquecamuflado</v>
      </c>
      <c r="Y1240" s="2622" t="s">
        <v>9249</v>
      </c>
      <c r="Z1240" s="2619" t="s">
        <v>9250</v>
      </c>
      <c r="AA1240" s="2619" t="s">
        <v>9251</v>
      </c>
      <c r="AB1240" s="2619" t="s">
        <v>9252</v>
      </c>
      <c r="AC1240" s="2619" t="s">
        <v>9253</v>
      </c>
      <c r="AD1240" s="2619"/>
      <c r="AE1240" s="2619"/>
      <c r="AF1240" s="2619"/>
      <c r="AG1240" s="2619"/>
      <c r="AH1240" s="2619"/>
      <c r="AI1240" s="2619"/>
      <c r="AJ1240" s="2619"/>
      <c r="AK1240" s="1767"/>
      <c r="AL1240" s="1767"/>
      <c r="AM1240" s="1767"/>
      <c r="AN1240" s="1767"/>
      <c r="AO1240" s="1767"/>
      <c r="AP1240" s="1767"/>
      <c r="AQ1240" s="1767"/>
      <c r="AR1240" s="1767"/>
      <c r="AS1240" s="1767"/>
      <c r="AT1240" s="1767"/>
      <c r="AU1240" s="1767"/>
      <c r="AV1240" s="1767"/>
      <c r="AW1240" s="1767"/>
      <c r="AX1240" s="2619"/>
      <c r="AY1240" s="2619"/>
      <c r="AZ1240" s="2619"/>
      <c r="BA1240" s="2619"/>
      <c r="BB1240" s="2619"/>
      <c r="BC1240" s="2619"/>
      <c r="BD1240" s="2619"/>
      <c r="BE1240" s="2619"/>
      <c r="BF1240" s="2619"/>
      <c r="BG1240" s="2619"/>
      <c r="BH1240" s="2619"/>
      <c r="BI1240" s="2619"/>
      <c r="BJ1240" s="2619"/>
      <c r="BK1240" s="2619"/>
      <c r="BL1240" s="2609"/>
      <c r="BM1240" s="2609"/>
      <c r="BN1240" s="2609"/>
      <c r="BO1240" s="2609"/>
      <c r="BP1240" s="2609"/>
      <c r="BQ1240" s="2609"/>
      <c r="BR1240" s="2609"/>
      <c r="BS1240" s="2609"/>
      <c r="BT1240" s="2609"/>
      <c r="BU1240" s="2609"/>
      <c r="BV1240" s="2609"/>
      <c r="BW1240" s="2609"/>
      <c r="BX1240" s="2609"/>
      <c r="BY1240" s="2609"/>
      <c r="BZ1240" s="2609"/>
      <c r="CA1240" s="2635"/>
    </row>
    <row r="1241" spans="1:79" ht="12.75" customHeight="1" x14ac:dyDescent="0.2">
      <c r="A1241" s="1916">
        <v>1241</v>
      </c>
      <c r="B1241" s="5148"/>
      <c r="C1241" s="2580"/>
      <c r="D1241" s="210"/>
      <c r="E1241" s="2583" t="s">
        <v>9803</v>
      </c>
      <c r="F1241" s="195">
        <v>5</v>
      </c>
      <c r="G1241" s="195">
        <v>40</v>
      </c>
      <c r="H1241" s="195">
        <f>COUNTIF(HabilidadesEsenciales_Adquiridas,Tablas!E1241)</f>
        <v>0</v>
      </c>
      <c r="I1241" s="2585">
        <v>1</v>
      </c>
      <c r="J1241" s="370"/>
      <c r="K1241" s="2576"/>
      <c r="M1241" s="1847"/>
      <c r="N1241" s="96"/>
      <c r="O1241" s="411" t="s">
        <v>9354</v>
      </c>
      <c r="P1241" s="2578">
        <v>30</v>
      </c>
      <c r="Q1241" s="503">
        <f>60+IF(OR(TipoDeCriatura="Entre mundos, Elemental",TipoDeCriatura="Ánima, Elemental"),10,0)</f>
        <v>60</v>
      </c>
      <c r="R1241" s="2585">
        <f>COUNTIF(PoderesDeCriatura_Adquiridos,Tablas!O1241)</f>
        <v>0</v>
      </c>
      <c r="S1241" s="370"/>
      <c r="T1241" s="2576"/>
      <c r="V1241" s="2634" t="s">
        <v>8980</v>
      </c>
      <c r="W1241" s="1767"/>
      <c r="X1241" s="2172" t="str">
        <f t="shared" si="140"/>
        <v>PodHab_Ataqueespecialincrementado</v>
      </c>
      <c r="Y1241" s="2622" t="s">
        <v>9254</v>
      </c>
      <c r="Z1241" s="2619" t="s">
        <v>9255</v>
      </c>
      <c r="AA1241" s="2619" t="s">
        <v>9256</v>
      </c>
      <c r="AB1241" s="2619" t="s">
        <v>9257</v>
      </c>
      <c r="AC1241" s="2619" t="s">
        <v>9258</v>
      </c>
      <c r="AD1241" s="2619" t="s">
        <v>8500</v>
      </c>
      <c r="AE1241" s="1767"/>
      <c r="AF1241" s="1767"/>
      <c r="AG1241" s="1767"/>
      <c r="AH1241" s="2619"/>
      <c r="AI1241" s="2619"/>
      <c r="AJ1241" s="2619"/>
      <c r="AK1241" s="1767"/>
      <c r="AL1241" s="1767"/>
      <c r="AM1241" s="1767"/>
      <c r="AN1241" s="1767"/>
      <c r="AO1241" s="1767"/>
      <c r="AP1241" s="1767"/>
      <c r="AQ1241" s="1767"/>
      <c r="AR1241" s="1767"/>
      <c r="AS1241" s="1767"/>
      <c r="AT1241" s="1767"/>
      <c r="AU1241" s="1767"/>
      <c r="AV1241" s="1767"/>
      <c r="AW1241" s="1767"/>
      <c r="AX1241" s="2619"/>
      <c r="AY1241" s="2619"/>
      <c r="AZ1241" s="2619"/>
      <c r="BA1241" s="2619"/>
      <c r="BB1241" s="2619"/>
      <c r="BC1241" s="2619"/>
      <c r="BD1241" s="2619"/>
      <c r="BE1241" s="2619"/>
      <c r="BF1241" s="2619"/>
      <c r="BG1241" s="2619"/>
      <c r="BH1241" s="2619"/>
      <c r="BI1241" s="2619"/>
      <c r="BJ1241" s="2619"/>
      <c r="BK1241" s="2619"/>
      <c r="BL1241" s="2609"/>
      <c r="BM1241" s="2609"/>
      <c r="BN1241" s="2609"/>
      <c r="BO1241" s="2609"/>
      <c r="BP1241" s="2609"/>
      <c r="BQ1241" s="2609"/>
      <c r="BR1241" s="2609"/>
      <c r="BS1241" s="2609"/>
      <c r="BT1241" s="2609"/>
      <c r="BU1241" s="2609"/>
      <c r="BV1241" s="2609"/>
      <c r="BW1241" s="2609"/>
      <c r="BX1241" s="2609"/>
      <c r="BY1241" s="2609"/>
      <c r="BZ1241" s="2609"/>
      <c r="CA1241" s="2635"/>
    </row>
    <row r="1242" spans="1:79" ht="12.75" customHeight="1" x14ac:dyDescent="0.2">
      <c r="A1242" s="1916">
        <v>1242</v>
      </c>
      <c r="B1242" s="5148"/>
      <c r="C1242" s="2580"/>
      <c r="D1242" s="210"/>
      <c r="E1242" s="2583" t="s">
        <v>9804</v>
      </c>
      <c r="F1242" s="195">
        <v>15</v>
      </c>
      <c r="G1242" s="195">
        <v>60</v>
      </c>
      <c r="H1242" s="195">
        <f>COUNTIF(HabilidadesEsenciales_Adquiridas,Tablas!E1242)</f>
        <v>0</v>
      </c>
      <c r="I1242" s="2585">
        <v>1</v>
      </c>
      <c r="J1242" s="370"/>
      <c r="K1242" s="2576"/>
      <c r="M1242" s="1847"/>
      <c r="N1242" s="96"/>
      <c r="O1242" s="411" t="s">
        <v>9355</v>
      </c>
      <c r="P1242" s="2578">
        <v>35</v>
      </c>
      <c r="Q1242" s="503">
        <f>80+IF(OR(TipoDeCriatura="Entre mundos, Elemental",TipoDeCriatura="Ánima, Elemental"),10,0)</f>
        <v>80</v>
      </c>
      <c r="R1242" s="2585">
        <f>COUNTIF(PoderesDeCriatura_Adquiridos,Tablas!O1242)</f>
        <v>0</v>
      </c>
      <c r="S1242" s="370"/>
      <c r="T1242" s="2576"/>
      <c r="V1242" s="2634" t="s">
        <v>8992</v>
      </c>
      <c r="W1242" s="2603"/>
      <c r="X1242" s="2172" t="str">
        <f t="shared" si="140"/>
        <v>PodHab_Ataquemantenido</v>
      </c>
      <c r="Y1242" s="2622" t="s">
        <v>9259</v>
      </c>
      <c r="Z1242" s="2619" t="s">
        <v>9260</v>
      </c>
      <c r="AA1242" s="2619" t="s">
        <v>9261</v>
      </c>
      <c r="AB1242" s="2619" t="s">
        <v>9262</v>
      </c>
      <c r="AC1242" s="2619" t="s">
        <v>9263</v>
      </c>
      <c r="AD1242" s="2619"/>
      <c r="AE1242" s="2619"/>
      <c r="AF1242" s="2619"/>
      <c r="AG1242" s="2619"/>
      <c r="AH1242" s="2619"/>
      <c r="AI1242" s="2619"/>
      <c r="AJ1242" s="2619"/>
      <c r="AK1242" s="1767"/>
      <c r="AL1242" s="1767"/>
      <c r="AM1242" s="1767"/>
      <c r="AN1242" s="1767"/>
      <c r="AO1242" s="1767"/>
      <c r="AP1242" s="1767"/>
      <c r="AQ1242" s="1767"/>
      <c r="AR1242" s="1767"/>
      <c r="AS1242" s="1767"/>
      <c r="AT1242" s="1767"/>
      <c r="AU1242" s="1767"/>
      <c r="AV1242" s="1767"/>
      <c r="AW1242" s="1767"/>
      <c r="AX1242" s="2619"/>
      <c r="AY1242" s="2619"/>
      <c r="AZ1242" s="2619"/>
      <c r="BA1242" s="2619"/>
      <c r="BB1242" s="2619"/>
      <c r="BC1242" s="2619"/>
      <c r="BD1242" s="2619"/>
      <c r="BE1242" s="2619"/>
      <c r="BF1242" s="2619"/>
      <c r="BG1242" s="2619"/>
      <c r="BH1242" s="2619"/>
      <c r="BI1242" s="2619"/>
      <c r="BJ1242" s="2619"/>
      <c r="BK1242" s="2619"/>
      <c r="BL1242" s="2609"/>
      <c r="BM1242" s="2609"/>
      <c r="BN1242" s="2609"/>
      <c r="BO1242" s="2609"/>
      <c r="BP1242" s="2609"/>
      <c r="BQ1242" s="2609"/>
      <c r="BR1242" s="2609"/>
      <c r="BS1242" s="2609"/>
      <c r="BT1242" s="2609"/>
      <c r="BU1242" s="2609"/>
      <c r="BV1242" s="2609"/>
      <c r="BW1242" s="2609"/>
      <c r="BX1242" s="2609"/>
      <c r="BY1242" s="2609"/>
      <c r="BZ1242" s="2609"/>
      <c r="CA1242" s="2635"/>
    </row>
    <row r="1243" spans="1:79" ht="12.75" customHeight="1" x14ac:dyDescent="0.2">
      <c r="A1243" s="1916">
        <v>1243</v>
      </c>
      <c r="B1243" s="5148"/>
      <c r="C1243" s="2580"/>
      <c r="D1243" s="210"/>
      <c r="E1243" s="2583" t="s">
        <v>9805</v>
      </c>
      <c r="F1243" s="195">
        <v>20</v>
      </c>
      <c r="G1243" s="195">
        <v>120</v>
      </c>
      <c r="H1243" s="195">
        <f>COUNTIF(HabilidadesEsenciales_Adquiridas,Tablas!E1243)</f>
        <v>0</v>
      </c>
      <c r="I1243" s="2585"/>
      <c r="J1243" s="370"/>
      <c r="K1243" s="2576"/>
      <c r="M1243" s="1847"/>
      <c r="N1243" s="96"/>
      <c r="O1243" s="411" t="s">
        <v>9356</v>
      </c>
      <c r="P1243" s="2578">
        <v>10</v>
      </c>
      <c r="Q1243" s="503">
        <f>5+IF(OR(TipoDeCriatura="Entre mundos, Elemental",TipoDeCriatura="Ánima, Elemental"),5,0)</f>
        <v>5</v>
      </c>
      <c r="R1243" s="2585">
        <f>COUNTIF(PoderesDeCriatura_Adquiridos,Tablas!O1243)</f>
        <v>0</v>
      </c>
      <c r="S1243" s="370"/>
      <c r="T1243" s="2576"/>
      <c r="V1243" s="2634" t="s">
        <v>8990</v>
      </c>
      <c r="W1243" s="2603"/>
      <c r="X1243" s="2172" t="str">
        <f t="shared" si="140"/>
        <v>PodHab_Ataqueretardado</v>
      </c>
      <c r="Y1243" s="2622" t="s">
        <v>9264</v>
      </c>
      <c r="Z1243" s="2619" t="s">
        <v>9265</v>
      </c>
      <c r="AA1243" s="2619" t="s">
        <v>9266</v>
      </c>
      <c r="AB1243" s="2619" t="s">
        <v>9267</v>
      </c>
      <c r="AC1243" s="2619"/>
      <c r="AD1243" s="2619"/>
      <c r="AE1243" s="2619"/>
      <c r="AF1243" s="2619"/>
      <c r="AG1243" s="2619"/>
      <c r="AH1243" s="2619"/>
      <c r="AI1243" s="2619"/>
      <c r="AJ1243" s="2619"/>
      <c r="AK1243" s="1767"/>
      <c r="AL1243" s="1767"/>
      <c r="AM1243" s="1767"/>
      <c r="AN1243" s="1767"/>
      <c r="AO1243" s="1767"/>
      <c r="AP1243" s="1767"/>
      <c r="AQ1243" s="1767"/>
      <c r="AR1243" s="1767"/>
      <c r="AS1243" s="1767"/>
      <c r="AT1243" s="1767"/>
      <c r="AU1243" s="1767"/>
      <c r="AV1243" s="1767"/>
      <c r="AW1243" s="1767"/>
      <c r="AX1243" s="2619"/>
      <c r="AY1243" s="2619"/>
      <c r="AZ1243" s="2619"/>
      <c r="BA1243" s="2619"/>
      <c r="BB1243" s="2619"/>
      <c r="BC1243" s="2619"/>
      <c r="BD1243" s="2619"/>
      <c r="BE1243" s="2619"/>
      <c r="BF1243" s="2619"/>
      <c r="BG1243" s="2619"/>
      <c r="BH1243" s="2619"/>
      <c r="BI1243" s="2619"/>
      <c r="BJ1243" s="2619"/>
      <c r="BK1243" s="2619"/>
      <c r="BL1243" s="2609"/>
      <c r="BM1243" s="2609"/>
      <c r="BN1243" s="2609"/>
      <c r="BO1243" s="2609"/>
      <c r="BP1243" s="2609"/>
      <c r="BQ1243" s="2609"/>
      <c r="BR1243" s="2609"/>
      <c r="BS1243" s="2609"/>
      <c r="BT1243" s="2609"/>
      <c r="BU1243" s="2609"/>
      <c r="BV1243" s="2609"/>
      <c r="BW1243" s="2609"/>
      <c r="BX1243" s="2609"/>
      <c r="BY1243" s="2609"/>
      <c r="BZ1243" s="2609"/>
      <c r="CA1243" s="2635"/>
    </row>
    <row r="1244" spans="1:79" ht="12.75" customHeight="1" x14ac:dyDescent="0.2">
      <c r="A1244" s="1916">
        <v>1244</v>
      </c>
      <c r="B1244" s="5148"/>
      <c r="C1244" s="2580"/>
      <c r="D1244" s="210"/>
      <c r="E1244" s="2583" t="s">
        <v>9806</v>
      </c>
      <c r="F1244" s="195">
        <v>25</v>
      </c>
      <c r="G1244" s="195">
        <v>180</v>
      </c>
      <c r="H1244" s="195">
        <f>COUNTIF(HabilidadesEsenciales_Adquiridas,Tablas!E1244)</f>
        <v>0</v>
      </c>
      <c r="I1244" s="2585"/>
      <c r="J1244" s="370"/>
      <c r="K1244" s="2576"/>
      <c r="M1244" s="1847"/>
      <c r="N1244" s="96"/>
      <c r="O1244" s="411" t="s">
        <v>9357</v>
      </c>
      <c r="P1244" s="2578">
        <v>20</v>
      </c>
      <c r="Q1244" s="503">
        <f>60+IF(OR(TipoDeCriatura="Entre mundos, Elemental",TipoDeCriatura="Ánima, Elemental"),10,0)</f>
        <v>60</v>
      </c>
      <c r="R1244" s="2585">
        <f>COUNTIF(PoderesDeCriatura_Adquiridos,Tablas!O1244)</f>
        <v>0</v>
      </c>
      <c r="S1244" s="370"/>
      <c r="T1244" s="2576"/>
      <c r="V1244" s="2634" t="s">
        <v>8976</v>
      </c>
      <c r="W1244" s="2603"/>
      <c r="X1244" s="2172" t="str">
        <f t="shared" si="140"/>
        <v>PodHab_Ataquesmúltiplesaleatorios</v>
      </c>
      <c r="Y1244" s="2622" t="s">
        <v>9268</v>
      </c>
      <c r="Z1244" s="2619" t="s">
        <v>9269</v>
      </c>
      <c r="AA1244" s="2619" t="s">
        <v>9270</v>
      </c>
      <c r="AB1244" s="2619" t="s">
        <v>9242</v>
      </c>
      <c r="AC1244" s="2619" t="s">
        <v>9243</v>
      </c>
      <c r="AD1244" s="2619" t="s">
        <v>9244</v>
      </c>
      <c r="AE1244" s="2619" t="s">
        <v>9271</v>
      </c>
      <c r="AF1244" s="2619"/>
      <c r="AG1244" s="2619"/>
      <c r="AH1244" s="2619"/>
      <c r="AI1244" s="2619" t="s">
        <v>8500</v>
      </c>
      <c r="AJ1244" s="2619" t="s">
        <v>8500</v>
      </c>
      <c r="AK1244" s="1767"/>
      <c r="AL1244" s="1767"/>
      <c r="AM1244" s="1767"/>
      <c r="AN1244" s="1767"/>
      <c r="AO1244" s="1767"/>
      <c r="AP1244" s="1767"/>
      <c r="AQ1244" s="1767"/>
      <c r="AR1244" s="1767"/>
      <c r="AS1244" s="1767"/>
      <c r="AT1244" s="1767"/>
      <c r="AU1244" s="1767"/>
      <c r="AV1244" s="1767"/>
      <c r="AW1244" s="1767"/>
      <c r="AX1244" s="2619"/>
      <c r="AY1244" s="2619"/>
      <c r="AZ1244" s="2619"/>
      <c r="BA1244" s="2619"/>
      <c r="BB1244" s="2619"/>
      <c r="BC1244" s="2619"/>
      <c r="BD1244" s="2619"/>
      <c r="BE1244" s="2619"/>
      <c r="BF1244" s="2619"/>
      <c r="BG1244" s="2619"/>
      <c r="BH1244" s="2619"/>
      <c r="BI1244" s="2619"/>
      <c r="BJ1244" s="2619"/>
      <c r="BK1244" s="2619"/>
      <c r="BL1244" s="2609"/>
      <c r="BM1244" s="2609"/>
      <c r="BN1244" s="2609"/>
      <c r="BO1244" s="2609"/>
      <c r="BP1244" s="2609"/>
      <c r="BQ1244" s="2609"/>
      <c r="BR1244" s="2609"/>
      <c r="BS1244" s="2609"/>
      <c r="BT1244" s="2609"/>
      <c r="BU1244" s="2609"/>
      <c r="BV1244" s="2609"/>
      <c r="BW1244" s="2609"/>
      <c r="BX1244" s="2609"/>
      <c r="BY1244" s="2609"/>
      <c r="BZ1244" s="2609"/>
      <c r="CA1244" s="2635"/>
    </row>
    <row r="1245" spans="1:79" ht="12.75" customHeight="1" x14ac:dyDescent="0.2">
      <c r="A1245" s="1916">
        <v>1245</v>
      </c>
      <c r="B1245" s="5148"/>
      <c r="C1245" s="2580"/>
      <c r="D1245" s="210"/>
      <c r="E1245" s="2583" t="s">
        <v>2688</v>
      </c>
      <c r="F1245" s="195">
        <v>0</v>
      </c>
      <c r="G1245" s="195">
        <v>10</v>
      </c>
      <c r="H1245" s="195">
        <f>COUNTIF(HabilidadesEsenciales_Adquiridas,Tablas!E1245)</f>
        <v>0</v>
      </c>
      <c r="I1245" s="2585">
        <v>1</v>
      </c>
      <c r="J1245" s="370"/>
      <c r="K1245" s="2576"/>
      <c r="M1245" s="1847"/>
      <c r="N1245" s="96"/>
      <c r="O1245" s="411" t="s">
        <v>9358</v>
      </c>
      <c r="P1245" s="2578">
        <v>5</v>
      </c>
      <c r="Q1245" s="503">
        <v>-10</v>
      </c>
      <c r="R1245" s="2585">
        <f>COUNTIF(PoderesDeCriatura_Adquiridos,Tablas!O1245)</f>
        <v>0</v>
      </c>
      <c r="S1245" s="370"/>
      <c r="T1245" s="2576"/>
      <c r="V1245" s="2634" t="s">
        <v>8977</v>
      </c>
      <c r="W1245" s="2619"/>
      <c r="X1245" s="2172" t="str">
        <f t="shared" si="140"/>
        <v/>
      </c>
      <c r="Y1245" s="2622" t="s">
        <v>8500</v>
      </c>
      <c r="Z1245" s="2619"/>
      <c r="AA1245" s="2619"/>
      <c r="AB1245" s="2619"/>
      <c r="AC1245" s="2619"/>
      <c r="AD1245" s="2619"/>
      <c r="AE1245" s="2619"/>
      <c r="AF1245" s="2619"/>
      <c r="AG1245" s="2619"/>
      <c r="AH1245" s="2619"/>
      <c r="AI1245" s="2619"/>
      <c r="AJ1245" s="2619"/>
      <c r="AK1245" s="1767"/>
      <c r="AL1245" s="1767"/>
      <c r="AM1245" s="1767"/>
      <c r="AN1245" s="1767"/>
      <c r="AO1245" s="1767"/>
      <c r="AP1245" s="1767"/>
      <c r="AQ1245" s="1767"/>
      <c r="AR1245" s="1767"/>
      <c r="AS1245" s="1767"/>
      <c r="AT1245" s="1767"/>
      <c r="AU1245" s="1767"/>
      <c r="AV1245" s="1767"/>
      <c r="AW1245" s="1767"/>
      <c r="AX1245" s="2619"/>
      <c r="AY1245" s="2619"/>
      <c r="AZ1245" s="2619"/>
      <c r="BA1245" s="2619"/>
      <c r="BB1245" s="2619"/>
      <c r="BC1245" s="2619"/>
      <c r="BD1245" s="2619"/>
      <c r="BE1245" s="2619"/>
      <c r="BF1245" s="2619"/>
      <c r="BG1245" s="2619"/>
      <c r="BH1245" s="2619"/>
      <c r="BI1245" s="2619"/>
      <c r="BJ1245" s="2619"/>
      <c r="BK1245" s="2619"/>
      <c r="BL1245" s="2609"/>
      <c r="BM1245" s="2609"/>
      <c r="BN1245" s="2609"/>
      <c r="BO1245" s="2609"/>
      <c r="BP1245" s="2609"/>
      <c r="BQ1245" s="2609"/>
      <c r="BR1245" s="2609"/>
      <c r="BS1245" s="2609"/>
      <c r="BT1245" s="2609"/>
      <c r="BU1245" s="2609"/>
      <c r="BV1245" s="2609"/>
      <c r="BW1245" s="2609"/>
      <c r="BX1245" s="2609"/>
      <c r="BY1245" s="2609"/>
      <c r="BZ1245" s="2609"/>
      <c r="CA1245" s="2635"/>
    </row>
    <row r="1246" spans="1:79" ht="12.75" customHeight="1" x14ac:dyDescent="0.2">
      <c r="A1246" s="1916">
        <v>1246</v>
      </c>
      <c r="B1246" s="5148"/>
      <c r="C1246" s="2580"/>
      <c r="D1246" s="210"/>
      <c r="E1246" s="2583" t="s">
        <v>2689</v>
      </c>
      <c r="F1246" s="195">
        <v>0</v>
      </c>
      <c r="G1246" s="195">
        <v>10</v>
      </c>
      <c r="H1246" s="195">
        <f>COUNTIF(HabilidadesEsenciales_Adquiridas,Tablas!E1246)</f>
        <v>0</v>
      </c>
      <c r="I1246" s="2585">
        <v>1</v>
      </c>
      <c r="J1246" s="370">
        <f t="array" ref="J1246">MAX({1;2;3;4;5}*H1245:H1249)+MIN({-1;-2;-3;-4;-5}*H1250:H1254)</f>
        <v>0</v>
      </c>
      <c r="K1246" s="2576" t="s">
        <v>2236</v>
      </c>
      <c r="M1246" s="1847"/>
      <c r="N1246" s="96"/>
      <c r="O1246" s="411" t="s">
        <v>9359</v>
      </c>
      <c r="P1246" s="2578">
        <v>5</v>
      </c>
      <c r="Q1246" s="503">
        <v>-20</v>
      </c>
      <c r="R1246" s="2585">
        <f>COUNTIF(PoderesDeCriatura_Adquiridos,Tablas!O1246)</f>
        <v>0</v>
      </c>
      <c r="S1246" s="370"/>
      <c r="T1246" s="2576"/>
      <c r="V1246" s="2634" t="s">
        <v>8974</v>
      </c>
      <c r="W1246" s="2619"/>
      <c r="X1246" s="2172" t="str">
        <f t="shared" si="140"/>
        <v/>
      </c>
      <c r="Y1246" s="2622"/>
      <c r="Z1246" s="2619"/>
      <c r="AA1246" s="2619"/>
      <c r="AB1246" s="2619"/>
      <c r="AC1246" s="2619"/>
      <c r="AD1246" s="2619"/>
      <c r="AE1246" s="2619"/>
      <c r="AF1246" s="2619"/>
      <c r="AG1246" s="2619"/>
      <c r="AH1246" s="2619"/>
      <c r="AI1246" s="2619"/>
      <c r="AJ1246" s="2619"/>
      <c r="AK1246" s="1767"/>
      <c r="AL1246" s="1767"/>
      <c r="AM1246" s="1767"/>
      <c r="AN1246" s="1767"/>
      <c r="AO1246" s="1767"/>
      <c r="AP1246" s="1767"/>
      <c r="AQ1246" s="1767"/>
      <c r="AR1246" s="1767"/>
      <c r="AS1246" s="1767"/>
      <c r="AT1246" s="1767"/>
      <c r="AU1246" s="1767"/>
      <c r="AV1246" s="1767"/>
      <c r="AW1246" s="1767"/>
      <c r="AX1246" s="2619"/>
      <c r="AY1246" s="2619"/>
      <c r="AZ1246" s="2619"/>
      <c r="BA1246" s="2619"/>
      <c r="BB1246" s="2619"/>
      <c r="BC1246" s="2619"/>
      <c r="BD1246" s="2619"/>
      <c r="BE1246" s="2619"/>
      <c r="BF1246" s="2619"/>
      <c r="BG1246" s="2619"/>
      <c r="BH1246" s="2619"/>
      <c r="BI1246" s="2619"/>
      <c r="BJ1246" s="2619"/>
      <c r="BK1246" s="2619"/>
      <c r="BL1246" s="2609"/>
      <c r="BM1246" s="2609"/>
      <c r="BN1246" s="2609"/>
      <c r="BO1246" s="2609"/>
      <c r="BP1246" s="2609"/>
      <c r="BQ1246" s="2609"/>
      <c r="BR1246" s="2609"/>
      <c r="BS1246" s="2609"/>
      <c r="BT1246" s="2609"/>
      <c r="BU1246" s="2609"/>
      <c r="BV1246" s="2609"/>
      <c r="BW1246" s="2609"/>
      <c r="BX1246" s="2609"/>
      <c r="BY1246" s="2609"/>
      <c r="BZ1246" s="2609"/>
      <c r="CA1246" s="2635"/>
    </row>
    <row r="1247" spans="1:79" ht="12.75" customHeight="1" x14ac:dyDescent="0.2">
      <c r="A1247" s="1916">
        <v>1247</v>
      </c>
      <c r="B1247" s="5148"/>
      <c r="C1247" s="2580"/>
      <c r="D1247" s="210"/>
      <c r="E1247" s="2583" t="s">
        <v>2690</v>
      </c>
      <c r="F1247" s="195">
        <v>0</v>
      </c>
      <c r="G1247" s="195">
        <v>10</v>
      </c>
      <c r="H1247" s="195">
        <f>COUNTIF(HabilidadesEsenciales_Adquiridas,Tablas!E1247)</f>
        <v>0</v>
      </c>
      <c r="I1247" s="2585">
        <v>1</v>
      </c>
      <c r="J1247" s="370"/>
      <c r="K1247" s="2576"/>
      <c r="M1247" s="1847"/>
      <c r="N1247" s="96"/>
      <c r="O1247" s="411" t="s">
        <v>9360</v>
      </c>
      <c r="P1247" s="2578">
        <v>5</v>
      </c>
      <c r="Q1247" s="503">
        <v>-30</v>
      </c>
      <c r="R1247" s="2585">
        <f>COUNTIF(PoderesDeCriatura_Adquiridos,Tablas!O1247)</f>
        <v>0</v>
      </c>
      <c r="S1247" s="370"/>
      <c r="T1247" s="2576"/>
      <c r="V1247" s="2634" t="s">
        <v>2541</v>
      </c>
      <c r="W1247" s="2603"/>
      <c r="X1247" s="2172" t="str">
        <f t="shared" si="140"/>
        <v>PodHab_Escudo</v>
      </c>
      <c r="Y1247" s="2622" t="s">
        <v>2543</v>
      </c>
      <c r="Z1247" s="2619" t="s">
        <v>2542</v>
      </c>
      <c r="AA1247" s="2619" t="s">
        <v>2540</v>
      </c>
      <c r="AB1247" s="2619" t="s">
        <v>9272</v>
      </c>
      <c r="AC1247" s="2619" t="s">
        <v>9273</v>
      </c>
      <c r="AD1247" s="2619" t="s">
        <v>9274</v>
      </c>
      <c r="AE1247" s="2619" t="s">
        <v>9275</v>
      </c>
      <c r="AF1247" s="2619" t="s">
        <v>9276</v>
      </c>
      <c r="AG1247" s="2619"/>
      <c r="AH1247" s="2619"/>
      <c r="AI1247" s="2619"/>
      <c r="AJ1247" s="2619"/>
      <c r="AK1247" s="1767"/>
      <c r="AL1247" s="1767"/>
      <c r="AM1247" s="1767"/>
      <c r="AN1247" s="1767"/>
      <c r="AO1247" s="1767"/>
      <c r="AP1247" s="1767"/>
      <c r="AQ1247" s="1767"/>
      <c r="AR1247" s="1767"/>
      <c r="AS1247" s="1767"/>
      <c r="AT1247" s="1767"/>
      <c r="AU1247" s="1767"/>
      <c r="AV1247" s="1767"/>
      <c r="AW1247" s="1767"/>
      <c r="AX1247" s="2619"/>
      <c r="AY1247" s="2619"/>
      <c r="AZ1247" s="2619"/>
      <c r="BA1247" s="2619"/>
      <c r="BB1247" s="2619"/>
      <c r="BC1247" s="2619"/>
      <c r="BD1247" s="2619"/>
      <c r="BE1247" s="2619"/>
      <c r="BF1247" s="2619"/>
      <c r="BG1247" s="2619"/>
      <c r="BH1247" s="2619"/>
      <c r="BI1247" s="2619"/>
      <c r="BJ1247" s="2619"/>
      <c r="BK1247" s="2619"/>
      <c r="BL1247" s="2609"/>
      <c r="BM1247" s="2609"/>
      <c r="BN1247" s="2609"/>
      <c r="BO1247" s="2609"/>
      <c r="BP1247" s="2609"/>
      <c r="BQ1247" s="2609"/>
      <c r="BR1247" s="2609"/>
      <c r="BS1247" s="2609"/>
      <c r="BT1247" s="2609"/>
      <c r="BU1247" s="2609"/>
      <c r="BV1247" s="2609"/>
      <c r="BW1247" s="2609"/>
      <c r="BX1247" s="2609"/>
      <c r="BY1247" s="2609"/>
      <c r="BZ1247" s="2609"/>
      <c r="CA1247" s="2635"/>
    </row>
    <row r="1248" spans="1:79" ht="12.75" customHeight="1" x14ac:dyDescent="0.2">
      <c r="A1248" s="1916">
        <v>1248</v>
      </c>
      <c r="B1248" s="5148"/>
      <c r="C1248" s="2580"/>
      <c r="D1248" s="210"/>
      <c r="E1248" s="2583" t="s">
        <v>2691</v>
      </c>
      <c r="F1248" s="195">
        <v>0</v>
      </c>
      <c r="G1248" s="195">
        <v>10</v>
      </c>
      <c r="H1248" s="195">
        <f>COUNTIF(HabilidadesEsenciales_Adquiridas,Tablas!E1248)</f>
        <v>0</v>
      </c>
      <c r="I1248" s="2585">
        <v>1</v>
      </c>
      <c r="J1248" s="370"/>
      <c r="K1248" s="2576"/>
      <c r="M1248" s="1847"/>
      <c r="N1248" s="96"/>
      <c r="O1248" s="411" t="s">
        <v>9361</v>
      </c>
      <c r="P1248" s="2578">
        <v>5</v>
      </c>
      <c r="Q1248" s="503">
        <v>-40</v>
      </c>
      <c r="R1248" s="2585">
        <f>COUNTIF(PoderesDeCriatura_Adquiridos,Tablas!O1248)</f>
        <v>0</v>
      </c>
      <c r="S1248" s="370"/>
      <c r="T1248" s="2576"/>
      <c r="V1248" s="2634" t="s">
        <v>8979</v>
      </c>
      <c r="W1248" s="2619"/>
      <c r="X1248" s="2172" t="str">
        <f t="shared" si="140"/>
        <v/>
      </c>
      <c r="Y1248" s="2622"/>
      <c r="Z1248" s="2619"/>
      <c r="AA1248" s="2619"/>
      <c r="AB1248" s="2619"/>
      <c r="AC1248" s="2619"/>
      <c r="AD1248" s="2619"/>
      <c r="AE1248" s="2619"/>
      <c r="AF1248" s="2619"/>
      <c r="AG1248" s="2619"/>
      <c r="AH1248" s="2619"/>
      <c r="AI1248" s="2619" t="s">
        <v>8500</v>
      </c>
      <c r="AJ1248" s="2619" t="s">
        <v>8500</v>
      </c>
      <c r="AK1248" s="1767"/>
      <c r="AL1248" s="1767"/>
      <c r="AM1248" s="1767"/>
      <c r="AN1248" s="1767"/>
      <c r="AO1248" s="1767"/>
      <c r="AP1248" s="1767"/>
      <c r="AQ1248" s="1767"/>
      <c r="AR1248" s="1767"/>
      <c r="AS1248" s="1767"/>
      <c r="AT1248" s="1767"/>
      <c r="AU1248" s="1767"/>
      <c r="AV1248" s="1767"/>
      <c r="AW1248" s="1767"/>
      <c r="AX1248" s="2619"/>
      <c r="AY1248" s="2619"/>
      <c r="AZ1248" s="2619"/>
      <c r="BA1248" s="2619"/>
      <c r="BB1248" s="2619"/>
      <c r="BC1248" s="2619"/>
      <c r="BD1248" s="2619"/>
      <c r="BE1248" s="2619"/>
      <c r="BF1248" s="2619"/>
      <c r="BG1248" s="2619"/>
      <c r="BH1248" s="2619"/>
      <c r="BI1248" s="2619"/>
      <c r="BJ1248" s="2619"/>
      <c r="BK1248" s="2619"/>
      <c r="BL1248" s="2609"/>
      <c r="BM1248" s="2609"/>
      <c r="BN1248" s="2609"/>
      <c r="BO1248" s="2609"/>
      <c r="BP1248" s="2609"/>
      <c r="BQ1248" s="2609"/>
      <c r="BR1248" s="2609"/>
      <c r="BS1248" s="2609"/>
      <c r="BT1248" s="2609"/>
      <c r="BU1248" s="2609"/>
      <c r="BV1248" s="2609"/>
      <c r="BW1248" s="2609"/>
      <c r="BX1248" s="2609"/>
      <c r="BY1248" s="2609"/>
      <c r="BZ1248" s="2609"/>
      <c r="CA1248" s="2635"/>
    </row>
    <row r="1249" spans="1:79" ht="12.75" customHeight="1" x14ac:dyDescent="0.2">
      <c r="A1249" s="1916">
        <v>1249</v>
      </c>
      <c r="B1249" s="5148"/>
      <c r="C1249" s="2580"/>
      <c r="D1249" s="210"/>
      <c r="E1249" s="2583" t="s">
        <v>2692</v>
      </c>
      <c r="F1249" s="195">
        <v>0</v>
      </c>
      <c r="G1249" s="195">
        <v>10</v>
      </c>
      <c r="H1249" s="195">
        <f>COUNTIF(HabilidadesEsenciales_Adquiridas,Tablas!E1249)</f>
        <v>0</v>
      </c>
      <c r="I1249" s="2585">
        <v>1</v>
      </c>
      <c r="J1249" s="370"/>
      <c r="K1249" s="2576"/>
      <c r="M1249" s="1847"/>
      <c r="N1249" s="96"/>
      <c r="O1249" s="411" t="s">
        <v>9362</v>
      </c>
      <c r="P1249" s="2594">
        <v>5</v>
      </c>
      <c r="Q1249" s="2473">
        <v>-50</v>
      </c>
      <c r="R1249" s="2585">
        <f>COUNTIF(PoderesDeCriatura_Adquiridos,Tablas!O1249)</f>
        <v>0</v>
      </c>
      <c r="S1249" s="370"/>
      <c r="T1249" s="2576"/>
      <c r="V1249" s="2634" t="s">
        <v>8973</v>
      </c>
      <c r="W1249" s="2619" t="str">
        <f>MID(INDEX(Lista_PoderesCriatura,MATCH($V1244&amp;"*",Lista_PoderesCriatura,0)-1+Tablas!N$1),LEN($V1244)+3,200)</f>
        <v/>
      </c>
      <c r="X1249" s="2172" t="str">
        <f t="shared" ref="X1249:X1268" si="141">IF(Y1249="","",SUBSTITUTE("PodHab_"&amp;V1249," ",""))</f>
        <v/>
      </c>
      <c r="Y1249" s="2622" t="s">
        <v>8500</v>
      </c>
      <c r="Z1249" s="2619" t="s">
        <v>8500</v>
      </c>
      <c r="AA1249" s="2619"/>
      <c r="AB1249" s="2619"/>
      <c r="AC1249" s="2619"/>
      <c r="AD1249" s="2619"/>
      <c r="AE1249" s="2619"/>
      <c r="AF1249" s="2619"/>
      <c r="AG1249" s="2619"/>
      <c r="AH1249" s="2619"/>
      <c r="AI1249" s="2619"/>
      <c r="AJ1249" s="2619"/>
      <c r="AK1249" s="1767"/>
      <c r="AL1249" s="1767"/>
      <c r="AM1249" s="1767"/>
      <c r="AN1249" s="1767"/>
      <c r="AO1249" s="1767"/>
      <c r="AP1249" s="1767"/>
      <c r="AQ1249" s="1767"/>
      <c r="AR1249" s="1767"/>
      <c r="AS1249" s="1767"/>
      <c r="AT1249" s="1767"/>
      <c r="AU1249" s="1767"/>
      <c r="AV1249" s="1767"/>
      <c r="AW1249" s="1767"/>
      <c r="AX1249" s="2619"/>
      <c r="AY1249" s="2619"/>
      <c r="AZ1249" s="2619"/>
      <c r="BA1249" s="2619"/>
      <c r="BB1249" s="2619"/>
      <c r="BC1249" s="2619"/>
      <c r="BD1249" s="2619"/>
      <c r="BE1249" s="2619"/>
      <c r="BF1249" s="2619"/>
      <c r="BG1249" s="2619"/>
      <c r="BH1249" s="2619"/>
      <c r="BI1249" s="2619"/>
      <c r="BJ1249" s="2619"/>
      <c r="BK1249" s="2619"/>
      <c r="BL1249" s="2609"/>
      <c r="BM1249" s="2609"/>
      <c r="BN1249" s="2609"/>
      <c r="BO1249" s="2609"/>
      <c r="BP1249" s="2609"/>
      <c r="BQ1249" s="2609"/>
      <c r="BR1249" s="2609"/>
      <c r="BS1249" s="2609"/>
      <c r="BT1249" s="2609"/>
      <c r="BU1249" s="2609"/>
      <c r="BV1249" s="2609"/>
      <c r="BW1249" s="2609"/>
      <c r="BX1249" s="2609"/>
      <c r="BY1249" s="2609"/>
      <c r="BZ1249" s="2609"/>
      <c r="CA1249" s="2635"/>
    </row>
    <row r="1250" spans="1:79" ht="12.75" customHeight="1" x14ac:dyDescent="0.2">
      <c r="A1250" s="1916">
        <v>1250</v>
      </c>
      <c r="B1250" s="5148"/>
      <c r="C1250" s="2580"/>
      <c r="D1250" s="210"/>
      <c r="E1250" s="2583" t="s">
        <v>2693</v>
      </c>
      <c r="F1250" s="195">
        <v>0</v>
      </c>
      <c r="G1250" s="195">
        <v>10</v>
      </c>
      <c r="H1250" s="195">
        <f>COUNTIF(HabilidadesEsenciales_Adquiridas,Tablas!E1250)</f>
        <v>0</v>
      </c>
      <c r="I1250" s="2585">
        <v>1</v>
      </c>
      <c r="J1250" s="370"/>
      <c r="K1250" s="2576"/>
      <c r="M1250" s="1847"/>
      <c r="N1250" s="96"/>
      <c r="O1250" s="2592" t="s">
        <v>9363</v>
      </c>
      <c r="P1250" s="2578">
        <v>0</v>
      </c>
      <c r="Q1250" s="503">
        <v>10</v>
      </c>
      <c r="R1250" s="2585">
        <f>COUNTIF(PoderesDeCriatura_Adquiridos,Tablas!O1250)</f>
        <v>0</v>
      </c>
      <c r="S1250" s="370"/>
      <c r="T1250" s="2576"/>
      <c r="V1250" s="2634" t="s">
        <v>8712</v>
      </c>
      <c r="W1250" s="2603"/>
      <c r="X1250" s="2172" t="str">
        <f t="shared" si="141"/>
        <v>PodHab_Imparable</v>
      </c>
      <c r="Y1250" s="2622" t="s">
        <v>9277</v>
      </c>
      <c r="Z1250" s="2619" t="s">
        <v>9278</v>
      </c>
      <c r="AA1250" s="2619" t="s">
        <v>9279</v>
      </c>
      <c r="AB1250" s="2619"/>
      <c r="AC1250" s="2619"/>
      <c r="AD1250" s="2619"/>
      <c r="AE1250" s="2619"/>
      <c r="AF1250" s="2619"/>
      <c r="AG1250" s="2619"/>
      <c r="AH1250" s="2619"/>
      <c r="AI1250" s="2619"/>
      <c r="AJ1250" s="2619"/>
      <c r="AK1250" s="1767"/>
      <c r="AL1250" s="1767"/>
      <c r="AM1250" s="1767"/>
      <c r="AN1250" s="1767"/>
      <c r="AO1250" s="1767"/>
      <c r="AP1250" s="1767"/>
      <c r="AQ1250" s="1767"/>
      <c r="AR1250" s="1767"/>
      <c r="AS1250" s="1767"/>
      <c r="AT1250" s="1767"/>
      <c r="AU1250" s="1767"/>
      <c r="AV1250" s="1767"/>
      <c r="AW1250" s="1767"/>
      <c r="AX1250" s="2619"/>
      <c r="AY1250" s="2619"/>
      <c r="AZ1250" s="2619"/>
      <c r="BA1250" s="2619"/>
      <c r="BB1250" s="2619"/>
      <c r="BC1250" s="2619"/>
      <c r="BD1250" s="2619"/>
      <c r="BE1250" s="2619"/>
      <c r="BF1250" s="2619"/>
      <c r="BG1250" s="2619"/>
      <c r="BH1250" s="2619"/>
      <c r="BI1250" s="2619"/>
      <c r="BJ1250" s="2619"/>
      <c r="BK1250" s="2619"/>
      <c r="BL1250" s="2609"/>
      <c r="BM1250" s="2609"/>
      <c r="BN1250" s="2609"/>
      <c r="BO1250" s="2609"/>
      <c r="BP1250" s="2609"/>
      <c r="BQ1250" s="2609"/>
      <c r="BR1250" s="2609"/>
      <c r="BS1250" s="2609"/>
      <c r="BT1250" s="2609"/>
      <c r="BU1250" s="2609"/>
      <c r="BV1250" s="2609"/>
      <c r="BW1250" s="2609"/>
      <c r="BX1250" s="2609"/>
      <c r="BY1250" s="2609"/>
      <c r="BZ1250" s="2609"/>
      <c r="CA1250" s="2635"/>
    </row>
    <row r="1251" spans="1:79" ht="12.75" customHeight="1" x14ac:dyDescent="0.2">
      <c r="A1251" s="1916">
        <v>1251</v>
      </c>
      <c r="B1251" s="5148"/>
      <c r="C1251" s="2580"/>
      <c r="D1251" s="210"/>
      <c r="E1251" s="2583" t="s">
        <v>2694</v>
      </c>
      <c r="F1251" s="195">
        <v>0</v>
      </c>
      <c r="G1251" s="195">
        <v>10</v>
      </c>
      <c r="H1251" s="195">
        <f>COUNTIF(HabilidadesEsenciales_Adquiridas,Tablas!E1251)</f>
        <v>0</v>
      </c>
      <c r="I1251" s="2585">
        <v>1</v>
      </c>
      <c r="J1251" s="370"/>
      <c r="K1251" s="2576"/>
      <c r="M1251" s="1847"/>
      <c r="N1251" s="96"/>
      <c r="O1251" s="2592" t="s">
        <v>9364</v>
      </c>
      <c r="P1251" s="2578">
        <v>0</v>
      </c>
      <c r="Q1251" s="503">
        <v>20</v>
      </c>
      <c r="R1251" s="2585">
        <f>COUNTIF(PoderesDeCriatura_Adquiridos,Tablas!O1251)</f>
        <v>0</v>
      </c>
      <c r="S1251" s="370"/>
      <c r="T1251" s="2576"/>
      <c r="V1251" s="2634" t="s">
        <v>8978</v>
      </c>
      <c r="W1251" s="2603"/>
      <c r="X1251" s="2172" t="str">
        <f t="shared" si="141"/>
        <v>PodHab_Reduccióndedaño</v>
      </c>
      <c r="Y1251" s="2622" t="s">
        <v>9280</v>
      </c>
      <c r="Z1251" s="2619" t="s">
        <v>9281</v>
      </c>
      <c r="AA1251" s="2619" t="s">
        <v>9282</v>
      </c>
      <c r="AB1251" s="2619" t="s">
        <v>9283</v>
      </c>
      <c r="AC1251" s="2619" t="s">
        <v>9284</v>
      </c>
      <c r="AD1251" s="2619" t="s">
        <v>9285</v>
      </c>
      <c r="AE1251" s="2619"/>
      <c r="AF1251" s="2619"/>
      <c r="AG1251" s="2619"/>
      <c r="AH1251" s="2619"/>
      <c r="AI1251" s="2619"/>
      <c r="AJ1251" s="2619"/>
      <c r="AK1251" s="1767"/>
      <c r="AL1251" s="1767"/>
      <c r="AM1251" s="1767"/>
      <c r="AN1251" s="1767"/>
      <c r="AO1251" s="1767"/>
      <c r="AP1251" s="1767"/>
      <c r="AQ1251" s="1767"/>
      <c r="AR1251" s="1767"/>
      <c r="AS1251" s="1767"/>
      <c r="AT1251" s="1767"/>
      <c r="AU1251" s="1767"/>
      <c r="AV1251" s="1767"/>
      <c r="AW1251" s="1767"/>
      <c r="AX1251" s="2619"/>
      <c r="AY1251" s="2619"/>
      <c r="AZ1251" s="2619"/>
      <c r="BA1251" s="2619"/>
      <c r="BB1251" s="2619"/>
      <c r="BC1251" s="2619"/>
      <c r="BD1251" s="2619"/>
      <c r="BE1251" s="2619"/>
      <c r="BF1251" s="2619"/>
      <c r="BG1251" s="2619"/>
      <c r="BH1251" s="2619"/>
      <c r="BI1251" s="2619"/>
      <c r="BJ1251" s="2619"/>
      <c r="BK1251" s="2619"/>
      <c r="BL1251" s="2609"/>
      <c r="BM1251" s="2609"/>
      <c r="BN1251" s="2609"/>
      <c r="BO1251" s="2609"/>
      <c r="BP1251" s="2609"/>
      <c r="BQ1251" s="2609"/>
      <c r="BR1251" s="2609"/>
      <c r="BS1251" s="2609"/>
      <c r="BT1251" s="2609"/>
      <c r="BU1251" s="2609"/>
      <c r="BV1251" s="2609"/>
      <c r="BW1251" s="2609"/>
      <c r="BX1251" s="2609"/>
      <c r="BY1251" s="2609"/>
      <c r="BZ1251" s="2609"/>
      <c r="CA1251" s="2635"/>
    </row>
    <row r="1252" spans="1:79" ht="12.75" customHeight="1" x14ac:dyDescent="0.2">
      <c r="A1252" s="1916">
        <v>1252</v>
      </c>
      <c r="B1252" s="5148"/>
      <c r="C1252" s="2580"/>
      <c r="D1252" s="210"/>
      <c r="E1252" s="2583" t="s">
        <v>2695</v>
      </c>
      <c r="F1252" s="195">
        <v>0</v>
      </c>
      <c r="G1252" s="195">
        <v>10</v>
      </c>
      <c r="H1252" s="195">
        <f>COUNTIF(HabilidadesEsenciales_Adquiridas,Tablas!E1252)</f>
        <v>0</v>
      </c>
      <c r="I1252" s="2585">
        <v>1</v>
      </c>
      <c r="J1252" s="370"/>
      <c r="K1252" s="2576"/>
      <c r="M1252" s="1847"/>
      <c r="N1252" s="96"/>
      <c r="O1252" s="2592" t="s">
        <v>9365</v>
      </c>
      <c r="P1252" s="2578">
        <v>0</v>
      </c>
      <c r="Q1252" s="503">
        <v>30</v>
      </c>
      <c r="R1252" s="2585">
        <f>COUNTIF(PoderesDeCriatura_Adquiridos,Tablas!O1252)</f>
        <v>0</v>
      </c>
      <c r="S1252" s="370"/>
      <c r="T1252" s="2576"/>
      <c r="V1252" s="2634" t="s">
        <v>8993</v>
      </c>
      <c r="W1252" s="2603"/>
      <c r="X1252" s="2172" t="str">
        <f t="shared" si="141"/>
        <v>PodHab_Reflejarataques</v>
      </c>
      <c r="Y1252" s="2622" t="s">
        <v>1419</v>
      </c>
      <c r="Z1252" s="2619" t="s">
        <v>9286</v>
      </c>
      <c r="AA1252" s="2619" t="s">
        <v>9287</v>
      </c>
      <c r="AB1252" s="2619" t="s">
        <v>9288</v>
      </c>
      <c r="AC1252" s="2619"/>
      <c r="AD1252" s="2619"/>
      <c r="AE1252" s="2619"/>
      <c r="AF1252" s="2619"/>
      <c r="AG1252" s="2619"/>
      <c r="AH1252" s="2619"/>
      <c r="AI1252" s="2619"/>
      <c r="AJ1252" s="2619"/>
      <c r="AK1252" s="1767"/>
      <c r="AL1252" s="1767"/>
      <c r="AM1252" s="1767"/>
      <c r="AN1252" s="1767"/>
      <c r="AO1252" s="1767"/>
      <c r="AP1252" s="1767"/>
      <c r="AQ1252" s="1767"/>
      <c r="AR1252" s="1767"/>
      <c r="AS1252" s="1767"/>
      <c r="AT1252" s="1767"/>
      <c r="AU1252" s="1767"/>
      <c r="AV1252" s="1767"/>
      <c r="AW1252" s="1767"/>
      <c r="AX1252" s="2619"/>
      <c r="AY1252" s="2619"/>
      <c r="AZ1252" s="2619"/>
      <c r="BA1252" s="2619"/>
      <c r="BB1252" s="2619"/>
      <c r="BC1252" s="2619"/>
      <c r="BD1252" s="2619"/>
      <c r="BE1252" s="2619"/>
      <c r="BF1252" s="2619"/>
      <c r="BG1252" s="2619"/>
      <c r="BH1252" s="2619"/>
      <c r="BI1252" s="2619"/>
      <c r="BJ1252" s="2619"/>
      <c r="BK1252" s="2619"/>
      <c r="BL1252" s="2609"/>
      <c r="BM1252" s="2609"/>
      <c r="BN1252" s="2609"/>
      <c r="BO1252" s="2609"/>
      <c r="BP1252" s="2609"/>
      <c r="BQ1252" s="2609"/>
      <c r="BR1252" s="2609"/>
      <c r="BS1252" s="2609"/>
      <c r="BT1252" s="2609"/>
      <c r="BU1252" s="2609"/>
      <c r="BV1252" s="2609"/>
      <c r="BW1252" s="2609"/>
      <c r="BX1252" s="2609"/>
      <c r="BY1252" s="2609"/>
      <c r="BZ1252" s="2609"/>
      <c r="CA1252" s="2635"/>
    </row>
    <row r="1253" spans="1:79" ht="12.75" customHeight="1" x14ac:dyDescent="0.2">
      <c r="A1253" s="1916">
        <v>1253</v>
      </c>
      <c r="B1253" s="5148"/>
      <c r="C1253" s="2580"/>
      <c r="D1253" s="210"/>
      <c r="E1253" s="2583" t="s">
        <v>2696</v>
      </c>
      <c r="F1253" s="195">
        <v>0</v>
      </c>
      <c r="G1253" s="195">
        <v>10</v>
      </c>
      <c r="H1253" s="195">
        <f>COUNTIF(HabilidadesEsenciales_Adquiridas,Tablas!E1253)</f>
        <v>0</v>
      </c>
      <c r="I1253" s="2585">
        <v>1</v>
      </c>
      <c r="J1253" s="370"/>
      <c r="K1253" s="2576"/>
      <c r="M1253" s="1847"/>
      <c r="N1253" s="96"/>
      <c r="O1253" s="2592" t="s">
        <v>9366</v>
      </c>
      <c r="P1253" s="2578">
        <v>0</v>
      </c>
      <c r="Q1253" s="503">
        <v>40</v>
      </c>
      <c r="R1253" s="2585">
        <f>COUNTIF(PoderesDeCriatura_Adquiridos,Tablas!O1253)</f>
        <v>0</v>
      </c>
      <c r="S1253" s="370"/>
      <c r="T1253" s="2576"/>
      <c r="V1253" s="2634" t="s">
        <v>1886</v>
      </c>
      <c r="W1253" s="2603"/>
      <c r="X1253" s="2172" t="str">
        <f t="shared" si="141"/>
        <v>PodHab_Rotura</v>
      </c>
      <c r="Y1253" s="2622" t="s">
        <v>8453</v>
      </c>
      <c r="Z1253" s="2619" t="s">
        <v>9119</v>
      </c>
      <c r="AA1253" s="2619" t="s">
        <v>9289</v>
      </c>
      <c r="AB1253" s="2619" t="s">
        <v>3148</v>
      </c>
      <c r="AC1253" s="2619" t="s">
        <v>9290</v>
      </c>
      <c r="AD1253" s="2619"/>
      <c r="AE1253" s="2619"/>
      <c r="AF1253" s="2619"/>
      <c r="AG1253" s="2619"/>
      <c r="AH1253" s="2619"/>
      <c r="AI1253" s="2619"/>
      <c r="AJ1253" s="2619"/>
      <c r="AK1253" s="2619"/>
      <c r="AL1253" s="2619"/>
      <c r="AM1253" s="2619"/>
      <c r="AN1253" s="2619"/>
      <c r="AO1253" s="2619"/>
      <c r="AP1253" s="2619"/>
      <c r="AQ1253" s="2619"/>
      <c r="AR1253" s="2619"/>
      <c r="AS1253" s="2619"/>
      <c r="AT1253" s="2619"/>
      <c r="AU1253" s="2619"/>
      <c r="AV1253" s="2619"/>
      <c r="AW1253" s="2619"/>
      <c r="AX1253" s="2619"/>
      <c r="AY1253" s="2619"/>
      <c r="AZ1253" s="2619"/>
      <c r="BA1253" s="2619"/>
      <c r="BB1253" s="2619"/>
      <c r="BC1253" s="2619"/>
      <c r="BD1253" s="2619"/>
      <c r="BE1253" s="2619"/>
      <c r="BF1253" s="2619"/>
      <c r="BG1253" s="2619"/>
      <c r="BH1253" s="2619"/>
      <c r="BI1253" s="2619"/>
      <c r="BJ1253" s="2619"/>
      <c r="BK1253" s="2619"/>
      <c r="BL1253" s="2609"/>
      <c r="BM1253" s="2609"/>
      <c r="BN1253" s="2609"/>
      <c r="BO1253" s="2609"/>
      <c r="BP1253" s="2609"/>
      <c r="BQ1253" s="2609"/>
      <c r="BR1253" s="2609"/>
      <c r="BS1253" s="2609"/>
      <c r="BT1253" s="2609"/>
      <c r="BU1253" s="2609"/>
      <c r="BV1253" s="2609"/>
      <c r="BW1253" s="2609"/>
      <c r="BX1253" s="2609"/>
      <c r="BY1253" s="2609"/>
      <c r="BZ1253" s="2609"/>
      <c r="CA1253" s="2635"/>
    </row>
    <row r="1254" spans="1:79" ht="12.75" customHeight="1" x14ac:dyDescent="0.2">
      <c r="A1254" s="1916">
        <v>1254</v>
      </c>
      <c r="B1254" s="5148"/>
      <c r="C1254" s="2580"/>
      <c r="D1254" s="210"/>
      <c r="E1254" s="2583" t="s">
        <v>2697</v>
      </c>
      <c r="F1254" s="195">
        <v>0</v>
      </c>
      <c r="G1254" s="195">
        <v>10</v>
      </c>
      <c r="H1254" s="195">
        <f>COUNTIF(HabilidadesEsenciales_Adquiridas,Tablas!E1254)</f>
        <v>0</v>
      </c>
      <c r="I1254" s="2585">
        <v>1</v>
      </c>
      <c r="J1254" s="370"/>
      <c r="K1254" s="2576"/>
      <c r="M1254" s="1847"/>
      <c r="N1254" s="96"/>
      <c r="O1254" s="2592" t="s">
        <v>9367</v>
      </c>
      <c r="P1254" s="2578">
        <v>0</v>
      </c>
      <c r="Q1254" s="503">
        <v>50</v>
      </c>
      <c r="R1254" s="2585">
        <f>COUNTIF(PoderesDeCriatura_Adquiridos,Tablas!O1254)</f>
        <v>0</v>
      </c>
      <c r="S1254" s="370"/>
      <c r="T1254" s="2576"/>
      <c r="V1254" s="2634" t="s">
        <v>18</v>
      </c>
      <c r="W1254" s="2016"/>
      <c r="X1254" s="2172" t="str">
        <f t="shared" si="141"/>
        <v/>
      </c>
      <c r="Y1254" s="2622"/>
      <c r="Z1254" s="2619"/>
      <c r="AA1254" s="2619"/>
      <c r="AB1254" s="2619"/>
      <c r="AC1254" s="2619"/>
      <c r="AD1254" s="2619"/>
      <c r="AE1254" s="2619"/>
      <c r="AF1254" s="2619"/>
      <c r="AG1254" s="2619"/>
      <c r="AH1254" s="2619"/>
      <c r="AI1254" s="2619"/>
      <c r="AJ1254" s="2619"/>
      <c r="AK1254" s="2619"/>
      <c r="AL1254" s="2619"/>
      <c r="AM1254" s="2619"/>
      <c r="AN1254" s="2619"/>
      <c r="AO1254" s="2619"/>
      <c r="AP1254" s="2619"/>
      <c r="AQ1254" s="2619"/>
      <c r="AR1254" s="2619"/>
      <c r="AS1254" s="2619"/>
      <c r="AT1254" s="2619"/>
      <c r="AU1254" s="2619"/>
      <c r="AV1254" s="2619"/>
      <c r="AW1254" s="2619"/>
      <c r="AX1254" s="2619"/>
      <c r="AY1254" s="2619"/>
      <c r="AZ1254" s="2619"/>
      <c r="BA1254" s="2619"/>
      <c r="BB1254" s="2619"/>
      <c r="BC1254" s="2619"/>
      <c r="BD1254" s="2619"/>
      <c r="BE1254" s="2619"/>
      <c r="BF1254" s="2619"/>
      <c r="BG1254" s="2619"/>
      <c r="BH1254" s="2619"/>
      <c r="BI1254" s="2619"/>
      <c r="BJ1254" s="2619"/>
      <c r="BK1254" s="2619"/>
      <c r="BL1254" s="2609"/>
      <c r="BM1254" s="2609"/>
      <c r="BN1254" s="2609"/>
      <c r="BO1254" s="2609"/>
      <c r="BP1254" s="2609"/>
      <c r="BQ1254" s="2609"/>
      <c r="BR1254" s="2609"/>
      <c r="BS1254" s="2609"/>
      <c r="BT1254" s="2609"/>
      <c r="BU1254" s="2609"/>
      <c r="BV1254" s="2609"/>
      <c r="BW1254" s="2609"/>
      <c r="BX1254" s="2609"/>
      <c r="BY1254" s="2609"/>
      <c r="BZ1254" s="2609"/>
      <c r="CA1254" s="2635"/>
    </row>
    <row r="1255" spans="1:79" ht="12.75" customHeight="1" x14ac:dyDescent="0.2">
      <c r="A1255" s="1916">
        <v>1255</v>
      </c>
      <c r="B1255" s="5148"/>
      <c r="C1255" s="2580"/>
      <c r="D1255" s="210"/>
      <c r="E1255" s="2583" t="s">
        <v>1563</v>
      </c>
      <c r="F1255" s="195">
        <v>0</v>
      </c>
      <c r="G1255" s="195">
        <v>30</v>
      </c>
      <c r="H1255" s="195">
        <f>COUNTIF(HabilidadesEsenciales_Adquiridas,Tablas!E1255)</f>
        <v>0</v>
      </c>
      <c r="I1255" s="2585">
        <v>1</v>
      </c>
      <c r="J1255" s="370"/>
      <c r="K1255" s="2576"/>
      <c r="M1255" s="1847"/>
      <c r="N1255" s="96"/>
      <c r="O1255" s="2592" t="s">
        <v>9368</v>
      </c>
      <c r="P1255" s="2595">
        <v>0</v>
      </c>
      <c r="Q1255" s="503">
        <v>60</v>
      </c>
      <c r="R1255" s="2585">
        <f>COUNTIF(PoderesDeCriatura_Adquiridos,Tablas!O1255)</f>
        <v>0</v>
      </c>
      <c r="S1255" s="370"/>
      <c r="T1255" s="2576"/>
      <c r="V1255" s="2634" t="s">
        <v>8995</v>
      </c>
      <c r="W1255" s="2603"/>
      <c r="X1255" s="2172" t="str">
        <f t="shared" si="141"/>
        <v>PodHab_Efectopermanente</v>
      </c>
      <c r="Y1255" s="2622" t="s">
        <v>9291</v>
      </c>
      <c r="Z1255" s="2619" t="s">
        <v>9292</v>
      </c>
      <c r="AA1255" s="2619"/>
      <c r="AB1255" s="1767"/>
      <c r="AC1255" s="2619"/>
      <c r="AD1255" s="2619"/>
      <c r="AE1255" s="2619"/>
      <c r="AF1255" s="2619"/>
      <c r="AG1255" s="2619"/>
      <c r="AH1255" s="2619"/>
      <c r="AI1255" s="2619"/>
      <c r="AJ1255" s="2619"/>
      <c r="AK1255" s="2619"/>
      <c r="AL1255" s="2619"/>
      <c r="AM1255" s="2619"/>
      <c r="AN1255" s="2619"/>
      <c r="AO1255" s="2619"/>
      <c r="AP1255" s="2619"/>
      <c r="AQ1255" s="2619"/>
      <c r="AR1255" s="2619"/>
      <c r="AS1255" s="2619"/>
      <c r="AT1255" s="2619"/>
      <c r="AU1255" s="2619"/>
      <c r="AV1255" s="2619"/>
      <c r="AW1255" s="2619"/>
      <c r="AX1255" s="2619"/>
      <c r="AY1255" s="2619"/>
      <c r="AZ1255" s="2619"/>
      <c r="BA1255" s="2619"/>
      <c r="BB1255" s="2619"/>
      <c r="BC1255" s="2619"/>
      <c r="BD1255" s="2619"/>
      <c r="BE1255" s="2619"/>
      <c r="BF1255" s="2619"/>
      <c r="BG1255" s="2619"/>
      <c r="BH1255" s="2619"/>
      <c r="BI1255" s="2619"/>
      <c r="BJ1255" s="2619"/>
      <c r="BK1255" s="2619"/>
      <c r="BL1255" s="2609"/>
      <c r="BM1255" s="2609"/>
      <c r="BN1255" s="2609"/>
      <c r="BO1255" s="2609"/>
      <c r="BP1255" s="2609"/>
      <c r="BQ1255" s="2609"/>
      <c r="BR1255" s="2609"/>
      <c r="BS1255" s="2609"/>
      <c r="BT1255" s="2609"/>
      <c r="BU1255" s="2609"/>
      <c r="BV1255" s="2609"/>
      <c r="BW1255" s="2609"/>
      <c r="BX1255" s="2609"/>
      <c r="BY1255" s="2609"/>
      <c r="BZ1255" s="2609"/>
      <c r="CA1255" s="2635"/>
    </row>
    <row r="1256" spans="1:79" ht="12.75" customHeight="1" x14ac:dyDescent="0.2">
      <c r="A1256" s="1916">
        <v>1256</v>
      </c>
      <c r="B1256" s="5148"/>
      <c r="C1256" s="2580"/>
      <c r="D1256" s="210"/>
      <c r="E1256" s="2583" t="s">
        <v>2001</v>
      </c>
      <c r="F1256" s="195">
        <v>0</v>
      </c>
      <c r="G1256" s="195">
        <v>10</v>
      </c>
      <c r="H1256" s="195">
        <f>COUNTIF(HabilidadesEsenciales_Adquiridas,Tablas!E1256)</f>
        <v>0</v>
      </c>
      <c r="I1256" s="2585">
        <v>2</v>
      </c>
      <c r="J1256" s="370"/>
      <c r="K1256" s="2576"/>
      <c r="M1256" s="1847"/>
      <c r="N1256" s="96"/>
      <c r="O1256" s="2592" t="s">
        <v>9369</v>
      </c>
      <c r="P1256" s="2595">
        <v>0</v>
      </c>
      <c r="Q1256" s="503">
        <v>80</v>
      </c>
      <c r="R1256" s="2585">
        <f>COUNTIF(PoderesDeCriatura_Adquiridos,Tablas!O1256)</f>
        <v>0</v>
      </c>
      <c r="S1256" s="370"/>
      <c r="T1256" s="2576"/>
      <c r="V1256" s="2634" t="s">
        <v>22</v>
      </c>
      <c r="W1256" s="2603"/>
      <c r="X1256" s="2172" t="str">
        <f t="shared" si="141"/>
        <v/>
      </c>
      <c r="Y1256" s="2622"/>
      <c r="Z1256" s="2619"/>
      <c r="AA1256" s="2619"/>
      <c r="AB1256" s="2619"/>
      <c r="AC1256" s="2619"/>
      <c r="AD1256" s="2619"/>
      <c r="AE1256" s="2619"/>
      <c r="AF1256" s="2619"/>
      <c r="AG1256" s="2619"/>
      <c r="AH1256" s="2619"/>
      <c r="AI1256" s="2619"/>
      <c r="AJ1256" s="2619"/>
      <c r="AK1256" s="2619"/>
      <c r="AL1256" s="2619"/>
      <c r="AM1256" s="2619"/>
      <c r="AN1256" s="2619"/>
      <c r="AO1256" s="2619"/>
      <c r="AP1256" s="2619"/>
      <c r="AQ1256" s="2619"/>
      <c r="AR1256" s="2619"/>
      <c r="AS1256" s="2619"/>
      <c r="AT1256" s="2619"/>
      <c r="AU1256" s="2619"/>
      <c r="AV1256" s="2619"/>
      <c r="AW1256" s="2619"/>
      <c r="AX1256" s="2619"/>
      <c r="AY1256" s="2619"/>
      <c r="AZ1256" s="2619"/>
      <c r="BA1256" s="2619"/>
      <c r="BB1256" s="2619"/>
      <c r="BC1256" s="2619"/>
      <c r="BD1256" s="2619"/>
      <c r="BE1256" s="2619"/>
      <c r="BF1256" s="2619"/>
      <c r="BG1256" s="2619"/>
      <c r="BH1256" s="2619"/>
      <c r="BI1256" s="2619"/>
      <c r="BJ1256" s="2619"/>
      <c r="BK1256" s="2619"/>
      <c r="BL1256" s="2609"/>
      <c r="BM1256" s="2609"/>
      <c r="BN1256" s="2609"/>
      <c r="BO1256" s="2609"/>
      <c r="BP1256" s="2609"/>
      <c r="BQ1256" s="2609"/>
      <c r="BR1256" s="2609"/>
      <c r="BS1256" s="2609"/>
      <c r="BT1256" s="2609"/>
      <c r="BU1256" s="2609"/>
      <c r="BV1256" s="2609"/>
      <c r="BW1256" s="2609"/>
      <c r="BX1256" s="2609"/>
      <c r="BY1256" s="2609"/>
      <c r="BZ1256" s="2609"/>
      <c r="CA1256" s="2635"/>
    </row>
    <row r="1257" spans="1:79" ht="12.75" customHeight="1" x14ac:dyDescent="0.2">
      <c r="A1257" s="1916">
        <v>1257</v>
      </c>
      <c r="B1257" s="5148"/>
      <c r="C1257" s="2580"/>
      <c r="D1257" s="210"/>
      <c r="E1257" s="2583" t="s">
        <v>2002</v>
      </c>
      <c r="F1257" s="195">
        <v>25</v>
      </c>
      <c r="G1257" s="195">
        <v>20</v>
      </c>
      <c r="H1257" s="195">
        <f>COUNTIF(HabilidadesEsenciales_Adquiridas,Tablas!E1257)</f>
        <v>0</v>
      </c>
      <c r="I1257" s="2585">
        <v>2</v>
      </c>
      <c r="J1257" s="370"/>
      <c r="K1257" s="2576"/>
      <c r="M1257" s="1847"/>
      <c r="N1257" s="96"/>
      <c r="O1257" s="2592" t="s">
        <v>9370</v>
      </c>
      <c r="P1257" s="2595">
        <v>10</v>
      </c>
      <c r="Q1257" s="503">
        <v>100</v>
      </c>
      <c r="R1257" s="2585">
        <f>COUNTIF(PoderesDeCriatura_Adquiridos,Tablas!O1257)</f>
        <v>0</v>
      </c>
      <c r="S1257" s="370"/>
      <c r="T1257" s="2576"/>
      <c r="V1257" s="2634" t="s">
        <v>8994</v>
      </c>
      <c r="W1257" s="2603"/>
      <c r="X1257" s="2172" t="str">
        <f t="shared" si="141"/>
        <v>PodHab_Sentidosespeciales</v>
      </c>
      <c r="Y1257" s="2622" t="s">
        <v>19</v>
      </c>
      <c r="Z1257" s="2619" t="s">
        <v>20</v>
      </c>
      <c r="AA1257" s="2619" t="s">
        <v>21</v>
      </c>
      <c r="AB1257" s="2619"/>
      <c r="AC1257" s="2619"/>
      <c r="AD1257" s="2619"/>
      <c r="AE1257" s="2619"/>
      <c r="AF1257" s="2619"/>
      <c r="AG1257" s="1767"/>
      <c r="AH1257" s="1767"/>
      <c r="AI1257" s="1767"/>
      <c r="AJ1257" s="1767"/>
      <c r="AK1257" s="1767"/>
      <c r="AL1257" s="1767"/>
      <c r="AM1257" s="1767"/>
      <c r="AN1257" s="2619"/>
      <c r="AO1257" s="2619"/>
      <c r="AP1257" s="2619"/>
      <c r="AQ1257" s="2619"/>
      <c r="AR1257" s="2619"/>
      <c r="AS1257" s="2619"/>
      <c r="AT1257" s="2619"/>
      <c r="AU1257" s="2619"/>
      <c r="AV1257" s="2619"/>
      <c r="AW1257" s="2619"/>
      <c r="AX1257" s="2619"/>
      <c r="AY1257" s="2619"/>
      <c r="AZ1257" s="2619"/>
      <c r="BA1257" s="2619"/>
      <c r="BB1257" s="2619"/>
      <c r="BC1257" s="2619"/>
      <c r="BD1257" s="2619"/>
      <c r="BE1257" s="2619"/>
      <c r="BF1257" s="2619"/>
      <c r="BG1257" s="2619"/>
      <c r="BH1257" s="2619"/>
      <c r="BI1257" s="2619"/>
      <c r="BJ1257" s="2619"/>
      <c r="BK1257" s="2619"/>
      <c r="BL1257" s="2609"/>
      <c r="BM1257" s="2609"/>
      <c r="BN1257" s="2609"/>
      <c r="BO1257" s="2609"/>
      <c r="BP1257" s="2609"/>
      <c r="BQ1257" s="2609"/>
      <c r="BR1257" s="2609"/>
      <c r="BS1257" s="2609"/>
      <c r="BT1257" s="2609"/>
      <c r="BU1257" s="2609"/>
      <c r="BV1257" s="2609"/>
      <c r="BW1257" s="2609"/>
      <c r="BX1257" s="2609"/>
      <c r="BY1257" s="2609"/>
      <c r="BZ1257" s="2609"/>
      <c r="CA1257" s="2635"/>
    </row>
    <row r="1258" spans="1:79" ht="12.75" customHeight="1" x14ac:dyDescent="0.2">
      <c r="A1258" s="1916">
        <v>1258</v>
      </c>
      <c r="B1258" s="5148"/>
      <c r="C1258" s="2580"/>
      <c r="D1258" s="210"/>
      <c r="E1258" s="2583" t="s">
        <v>1564</v>
      </c>
      <c r="F1258" s="195">
        <v>0</v>
      </c>
      <c r="G1258" s="195">
        <v>10</v>
      </c>
      <c r="H1258" s="195">
        <f>COUNTIF(HabilidadesEsenciales_Adquiridas,Tablas!E1258)</f>
        <v>0</v>
      </c>
      <c r="I1258" s="2585"/>
      <c r="J1258" s="370"/>
      <c r="K1258" s="2576"/>
      <c r="M1258" s="1847"/>
      <c r="N1258" s="96"/>
      <c r="O1258" s="2592" t="s">
        <v>9371</v>
      </c>
      <c r="P1258" s="2595">
        <v>20</v>
      </c>
      <c r="Q1258" s="503">
        <v>140</v>
      </c>
      <c r="R1258" s="2585">
        <f>COUNTIF(PoderesDeCriatura_Adquiridos,Tablas!O1258)</f>
        <v>0</v>
      </c>
      <c r="S1258" s="370"/>
      <c r="T1258" s="2576"/>
      <c r="V1258" s="2634" t="s">
        <v>2262</v>
      </c>
      <c r="W1258" s="2603"/>
      <c r="X1258" s="2172" t="str">
        <f t="shared" si="141"/>
        <v>PodHab_Transformación</v>
      </c>
      <c r="Y1258" s="2622" t="s">
        <v>9293</v>
      </c>
      <c r="Z1258" s="2619" t="s">
        <v>9294</v>
      </c>
      <c r="AA1258" s="2619" t="s">
        <v>9295</v>
      </c>
      <c r="AB1258" s="2619" t="s">
        <v>9296</v>
      </c>
      <c r="AC1258" s="2619" t="s">
        <v>9297</v>
      </c>
      <c r="AD1258" s="2619"/>
      <c r="AE1258" s="2619"/>
      <c r="AF1258" s="2619"/>
      <c r="AG1258" s="2619"/>
      <c r="AH1258" s="2619"/>
      <c r="AI1258" s="2619"/>
      <c r="AJ1258" s="2619"/>
      <c r="AK1258" s="2619"/>
      <c r="AL1258" s="2619" t="s">
        <v>8500</v>
      </c>
      <c r="AM1258" s="2619" t="s">
        <v>8500</v>
      </c>
      <c r="AN1258" s="2619" t="s">
        <v>8500</v>
      </c>
      <c r="AO1258" s="2619" t="s">
        <v>8500</v>
      </c>
      <c r="AP1258" s="2619"/>
      <c r="AQ1258" s="2619"/>
      <c r="AR1258" s="2619"/>
      <c r="AS1258" s="2619"/>
      <c r="AT1258" s="2619"/>
      <c r="AU1258" s="2619"/>
      <c r="AV1258" s="2619"/>
      <c r="AW1258" s="2619"/>
      <c r="AX1258" s="2619"/>
      <c r="AY1258" s="2619"/>
      <c r="AZ1258" s="2619"/>
      <c r="BA1258" s="2619"/>
      <c r="BB1258" s="2619"/>
      <c r="BC1258" s="2619"/>
      <c r="BD1258" s="2619"/>
      <c r="BE1258" s="2619"/>
      <c r="BF1258" s="2619"/>
      <c r="BG1258" s="2619"/>
      <c r="BH1258" s="2619"/>
      <c r="BI1258" s="2619"/>
      <c r="BJ1258" s="2619"/>
      <c r="BK1258" s="2619"/>
      <c r="BL1258" s="2609"/>
      <c r="BM1258" s="2609"/>
      <c r="BN1258" s="2609"/>
      <c r="BO1258" s="2609"/>
      <c r="BP1258" s="2609"/>
      <c r="BQ1258" s="2609"/>
      <c r="BR1258" s="2609"/>
      <c r="BS1258" s="2609"/>
      <c r="BT1258" s="2609"/>
      <c r="BU1258" s="2609"/>
      <c r="BV1258" s="2609"/>
      <c r="BW1258" s="2609"/>
      <c r="BX1258" s="2609"/>
      <c r="BY1258" s="2609"/>
      <c r="BZ1258" s="2609"/>
      <c r="CA1258" s="2635"/>
    </row>
    <row r="1259" spans="1:79" ht="12.75" customHeight="1" x14ac:dyDescent="0.2">
      <c r="A1259" s="1916">
        <v>1259</v>
      </c>
      <c r="B1259" s="5148"/>
      <c r="C1259" s="2580"/>
      <c r="D1259" s="210"/>
      <c r="E1259" s="2583" t="s">
        <v>1565</v>
      </c>
      <c r="F1259" s="195">
        <v>5</v>
      </c>
      <c r="G1259" s="195">
        <v>10</v>
      </c>
      <c r="H1259" s="195">
        <f>COUNTIF(HabilidadesEsenciales_Adquiridas,Tablas!E1259)</f>
        <v>0</v>
      </c>
      <c r="I1259" s="2585"/>
      <c r="J1259" s="370"/>
      <c r="K1259" s="2576"/>
      <c r="M1259" s="1847"/>
      <c r="N1259" s="96"/>
      <c r="O1259" s="2592" t="s">
        <v>9372</v>
      </c>
      <c r="P1259" s="2595">
        <v>30</v>
      </c>
      <c r="Q1259" s="503">
        <v>180</v>
      </c>
      <c r="R1259" s="2585">
        <f>COUNTIF(PoderesDeCriatura_Adquiridos,Tablas!O1259)</f>
        <v>0</v>
      </c>
      <c r="S1259" s="370"/>
      <c r="T1259" s="2576"/>
      <c r="V1259" s="2634" t="s">
        <v>23</v>
      </c>
      <c r="W1259" s="2016"/>
      <c r="X1259" s="2172" t="str">
        <f t="shared" si="141"/>
        <v/>
      </c>
      <c r="Y1259" s="2622" t="s">
        <v>8500</v>
      </c>
      <c r="Z1259" s="2619" t="s">
        <v>8500</v>
      </c>
      <c r="AA1259" s="2619" t="s">
        <v>8500</v>
      </c>
      <c r="AB1259" s="2619" t="s">
        <v>8500</v>
      </c>
      <c r="AC1259" s="2619" t="s">
        <v>8500</v>
      </c>
      <c r="AD1259" s="2619" t="s">
        <v>8500</v>
      </c>
      <c r="AE1259" s="2619" t="s">
        <v>8500</v>
      </c>
      <c r="AF1259" s="2619" t="s">
        <v>8500</v>
      </c>
      <c r="AG1259" s="2619" t="s">
        <v>8500</v>
      </c>
      <c r="AH1259" s="2619" t="s">
        <v>8500</v>
      </c>
      <c r="AI1259" s="2619" t="s">
        <v>8500</v>
      </c>
      <c r="AJ1259" s="2619" t="s">
        <v>8500</v>
      </c>
      <c r="AK1259" s="2619" t="s">
        <v>8500</v>
      </c>
      <c r="AL1259" s="2619" t="s">
        <v>8500</v>
      </c>
      <c r="AM1259" s="2619" t="s">
        <v>8500</v>
      </c>
      <c r="AN1259" s="2619" t="s">
        <v>8500</v>
      </c>
      <c r="AO1259" s="2619" t="s">
        <v>8500</v>
      </c>
      <c r="AP1259" s="2619"/>
      <c r="AQ1259" s="2619"/>
      <c r="AR1259" s="2619"/>
      <c r="AS1259" s="2619"/>
      <c r="AT1259" s="2619"/>
      <c r="AU1259" s="2619"/>
      <c r="AV1259" s="2619"/>
      <c r="AW1259" s="2619"/>
      <c r="AX1259" s="2619"/>
      <c r="AY1259" s="2619"/>
      <c r="AZ1259" s="2619"/>
      <c r="BA1259" s="2619"/>
      <c r="BB1259" s="2619"/>
      <c r="BC1259" s="2619"/>
      <c r="BD1259" s="2619"/>
      <c r="BE1259" s="2619"/>
      <c r="BF1259" s="2619"/>
      <c r="BG1259" s="2619"/>
      <c r="BH1259" s="2619"/>
      <c r="BI1259" s="2619"/>
      <c r="BJ1259" s="2619"/>
      <c r="BK1259" s="2619"/>
      <c r="BL1259" s="2609"/>
      <c r="BM1259" s="2609"/>
      <c r="BN1259" s="2609"/>
      <c r="BO1259" s="2609"/>
      <c r="BP1259" s="2609"/>
      <c r="BQ1259" s="2609"/>
      <c r="BR1259" s="2609"/>
      <c r="BS1259" s="2609"/>
      <c r="BT1259" s="2609"/>
      <c r="BU1259" s="2609"/>
      <c r="BV1259" s="2609"/>
      <c r="BW1259" s="2609"/>
      <c r="BX1259" s="2609"/>
      <c r="BY1259" s="2609"/>
      <c r="BZ1259" s="2609"/>
      <c r="CA1259" s="2635"/>
    </row>
    <row r="1260" spans="1:79" ht="12.75" customHeight="1" x14ac:dyDescent="0.2">
      <c r="A1260" s="1916">
        <v>1260</v>
      </c>
      <c r="B1260" s="5148"/>
      <c r="C1260" s="2580"/>
      <c r="D1260" s="210"/>
      <c r="E1260" s="2583" t="s">
        <v>1566</v>
      </c>
      <c r="F1260" s="195">
        <v>15</v>
      </c>
      <c r="G1260" s="195">
        <v>20</v>
      </c>
      <c r="H1260" s="195">
        <f>COUNTIF(HabilidadesEsenciales_Adquiridas,Tablas!E1260)</f>
        <v>0</v>
      </c>
      <c r="I1260" s="2585">
        <v>1</v>
      </c>
      <c r="J1260" s="370"/>
      <c r="K1260" s="2576"/>
      <c r="M1260" s="1847"/>
      <c r="N1260" s="96"/>
      <c r="O1260" s="411" t="s">
        <v>9373</v>
      </c>
      <c r="P1260" s="2578">
        <v>5</v>
      </c>
      <c r="Q1260" s="503">
        <v>20</v>
      </c>
      <c r="R1260" s="2585">
        <f>COUNTIF(PoderesDeCriatura_Adquiridos,Tablas!O1260)</f>
        <v>0</v>
      </c>
      <c r="S1260" s="370"/>
      <c r="T1260" s="2576"/>
      <c r="V1260" s="2634" t="s">
        <v>8996</v>
      </c>
      <c r="W1260" s="2603"/>
      <c r="X1260" s="2172" t="str">
        <f t="shared" si="141"/>
        <v>PodHab_Maestríasobrenatural</v>
      </c>
      <c r="Y1260" s="2622" t="s">
        <v>9298</v>
      </c>
      <c r="Z1260" s="2619" t="s">
        <v>9299</v>
      </c>
      <c r="AA1260" s="2619" t="s">
        <v>9300</v>
      </c>
      <c r="AB1260" s="2619" t="s">
        <v>9301</v>
      </c>
      <c r="AC1260" s="2619" t="s">
        <v>9302</v>
      </c>
      <c r="AD1260" s="2619" t="s">
        <v>9303</v>
      </c>
      <c r="AE1260" s="2619"/>
      <c r="AF1260" s="2619"/>
      <c r="AG1260" s="2619"/>
      <c r="AH1260" s="2619"/>
      <c r="AI1260" s="2619"/>
      <c r="AJ1260" s="2619"/>
      <c r="AK1260" s="2619"/>
      <c r="AL1260" s="2619"/>
      <c r="AM1260" s="2619"/>
      <c r="AN1260" s="2619"/>
      <c r="AO1260" s="2619"/>
      <c r="AP1260" s="2619"/>
      <c r="AQ1260" s="2619"/>
      <c r="AR1260" s="2619"/>
      <c r="AS1260" s="2619"/>
      <c r="AT1260" s="2619"/>
      <c r="AU1260" s="2619"/>
      <c r="AV1260" s="2619"/>
      <c r="AW1260" s="2619"/>
      <c r="AX1260" s="2619"/>
      <c r="AY1260" s="2619"/>
      <c r="AZ1260" s="2619"/>
      <c r="BA1260" s="2619"/>
      <c r="BB1260" s="2619"/>
      <c r="BC1260" s="2619"/>
      <c r="BD1260" s="2619"/>
      <c r="BE1260" s="2619"/>
      <c r="BF1260" s="2619"/>
      <c r="BG1260" s="2619"/>
      <c r="BH1260" s="2619"/>
      <c r="BI1260" s="2619"/>
      <c r="BJ1260" s="2619"/>
      <c r="BK1260" s="2619"/>
      <c r="BL1260" s="2609"/>
      <c r="BM1260" s="2609"/>
      <c r="BN1260" s="2609"/>
      <c r="BO1260" s="2609"/>
      <c r="BP1260" s="2609"/>
      <c r="BQ1260" s="2609"/>
      <c r="BR1260" s="2609"/>
      <c r="BS1260" s="2609"/>
      <c r="BT1260" s="2609"/>
      <c r="BU1260" s="2609"/>
      <c r="BV1260" s="2609"/>
      <c r="BW1260" s="2609"/>
      <c r="BX1260" s="2609"/>
      <c r="BY1260" s="2609"/>
      <c r="BZ1260" s="2609"/>
      <c r="CA1260" s="2635"/>
    </row>
    <row r="1261" spans="1:79" ht="12.75" customHeight="1" x14ac:dyDescent="0.2">
      <c r="A1261" s="1916">
        <v>1261</v>
      </c>
      <c r="B1261" s="5148"/>
      <c r="C1261" s="2580"/>
      <c r="D1261" s="210"/>
      <c r="E1261" s="2583" t="s">
        <v>1567</v>
      </c>
      <c r="F1261" s="195">
        <v>15</v>
      </c>
      <c r="G1261" s="195">
        <v>10</v>
      </c>
      <c r="H1261" s="195">
        <f>COUNTIF(HabilidadesEsenciales_Adquiridas,Tablas!E1261)</f>
        <v>0</v>
      </c>
      <c r="I1261" s="2585"/>
      <c r="J1261" s="370"/>
      <c r="K1261" s="2576"/>
      <c r="M1261" s="1847"/>
      <c r="N1261" s="96"/>
      <c r="O1261" s="411" t="s">
        <v>9374</v>
      </c>
      <c r="P1261" s="2578">
        <v>10</v>
      </c>
      <c r="Q1261" s="503">
        <v>30</v>
      </c>
      <c r="R1261" s="2585">
        <f>COUNTIF(PoderesDeCriatura_Adquiridos,Tablas!O1261)</f>
        <v>0</v>
      </c>
      <c r="S1261" s="370"/>
      <c r="T1261" s="2576"/>
      <c r="V1261" s="2634" t="s">
        <v>8469</v>
      </c>
      <c r="W1261" s="2603"/>
      <c r="X1261" s="2172" t="str">
        <f t="shared" si="141"/>
        <v>PodHab_Magianatural</v>
      </c>
      <c r="Y1261" s="2622" t="s">
        <v>9304</v>
      </c>
      <c r="Z1261" s="2619" t="s">
        <v>2358</v>
      </c>
      <c r="AA1261" s="2619"/>
      <c r="AB1261" s="2619"/>
      <c r="AC1261" s="2619"/>
      <c r="AD1261" s="2619"/>
      <c r="AE1261" s="2619"/>
      <c r="AF1261" s="2619"/>
      <c r="AG1261" s="2619"/>
      <c r="AH1261" s="2619"/>
      <c r="AI1261" s="2619"/>
      <c r="AJ1261" s="2619"/>
      <c r="AK1261" s="2619"/>
      <c r="AL1261" s="2619"/>
      <c r="AM1261" s="2619"/>
      <c r="AN1261" s="2619"/>
      <c r="AO1261" s="2619" t="s">
        <v>8500</v>
      </c>
      <c r="AP1261" s="2619"/>
      <c r="AQ1261" s="2619"/>
      <c r="AR1261" s="2619"/>
      <c r="AS1261" s="2619"/>
      <c r="AT1261" s="2619"/>
      <c r="AU1261" s="2619"/>
      <c r="AV1261" s="2619"/>
      <c r="AW1261" s="2619"/>
      <c r="AX1261" s="2619"/>
      <c r="AY1261" s="2619"/>
      <c r="AZ1261" s="2619"/>
      <c r="BA1261" s="2619"/>
      <c r="BB1261" s="2619"/>
      <c r="BC1261" s="2619"/>
      <c r="BD1261" s="2619"/>
      <c r="BE1261" s="2619"/>
      <c r="BF1261" s="2619"/>
      <c r="BG1261" s="2619"/>
      <c r="BH1261" s="2619"/>
      <c r="BI1261" s="2619"/>
      <c r="BJ1261" s="2619"/>
      <c r="BK1261" s="2619"/>
      <c r="BL1261" s="2609"/>
      <c r="BM1261" s="2609"/>
      <c r="BN1261" s="2609"/>
      <c r="BO1261" s="2609"/>
      <c r="BP1261" s="2609"/>
      <c r="BQ1261" s="2609"/>
      <c r="BR1261" s="2609"/>
      <c r="BS1261" s="2609"/>
      <c r="BT1261" s="2609"/>
      <c r="BU1261" s="2609"/>
      <c r="BV1261" s="2609"/>
      <c r="BW1261" s="2609"/>
      <c r="BX1261" s="2609"/>
      <c r="BY1261" s="2609"/>
      <c r="BZ1261" s="2609"/>
      <c r="CA1261" s="2635"/>
    </row>
    <row r="1262" spans="1:79" ht="12.75" customHeight="1" x14ac:dyDescent="0.2">
      <c r="A1262" s="1916">
        <v>1262</v>
      </c>
      <c r="B1262" s="5148"/>
      <c r="C1262" s="2580"/>
      <c r="D1262" s="210"/>
      <c r="E1262" s="2583" t="s">
        <v>1568</v>
      </c>
      <c r="F1262" s="195">
        <v>15</v>
      </c>
      <c r="G1262" s="195">
        <v>10</v>
      </c>
      <c r="H1262" s="195">
        <f>COUNTIF(HabilidadesEsenciales_Adquiridas,Tablas!E1262)</f>
        <v>0</v>
      </c>
      <c r="I1262" s="2585"/>
      <c r="J1262" s="370"/>
      <c r="K1262" s="2576"/>
      <c r="M1262" s="1847"/>
      <c r="N1262" s="96"/>
      <c r="O1262" s="411" t="s">
        <v>9375</v>
      </c>
      <c r="P1262" s="2595">
        <v>15</v>
      </c>
      <c r="Q1262" s="503">
        <v>40</v>
      </c>
      <c r="R1262" s="2585">
        <f>COUNTIF(PoderesDeCriatura_Adquiridos,Tablas!O1262)</f>
        <v>0</v>
      </c>
      <c r="S1262" s="370"/>
      <c r="T1262" s="2576"/>
      <c r="V1262" s="2634" t="s">
        <v>24</v>
      </c>
      <c r="W1262" s="2603"/>
      <c r="X1262" s="2172" t="str">
        <f t="shared" si="141"/>
        <v/>
      </c>
      <c r="Y1262" s="2622"/>
      <c r="Z1262" s="2619"/>
      <c r="AA1262" s="2619"/>
      <c r="AB1262" s="2619"/>
      <c r="AC1262" s="2619"/>
      <c r="AD1262" s="2619"/>
      <c r="AE1262" s="2619"/>
      <c r="AF1262" s="2619"/>
      <c r="AG1262" s="2619"/>
      <c r="AH1262" s="2619"/>
      <c r="AI1262" s="2619"/>
      <c r="AJ1262" s="2619"/>
      <c r="AK1262" s="2619"/>
      <c r="AL1262" s="2619" t="s">
        <v>8500</v>
      </c>
      <c r="AM1262" s="2619" t="s">
        <v>8500</v>
      </c>
      <c r="AN1262" s="2619" t="s">
        <v>8500</v>
      </c>
      <c r="AO1262" s="2619" t="s">
        <v>8500</v>
      </c>
      <c r="AP1262" s="2619"/>
      <c r="AQ1262" s="2619"/>
      <c r="AR1262" s="2619"/>
      <c r="AS1262" s="2619"/>
      <c r="AT1262" s="2619"/>
      <c r="AU1262" s="2619"/>
      <c r="AV1262" s="2619"/>
      <c r="AW1262" s="2619"/>
      <c r="AX1262" s="2619"/>
      <c r="AY1262" s="2619"/>
      <c r="AZ1262" s="2619"/>
      <c r="BA1262" s="2619"/>
      <c r="BB1262" s="2619"/>
      <c r="BC1262" s="2619"/>
      <c r="BD1262" s="2619"/>
      <c r="BE1262" s="2619"/>
      <c r="BF1262" s="2619"/>
      <c r="BG1262" s="2619"/>
      <c r="BH1262" s="2619"/>
      <c r="BI1262" s="2619"/>
      <c r="BJ1262" s="2619"/>
      <c r="BK1262" s="2619"/>
      <c r="BL1262" s="2609"/>
      <c r="BM1262" s="2609"/>
      <c r="BN1262" s="2609"/>
      <c r="BO1262" s="2609"/>
      <c r="BP1262" s="2609"/>
      <c r="BQ1262" s="2609"/>
      <c r="BR1262" s="2609"/>
      <c r="BS1262" s="2609"/>
      <c r="BT1262" s="2609"/>
      <c r="BU1262" s="2609"/>
      <c r="BV1262" s="2609"/>
      <c r="BW1262" s="2609"/>
      <c r="BX1262" s="2609"/>
      <c r="BY1262" s="2609"/>
      <c r="BZ1262" s="2609"/>
      <c r="CA1262" s="2635"/>
    </row>
    <row r="1263" spans="1:79" ht="12.75" customHeight="1" x14ac:dyDescent="0.2">
      <c r="A1263" s="1916">
        <v>1263</v>
      </c>
      <c r="B1263" s="5148"/>
      <c r="C1263" s="2580"/>
      <c r="D1263" s="210"/>
      <c r="E1263" s="2583" t="s">
        <v>1569</v>
      </c>
      <c r="F1263" s="195">
        <v>15</v>
      </c>
      <c r="G1263" s="195">
        <v>10</v>
      </c>
      <c r="H1263" s="195">
        <f>COUNTIF(HabilidadesEsenciales_Adquiridas,Tablas!E1263)</f>
        <v>0</v>
      </c>
      <c r="I1263" s="2585"/>
      <c r="J1263" s="370"/>
      <c r="K1263" s="2576"/>
      <c r="M1263" s="1847"/>
      <c r="N1263" s="96"/>
      <c r="O1263" s="411" t="s">
        <v>9376</v>
      </c>
      <c r="P1263" s="2595">
        <v>15</v>
      </c>
      <c r="Q1263" s="503">
        <v>50</v>
      </c>
      <c r="R1263" s="2585">
        <f>COUNTIF(PoderesDeCriatura_Adquiridos,Tablas!O1263)</f>
        <v>0</v>
      </c>
      <c r="S1263" s="370"/>
      <c r="T1263" s="2576"/>
      <c r="V1263" s="2634" t="s">
        <v>25</v>
      </c>
      <c r="W1263" s="2016"/>
      <c r="X1263" s="2172" t="str">
        <f t="shared" si="141"/>
        <v/>
      </c>
      <c r="Y1263" s="2622"/>
      <c r="Z1263" s="2619"/>
      <c r="AA1263" s="2619"/>
      <c r="AB1263" s="2619"/>
      <c r="AC1263" s="2619"/>
      <c r="AD1263" s="2619"/>
      <c r="AE1263" s="2619"/>
      <c r="AF1263" s="2619"/>
      <c r="AG1263" s="2619"/>
      <c r="AH1263" s="2619"/>
      <c r="AI1263" s="2619"/>
      <c r="AJ1263" s="2619"/>
      <c r="AK1263" s="2619"/>
      <c r="AL1263" s="2619" t="s">
        <v>8500</v>
      </c>
      <c r="AM1263" s="2619" t="s">
        <v>8500</v>
      </c>
      <c r="AN1263" s="2619" t="s">
        <v>8500</v>
      </c>
      <c r="AO1263" s="2619" t="s">
        <v>8500</v>
      </c>
      <c r="AP1263" s="2619"/>
      <c r="AQ1263" s="2619"/>
      <c r="AR1263" s="2619"/>
      <c r="AS1263" s="2619"/>
      <c r="AT1263" s="2619"/>
      <c r="AU1263" s="2619"/>
      <c r="AV1263" s="2619"/>
      <c r="AW1263" s="2619"/>
      <c r="AX1263" s="2619"/>
      <c r="AY1263" s="2619"/>
      <c r="AZ1263" s="2619"/>
      <c r="BA1263" s="2619"/>
      <c r="BB1263" s="2619"/>
      <c r="BC1263" s="2619"/>
      <c r="BD1263" s="2619"/>
      <c r="BE1263" s="2619"/>
      <c r="BF1263" s="2619"/>
      <c r="BG1263" s="2619"/>
      <c r="BH1263" s="2619"/>
      <c r="BI1263" s="2619"/>
      <c r="BJ1263" s="2619"/>
      <c r="BK1263" s="2619"/>
      <c r="BL1263" s="2609"/>
      <c r="BM1263" s="2609"/>
      <c r="BN1263" s="2609"/>
      <c r="BO1263" s="2609"/>
      <c r="BP1263" s="2609"/>
      <c r="BQ1263" s="2609"/>
      <c r="BR1263" s="2609"/>
      <c r="BS1263" s="2609"/>
      <c r="BT1263" s="2609"/>
      <c r="BU1263" s="2609"/>
      <c r="BV1263" s="2609"/>
      <c r="BW1263" s="2609"/>
      <c r="BX1263" s="2609"/>
      <c r="BY1263" s="2609"/>
      <c r="BZ1263" s="2609"/>
      <c r="CA1263" s="2635"/>
    </row>
    <row r="1264" spans="1:79" ht="12.75" customHeight="1" x14ac:dyDescent="0.2">
      <c r="A1264" s="1916">
        <v>1264</v>
      </c>
      <c r="B1264" s="5148"/>
      <c r="C1264" s="2580"/>
      <c r="D1264" s="210"/>
      <c r="E1264" s="2583" t="s">
        <v>1570</v>
      </c>
      <c r="F1264" s="195">
        <v>20</v>
      </c>
      <c r="G1264" s="195">
        <v>20</v>
      </c>
      <c r="H1264" s="195">
        <f>COUNTIF(HabilidadesEsenciales_Adquiridas,Tablas!E1264)</f>
        <v>0</v>
      </c>
      <c r="I1264" s="2585"/>
      <c r="J1264" s="370"/>
      <c r="K1264" s="2576"/>
      <c r="M1264" s="1847"/>
      <c r="N1264" s="96"/>
      <c r="O1264" s="411" t="s">
        <v>9377</v>
      </c>
      <c r="P1264" s="2595">
        <v>20</v>
      </c>
      <c r="Q1264" s="503">
        <v>60</v>
      </c>
      <c r="R1264" s="2585">
        <f>COUNTIF(PoderesDeCriatura_Adquiridos,Tablas!O1264)</f>
        <v>0</v>
      </c>
      <c r="S1264" s="370"/>
      <c r="T1264" s="2576"/>
      <c r="V1264" s="2634" t="s">
        <v>27</v>
      </c>
      <c r="W1264" s="2619"/>
      <c r="X1264" s="2172" t="str">
        <f t="shared" si="141"/>
        <v/>
      </c>
      <c r="Y1264" s="2622"/>
      <c r="Z1264" s="2619"/>
      <c r="AA1264" s="2619" t="s">
        <v>8500</v>
      </c>
      <c r="AB1264" s="2619" t="s">
        <v>8500</v>
      </c>
      <c r="AC1264" s="2619"/>
      <c r="AD1264" s="1767"/>
      <c r="AE1264" s="1767"/>
      <c r="AF1264" s="1767"/>
      <c r="AG1264" s="1767"/>
      <c r="AH1264" s="1767"/>
      <c r="AI1264" s="1767"/>
      <c r="AJ1264" s="1767"/>
      <c r="AK1264" s="2619" t="s">
        <v>8500</v>
      </c>
      <c r="AL1264" s="2619" t="s">
        <v>8500</v>
      </c>
      <c r="AM1264" s="2619" t="s">
        <v>8500</v>
      </c>
      <c r="AN1264" s="2619" t="s">
        <v>8500</v>
      </c>
      <c r="AO1264" s="2619" t="s">
        <v>8500</v>
      </c>
      <c r="AP1264" s="2619"/>
      <c r="AQ1264" s="2619"/>
      <c r="AR1264" s="2619"/>
      <c r="AS1264" s="2619"/>
      <c r="AT1264" s="2619"/>
      <c r="AU1264" s="2619"/>
      <c r="AV1264" s="2619"/>
      <c r="AW1264" s="2619"/>
      <c r="AX1264" s="2619"/>
      <c r="AY1264" s="2619"/>
      <c r="AZ1264" s="2619"/>
      <c r="BA1264" s="2619"/>
      <c r="BB1264" s="2619"/>
      <c r="BC1264" s="2619"/>
      <c r="BD1264" s="2619"/>
      <c r="BE1264" s="2619"/>
      <c r="BF1264" s="2619"/>
      <c r="BG1264" s="2619"/>
      <c r="BH1264" s="2619"/>
      <c r="BI1264" s="2619"/>
      <c r="BJ1264" s="2619"/>
      <c r="BK1264" s="2619"/>
      <c r="BL1264" s="2609"/>
      <c r="BM1264" s="2609"/>
      <c r="BN1264" s="2609"/>
      <c r="BO1264" s="2609"/>
      <c r="BP1264" s="2609"/>
      <c r="BQ1264" s="2609"/>
      <c r="BR1264" s="2609"/>
      <c r="BS1264" s="2609"/>
      <c r="BT1264" s="2609"/>
      <c r="BU1264" s="2609"/>
      <c r="BV1264" s="2609"/>
      <c r="BW1264" s="2609"/>
      <c r="BX1264" s="2609"/>
      <c r="BY1264" s="2609"/>
      <c r="BZ1264" s="2609"/>
      <c r="CA1264" s="2635"/>
    </row>
    <row r="1265" spans="1:79" ht="12.75" customHeight="1" x14ac:dyDescent="0.2">
      <c r="A1265" s="1916">
        <v>1265</v>
      </c>
      <c r="B1265" s="5148"/>
      <c r="C1265" s="2580"/>
      <c r="D1265" s="210"/>
      <c r="E1265" s="2583" t="s">
        <v>1571</v>
      </c>
      <c r="F1265" s="195">
        <v>20</v>
      </c>
      <c r="G1265" s="195">
        <v>10</v>
      </c>
      <c r="H1265" s="195">
        <f>COUNTIF(HabilidadesEsenciales_Adquiridas,Tablas!E1265)</f>
        <v>0</v>
      </c>
      <c r="I1265" s="2585"/>
      <c r="J1265" s="370"/>
      <c r="K1265" s="2576"/>
      <c r="M1265" s="1847"/>
      <c r="N1265" s="96"/>
      <c r="O1265" s="411" t="s">
        <v>9378</v>
      </c>
      <c r="P1265" s="2595">
        <v>25</v>
      </c>
      <c r="Q1265" s="503">
        <v>80</v>
      </c>
      <c r="R1265" s="2585">
        <f>COUNTIF(PoderesDeCriatura_Adquiridos,Tablas!O1265)</f>
        <v>0</v>
      </c>
      <c r="S1265" s="370"/>
      <c r="T1265" s="2576"/>
      <c r="V1265" s="2634" t="s">
        <v>28</v>
      </c>
      <c r="W1265" s="2619"/>
      <c r="X1265" s="2172" t="str">
        <f t="shared" si="141"/>
        <v/>
      </c>
      <c r="Y1265" s="2622"/>
      <c r="Z1265" s="2619"/>
      <c r="AA1265" s="2619"/>
      <c r="AB1265" s="2619"/>
      <c r="AC1265" s="2619"/>
      <c r="AD1265" s="1767"/>
      <c r="AE1265" s="1767"/>
      <c r="AF1265" s="1767"/>
      <c r="AG1265" s="1767"/>
      <c r="AH1265" s="1767"/>
      <c r="AI1265" s="1767"/>
      <c r="AJ1265" s="1767"/>
      <c r="AK1265" s="2619"/>
      <c r="AL1265" s="2619"/>
      <c r="AM1265" s="2619"/>
      <c r="AN1265" s="2619"/>
      <c r="AO1265" s="2619"/>
      <c r="AP1265" s="2619"/>
      <c r="AQ1265" s="2619"/>
      <c r="AR1265" s="2619"/>
      <c r="AS1265" s="2619"/>
      <c r="AT1265" s="2619"/>
      <c r="AU1265" s="2619"/>
      <c r="AV1265" s="2619"/>
      <c r="AW1265" s="2619"/>
      <c r="AX1265" s="2619"/>
      <c r="AY1265" s="2619"/>
      <c r="AZ1265" s="2619"/>
      <c r="BA1265" s="2619"/>
      <c r="BB1265" s="2619"/>
      <c r="BC1265" s="2619"/>
      <c r="BD1265" s="2619"/>
      <c r="BE1265" s="2619"/>
      <c r="BF1265" s="2619"/>
      <c r="BG1265" s="2619"/>
      <c r="BH1265" s="2619"/>
      <c r="BI1265" s="2619"/>
      <c r="BJ1265" s="2619"/>
      <c r="BK1265" s="2619"/>
      <c r="BL1265" s="2609"/>
      <c r="BM1265" s="2609"/>
      <c r="BN1265" s="2609"/>
      <c r="BO1265" s="2609"/>
      <c r="BP1265" s="2609"/>
      <c r="BQ1265" s="2609"/>
      <c r="BR1265" s="2609"/>
      <c r="BS1265" s="2609"/>
      <c r="BT1265" s="2609"/>
      <c r="BU1265" s="2609"/>
      <c r="BV1265" s="2609"/>
      <c r="BW1265" s="2609"/>
      <c r="BX1265" s="2609"/>
      <c r="BY1265" s="2609"/>
      <c r="BZ1265" s="2609"/>
      <c r="CA1265" s="2635"/>
    </row>
    <row r="1266" spans="1:79" ht="12.75" customHeight="1" x14ac:dyDescent="0.2">
      <c r="A1266" s="1916">
        <v>1266</v>
      </c>
      <c r="B1266" s="5148"/>
      <c r="C1266" s="2580"/>
      <c r="D1266" s="210"/>
      <c r="E1266" s="2583" t="s">
        <v>1572</v>
      </c>
      <c r="F1266" s="195">
        <v>15</v>
      </c>
      <c r="G1266" s="195">
        <v>10</v>
      </c>
      <c r="H1266" s="195">
        <f>COUNTIF(HabilidadesEsenciales_Adquiridas,Tablas!E1266)</f>
        <v>0</v>
      </c>
      <c r="I1266" s="2585"/>
      <c r="J1266" s="370"/>
      <c r="K1266" s="2576"/>
      <c r="M1266" s="1847"/>
      <c r="N1266" s="96"/>
      <c r="O1266" s="411" t="s">
        <v>9379</v>
      </c>
      <c r="P1266" s="2595">
        <v>30</v>
      </c>
      <c r="Q1266" s="503">
        <v>100</v>
      </c>
      <c r="R1266" s="2585">
        <f>COUNTIF(PoderesDeCriatura_Adquiridos,Tablas!O1266)</f>
        <v>0</v>
      </c>
      <c r="S1266" s="370"/>
      <c r="T1266" s="2576"/>
      <c r="V1266" s="2634" t="s">
        <v>8998</v>
      </c>
      <c r="W1266" s="2603"/>
      <c r="X1266" s="2172" t="str">
        <f t="shared" si="141"/>
        <v>PodHab_Espaciocerrado</v>
      </c>
      <c r="Y1266" s="2622" t="s">
        <v>9305</v>
      </c>
      <c r="Z1266" s="2619" t="s">
        <v>9306</v>
      </c>
      <c r="AA1266" s="2619" t="s">
        <v>9307</v>
      </c>
      <c r="AB1266" s="2619"/>
      <c r="AC1266" s="2619"/>
      <c r="AD1266" s="1767"/>
      <c r="AE1266" s="1767"/>
      <c r="AF1266" s="1767"/>
      <c r="AG1266" s="1767"/>
      <c r="AH1266" s="1767"/>
      <c r="AI1266" s="1767"/>
      <c r="AJ1266" s="1767"/>
      <c r="AK1266" s="2619"/>
      <c r="AL1266" s="2619"/>
      <c r="AM1266" s="2619"/>
      <c r="AN1266" s="2619"/>
      <c r="AO1266" s="2619"/>
      <c r="AP1266" s="2619"/>
      <c r="AQ1266" s="2619"/>
      <c r="AR1266" s="2619"/>
      <c r="AS1266" s="2619"/>
      <c r="AT1266" s="2619"/>
      <c r="AU1266" s="2619"/>
      <c r="AV1266" s="2619"/>
      <c r="AW1266" s="2619"/>
      <c r="AX1266" s="2619"/>
      <c r="AY1266" s="2619"/>
      <c r="AZ1266" s="2619"/>
      <c r="BA1266" s="2619"/>
      <c r="BB1266" s="2619"/>
      <c r="BC1266" s="2619"/>
      <c r="BD1266" s="2619"/>
      <c r="BE1266" s="2619"/>
      <c r="BF1266" s="2619"/>
      <c r="BG1266" s="2619"/>
      <c r="BH1266" s="2619"/>
      <c r="BI1266" s="2619"/>
      <c r="BJ1266" s="2619"/>
      <c r="BK1266" s="2619"/>
      <c r="BL1266" s="2609"/>
      <c r="BM1266" s="2609"/>
      <c r="BN1266" s="2609"/>
      <c r="BO1266" s="2609"/>
      <c r="BP1266" s="2609"/>
      <c r="BQ1266" s="2609"/>
      <c r="BR1266" s="2609"/>
      <c r="BS1266" s="2609"/>
      <c r="BT1266" s="2609"/>
      <c r="BU1266" s="2609"/>
      <c r="BV1266" s="2609"/>
      <c r="BW1266" s="2609"/>
      <c r="BX1266" s="2609"/>
      <c r="BY1266" s="2609"/>
      <c r="BZ1266" s="2609"/>
      <c r="CA1266" s="2635"/>
    </row>
    <row r="1267" spans="1:79" ht="12.75" customHeight="1" x14ac:dyDescent="0.2">
      <c r="A1267" s="1916">
        <v>1267</v>
      </c>
      <c r="B1267" s="5148"/>
      <c r="C1267" s="2580"/>
      <c r="D1267" s="210"/>
      <c r="E1267" s="2583" t="s">
        <v>1573</v>
      </c>
      <c r="F1267" s="195">
        <v>20</v>
      </c>
      <c r="G1267" s="195">
        <v>50</v>
      </c>
      <c r="H1267" s="195">
        <f>COUNTIF(HabilidadesEsenciales_Adquiridas,Tablas!E1267)</f>
        <v>0</v>
      </c>
      <c r="I1267" s="2585">
        <v>2</v>
      </c>
      <c r="J1267" s="370"/>
      <c r="K1267" s="2576"/>
      <c r="M1267" s="1847"/>
      <c r="N1267" s="96"/>
      <c r="O1267" s="411" t="s">
        <v>9380</v>
      </c>
      <c r="P1267" s="2595">
        <v>35</v>
      </c>
      <c r="Q1267" s="503">
        <v>120</v>
      </c>
      <c r="R1267" s="2585">
        <f>COUNTIF(PoderesDeCriatura_Adquiridos,Tablas!O1267)</f>
        <v>0</v>
      </c>
      <c r="S1267" s="370"/>
      <c r="T1267" s="2576"/>
      <c r="V1267" s="2634" t="s">
        <v>8997</v>
      </c>
      <c r="W1267" s="2603"/>
      <c r="X1267" s="2172" t="str">
        <f t="shared" si="141"/>
        <v>PodHab_Existenciacompacta</v>
      </c>
      <c r="Y1267" s="2622" t="s">
        <v>2306</v>
      </c>
      <c r="Z1267" s="2619" t="s">
        <v>2307</v>
      </c>
      <c r="AA1267" s="2619"/>
      <c r="AB1267" s="2619"/>
      <c r="AC1267" s="2619"/>
      <c r="AD1267" s="1767"/>
      <c r="AE1267" s="1767"/>
      <c r="AF1267" s="1767"/>
      <c r="AG1267" s="1767"/>
      <c r="AH1267" s="1767"/>
      <c r="AI1267" s="1767"/>
      <c r="AJ1267" s="1767"/>
      <c r="AK1267" s="2619"/>
      <c r="AL1267" s="2619"/>
      <c r="AM1267" s="2619"/>
      <c r="AN1267" s="2619"/>
      <c r="AO1267" s="2619"/>
      <c r="AP1267" s="2619"/>
      <c r="AQ1267" s="2619"/>
      <c r="AR1267" s="2619"/>
      <c r="AS1267" s="2619"/>
      <c r="AT1267" s="2619"/>
      <c r="AU1267" s="2619"/>
      <c r="AV1267" s="2619"/>
      <c r="AW1267" s="2619"/>
      <c r="AX1267" s="2619"/>
      <c r="AY1267" s="2619"/>
      <c r="AZ1267" s="2619"/>
      <c r="BA1267" s="2619"/>
      <c r="BB1267" s="2619"/>
      <c r="BC1267" s="2619"/>
      <c r="BD1267" s="2619"/>
      <c r="BE1267" s="2619"/>
      <c r="BF1267" s="2619"/>
      <c r="BG1267" s="2619"/>
      <c r="BH1267" s="2619"/>
      <c r="BI1267" s="2619"/>
      <c r="BJ1267" s="2619"/>
      <c r="BK1267" s="2619"/>
      <c r="BL1267" s="2609"/>
      <c r="BM1267" s="2609"/>
      <c r="BN1267" s="2609"/>
      <c r="BO1267" s="2609"/>
      <c r="BP1267" s="2609"/>
      <c r="BQ1267" s="2609"/>
      <c r="BR1267" s="2609"/>
      <c r="BS1267" s="2609"/>
      <c r="BT1267" s="2609"/>
      <c r="BU1267" s="2609"/>
      <c r="BV1267" s="2609"/>
      <c r="BW1267" s="2609"/>
      <c r="BX1267" s="2609"/>
      <c r="BY1267" s="2609"/>
      <c r="BZ1267" s="2609"/>
      <c r="CA1267" s="2635"/>
    </row>
    <row r="1268" spans="1:79" ht="12.75" customHeight="1" x14ac:dyDescent="0.2">
      <c r="A1268" s="1916">
        <v>1268</v>
      </c>
      <c r="B1268" s="5148"/>
      <c r="C1268" s="2580"/>
      <c r="D1268" s="210"/>
      <c r="E1268" s="2583" t="s">
        <v>1574</v>
      </c>
      <c r="F1268" s="195">
        <v>20</v>
      </c>
      <c r="G1268" s="195">
        <v>10</v>
      </c>
      <c r="H1268" s="195">
        <f>COUNTIF(HabilidadesEsenciales_Adquiridas,Tablas!E1268)</f>
        <v>0</v>
      </c>
      <c r="I1268" s="2585"/>
      <c r="J1268" s="370"/>
      <c r="K1268" s="2576"/>
      <c r="M1268" s="1847"/>
      <c r="N1268" s="96"/>
      <c r="O1268" s="411" t="s">
        <v>9381</v>
      </c>
      <c r="P1268" s="2595">
        <v>40</v>
      </c>
      <c r="Q1268" s="503">
        <v>140</v>
      </c>
      <c r="R1268" s="2585">
        <f>COUNTIF(PoderesDeCriatura_Adquiridos,Tablas!O1268)</f>
        <v>0</v>
      </c>
      <c r="S1268" s="370"/>
      <c r="T1268" s="2576"/>
      <c r="V1268" s="2634" t="s">
        <v>26</v>
      </c>
      <c r="W1268" s="2619"/>
      <c r="X1268" s="2172" t="str">
        <f t="shared" si="141"/>
        <v/>
      </c>
      <c r="Y1268" s="2622"/>
      <c r="Z1268" s="2619"/>
      <c r="AA1268" s="2619"/>
      <c r="AB1268" s="2619"/>
      <c r="AC1268" s="2619"/>
      <c r="AD1268" s="1767"/>
      <c r="AE1268" s="1767"/>
      <c r="AF1268" s="1767"/>
      <c r="AG1268" s="1767"/>
      <c r="AH1268" s="1767"/>
      <c r="AI1268" s="1767"/>
      <c r="AJ1268" s="1767"/>
      <c r="AK1268" s="2619"/>
      <c r="AL1268" s="2619"/>
      <c r="AM1268" s="2619"/>
      <c r="AN1268" s="2619"/>
      <c r="AO1268" s="2619"/>
      <c r="AP1268" s="2619"/>
      <c r="AQ1268" s="2619"/>
      <c r="AR1268" s="2619"/>
      <c r="AS1268" s="2619"/>
      <c r="AT1268" s="2619"/>
      <c r="AU1268" s="2619"/>
      <c r="AV1268" s="2619"/>
      <c r="AW1268" s="2619"/>
      <c r="AX1268" s="2619"/>
      <c r="AY1268" s="2619"/>
      <c r="AZ1268" s="2619"/>
      <c r="BA1268" s="2619"/>
      <c r="BB1268" s="2619"/>
      <c r="BC1268" s="2619"/>
      <c r="BD1268" s="2619"/>
      <c r="BE1268" s="2619"/>
      <c r="BF1268" s="2619"/>
      <c r="BG1268" s="2619"/>
      <c r="BH1268" s="2619"/>
      <c r="BI1268" s="2619"/>
      <c r="BJ1268" s="2619"/>
      <c r="BK1268" s="2619"/>
      <c r="BL1268" s="2609"/>
      <c r="BM1268" s="2609"/>
      <c r="BN1268" s="2609"/>
      <c r="BO1268" s="2609"/>
      <c r="BP1268" s="2609"/>
      <c r="BQ1268" s="2609"/>
      <c r="BR1268" s="2609"/>
      <c r="BS1268" s="2609"/>
      <c r="BT1268" s="2609"/>
      <c r="BU1268" s="2609"/>
      <c r="BV1268" s="2609"/>
      <c r="BW1268" s="2609"/>
      <c r="BX1268" s="2609"/>
      <c r="BY1268" s="2609"/>
      <c r="BZ1268" s="2609"/>
      <c r="CA1268" s="2635"/>
    </row>
    <row r="1269" spans="1:79" ht="12.75" customHeight="1" x14ac:dyDescent="0.2">
      <c r="A1269" s="1916">
        <v>1269</v>
      </c>
      <c r="B1269" s="5148"/>
      <c r="C1269" s="2580"/>
      <c r="D1269" s="210"/>
      <c r="E1269" s="2583" t="s">
        <v>1575</v>
      </c>
      <c r="F1269" s="195">
        <v>25</v>
      </c>
      <c r="G1269" s="195">
        <v>30</v>
      </c>
      <c r="H1269" s="195">
        <f>COUNTIF(HabilidadesEsenciales_Adquiridas,Tablas!E1269)</f>
        <v>0</v>
      </c>
      <c r="I1269" s="2585"/>
      <c r="J1269" s="370"/>
      <c r="K1269" s="2576"/>
      <c r="M1269" s="1847"/>
      <c r="N1269" s="96"/>
      <c r="O1269" s="411" t="s">
        <v>9382</v>
      </c>
      <c r="P1269" s="2578">
        <v>10</v>
      </c>
      <c r="Q1269" s="503">
        <f>20+IF(OR(TipoDeCriatura="Entre mundos, Elemental",TipoDeCriatura="Ánima, Elemental"),10,0)</f>
        <v>20</v>
      </c>
      <c r="R1269" s="2585">
        <f>COUNTIF(PoderesDeCriatura_Adquiridos,Tablas!O1269)</f>
        <v>0</v>
      </c>
      <c r="S1269" s="370"/>
      <c r="T1269" s="2576"/>
      <c r="V1269" s="2634" t="s">
        <v>29</v>
      </c>
      <c r="W1269" s="2016"/>
      <c r="X1269" s="2605"/>
      <c r="Y1269" s="2622"/>
      <c r="Z1269" s="2619"/>
      <c r="AA1269" s="2619"/>
      <c r="AB1269" s="2619"/>
      <c r="AC1269" s="2619"/>
      <c r="AD1269" s="2619"/>
      <c r="AE1269" s="2619"/>
      <c r="AF1269" s="2619"/>
      <c r="AG1269" s="2619"/>
      <c r="AH1269" s="2619"/>
      <c r="AI1269" s="2619"/>
      <c r="AJ1269" s="2619"/>
      <c r="AK1269" s="2619"/>
      <c r="AL1269" s="2619"/>
      <c r="AM1269" s="2619"/>
      <c r="AN1269" s="2619"/>
      <c r="AO1269" s="2619"/>
      <c r="AP1269" s="2619"/>
      <c r="AQ1269" s="2619"/>
      <c r="AR1269" s="2619"/>
      <c r="AS1269" s="2619"/>
      <c r="AT1269" s="2619"/>
      <c r="AU1269" s="2619"/>
      <c r="AV1269" s="2619"/>
      <c r="AW1269" s="2619"/>
      <c r="AX1269" s="2619"/>
      <c r="AY1269" s="2619"/>
      <c r="AZ1269" s="2619"/>
      <c r="BA1269" s="2619"/>
      <c r="BB1269" s="2619"/>
      <c r="BC1269" s="2619"/>
      <c r="BD1269" s="2619"/>
      <c r="BE1269" s="2619"/>
      <c r="BF1269" s="2619"/>
      <c r="BG1269" s="2619"/>
      <c r="BH1269" s="2619"/>
      <c r="BI1269" s="2619"/>
      <c r="BJ1269" s="2619"/>
      <c r="BK1269" s="2619"/>
      <c r="BL1269" s="2609"/>
      <c r="BM1269" s="2609"/>
      <c r="BN1269" s="2609"/>
      <c r="BO1269" s="2609"/>
      <c r="BP1269" s="2609"/>
      <c r="BQ1269" s="2609"/>
      <c r="BR1269" s="2609"/>
      <c r="BS1269" s="2609"/>
      <c r="BT1269" s="2609"/>
      <c r="BU1269" s="2609"/>
      <c r="BV1269" s="2609"/>
      <c r="BW1269" s="2609"/>
      <c r="BX1269" s="2609"/>
      <c r="BY1269" s="2609"/>
      <c r="BZ1269" s="2609"/>
      <c r="CA1269" s="2635"/>
    </row>
    <row r="1270" spans="1:79" ht="12.75" customHeight="1" x14ac:dyDescent="0.2">
      <c r="A1270" s="1916">
        <v>1270</v>
      </c>
      <c r="B1270" s="5148"/>
      <c r="C1270" s="2580"/>
      <c r="D1270" s="210"/>
      <c r="E1270" s="2583" t="s">
        <v>1576</v>
      </c>
      <c r="F1270" s="195">
        <v>10</v>
      </c>
      <c r="G1270" s="195">
        <v>20</v>
      </c>
      <c r="H1270" s="195">
        <f>COUNTIF(HabilidadesEsenciales_Adquiridas,Tablas!E1270)</f>
        <v>0</v>
      </c>
      <c r="I1270" s="2585"/>
      <c r="J1270" s="370"/>
      <c r="K1270" s="2576"/>
      <c r="M1270" s="1847"/>
      <c r="N1270" s="96"/>
      <c r="O1270" s="411" t="s">
        <v>9383</v>
      </c>
      <c r="P1270" s="2578">
        <v>20</v>
      </c>
      <c r="Q1270" s="503">
        <f>20+IF(OR(TipoDeCriatura="Entre mundos, Elemental",TipoDeCriatura="Ánima, Elemental"),10,0)</f>
        <v>20</v>
      </c>
      <c r="R1270" s="2585">
        <f>COUNTIF(PoderesDeCriatura_Adquiridos,Tablas!O1270)</f>
        <v>0</v>
      </c>
      <c r="S1270" s="370"/>
      <c r="T1270" s="2576"/>
      <c r="V1270" s="2634" t="str">
        <f t="shared" ref="V1270:V1279" si="142">O1683</f>
        <v>Poder #1</v>
      </c>
      <c r="W1270" s="2603"/>
      <c r="X1270" s="2605"/>
      <c r="Y1270" s="2622"/>
      <c r="Z1270" s="2619"/>
      <c r="AA1270" s="2619"/>
      <c r="AB1270" s="2619"/>
      <c r="AC1270" s="2619"/>
      <c r="AD1270" s="2619"/>
      <c r="AE1270" s="2619"/>
      <c r="AF1270" s="2619"/>
      <c r="AG1270" s="2619"/>
      <c r="AH1270" s="2619"/>
      <c r="AI1270" s="2619"/>
      <c r="AJ1270" s="2619"/>
      <c r="AK1270" s="2619"/>
      <c r="AL1270" s="2619"/>
      <c r="AM1270" s="2619"/>
      <c r="AN1270" s="2619"/>
      <c r="AO1270" s="2619"/>
      <c r="AP1270" s="2619"/>
      <c r="AQ1270" s="2619"/>
      <c r="AR1270" s="2619"/>
      <c r="AS1270" s="2619"/>
      <c r="AT1270" s="2619"/>
      <c r="AU1270" s="2619"/>
      <c r="AV1270" s="2619"/>
      <c r="AW1270" s="2619"/>
      <c r="AX1270" s="2619"/>
      <c r="AY1270" s="2619"/>
      <c r="AZ1270" s="2619"/>
      <c r="BA1270" s="2619"/>
      <c r="BB1270" s="2619"/>
      <c r="BC1270" s="2619"/>
      <c r="BD1270" s="2619"/>
      <c r="BE1270" s="2619"/>
      <c r="BF1270" s="2619"/>
      <c r="BG1270" s="2619"/>
      <c r="BH1270" s="2619"/>
      <c r="BI1270" s="2619"/>
      <c r="BJ1270" s="2619"/>
      <c r="BK1270" s="2619"/>
      <c r="BL1270" s="2609"/>
      <c r="BM1270" s="2609"/>
      <c r="BN1270" s="2609"/>
      <c r="BO1270" s="2609"/>
      <c r="BP1270" s="2609"/>
      <c r="BQ1270" s="2609"/>
      <c r="BR1270" s="2609"/>
      <c r="BS1270" s="2609"/>
      <c r="BT1270" s="2609"/>
      <c r="BU1270" s="2609"/>
      <c r="BV1270" s="2609"/>
      <c r="BW1270" s="2609"/>
      <c r="BX1270" s="2609"/>
      <c r="BY1270" s="2609"/>
      <c r="BZ1270" s="2609"/>
      <c r="CA1270" s="2635"/>
    </row>
    <row r="1271" spans="1:79" ht="12.75" customHeight="1" x14ac:dyDescent="0.2">
      <c r="A1271" s="1916">
        <v>1271</v>
      </c>
      <c r="B1271" s="5148"/>
      <c r="C1271" s="2580"/>
      <c r="D1271" s="210"/>
      <c r="E1271" s="2583" t="s">
        <v>1577</v>
      </c>
      <c r="F1271" s="195">
        <v>0</v>
      </c>
      <c r="G1271" s="195">
        <v>0</v>
      </c>
      <c r="H1271" s="195"/>
      <c r="I1271" s="2585"/>
      <c r="J1271" s="370"/>
      <c r="K1271" s="2576"/>
      <c r="M1271" s="1847"/>
      <c r="N1271" s="96"/>
      <c r="O1271" s="411" t="s">
        <v>9384</v>
      </c>
      <c r="P1271" s="2595">
        <v>10</v>
      </c>
      <c r="Q1271" s="503">
        <f>20+IF(OR(TipoDeCriatura="Entre mundos, Elemental",TipoDeCriatura="Ánima, Elemental"),10,0)</f>
        <v>20</v>
      </c>
      <c r="R1271" s="2585">
        <f>COUNTIF(PoderesDeCriatura_Adquiridos,Tablas!O1271)</f>
        <v>0</v>
      </c>
      <c r="S1271" s="370"/>
      <c r="T1271" s="2576"/>
      <c r="V1271" s="2634" t="str">
        <f t="shared" si="142"/>
        <v>Poder #2</v>
      </c>
      <c r="W1271" s="2603"/>
      <c r="X1271" s="2605"/>
      <c r="Y1271" s="2622"/>
      <c r="Z1271" s="2619"/>
      <c r="AA1271" s="2619"/>
      <c r="AB1271" s="2619"/>
      <c r="AC1271" s="2619"/>
      <c r="AD1271" s="2619"/>
      <c r="AE1271" s="2619"/>
      <c r="AF1271" s="2619"/>
      <c r="AG1271" s="2619"/>
      <c r="AH1271" s="2619"/>
      <c r="AI1271" s="2619"/>
      <c r="AJ1271" s="2619"/>
      <c r="AK1271" s="2619"/>
      <c r="AL1271" s="2619"/>
      <c r="AM1271" s="2619"/>
      <c r="AN1271" s="2619"/>
      <c r="AO1271" s="2619"/>
      <c r="AP1271" s="2619"/>
      <c r="AQ1271" s="2619"/>
      <c r="AR1271" s="2619"/>
      <c r="AS1271" s="2619"/>
      <c r="AT1271" s="2619"/>
      <c r="AU1271" s="2619"/>
      <c r="AV1271" s="2619"/>
      <c r="AW1271" s="2619"/>
      <c r="AX1271" s="2619"/>
      <c r="AY1271" s="2619"/>
      <c r="AZ1271" s="2619"/>
      <c r="BA1271" s="2619"/>
      <c r="BB1271" s="2619"/>
      <c r="BC1271" s="2619"/>
      <c r="BD1271" s="2619"/>
      <c r="BE1271" s="2619"/>
      <c r="BF1271" s="2619"/>
      <c r="BG1271" s="2619"/>
      <c r="BH1271" s="2619"/>
      <c r="BI1271" s="2619"/>
      <c r="BJ1271" s="2619"/>
      <c r="BK1271" s="2619"/>
      <c r="BL1271" s="2609"/>
      <c r="BM1271" s="2609"/>
      <c r="BN1271" s="2609"/>
      <c r="BO1271" s="2609"/>
      <c r="BP1271" s="2609"/>
      <c r="BQ1271" s="2609"/>
      <c r="BR1271" s="2609"/>
      <c r="BS1271" s="2609"/>
      <c r="BT1271" s="2609"/>
      <c r="BU1271" s="2609"/>
      <c r="BV1271" s="2609"/>
      <c r="BW1271" s="2609"/>
      <c r="BX1271" s="2609"/>
      <c r="BY1271" s="2609"/>
      <c r="BZ1271" s="2609"/>
      <c r="CA1271" s="2635"/>
    </row>
    <row r="1272" spans="1:79" ht="12.75" customHeight="1" x14ac:dyDescent="0.2">
      <c r="A1272" s="1916">
        <v>1272</v>
      </c>
      <c r="B1272" s="5148"/>
      <c r="C1272" s="2580"/>
      <c r="D1272" s="210"/>
      <c r="E1272" s="2583" t="s">
        <v>1578</v>
      </c>
      <c r="F1272" s="195">
        <v>5</v>
      </c>
      <c r="G1272" s="195">
        <v>30</v>
      </c>
      <c r="H1272" s="195">
        <f>COUNTIF(HabilidadesEsenciales_Adquiridas,Tablas!E1272)</f>
        <v>0</v>
      </c>
      <c r="I1272" s="2585">
        <v>1</v>
      </c>
      <c r="J1272" s="370"/>
      <c r="K1272" s="2576"/>
      <c r="M1272" s="1847"/>
      <c r="N1272" s="96"/>
      <c r="O1272" s="411" t="s">
        <v>9385</v>
      </c>
      <c r="P1272" s="2595">
        <v>20</v>
      </c>
      <c r="Q1272" s="503">
        <f>40+IF(OR(TipoDeCriatura="Entre mundos, Elemental",TipoDeCriatura="Ánima, Elemental"),10,0)</f>
        <v>40</v>
      </c>
      <c r="R1272" s="2585">
        <f>COUNTIF(PoderesDeCriatura_Adquiridos,Tablas!O1272)</f>
        <v>0</v>
      </c>
      <c r="S1272" s="370"/>
      <c r="T1272" s="2576"/>
      <c r="V1272" s="2634" t="str">
        <f t="shared" si="142"/>
        <v>Poder #3</v>
      </c>
      <c r="W1272" s="2603"/>
      <c r="X1272" s="2605"/>
      <c r="Y1272" s="2624"/>
      <c r="Z1272" s="2609"/>
      <c r="AA1272" s="2609"/>
      <c r="AB1272" s="2609"/>
      <c r="AC1272" s="2609"/>
      <c r="AD1272" s="2609"/>
      <c r="AE1272" s="2609"/>
      <c r="AF1272" s="2609"/>
      <c r="AG1272" s="2609"/>
      <c r="AH1272" s="2609"/>
      <c r="AI1272" s="2609"/>
      <c r="AJ1272" s="2609"/>
      <c r="AK1272" s="2609"/>
      <c r="AL1272" s="2609"/>
      <c r="AM1272" s="2609"/>
      <c r="AN1272" s="2609"/>
      <c r="AO1272" s="2609"/>
      <c r="AP1272" s="2609"/>
      <c r="AQ1272" s="2609"/>
      <c r="AR1272" s="2609"/>
      <c r="AS1272" s="2609"/>
      <c r="AT1272" s="2609"/>
      <c r="AU1272" s="2609"/>
      <c r="AV1272" s="2609"/>
      <c r="AW1272" s="2609"/>
      <c r="AX1272" s="2609"/>
      <c r="AY1272" s="2609"/>
      <c r="AZ1272" s="2609"/>
      <c r="BA1272" s="2609"/>
      <c r="BB1272" s="2609"/>
      <c r="BC1272" s="2609"/>
      <c r="BD1272" s="2609"/>
      <c r="BE1272" s="2609"/>
      <c r="BF1272" s="2609"/>
      <c r="BG1272" s="2609"/>
      <c r="BH1272" s="2609"/>
      <c r="BI1272" s="2609"/>
      <c r="BJ1272" s="2609"/>
      <c r="BK1272" s="2609"/>
      <c r="BL1272" s="2609"/>
      <c r="BM1272" s="2609"/>
      <c r="BN1272" s="2609"/>
      <c r="BO1272" s="2609"/>
      <c r="BP1272" s="2609"/>
      <c r="BQ1272" s="2609"/>
      <c r="BR1272" s="2609"/>
      <c r="BS1272" s="2609"/>
      <c r="BT1272" s="2609"/>
      <c r="BU1272" s="2609"/>
      <c r="BV1272" s="2609"/>
      <c r="BW1272" s="2609"/>
      <c r="BX1272" s="2609"/>
      <c r="BY1272" s="2609"/>
      <c r="BZ1272" s="2609"/>
      <c r="CA1272" s="2635"/>
    </row>
    <row r="1273" spans="1:79" ht="12.75" customHeight="1" x14ac:dyDescent="0.2">
      <c r="A1273" s="1916">
        <v>1273</v>
      </c>
      <c r="B1273" s="5148"/>
      <c r="C1273" s="2580"/>
      <c r="D1273" s="210"/>
      <c r="E1273" s="2583" t="s">
        <v>9807</v>
      </c>
      <c r="F1273" s="195">
        <v>10</v>
      </c>
      <c r="G1273" s="195">
        <v>10</v>
      </c>
      <c r="H1273" s="195">
        <f>COUNTIF(HabilidadesEsenciales_Adquiridas,Tablas!E1273)</f>
        <v>0</v>
      </c>
      <c r="I1273" s="2585">
        <v>1</v>
      </c>
      <c r="J1273" s="370">
        <f t="array" ref="J1273">MAX($H$1273:$H$1327*IF(ISNUMBER(SEARCH(K1273,$E$1273:$E$1327)),VALUE(RIGHT($E$1273:$E$1327,2)),0))</f>
        <v>0</v>
      </c>
      <c r="K1273" s="2576" t="str">
        <f>Místicos!C15</f>
        <v>Luz</v>
      </c>
      <c r="M1273" s="1847"/>
      <c r="N1273" s="96"/>
      <c r="O1273" s="411" t="s">
        <v>9386</v>
      </c>
      <c r="P1273" s="2595">
        <v>10</v>
      </c>
      <c r="Q1273" s="503">
        <f>50+IF(OR(TipoDeCriatura="Entre mundos, Elemental",TipoDeCriatura="Ánima, Elemental"),10,0)</f>
        <v>50</v>
      </c>
      <c r="R1273" s="2585">
        <f>COUNTIF(PoderesDeCriatura_Adquiridos,Tablas!O1273)</f>
        <v>0</v>
      </c>
      <c r="S1273" s="370"/>
      <c r="T1273" s="2576"/>
      <c r="V1273" s="2634" t="str">
        <f t="shared" si="142"/>
        <v>Poder #4</v>
      </c>
      <c r="W1273" s="2603"/>
      <c r="X1273" s="2605"/>
      <c r="Y1273" s="2624"/>
      <c r="Z1273" s="2609"/>
      <c r="AA1273" s="2609"/>
      <c r="AB1273" s="2609"/>
      <c r="AC1273" s="2609"/>
      <c r="AD1273" s="2609"/>
      <c r="AE1273" s="2609"/>
      <c r="AF1273" s="2609"/>
      <c r="AG1273" s="2609"/>
      <c r="AH1273" s="2609"/>
      <c r="AI1273" s="2609"/>
      <c r="AJ1273" s="2609"/>
      <c r="AK1273" s="2609"/>
      <c r="AL1273" s="2609"/>
      <c r="AM1273" s="2609"/>
      <c r="AN1273" s="2609"/>
      <c r="AO1273" s="2609"/>
      <c r="AP1273" s="2609"/>
      <c r="AQ1273" s="2609"/>
      <c r="AR1273" s="2609"/>
      <c r="AS1273" s="2609"/>
      <c r="AT1273" s="2609"/>
      <c r="AU1273" s="2609"/>
      <c r="AV1273" s="2609"/>
      <c r="AW1273" s="2609"/>
      <c r="AX1273" s="2609"/>
      <c r="AY1273" s="2609"/>
      <c r="AZ1273" s="2609"/>
      <c r="BA1273" s="2609"/>
      <c r="BB1273" s="2609"/>
      <c r="BC1273" s="2609"/>
      <c r="BD1273" s="2609"/>
      <c r="BE1273" s="2609"/>
      <c r="BF1273" s="2609"/>
      <c r="BG1273" s="2609"/>
      <c r="BH1273" s="2609"/>
      <c r="BI1273" s="2609"/>
      <c r="BJ1273" s="2609"/>
      <c r="BK1273" s="2609"/>
      <c r="BL1273" s="2609"/>
      <c r="BM1273" s="2609"/>
      <c r="BN1273" s="2609"/>
      <c r="BO1273" s="2609"/>
      <c r="BP1273" s="2609"/>
      <c r="BQ1273" s="2609"/>
      <c r="BR1273" s="2609"/>
      <c r="BS1273" s="2609"/>
      <c r="BT1273" s="2609"/>
      <c r="BU1273" s="2609"/>
      <c r="BV1273" s="2609"/>
      <c r="BW1273" s="2609"/>
      <c r="BX1273" s="2609"/>
      <c r="BY1273" s="2609"/>
      <c r="BZ1273" s="2609"/>
      <c r="CA1273" s="2635"/>
    </row>
    <row r="1274" spans="1:79" ht="12.75" customHeight="1" x14ac:dyDescent="0.2">
      <c r="A1274" s="1916">
        <v>1274</v>
      </c>
      <c r="B1274" s="5148"/>
      <c r="C1274" s="2580"/>
      <c r="D1274" s="210"/>
      <c r="E1274" s="2583" t="s">
        <v>9808</v>
      </c>
      <c r="F1274" s="195">
        <v>15</v>
      </c>
      <c r="G1274" s="195">
        <v>20</v>
      </c>
      <c r="H1274" s="195">
        <f>COUNTIF(HabilidadesEsenciales_Adquiridas,Tablas!E1274)</f>
        <v>0</v>
      </c>
      <c r="I1274" s="2585">
        <v>1</v>
      </c>
      <c r="J1274" s="370">
        <f t="array" ref="J1274">MAX($H$1273:$H$1327*IF(ISNUMBER(SEARCH(K1274,$E$1273:$E$1327)),VALUE(RIGHT($E$1273:$E$1327,2)),0))</f>
        <v>0</v>
      </c>
      <c r="K1274" s="2576" t="str">
        <f>Místicos!C16</f>
        <v>Oscuridad</v>
      </c>
      <c r="M1274" s="1847"/>
      <c r="N1274" s="96"/>
      <c r="O1274" s="411" t="s">
        <v>9387</v>
      </c>
      <c r="P1274" s="2595">
        <v>20</v>
      </c>
      <c r="Q1274" s="503">
        <f>40+IF(OR(TipoDeCriatura="Entre mundos, Elemental",TipoDeCriatura="Ánima, Elemental"),10,0)</f>
        <v>40</v>
      </c>
      <c r="R1274" s="2585">
        <f>COUNTIF(PoderesDeCriatura_Adquiridos,Tablas!O1274)</f>
        <v>0</v>
      </c>
      <c r="S1274" s="370"/>
      <c r="T1274" s="2576"/>
      <c r="V1274" s="2634" t="str">
        <f t="shared" si="142"/>
        <v>Poder #5</v>
      </c>
      <c r="W1274" s="2603"/>
      <c r="X1274" s="2605"/>
      <c r="Y1274" s="2624"/>
      <c r="Z1274" s="2609"/>
      <c r="AA1274" s="2609"/>
      <c r="AB1274" s="2609"/>
      <c r="AC1274" s="2609"/>
      <c r="AD1274" s="2609"/>
      <c r="AE1274" s="2609"/>
      <c r="AF1274" s="2609"/>
      <c r="AG1274" s="2609"/>
      <c r="AH1274" s="2609"/>
      <c r="AI1274" s="2609"/>
      <c r="AJ1274" s="2609"/>
      <c r="AK1274" s="2609"/>
      <c r="AL1274" s="2609"/>
      <c r="AM1274" s="2609"/>
      <c r="AN1274" s="2609"/>
      <c r="AO1274" s="2609"/>
      <c r="AP1274" s="2609"/>
      <c r="AQ1274" s="2609"/>
      <c r="AR1274" s="2609"/>
      <c r="AS1274" s="2609"/>
      <c r="AT1274" s="2609"/>
      <c r="AU1274" s="2609"/>
      <c r="AV1274" s="2609"/>
      <c r="AW1274" s="2609"/>
      <c r="AX1274" s="2609"/>
      <c r="AY1274" s="2609"/>
      <c r="AZ1274" s="2609"/>
      <c r="BA1274" s="2609"/>
      <c r="BB1274" s="2609"/>
      <c r="BC1274" s="2609"/>
      <c r="BD1274" s="2609"/>
      <c r="BE1274" s="2609"/>
      <c r="BF1274" s="2609"/>
      <c r="BG1274" s="2609"/>
      <c r="BH1274" s="2609"/>
      <c r="BI1274" s="2609"/>
      <c r="BJ1274" s="2609"/>
      <c r="BK1274" s="2609"/>
      <c r="BL1274" s="2609"/>
      <c r="BM1274" s="2609"/>
      <c r="BN1274" s="2609"/>
      <c r="BO1274" s="2609"/>
      <c r="BP1274" s="2609"/>
      <c r="BQ1274" s="2609"/>
      <c r="BR1274" s="2609"/>
      <c r="BS1274" s="2609"/>
      <c r="BT1274" s="2609"/>
      <c r="BU1274" s="2609"/>
      <c r="BV1274" s="2609"/>
      <c r="BW1274" s="2609"/>
      <c r="BX1274" s="2609"/>
      <c r="BY1274" s="2609"/>
      <c r="BZ1274" s="2609"/>
      <c r="CA1274" s="2635"/>
    </row>
    <row r="1275" spans="1:79" ht="12.75" customHeight="1" x14ac:dyDescent="0.2">
      <c r="A1275" s="1916">
        <v>1275</v>
      </c>
      <c r="B1275" s="5148"/>
      <c r="C1275" s="2580"/>
      <c r="D1275" s="210"/>
      <c r="E1275" s="2583" t="s">
        <v>9809</v>
      </c>
      <c r="F1275" s="195">
        <v>20</v>
      </c>
      <c r="G1275" s="195">
        <v>30</v>
      </c>
      <c r="H1275" s="195">
        <f>COUNTIF(HabilidadesEsenciales_Adquiridas,Tablas!E1275)</f>
        <v>0</v>
      </c>
      <c r="I1275" s="2585">
        <v>1</v>
      </c>
      <c r="J1275" s="370">
        <f t="array" ref="J1275">MAX($H$1273:$H$1327*IF(ISNUMBER(SEARCH(K1275,$E$1273:$E$1327)),VALUE(RIGHT($E$1273:$E$1327,2)),0))</f>
        <v>0</v>
      </c>
      <c r="K1275" s="2576" t="str">
        <f>Místicos!C17</f>
        <v>Fuego</v>
      </c>
      <c r="M1275" s="1847"/>
      <c r="N1275" s="96"/>
      <c r="O1275" s="411" t="s">
        <v>9388</v>
      </c>
      <c r="P1275" s="2595">
        <v>20</v>
      </c>
      <c r="Q1275" s="503">
        <f>80+IF(OR(TipoDeCriatura="Entre mundos, Elemental",TipoDeCriatura="Ánima, Elemental"),10,0)</f>
        <v>80</v>
      </c>
      <c r="R1275" s="2585">
        <f>COUNTIF(PoderesDeCriatura_Adquiridos,Tablas!O1275)</f>
        <v>0</v>
      </c>
      <c r="S1275" s="370"/>
      <c r="T1275" s="2576"/>
      <c r="V1275" s="2634" t="str">
        <f t="shared" si="142"/>
        <v>Poder #6</v>
      </c>
      <c r="W1275" s="2603"/>
      <c r="X1275" s="2605"/>
      <c r="Y1275" s="2624"/>
      <c r="Z1275" s="2609"/>
      <c r="AA1275" s="2609"/>
      <c r="AB1275" s="2609"/>
      <c r="AC1275" s="2609"/>
      <c r="AD1275" s="2609"/>
      <c r="AE1275" s="2609"/>
      <c r="AF1275" s="2609"/>
      <c r="AG1275" s="2609"/>
      <c r="AH1275" s="2609"/>
      <c r="AI1275" s="2609"/>
      <c r="AJ1275" s="2609"/>
      <c r="AK1275" s="2609"/>
      <c r="AL1275" s="2609"/>
      <c r="AM1275" s="2609"/>
      <c r="AN1275" s="2609"/>
      <c r="AO1275" s="2609"/>
      <c r="AP1275" s="2609"/>
      <c r="AQ1275" s="2609"/>
      <c r="AR1275" s="2609"/>
      <c r="AS1275" s="2609"/>
      <c r="AT1275" s="2609"/>
      <c r="AU1275" s="2609"/>
      <c r="AV1275" s="2609"/>
      <c r="AW1275" s="2609"/>
      <c r="AX1275" s="2609"/>
      <c r="AY1275" s="2609"/>
      <c r="AZ1275" s="2609"/>
      <c r="BA1275" s="2609"/>
      <c r="BB1275" s="2609"/>
      <c r="BC1275" s="2609"/>
      <c r="BD1275" s="2609"/>
      <c r="BE1275" s="2609"/>
      <c r="BF1275" s="2609"/>
      <c r="BG1275" s="2609"/>
      <c r="BH1275" s="2609"/>
      <c r="BI1275" s="2609"/>
      <c r="BJ1275" s="2609"/>
      <c r="BK1275" s="2609"/>
      <c r="BL1275" s="2609"/>
      <c r="BM1275" s="2609"/>
      <c r="BN1275" s="2609"/>
      <c r="BO1275" s="2609"/>
      <c r="BP1275" s="2609"/>
      <c r="BQ1275" s="2609"/>
      <c r="BR1275" s="2609"/>
      <c r="BS1275" s="2609"/>
      <c r="BT1275" s="2609"/>
      <c r="BU1275" s="2609"/>
      <c r="BV1275" s="2609"/>
      <c r="BW1275" s="2609"/>
      <c r="BX1275" s="2609"/>
      <c r="BY1275" s="2609"/>
      <c r="BZ1275" s="2609"/>
      <c r="CA1275" s="2635"/>
    </row>
    <row r="1276" spans="1:79" ht="12.75" customHeight="1" x14ac:dyDescent="0.2">
      <c r="A1276" s="1916">
        <v>1276</v>
      </c>
      <c r="B1276" s="5148"/>
      <c r="C1276" s="2580"/>
      <c r="D1276" s="210"/>
      <c r="E1276" s="2583" t="s">
        <v>9810</v>
      </c>
      <c r="F1276" s="195">
        <v>25</v>
      </c>
      <c r="G1276" s="195">
        <v>40</v>
      </c>
      <c r="H1276" s="195">
        <f>COUNTIF(HabilidadesEsenciales_Adquiridas,Tablas!E1276)</f>
        <v>0</v>
      </c>
      <c r="I1276" s="2585">
        <v>1</v>
      </c>
      <c r="J1276" s="370">
        <f t="array" ref="J1276">MAX($H$1273:$H$1327*IF(ISNUMBER(SEARCH(K1276,$E$1273:$E$1327)),VALUE(RIGHT($E$1273:$E$1327,2)),0))</f>
        <v>0</v>
      </c>
      <c r="K1276" s="2576" t="str">
        <f>Místicos!C18</f>
        <v>Agua</v>
      </c>
      <c r="M1276" s="1847"/>
      <c r="N1276" s="96"/>
      <c r="O1276" s="411" t="s">
        <v>9389</v>
      </c>
      <c r="P1276" s="2595">
        <v>20</v>
      </c>
      <c r="Q1276" s="503">
        <f>20+IF(OR(TipoDeCriatura="Entre mundos, Elemental",TipoDeCriatura="Ánima, Elemental"),10,0)</f>
        <v>20</v>
      </c>
      <c r="R1276" s="2585">
        <f>COUNTIF(PoderesDeCriatura_Adquiridos,Tablas!O1276)</f>
        <v>0</v>
      </c>
      <c r="S1276" s="370"/>
      <c r="T1276" s="2576"/>
      <c r="V1276" s="2634" t="str">
        <f t="shared" si="142"/>
        <v>Poder #7</v>
      </c>
      <c r="W1276" s="2603"/>
      <c r="X1276" s="2605"/>
      <c r="Y1276" s="2624"/>
      <c r="Z1276" s="2609"/>
      <c r="AA1276" s="2609"/>
      <c r="AB1276" s="2609"/>
      <c r="AC1276" s="2609"/>
      <c r="AD1276" s="2609"/>
      <c r="AE1276" s="2609"/>
      <c r="AF1276" s="2609"/>
      <c r="AG1276" s="2609"/>
      <c r="AH1276" s="2609"/>
      <c r="AI1276" s="2609"/>
      <c r="AJ1276" s="2609"/>
      <c r="AK1276" s="2609"/>
      <c r="AL1276" s="2609"/>
      <c r="AM1276" s="2609"/>
      <c r="AN1276" s="2609"/>
      <c r="AO1276" s="2609"/>
      <c r="AP1276" s="2609"/>
      <c r="AQ1276" s="2609"/>
      <c r="AR1276" s="2609"/>
      <c r="AS1276" s="2609"/>
      <c r="AT1276" s="2609"/>
      <c r="AU1276" s="2609"/>
      <c r="AV1276" s="2609"/>
      <c r="AW1276" s="2609"/>
      <c r="AX1276" s="2609"/>
      <c r="AY1276" s="2609"/>
      <c r="AZ1276" s="2609"/>
      <c r="BA1276" s="2609"/>
      <c r="BB1276" s="2609"/>
      <c r="BC1276" s="2609"/>
      <c r="BD1276" s="2609"/>
      <c r="BE1276" s="2609"/>
      <c r="BF1276" s="2609"/>
      <c r="BG1276" s="2609"/>
      <c r="BH1276" s="2609"/>
      <c r="BI1276" s="2609"/>
      <c r="BJ1276" s="2609"/>
      <c r="BK1276" s="2609"/>
      <c r="BL1276" s="2609"/>
      <c r="BM1276" s="2609"/>
      <c r="BN1276" s="2609"/>
      <c r="BO1276" s="2609"/>
      <c r="BP1276" s="2609"/>
      <c r="BQ1276" s="2609"/>
      <c r="BR1276" s="2609"/>
      <c r="BS1276" s="2609"/>
      <c r="BT1276" s="2609"/>
      <c r="BU1276" s="2609"/>
      <c r="BV1276" s="2609"/>
      <c r="BW1276" s="2609"/>
      <c r="BX1276" s="2609"/>
      <c r="BY1276" s="2609"/>
      <c r="BZ1276" s="2609"/>
      <c r="CA1276" s="2635"/>
    </row>
    <row r="1277" spans="1:79" ht="12.75" customHeight="1" x14ac:dyDescent="0.2">
      <c r="A1277" s="1916">
        <v>1277</v>
      </c>
      <c r="B1277" s="5148"/>
      <c r="C1277" s="2580"/>
      <c r="D1277" s="210"/>
      <c r="E1277" s="2583" t="s">
        <v>9811</v>
      </c>
      <c r="F1277" s="195">
        <v>30</v>
      </c>
      <c r="G1277" s="195">
        <v>50</v>
      </c>
      <c r="H1277" s="195">
        <f>COUNTIF(HabilidadesEsenciales_Adquiridas,Tablas!E1277)</f>
        <v>0</v>
      </c>
      <c r="I1277" s="2585">
        <v>1</v>
      </c>
      <c r="J1277" s="370">
        <f t="array" ref="J1277">MAX($H$1273:$H$1327*IF(ISNUMBER(SEARCH(K1277,$E$1273:$E$1327)),VALUE(RIGHT($E$1273:$E$1327,2)),0))</f>
        <v>0</v>
      </c>
      <c r="K1277" s="2576" t="str">
        <f>Místicos!C19</f>
        <v>Aire</v>
      </c>
      <c r="M1277" s="1847"/>
      <c r="N1277" s="96"/>
      <c r="O1277" s="411" t="s">
        <v>9390</v>
      </c>
      <c r="P1277" s="2595">
        <v>10</v>
      </c>
      <c r="Q1277" s="503">
        <f>50+IF(OR(TipoDeCriatura="Entre mundos, Elemental",TipoDeCriatura="Ánima, Elemental"),10,0)</f>
        <v>50</v>
      </c>
      <c r="R1277" s="2585">
        <f>COUNTIF(PoderesDeCriatura_Adquiridos,Tablas!O1277)</f>
        <v>0</v>
      </c>
      <c r="S1277" s="370"/>
      <c r="T1277" s="2576"/>
      <c r="V1277" s="2634" t="str">
        <f t="shared" si="142"/>
        <v>Poder #8</v>
      </c>
      <c r="W1277" s="2603"/>
      <c r="X1277" s="2605"/>
      <c r="Y1277" s="2624"/>
      <c r="Z1277" s="2609"/>
      <c r="AA1277" s="2609"/>
      <c r="AB1277" s="2609"/>
      <c r="AC1277" s="2609"/>
      <c r="AD1277" s="2609"/>
      <c r="AE1277" s="2609"/>
      <c r="AF1277" s="2609"/>
      <c r="AG1277" s="2609"/>
      <c r="AH1277" s="2609"/>
      <c r="AI1277" s="2609"/>
      <c r="AJ1277" s="2609"/>
      <c r="AK1277" s="2609"/>
      <c r="AL1277" s="2609"/>
      <c r="AM1277" s="2609"/>
      <c r="AN1277" s="2609"/>
      <c r="AO1277" s="2609"/>
      <c r="AP1277" s="2609"/>
      <c r="AQ1277" s="2609"/>
      <c r="AR1277" s="2609"/>
      <c r="AS1277" s="2609"/>
      <c r="AT1277" s="2609"/>
      <c r="AU1277" s="2609"/>
      <c r="AV1277" s="2609"/>
      <c r="AW1277" s="2609"/>
      <c r="AX1277" s="2609"/>
      <c r="AY1277" s="2609"/>
      <c r="AZ1277" s="2609"/>
      <c r="BA1277" s="2609"/>
      <c r="BB1277" s="2609"/>
      <c r="BC1277" s="2609"/>
      <c r="BD1277" s="2609"/>
      <c r="BE1277" s="2609"/>
      <c r="BF1277" s="2609"/>
      <c r="BG1277" s="2609"/>
      <c r="BH1277" s="2609"/>
      <c r="BI1277" s="2609"/>
      <c r="BJ1277" s="2609"/>
      <c r="BK1277" s="2609"/>
      <c r="BL1277" s="2609"/>
      <c r="BM1277" s="2609"/>
      <c r="BN1277" s="2609"/>
      <c r="BO1277" s="2609"/>
      <c r="BP1277" s="2609"/>
      <c r="BQ1277" s="2609"/>
      <c r="BR1277" s="2609"/>
      <c r="BS1277" s="2609"/>
      <c r="BT1277" s="2609"/>
      <c r="BU1277" s="2609"/>
      <c r="BV1277" s="2609"/>
      <c r="BW1277" s="2609"/>
      <c r="BX1277" s="2609"/>
      <c r="BY1277" s="2609"/>
      <c r="BZ1277" s="2609"/>
      <c r="CA1277" s="2635"/>
    </row>
    <row r="1278" spans="1:79" ht="12.75" customHeight="1" x14ac:dyDescent="0.2">
      <c r="A1278" s="1916">
        <v>1278</v>
      </c>
      <c r="B1278" s="5148"/>
      <c r="C1278" s="2580"/>
      <c r="D1278" s="210"/>
      <c r="E1278" s="2583" t="s">
        <v>9812</v>
      </c>
      <c r="F1278" s="195">
        <v>10</v>
      </c>
      <c r="G1278" s="195">
        <v>10</v>
      </c>
      <c r="H1278" s="195">
        <f>COUNTIF(HabilidadesEsenciales_Adquiridas,Tablas!E1278)</f>
        <v>0</v>
      </c>
      <c r="I1278" s="2585">
        <v>1</v>
      </c>
      <c r="J1278" s="370">
        <f t="array" ref="J1278">MAX($H$1273:$H$1327*IF(ISNUMBER(SEARCH(K1278,$E$1273:$E$1327)),VALUE(RIGHT($E$1273:$E$1327,2)),0))</f>
        <v>0</v>
      </c>
      <c r="K1278" s="2576" t="str">
        <f>Místicos!C20</f>
        <v>Tierra</v>
      </c>
      <c r="M1278" s="1847"/>
      <c r="N1278" s="96"/>
      <c r="O1278" s="411" t="s">
        <v>9391</v>
      </c>
      <c r="P1278" s="2595">
        <v>10</v>
      </c>
      <c r="Q1278" s="503">
        <f>10+IF(OR(TipoDeCriatura="Entre mundos, Elemental",TipoDeCriatura="Ánima, Elemental"),10,0)</f>
        <v>10</v>
      </c>
      <c r="R1278" s="2585">
        <f>COUNTIF(PoderesDeCriatura_Adquiridos,Tablas!O1278)</f>
        <v>0</v>
      </c>
      <c r="S1278" s="370"/>
      <c r="T1278" s="2576"/>
      <c r="V1278" s="2634" t="str">
        <f t="shared" si="142"/>
        <v>Poder #9</v>
      </c>
      <c r="W1278" s="2603"/>
      <c r="X1278" s="2605"/>
      <c r="Y1278" s="2624"/>
      <c r="Z1278" s="2609"/>
      <c r="AA1278" s="2609"/>
      <c r="AB1278" s="2609"/>
      <c r="AC1278" s="2609"/>
      <c r="AD1278" s="2609"/>
      <c r="AE1278" s="2609"/>
      <c r="AF1278" s="2609"/>
      <c r="AG1278" s="2609"/>
      <c r="AH1278" s="2609"/>
      <c r="AI1278" s="2609"/>
      <c r="AJ1278" s="2609"/>
      <c r="AK1278" s="2609"/>
      <c r="AL1278" s="2609"/>
      <c r="AM1278" s="2609"/>
      <c r="AN1278" s="2609"/>
      <c r="AO1278" s="2609"/>
      <c r="AP1278" s="2609"/>
      <c r="AQ1278" s="2609"/>
      <c r="AR1278" s="2609"/>
      <c r="AS1278" s="2609"/>
      <c r="AT1278" s="2609"/>
      <c r="AU1278" s="2609"/>
      <c r="AV1278" s="2609"/>
      <c r="AW1278" s="2609"/>
      <c r="AX1278" s="2609"/>
      <c r="AY1278" s="2609"/>
      <c r="AZ1278" s="2609"/>
      <c r="BA1278" s="2609"/>
      <c r="BB1278" s="2609"/>
      <c r="BC1278" s="2609"/>
      <c r="BD1278" s="2609"/>
      <c r="BE1278" s="2609"/>
      <c r="BF1278" s="2609"/>
      <c r="BG1278" s="2609"/>
      <c r="BH1278" s="2609"/>
      <c r="BI1278" s="2609"/>
      <c r="BJ1278" s="2609"/>
      <c r="BK1278" s="2609"/>
      <c r="BL1278" s="2609"/>
      <c r="BM1278" s="2609"/>
      <c r="BN1278" s="2609"/>
      <c r="BO1278" s="2609"/>
      <c r="BP1278" s="2609"/>
      <c r="BQ1278" s="2609"/>
      <c r="BR1278" s="2609"/>
      <c r="BS1278" s="2609"/>
      <c r="BT1278" s="2609"/>
      <c r="BU1278" s="2609"/>
      <c r="BV1278" s="2609"/>
      <c r="BW1278" s="2609"/>
      <c r="BX1278" s="2609"/>
      <c r="BY1278" s="2609"/>
      <c r="BZ1278" s="2609"/>
      <c r="CA1278" s="2635"/>
    </row>
    <row r="1279" spans="1:79" ht="12.75" customHeight="1" x14ac:dyDescent="0.2">
      <c r="A1279" s="1916">
        <v>1279</v>
      </c>
      <c r="B1279" s="5148"/>
      <c r="C1279" s="2580"/>
      <c r="D1279" s="210"/>
      <c r="E1279" s="2583" t="s">
        <v>9813</v>
      </c>
      <c r="F1279" s="195">
        <v>15</v>
      </c>
      <c r="G1279" s="195">
        <v>20</v>
      </c>
      <c r="H1279" s="195">
        <f>COUNTIF(HabilidadesEsenciales_Adquiridas,Tablas!E1279)</f>
        <v>0</v>
      </c>
      <c r="I1279" s="2585">
        <v>1</v>
      </c>
      <c r="J1279" s="370">
        <f t="array" ref="J1279">MAX($H$1273:$H$1327*IF(ISNUMBER(SEARCH(K1279,$E$1273:$E$1327)),VALUE(RIGHT($E$1273:$E$1327,2)),0))</f>
        <v>0</v>
      </c>
      <c r="K1279" s="2576" t="str">
        <f>Místicos!C21</f>
        <v>Creación</v>
      </c>
      <c r="M1279" s="1847"/>
      <c r="N1279" s="96"/>
      <c r="O1279" s="411" t="s">
        <v>9392</v>
      </c>
      <c r="P1279" s="2595">
        <v>10</v>
      </c>
      <c r="Q1279" s="503">
        <f>10+IF(OR(TipoDeCriatura="Entre mundos, Elemental",TipoDeCriatura="Ánima, Elemental"),10,0)</f>
        <v>10</v>
      </c>
      <c r="R1279" s="2585">
        <f>COUNTIF(PoderesDeCriatura_Adquiridos,Tablas!O1279)</f>
        <v>0</v>
      </c>
      <c r="S1279" s="370"/>
      <c r="T1279" s="2576"/>
      <c r="V1279" s="2634" t="str">
        <f t="shared" si="142"/>
        <v>Poder #10</v>
      </c>
      <c r="W1279" s="2603"/>
      <c r="X1279" s="2605"/>
      <c r="Y1279" s="2624"/>
      <c r="Z1279" s="2609"/>
      <c r="AA1279" s="2609"/>
      <c r="AB1279" s="2609"/>
      <c r="AC1279" s="2609"/>
      <c r="AD1279" s="2609"/>
      <c r="AE1279" s="2609"/>
      <c r="AF1279" s="2609"/>
      <c r="AG1279" s="2609"/>
      <c r="AH1279" s="2609"/>
      <c r="AI1279" s="2609"/>
      <c r="AJ1279" s="2609"/>
      <c r="AK1279" s="2609"/>
      <c r="AL1279" s="2609"/>
      <c r="AM1279" s="2609"/>
      <c r="AN1279" s="2609"/>
      <c r="AO1279" s="2609"/>
      <c r="AP1279" s="2609"/>
      <c r="AQ1279" s="2609"/>
      <c r="AR1279" s="2609"/>
      <c r="AS1279" s="2609"/>
      <c r="AT1279" s="2609"/>
      <c r="AU1279" s="2609"/>
      <c r="AV1279" s="2609"/>
      <c r="AW1279" s="2609"/>
      <c r="AX1279" s="2609"/>
      <c r="AY1279" s="2609"/>
      <c r="AZ1279" s="2609"/>
      <c r="BA1279" s="2609"/>
      <c r="BB1279" s="2609"/>
      <c r="BC1279" s="2609"/>
      <c r="BD1279" s="2609"/>
      <c r="BE1279" s="2609"/>
      <c r="BF1279" s="2609"/>
      <c r="BG1279" s="2609"/>
      <c r="BH1279" s="2609"/>
      <c r="BI1279" s="2609"/>
      <c r="BJ1279" s="2609"/>
      <c r="BK1279" s="2609"/>
      <c r="BL1279" s="2609"/>
      <c r="BM1279" s="2609"/>
      <c r="BN1279" s="2609"/>
      <c r="BO1279" s="2609"/>
      <c r="BP1279" s="2609"/>
      <c r="BQ1279" s="2609"/>
      <c r="BR1279" s="2609"/>
      <c r="BS1279" s="2609"/>
      <c r="BT1279" s="2609"/>
      <c r="BU1279" s="2609"/>
      <c r="BV1279" s="2609"/>
      <c r="BW1279" s="2609"/>
      <c r="BX1279" s="2609"/>
      <c r="BY1279" s="2609"/>
      <c r="BZ1279" s="2609"/>
      <c r="CA1279" s="2635"/>
    </row>
    <row r="1280" spans="1:79" ht="12.75" customHeight="1" x14ac:dyDescent="0.2">
      <c r="A1280" s="1916">
        <v>1280</v>
      </c>
      <c r="B1280" s="5148"/>
      <c r="C1280" s="2580"/>
      <c r="D1280" s="210"/>
      <c r="E1280" s="2583" t="s">
        <v>9814</v>
      </c>
      <c r="F1280" s="195">
        <v>20</v>
      </c>
      <c r="G1280" s="195">
        <v>30</v>
      </c>
      <c r="H1280" s="195">
        <f>COUNTIF(HabilidadesEsenciales_Adquiridas,Tablas!E1280)</f>
        <v>0</v>
      </c>
      <c r="I1280" s="2585">
        <v>1</v>
      </c>
      <c r="J1280" s="370">
        <f t="array" ref="J1280">MAX($H$1273:$H$1327*IF(ISNUMBER(SEARCH(K1280,$E$1273:$E$1327)),VALUE(RIGHT($E$1273:$E$1327,2)),0))</f>
        <v>0</v>
      </c>
      <c r="K1280" s="2576" t="str">
        <f>Místicos!C22</f>
        <v>Destrucción</v>
      </c>
      <c r="M1280" s="1847"/>
      <c r="N1280" s="96"/>
      <c r="O1280" s="411" t="s">
        <v>9393</v>
      </c>
      <c r="P1280" s="2595">
        <v>20</v>
      </c>
      <c r="Q1280" s="503">
        <f>20+IF(OR(TipoDeCriatura="Entre mundos, Elemental",TipoDeCriatura="Ánima, Elemental"),10,0)</f>
        <v>20</v>
      </c>
      <c r="R1280" s="2585">
        <f>COUNTIF(PoderesDeCriatura_Adquiridos,Tablas!O1280)</f>
        <v>0</v>
      </c>
      <c r="S1280" s="370"/>
      <c r="T1280" s="2576"/>
      <c r="V1280" s="2636" t="s">
        <v>8999</v>
      </c>
      <c r="W1280" s="2607"/>
      <c r="X1280" s="2607"/>
      <c r="Y1280" s="2607"/>
      <c r="Z1280" s="2607"/>
      <c r="AA1280" s="2607"/>
      <c r="AB1280" s="2607"/>
      <c r="AC1280" s="2607"/>
      <c r="AD1280" s="2607"/>
      <c r="AE1280" s="2607"/>
      <c r="AF1280" s="2607"/>
      <c r="AG1280" s="2607"/>
      <c r="AH1280" s="2607"/>
      <c r="AI1280" s="2607"/>
      <c r="AJ1280" s="2607"/>
      <c r="AK1280" s="2607"/>
      <c r="AL1280" s="2607"/>
      <c r="AM1280" s="2607"/>
      <c r="AN1280" s="2607"/>
      <c r="AO1280" s="2607"/>
      <c r="AP1280" s="2607"/>
      <c r="AQ1280" s="2607"/>
      <c r="AR1280" s="2607"/>
      <c r="AS1280" s="2607"/>
      <c r="AT1280" s="2607"/>
      <c r="AU1280" s="2607"/>
      <c r="AV1280" s="2607"/>
      <c r="AW1280" s="2607"/>
      <c r="AX1280" s="2607"/>
      <c r="AY1280" s="2607"/>
      <c r="AZ1280" s="2607"/>
      <c r="BA1280" s="2607"/>
      <c r="BB1280" s="2607"/>
      <c r="BC1280" s="2607"/>
      <c r="BD1280" s="2607"/>
      <c r="BE1280" s="2607"/>
      <c r="BF1280" s="2607"/>
      <c r="BG1280" s="2607"/>
      <c r="BH1280" s="2607"/>
      <c r="BI1280" s="2607"/>
      <c r="BJ1280" s="5363"/>
      <c r="BK1280" s="5363"/>
      <c r="BL1280" s="5363"/>
      <c r="BM1280" s="5363"/>
      <c r="BN1280" s="5363"/>
      <c r="BO1280" s="5363"/>
      <c r="BP1280" s="5363"/>
      <c r="BQ1280" s="5363"/>
      <c r="BR1280" s="5363"/>
      <c r="BS1280" s="5363"/>
      <c r="BT1280" s="5363"/>
      <c r="BU1280" s="5363"/>
      <c r="BV1280" s="5363"/>
      <c r="BW1280" s="5363"/>
      <c r="BX1280" s="5363"/>
      <c r="BY1280" s="5363"/>
      <c r="BZ1280" s="5363"/>
      <c r="CA1280" s="5366"/>
    </row>
    <row r="1281" spans="1:79" ht="12.75" customHeight="1" x14ac:dyDescent="0.2">
      <c r="A1281" s="1916">
        <v>1281</v>
      </c>
      <c r="B1281" s="5148"/>
      <c r="C1281" s="2580"/>
      <c r="D1281" s="210"/>
      <c r="E1281" s="2583" t="s">
        <v>9815</v>
      </c>
      <c r="F1281" s="195">
        <v>25</v>
      </c>
      <c r="G1281" s="195">
        <v>40</v>
      </c>
      <c r="H1281" s="195">
        <f>COUNTIF(HabilidadesEsenciales_Adquiridas,Tablas!E1281)</f>
        <v>0</v>
      </c>
      <c r="I1281" s="2585">
        <v>1</v>
      </c>
      <c r="J1281" s="370">
        <f t="array" ref="J1281">MAX($H$1273:$H$1327*IF(ISNUMBER(SEARCH(K1281,$E$1273:$E$1327)),VALUE(RIGHT($E$1273:$E$1327,2)),0))</f>
        <v>0</v>
      </c>
      <c r="K1281" s="2576" t="str">
        <f>Místicos!C23</f>
        <v>Esencia</v>
      </c>
      <c r="M1281" s="1847"/>
      <c r="N1281" s="96"/>
      <c r="O1281" s="411" t="s">
        <v>9394</v>
      </c>
      <c r="P1281" s="2595">
        <v>10</v>
      </c>
      <c r="Q1281" s="503">
        <f>30+IF(OR(TipoDeCriatura="Entre mundos, Elemental",TipoDeCriatura="Ánima, Elemental"),10,0)</f>
        <v>30</v>
      </c>
      <c r="R1281" s="2585">
        <f>COUNTIF(PoderesDeCriatura_Adquiridos,Tablas!O1281)</f>
        <v>0</v>
      </c>
      <c r="S1281" s="370"/>
      <c r="T1281" s="2576"/>
      <c r="V1281" s="2637" t="s">
        <v>1551</v>
      </c>
      <c r="W1281" s="2604"/>
      <c r="X1281" s="2172"/>
      <c r="Y1281" s="2609" t="s">
        <v>8500</v>
      </c>
      <c r="Z1281" s="2609"/>
      <c r="AA1281" s="2609"/>
      <c r="AB1281" s="2609"/>
      <c r="AC1281" s="2609"/>
      <c r="AD1281" s="2609"/>
      <c r="AE1281" s="2609"/>
      <c r="AF1281" s="2609"/>
      <c r="AG1281" s="2609"/>
      <c r="AH1281" s="2609"/>
      <c r="AI1281" s="2609"/>
      <c r="AJ1281" s="2609"/>
      <c r="AK1281" s="2609"/>
      <c r="AL1281" s="2609"/>
      <c r="AM1281" s="2609"/>
      <c r="AN1281" s="2609"/>
      <c r="AO1281" s="2609"/>
      <c r="AP1281" s="2609"/>
      <c r="AQ1281" s="2609"/>
      <c r="AR1281" s="2609"/>
      <c r="AS1281" s="2609"/>
      <c r="AT1281" s="2609"/>
      <c r="AU1281" s="2609"/>
      <c r="AV1281" s="2609"/>
      <c r="AW1281" s="2609"/>
      <c r="AX1281" s="2609"/>
      <c r="AY1281" s="2609"/>
      <c r="AZ1281" s="2609"/>
      <c r="BA1281" s="2609"/>
      <c r="BB1281" s="2609"/>
      <c r="BC1281" s="2609"/>
      <c r="BD1281" s="2609"/>
      <c r="BE1281" s="2609"/>
      <c r="BF1281" s="2609"/>
      <c r="BG1281" s="2609"/>
      <c r="BH1281" s="2609"/>
      <c r="BI1281" s="2609"/>
      <c r="BJ1281" s="2609"/>
      <c r="BK1281" s="2609"/>
      <c r="BL1281" s="2609"/>
      <c r="BM1281" s="2604"/>
      <c r="BN1281" s="1767"/>
      <c r="BO1281" s="1767"/>
      <c r="BP1281" s="1767"/>
      <c r="BQ1281" s="1767"/>
      <c r="BR1281" s="1767"/>
      <c r="BS1281" s="1767"/>
      <c r="BT1281" s="1767"/>
      <c r="BU1281" s="1767"/>
      <c r="BV1281" s="1767"/>
      <c r="BW1281" s="1767"/>
      <c r="BX1281" s="1767"/>
      <c r="BY1281" s="1767"/>
      <c r="BZ1281" s="1767"/>
      <c r="CA1281" s="1768"/>
    </row>
    <row r="1282" spans="1:79" ht="12.75" customHeight="1" x14ac:dyDescent="0.2">
      <c r="A1282" s="1916">
        <v>1282</v>
      </c>
      <c r="B1282" s="5148"/>
      <c r="C1282" s="2580"/>
      <c r="D1282" s="210"/>
      <c r="E1282" s="2583" t="s">
        <v>9816</v>
      </c>
      <c r="F1282" s="195">
        <v>30</v>
      </c>
      <c r="G1282" s="195">
        <v>50</v>
      </c>
      <c r="H1282" s="195">
        <f>COUNTIF(HabilidadesEsenciales_Adquiridas,Tablas!E1282)</f>
        <v>0</v>
      </c>
      <c r="I1282" s="2585">
        <v>1</v>
      </c>
      <c r="J1282" s="370">
        <f t="array" ref="J1282">MAX($H$1273:$H$1327*IF(ISNUMBER(SEARCH(K1282,$E$1273:$E$1327)),VALUE(RIGHT($E$1273:$E$1327,2)),0))</f>
        <v>0</v>
      </c>
      <c r="K1282" s="2576" t="str">
        <f>Místicos!C24</f>
        <v>Ilusión</v>
      </c>
      <c r="M1282" s="1847"/>
      <c r="N1282" s="96"/>
      <c r="O1282" s="411" t="s">
        <v>9395</v>
      </c>
      <c r="P1282" s="2595">
        <v>20</v>
      </c>
      <c r="Q1282" s="503">
        <f>60+IF(OR(TipoDeCriatura="Entre mundos, Elemental",TipoDeCriatura="Ánima, Elemental"),10,0)</f>
        <v>60</v>
      </c>
      <c r="R1282" s="2585">
        <f>COUNTIF(PoderesDeCriatura_Adquiridos,Tablas!O1282)</f>
        <v>0</v>
      </c>
      <c r="S1282" s="370"/>
      <c r="T1282" s="2576"/>
      <c r="U1282" s="436"/>
      <c r="V1282" s="2637" t="s">
        <v>1553</v>
      </c>
      <c r="W1282" s="2605"/>
      <c r="X1282" s="2172" t="str">
        <f t="shared" ref="X1282:X1292" si="143">IF(Y1282="","",SUBSTITUTE("PodHab_"&amp;V1282," ",""))</f>
        <v/>
      </c>
      <c r="Y1282" s="2619" t="s">
        <v>8500</v>
      </c>
      <c r="Z1282" s="2609"/>
      <c r="AA1282" s="2609"/>
      <c r="AB1282" s="2609"/>
      <c r="AC1282" s="2609"/>
      <c r="AD1282" s="2609"/>
      <c r="AE1282" s="2609"/>
      <c r="AF1282" s="2609"/>
      <c r="AG1282" s="2609"/>
      <c r="AH1282" s="2609"/>
      <c r="AI1282" s="2609"/>
      <c r="AJ1282" s="2609"/>
      <c r="AK1282" s="2609"/>
      <c r="AL1282" s="2609"/>
      <c r="AM1282" s="2609"/>
      <c r="AN1282" s="2609"/>
      <c r="AO1282" s="2609"/>
      <c r="AP1282" s="2609"/>
      <c r="AQ1282" s="2609"/>
      <c r="AR1282" s="2609"/>
      <c r="AS1282" s="2609"/>
      <c r="AT1282" s="2609"/>
      <c r="AU1282" s="2609"/>
      <c r="AV1282" s="2609"/>
      <c r="AW1282" s="2609"/>
      <c r="AX1282" s="2609"/>
      <c r="AY1282" s="2609"/>
      <c r="AZ1282" s="2609"/>
      <c r="BA1282" s="2609"/>
      <c r="BB1282" s="2609"/>
      <c r="BC1282" s="2609"/>
      <c r="BD1282" s="2609"/>
      <c r="BE1282" s="2609"/>
      <c r="BF1282" s="2609"/>
      <c r="BG1282" s="2609"/>
      <c r="BH1282" s="2609"/>
      <c r="BI1282" s="2609"/>
      <c r="BJ1282" s="2609"/>
      <c r="BK1282" s="2609"/>
      <c r="BL1282" s="2609"/>
      <c r="BM1282" s="2604"/>
      <c r="BN1282" s="1767"/>
      <c r="BO1282" s="1767"/>
      <c r="BP1282" s="1767"/>
      <c r="BQ1282" s="1767"/>
      <c r="BR1282" s="1767"/>
      <c r="BS1282" s="1767"/>
      <c r="BT1282" s="1767"/>
      <c r="BU1282" s="1767"/>
      <c r="BV1282" s="1767"/>
      <c r="BW1282" s="1767"/>
      <c r="BX1282" s="1767"/>
      <c r="BY1282" s="1767"/>
      <c r="BZ1282" s="1767"/>
      <c r="CA1282" s="1768"/>
    </row>
    <row r="1283" spans="1:79" ht="12.75" customHeight="1" x14ac:dyDescent="0.2">
      <c r="A1283" s="1916">
        <v>1283</v>
      </c>
      <c r="B1283" s="5148"/>
      <c r="C1283" s="2580"/>
      <c r="D1283" s="210"/>
      <c r="E1283" s="2583" t="s">
        <v>9817</v>
      </c>
      <c r="F1283" s="195">
        <v>10</v>
      </c>
      <c r="G1283" s="195">
        <v>10</v>
      </c>
      <c r="H1283" s="195">
        <f>COUNTIF(HabilidadesEsenciales_Adquiridas,Tablas!E1283)</f>
        <v>0</v>
      </c>
      <c r="I1283" s="2585">
        <v>1</v>
      </c>
      <c r="J1283" s="370">
        <f t="array" ref="J1283">MAX($H$1273:$H$1327*IF(ISNUMBER(SEARCH(K1283,$E$1273:$E$1327)),VALUE(RIGHT($E$1273:$E$1327,2)),0))</f>
        <v>0</v>
      </c>
      <c r="K1283" s="2576" t="str">
        <f>Místicos!C25</f>
        <v>Nigromancia</v>
      </c>
      <c r="M1283" s="1847"/>
      <c r="N1283" s="96"/>
      <c r="O1283" s="411" t="s">
        <v>9396</v>
      </c>
      <c r="P1283" s="2595">
        <v>20</v>
      </c>
      <c r="Q1283" s="503">
        <v>100</v>
      </c>
      <c r="R1283" s="2585">
        <f>COUNTIF(PoderesDeCriatura_Adquiridos,Tablas!O1283)</f>
        <v>0</v>
      </c>
      <c r="S1283" s="370"/>
      <c r="T1283" s="2576"/>
      <c r="U1283" s="436"/>
      <c r="V1283" s="2637" t="s">
        <v>1554</v>
      </c>
      <c r="W1283" s="2605"/>
      <c r="X1283" s="2172" t="str">
        <f t="shared" si="143"/>
        <v/>
      </c>
      <c r="Y1283" s="2619" t="s">
        <v>8500</v>
      </c>
      <c r="Z1283" s="2609"/>
      <c r="AA1283" s="2609"/>
      <c r="AB1283" s="2609"/>
      <c r="AC1283" s="2609"/>
      <c r="AD1283" s="2609"/>
      <c r="AE1283" s="2609"/>
      <c r="AF1283" s="2609"/>
      <c r="AG1283" s="2609"/>
      <c r="AH1283" s="2609"/>
      <c r="AI1283" s="2609"/>
      <c r="AJ1283" s="2609"/>
      <c r="AK1283" s="2609"/>
      <c r="AL1283" s="2609"/>
      <c r="AM1283" s="2609"/>
      <c r="AN1283" s="2609"/>
      <c r="AO1283" s="2609"/>
      <c r="AP1283" s="2609"/>
      <c r="AQ1283" s="2609"/>
      <c r="AR1283" s="2609"/>
      <c r="AS1283" s="2609"/>
      <c r="AT1283" s="2609"/>
      <c r="AU1283" s="2609"/>
      <c r="AV1283" s="2609"/>
      <c r="AW1283" s="2609"/>
      <c r="AX1283" s="2609"/>
      <c r="AY1283" s="2609"/>
      <c r="AZ1283" s="2609"/>
      <c r="BA1283" s="2609"/>
      <c r="BB1283" s="2609"/>
      <c r="BC1283" s="2609"/>
      <c r="BD1283" s="2609"/>
      <c r="BE1283" s="2609"/>
      <c r="BF1283" s="2609"/>
      <c r="BG1283" s="2609"/>
      <c r="BH1283" s="2609"/>
      <c r="BI1283" s="2609"/>
      <c r="BJ1283" s="2609"/>
      <c r="BK1283" s="2609"/>
      <c r="BL1283" s="2609"/>
      <c r="BM1283" s="2604"/>
      <c r="BN1283" s="1767"/>
      <c r="BO1283" s="1767"/>
      <c r="BP1283" s="1767"/>
      <c r="BQ1283" s="1767"/>
      <c r="BR1283" s="1767"/>
      <c r="BS1283" s="1767"/>
      <c r="BT1283" s="1767"/>
      <c r="BU1283" s="1767"/>
      <c r="BV1283" s="1767"/>
      <c r="BW1283" s="1767"/>
      <c r="BX1283" s="1767"/>
      <c r="BY1283" s="1767"/>
      <c r="BZ1283" s="1767"/>
      <c r="CA1283" s="1768"/>
    </row>
    <row r="1284" spans="1:79" ht="12.75" customHeight="1" x14ac:dyDescent="0.2">
      <c r="A1284" s="1916">
        <v>1284</v>
      </c>
      <c r="B1284" s="5148"/>
      <c r="C1284" s="2580"/>
      <c r="D1284" s="210"/>
      <c r="E1284" s="2583" t="s">
        <v>9818</v>
      </c>
      <c r="F1284" s="195">
        <v>15</v>
      </c>
      <c r="G1284" s="195">
        <v>20</v>
      </c>
      <c r="H1284" s="195">
        <f>COUNTIF(HabilidadesEsenciales_Adquiridas,Tablas!E1284)</f>
        <v>0</v>
      </c>
      <c r="I1284" s="2585">
        <v>1</v>
      </c>
      <c r="J1284" s="370"/>
      <c r="K1284" s="2576"/>
      <c r="M1284" s="1847"/>
      <c r="N1284" s="96"/>
      <c r="O1284" s="411" t="s">
        <v>9397</v>
      </c>
      <c r="P1284" s="2595">
        <v>25</v>
      </c>
      <c r="Q1284" s="503">
        <f>120+IF(OR(TipoDeCriatura="Entre mundos, Elemental",TipoDeCriatura="Ánima, Elemental"),10,0)</f>
        <v>120</v>
      </c>
      <c r="R1284" s="2585">
        <f>COUNTIF(PoderesDeCriatura_Adquiridos,Tablas!O1284)</f>
        <v>0</v>
      </c>
      <c r="S1284" s="370"/>
      <c r="T1284" s="2576"/>
      <c r="U1284" s="436"/>
      <c r="V1284" s="2637" t="s">
        <v>1556</v>
      </c>
      <c r="W1284" s="2605"/>
      <c r="X1284" s="2172" t="str">
        <f t="shared" si="143"/>
        <v/>
      </c>
      <c r="Y1284" s="2619" t="s">
        <v>8500</v>
      </c>
      <c r="Z1284" s="2609"/>
      <c r="AA1284" s="2609"/>
      <c r="AB1284" s="2609"/>
      <c r="AC1284" s="2609"/>
      <c r="AD1284" s="2609"/>
      <c r="AE1284" s="2609"/>
      <c r="AF1284" s="2609"/>
      <c r="AG1284" s="2609"/>
      <c r="AH1284" s="2609"/>
      <c r="AI1284" s="2609"/>
      <c r="AJ1284" s="2609"/>
      <c r="AK1284" s="2609"/>
      <c r="AL1284" s="2609"/>
      <c r="AM1284" s="2609"/>
      <c r="AN1284" s="2609"/>
      <c r="AO1284" s="2609"/>
      <c r="AP1284" s="2609"/>
      <c r="AQ1284" s="2609"/>
      <c r="AR1284" s="2609"/>
      <c r="AS1284" s="2609"/>
      <c r="AT1284" s="2609"/>
      <c r="AU1284" s="2609"/>
      <c r="AV1284" s="2609"/>
      <c r="AW1284" s="2609"/>
      <c r="AX1284" s="2609"/>
      <c r="AY1284" s="2609"/>
      <c r="AZ1284" s="2609"/>
      <c r="BA1284" s="2609"/>
      <c r="BB1284" s="2609"/>
      <c r="BC1284" s="2609"/>
      <c r="BD1284" s="2609"/>
      <c r="BE1284" s="2609"/>
      <c r="BF1284" s="2609"/>
      <c r="BG1284" s="2609"/>
      <c r="BH1284" s="2609"/>
      <c r="BI1284" s="2609"/>
      <c r="BJ1284" s="2609"/>
      <c r="BK1284" s="2609"/>
      <c r="BL1284" s="2609"/>
      <c r="BM1284" s="2604"/>
      <c r="BN1284" s="1767"/>
      <c r="BO1284" s="1767"/>
      <c r="BP1284" s="1767"/>
      <c r="BQ1284" s="1767"/>
      <c r="BR1284" s="1767"/>
      <c r="BS1284" s="1767"/>
      <c r="BT1284" s="1767"/>
      <c r="BU1284" s="1767"/>
      <c r="BV1284" s="1767"/>
      <c r="BW1284" s="1767"/>
      <c r="BX1284" s="1767"/>
      <c r="BY1284" s="1767"/>
      <c r="BZ1284" s="1767"/>
      <c r="CA1284" s="1768"/>
    </row>
    <row r="1285" spans="1:79" ht="12.75" customHeight="1" x14ac:dyDescent="0.2">
      <c r="A1285" s="1916">
        <v>1285</v>
      </c>
      <c r="B1285" s="5148"/>
      <c r="C1285" s="2580"/>
      <c r="D1285" s="210"/>
      <c r="E1285" s="2583" t="s">
        <v>9819</v>
      </c>
      <c r="F1285" s="195">
        <v>20</v>
      </c>
      <c r="G1285" s="195">
        <v>30</v>
      </c>
      <c r="H1285" s="195">
        <f>COUNTIF(HabilidadesEsenciales_Adquiridas,Tablas!E1285)</f>
        <v>0</v>
      </c>
      <c r="I1285" s="2585">
        <v>1</v>
      </c>
      <c r="J1285" s="370"/>
      <c r="K1285" s="2576"/>
      <c r="M1285" s="1847"/>
      <c r="N1285" s="96"/>
      <c r="O1285" s="411" t="s">
        <v>9398</v>
      </c>
      <c r="P1285" s="2595">
        <v>25</v>
      </c>
      <c r="Q1285" s="503">
        <f>140+IF(OR(TipoDeCriatura="Entre mundos, Elemental",TipoDeCriatura="Ánima, Elemental"),10,0)</f>
        <v>140</v>
      </c>
      <c r="R1285" s="2585">
        <f>COUNTIF(PoderesDeCriatura_Adquiridos,Tablas!O1285)</f>
        <v>0</v>
      </c>
      <c r="S1285" s="370"/>
      <c r="T1285" s="2576"/>
      <c r="U1285" s="436"/>
      <c r="V1285" s="2637" t="s">
        <v>1563</v>
      </c>
      <c r="W1285" s="2605"/>
      <c r="X1285" s="2172" t="str">
        <f t="shared" si="143"/>
        <v/>
      </c>
      <c r="Y1285" s="2619" t="s">
        <v>8500</v>
      </c>
      <c r="Z1285" s="2609"/>
      <c r="AA1285" s="2610"/>
      <c r="AB1285" s="2609"/>
      <c r="AC1285" s="2609"/>
      <c r="AD1285" s="2609"/>
      <c r="AE1285" s="2609"/>
      <c r="AF1285" s="2609"/>
      <c r="AG1285" s="2609"/>
      <c r="AH1285" s="2609"/>
      <c r="AI1285" s="2609"/>
      <c r="AJ1285" s="2609"/>
      <c r="AK1285" s="2609"/>
      <c r="AL1285" s="2609"/>
      <c r="AM1285" s="2609"/>
      <c r="AN1285" s="2609"/>
      <c r="AO1285" s="2609"/>
      <c r="AP1285" s="2609"/>
      <c r="AQ1285" s="2609"/>
      <c r="AR1285" s="2609"/>
      <c r="AS1285" s="2609"/>
      <c r="AT1285" s="2609"/>
      <c r="AU1285" s="2609"/>
      <c r="AV1285" s="2609"/>
      <c r="AW1285" s="2609"/>
      <c r="AX1285" s="2609"/>
      <c r="AY1285" s="2609"/>
      <c r="AZ1285" s="2609"/>
      <c r="BA1285" s="2609"/>
      <c r="BB1285" s="2609"/>
      <c r="BC1285" s="2609"/>
      <c r="BD1285" s="2609"/>
      <c r="BE1285" s="2609"/>
      <c r="BF1285" s="2609"/>
      <c r="BG1285" s="2609"/>
      <c r="BH1285" s="2609"/>
      <c r="BI1285" s="2609"/>
      <c r="BJ1285" s="2609"/>
      <c r="BK1285" s="2609"/>
      <c r="BL1285" s="2609"/>
      <c r="BM1285" s="2604"/>
      <c r="BN1285" s="1767"/>
      <c r="BO1285" s="1767"/>
      <c r="BP1285" s="1767"/>
      <c r="BQ1285" s="1767"/>
      <c r="BR1285" s="1767"/>
      <c r="BS1285" s="1767"/>
      <c r="BT1285" s="1767"/>
      <c r="BU1285" s="1767"/>
      <c r="BV1285" s="1767"/>
      <c r="BW1285" s="1767"/>
      <c r="BX1285" s="1767"/>
      <c r="BY1285" s="1767"/>
      <c r="BZ1285" s="1767"/>
      <c r="CA1285" s="1768"/>
    </row>
    <row r="1286" spans="1:79" ht="12.75" customHeight="1" x14ac:dyDescent="0.2">
      <c r="A1286" s="1916">
        <v>1286</v>
      </c>
      <c r="B1286" s="5148"/>
      <c r="C1286" s="2580"/>
      <c r="D1286" s="210"/>
      <c r="E1286" s="2583" t="s">
        <v>9820</v>
      </c>
      <c r="F1286" s="195">
        <v>25</v>
      </c>
      <c r="G1286" s="195">
        <v>40</v>
      </c>
      <c r="H1286" s="195">
        <f>COUNTIF(HabilidadesEsenciales_Adquiridas,Tablas!E1286)</f>
        <v>0</v>
      </c>
      <c r="I1286" s="2585">
        <v>1</v>
      </c>
      <c r="J1286" s="370"/>
      <c r="K1286" s="2576"/>
      <c r="M1286" s="1847"/>
      <c r="N1286" s="96"/>
      <c r="O1286" s="411" t="s">
        <v>9399</v>
      </c>
      <c r="P1286" s="2595">
        <v>20</v>
      </c>
      <c r="Q1286" s="503">
        <f>20+IF(OR(TipoDeCriatura="Entre mundos, Elemental",TipoDeCriatura="Ánima, Elemental"),10,0)</f>
        <v>20</v>
      </c>
      <c r="R1286" s="2585">
        <f>COUNTIF(PoderesDeCriatura_Adquiridos,Tablas!O1286)</f>
        <v>0</v>
      </c>
      <c r="S1286" s="370"/>
      <c r="T1286" s="2576"/>
      <c r="U1286" s="436"/>
      <c r="V1286" s="2637" t="s">
        <v>1562</v>
      </c>
      <c r="W1286" s="2605"/>
      <c r="X1286" s="2172" t="str">
        <f t="shared" si="143"/>
        <v/>
      </c>
      <c r="Y1286" s="2619" t="s">
        <v>8500</v>
      </c>
      <c r="Z1286" s="2609"/>
      <c r="AA1286" s="2609"/>
      <c r="AB1286" s="2609"/>
      <c r="AC1286" s="2609"/>
      <c r="AD1286" s="2609"/>
      <c r="AE1286" s="2609"/>
      <c r="AF1286" s="2609"/>
      <c r="AG1286" s="2609"/>
      <c r="AH1286" s="2609"/>
      <c r="AI1286" s="2609"/>
      <c r="AJ1286" s="2609"/>
      <c r="AK1286" s="2609"/>
      <c r="AL1286" s="2609"/>
      <c r="AM1286" s="2609"/>
      <c r="AN1286" s="2609"/>
      <c r="AO1286" s="2609"/>
      <c r="AP1286" s="2609"/>
      <c r="AQ1286" s="2609"/>
      <c r="AR1286" s="2609"/>
      <c r="AS1286" s="2609"/>
      <c r="AT1286" s="2609"/>
      <c r="AU1286" s="2609"/>
      <c r="AV1286" s="2609"/>
      <c r="AW1286" s="2609"/>
      <c r="AX1286" s="2609"/>
      <c r="AY1286" s="2609"/>
      <c r="AZ1286" s="2609"/>
      <c r="BA1286" s="2609"/>
      <c r="BB1286" s="2609"/>
      <c r="BC1286" s="2609"/>
      <c r="BD1286" s="2609"/>
      <c r="BE1286" s="2609"/>
      <c r="BF1286" s="2609"/>
      <c r="BG1286" s="2609"/>
      <c r="BH1286" s="2609"/>
      <c r="BI1286" s="2609"/>
      <c r="BJ1286" s="2609"/>
      <c r="BK1286" s="2609"/>
      <c r="BL1286" s="2609"/>
      <c r="BM1286" s="2604"/>
      <c r="BN1286" s="1767"/>
      <c r="BO1286" s="1767"/>
      <c r="BP1286" s="1767"/>
      <c r="BQ1286" s="1767"/>
      <c r="BR1286" s="1767"/>
      <c r="BS1286" s="1767"/>
      <c r="BT1286" s="1767"/>
      <c r="BU1286" s="1767"/>
      <c r="BV1286" s="1767"/>
      <c r="BW1286" s="1767"/>
      <c r="BX1286" s="1767"/>
      <c r="BY1286" s="1767"/>
      <c r="BZ1286" s="1767"/>
      <c r="CA1286" s="1768"/>
    </row>
    <row r="1287" spans="1:79" ht="12.75" customHeight="1" x14ac:dyDescent="0.2">
      <c r="A1287" s="1916">
        <v>1287</v>
      </c>
      <c r="B1287" s="5148"/>
      <c r="C1287" s="2580"/>
      <c r="D1287" s="210"/>
      <c r="E1287" s="2583" t="s">
        <v>9821</v>
      </c>
      <c r="F1287" s="195">
        <v>30</v>
      </c>
      <c r="G1287" s="195">
        <v>50</v>
      </c>
      <c r="H1287" s="195">
        <f>COUNTIF(HabilidadesEsenciales_Adquiridas,Tablas!E1287)</f>
        <v>0</v>
      </c>
      <c r="I1287" s="2585">
        <v>1</v>
      </c>
      <c r="J1287" s="370"/>
      <c r="K1287" s="2576"/>
      <c r="M1287" s="1847"/>
      <c r="N1287" s="96"/>
      <c r="O1287" s="411" t="s">
        <v>9400</v>
      </c>
      <c r="P1287" s="2595">
        <v>20</v>
      </c>
      <c r="Q1287" s="503">
        <f>60+IF(OR(TipoDeCriatura="Entre mundos, Elemental",TipoDeCriatura="Ánima, Elemental"),10,0)</f>
        <v>60</v>
      </c>
      <c r="R1287" s="2585">
        <f>COUNTIF(PoderesDeCriatura_Adquiridos,Tablas!O1287)</f>
        <v>0</v>
      </c>
      <c r="S1287" s="370"/>
      <c r="T1287" s="2576"/>
      <c r="U1287" s="436"/>
      <c r="V1287" s="2637" t="s">
        <v>1558</v>
      </c>
      <c r="W1287" s="2605"/>
      <c r="X1287" s="2172" t="str">
        <f t="shared" si="143"/>
        <v/>
      </c>
      <c r="Y1287" s="2619" t="s">
        <v>8500</v>
      </c>
      <c r="Z1287" s="2609"/>
      <c r="AA1287" s="2609"/>
      <c r="AB1287" s="2609"/>
      <c r="AC1287" s="2609"/>
      <c r="AD1287" s="2609"/>
      <c r="AE1287" s="2609"/>
      <c r="AF1287" s="2609"/>
      <c r="AG1287" s="2609"/>
      <c r="AH1287" s="2609"/>
      <c r="AI1287" s="2609"/>
      <c r="AJ1287" s="2609"/>
      <c r="AK1287" s="2609"/>
      <c r="AL1287" s="2609"/>
      <c r="AM1287" s="2609"/>
      <c r="AN1287" s="2609"/>
      <c r="AO1287" s="2609"/>
      <c r="AP1287" s="2609"/>
      <c r="AQ1287" s="2609"/>
      <c r="AR1287" s="2609"/>
      <c r="AS1287" s="2609"/>
      <c r="AT1287" s="2609"/>
      <c r="AU1287" s="2609"/>
      <c r="AV1287" s="2609"/>
      <c r="AW1287" s="2609"/>
      <c r="AX1287" s="2609"/>
      <c r="AY1287" s="2609"/>
      <c r="AZ1287" s="2609"/>
      <c r="BA1287" s="2609"/>
      <c r="BB1287" s="2609"/>
      <c r="BC1287" s="2609"/>
      <c r="BD1287" s="2609"/>
      <c r="BE1287" s="2609"/>
      <c r="BF1287" s="2609"/>
      <c r="BG1287" s="2609"/>
      <c r="BH1287" s="2609"/>
      <c r="BI1287" s="2609"/>
      <c r="BJ1287" s="2609"/>
      <c r="BK1287" s="2609"/>
      <c r="BL1287" s="2609"/>
      <c r="BM1287" s="2604"/>
      <c r="BN1287" s="1767"/>
      <c r="BO1287" s="1767"/>
      <c r="BP1287" s="1767"/>
      <c r="BQ1287" s="1767"/>
      <c r="BR1287" s="1767"/>
      <c r="BS1287" s="1767"/>
      <c r="BT1287" s="1767"/>
      <c r="BU1287" s="1767"/>
      <c r="BV1287" s="1767"/>
      <c r="BW1287" s="1767"/>
      <c r="BX1287" s="1767"/>
      <c r="BY1287" s="1767"/>
      <c r="BZ1287" s="1767"/>
      <c r="CA1287" s="1768"/>
    </row>
    <row r="1288" spans="1:79" ht="12.75" customHeight="1" x14ac:dyDescent="0.2">
      <c r="A1288" s="1916">
        <v>1288</v>
      </c>
      <c r="B1288" s="5148"/>
      <c r="C1288" s="2580"/>
      <c r="D1288" s="210"/>
      <c r="E1288" s="2583" t="s">
        <v>9822</v>
      </c>
      <c r="F1288" s="195">
        <v>10</v>
      </c>
      <c r="G1288" s="195">
        <v>10</v>
      </c>
      <c r="H1288" s="195">
        <f>COUNTIF(HabilidadesEsenciales_Adquiridas,Tablas!E1288)</f>
        <v>0</v>
      </c>
      <c r="I1288" s="2585">
        <v>1</v>
      </c>
      <c r="J1288" s="370"/>
      <c r="K1288" s="2576"/>
      <c r="M1288" s="1847"/>
      <c r="N1288" s="96"/>
      <c r="O1288" s="411" t="s">
        <v>9401</v>
      </c>
      <c r="P1288" s="2595">
        <v>20</v>
      </c>
      <c r="Q1288" s="503">
        <f>120+IF(OR(TipoDeCriatura="Entre mundos, Elemental",TipoDeCriatura="Ánima, Elemental"),10,0)</f>
        <v>120</v>
      </c>
      <c r="R1288" s="2585">
        <f>COUNTIF(PoderesDeCriatura_Adquiridos,Tablas!O1288)</f>
        <v>0</v>
      </c>
      <c r="S1288" s="370"/>
      <c r="T1288" s="2576"/>
      <c r="U1288" s="436"/>
      <c r="V1288" s="2637" t="s">
        <v>1560</v>
      </c>
      <c r="W1288" s="2605"/>
      <c r="X1288" s="2172" t="str">
        <f t="shared" si="143"/>
        <v/>
      </c>
      <c r="Y1288" s="2619" t="s">
        <v>8500</v>
      </c>
      <c r="Z1288" s="2609"/>
      <c r="AA1288" s="2609"/>
      <c r="AB1288" s="2609"/>
      <c r="AC1288" s="2609"/>
      <c r="AD1288" s="2609"/>
      <c r="AE1288" s="2609"/>
      <c r="AF1288" s="2609"/>
      <c r="AG1288" s="2609"/>
      <c r="AH1288" s="2609"/>
      <c r="AI1288" s="2609"/>
      <c r="AJ1288" s="2609"/>
      <c r="AK1288" s="2609"/>
      <c r="AL1288" s="2609"/>
      <c r="AM1288" s="2609"/>
      <c r="AN1288" s="2609"/>
      <c r="AO1288" s="2609"/>
      <c r="AP1288" s="2609"/>
      <c r="AQ1288" s="2609"/>
      <c r="AR1288" s="2609"/>
      <c r="AS1288" s="2609"/>
      <c r="AT1288" s="2609"/>
      <c r="AU1288" s="2609"/>
      <c r="AV1288" s="2609"/>
      <c r="AW1288" s="2609"/>
      <c r="AX1288" s="2609"/>
      <c r="AY1288" s="2609"/>
      <c r="AZ1288" s="2609"/>
      <c r="BA1288" s="2609"/>
      <c r="BB1288" s="2609"/>
      <c r="BC1288" s="2609"/>
      <c r="BD1288" s="2609"/>
      <c r="BE1288" s="2609"/>
      <c r="BF1288" s="2609"/>
      <c r="BG1288" s="2609"/>
      <c r="BH1288" s="2609"/>
      <c r="BI1288" s="2609"/>
      <c r="BJ1288" s="2609"/>
      <c r="BK1288" s="2609"/>
      <c r="BL1288" s="2609"/>
      <c r="BM1288" s="2604"/>
      <c r="BN1288" s="1767"/>
      <c r="BO1288" s="1767"/>
      <c r="BP1288" s="1767"/>
      <c r="BQ1288" s="1767"/>
      <c r="BR1288" s="1767"/>
      <c r="BS1288" s="1767"/>
      <c r="BT1288" s="1767"/>
      <c r="BU1288" s="1767"/>
      <c r="BV1288" s="1767"/>
      <c r="BW1288" s="1767"/>
      <c r="BX1288" s="1767"/>
      <c r="BY1288" s="1767"/>
      <c r="BZ1288" s="1767"/>
      <c r="CA1288" s="1768"/>
    </row>
    <row r="1289" spans="1:79" ht="12.75" customHeight="1" x14ac:dyDescent="0.2">
      <c r="A1289" s="1916">
        <v>1289</v>
      </c>
      <c r="B1289" s="5148"/>
      <c r="C1289" s="2580"/>
      <c r="D1289" s="210"/>
      <c r="E1289" s="2583" t="s">
        <v>9823</v>
      </c>
      <c r="F1289" s="195">
        <v>15</v>
      </c>
      <c r="G1289" s="195">
        <v>20</v>
      </c>
      <c r="H1289" s="195">
        <f>COUNTIF(HabilidadesEsenciales_Adquiridas,Tablas!E1289)</f>
        <v>0</v>
      </c>
      <c r="I1289" s="2585">
        <v>1</v>
      </c>
      <c r="J1289" s="370"/>
      <c r="K1289" s="2576"/>
      <c r="M1289" s="1847"/>
      <c r="N1289" s="96"/>
      <c r="O1289" s="411" t="s">
        <v>9402</v>
      </c>
      <c r="P1289" s="2595">
        <v>20</v>
      </c>
      <c r="Q1289" s="503">
        <f>60+IF(OR(TipoDeCriatura="Entre mundos, Elemental",TipoDeCriatura="Ánima, Elemental"),10,0)</f>
        <v>60</v>
      </c>
      <c r="R1289" s="2585">
        <f>COUNTIF(PoderesDeCriatura_Adquiridos,Tablas!O1289)</f>
        <v>0</v>
      </c>
      <c r="S1289" s="370"/>
      <c r="T1289" s="2576"/>
      <c r="U1289" s="436"/>
      <c r="V1289" s="2637" t="s">
        <v>1561</v>
      </c>
      <c r="W1289" s="2605"/>
      <c r="X1289" s="2172" t="str">
        <f t="shared" si="143"/>
        <v/>
      </c>
      <c r="Y1289" s="2619" t="s">
        <v>8500</v>
      </c>
      <c r="Z1289" s="2609"/>
      <c r="AA1289" s="2609"/>
      <c r="AB1289" s="2609"/>
      <c r="AC1289" s="2609"/>
      <c r="AD1289" s="2609"/>
      <c r="AE1289" s="2609"/>
      <c r="AF1289" s="2609"/>
      <c r="AG1289" s="2609"/>
      <c r="AH1289" s="2609"/>
      <c r="AI1289" s="2609"/>
      <c r="AJ1289" s="2609"/>
      <c r="AK1289" s="2609"/>
      <c r="AL1289" s="2609"/>
      <c r="AM1289" s="2609"/>
      <c r="AN1289" s="2609"/>
      <c r="AO1289" s="2609"/>
      <c r="AP1289" s="2609"/>
      <c r="AQ1289" s="2609"/>
      <c r="AR1289" s="2609"/>
      <c r="AS1289" s="2609"/>
      <c r="AT1289" s="2609"/>
      <c r="AU1289" s="2609"/>
      <c r="AV1289" s="2609"/>
      <c r="AW1289" s="2609"/>
      <c r="AX1289" s="2609"/>
      <c r="AY1289" s="2609"/>
      <c r="AZ1289" s="2609"/>
      <c r="BA1289" s="2609"/>
      <c r="BB1289" s="2609"/>
      <c r="BC1289" s="2609"/>
      <c r="BD1289" s="2609"/>
      <c r="BE1289" s="2609"/>
      <c r="BF1289" s="2609"/>
      <c r="BG1289" s="2609"/>
      <c r="BH1289" s="2609"/>
      <c r="BI1289" s="2609"/>
      <c r="BJ1289" s="2609"/>
      <c r="BK1289" s="2609"/>
      <c r="BL1289" s="2609"/>
      <c r="BM1289" s="2604"/>
      <c r="BN1289" s="1767"/>
      <c r="BO1289" s="1767"/>
      <c r="BP1289" s="1767"/>
      <c r="BQ1289" s="1767"/>
      <c r="BR1289" s="1767"/>
      <c r="BS1289" s="1767"/>
      <c r="BT1289" s="1767"/>
      <c r="BU1289" s="1767"/>
      <c r="BV1289" s="1767"/>
      <c r="BW1289" s="1767"/>
      <c r="BX1289" s="1767"/>
      <c r="BY1289" s="1767"/>
      <c r="BZ1289" s="1767"/>
      <c r="CA1289" s="1768"/>
    </row>
    <row r="1290" spans="1:79" ht="12.75" customHeight="1" x14ac:dyDescent="0.2">
      <c r="A1290" s="1916">
        <v>1290</v>
      </c>
      <c r="B1290" s="5148"/>
      <c r="C1290" s="2580"/>
      <c r="D1290" s="210"/>
      <c r="E1290" s="2583" t="s">
        <v>9824</v>
      </c>
      <c r="F1290" s="195">
        <v>20</v>
      </c>
      <c r="G1290" s="195">
        <v>30</v>
      </c>
      <c r="H1290" s="195">
        <f>COUNTIF(HabilidadesEsenciales_Adquiridas,Tablas!E1290)</f>
        <v>0</v>
      </c>
      <c r="I1290" s="2585">
        <v>1</v>
      </c>
      <c r="J1290" s="370"/>
      <c r="K1290" s="2576"/>
      <c r="M1290" s="1847"/>
      <c r="N1290" s="96"/>
      <c r="O1290" s="411" t="s">
        <v>9403</v>
      </c>
      <c r="P1290" s="2595">
        <v>20</v>
      </c>
      <c r="Q1290" s="503">
        <f>120+IF(OR(TipoDeCriatura="Entre mundos, Elemental",TipoDeCriatura="Ánima, Elemental"),10,0)</f>
        <v>120</v>
      </c>
      <c r="R1290" s="2585">
        <f>COUNTIF(PoderesDeCriatura_Adquiridos,Tablas!O1290)</f>
        <v>0</v>
      </c>
      <c r="S1290" s="370"/>
      <c r="T1290" s="2576"/>
      <c r="U1290" s="436"/>
      <c r="V1290" s="2637" t="s">
        <v>1557</v>
      </c>
      <c r="W1290" s="2605"/>
      <c r="X1290" s="2172" t="str">
        <f t="shared" si="143"/>
        <v/>
      </c>
      <c r="Y1290" s="2619" t="s">
        <v>8500</v>
      </c>
      <c r="Z1290" s="2609"/>
      <c r="AA1290" s="2609"/>
      <c r="AB1290" s="2609"/>
      <c r="AC1290" s="2609"/>
      <c r="AD1290" s="2609"/>
      <c r="AE1290" s="2609"/>
      <c r="AF1290" s="2609"/>
      <c r="AG1290" s="2609"/>
      <c r="AH1290" s="2609"/>
      <c r="AI1290" s="2609"/>
      <c r="AJ1290" s="2609"/>
      <c r="AK1290" s="2609"/>
      <c r="AL1290" s="2609"/>
      <c r="AM1290" s="2609"/>
      <c r="AN1290" s="2609"/>
      <c r="AO1290" s="2609"/>
      <c r="AP1290" s="2609"/>
      <c r="AQ1290" s="2609"/>
      <c r="AR1290" s="2609"/>
      <c r="AS1290" s="2609"/>
      <c r="AT1290" s="2609"/>
      <c r="AU1290" s="2609"/>
      <c r="AV1290" s="2609"/>
      <c r="AW1290" s="2609"/>
      <c r="AX1290" s="2609"/>
      <c r="AY1290" s="2609"/>
      <c r="AZ1290" s="2609"/>
      <c r="BA1290" s="2609"/>
      <c r="BB1290" s="2609"/>
      <c r="BC1290" s="2609"/>
      <c r="BD1290" s="2609"/>
      <c r="BE1290" s="2609"/>
      <c r="BF1290" s="2609"/>
      <c r="BG1290" s="2609"/>
      <c r="BH1290" s="2609"/>
      <c r="BI1290" s="2609"/>
      <c r="BJ1290" s="2609"/>
      <c r="BK1290" s="2609"/>
      <c r="BL1290" s="2609"/>
      <c r="BM1290" s="2604"/>
      <c r="BN1290" s="1767"/>
      <c r="BO1290" s="1767"/>
      <c r="BP1290" s="1767"/>
      <c r="BQ1290" s="1767"/>
      <c r="BR1290" s="1767"/>
      <c r="BS1290" s="1767"/>
      <c r="BT1290" s="1767"/>
      <c r="BU1290" s="1767"/>
      <c r="BV1290" s="1767"/>
      <c r="BW1290" s="1767"/>
      <c r="BX1290" s="1767"/>
      <c r="BY1290" s="1767"/>
      <c r="BZ1290" s="1767"/>
      <c r="CA1290" s="1768"/>
    </row>
    <row r="1291" spans="1:79" ht="12.75" customHeight="1" x14ac:dyDescent="0.2">
      <c r="A1291" s="1916">
        <v>1291</v>
      </c>
      <c r="B1291" s="5148"/>
      <c r="C1291" s="2580"/>
      <c r="D1291" s="210"/>
      <c r="E1291" s="2583" t="s">
        <v>9825</v>
      </c>
      <c r="F1291" s="195">
        <v>25</v>
      </c>
      <c r="G1291" s="195">
        <v>40</v>
      </c>
      <c r="H1291" s="195">
        <f>COUNTIF(HabilidadesEsenciales_Adquiridas,Tablas!E1291)</f>
        <v>0</v>
      </c>
      <c r="I1291" s="2585">
        <v>1</v>
      </c>
      <c r="J1291" s="370"/>
      <c r="K1291" s="2576"/>
      <c r="M1291" s="1847"/>
      <c r="N1291" s="96"/>
      <c r="O1291" s="411" t="s">
        <v>9404</v>
      </c>
      <c r="P1291" s="2595">
        <v>25</v>
      </c>
      <c r="Q1291" s="503">
        <f>120+IF(OR(TipoDeCriatura="Entre mundos, Elemental",TipoDeCriatura="Ánima, Elemental"),10,0)</f>
        <v>120</v>
      </c>
      <c r="R1291" s="2585">
        <f>COUNTIF(PoderesDeCriatura_Adquiridos,Tablas!O1291)</f>
        <v>0</v>
      </c>
      <c r="S1291" s="370"/>
      <c r="T1291" s="2576"/>
      <c r="U1291" s="436"/>
      <c r="V1291" s="2637" t="s">
        <v>1559</v>
      </c>
      <c r="W1291" s="2605"/>
      <c r="X1291" s="2172" t="str">
        <f t="shared" si="143"/>
        <v/>
      </c>
      <c r="Y1291" s="2619" t="s">
        <v>8500</v>
      </c>
      <c r="Z1291" s="2609"/>
      <c r="AA1291" s="2609"/>
      <c r="AB1291" s="2609"/>
      <c r="AC1291" s="2609"/>
      <c r="AD1291" s="2609"/>
      <c r="AE1291" s="2609"/>
      <c r="AF1291" s="2609"/>
      <c r="AG1291" s="2609"/>
      <c r="AH1291" s="2609"/>
      <c r="AI1291" s="2609"/>
      <c r="AJ1291" s="2609"/>
      <c r="AK1291" s="2609"/>
      <c r="AL1291" s="2609"/>
      <c r="AM1291" s="2609"/>
      <c r="AN1291" s="2609"/>
      <c r="AO1291" s="2609"/>
      <c r="AP1291" s="2609"/>
      <c r="AQ1291" s="2609"/>
      <c r="AR1291" s="2609"/>
      <c r="AS1291" s="2609"/>
      <c r="AT1291" s="2609"/>
      <c r="AU1291" s="2609"/>
      <c r="AV1291" s="2609"/>
      <c r="AW1291" s="2609"/>
      <c r="AX1291" s="2609"/>
      <c r="AY1291" s="2609"/>
      <c r="AZ1291" s="2609"/>
      <c r="BA1291" s="2609"/>
      <c r="BB1291" s="2609"/>
      <c r="BC1291" s="2609"/>
      <c r="BD1291" s="2609"/>
      <c r="BE1291" s="2609"/>
      <c r="BF1291" s="2609"/>
      <c r="BG1291" s="2609"/>
      <c r="BH1291" s="2609"/>
      <c r="BI1291" s="2609"/>
      <c r="BJ1291" s="2609"/>
      <c r="BK1291" s="2609"/>
      <c r="BL1291" s="2609"/>
      <c r="BM1291" s="2604"/>
      <c r="BN1291" s="1767"/>
      <c r="BO1291" s="1767"/>
      <c r="BP1291" s="1767"/>
      <c r="BQ1291" s="1767"/>
      <c r="BR1291" s="1767"/>
      <c r="BS1291" s="1767"/>
      <c r="BT1291" s="1767"/>
      <c r="BU1291" s="1767"/>
      <c r="BV1291" s="1767"/>
      <c r="BW1291" s="1767"/>
      <c r="BX1291" s="1767"/>
      <c r="BY1291" s="1767"/>
      <c r="BZ1291" s="1767"/>
      <c r="CA1291" s="1768"/>
    </row>
    <row r="1292" spans="1:79" ht="12.75" customHeight="1" x14ac:dyDescent="0.2">
      <c r="A1292" s="1916">
        <v>1292</v>
      </c>
      <c r="B1292" s="5148"/>
      <c r="C1292" s="2580"/>
      <c r="D1292" s="210"/>
      <c r="E1292" s="2583" t="s">
        <v>9826</v>
      </c>
      <c r="F1292" s="195">
        <v>30</v>
      </c>
      <c r="G1292" s="195">
        <v>50</v>
      </c>
      <c r="H1292" s="195">
        <f>COUNTIF(HabilidadesEsenciales_Adquiridas,Tablas!E1292)</f>
        <v>0</v>
      </c>
      <c r="I1292" s="2585">
        <v>1</v>
      </c>
      <c r="J1292" s="370"/>
      <c r="K1292" s="2576"/>
      <c r="M1292" s="1847"/>
      <c r="N1292" s="96"/>
      <c r="O1292" s="411" t="s">
        <v>9405</v>
      </c>
      <c r="P1292" s="2595">
        <v>10</v>
      </c>
      <c r="Q1292" s="503">
        <f>20+IF(OR(TipoDeCriatura="Entre mundos, Elemental",TipoDeCriatura="Ánima, Elemental"),10,0)</f>
        <v>20</v>
      </c>
      <c r="R1292" s="2585">
        <f>COUNTIF(PoderesDeCriatura_Adquiridos,Tablas!O1292)</f>
        <v>0</v>
      </c>
      <c r="S1292" s="370"/>
      <c r="T1292" s="2576"/>
      <c r="U1292" s="436"/>
      <c r="V1292" s="2637" t="s">
        <v>9764</v>
      </c>
      <c r="W1292" s="2605"/>
      <c r="X1292" s="2172" t="str">
        <f t="shared" si="143"/>
        <v>PodHab_CaracterísticaIncrementada</v>
      </c>
      <c r="Y1292" s="2619" t="s">
        <v>9875</v>
      </c>
      <c r="Z1292" s="2619" t="s">
        <v>9876</v>
      </c>
      <c r="AA1292" s="2619" t="s">
        <v>9877</v>
      </c>
      <c r="AB1292" s="2619" t="s">
        <v>9878</v>
      </c>
      <c r="AC1292" s="2619" t="s">
        <v>9879</v>
      </c>
      <c r="AD1292" s="2619" t="s">
        <v>9880</v>
      </c>
      <c r="AE1292" s="2619" t="s">
        <v>9881</v>
      </c>
      <c r="AF1292" s="2619" t="s">
        <v>9882</v>
      </c>
      <c r="AG1292" s="2619" t="s">
        <v>9883</v>
      </c>
      <c r="AH1292" s="2619" t="s">
        <v>9884</v>
      </c>
      <c r="AI1292" s="2619" t="s">
        <v>9885</v>
      </c>
      <c r="AJ1292" s="2619" t="s">
        <v>9886</v>
      </c>
      <c r="AK1292" s="2619" t="s">
        <v>9887</v>
      </c>
      <c r="AL1292" s="2619" t="s">
        <v>9888</v>
      </c>
      <c r="AM1292" s="2619" t="s">
        <v>9889</v>
      </c>
      <c r="AN1292" s="2619" t="s">
        <v>9890</v>
      </c>
      <c r="AO1292" s="2619" t="s">
        <v>9891</v>
      </c>
      <c r="AP1292" s="2619" t="s">
        <v>9892</v>
      </c>
      <c r="AQ1292" s="2619" t="s">
        <v>9893</v>
      </c>
      <c r="AR1292" s="2619" t="s">
        <v>9894</v>
      </c>
      <c r="AS1292" s="2619" t="s">
        <v>9895</v>
      </c>
      <c r="AT1292" s="2619" t="s">
        <v>9896</v>
      </c>
      <c r="AU1292" s="2619" t="s">
        <v>9897</v>
      </c>
      <c r="AV1292" s="2619" t="s">
        <v>9898</v>
      </c>
      <c r="AW1292" s="2619" t="s">
        <v>9899</v>
      </c>
      <c r="AX1292" s="2619" t="s">
        <v>9900</v>
      </c>
      <c r="AY1292" s="2619" t="s">
        <v>9901</v>
      </c>
      <c r="AZ1292" s="2619" t="s">
        <v>9902</v>
      </c>
      <c r="BA1292" s="2619" t="s">
        <v>9903</v>
      </c>
      <c r="BB1292" s="2619" t="s">
        <v>9904</v>
      </c>
      <c r="BC1292" s="2619" t="s">
        <v>9905</v>
      </c>
      <c r="BD1292" s="2619" t="s">
        <v>9906</v>
      </c>
      <c r="BE1292" s="2619" t="s">
        <v>9907</v>
      </c>
      <c r="BF1292" s="2619" t="s">
        <v>9908</v>
      </c>
      <c r="BG1292" s="2619" t="s">
        <v>9909</v>
      </c>
      <c r="BH1292" s="2619" t="s">
        <v>9910</v>
      </c>
      <c r="BI1292" s="2619" t="s">
        <v>9911</v>
      </c>
      <c r="BJ1292" s="2619" t="s">
        <v>9912</v>
      </c>
      <c r="BK1292" s="2619" t="s">
        <v>9913</v>
      </c>
      <c r="BL1292" s="2619" t="s">
        <v>9914</v>
      </c>
      <c r="BM1292" s="2619"/>
      <c r="BN1292" s="1767"/>
      <c r="BO1292" s="1767"/>
      <c r="BP1292" s="1767"/>
      <c r="BQ1292" s="1767"/>
      <c r="BR1292" s="1767"/>
      <c r="BS1292" s="1767"/>
      <c r="BT1292" s="1767"/>
      <c r="BU1292" s="1767"/>
      <c r="BV1292" s="1767"/>
      <c r="BW1292" s="1767"/>
      <c r="BX1292" s="1767"/>
      <c r="BY1292" s="1767"/>
      <c r="BZ1292" s="1767"/>
      <c r="CA1292" s="1768"/>
    </row>
    <row r="1293" spans="1:79" ht="12.75" customHeight="1" x14ac:dyDescent="0.2">
      <c r="A1293" s="1916">
        <v>1293</v>
      </c>
      <c r="B1293" s="5148"/>
      <c r="C1293" s="2580"/>
      <c r="D1293" s="210"/>
      <c r="E1293" s="2583" t="s">
        <v>9827</v>
      </c>
      <c r="F1293" s="195">
        <v>10</v>
      </c>
      <c r="G1293" s="195">
        <v>10</v>
      </c>
      <c r="H1293" s="195">
        <f>COUNTIF(HabilidadesEsenciales_Adquiridas,Tablas!E1293)</f>
        <v>0</v>
      </c>
      <c r="I1293" s="2585">
        <v>1</v>
      </c>
      <c r="J1293" s="370"/>
      <c r="K1293" s="2576"/>
      <c r="M1293" s="1847"/>
      <c r="N1293" s="96"/>
      <c r="O1293" s="411" t="s">
        <v>9406</v>
      </c>
      <c r="P1293" s="2595">
        <v>15</v>
      </c>
      <c r="Q1293" s="503">
        <f>50+IF(OR(TipoDeCriatura="Entre mundos, Elemental",TipoDeCriatura="Ánima, Elemental"),10,0)</f>
        <v>50</v>
      </c>
      <c r="R1293" s="2585">
        <f>COUNTIF(PoderesDeCriatura_Adquiridos,Tablas!O1293)</f>
        <v>0</v>
      </c>
      <c r="S1293" s="370"/>
      <c r="T1293" s="2576"/>
      <c r="U1293" s="436"/>
      <c r="V1293" s="2637" t="s">
        <v>2657</v>
      </c>
      <c r="W1293" s="2605"/>
      <c r="X1293" s="2172"/>
      <c r="Y1293" s="2619"/>
      <c r="Z1293" s="2619"/>
      <c r="AA1293" s="2619"/>
      <c r="AB1293" s="2619"/>
      <c r="AC1293" s="2619"/>
      <c r="AD1293" s="2619"/>
      <c r="AE1293" s="2619"/>
      <c r="AF1293" s="2619"/>
      <c r="AG1293" s="2619"/>
      <c r="AH1293" s="2619"/>
      <c r="AI1293" s="2619"/>
      <c r="AJ1293" s="2619"/>
      <c r="AK1293" s="2619"/>
      <c r="AL1293" s="2619"/>
      <c r="AM1293" s="2619"/>
      <c r="AN1293" s="2619"/>
      <c r="AO1293" s="2619"/>
      <c r="AP1293" s="2619"/>
      <c r="AQ1293" s="2619"/>
      <c r="AR1293" s="2619"/>
      <c r="AS1293" s="2619"/>
      <c r="AT1293" s="2619"/>
      <c r="AU1293" s="2619"/>
      <c r="AV1293" s="2619"/>
      <c r="AW1293" s="2619"/>
      <c r="AX1293" s="2619"/>
      <c r="AY1293" s="2619"/>
      <c r="AZ1293" s="2619"/>
      <c r="BA1293" s="2619"/>
      <c r="BB1293" s="2619"/>
      <c r="BC1293" s="2619"/>
      <c r="BD1293" s="2619"/>
      <c r="BE1293" s="2619"/>
      <c r="BF1293" s="2619"/>
      <c r="BG1293" s="2619"/>
      <c r="BH1293" s="2619"/>
      <c r="BI1293" s="2619"/>
      <c r="BJ1293" s="2619"/>
      <c r="BK1293" s="2619"/>
      <c r="BL1293" s="2619"/>
      <c r="BM1293" s="2604"/>
      <c r="BN1293" s="1767"/>
      <c r="BO1293" s="1767"/>
      <c r="BP1293" s="1767"/>
      <c r="BQ1293" s="1767"/>
      <c r="BR1293" s="1767"/>
      <c r="BS1293" s="1767"/>
      <c r="BT1293" s="1767"/>
      <c r="BU1293" s="1767"/>
      <c r="BV1293" s="1767"/>
      <c r="BW1293" s="1767"/>
      <c r="BX1293" s="1767"/>
      <c r="BY1293" s="1767"/>
      <c r="BZ1293" s="1767"/>
      <c r="CA1293" s="1768"/>
    </row>
    <row r="1294" spans="1:79" ht="12.75" customHeight="1" x14ac:dyDescent="0.2">
      <c r="A1294" s="1916">
        <v>1294</v>
      </c>
      <c r="B1294" s="5148"/>
      <c r="C1294" s="2580"/>
      <c r="D1294" s="210"/>
      <c r="E1294" s="2583" t="s">
        <v>9828</v>
      </c>
      <c r="F1294" s="195">
        <v>15</v>
      </c>
      <c r="G1294" s="195">
        <v>20</v>
      </c>
      <c r="H1294" s="195">
        <f>COUNTIF(HabilidadesEsenciales_Adquiridas,Tablas!E1294)</f>
        <v>0</v>
      </c>
      <c r="I1294" s="2585">
        <v>1</v>
      </c>
      <c r="J1294" s="370"/>
      <c r="K1294" s="2576"/>
      <c r="M1294" s="1847"/>
      <c r="N1294" s="96"/>
      <c r="O1294" s="411" t="s">
        <v>9407</v>
      </c>
      <c r="P1294" s="2595">
        <v>20</v>
      </c>
      <c r="Q1294" s="503">
        <f>100+IF(OR(TipoDeCriatura="Entre mundos, Elemental",TipoDeCriatura="Ánima, Elemental"),10,0)</f>
        <v>100</v>
      </c>
      <c r="R1294" s="2585">
        <f>COUNTIF(PoderesDeCriatura_Adquiridos,Tablas!O1294)</f>
        <v>0</v>
      </c>
      <c r="S1294" s="370"/>
      <c r="T1294" s="2576"/>
      <c r="U1294" s="436"/>
      <c r="V1294" s="2637" t="s">
        <v>1573</v>
      </c>
      <c r="W1294" s="2604"/>
      <c r="X1294" s="2172" t="str">
        <f t="shared" ref="X1294:X1310" si="144">IF(Y1294="","",SUBSTITUTE("PodHab_"&amp;V1294," ",""))</f>
        <v/>
      </c>
      <c r="Y1294" s="2619" t="s">
        <v>8500</v>
      </c>
      <c r="Z1294" s="2609"/>
      <c r="AA1294" s="2609"/>
      <c r="AB1294" s="2609"/>
      <c r="AC1294" s="2609"/>
      <c r="AD1294" s="2609"/>
      <c r="AE1294" s="2609"/>
      <c r="AF1294" s="2609"/>
      <c r="AG1294" s="2609"/>
      <c r="AH1294" s="2609"/>
      <c r="AI1294" s="2609"/>
      <c r="AJ1294" s="2609"/>
      <c r="AK1294" s="2609"/>
      <c r="AL1294" s="2609"/>
      <c r="AM1294" s="2609"/>
      <c r="AN1294" s="2609"/>
      <c r="AO1294" s="2609"/>
      <c r="AP1294" s="2609"/>
      <c r="AQ1294" s="2609"/>
      <c r="AR1294" s="2609"/>
      <c r="AS1294" s="2609"/>
      <c r="AT1294" s="2609"/>
      <c r="AU1294" s="2609"/>
      <c r="AV1294" s="2609"/>
      <c r="AW1294" s="2609"/>
      <c r="AX1294" s="2609"/>
      <c r="AY1294" s="2609"/>
      <c r="AZ1294" s="2609"/>
      <c r="BA1294" s="2609"/>
      <c r="BB1294" s="2609"/>
      <c r="BC1294" s="2609"/>
      <c r="BD1294" s="2609"/>
      <c r="BE1294" s="2609"/>
      <c r="BF1294" s="2609"/>
      <c r="BG1294" s="2609"/>
      <c r="BH1294" s="2609"/>
      <c r="BI1294" s="2609"/>
      <c r="BJ1294" s="2609"/>
      <c r="BK1294" s="2609"/>
      <c r="BL1294" s="2609"/>
      <c r="BM1294" s="2604"/>
      <c r="BN1294" s="1767"/>
      <c r="BO1294" s="1767"/>
      <c r="BP1294" s="1767"/>
      <c r="BQ1294" s="1767"/>
      <c r="BR1294" s="1767"/>
      <c r="BS1294" s="1767"/>
      <c r="BT1294" s="1767"/>
      <c r="BU1294" s="1767"/>
      <c r="BV1294" s="1767"/>
      <c r="BW1294" s="1767"/>
      <c r="BX1294" s="1767"/>
      <c r="BY1294" s="1767"/>
      <c r="BZ1294" s="1767"/>
      <c r="CA1294" s="1768"/>
    </row>
    <row r="1295" spans="1:79" ht="12.75" customHeight="1" x14ac:dyDescent="0.2">
      <c r="A1295" s="1916">
        <v>1295</v>
      </c>
      <c r="B1295" s="5148"/>
      <c r="C1295" s="2580"/>
      <c r="D1295" s="210"/>
      <c r="E1295" s="2583" t="s">
        <v>9829</v>
      </c>
      <c r="F1295" s="195">
        <v>20</v>
      </c>
      <c r="G1295" s="195">
        <v>30</v>
      </c>
      <c r="H1295" s="195">
        <f>COUNTIF(HabilidadesEsenciales_Adquiridas,Tablas!E1295)</f>
        <v>0</v>
      </c>
      <c r="I1295" s="2585">
        <v>1</v>
      </c>
      <c r="J1295" s="370"/>
      <c r="K1295" s="2576"/>
      <c r="M1295" s="1847"/>
      <c r="N1295" s="96"/>
      <c r="O1295" s="411" t="s">
        <v>9408</v>
      </c>
      <c r="P1295" s="2595">
        <v>10</v>
      </c>
      <c r="Q1295" s="503">
        <f>10+IF(OR(TipoDeCriatura="Entre mundos, Elemental",TipoDeCriatura="Ánima, Elemental"),10,0)</f>
        <v>10</v>
      </c>
      <c r="R1295" s="2585">
        <f>COUNTIF(PoderesDeCriatura_Adquiridos,Tablas!O1295)</f>
        <v>0</v>
      </c>
      <c r="S1295" s="370"/>
      <c r="T1295" s="2576"/>
      <c r="U1295" s="436"/>
      <c r="V1295" s="2638" t="s">
        <v>1566</v>
      </c>
      <c r="W1295" s="2604"/>
      <c r="X1295" s="2172" t="str">
        <f t="shared" si="144"/>
        <v/>
      </c>
      <c r="Y1295" s="2619" t="s">
        <v>8500</v>
      </c>
      <c r="Z1295" s="2625"/>
      <c r="AA1295" s="2625"/>
      <c r="AB1295" s="2625"/>
      <c r="AC1295" s="2625"/>
      <c r="AD1295" s="2625"/>
      <c r="AE1295" s="2625"/>
      <c r="AF1295" s="2625"/>
      <c r="AG1295" s="2625"/>
      <c r="AH1295" s="2625"/>
      <c r="AI1295" s="2625"/>
      <c r="AJ1295" s="2625"/>
      <c r="AK1295" s="2625"/>
      <c r="AL1295" s="2625"/>
      <c r="AM1295" s="2625"/>
      <c r="AN1295" s="2625"/>
      <c r="AO1295" s="2625"/>
      <c r="AP1295" s="2625"/>
      <c r="AQ1295" s="2625"/>
      <c r="AR1295" s="2625"/>
      <c r="AS1295" s="2625"/>
      <c r="AT1295" s="2625"/>
      <c r="AU1295" s="2625"/>
      <c r="AV1295" s="2625"/>
      <c r="AW1295" s="2625"/>
      <c r="AX1295" s="2625"/>
      <c r="AY1295" s="2625"/>
      <c r="AZ1295" s="2625"/>
      <c r="BA1295" s="2625"/>
      <c r="BB1295" s="2625"/>
      <c r="BC1295" s="2625"/>
      <c r="BD1295" s="2625"/>
      <c r="BE1295" s="2625"/>
      <c r="BF1295" s="2625"/>
      <c r="BG1295" s="2625"/>
      <c r="BH1295" s="2625"/>
      <c r="BI1295" s="2625"/>
      <c r="BJ1295" s="2625"/>
      <c r="BK1295" s="2625"/>
      <c r="BL1295" s="2625"/>
      <c r="BM1295" s="1767"/>
      <c r="BN1295" s="1767"/>
      <c r="BO1295" s="1767"/>
      <c r="BP1295" s="1767"/>
      <c r="BQ1295" s="1767"/>
      <c r="BR1295" s="1767"/>
      <c r="BS1295" s="1767"/>
      <c r="BT1295" s="1767"/>
      <c r="BU1295" s="1767"/>
      <c r="BV1295" s="1767"/>
      <c r="BW1295" s="1767"/>
      <c r="BX1295" s="1767"/>
      <c r="BY1295" s="1767"/>
      <c r="BZ1295" s="1767"/>
      <c r="CA1295" s="1768"/>
    </row>
    <row r="1296" spans="1:79" ht="12.75" customHeight="1" x14ac:dyDescent="0.2">
      <c r="A1296" s="1916">
        <v>1296</v>
      </c>
      <c r="B1296" s="5148"/>
      <c r="C1296" s="2580"/>
      <c r="D1296" s="210"/>
      <c r="E1296" s="2583" t="s">
        <v>9830</v>
      </c>
      <c r="F1296" s="195">
        <v>25</v>
      </c>
      <c r="G1296" s="195">
        <v>40</v>
      </c>
      <c r="H1296" s="195">
        <f>COUNTIF(HabilidadesEsenciales_Adquiridas,Tablas!E1296)</f>
        <v>0</v>
      </c>
      <c r="I1296" s="2585">
        <v>1</v>
      </c>
      <c r="J1296" s="370"/>
      <c r="K1296" s="2576"/>
      <c r="M1296" s="1847"/>
      <c r="N1296" s="96"/>
      <c r="O1296" s="411" t="s">
        <v>9409</v>
      </c>
      <c r="P1296" s="2578">
        <v>10</v>
      </c>
      <c r="Q1296" s="503">
        <v>-20</v>
      </c>
      <c r="R1296" s="2585">
        <f>COUNTIF(PoderesDeCriatura_Adquiridos,Tablas!O1296)</f>
        <v>0</v>
      </c>
      <c r="S1296" s="370"/>
      <c r="T1296" s="2576"/>
      <c r="U1296" s="436"/>
      <c r="V1296" s="2634" t="s">
        <v>2001</v>
      </c>
      <c r="W1296" s="2605"/>
      <c r="X1296" s="2172" t="str">
        <f t="shared" si="144"/>
        <v/>
      </c>
      <c r="Y1296" s="2619" t="s">
        <v>8500</v>
      </c>
      <c r="Z1296" s="2625"/>
      <c r="AA1296" s="2625"/>
      <c r="AB1296" s="2625"/>
      <c r="AC1296" s="2625"/>
      <c r="AD1296" s="2625"/>
      <c r="AE1296" s="2625"/>
      <c r="AF1296" s="2625"/>
      <c r="AG1296" s="2625"/>
      <c r="AH1296" s="2625"/>
      <c r="AI1296" s="2625"/>
      <c r="AJ1296" s="2625"/>
      <c r="AK1296" s="2625"/>
      <c r="AL1296" s="2625"/>
      <c r="AM1296" s="2625"/>
      <c r="AN1296" s="2625"/>
      <c r="AO1296" s="2625"/>
      <c r="AP1296" s="2625"/>
      <c r="AQ1296" s="2625"/>
      <c r="AR1296" s="2625"/>
      <c r="AS1296" s="2625"/>
      <c r="AT1296" s="2625"/>
      <c r="AU1296" s="2625"/>
      <c r="AV1296" s="2625"/>
      <c r="AW1296" s="2625"/>
      <c r="AX1296" s="2625"/>
      <c r="AY1296" s="2625"/>
      <c r="AZ1296" s="2625"/>
      <c r="BA1296" s="2625"/>
      <c r="BB1296" s="2625"/>
      <c r="BC1296" s="2625"/>
      <c r="BD1296" s="2625"/>
      <c r="BE1296" s="2625"/>
      <c r="BF1296" s="2625"/>
      <c r="BG1296" s="2625"/>
      <c r="BH1296" s="2625"/>
      <c r="BI1296" s="2625"/>
      <c r="BJ1296" s="2625"/>
      <c r="BK1296" s="2625"/>
      <c r="BL1296" s="2625"/>
      <c r="BM1296" s="1767"/>
      <c r="BN1296" s="1767"/>
      <c r="BO1296" s="1767"/>
      <c r="BP1296" s="1767"/>
      <c r="BQ1296" s="1767"/>
      <c r="BR1296" s="1767"/>
      <c r="BS1296" s="1767"/>
      <c r="BT1296" s="1767"/>
      <c r="BU1296" s="1767"/>
      <c r="BV1296" s="1767"/>
      <c r="BW1296" s="1767"/>
      <c r="BX1296" s="1767"/>
      <c r="BY1296" s="1767"/>
      <c r="BZ1296" s="1767"/>
      <c r="CA1296" s="1768"/>
    </row>
    <row r="1297" spans="1:79" ht="12.75" customHeight="1" x14ac:dyDescent="0.2">
      <c r="A1297" s="1916">
        <v>1297</v>
      </c>
      <c r="B1297" s="5148"/>
      <c r="C1297" s="2580"/>
      <c r="D1297" s="210"/>
      <c r="E1297" s="2583" t="s">
        <v>9831</v>
      </c>
      <c r="F1297" s="195">
        <v>30</v>
      </c>
      <c r="G1297" s="195">
        <v>50</v>
      </c>
      <c r="H1297" s="195">
        <f>COUNTIF(HabilidadesEsenciales_Adquiridas,Tablas!E1297)</f>
        <v>0</v>
      </c>
      <c r="I1297" s="2585">
        <v>1</v>
      </c>
      <c r="J1297" s="370"/>
      <c r="K1297" s="2576"/>
      <c r="M1297" s="1847"/>
      <c r="N1297" s="96"/>
      <c r="O1297" s="2592" t="s">
        <v>9410</v>
      </c>
      <c r="P1297" s="2595">
        <v>0</v>
      </c>
      <c r="Q1297" s="503">
        <v>10</v>
      </c>
      <c r="R1297" s="2585">
        <f>COUNTIF(PoderesDeCriatura_Adquiridos,Tablas!O1297)</f>
        <v>0</v>
      </c>
      <c r="S1297" s="370"/>
      <c r="T1297" s="2576"/>
      <c r="U1297" s="436"/>
      <c r="V1297" s="2634" t="s">
        <v>1575</v>
      </c>
      <c r="W1297" s="2605"/>
      <c r="X1297" s="2172" t="str">
        <f t="shared" si="144"/>
        <v/>
      </c>
      <c r="Y1297" s="2619" t="s">
        <v>8500</v>
      </c>
      <c r="Z1297" s="2625"/>
      <c r="AA1297" s="2625"/>
      <c r="AB1297" s="2625"/>
      <c r="AC1297" s="2625"/>
      <c r="AD1297" s="2625"/>
      <c r="AE1297" s="2625"/>
      <c r="AF1297" s="2625"/>
      <c r="AG1297" s="2625"/>
      <c r="AH1297" s="2625"/>
      <c r="AI1297" s="2625"/>
      <c r="AJ1297" s="2625"/>
      <c r="AK1297" s="2625"/>
      <c r="AL1297" s="2625"/>
      <c r="AM1297" s="2625"/>
      <c r="AN1297" s="2625"/>
      <c r="AO1297" s="2625"/>
      <c r="AP1297" s="2625"/>
      <c r="AQ1297" s="2625"/>
      <c r="AR1297" s="2625"/>
      <c r="AS1297" s="2625"/>
      <c r="AT1297" s="2625"/>
      <c r="AU1297" s="2625"/>
      <c r="AV1297" s="2625"/>
      <c r="AW1297" s="2625"/>
      <c r="AX1297" s="2625"/>
      <c r="AY1297" s="2625"/>
      <c r="AZ1297" s="2625"/>
      <c r="BA1297" s="2625"/>
      <c r="BB1297" s="2625"/>
      <c r="BC1297" s="2625"/>
      <c r="BD1297" s="2625"/>
      <c r="BE1297" s="2625"/>
      <c r="BF1297" s="2625"/>
      <c r="BG1297" s="2625"/>
      <c r="BH1297" s="2625"/>
      <c r="BI1297" s="2625"/>
      <c r="BJ1297" s="2625"/>
      <c r="BK1297" s="2625"/>
      <c r="BL1297" s="2625"/>
      <c r="BM1297" s="1767"/>
      <c r="BN1297" s="1767"/>
      <c r="BO1297" s="1767"/>
      <c r="BP1297" s="1767"/>
      <c r="BQ1297" s="1767"/>
      <c r="BR1297" s="1767"/>
      <c r="BS1297" s="1767"/>
      <c r="BT1297" s="1767"/>
      <c r="BU1297" s="1767"/>
      <c r="BV1297" s="1767"/>
      <c r="BW1297" s="1767"/>
      <c r="BX1297" s="1767"/>
      <c r="BY1297" s="1767"/>
      <c r="BZ1297" s="1767"/>
      <c r="CA1297" s="1768"/>
    </row>
    <row r="1298" spans="1:79" ht="12.75" customHeight="1" x14ac:dyDescent="0.2">
      <c r="A1298" s="1916">
        <v>1298</v>
      </c>
      <c r="B1298" s="5148"/>
      <c r="C1298" s="2580"/>
      <c r="D1298" s="210"/>
      <c r="E1298" s="2583" t="s">
        <v>9832</v>
      </c>
      <c r="F1298" s="195">
        <v>10</v>
      </c>
      <c r="G1298" s="195">
        <v>10</v>
      </c>
      <c r="H1298" s="195">
        <f>COUNTIF(HabilidadesEsenciales_Adquiridas,Tablas!E1298)</f>
        <v>0</v>
      </c>
      <c r="I1298" s="2585">
        <v>1</v>
      </c>
      <c r="J1298" s="370"/>
      <c r="K1298" s="2576"/>
      <c r="M1298" s="1847"/>
      <c r="N1298" s="96"/>
      <c r="O1298" s="411" t="s">
        <v>9411</v>
      </c>
      <c r="P1298" s="2595">
        <v>0</v>
      </c>
      <c r="Q1298" s="503">
        <v>20</v>
      </c>
      <c r="R1298" s="2585">
        <f>COUNTIF(PoderesDeCriatura_Adquiridos,Tablas!O1298)</f>
        <v>0</v>
      </c>
      <c r="S1298" s="370"/>
      <c r="T1298" s="2576"/>
      <c r="U1298" s="436"/>
      <c r="V1298" s="2634" t="s">
        <v>1574</v>
      </c>
      <c r="W1298" s="2605"/>
      <c r="X1298" s="2172" t="str">
        <f t="shared" si="144"/>
        <v/>
      </c>
      <c r="Y1298" s="2619" t="s">
        <v>8500</v>
      </c>
      <c r="Z1298" s="2625"/>
      <c r="AA1298" s="2625"/>
      <c r="AB1298" s="2625"/>
      <c r="AC1298" s="2625"/>
      <c r="AD1298" s="2625"/>
      <c r="AE1298" s="2625"/>
      <c r="AF1298" s="2625"/>
      <c r="AG1298" s="2625"/>
      <c r="AH1298" s="2625"/>
      <c r="AI1298" s="2625"/>
      <c r="AJ1298" s="2625"/>
      <c r="AK1298" s="2625"/>
      <c r="AL1298" s="2625"/>
      <c r="AM1298" s="2625"/>
      <c r="AN1298" s="2625"/>
      <c r="AO1298" s="2625"/>
      <c r="AP1298" s="2625"/>
      <c r="AQ1298" s="2625"/>
      <c r="AR1298" s="2625"/>
      <c r="AS1298" s="2625"/>
      <c r="AT1298" s="2625"/>
      <c r="AU1298" s="2625"/>
      <c r="AV1298" s="2625"/>
      <c r="AW1298" s="2625"/>
      <c r="AX1298" s="2625"/>
      <c r="AY1298" s="2625"/>
      <c r="AZ1298" s="2625"/>
      <c r="BA1298" s="2625"/>
      <c r="BB1298" s="2625"/>
      <c r="BC1298" s="2625"/>
      <c r="BD1298" s="2625"/>
      <c r="BE1298" s="2625"/>
      <c r="BF1298" s="2625"/>
      <c r="BG1298" s="2625"/>
      <c r="BH1298" s="2625"/>
      <c r="BI1298" s="2625"/>
      <c r="BJ1298" s="2625"/>
      <c r="BK1298" s="2625"/>
      <c r="BL1298" s="2625"/>
      <c r="BM1298" s="1767"/>
      <c r="BN1298" s="1767"/>
      <c r="BO1298" s="1767"/>
      <c r="BP1298" s="1767"/>
      <c r="BQ1298" s="1767"/>
      <c r="BR1298" s="1767"/>
      <c r="BS1298" s="1767"/>
      <c r="BT1298" s="1767"/>
      <c r="BU1298" s="1767"/>
      <c r="BV1298" s="1767"/>
      <c r="BW1298" s="1767"/>
      <c r="BX1298" s="1767"/>
      <c r="BY1298" s="1767"/>
      <c r="BZ1298" s="1767"/>
      <c r="CA1298" s="1768"/>
    </row>
    <row r="1299" spans="1:79" ht="12.75" customHeight="1" x14ac:dyDescent="0.2">
      <c r="A1299" s="1916">
        <v>1299</v>
      </c>
      <c r="B1299" s="5148"/>
      <c r="C1299" s="2580"/>
      <c r="D1299" s="210"/>
      <c r="E1299" s="2583" t="s">
        <v>9833</v>
      </c>
      <c r="F1299" s="195">
        <v>15</v>
      </c>
      <c r="G1299" s="195">
        <v>20</v>
      </c>
      <c r="H1299" s="195">
        <f>COUNTIF(HabilidadesEsenciales_Adquiridas,Tablas!E1299)</f>
        <v>0</v>
      </c>
      <c r="I1299" s="2585">
        <v>1</v>
      </c>
      <c r="J1299" s="370"/>
      <c r="K1299" s="2576"/>
      <c r="M1299" s="1847"/>
      <c r="N1299" s="96"/>
      <c r="O1299" s="411" t="s">
        <v>9412</v>
      </c>
      <c r="P1299" s="2595">
        <v>0</v>
      </c>
      <c r="Q1299" s="503">
        <v>30</v>
      </c>
      <c r="R1299" s="2585">
        <f>COUNTIF(PoderesDeCriatura_Adquiridos,Tablas!O1299)</f>
        <v>0</v>
      </c>
      <c r="S1299" s="370"/>
      <c r="T1299" s="2576"/>
      <c r="U1299" s="436"/>
      <c r="V1299" s="2634" t="s">
        <v>1571</v>
      </c>
      <c r="W1299" s="2605"/>
      <c r="X1299" s="2172" t="str">
        <f t="shared" si="144"/>
        <v/>
      </c>
      <c r="Y1299" s="2619" t="s">
        <v>8500</v>
      </c>
      <c r="Z1299" s="2625"/>
      <c r="AA1299" s="2625"/>
      <c r="AB1299" s="2625"/>
      <c r="AC1299" s="2625"/>
      <c r="AD1299" s="2625"/>
      <c r="AE1299" s="2625"/>
      <c r="AF1299" s="2625"/>
      <c r="AG1299" s="2625"/>
      <c r="AH1299" s="2625"/>
      <c r="AI1299" s="2625"/>
      <c r="AJ1299" s="2625"/>
      <c r="AK1299" s="2625"/>
      <c r="AL1299" s="2625"/>
      <c r="AM1299" s="2625"/>
      <c r="AN1299" s="2625"/>
      <c r="AO1299" s="2625"/>
      <c r="AP1299" s="2625"/>
      <c r="AQ1299" s="2625"/>
      <c r="AR1299" s="2625"/>
      <c r="AS1299" s="2625"/>
      <c r="AT1299" s="2625"/>
      <c r="AU1299" s="2625"/>
      <c r="AV1299" s="2625"/>
      <c r="AW1299" s="2625"/>
      <c r="AX1299" s="2625"/>
      <c r="AY1299" s="2625"/>
      <c r="AZ1299" s="2625"/>
      <c r="BA1299" s="2625"/>
      <c r="BB1299" s="2625"/>
      <c r="BC1299" s="2625"/>
      <c r="BD1299" s="2625"/>
      <c r="BE1299" s="2625"/>
      <c r="BF1299" s="2625"/>
      <c r="BG1299" s="2625"/>
      <c r="BH1299" s="2625"/>
      <c r="BI1299" s="2625"/>
      <c r="BJ1299" s="2625"/>
      <c r="BK1299" s="2625"/>
      <c r="BL1299" s="2625"/>
      <c r="BM1299" s="1767"/>
      <c r="BN1299" s="1767"/>
      <c r="BO1299" s="1767"/>
      <c r="BP1299" s="1767"/>
      <c r="BQ1299" s="1767"/>
      <c r="BR1299" s="1767"/>
      <c r="BS1299" s="1767"/>
      <c r="BT1299" s="1767"/>
      <c r="BU1299" s="1767"/>
      <c r="BV1299" s="1767"/>
      <c r="BW1299" s="1767"/>
      <c r="BX1299" s="1767"/>
      <c r="BY1299" s="1767"/>
      <c r="BZ1299" s="1767"/>
      <c r="CA1299" s="1768"/>
    </row>
    <row r="1300" spans="1:79" ht="12.75" customHeight="1" x14ac:dyDescent="0.2">
      <c r="A1300" s="1916">
        <v>1300</v>
      </c>
      <c r="B1300" s="5148"/>
      <c r="C1300" s="2580"/>
      <c r="D1300" s="210"/>
      <c r="E1300" s="2583" t="s">
        <v>9834</v>
      </c>
      <c r="F1300" s="195">
        <v>20</v>
      </c>
      <c r="G1300" s="195">
        <v>30</v>
      </c>
      <c r="H1300" s="195">
        <f>COUNTIF(HabilidadesEsenciales_Adquiridas,Tablas!E1300)</f>
        <v>0</v>
      </c>
      <c r="I1300" s="2585">
        <v>1</v>
      </c>
      <c r="J1300" s="370"/>
      <c r="K1300" s="2576"/>
      <c r="M1300" s="1847"/>
      <c r="N1300" s="96"/>
      <c r="O1300" s="411" t="s">
        <v>9413</v>
      </c>
      <c r="P1300" s="2595">
        <v>5</v>
      </c>
      <c r="Q1300" s="503">
        <v>40</v>
      </c>
      <c r="R1300" s="2585">
        <f>COUNTIF(PoderesDeCriatura_Adquiridos,Tablas!O1300)</f>
        <v>0</v>
      </c>
      <c r="S1300" s="370"/>
      <c r="T1300" s="2576"/>
      <c r="U1300" s="436"/>
      <c r="V1300" s="2634" t="s">
        <v>1572</v>
      </c>
      <c r="W1300" s="2605"/>
      <c r="X1300" s="2172" t="str">
        <f t="shared" si="144"/>
        <v/>
      </c>
      <c r="Y1300" s="2619" t="s">
        <v>8500</v>
      </c>
      <c r="Z1300" s="2625"/>
      <c r="AA1300" s="2625"/>
      <c r="AB1300" s="2625"/>
      <c r="AC1300" s="2625"/>
      <c r="AD1300" s="2625"/>
      <c r="AE1300" s="2625"/>
      <c r="AF1300" s="2625"/>
      <c r="AG1300" s="2625"/>
      <c r="AH1300" s="2625"/>
      <c r="AI1300" s="2625"/>
      <c r="AJ1300" s="2625"/>
      <c r="AK1300" s="2625"/>
      <c r="AL1300" s="2625"/>
      <c r="AM1300" s="2625"/>
      <c r="AN1300" s="2625"/>
      <c r="AO1300" s="2625"/>
      <c r="AP1300" s="2625"/>
      <c r="AQ1300" s="2625"/>
      <c r="AR1300" s="2625"/>
      <c r="AS1300" s="2625"/>
      <c r="AT1300" s="2625"/>
      <c r="AU1300" s="2625"/>
      <c r="AV1300" s="2625"/>
      <c r="AW1300" s="2625"/>
      <c r="AX1300" s="2625"/>
      <c r="AY1300" s="2625"/>
      <c r="AZ1300" s="2625"/>
      <c r="BA1300" s="2625"/>
      <c r="BB1300" s="2625"/>
      <c r="BC1300" s="2625"/>
      <c r="BD1300" s="2625"/>
      <c r="BE1300" s="2625"/>
      <c r="BF1300" s="2625"/>
      <c r="BG1300" s="2625"/>
      <c r="BH1300" s="2625"/>
      <c r="BI1300" s="2625"/>
      <c r="BJ1300" s="2625"/>
      <c r="BK1300" s="2625"/>
      <c r="BL1300" s="2625"/>
      <c r="BM1300" s="1767"/>
      <c r="BN1300" s="1767"/>
      <c r="BO1300" s="1767"/>
      <c r="BP1300" s="1767"/>
      <c r="BQ1300" s="1767"/>
      <c r="BR1300" s="1767"/>
      <c r="BS1300" s="1767"/>
      <c r="BT1300" s="1767"/>
      <c r="BU1300" s="1767"/>
      <c r="BV1300" s="1767"/>
      <c r="BW1300" s="1767"/>
      <c r="BX1300" s="1767"/>
      <c r="BY1300" s="1767"/>
      <c r="BZ1300" s="1767"/>
      <c r="CA1300" s="1768"/>
    </row>
    <row r="1301" spans="1:79" ht="12.75" customHeight="1" x14ac:dyDescent="0.2">
      <c r="A1301" s="1916">
        <v>1301</v>
      </c>
      <c r="B1301" s="5148"/>
      <c r="C1301" s="2580"/>
      <c r="D1301" s="210"/>
      <c r="E1301" s="2583" t="s">
        <v>9835</v>
      </c>
      <c r="F1301" s="195">
        <v>25</v>
      </c>
      <c r="G1301" s="195">
        <v>40</v>
      </c>
      <c r="H1301" s="195">
        <f>COUNTIF(HabilidadesEsenciales_Adquiridas,Tablas!E1301)</f>
        <v>0</v>
      </c>
      <c r="I1301" s="2585">
        <v>1</v>
      </c>
      <c r="J1301" s="370"/>
      <c r="K1301" s="2576"/>
      <c r="M1301" s="1847"/>
      <c r="N1301" s="96"/>
      <c r="O1301" s="411" t="s">
        <v>9414</v>
      </c>
      <c r="P1301" s="2595">
        <v>5</v>
      </c>
      <c r="Q1301" s="503">
        <v>50</v>
      </c>
      <c r="R1301" s="2585">
        <f>COUNTIF(PoderesDeCriatura_Adquiridos,Tablas!O1301)</f>
        <v>0</v>
      </c>
      <c r="S1301" s="370"/>
      <c r="T1301" s="2576"/>
      <c r="U1301" s="436"/>
      <c r="V1301" s="2634" t="s">
        <v>1570</v>
      </c>
      <c r="W1301" s="2605"/>
      <c r="X1301" s="2172" t="str">
        <f t="shared" si="144"/>
        <v/>
      </c>
      <c r="Y1301" s="2619" t="s">
        <v>8500</v>
      </c>
      <c r="Z1301" s="2625"/>
      <c r="AA1301" s="2625"/>
      <c r="AB1301" s="2625"/>
      <c r="AC1301" s="2625"/>
      <c r="AD1301" s="2625"/>
      <c r="AE1301" s="2625"/>
      <c r="AF1301" s="2625"/>
      <c r="AG1301" s="2625"/>
      <c r="AH1301" s="2625"/>
      <c r="AI1301" s="2625"/>
      <c r="AJ1301" s="2625"/>
      <c r="AK1301" s="2625"/>
      <c r="AL1301" s="2625"/>
      <c r="AM1301" s="2625"/>
      <c r="AN1301" s="2625"/>
      <c r="AO1301" s="2625"/>
      <c r="AP1301" s="2625"/>
      <c r="AQ1301" s="2625"/>
      <c r="AR1301" s="2625"/>
      <c r="AS1301" s="2625"/>
      <c r="AT1301" s="2625"/>
      <c r="AU1301" s="2625"/>
      <c r="AV1301" s="2625"/>
      <c r="AW1301" s="2625"/>
      <c r="AX1301" s="2625"/>
      <c r="AY1301" s="2625"/>
      <c r="AZ1301" s="2625"/>
      <c r="BA1301" s="2625"/>
      <c r="BB1301" s="2625"/>
      <c r="BC1301" s="2625"/>
      <c r="BD1301" s="2625"/>
      <c r="BE1301" s="2625"/>
      <c r="BF1301" s="2625"/>
      <c r="BG1301" s="2625"/>
      <c r="BH1301" s="2625"/>
      <c r="BI1301" s="2625"/>
      <c r="BJ1301" s="2625"/>
      <c r="BK1301" s="2625"/>
      <c r="BL1301" s="2625"/>
      <c r="BM1301" s="1767"/>
      <c r="BN1301" s="1767"/>
      <c r="BO1301" s="1767"/>
      <c r="BP1301" s="1767"/>
      <c r="BQ1301" s="1767"/>
      <c r="BR1301" s="1767"/>
      <c r="BS1301" s="1767"/>
      <c r="BT1301" s="1767"/>
      <c r="BU1301" s="1767"/>
      <c r="BV1301" s="1767"/>
      <c r="BW1301" s="1767"/>
      <c r="BX1301" s="1767"/>
      <c r="BY1301" s="1767"/>
      <c r="BZ1301" s="1767"/>
      <c r="CA1301" s="1768"/>
    </row>
    <row r="1302" spans="1:79" ht="12.75" customHeight="1" x14ac:dyDescent="0.2">
      <c r="A1302" s="1916">
        <v>1302</v>
      </c>
      <c r="B1302" s="5148"/>
      <c r="C1302" s="2580"/>
      <c r="D1302" s="210"/>
      <c r="E1302" s="2583" t="s">
        <v>9836</v>
      </c>
      <c r="F1302" s="195">
        <v>30</v>
      </c>
      <c r="G1302" s="195">
        <v>50</v>
      </c>
      <c r="H1302" s="195">
        <f>COUNTIF(HabilidadesEsenciales_Adquiridas,Tablas!E1302)</f>
        <v>0</v>
      </c>
      <c r="I1302" s="2585">
        <v>1</v>
      </c>
      <c r="J1302" s="370"/>
      <c r="K1302" s="2576"/>
      <c r="M1302" s="1847"/>
      <c r="N1302" s="96"/>
      <c r="O1302" s="411" t="s">
        <v>9415</v>
      </c>
      <c r="P1302" s="2595">
        <v>10</v>
      </c>
      <c r="Q1302" s="503">
        <v>60</v>
      </c>
      <c r="R1302" s="2585">
        <f>COUNTIF(PoderesDeCriatura_Adquiridos,Tablas!O1302)</f>
        <v>0</v>
      </c>
      <c r="S1302" s="370"/>
      <c r="T1302" s="2576"/>
      <c r="U1302" s="436"/>
      <c r="V1302" s="2634" t="s">
        <v>1576</v>
      </c>
      <c r="W1302" s="2605"/>
      <c r="X1302" s="2172" t="str">
        <f t="shared" si="144"/>
        <v/>
      </c>
      <c r="Y1302" s="2619" t="s">
        <v>8500</v>
      </c>
      <c r="Z1302" s="2625"/>
      <c r="AA1302" s="2625"/>
      <c r="AB1302" s="2625"/>
      <c r="AC1302" s="2625"/>
      <c r="AD1302" s="2625"/>
      <c r="AE1302" s="2625"/>
      <c r="AF1302" s="2625"/>
      <c r="AG1302" s="2625"/>
      <c r="AH1302" s="2625"/>
      <c r="AI1302" s="2625"/>
      <c r="AJ1302" s="2625"/>
      <c r="AK1302" s="2625"/>
      <c r="AL1302" s="2625"/>
      <c r="AM1302" s="2625"/>
      <c r="AN1302" s="2625"/>
      <c r="AO1302" s="2625"/>
      <c r="AP1302" s="2625"/>
      <c r="AQ1302" s="2625"/>
      <c r="AR1302" s="2625"/>
      <c r="AS1302" s="2625"/>
      <c r="AT1302" s="2625"/>
      <c r="AU1302" s="2625"/>
      <c r="AV1302" s="2625"/>
      <c r="AW1302" s="2625"/>
      <c r="AX1302" s="2625"/>
      <c r="AY1302" s="2625"/>
      <c r="AZ1302" s="2625"/>
      <c r="BA1302" s="2625"/>
      <c r="BB1302" s="2625"/>
      <c r="BC1302" s="2625"/>
      <c r="BD1302" s="2625"/>
      <c r="BE1302" s="2625"/>
      <c r="BF1302" s="2625"/>
      <c r="BG1302" s="2625"/>
      <c r="BH1302" s="2625"/>
      <c r="BI1302" s="2625"/>
      <c r="BJ1302" s="2625"/>
      <c r="BK1302" s="2625"/>
      <c r="BL1302" s="2625"/>
      <c r="BM1302" s="1767"/>
      <c r="BN1302" s="1767"/>
      <c r="BO1302" s="1767"/>
      <c r="BP1302" s="1767"/>
      <c r="BQ1302" s="1767"/>
      <c r="BR1302" s="1767"/>
      <c r="BS1302" s="1767"/>
      <c r="BT1302" s="1767"/>
      <c r="BU1302" s="1767"/>
      <c r="BV1302" s="1767"/>
      <c r="BW1302" s="1767"/>
      <c r="BX1302" s="1767"/>
      <c r="BY1302" s="1767"/>
      <c r="BZ1302" s="1767"/>
      <c r="CA1302" s="1768"/>
    </row>
    <row r="1303" spans="1:79" ht="12.75" customHeight="1" x14ac:dyDescent="0.2">
      <c r="A1303" s="1916">
        <v>1303</v>
      </c>
      <c r="B1303" s="5148"/>
      <c r="C1303" s="2580"/>
      <c r="D1303" s="210"/>
      <c r="E1303" s="2583" t="s">
        <v>9837</v>
      </c>
      <c r="F1303" s="195">
        <v>10</v>
      </c>
      <c r="G1303" s="195">
        <v>10</v>
      </c>
      <c r="H1303" s="195">
        <f>COUNTIF(HabilidadesEsenciales_Adquiridas,Tablas!E1303)</f>
        <v>0</v>
      </c>
      <c r="I1303" s="2585">
        <v>1</v>
      </c>
      <c r="J1303" s="370"/>
      <c r="K1303" s="2576"/>
      <c r="M1303" s="1847"/>
      <c r="N1303" s="96"/>
      <c r="O1303" s="411" t="s">
        <v>9416</v>
      </c>
      <c r="P1303" s="2595">
        <v>20</v>
      </c>
      <c r="Q1303" s="503">
        <v>70</v>
      </c>
      <c r="R1303" s="2585">
        <f>COUNTIF(PoderesDeCriatura_Adquiridos,Tablas!O1303)</f>
        <v>0</v>
      </c>
      <c r="S1303" s="370"/>
      <c r="T1303" s="2576"/>
      <c r="U1303" s="436"/>
      <c r="V1303" s="2634" t="s">
        <v>1569</v>
      </c>
      <c r="W1303" s="2605"/>
      <c r="X1303" s="2172" t="str">
        <f t="shared" si="144"/>
        <v/>
      </c>
      <c r="Y1303" s="2619" t="s">
        <v>8500</v>
      </c>
      <c r="Z1303" s="2625"/>
      <c r="AA1303" s="2625"/>
      <c r="AB1303" s="2625"/>
      <c r="AC1303" s="2625"/>
      <c r="AD1303" s="2625"/>
      <c r="AE1303" s="2625"/>
      <c r="AF1303" s="2625"/>
      <c r="AG1303" s="2625"/>
      <c r="AH1303" s="2625"/>
      <c r="AI1303" s="2625"/>
      <c r="AJ1303" s="2625"/>
      <c r="AK1303" s="2625"/>
      <c r="AL1303" s="2625"/>
      <c r="AM1303" s="2625"/>
      <c r="AN1303" s="2625"/>
      <c r="AO1303" s="2625"/>
      <c r="AP1303" s="2625"/>
      <c r="AQ1303" s="2625"/>
      <c r="AR1303" s="2625"/>
      <c r="AS1303" s="2625"/>
      <c r="AT1303" s="2625"/>
      <c r="AU1303" s="2625"/>
      <c r="AV1303" s="2625"/>
      <c r="AW1303" s="2625"/>
      <c r="AX1303" s="2625"/>
      <c r="AY1303" s="2625"/>
      <c r="AZ1303" s="2625"/>
      <c r="BA1303" s="2625"/>
      <c r="BB1303" s="2625"/>
      <c r="BC1303" s="2625"/>
      <c r="BD1303" s="2625"/>
      <c r="BE1303" s="2625"/>
      <c r="BF1303" s="2625"/>
      <c r="BG1303" s="2625"/>
      <c r="BH1303" s="2625"/>
      <c r="BI1303" s="2625"/>
      <c r="BJ1303" s="2625"/>
      <c r="BK1303" s="2625"/>
      <c r="BL1303" s="2625"/>
      <c r="BM1303" s="1767"/>
      <c r="BN1303" s="1767"/>
      <c r="BO1303" s="1767"/>
      <c r="BP1303" s="1767"/>
      <c r="BQ1303" s="1767"/>
      <c r="BR1303" s="1767"/>
      <c r="BS1303" s="1767"/>
      <c r="BT1303" s="1767"/>
      <c r="BU1303" s="1767"/>
      <c r="BV1303" s="1767"/>
      <c r="BW1303" s="1767"/>
      <c r="BX1303" s="1767"/>
      <c r="BY1303" s="1767"/>
      <c r="BZ1303" s="1767"/>
      <c r="CA1303" s="1768"/>
    </row>
    <row r="1304" spans="1:79" ht="12.75" customHeight="1" x14ac:dyDescent="0.2">
      <c r="A1304" s="1916">
        <v>1304</v>
      </c>
      <c r="B1304" s="5148"/>
      <c r="C1304" s="2580"/>
      <c r="D1304" s="210"/>
      <c r="E1304" s="2583" t="s">
        <v>9838</v>
      </c>
      <c r="F1304" s="195">
        <v>15</v>
      </c>
      <c r="G1304" s="195">
        <v>20</v>
      </c>
      <c r="H1304" s="195">
        <f>COUNTIF(HabilidadesEsenciales_Adquiridas,Tablas!E1304)</f>
        <v>0</v>
      </c>
      <c r="I1304" s="2585">
        <v>1</v>
      </c>
      <c r="J1304" s="370"/>
      <c r="K1304" s="2576"/>
      <c r="M1304" s="1847"/>
      <c r="N1304" s="96"/>
      <c r="O1304" s="411" t="s">
        <v>9417</v>
      </c>
      <c r="P1304" s="2595">
        <v>30</v>
      </c>
      <c r="Q1304" s="503">
        <v>80</v>
      </c>
      <c r="R1304" s="2585">
        <f>COUNTIF(PoderesDeCriatura_Adquiridos,Tablas!O1304)</f>
        <v>0</v>
      </c>
      <c r="S1304" s="370"/>
      <c r="T1304" s="2576"/>
      <c r="U1304" s="436"/>
      <c r="V1304" s="2634" t="s">
        <v>1567</v>
      </c>
      <c r="W1304" s="2605"/>
      <c r="X1304" s="2172" t="str">
        <f t="shared" si="144"/>
        <v/>
      </c>
      <c r="Y1304" s="2619" t="s">
        <v>8500</v>
      </c>
      <c r="Z1304" s="2625"/>
      <c r="AA1304" s="2625"/>
      <c r="AB1304" s="2625"/>
      <c r="AC1304" s="2625"/>
      <c r="AD1304" s="2625"/>
      <c r="AE1304" s="2625"/>
      <c r="AF1304" s="2625"/>
      <c r="AG1304" s="2625"/>
      <c r="AH1304" s="2625"/>
      <c r="AI1304" s="2625"/>
      <c r="AJ1304" s="2625"/>
      <c r="AK1304" s="2625"/>
      <c r="AL1304" s="2625"/>
      <c r="AM1304" s="2625"/>
      <c r="AN1304" s="2625"/>
      <c r="AO1304" s="2625"/>
      <c r="AP1304" s="2625"/>
      <c r="AQ1304" s="2625"/>
      <c r="AR1304" s="2625"/>
      <c r="AS1304" s="2625"/>
      <c r="AT1304" s="2625"/>
      <c r="AU1304" s="2625"/>
      <c r="AV1304" s="2625"/>
      <c r="AW1304" s="2625"/>
      <c r="AX1304" s="2625"/>
      <c r="AY1304" s="2625"/>
      <c r="AZ1304" s="2625"/>
      <c r="BA1304" s="2625"/>
      <c r="BB1304" s="2625"/>
      <c r="BC1304" s="2625"/>
      <c r="BD1304" s="2625"/>
      <c r="BE1304" s="2625"/>
      <c r="BF1304" s="2625"/>
      <c r="BG1304" s="2625"/>
      <c r="BH1304" s="2625"/>
      <c r="BI1304" s="2625"/>
      <c r="BJ1304" s="2625"/>
      <c r="BK1304" s="2625"/>
      <c r="BL1304" s="2625"/>
      <c r="BM1304" s="1767"/>
      <c r="BN1304" s="1767"/>
      <c r="BO1304" s="1767"/>
      <c r="BP1304" s="1767"/>
      <c r="BQ1304" s="1767"/>
      <c r="BR1304" s="1767"/>
      <c r="BS1304" s="1767"/>
      <c r="BT1304" s="1767"/>
      <c r="BU1304" s="1767"/>
      <c r="BV1304" s="1767"/>
      <c r="BW1304" s="1767"/>
      <c r="BX1304" s="1767"/>
      <c r="BY1304" s="1767"/>
      <c r="BZ1304" s="1767"/>
      <c r="CA1304" s="1768"/>
    </row>
    <row r="1305" spans="1:79" ht="12.75" customHeight="1" x14ac:dyDescent="0.2">
      <c r="A1305" s="1916">
        <v>1305</v>
      </c>
      <c r="B1305" s="5148"/>
      <c r="C1305" s="2580"/>
      <c r="D1305" s="210"/>
      <c r="E1305" s="2583" t="s">
        <v>9839</v>
      </c>
      <c r="F1305" s="195">
        <v>20</v>
      </c>
      <c r="G1305" s="195">
        <v>30</v>
      </c>
      <c r="H1305" s="195">
        <f>COUNTIF(HabilidadesEsenciales_Adquiridas,Tablas!E1305)</f>
        <v>0</v>
      </c>
      <c r="I1305" s="2585">
        <v>1</v>
      </c>
      <c r="J1305" s="370"/>
      <c r="K1305" s="2576"/>
      <c r="M1305" s="1847"/>
      <c r="N1305" s="96"/>
      <c r="O1305" s="411" t="s">
        <v>9418</v>
      </c>
      <c r="P1305" s="2595">
        <v>30</v>
      </c>
      <c r="Q1305" s="503">
        <v>90</v>
      </c>
      <c r="R1305" s="2585">
        <f>COUNTIF(PoderesDeCriatura_Adquiridos,Tablas!O1305)</f>
        <v>0</v>
      </c>
      <c r="S1305" s="370"/>
      <c r="T1305" s="2576"/>
      <c r="U1305" s="436"/>
      <c r="V1305" s="2634" t="s">
        <v>1568</v>
      </c>
      <c r="W1305" s="2605"/>
      <c r="X1305" s="2172" t="str">
        <f t="shared" si="144"/>
        <v/>
      </c>
      <c r="Y1305" s="2619" t="s">
        <v>8500</v>
      </c>
      <c r="Z1305" s="2625"/>
      <c r="AA1305" s="2625"/>
      <c r="AB1305" s="2625"/>
      <c r="AC1305" s="2625"/>
      <c r="AD1305" s="2625"/>
      <c r="AE1305" s="2625"/>
      <c r="AF1305" s="2625"/>
      <c r="AG1305" s="2625"/>
      <c r="AH1305" s="2625"/>
      <c r="AI1305" s="2625"/>
      <c r="AJ1305" s="2625"/>
      <c r="AK1305" s="2625"/>
      <c r="AL1305" s="2625"/>
      <c r="AM1305" s="2625"/>
      <c r="AN1305" s="2625"/>
      <c r="AO1305" s="2625"/>
      <c r="AP1305" s="2625"/>
      <c r="AQ1305" s="2625"/>
      <c r="AR1305" s="2625"/>
      <c r="AS1305" s="2625"/>
      <c r="AT1305" s="2625"/>
      <c r="AU1305" s="2625"/>
      <c r="AV1305" s="2625"/>
      <c r="AW1305" s="2625"/>
      <c r="AX1305" s="2625"/>
      <c r="AY1305" s="2625"/>
      <c r="AZ1305" s="2625"/>
      <c r="BA1305" s="2625"/>
      <c r="BB1305" s="2625"/>
      <c r="BC1305" s="2625"/>
      <c r="BD1305" s="2625"/>
      <c r="BE1305" s="2625"/>
      <c r="BF1305" s="2625"/>
      <c r="BG1305" s="2625"/>
      <c r="BH1305" s="2625"/>
      <c r="BI1305" s="2625"/>
      <c r="BJ1305" s="2625"/>
      <c r="BK1305" s="2625"/>
      <c r="BL1305" s="2625"/>
      <c r="BM1305" s="1767"/>
      <c r="BN1305" s="1767"/>
      <c r="BO1305" s="1767"/>
      <c r="BP1305" s="1767"/>
      <c r="BQ1305" s="1767"/>
      <c r="BR1305" s="1767"/>
      <c r="BS1305" s="1767"/>
      <c r="BT1305" s="1767"/>
      <c r="BU1305" s="1767"/>
      <c r="BV1305" s="1767"/>
      <c r="BW1305" s="1767"/>
      <c r="BX1305" s="1767"/>
      <c r="BY1305" s="1767"/>
      <c r="BZ1305" s="1767"/>
      <c r="CA1305" s="1768"/>
    </row>
    <row r="1306" spans="1:79" ht="12.75" customHeight="1" x14ac:dyDescent="0.2">
      <c r="A1306" s="1916">
        <v>1306</v>
      </c>
      <c r="B1306" s="5148"/>
      <c r="C1306" s="2580"/>
      <c r="D1306" s="210"/>
      <c r="E1306" s="2583" t="s">
        <v>9840</v>
      </c>
      <c r="F1306" s="195">
        <v>25</v>
      </c>
      <c r="G1306" s="195">
        <v>40</v>
      </c>
      <c r="H1306" s="195">
        <f>COUNTIF(HabilidadesEsenciales_Adquiridas,Tablas!E1306)</f>
        <v>0</v>
      </c>
      <c r="I1306" s="2585">
        <v>1</v>
      </c>
      <c r="J1306" s="370"/>
      <c r="K1306" s="2576"/>
      <c r="M1306" s="1847"/>
      <c r="N1306" s="96"/>
      <c r="O1306" s="411" t="s">
        <v>9419</v>
      </c>
      <c r="P1306" s="2595">
        <v>40</v>
      </c>
      <c r="Q1306" s="503">
        <v>100</v>
      </c>
      <c r="R1306" s="2585">
        <f>COUNTIF(PoderesDeCriatura_Adquiridos,Tablas!O1306)</f>
        <v>0</v>
      </c>
      <c r="S1306" s="370"/>
      <c r="T1306" s="2576"/>
      <c r="U1306" s="436"/>
      <c r="V1306" s="2634" t="s">
        <v>1552</v>
      </c>
      <c r="W1306" s="2605"/>
      <c r="X1306" s="2172" t="str">
        <f t="shared" si="144"/>
        <v/>
      </c>
      <c r="Y1306" s="2619" t="s">
        <v>8500</v>
      </c>
      <c r="Z1306" s="2625"/>
      <c r="AA1306" s="2625"/>
      <c r="AB1306" s="2625"/>
      <c r="AC1306" s="2625"/>
      <c r="AD1306" s="2625"/>
      <c r="AE1306" s="2625"/>
      <c r="AF1306" s="2625"/>
      <c r="AG1306" s="2625"/>
      <c r="AH1306" s="2625"/>
      <c r="AI1306" s="2625"/>
      <c r="AJ1306" s="2625"/>
      <c r="AK1306" s="2625"/>
      <c r="AL1306" s="2625"/>
      <c r="AM1306" s="2625"/>
      <c r="AN1306" s="2625"/>
      <c r="AO1306" s="2625"/>
      <c r="AP1306" s="2625"/>
      <c r="AQ1306" s="2625"/>
      <c r="AR1306" s="2625"/>
      <c r="AS1306" s="2625"/>
      <c r="AT1306" s="2625"/>
      <c r="AU1306" s="2625"/>
      <c r="AV1306" s="2625"/>
      <c r="AW1306" s="2625"/>
      <c r="AX1306" s="2625"/>
      <c r="AY1306" s="2625"/>
      <c r="AZ1306" s="2625"/>
      <c r="BA1306" s="2625"/>
      <c r="BB1306" s="2625"/>
      <c r="BC1306" s="2625"/>
      <c r="BD1306" s="2625"/>
      <c r="BE1306" s="2625"/>
      <c r="BF1306" s="2625"/>
      <c r="BG1306" s="2625"/>
      <c r="BH1306" s="2625"/>
      <c r="BI1306" s="2625"/>
      <c r="BJ1306" s="2625"/>
      <c r="BK1306" s="2625"/>
      <c r="BL1306" s="2625"/>
      <c r="BM1306" s="1767"/>
      <c r="BN1306" s="1767"/>
      <c r="BO1306" s="1767"/>
      <c r="BP1306" s="1767"/>
      <c r="BQ1306" s="1767"/>
      <c r="BR1306" s="1767"/>
      <c r="BS1306" s="1767"/>
      <c r="BT1306" s="1767"/>
      <c r="BU1306" s="1767"/>
      <c r="BV1306" s="1767"/>
      <c r="BW1306" s="1767"/>
      <c r="BX1306" s="1767"/>
      <c r="BY1306" s="1767"/>
      <c r="BZ1306" s="1767"/>
      <c r="CA1306" s="1768"/>
    </row>
    <row r="1307" spans="1:79" ht="12.75" customHeight="1" x14ac:dyDescent="0.2">
      <c r="A1307" s="1916">
        <v>1307</v>
      </c>
      <c r="B1307" s="5148"/>
      <c r="C1307" s="2580"/>
      <c r="D1307" s="210"/>
      <c r="E1307" s="2583" t="s">
        <v>9841</v>
      </c>
      <c r="F1307" s="195">
        <v>30</v>
      </c>
      <c r="G1307" s="195">
        <v>50</v>
      </c>
      <c r="H1307" s="195">
        <f>COUNTIF(HabilidadesEsenciales_Adquiridas,Tablas!E1307)</f>
        <v>0</v>
      </c>
      <c r="I1307" s="2585">
        <v>1</v>
      </c>
      <c r="J1307" s="370"/>
      <c r="K1307" s="2576"/>
      <c r="M1307" s="1847"/>
      <c r="N1307" s="96"/>
      <c r="O1307" s="411" t="s">
        <v>9420</v>
      </c>
      <c r="P1307" s="2578">
        <v>0</v>
      </c>
      <c r="Q1307" s="503">
        <v>10</v>
      </c>
      <c r="R1307" s="2585">
        <f>COUNTIF(PoderesDeCriatura_Adquiridos,Tablas!O1307)</f>
        <v>0</v>
      </c>
      <c r="S1307" s="370"/>
      <c r="T1307" s="2576"/>
      <c r="U1307" s="436"/>
      <c r="V1307" s="2634" t="s">
        <v>1564</v>
      </c>
      <c r="W1307" s="2605"/>
      <c r="X1307" s="2172" t="str">
        <f t="shared" si="144"/>
        <v/>
      </c>
      <c r="Y1307" s="2619" t="s">
        <v>8500</v>
      </c>
      <c r="Z1307" s="2625"/>
      <c r="AA1307" s="2625"/>
      <c r="AB1307" s="2625"/>
      <c r="AC1307" s="2625"/>
      <c r="AD1307" s="2625"/>
      <c r="AE1307" s="2625"/>
      <c r="AF1307" s="2625"/>
      <c r="AG1307" s="2625"/>
      <c r="AH1307" s="2625"/>
      <c r="AI1307" s="2625"/>
      <c r="AJ1307" s="2625"/>
      <c r="AK1307" s="2625"/>
      <c r="AL1307" s="2625"/>
      <c r="AM1307" s="2625"/>
      <c r="AN1307" s="2625"/>
      <c r="AO1307" s="2625"/>
      <c r="AP1307" s="2625"/>
      <c r="AQ1307" s="2625"/>
      <c r="AR1307" s="2625"/>
      <c r="AS1307" s="2625"/>
      <c r="AT1307" s="2625"/>
      <c r="AU1307" s="2625"/>
      <c r="AV1307" s="2625"/>
      <c r="AW1307" s="2625"/>
      <c r="AX1307" s="2625"/>
      <c r="AY1307" s="2625"/>
      <c r="AZ1307" s="2625"/>
      <c r="BA1307" s="2625"/>
      <c r="BB1307" s="2625"/>
      <c r="BC1307" s="2625"/>
      <c r="BD1307" s="2625"/>
      <c r="BE1307" s="2625"/>
      <c r="BF1307" s="2625"/>
      <c r="BG1307" s="2625"/>
      <c r="BH1307" s="2625"/>
      <c r="BI1307" s="2625"/>
      <c r="BJ1307" s="2625"/>
      <c r="BK1307" s="2625"/>
      <c r="BL1307" s="2625"/>
      <c r="BM1307" s="1767"/>
      <c r="BN1307" s="1767"/>
      <c r="BO1307" s="1767"/>
      <c r="BP1307" s="1767"/>
      <c r="BQ1307" s="1767"/>
      <c r="BR1307" s="1767"/>
      <c r="BS1307" s="1767"/>
      <c r="BT1307" s="1767"/>
      <c r="BU1307" s="1767"/>
      <c r="BV1307" s="1767"/>
      <c r="BW1307" s="1767"/>
      <c r="BX1307" s="1767"/>
      <c r="BY1307" s="1767"/>
      <c r="BZ1307" s="1767"/>
      <c r="CA1307" s="1768"/>
    </row>
    <row r="1308" spans="1:79" ht="12.75" customHeight="1" x14ac:dyDescent="0.2">
      <c r="A1308" s="1916">
        <v>1308</v>
      </c>
      <c r="B1308" s="5148"/>
      <c r="C1308" s="2580"/>
      <c r="D1308" s="210"/>
      <c r="E1308" s="2583" t="s">
        <v>9842</v>
      </c>
      <c r="F1308" s="195">
        <v>10</v>
      </c>
      <c r="G1308" s="195">
        <v>10</v>
      </c>
      <c r="H1308" s="195">
        <f>COUNTIF(HabilidadesEsenciales_Adquiridas,Tablas!E1308)</f>
        <v>0</v>
      </c>
      <c r="I1308" s="2585">
        <v>1</v>
      </c>
      <c r="J1308" s="370"/>
      <c r="K1308" s="2576"/>
      <c r="M1308" s="1847"/>
      <c r="N1308" s="96"/>
      <c r="O1308" s="411" t="s">
        <v>9421</v>
      </c>
      <c r="P1308" s="2578">
        <v>0</v>
      </c>
      <c r="Q1308" s="503">
        <v>20</v>
      </c>
      <c r="R1308" s="2585">
        <f>COUNTIF(PoderesDeCriatura_Adquiridos,Tablas!O1308)</f>
        <v>0</v>
      </c>
      <c r="S1308" s="370"/>
      <c r="T1308" s="2576"/>
      <c r="U1308" s="436"/>
      <c r="V1308" s="2634" t="s">
        <v>1555</v>
      </c>
      <c r="W1308" s="2605"/>
      <c r="X1308" s="2172" t="str">
        <f t="shared" si="144"/>
        <v/>
      </c>
      <c r="Y1308" s="2619" t="s">
        <v>8500</v>
      </c>
      <c r="Z1308" s="2625"/>
      <c r="AA1308" s="2625"/>
      <c r="AB1308" s="2625"/>
      <c r="AC1308" s="2625"/>
      <c r="AD1308" s="2625"/>
      <c r="AE1308" s="2625"/>
      <c r="AF1308" s="2625"/>
      <c r="AG1308" s="2625"/>
      <c r="AH1308" s="2625"/>
      <c r="AI1308" s="2625"/>
      <c r="AJ1308" s="2625"/>
      <c r="AK1308" s="2625"/>
      <c r="AL1308" s="2625"/>
      <c r="AM1308" s="2625"/>
      <c r="AN1308" s="2625"/>
      <c r="AO1308" s="2625"/>
      <c r="AP1308" s="2625"/>
      <c r="AQ1308" s="2625"/>
      <c r="AR1308" s="2625"/>
      <c r="AS1308" s="2625"/>
      <c r="AT1308" s="2625"/>
      <c r="AU1308" s="2625"/>
      <c r="AV1308" s="2625"/>
      <c r="AW1308" s="2625"/>
      <c r="AX1308" s="2625"/>
      <c r="AY1308" s="2625"/>
      <c r="AZ1308" s="2625"/>
      <c r="BA1308" s="2625"/>
      <c r="BB1308" s="2625"/>
      <c r="BC1308" s="2625"/>
      <c r="BD1308" s="2625"/>
      <c r="BE1308" s="2625"/>
      <c r="BF1308" s="2625"/>
      <c r="BG1308" s="2625"/>
      <c r="BH1308" s="2625"/>
      <c r="BI1308" s="2625"/>
      <c r="BJ1308" s="2625"/>
      <c r="BK1308" s="2625"/>
      <c r="BL1308" s="2625"/>
      <c r="BM1308" s="1767"/>
      <c r="BN1308" s="1767"/>
      <c r="BO1308" s="1767"/>
      <c r="BP1308" s="1767"/>
      <c r="BQ1308" s="1767"/>
      <c r="BR1308" s="1767"/>
      <c r="BS1308" s="1767"/>
      <c r="BT1308" s="1767"/>
      <c r="BU1308" s="1767"/>
      <c r="BV1308" s="1767"/>
      <c r="BW1308" s="1767"/>
      <c r="BX1308" s="1767"/>
      <c r="BY1308" s="1767"/>
      <c r="BZ1308" s="1767"/>
      <c r="CA1308" s="1768"/>
    </row>
    <row r="1309" spans="1:79" ht="12.75" customHeight="1" x14ac:dyDescent="0.2">
      <c r="A1309" s="1916">
        <v>1309</v>
      </c>
      <c r="B1309" s="5148"/>
      <c r="C1309" s="2580"/>
      <c r="D1309" s="210"/>
      <c r="E1309" s="2583" t="s">
        <v>9843</v>
      </c>
      <c r="F1309" s="195">
        <v>15</v>
      </c>
      <c r="G1309" s="195">
        <v>20</v>
      </c>
      <c r="H1309" s="195">
        <f>COUNTIF(HabilidadesEsenciales_Adquiridas,Tablas!E1309)</f>
        <v>0</v>
      </c>
      <c r="I1309" s="2585">
        <v>1</v>
      </c>
      <c r="J1309" s="370"/>
      <c r="K1309" s="2576"/>
      <c r="M1309" s="1847"/>
      <c r="N1309" s="96"/>
      <c r="O1309" s="411" t="s">
        <v>9422</v>
      </c>
      <c r="P1309" s="2578">
        <v>0</v>
      </c>
      <c r="Q1309" s="503">
        <v>30</v>
      </c>
      <c r="R1309" s="2585">
        <f>COUNTIF(PoderesDeCriatura_Adquiridos,Tablas!O1309)</f>
        <v>0</v>
      </c>
      <c r="S1309" s="370"/>
      <c r="T1309" s="2576"/>
      <c r="U1309" s="436"/>
      <c r="V1309" s="2634" t="s">
        <v>1565</v>
      </c>
      <c r="W1309" s="2605"/>
      <c r="X1309" s="2172" t="str">
        <f t="shared" si="144"/>
        <v/>
      </c>
      <c r="Y1309" s="2619" t="s">
        <v>8500</v>
      </c>
      <c r="Z1309" s="2625"/>
      <c r="AA1309" s="2625"/>
      <c r="AB1309" s="2625"/>
      <c r="AC1309" s="2625"/>
      <c r="AD1309" s="2625"/>
      <c r="AE1309" s="2625"/>
      <c r="AF1309" s="2625"/>
      <c r="AG1309" s="2625"/>
      <c r="AH1309" s="2625"/>
      <c r="AI1309" s="2625"/>
      <c r="AJ1309" s="2625"/>
      <c r="AK1309" s="2625"/>
      <c r="AL1309" s="2625"/>
      <c r="AM1309" s="2625"/>
      <c r="AN1309" s="2625"/>
      <c r="AO1309" s="2625"/>
      <c r="AP1309" s="2625"/>
      <c r="AQ1309" s="2625"/>
      <c r="AR1309" s="2625"/>
      <c r="AS1309" s="2625"/>
      <c r="AT1309" s="2625"/>
      <c r="AU1309" s="2625"/>
      <c r="AV1309" s="2625"/>
      <c r="AW1309" s="2625"/>
      <c r="AX1309" s="2625"/>
      <c r="AY1309" s="2625"/>
      <c r="AZ1309" s="2625"/>
      <c r="BA1309" s="2625"/>
      <c r="BB1309" s="2625"/>
      <c r="BC1309" s="2625"/>
      <c r="BD1309" s="2625"/>
      <c r="BE1309" s="2625"/>
      <c r="BF1309" s="2625"/>
      <c r="BG1309" s="2625"/>
      <c r="BH1309" s="2625"/>
      <c r="BI1309" s="2625"/>
      <c r="BJ1309" s="2625"/>
      <c r="BK1309" s="2625"/>
      <c r="BL1309" s="2625"/>
      <c r="BM1309" s="1767"/>
      <c r="BN1309" s="1767"/>
      <c r="BO1309" s="1767"/>
      <c r="BP1309" s="1767"/>
      <c r="BQ1309" s="1767"/>
      <c r="BR1309" s="1767"/>
      <c r="BS1309" s="1767"/>
      <c r="BT1309" s="1767"/>
      <c r="BU1309" s="1767"/>
      <c r="BV1309" s="1767"/>
      <c r="BW1309" s="1767"/>
      <c r="BX1309" s="1767"/>
      <c r="BY1309" s="1767"/>
      <c r="BZ1309" s="1767"/>
      <c r="CA1309" s="1768"/>
    </row>
    <row r="1310" spans="1:79" ht="12.75" customHeight="1" x14ac:dyDescent="0.2">
      <c r="A1310" s="1916">
        <v>1310</v>
      </c>
      <c r="B1310" s="5148"/>
      <c r="C1310" s="2580"/>
      <c r="D1310" s="210"/>
      <c r="E1310" s="2583" t="s">
        <v>9844</v>
      </c>
      <c r="F1310" s="195">
        <v>20</v>
      </c>
      <c r="G1310" s="195">
        <v>30</v>
      </c>
      <c r="H1310" s="195">
        <f>COUNTIF(HabilidadesEsenciales_Adquiridas,Tablas!E1310)</f>
        <v>0</v>
      </c>
      <c r="I1310" s="2585">
        <v>1</v>
      </c>
      <c r="J1310" s="370"/>
      <c r="K1310" s="2576"/>
      <c r="M1310" s="1847"/>
      <c r="N1310" s="96"/>
      <c r="O1310" s="411" t="s">
        <v>9423</v>
      </c>
      <c r="P1310" s="2578">
        <v>10</v>
      </c>
      <c r="Q1310" s="503">
        <v>40</v>
      </c>
      <c r="R1310" s="2585">
        <f>COUNTIF(PoderesDeCriatura_Adquiridos,Tablas!O1310)</f>
        <v>0</v>
      </c>
      <c r="S1310" s="370"/>
      <c r="T1310" s="2576"/>
      <c r="U1310" s="436"/>
      <c r="V1310" s="2634" t="s">
        <v>8951</v>
      </c>
      <c r="W1310" s="2605"/>
      <c r="X1310" s="2172" t="str">
        <f t="shared" si="144"/>
        <v>PodHab_Tamañononatural</v>
      </c>
      <c r="Y1310" s="2619" t="s">
        <v>3442</v>
      </c>
      <c r="Z1310" s="2619" t="s">
        <v>3351</v>
      </c>
      <c r="AA1310" s="2619" t="s">
        <v>3352</v>
      </c>
      <c r="AB1310" s="2619" t="s">
        <v>4086</v>
      </c>
      <c r="AC1310" s="2619" t="s">
        <v>8453</v>
      </c>
      <c r="AD1310" s="2619" t="s">
        <v>9915</v>
      </c>
      <c r="AE1310" s="2619" t="s">
        <v>9916</v>
      </c>
      <c r="AF1310" s="2619" t="s">
        <v>9917</v>
      </c>
      <c r="AG1310" s="2619" t="s">
        <v>9918</v>
      </c>
      <c r="AH1310" s="2619" t="s">
        <v>9919</v>
      </c>
      <c r="AI1310" s="2619"/>
      <c r="AJ1310" s="2619"/>
      <c r="AK1310" s="2619"/>
      <c r="AL1310" s="2619"/>
      <c r="AM1310" s="2619"/>
      <c r="AN1310" s="2619"/>
      <c r="AO1310" s="2619"/>
      <c r="AP1310" s="2619"/>
      <c r="AQ1310" s="2619"/>
      <c r="AR1310" s="2619"/>
      <c r="AS1310" s="2619"/>
      <c r="AT1310" s="2619"/>
      <c r="AU1310" s="2619"/>
      <c r="AV1310" s="2619"/>
      <c r="AW1310" s="2625"/>
      <c r="AX1310" s="2625"/>
      <c r="AY1310" s="2625"/>
      <c r="AZ1310" s="2625"/>
      <c r="BA1310" s="2625"/>
      <c r="BB1310" s="2625"/>
      <c r="BC1310" s="2625"/>
      <c r="BD1310" s="2625"/>
      <c r="BE1310" s="2625"/>
      <c r="BF1310" s="2625"/>
      <c r="BG1310" s="2625"/>
      <c r="BH1310" s="2625"/>
      <c r="BI1310" s="2625"/>
      <c r="BJ1310" s="2625"/>
      <c r="BK1310" s="2625"/>
      <c r="BL1310" s="2625"/>
      <c r="BM1310" s="1767"/>
      <c r="BN1310" s="1767"/>
      <c r="BO1310" s="1767"/>
      <c r="BP1310" s="1767"/>
      <c r="BQ1310" s="1767"/>
      <c r="BR1310" s="1767"/>
      <c r="BS1310" s="1767"/>
      <c r="BT1310" s="1767"/>
      <c r="BU1310" s="1767"/>
      <c r="BV1310" s="1767"/>
      <c r="BW1310" s="1767"/>
      <c r="BX1310" s="1767"/>
      <c r="BY1310" s="1767"/>
      <c r="BZ1310" s="1767"/>
      <c r="CA1310" s="1768"/>
    </row>
    <row r="1311" spans="1:79" ht="12.75" customHeight="1" x14ac:dyDescent="0.2">
      <c r="A1311" s="1916">
        <v>1311</v>
      </c>
      <c r="B1311" s="5148"/>
      <c r="C1311" s="2580"/>
      <c r="D1311" s="210"/>
      <c r="E1311" s="2583" t="s">
        <v>9845</v>
      </c>
      <c r="F1311" s="195">
        <v>25</v>
      </c>
      <c r="G1311" s="195">
        <v>40</v>
      </c>
      <c r="H1311" s="195">
        <f>COUNTIF(HabilidadesEsenciales_Adquiridas,Tablas!E1311)</f>
        <v>0</v>
      </c>
      <c r="I1311" s="2585">
        <v>1</v>
      </c>
      <c r="J1311" s="370"/>
      <c r="K1311" s="2576"/>
      <c r="M1311" s="1847"/>
      <c r="N1311" s="96"/>
      <c r="O1311" s="411" t="s">
        <v>9424</v>
      </c>
      <c r="P1311" s="2578">
        <v>20</v>
      </c>
      <c r="Q1311" s="503">
        <v>60</v>
      </c>
      <c r="R1311" s="2585">
        <f>COUNTIF(PoderesDeCriatura_Adquiridos,Tablas!O1311)</f>
        <v>0</v>
      </c>
      <c r="S1311" s="370"/>
      <c r="T1311" s="2576"/>
      <c r="U1311" s="436"/>
      <c r="V1311" s="2634" t="s">
        <v>2002</v>
      </c>
      <c r="W1311" s="2605"/>
      <c r="X1311" s="2172"/>
      <c r="Y1311" s="2619"/>
      <c r="Z1311" s="2619"/>
      <c r="AA1311" s="2619"/>
      <c r="AB1311" s="2619"/>
      <c r="AC1311" s="2619"/>
      <c r="AD1311" s="2619"/>
      <c r="AE1311" s="2619"/>
      <c r="AF1311" s="2619"/>
      <c r="AG1311" s="2619"/>
      <c r="AH1311" s="2619"/>
      <c r="AI1311" s="2625"/>
      <c r="AJ1311" s="2625"/>
      <c r="AK1311" s="2625"/>
      <c r="AL1311" s="2625"/>
      <c r="AM1311" s="2625"/>
      <c r="AN1311" s="2625"/>
      <c r="AO1311" s="2625"/>
      <c r="AP1311" s="2625"/>
      <c r="AQ1311" s="2625"/>
      <c r="AR1311" s="2625"/>
      <c r="AS1311" s="2625"/>
      <c r="AT1311" s="2625"/>
      <c r="AU1311" s="2625"/>
      <c r="AV1311" s="2625"/>
      <c r="AW1311" s="2625"/>
      <c r="AX1311" s="2625"/>
      <c r="AY1311" s="2625"/>
      <c r="AZ1311" s="2625"/>
      <c r="BA1311" s="2625"/>
      <c r="BB1311" s="2625"/>
      <c r="BC1311" s="2625"/>
      <c r="BD1311" s="2625"/>
      <c r="BE1311" s="2625"/>
      <c r="BF1311" s="2625"/>
      <c r="BG1311" s="2625"/>
      <c r="BH1311" s="2625"/>
      <c r="BI1311" s="2625"/>
      <c r="BJ1311" s="2625"/>
      <c r="BK1311" s="2625"/>
      <c r="BL1311" s="2625"/>
      <c r="BM1311" s="1767"/>
      <c r="BN1311" s="1767"/>
      <c r="BO1311" s="1767"/>
      <c r="BP1311" s="1767"/>
      <c r="BQ1311" s="1767"/>
      <c r="BR1311" s="1767"/>
      <c r="BS1311" s="1767"/>
      <c r="BT1311" s="1767"/>
      <c r="BU1311" s="1767"/>
      <c r="BV1311" s="1767"/>
      <c r="BW1311" s="1767"/>
      <c r="BX1311" s="1767"/>
      <c r="BY1311" s="1767"/>
      <c r="BZ1311" s="1767"/>
      <c r="CA1311" s="1768"/>
    </row>
    <row r="1312" spans="1:79" ht="12.75" customHeight="1" x14ac:dyDescent="0.2">
      <c r="A1312" s="1916">
        <v>1312</v>
      </c>
      <c r="B1312" s="5148"/>
      <c r="C1312" s="2580"/>
      <c r="D1312" s="210"/>
      <c r="E1312" s="2583" t="s">
        <v>9846</v>
      </c>
      <c r="F1312" s="195">
        <v>30</v>
      </c>
      <c r="G1312" s="195">
        <v>50</v>
      </c>
      <c r="H1312" s="195">
        <f>COUNTIF(HabilidadesEsenciales_Adquiridas,Tablas!E1312)</f>
        <v>0</v>
      </c>
      <c r="I1312" s="2585">
        <v>1</v>
      </c>
      <c r="J1312" s="370"/>
      <c r="K1312" s="2576"/>
      <c r="M1312" s="1847"/>
      <c r="N1312" s="96"/>
      <c r="O1312" s="411" t="s">
        <v>9425</v>
      </c>
      <c r="P1312" s="2578">
        <v>25</v>
      </c>
      <c r="Q1312" s="503">
        <v>80</v>
      </c>
      <c r="R1312" s="2585">
        <f>COUNTIF(PoderesDeCriatura_Adquiridos,Tablas!O1312)</f>
        <v>0</v>
      </c>
      <c r="S1312" s="370"/>
      <c r="T1312" s="2576"/>
      <c r="U1312" s="436"/>
      <c r="V1312" s="2634" t="s">
        <v>1577</v>
      </c>
      <c r="W1312" s="2605"/>
      <c r="X1312" s="2172" t="str">
        <f>IF(Y1312="","",SUBSTITUTE("PodHab_"&amp;V1312," ",""))</f>
        <v/>
      </c>
      <c r="Y1312" s="2619" t="s">
        <v>8500</v>
      </c>
      <c r="Z1312" s="2625"/>
      <c r="AA1312" s="2625"/>
      <c r="AB1312" s="2625"/>
      <c r="AC1312" s="2625"/>
      <c r="AD1312" s="2625"/>
      <c r="AE1312" s="2625"/>
      <c r="AF1312" s="2625"/>
      <c r="AG1312" s="2625"/>
      <c r="AH1312" s="2625"/>
      <c r="AI1312" s="2625"/>
      <c r="AJ1312" s="2625"/>
      <c r="AK1312" s="2625"/>
      <c r="AL1312" s="2625"/>
      <c r="AM1312" s="2625"/>
      <c r="AN1312" s="2625"/>
      <c r="AO1312" s="2625"/>
      <c r="AP1312" s="2625"/>
      <c r="AQ1312" s="2625"/>
      <c r="AR1312" s="2625"/>
      <c r="AS1312" s="2625"/>
      <c r="AT1312" s="2625"/>
      <c r="AU1312" s="2625"/>
      <c r="AV1312" s="2625"/>
      <c r="AW1312" s="2625"/>
      <c r="AX1312" s="2625"/>
      <c r="AY1312" s="2625"/>
      <c r="AZ1312" s="2625"/>
      <c r="BA1312" s="2625"/>
      <c r="BB1312" s="2625"/>
      <c r="BC1312" s="2625"/>
      <c r="BD1312" s="2625"/>
      <c r="BE1312" s="2625"/>
      <c r="BF1312" s="2625"/>
      <c r="BG1312" s="2625"/>
      <c r="BH1312" s="2625"/>
      <c r="BI1312" s="2625"/>
      <c r="BJ1312" s="2625"/>
      <c r="BK1312" s="2625"/>
      <c r="BL1312" s="2625"/>
      <c r="BM1312" s="1767"/>
      <c r="BN1312" s="1767"/>
      <c r="BO1312" s="1767"/>
      <c r="BP1312" s="1767"/>
      <c r="BQ1312" s="1767"/>
      <c r="BR1312" s="1767"/>
      <c r="BS1312" s="1767"/>
      <c r="BT1312" s="1767"/>
      <c r="BU1312" s="1767"/>
      <c r="BV1312" s="1767"/>
      <c r="BW1312" s="1767"/>
      <c r="BX1312" s="1767"/>
      <c r="BY1312" s="1767"/>
      <c r="BZ1312" s="1767"/>
      <c r="CA1312" s="1768"/>
    </row>
    <row r="1313" spans="1:79" ht="12.75" customHeight="1" x14ac:dyDescent="0.2">
      <c r="A1313" s="1916">
        <v>1313</v>
      </c>
      <c r="B1313" s="5148"/>
      <c r="C1313" s="2580"/>
      <c r="D1313" s="210"/>
      <c r="E1313" s="2583" t="s">
        <v>9847</v>
      </c>
      <c r="F1313" s="195">
        <v>10</v>
      </c>
      <c r="G1313" s="195">
        <v>10</v>
      </c>
      <c r="H1313" s="195">
        <f>COUNTIF(HabilidadesEsenciales_Adquiridas,Tablas!E1313)</f>
        <v>0</v>
      </c>
      <c r="I1313" s="2585">
        <v>1</v>
      </c>
      <c r="J1313" s="370"/>
      <c r="K1313" s="2576"/>
      <c r="M1313" s="1847"/>
      <c r="N1313" s="96"/>
      <c r="O1313" s="411" t="s">
        <v>1610</v>
      </c>
      <c r="P1313" s="2578">
        <v>20</v>
      </c>
      <c r="Q1313" s="503">
        <v>60</v>
      </c>
      <c r="R1313" s="2585">
        <f>COUNTIF(PoderesDeCriatura_Adquiridos,Tablas!O1313)</f>
        <v>0</v>
      </c>
      <c r="S1313" s="370"/>
      <c r="T1313" s="2576"/>
      <c r="U1313" s="436"/>
      <c r="V1313" s="2634" t="s">
        <v>9010</v>
      </c>
      <c r="W1313" s="2605"/>
      <c r="X1313" s="2172" t="str">
        <f>IF(Y1313="","",SUBSTITUTE("PodHab_"&amp;V1313," ",""))</f>
        <v>PodHab_Con.Naturaldevía</v>
      </c>
      <c r="Y1313" s="2619" t="s">
        <v>9920</v>
      </c>
      <c r="Z1313" s="2619" t="s">
        <v>9921</v>
      </c>
      <c r="AA1313" s="2619" t="s">
        <v>9922</v>
      </c>
      <c r="AB1313" s="2619" t="s">
        <v>9923</v>
      </c>
      <c r="AC1313" s="2619" t="s">
        <v>9924</v>
      </c>
      <c r="AD1313" s="2619" t="s">
        <v>9925</v>
      </c>
      <c r="AE1313" s="2619" t="s">
        <v>9926</v>
      </c>
      <c r="AF1313" s="2619" t="s">
        <v>9927</v>
      </c>
      <c r="AG1313" s="2619" t="s">
        <v>9928</v>
      </c>
      <c r="AH1313" s="2619" t="s">
        <v>9929</v>
      </c>
      <c r="AI1313" s="2619" t="s">
        <v>9930</v>
      </c>
      <c r="AJ1313" s="2619" t="s">
        <v>9931</v>
      </c>
      <c r="AK1313" s="2619" t="s">
        <v>9932</v>
      </c>
      <c r="AL1313" s="2619" t="s">
        <v>9933</v>
      </c>
      <c r="AM1313" s="2619" t="s">
        <v>9934</v>
      </c>
      <c r="AN1313" s="2619" t="s">
        <v>9935</v>
      </c>
      <c r="AO1313" s="2619" t="s">
        <v>9936</v>
      </c>
      <c r="AP1313" s="2619" t="s">
        <v>9937</v>
      </c>
      <c r="AQ1313" s="2619" t="s">
        <v>9938</v>
      </c>
      <c r="AR1313" s="2619" t="s">
        <v>9939</v>
      </c>
      <c r="AS1313" s="2619" t="s">
        <v>9940</v>
      </c>
      <c r="AT1313" s="2619" t="s">
        <v>9941</v>
      </c>
      <c r="AU1313" s="2619" t="s">
        <v>9942</v>
      </c>
      <c r="AV1313" s="2619" t="s">
        <v>9943</v>
      </c>
      <c r="AW1313" s="2619" t="s">
        <v>9944</v>
      </c>
      <c r="AX1313" s="2619" t="s">
        <v>9945</v>
      </c>
      <c r="AY1313" s="2619" t="s">
        <v>9946</v>
      </c>
      <c r="AZ1313" s="2619" t="s">
        <v>9947</v>
      </c>
      <c r="BA1313" s="2619" t="s">
        <v>9948</v>
      </c>
      <c r="BB1313" s="2619" t="s">
        <v>9949</v>
      </c>
      <c r="BC1313" s="2619" t="s">
        <v>9950</v>
      </c>
      <c r="BD1313" s="2619" t="s">
        <v>9951</v>
      </c>
      <c r="BE1313" s="2619" t="s">
        <v>9952</v>
      </c>
      <c r="BF1313" s="2619" t="s">
        <v>9953</v>
      </c>
      <c r="BG1313" s="2619" t="s">
        <v>9954</v>
      </c>
      <c r="BH1313" s="2619" t="s">
        <v>9955</v>
      </c>
      <c r="BI1313" s="2619" t="s">
        <v>9956</v>
      </c>
      <c r="BJ1313" s="2619" t="s">
        <v>9957</v>
      </c>
      <c r="BK1313" s="2619" t="s">
        <v>9958</v>
      </c>
      <c r="BL1313" s="2619" t="s">
        <v>9959</v>
      </c>
      <c r="BM1313" s="2619" t="s">
        <v>9960</v>
      </c>
      <c r="BN1313" s="2619" t="s">
        <v>9961</v>
      </c>
      <c r="BO1313" s="2619" t="s">
        <v>9962</v>
      </c>
      <c r="BP1313" s="2619" t="s">
        <v>9963</v>
      </c>
      <c r="BQ1313" s="2619" t="s">
        <v>9964</v>
      </c>
      <c r="BR1313" s="2619" t="s">
        <v>9965</v>
      </c>
      <c r="BS1313" s="2619" t="s">
        <v>9966</v>
      </c>
      <c r="BT1313" s="2619" t="s">
        <v>9967</v>
      </c>
      <c r="BU1313" s="2619" t="s">
        <v>9968</v>
      </c>
      <c r="BV1313" s="2619" t="s">
        <v>9969</v>
      </c>
      <c r="BW1313" s="2619" t="s">
        <v>9970</v>
      </c>
      <c r="BX1313" s="2619" t="s">
        <v>9971</v>
      </c>
      <c r="BY1313" s="2619" t="s">
        <v>9972</v>
      </c>
      <c r="BZ1313" s="2619" t="s">
        <v>9973</v>
      </c>
      <c r="CA1313" s="2639" t="s">
        <v>9974</v>
      </c>
    </row>
    <row r="1314" spans="1:79" ht="12.75" customHeight="1" x14ac:dyDescent="0.2">
      <c r="A1314" s="1916">
        <v>1314</v>
      </c>
      <c r="B1314" s="5148"/>
      <c r="C1314" s="2580"/>
      <c r="D1314" s="210"/>
      <c r="E1314" s="2583" t="s">
        <v>9848</v>
      </c>
      <c r="F1314" s="195">
        <v>15</v>
      </c>
      <c r="G1314" s="195">
        <v>20</v>
      </c>
      <c r="H1314" s="195">
        <f>COUNTIF(HabilidadesEsenciales_Adquiridas,Tablas!E1314)</f>
        <v>0</v>
      </c>
      <c r="I1314" s="2585">
        <v>1</v>
      </c>
      <c r="J1314" s="370"/>
      <c r="K1314" s="2576"/>
      <c r="M1314" s="1847"/>
      <c r="N1314" s="96"/>
      <c r="O1314" s="411" t="s">
        <v>1955</v>
      </c>
      <c r="P1314" s="2578">
        <v>10</v>
      </c>
      <c r="Q1314" s="503">
        <v>10</v>
      </c>
      <c r="R1314" s="2585">
        <f>COUNTIF(PoderesDeCriatura_Adquiridos,Tablas!O1314)</f>
        <v>0</v>
      </c>
      <c r="S1314" s="370"/>
      <c r="T1314" s="2576"/>
      <c r="U1314" s="436"/>
      <c r="V1314" s="2634" t="s">
        <v>2743</v>
      </c>
      <c r="W1314" s="2604"/>
      <c r="X1314" s="2172"/>
      <c r="Y1314" s="2619"/>
      <c r="Z1314" s="2619"/>
      <c r="AA1314" s="2619"/>
      <c r="AB1314" s="2619"/>
      <c r="AC1314" s="2619"/>
      <c r="AD1314" s="2619"/>
      <c r="AE1314" s="2619"/>
      <c r="AF1314" s="2619"/>
      <c r="AG1314" s="2619"/>
      <c r="AH1314" s="2619"/>
      <c r="AI1314" s="2619"/>
      <c r="AJ1314" s="2619"/>
      <c r="AK1314" s="2619"/>
      <c r="AL1314" s="2619"/>
      <c r="AM1314" s="2619"/>
      <c r="AN1314" s="2619"/>
      <c r="AO1314" s="2619"/>
      <c r="AP1314" s="2619"/>
      <c r="AQ1314" s="2619"/>
      <c r="AR1314" s="2619"/>
      <c r="AS1314" s="2619"/>
      <c r="AT1314" s="2619"/>
      <c r="AU1314" s="2619"/>
      <c r="AV1314" s="2619"/>
      <c r="AW1314" s="2619"/>
      <c r="AX1314" s="2619"/>
      <c r="AY1314" s="2619"/>
      <c r="AZ1314" s="2619"/>
      <c r="BA1314" s="2619"/>
      <c r="BB1314" s="2619"/>
      <c r="BC1314" s="2619"/>
      <c r="BD1314" s="2619"/>
      <c r="BE1314" s="2619"/>
      <c r="BF1314" s="2619"/>
      <c r="BG1314" s="2619"/>
      <c r="BH1314" s="2619"/>
      <c r="BI1314" s="2619"/>
      <c r="BJ1314" s="2619"/>
      <c r="BK1314" s="2619"/>
      <c r="BL1314" s="2619"/>
      <c r="BM1314" s="2619"/>
      <c r="BN1314" s="2619"/>
      <c r="BO1314" s="2619"/>
      <c r="BP1314" s="2619"/>
      <c r="BQ1314" s="2619"/>
      <c r="BR1314" s="2619"/>
      <c r="BS1314" s="2619"/>
      <c r="BT1314" s="2619"/>
      <c r="BU1314" s="2619"/>
      <c r="BV1314" s="2619"/>
      <c r="BW1314" s="2619"/>
      <c r="BX1314" s="2619"/>
      <c r="BY1314" s="2619"/>
      <c r="BZ1314" s="2619"/>
      <c r="CA1314" s="2619"/>
    </row>
    <row r="1315" spans="1:79" ht="12.75" customHeight="1" x14ac:dyDescent="0.2">
      <c r="A1315" s="1916">
        <v>1315</v>
      </c>
      <c r="B1315" s="5148"/>
      <c r="C1315" s="2580"/>
      <c r="D1315" s="210"/>
      <c r="E1315" s="2583" t="s">
        <v>9849</v>
      </c>
      <c r="F1315" s="195">
        <v>20</v>
      </c>
      <c r="G1315" s="195">
        <v>30</v>
      </c>
      <c r="H1315" s="195">
        <f>COUNTIF(HabilidadesEsenciales_Adquiridas,Tablas!E1315)</f>
        <v>0</v>
      </c>
      <c r="I1315" s="2585">
        <v>1</v>
      </c>
      <c r="J1315" s="370"/>
      <c r="K1315" s="2576"/>
      <c r="M1315" s="1847"/>
      <c r="N1315" s="96"/>
      <c r="O1315" s="411" t="s">
        <v>1611</v>
      </c>
      <c r="P1315" s="2578"/>
      <c r="Q1315" s="503"/>
      <c r="R1315" s="2585"/>
      <c r="S1315" s="370"/>
      <c r="T1315" s="2576"/>
      <c r="U1315" s="436"/>
      <c r="V1315" s="2634" t="s">
        <v>2742</v>
      </c>
      <c r="W1315" s="2605"/>
      <c r="X1315" s="2172"/>
      <c r="Y1315" s="2619"/>
      <c r="Z1315" s="2625"/>
      <c r="AA1315" s="2625"/>
      <c r="AB1315" s="2625"/>
      <c r="AC1315" s="2625"/>
      <c r="AD1315" s="2625"/>
      <c r="AE1315" s="2625"/>
      <c r="AF1315" s="2625"/>
      <c r="AG1315" s="2625"/>
      <c r="AH1315" s="2625"/>
      <c r="AI1315" s="2625"/>
      <c r="AJ1315" s="2625"/>
      <c r="AK1315" s="2625"/>
      <c r="AL1315" s="2625"/>
      <c r="AM1315" s="2625"/>
      <c r="AN1315" s="2625"/>
      <c r="AO1315" s="2625"/>
      <c r="AP1315" s="2625"/>
      <c r="AQ1315" s="2625"/>
      <c r="AR1315" s="2625"/>
      <c r="AS1315" s="2625"/>
      <c r="AT1315" s="2625"/>
      <c r="AU1315" s="2625"/>
      <c r="AV1315" s="2625"/>
      <c r="AW1315" s="2625"/>
      <c r="AX1315" s="2625"/>
      <c r="AY1315" s="2625"/>
      <c r="AZ1315" s="2625"/>
      <c r="BA1315" s="2625"/>
      <c r="BB1315" s="2625"/>
      <c r="BC1315" s="2625"/>
      <c r="BD1315" s="2625"/>
      <c r="BE1315" s="2625"/>
      <c r="BF1315" s="2625"/>
      <c r="BG1315" s="2625"/>
      <c r="BH1315" s="2625"/>
      <c r="BI1315" s="2625"/>
      <c r="BJ1315" s="2625"/>
      <c r="BK1315" s="2625"/>
      <c r="BL1315" s="2625"/>
      <c r="BM1315" s="1767"/>
      <c r="BN1315" s="1767"/>
      <c r="BO1315" s="1767"/>
      <c r="BP1315" s="1767"/>
      <c r="BQ1315" s="1767"/>
      <c r="BR1315" s="1767"/>
      <c r="BS1315" s="1767"/>
      <c r="BT1315" s="1767"/>
      <c r="BU1315" s="1767"/>
      <c r="BV1315" s="1767"/>
      <c r="BW1315" s="1767"/>
      <c r="BX1315" s="1767"/>
      <c r="BY1315" s="1767"/>
      <c r="BZ1315" s="1767"/>
      <c r="CA1315" s="1768"/>
    </row>
    <row r="1316" spans="1:79" ht="12.75" customHeight="1" x14ac:dyDescent="0.2">
      <c r="A1316" s="1916">
        <v>1316</v>
      </c>
      <c r="B1316" s="5148"/>
      <c r="C1316" s="2580"/>
      <c r="D1316" s="210"/>
      <c r="E1316" s="2583" t="s">
        <v>9850</v>
      </c>
      <c r="F1316" s="195">
        <v>25</v>
      </c>
      <c r="G1316" s="195">
        <v>40</v>
      </c>
      <c r="H1316" s="195">
        <f>COUNTIF(HabilidadesEsenciales_Adquiridas,Tablas!E1316)</f>
        <v>0</v>
      </c>
      <c r="I1316" s="2585">
        <v>1</v>
      </c>
      <c r="J1316" s="370"/>
      <c r="K1316" s="2576"/>
      <c r="M1316" s="1847"/>
      <c r="N1316" s="96"/>
      <c r="O1316" s="411" t="s">
        <v>9426</v>
      </c>
      <c r="P1316" s="2578">
        <v>0</v>
      </c>
      <c r="Q1316" s="503">
        <v>20</v>
      </c>
      <c r="R1316" s="2585">
        <f>COUNTIF(PoderesDeCriatura_Adquiridos,Tablas!O1316)</f>
        <v>0</v>
      </c>
      <c r="S1316" s="370"/>
      <c r="T1316" s="2576"/>
      <c r="U1316" s="436"/>
      <c r="V1316" s="2634" t="s">
        <v>1579</v>
      </c>
      <c r="W1316" s="2605"/>
      <c r="X1316" s="2172" t="str">
        <f t="shared" ref="X1316:X1321" si="145">IF(Y1316="","",SUBSTITUTE("PodHab_"&amp;V1316," ",""))</f>
        <v/>
      </c>
      <c r="Y1316" s="2619" t="s">
        <v>8500</v>
      </c>
      <c r="Z1316" s="2625"/>
      <c r="AA1316" s="2625"/>
      <c r="AB1316" s="2625"/>
      <c r="AC1316" s="2625"/>
      <c r="AD1316" s="2625"/>
      <c r="AE1316" s="2625"/>
      <c r="AF1316" s="2625"/>
      <c r="AG1316" s="2625"/>
      <c r="AH1316" s="2625"/>
      <c r="AI1316" s="2625"/>
      <c r="AJ1316" s="2625"/>
      <c r="AK1316" s="2625"/>
      <c r="AL1316" s="2625"/>
      <c r="AM1316" s="2625"/>
      <c r="AN1316" s="2625"/>
      <c r="AO1316" s="2625"/>
      <c r="AP1316" s="2625"/>
      <c r="AQ1316" s="2625"/>
      <c r="AR1316" s="2625"/>
      <c r="AS1316" s="2625"/>
      <c r="AT1316" s="2625"/>
      <c r="AU1316" s="2625"/>
      <c r="AV1316" s="2625"/>
      <c r="AW1316" s="2625"/>
      <c r="AX1316" s="2625"/>
      <c r="AY1316" s="2625"/>
      <c r="AZ1316" s="2625"/>
      <c r="BA1316" s="2625"/>
      <c r="BB1316" s="2625"/>
      <c r="BC1316" s="2625"/>
      <c r="BD1316" s="2625"/>
      <c r="BE1316" s="2625"/>
      <c r="BF1316" s="2625"/>
      <c r="BG1316" s="2625"/>
      <c r="BH1316" s="2625"/>
      <c r="BI1316" s="2625"/>
      <c r="BJ1316" s="2625"/>
      <c r="BK1316" s="2625"/>
      <c r="BL1316" s="2625"/>
      <c r="BM1316" s="1767"/>
      <c r="BN1316" s="1767"/>
      <c r="BO1316" s="1767"/>
      <c r="BP1316" s="1767"/>
      <c r="BQ1316" s="1767"/>
      <c r="BR1316" s="1767"/>
      <c r="BS1316" s="1767"/>
      <c r="BT1316" s="1767"/>
      <c r="BU1316" s="1767"/>
      <c r="BV1316" s="1767"/>
      <c r="BW1316" s="1767"/>
      <c r="BX1316" s="1767"/>
      <c r="BY1316" s="1767"/>
      <c r="BZ1316" s="1767"/>
      <c r="CA1316" s="1768"/>
    </row>
    <row r="1317" spans="1:79" ht="12.75" customHeight="1" x14ac:dyDescent="0.2">
      <c r="A1317" s="1916">
        <v>1317</v>
      </c>
      <c r="B1317" s="5148"/>
      <c r="C1317" s="2580"/>
      <c r="D1317" s="210"/>
      <c r="E1317" s="2583" t="s">
        <v>9851</v>
      </c>
      <c r="F1317" s="195">
        <v>30</v>
      </c>
      <c r="G1317" s="195">
        <v>50</v>
      </c>
      <c r="H1317" s="195">
        <f>COUNTIF(HabilidadesEsenciales_Adquiridas,Tablas!E1317)</f>
        <v>0</v>
      </c>
      <c r="I1317" s="2585">
        <v>1</v>
      </c>
      <c r="J1317" s="370"/>
      <c r="K1317" s="2576"/>
      <c r="M1317" s="1847"/>
      <c r="N1317" s="96"/>
      <c r="O1317" s="411" t="s">
        <v>9427</v>
      </c>
      <c r="P1317" s="2578">
        <v>5</v>
      </c>
      <c r="Q1317" s="503">
        <v>20</v>
      </c>
      <c r="R1317" s="2585">
        <f>COUNTIF(PoderesDeCriatura_Adquiridos,Tablas!O1317)</f>
        <v>0</v>
      </c>
      <c r="S1317" s="370"/>
      <c r="T1317" s="2576"/>
      <c r="U1317" s="436"/>
      <c r="V1317" s="2634" t="s">
        <v>1578</v>
      </c>
      <c r="W1317" s="2605"/>
      <c r="X1317" s="2172" t="str">
        <f t="shared" si="145"/>
        <v/>
      </c>
      <c r="Y1317" s="2619" t="s">
        <v>8500</v>
      </c>
      <c r="Z1317" s="2625"/>
      <c r="AA1317" s="2625"/>
      <c r="AB1317" s="2625"/>
      <c r="AC1317" s="2625"/>
      <c r="AD1317" s="2625"/>
      <c r="AE1317" s="2625"/>
      <c r="AF1317" s="2625"/>
      <c r="AG1317" s="2625"/>
      <c r="AH1317" s="2625"/>
      <c r="AI1317" s="2625"/>
      <c r="AJ1317" s="2625"/>
      <c r="AK1317" s="2625"/>
      <c r="AL1317" s="2625"/>
      <c r="AM1317" s="2625"/>
      <c r="AN1317" s="2625"/>
      <c r="AO1317" s="2625"/>
      <c r="AP1317" s="2625"/>
      <c r="AQ1317" s="2625"/>
      <c r="AR1317" s="2625"/>
      <c r="AS1317" s="2625"/>
      <c r="AT1317" s="2625"/>
      <c r="AU1317" s="2625"/>
      <c r="AV1317" s="2625"/>
      <c r="AW1317" s="2625"/>
      <c r="AX1317" s="2625"/>
      <c r="AY1317" s="2625"/>
      <c r="AZ1317" s="2625"/>
      <c r="BA1317" s="2625"/>
      <c r="BB1317" s="2625"/>
      <c r="BC1317" s="2625"/>
      <c r="BD1317" s="2625"/>
      <c r="BE1317" s="2625"/>
      <c r="BF1317" s="2625"/>
      <c r="BG1317" s="2625"/>
      <c r="BH1317" s="2625"/>
      <c r="BI1317" s="2625"/>
      <c r="BJ1317" s="2625"/>
      <c r="BK1317" s="2625"/>
      <c r="BL1317" s="2625"/>
      <c r="BM1317" s="1767"/>
      <c r="BN1317" s="1767"/>
      <c r="BO1317" s="1767"/>
      <c r="BP1317" s="1767"/>
      <c r="BQ1317" s="1767"/>
      <c r="BR1317" s="1767"/>
      <c r="BS1317" s="1767"/>
      <c r="BT1317" s="1767"/>
      <c r="BU1317" s="1767"/>
      <c r="BV1317" s="1767"/>
      <c r="BW1317" s="1767"/>
      <c r="BX1317" s="1767"/>
      <c r="BY1317" s="1767"/>
      <c r="BZ1317" s="1767"/>
      <c r="CA1317" s="1768"/>
    </row>
    <row r="1318" spans="1:79" ht="12.75" customHeight="1" x14ac:dyDescent="0.2">
      <c r="A1318" s="1916">
        <v>1318</v>
      </c>
      <c r="B1318" s="5148"/>
      <c r="C1318" s="2580"/>
      <c r="D1318" s="210"/>
      <c r="E1318" s="2583" t="s">
        <v>9852</v>
      </c>
      <c r="F1318" s="195">
        <v>10</v>
      </c>
      <c r="G1318" s="195">
        <v>10</v>
      </c>
      <c r="H1318" s="195">
        <f>COUNTIF(HabilidadesEsenciales_Adquiridas,Tablas!E1318)</f>
        <v>0</v>
      </c>
      <c r="I1318" s="2585">
        <v>1</v>
      </c>
      <c r="J1318" s="370"/>
      <c r="K1318" s="2576"/>
      <c r="M1318" s="1847"/>
      <c r="N1318" s="96"/>
      <c r="O1318" s="411" t="s">
        <v>9428</v>
      </c>
      <c r="P1318" s="2578">
        <v>15</v>
      </c>
      <c r="Q1318" s="503">
        <v>10</v>
      </c>
      <c r="R1318" s="2585">
        <f>COUNTIF(PoderesDeCriatura_Adquiridos,Tablas!O1318)</f>
        <v>0</v>
      </c>
      <c r="S1318" s="370"/>
      <c r="T1318" s="2576"/>
      <c r="U1318" s="436"/>
      <c r="V1318" s="2634" t="s">
        <v>1580</v>
      </c>
      <c r="W1318" s="2605"/>
      <c r="X1318" s="2172" t="str">
        <f t="shared" si="145"/>
        <v/>
      </c>
      <c r="Y1318" s="2619" t="s">
        <v>8500</v>
      </c>
      <c r="Z1318" s="2625"/>
      <c r="AA1318" s="2625"/>
      <c r="AB1318" s="2625"/>
      <c r="AC1318" s="2625"/>
      <c r="AD1318" s="2625"/>
      <c r="AE1318" s="2625"/>
      <c r="AF1318" s="2625"/>
      <c r="AG1318" s="2625"/>
      <c r="AH1318" s="2625"/>
      <c r="AI1318" s="2625"/>
      <c r="AJ1318" s="2625"/>
      <c r="AK1318" s="2625"/>
      <c r="AL1318" s="2625"/>
      <c r="AM1318" s="2625"/>
      <c r="AN1318" s="2625"/>
      <c r="AO1318" s="2625"/>
      <c r="AP1318" s="2625"/>
      <c r="AQ1318" s="2625"/>
      <c r="AR1318" s="2625"/>
      <c r="AS1318" s="2625"/>
      <c r="AT1318" s="2625"/>
      <c r="AU1318" s="2625"/>
      <c r="AV1318" s="2625"/>
      <c r="AW1318" s="2625"/>
      <c r="AX1318" s="2625"/>
      <c r="AY1318" s="2625"/>
      <c r="AZ1318" s="2625"/>
      <c r="BA1318" s="2625"/>
      <c r="BB1318" s="2625"/>
      <c r="BC1318" s="2625"/>
      <c r="BD1318" s="2625"/>
      <c r="BE1318" s="2625"/>
      <c r="BF1318" s="2625"/>
      <c r="BG1318" s="2625"/>
      <c r="BH1318" s="2625"/>
      <c r="BI1318" s="2625"/>
      <c r="BJ1318" s="2625"/>
      <c r="BK1318" s="2625"/>
      <c r="BL1318" s="2625"/>
      <c r="BM1318" s="1767"/>
      <c r="BN1318" s="1767"/>
      <c r="BO1318" s="1767"/>
      <c r="BP1318" s="1767"/>
      <c r="BQ1318" s="1767"/>
      <c r="BR1318" s="1767"/>
      <c r="BS1318" s="1767"/>
      <c r="BT1318" s="1767"/>
      <c r="BU1318" s="1767"/>
      <c r="BV1318" s="1767"/>
      <c r="BW1318" s="1767"/>
      <c r="BX1318" s="1767"/>
      <c r="BY1318" s="1767"/>
      <c r="BZ1318" s="1767"/>
      <c r="CA1318" s="1768"/>
    </row>
    <row r="1319" spans="1:79" ht="12.75" customHeight="1" x14ac:dyDescent="0.2">
      <c r="A1319" s="1916">
        <v>1319</v>
      </c>
      <c r="B1319" s="5148"/>
      <c r="C1319" s="2580"/>
      <c r="D1319" s="210"/>
      <c r="E1319" s="2583" t="s">
        <v>9853</v>
      </c>
      <c r="F1319" s="195">
        <v>15</v>
      </c>
      <c r="G1319" s="195">
        <v>20</v>
      </c>
      <c r="H1319" s="195">
        <f>COUNTIF(HabilidadesEsenciales_Adquiridas,Tablas!E1319)</f>
        <v>0</v>
      </c>
      <c r="I1319" s="2585">
        <v>1</v>
      </c>
      <c r="J1319" s="370"/>
      <c r="K1319" s="2576"/>
      <c r="M1319" s="1847"/>
      <c r="N1319" s="96"/>
      <c r="O1319" s="411" t="s">
        <v>9429</v>
      </c>
      <c r="P1319" s="2578">
        <v>0</v>
      </c>
      <c r="Q1319" s="503">
        <v>10</v>
      </c>
      <c r="R1319" s="2585">
        <f>COUNTIF(PoderesDeCriatura_Adquiridos,Tablas!O1319)</f>
        <v>0</v>
      </c>
      <c r="S1319" s="370"/>
      <c r="T1319" s="2576"/>
      <c r="U1319" s="436"/>
      <c r="V1319" s="2634" t="s">
        <v>2758</v>
      </c>
      <c r="W1319" s="2605"/>
      <c r="X1319" s="2172" t="str">
        <f t="shared" si="145"/>
        <v/>
      </c>
      <c r="Y1319" s="2619" t="s">
        <v>8500</v>
      </c>
      <c r="Z1319" s="2625"/>
      <c r="AA1319" s="2625"/>
      <c r="AB1319" s="2625"/>
      <c r="AC1319" s="2625"/>
      <c r="AD1319" s="2625"/>
      <c r="AE1319" s="2625"/>
      <c r="AF1319" s="2625"/>
      <c r="AG1319" s="2625"/>
      <c r="AH1319" s="2625"/>
      <c r="AI1319" s="2625"/>
      <c r="AJ1319" s="2625"/>
      <c r="AK1319" s="2625"/>
      <c r="AL1319" s="2625"/>
      <c r="AM1319" s="2625"/>
      <c r="AN1319" s="2625"/>
      <c r="AO1319" s="2625"/>
      <c r="AP1319" s="2625"/>
      <c r="AQ1319" s="2625"/>
      <c r="AR1319" s="2625"/>
      <c r="AS1319" s="2625"/>
      <c r="AT1319" s="2625"/>
      <c r="AU1319" s="2625"/>
      <c r="AV1319" s="2625"/>
      <c r="AW1319" s="2625"/>
      <c r="AX1319" s="2625"/>
      <c r="AY1319" s="2625"/>
      <c r="AZ1319" s="2625"/>
      <c r="BA1319" s="2625"/>
      <c r="BB1319" s="2625"/>
      <c r="BC1319" s="2625"/>
      <c r="BD1319" s="2625"/>
      <c r="BE1319" s="2625"/>
      <c r="BF1319" s="2625"/>
      <c r="BG1319" s="2625"/>
      <c r="BH1319" s="2625"/>
      <c r="BI1319" s="2625"/>
      <c r="BJ1319" s="2625"/>
      <c r="BK1319" s="2625"/>
      <c r="BL1319" s="2625"/>
      <c r="BM1319" s="1767"/>
      <c r="BN1319" s="1767"/>
      <c r="BO1319" s="1767"/>
      <c r="BP1319" s="1767"/>
      <c r="BQ1319" s="1767"/>
      <c r="BR1319" s="1767"/>
      <c r="BS1319" s="1767"/>
      <c r="BT1319" s="1767"/>
      <c r="BU1319" s="1767"/>
      <c r="BV1319" s="1767"/>
      <c r="BW1319" s="1767"/>
      <c r="BX1319" s="1767"/>
      <c r="BY1319" s="1767"/>
      <c r="BZ1319" s="1767"/>
      <c r="CA1319" s="1768"/>
    </row>
    <row r="1320" spans="1:79" ht="12.75" customHeight="1" x14ac:dyDescent="0.2">
      <c r="A1320" s="1916">
        <v>1320</v>
      </c>
      <c r="B1320" s="5148"/>
      <c r="C1320" s="2580"/>
      <c r="D1320" s="210"/>
      <c r="E1320" s="2583" t="s">
        <v>9854</v>
      </c>
      <c r="F1320" s="195">
        <v>20</v>
      </c>
      <c r="G1320" s="195">
        <v>30</v>
      </c>
      <c r="H1320" s="195">
        <f>COUNTIF(HabilidadesEsenciales_Adquiridas,Tablas!E1320)</f>
        <v>0</v>
      </c>
      <c r="I1320" s="2585">
        <v>1</v>
      </c>
      <c r="J1320" s="370"/>
      <c r="K1320" s="2576"/>
      <c r="M1320" s="1847"/>
      <c r="N1320" s="96"/>
      <c r="O1320" s="411" t="s">
        <v>9430</v>
      </c>
      <c r="P1320" s="2578">
        <v>20</v>
      </c>
      <c r="Q1320" s="503">
        <v>30</v>
      </c>
      <c r="R1320" s="2585">
        <f>COUNTIF(PoderesDeCriatura_Adquiridos,Tablas!O1320)</f>
        <v>0</v>
      </c>
      <c r="S1320" s="370"/>
      <c r="T1320" s="2576"/>
      <c r="U1320" s="436"/>
      <c r="V1320" s="2634" t="s">
        <v>2757</v>
      </c>
      <c r="W1320" s="2605"/>
      <c r="X1320" s="2172" t="str">
        <f t="shared" si="145"/>
        <v/>
      </c>
      <c r="Y1320" s="2619" t="s">
        <v>8500</v>
      </c>
      <c r="Z1320" s="2625"/>
      <c r="AA1320" s="2625"/>
      <c r="AB1320" s="2625"/>
      <c r="AC1320" s="2625"/>
      <c r="AD1320" s="2625"/>
      <c r="AE1320" s="2625"/>
      <c r="AF1320" s="2625"/>
      <c r="AG1320" s="2625"/>
      <c r="AH1320" s="2625"/>
      <c r="AI1320" s="2625"/>
      <c r="AJ1320" s="2625"/>
      <c r="AK1320" s="2625"/>
      <c r="AL1320" s="2625"/>
      <c r="AM1320" s="2625"/>
      <c r="AN1320" s="2625"/>
      <c r="AO1320" s="2625"/>
      <c r="AP1320" s="2625"/>
      <c r="AQ1320" s="2625"/>
      <c r="AR1320" s="2625"/>
      <c r="AS1320" s="2625"/>
      <c r="AT1320" s="2625"/>
      <c r="AU1320" s="2625"/>
      <c r="AV1320" s="2625"/>
      <c r="AW1320" s="2625"/>
      <c r="AX1320" s="2625"/>
      <c r="AY1320" s="2625"/>
      <c r="AZ1320" s="2625"/>
      <c r="BA1320" s="2625"/>
      <c r="BB1320" s="2625"/>
      <c r="BC1320" s="2625"/>
      <c r="BD1320" s="2625"/>
      <c r="BE1320" s="2625"/>
      <c r="BF1320" s="2625"/>
      <c r="BG1320" s="2625"/>
      <c r="BH1320" s="2625"/>
      <c r="BI1320" s="2625"/>
      <c r="BJ1320" s="2625"/>
      <c r="BK1320" s="2625"/>
      <c r="BL1320" s="2625"/>
      <c r="BM1320" s="1767"/>
      <c r="BN1320" s="1767"/>
      <c r="BO1320" s="1767"/>
      <c r="BP1320" s="1767"/>
      <c r="BQ1320" s="1767"/>
      <c r="BR1320" s="1767"/>
      <c r="BS1320" s="1767"/>
      <c r="BT1320" s="1767"/>
      <c r="BU1320" s="1767"/>
      <c r="BV1320" s="1767"/>
      <c r="BW1320" s="1767"/>
      <c r="BX1320" s="1767"/>
      <c r="BY1320" s="1767"/>
      <c r="BZ1320" s="1767"/>
      <c r="CA1320" s="1768"/>
    </row>
    <row r="1321" spans="1:79" ht="12.75" customHeight="1" x14ac:dyDescent="0.2">
      <c r="A1321" s="1916">
        <v>1321</v>
      </c>
      <c r="B1321" s="5148"/>
      <c r="C1321" s="2580"/>
      <c r="D1321" s="210"/>
      <c r="E1321" s="2583" t="s">
        <v>9855</v>
      </c>
      <c r="F1321" s="195">
        <v>25</v>
      </c>
      <c r="G1321" s="195">
        <v>40</v>
      </c>
      <c r="H1321" s="195">
        <f>COUNTIF(HabilidadesEsenciales_Adquiridas,Tablas!E1321)</f>
        <v>0</v>
      </c>
      <c r="I1321" s="2585">
        <v>1</v>
      </c>
      <c r="J1321" s="370"/>
      <c r="K1321" s="2576"/>
      <c r="M1321" s="1847"/>
      <c r="N1321" s="96"/>
      <c r="O1321" s="411" t="s">
        <v>9431</v>
      </c>
      <c r="P1321" s="2578">
        <v>10</v>
      </c>
      <c r="Q1321" s="503">
        <v>10</v>
      </c>
      <c r="R1321" s="2585">
        <f>COUNTIF(PoderesDeCriatura_Adquiridos,Tablas!O1321)</f>
        <v>0</v>
      </c>
      <c r="S1321" s="370"/>
      <c r="T1321" s="2576"/>
      <c r="U1321" s="436"/>
      <c r="V1321" s="2634" t="s">
        <v>2776</v>
      </c>
      <c r="W1321" s="2605"/>
      <c r="X1321" s="2172" t="str">
        <f t="shared" si="145"/>
        <v/>
      </c>
      <c r="Y1321" s="2619" t="s">
        <v>8500</v>
      </c>
      <c r="Z1321" s="2625"/>
      <c r="AA1321" s="2625"/>
      <c r="AB1321" s="2625"/>
      <c r="AC1321" s="2625"/>
      <c r="AD1321" s="2625"/>
      <c r="AE1321" s="2625"/>
      <c r="AF1321" s="2625"/>
      <c r="AG1321" s="2625"/>
      <c r="AH1321" s="2625"/>
      <c r="AI1321" s="2625"/>
      <c r="AJ1321" s="2625"/>
      <c r="AK1321" s="2625"/>
      <c r="AL1321" s="2625"/>
      <c r="AM1321" s="2625"/>
      <c r="AN1321" s="2625"/>
      <c r="AO1321" s="2625"/>
      <c r="AP1321" s="2625"/>
      <c r="AQ1321" s="2625"/>
      <c r="AR1321" s="2625"/>
      <c r="AS1321" s="2625"/>
      <c r="AT1321" s="2625"/>
      <c r="AU1321" s="2625"/>
      <c r="AV1321" s="2625"/>
      <c r="AW1321" s="2625"/>
      <c r="AX1321" s="2625"/>
      <c r="AY1321" s="2625"/>
      <c r="AZ1321" s="2625"/>
      <c r="BA1321" s="2625"/>
      <c r="BB1321" s="2625"/>
      <c r="BC1321" s="2625"/>
      <c r="BD1321" s="2625"/>
      <c r="BE1321" s="2625"/>
      <c r="BF1321" s="2625"/>
      <c r="BG1321" s="2625"/>
      <c r="BH1321" s="2625"/>
      <c r="BI1321" s="2625"/>
      <c r="BJ1321" s="2625"/>
      <c r="BK1321" s="2625"/>
      <c r="BL1321" s="2625"/>
      <c r="BM1321" s="1767"/>
      <c r="BN1321" s="1767"/>
      <c r="BO1321" s="1767"/>
      <c r="BP1321" s="1767"/>
      <c r="BQ1321" s="1767"/>
      <c r="BR1321" s="1767"/>
      <c r="BS1321" s="1767"/>
      <c r="BT1321" s="1767"/>
      <c r="BU1321" s="1767"/>
      <c r="BV1321" s="1767"/>
      <c r="BW1321" s="1767"/>
      <c r="BX1321" s="1767"/>
      <c r="BY1321" s="1767"/>
      <c r="BZ1321" s="1767"/>
      <c r="CA1321" s="1768"/>
    </row>
    <row r="1322" spans="1:79" ht="12.75" customHeight="1" x14ac:dyDescent="0.2">
      <c r="A1322" s="1916">
        <v>1322</v>
      </c>
      <c r="B1322" s="5148"/>
      <c r="C1322" s="2580"/>
      <c r="D1322" s="210"/>
      <c r="E1322" s="2583" t="s">
        <v>9856</v>
      </c>
      <c r="F1322" s="195">
        <v>30</v>
      </c>
      <c r="G1322" s="195">
        <v>50</v>
      </c>
      <c r="H1322" s="195">
        <f>COUNTIF(HabilidadesEsenciales_Adquiridas,Tablas!E1322)</f>
        <v>0</v>
      </c>
      <c r="I1322" s="2585">
        <v>1</v>
      </c>
      <c r="J1322" s="370"/>
      <c r="K1322" s="2576"/>
      <c r="M1322" s="1847"/>
      <c r="N1322" s="96"/>
      <c r="O1322" s="411" t="s">
        <v>9432</v>
      </c>
      <c r="P1322" s="2578">
        <v>10</v>
      </c>
      <c r="Q1322" s="503">
        <v>10</v>
      </c>
      <c r="R1322" s="2585">
        <f>COUNTIF(PoderesDeCriatura_Adquiridos,Tablas!O1322)</f>
        <v>0</v>
      </c>
      <c r="S1322" s="370"/>
      <c r="T1322" s="2576"/>
      <c r="U1322" s="436"/>
      <c r="V1322" s="2634" t="s">
        <v>8953</v>
      </c>
      <c r="W1322" s="2605"/>
      <c r="X1322" s="2172" t="s">
        <v>8956</v>
      </c>
      <c r="Y1322" s="2619" t="s">
        <v>103</v>
      </c>
      <c r="Z1322" s="2619" t="s">
        <v>105</v>
      </c>
      <c r="AA1322" s="2619" t="s">
        <v>101</v>
      </c>
      <c r="AB1322" s="2619" t="s">
        <v>99</v>
      </c>
      <c r="AC1322" s="2619" t="s">
        <v>108</v>
      </c>
      <c r="AD1322" s="2619" t="s">
        <v>107</v>
      </c>
      <c r="AE1322" s="2619" t="s">
        <v>111</v>
      </c>
      <c r="AF1322" s="2619" t="s">
        <v>109</v>
      </c>
      <c r="AG1322" s="2619" t="s">
        <v>113</v>
      </c>
      <c r="AH1322" s="2619" t="s">
        <v>114</v>
      </c>
      <c r="AI1322" s="2619" t="s">
        <v>116</v>
      </c>
      <c r="AJ1322" s="2619" t="s">
        <v>2019</v>
      </c>
      <c r="AK1322" s="2619" t="s">
        <v>117</v>
      </c>
      <c r="AL1322" s="2619"/>
      <c r="AM1322" s="2619"/>
      <c r="AN1322" s="2619"/>
      <c r="AO1322" s="2619"/>
      <c r="AP1322" s="2619"/>
      <c r="AQ1322" s="2619"/>
      <c r="AR1322" s="2619"/>
      <c r="AS1322" s="2619"/>
      <c r="AT1322" s="2619"/>
      <c r="AU1322" s="2619"/>
      <c r="AV1322" s="2619"/>
      <c r="AW1322" s="2619"/>
      <c r="AX1322" s="2619"/>
      <c r="AY1322" s="2619"/>
      <c r="AZ1322" s="2619"/>
      <c r="BA1322" s="2625"/>
      <c r="BB1322" s="2625"/>
      <c r="BC1322" s="2625"/>
      <c r="BD1322" s="2625"/>
      <c r="BE1322" s="2625"/>
      <c r="BF1322" s="2625"/>
      <c r="BG1322" s="2625"/>
      <c r="BH1322" s="2625"/>
      <c r="BI1322" s="2625"/>
      <c r="BJ1322" s="2625"/>
      <c r="BK1322" s="2625"/>
      <c r="BL1322" s="2625"/>
      <c r="BM1322" s="1767"/>
      <c r="BN1322" s="1767"/>
      <c r="BO1322" s="1767"/>
      <c r="BP1322" s="1767"/>
      <c r="BQ1322" s="1767"/>
      <c r="BR1322" s="1767"/>
      <c r="BS1322" s="1767"/>
      <c r="BT1322" s="1767"/>
      <c r="BU1322" s="1767"/>
      <c r="BV1322" s="1767"/>
      <c r="BW1322" s="1767"/>
      <c r="BX1322" s="1767"/>
      <c r="BY1322" s="1767"/>
      <c r="BZ1322" s="1767"/>
      <c r="CA1322" s="1768"/>
    </row>
    <row r="1323" spans="1:79" ht="12.75" customHeight="1" x14ac:dyDescent="0.2">
      <c r="A1323" s="1916">
        <v>1323</v>
      </c>
      <c r="B1323" s="5148"/>
      <c r="C1323" s="2580"/>
      <c r="D1323" s="210"/>
      <c r="E1323" s="2583" t="s">
        <v>9857</v>
      </c>
      <c r="F1323" s="195">
        <v>10</v>
      </c>
      <c r="G1323" s="195">
        <v>10</v>
      </c>
      <c r="H1323" s="195">
        <f>COUNTIF(HabilidadesEsenciales_Adquiridas,Tablas!E1323)</f>
        <v>0</v>
      </c>
      <c r="I1323" s="2585">
        <v>1</v>
      </c>
      <c r="J1323" s="370"/>
      <c r="K1323" s="2576"/>
      <c r="M1323" s="1847"/>
      <c r="N1323" s="96"/>
      <c r="O1323" s="411" t="s">
        <v>9433</v>
      </c>
      <c r="P1323" s="2578">
        <v>10</v>
      </c>
      <c r="Q1323" s="503">
        <v>20</v>
      </c>
      <c r="R1323" s="2585">
        <f>COUNTIF(PoderesDeCriatura_Adquiridos,Tablas!O1323)</f>
        <v>0</v>
      </c>
      <c r="S1323" s="370"/>
      <c r="T1323" s="2576"/>
      <c r="U1323" s="436"/>
      <c r="V1323" s="2634" t="s">
        <v>2094</v>
      </c>
      <c r="W1323" s="2605"/>
      <c r="X1323" s="2172"/>
      <c r="Y1323" s="2619"/>
      <c r="Z1323" s="2619"/>
      <c r="AA1323" s="2619"/>
      <c r="AB1323" s="2619"/>
      <c r="AC1323" s="2619"/>
      <c r="AD1323" s="2619"/>
      <c r="AE1323" s="2619"/>
      <c r="AF1323" s="2619"/>
      <c r="AG1323" s="2619"/>
      <c r="AH1323" s="2619"/>
      <c r="AI1323" s="2619"/>
      <c r="AJ1323" s="2619"/>
      <c r="AK1323" s="2619"/>
      <c r="AL1323" s="2625"/>
      <c r="AM1323" s="2625"/>
      <c r="AN1323" s="2625"/>
      <c r="AO1323" s="2625"/>
      <c r="AP1323" s="2625"/>
      <c r="AQ1323" s="2625"/>
      <c r="AR1323" s="2625"/>
      <c r="AS1323" s="2625"/>
      <c r="AT1323" s="2625"/>
      <c r="AU1323" s="2625"/>
      <c r="AV1323" s="2625"/>
      <c r="AW1323" s="2625"/>
      <c r="AX1323" s="2625"/>
      <c r="AY1323" s="2625"/>
      <c r="AZ1323" s="2625"/>
      <c r="BA1323" s="2625"/>
      <c r="BB1323" s="2625"/>
      <c r="BC1323" s="2625"/>
      <c r="BD1323" s="2625"/>
      <c r="BE1323" s="2625"/>
      <c r="BF1323" s="2625"/>
      <c r="BG1323" s="2625"/>
      <c r="BH1323" s="2625"/>
      <c r="BI1323" s="2625"/>
      <c r="BJ1323" s="2625"/>
      <c r="BK1323" s="2625"/>
      <c r="BL1323" s="2625"/>
      <c r="BM1323" s="1767"/>
      <c r="BN1323" s="1767"/>
      <c r="BO1323" s="1767"/>
      <c r="BP1323" s="1767"/>
      <c r="BQ1323" s="1767"/>
      <c r="BR1323" s="1767"/>
      <c r="BS1323" s="1767"/>
      <c r="BT1323" s="1767"/>
      <c r="BU1323" s="1767"/>
      <c r="BV1323" s="1767"/>
      <c r="BW1323" s="1767"/>
      <c r="BX1323" s="1767"/>
      <c r="BY1323" s="1767"/>
      <c r="BZ1323" s="1767"/>
      <c r="CA1323" s="1768"/>
    </row>
    <row r="1324" spans="1:79" ht="12.75" customHeight="1" x14ac:dyDescent="0.2">
      <c r="A1324" s="1916">
        <v>1324</v>
      </c>
      <c r="B1324" s="5148"/>
      <c r="C1324" s="2580"/>
      <c r="D1324" s="210"/>
      <c r="E1324" s="2583" t="s">
        <v>9858</v>
      </c>
      <c r="F1324" s="195">
        <v>15</v>
      </c>
      <c r="G1324" s="195">
        <v>20</v>
      </c>
      <c r="H1324" s="195">
        <f>COUNTIF(HabilidadesEsenciales_Adquiridas,Tablas!E1324)</f>
        <v>0</v>
      </c>
      <c r="I1324" s="2585">
        <v>1</v>
      </c>
      <c r="J1324" s="370"/>
      <c r="K1324" s="2576"/>
      <c r="M1324" s="1847"/>
      <c r="N1324" s="96"/>
      <c r="O1324" s="411" t="s">
        <v>9434</v>
      </c>
      <c r="P1324" s="2578">
        <v>15</v>
      </c>
      <c r="Q1324" s="503">
        <v>40</v>
      </c>
      <c r="R1324" s="2585">
        <f>COUNTIF(PoderesDeCriatura_Adquiridos,Tablas!O1324)</f>
        <v>0</v>
      </c>
      <c r="S1324" s="370"/>
      <c r="T1324" s="2576"/>
      <c r="U1324" s="436"/>
      <c r="V1324" s="2634" t="s">
        <v>1582</v>
      </c>
      <c r="W1324" s="2604" t="s">
        <v>8956</v>
      </c>
      <c r="X1324" s="2172"/>
      <c r="Y1324" s="2619"/>
      <c r="Z1324" s="2625"/>
      <c r="AA1324" s="2625"/>
      <c r="AB1324" s="2625"/>
      <c r="AC1324" s="2625"/>
      <c r="AD1324" s="2625"/>
      <c r="AE1324" s="2625"/>
      <c r="AF1324" s="2625"/>
      <c r="AG1324" s="2625"/>
      <c r="AH1324" s="2625"/>
      <c r="AI1324" s="2625"/>
      <c r="AJ1324" s="2625"/>
      <c r="AK1324" s="2625"/>
      <c r="AL1324" s="2625"/>
      <c r="AM1324" s="2625"/>
      <c r="AN1324" s="2625"/>
      <c r="AO1324" s="2625"/>
      <c r="AP1324" s="2625"/>
      <c r="AQ1324" s="2625"/>
      <c r="AR1324" s="2625"/>
      <c r="AS1324" s="2625"/>
      <c r="AT1324" s="2625"/>
      <c r="AU1324" s="2625"/>
      <c r="AV1324" s="2625"/>
      <c r="AW1324" s="2625"/>
      <c r="AX1324" s="2625"/>
      <c r="AY1324" s="2625"/>
      <c r="AZ1324" s="2625"/>
      <c r="BA1324" s="2625"/>
      <c r="BB1324" s="2625"/>
      <c r="BC1324" s="2625"/>
      <c r="BD1324" s="2625"/>
      <c r="BE1324" s="2625"/>
      <c r="BF1324" s="2625"/>
      <c r="BG1324" s="2625"/>
      <c r="BH1324" s="2625"/>
      <c r="BI1324" s="2625"/>
      <c r="BJ1324" s="2625"/>
      <c r="BK1324" s="2625"/>
      <c r="BL1324" s="2625"/>
      <c r="BM1324" s="1767"/>
      <c r="BN1324" s="1767"/>
      <c r="BO1324" s="1767"/>
      <c r="BP1324" s="1767"/>
      <c r="BQ1324" s="1767"/>
      <c r="BR1324" s="1767"/>
      <c r="BS1324" s="1767"/>
      <c r="BT1324" s="1767"/>
      <c r="BU1324" s="1767"/>
      <c r="BV1324" s="1767"/>
      <c r="BW1324" s="1767"/>
      <c r="BX1324" s="1767"/>
      <c r="BY1324" s="1767"/>
      <c r="BZ1324" s="1767"/>
      <c r="CA1324" s="1768"/>
    </row>
    <row r="1325" spans="1:79" ht="12.75" customHeight="1" x14ac:dyDescent="0.2">
      <c r="A1325" s="1916">
        <v>1325</v>
      </c>
      <c r="B1325" s="5148"/>
      <c r="C1325" s="2580"/>
      <c r="D1325" s="210"/>
      <c r="E1325" s="2583" t="s">
        <v>9859</v>
      </c>
      <c r="F1325" s="195">
        <v>20</v>
      </c>
      <c r="G1325" s="195">
        <v>30</v>
      </c>
      <c r="H1325" s="195">
        <f>COUNTIF(HabilidadesEsenciales_Adquiridas,Tablas!E1325)</f>
        <v>0</v>
      </c>
      <c r="I1325" s="2585">
        <v>1</v>
      </c>
      <c r="J1325" s="370"/>
      <c r="K1325" s="2576"/>
      <c r="M1325" s="1847"/>
      <c r="N1325" s="96"/>
      <c r="O1325" s="411" t="s">
        <v>9435</v>
      </c>
      <c r="P1325" s="2578">
        <v>15</v>
      </c>
      <c r="Q1325" s="503">
        <v>60</v>
      </c>
      <c r="R1325" s="2585">
        <f>COUNTIF(PoderesDeCriatura_Adquiridos,Tablas!O1325)</f>
        <v>0</v>
      </c>
      <c r="S1325" s="370"/>
      <c r="T1325" s="2576"/>
      <c r="U1325" s="436"/>
      <c r="V1325" s="2634" t="s">
        <v>1581</v>
      </c>
      <c r="W1325" s="2605"/>
      <c r="X1325" s="2172" t="str">
        <f t="shared" ref="X1325:X1362" si="146">IF(Y1325="","",SUBSTITUTE("PodHab_"&amp;V1325," ",""))</f>
        <v/>
      </c>
      <c r="Y1325" s="2619" t="s">
        <v>8500</v>
      </c>
      <c r="Z1325" s="2172"/>
      <c r="AA1325" s="2172"/>
      <c r="AB1325" s="2625"/>
      <c r="AC1325" s="2625"/>
      <c r="AD1325" s="2625"/>
      <c r="AE1325" s="2625"/>
      <c r="AF1325" s="2625"/>
      <c r="AG1325" s="2625"/>
      <c r="AH1325" s="2625"/>
      <c r="AI1325" s="2625"/>
      <c r="AJ1325" s="2625"/>
      <c r="AK1325" s="2625"/>
      <c r="AL1325" s="2625"/>
      <c r="AM1325" s="2625"/>
      <c r="AN1325" s="2625"/>
      <c r="AO1325" s="2625"/>
      <c r="AP1325" s="2625"/>
      <c r="AQ1325" s="2625"/>
      <c r="AR1325" s="2625"/>
      <c r="AS1325" s="2625"/>
      <c r="AT1325" s="2625"/>
      <c r="AU1325" s="2625"/>
      <c r="AV1325" s="2625"/>
      <c r="AW1325" s="2625"/>
      <c r="AX1325" s="2625"/>
      <c r="AY1325" s="2625"/>
      <c r="AZ1325" s="2625"/>
      <c r="BA1325" s="2625"/>
      <c r="BB1325" s="2625"/>
      <c r="BC1325" s="2625"/>
      <c r="BD1325" s="2625"/>
      <c r="BE1325" s="2625"/>
      <c r="BF1325" s="2625"/>
      <c r="BG1325" s="2625"/>
      <c r="BH1325" s="2625"/>
      <c r="BI1325" s="2625"/>
      <c r="BJ1325" s="2625"/>
      <c r="BK1325" s="2625"/>
      <c r="BL1325" s="2625"/>
      <c r="BM1325" s="1767"/>
      <c r="BN1325" s="1767"/>
      <c r="BO1325" s="1767"/>
      <c r="BP1325" s="1767"/>
      <c r="BQ1325" s="1767"/>
      <c r="BR1325" s="1767"/>
      <c r="BS1325" s="1767"/>
      <c r="BT1325" s="1767"/>
      <c r="BU1325" s="1767"/>
      <c r="BV1325" s="1767"/>
      <c r="BW1325" s="1767"/>
      <c r="BX1325" s="1767"/>
      <c r="BY1325" s="1767"/>
      <c r="BZ1325" s="1767"/>
      <c r="CA1325" s="1768"/>
    </row>
    <row r="1326" spans="1:79" ht="12.75" customHeight="1" x14ac:dyDescent="0.2">
      <c r="A1326" s="1916">
        <v>1326</v>
      </c>
      <c r="B1326" s="5148"/>
      <c r="C1326" s="2580"/>
      <c r="D1326" s="210"/>
      <c r="E1326" s="2583" t="s">
        <v>9860</v>
      </c>
      <c r="F1326" s="195">
        <v>25</v>
      </c>
      <c r="G1326" s="195">
        <v>40</v>
      </c>
      <c r="H1326" s="195">
        <f>COUNTIF(HabilidadesEsenciales_Adquiridas,Tablas!E1326)</f>
        <v>0</v>
      </c>
      <c r="I1326" s="2585">
        <v>1</v>
      </c>
      <c r="J1326" s="370"/>
      <c r="K1326" s="2576"/>
      <c r="M1326" s="1847"/>
      <c r="N1326" s="96"/>
      <c r="O1326" s="411" t="s">
        <v>9436</v>
      </c>
      <c r="P1326" s="2578">
        <v>20</v>
      </c>
      <c r="Q1326" s="503">
        <v>80</v>
      </c>
      <c r="R1326" s="2585">
        <f>COUNTIF(PoderesDeCriatura_Adquiridos,Tablas!O1326)</f>
        <v>0</v>
      </c>
      <c r="S1326" s="370"/>
      <c r="T1326" s="2576"/>
      <c r="U1326" s="436"/>
      <c r="V1326" s="2634" t="s">
        <v>1583</v>
      </c>
      <c r="W1326" s="2605"/>
      <c r="X1326" s="2172" t="str">
        <f t="shared" si="146"/>
        <v/>
      </c>
      <c r="Y1326" s="2619" t="s">
        <v>8500</v>
      </c>
      <c r="Z1326" s="2172"/>
      <c r="AA1326" s="2172"/>
      <c r="AB1326" s="2625"/>
      <c r="AC1326" s="2625"/>
      <c r="AD1326" s="2625"/>
      <c r="AE1326" s="2625"/>
      <c r="AF1326" s="2625"/>
      <c r="AG1326" s="2625"/>
      <c r="AH1326" s="2625"/>
      <c r="AI1326" s="2625"/>
      <c r="AJ1326" s="2625"/>
      <c r="AK1326" s="2625"/>
      <c r="AL1326" s="2625"/>
      <c r="AM1326" s="2625"/>
      <c r="AN1326" s="2625"/>
      <c r="AO1326" s="2625"/>
      <c r="AP1326" s="2625"/>
      <c r="AQ1326" s="2625"/>
      <c r="AR1326" s="2625"/>
      <c r="AS1326" s="2625"/>
      <c r="AT1326" s="2625"/>
      <c r="AU1326" s="2625"/>
      <c r="AV1326" s="2625"/>
      <c r="AW1326" s="2625"/>
      <c r="AX1326" s="2625"/>
      <c r="AY1326" s="2625"/>
      <c r="AZ1326" s="2625"/>
      <c r="BA1326" s="2625"/>
      <c r="BB1326" s="2625"/>
      <c r="BC1326" s="2625"/>
      <c r="BD1326" s="2625"/>
      <c r="BE1326" s="2625"/>
      <c r="BF1326" s="2625"/>
      <c r="BG1326" s="2625"/>
      <c r="BH1326" s="2625"/>
      <c r="BI1326" s="2625"/>
      <c r="BJ1326" s="2625"/>
      <c r="BK1326" s="2625"/>
      <c r="BL1326" s="2625"/>
      <c r="BM1326" s="1767"/>
      <c r="BN1326" s="1767"/>
      <c r="BO1326" s="1767"/>
      <c r="BP1326" s="1767"/>
      <c r="BQ1326" s="1767"/>
      <c r="BR1326" s="1767"/>
      <c r="BS1326" s="1767"/>
      <c r="BT1326" s="1767"/>
      <c r="BU1326" s="1767"/>
      <c r="BV1326" s="1767"/>
      <c r="BW1326" s="1767"/>
      <c r="BX1326" s="1767"/>
      <c r="BY1326" s="1767"/>
      <c r="BZ1326" s="1767"/>
      <c r="CA1326" s="1768"/>
    </row>
    <row r="1327" spans="1:79" ht="12.75" customHeight="1" x14ac:dyDescent="0.2">
      <c r="A1327" s="1916">
        <v>1327</v>
      </c>
      <c r="B1327" s="5148"/>
      <c r="C1327" s="2580"/>
      <c r="D1327" s="210"/>
      <c r="E1327" s="2583" t="s">
        <v>9861</v>
      </c>
      <c r="F1327" s="195">
        <v>30</v>
      </c>
      <c r="G1327" s="195">
        <v>50</v>
      </c>
      <c r="H1327" s="195">
        <f>COUNTIF(HabilidadesEsenciales_Adquiridas,Tablas!E1327)</f>
        <v>0</v>
      </c>
      <c r="I1327" s="2585">
        <v>1</v>
      </c>
      <c r="J1327" s="370"/>
      <c r="K1327" s="2576"/>
      <c r="M1327" s="1847"/>
      <c r="N1327" s="96"/>
      <c r="O1327" s="411" t="s">
        <v>9437</v>
      </c>
      <c r="P1327" s="2578">
        <v>20</v>
      </c>
      <c r="Q1327" s="503">
        <v>100</v>
      </c>
      <c r="R1327" s="2585">
        <f>COUNTIF(PoderesDeCriatura_Adquiridos,Tablas!O1327)</f>
        <v>0</v>
      </c>
      <c r="S1327" s="370"/>
      <c r="T1327" s="2576"/>
      <c r="U1327" s="436"/>
      <c r="V1327" s="2634" t="s">
        <v>1588</v>
      </c>
      <c r="W1327" s="2605"/>
      <c r="X1327" s="2172" t="str">
        <f t="shared" si="146"/>
        <v/>
      </c>
      <c r="Y1327" s="2619" t="s">
        <v>8500</v>
      </c>
      <c r="Z1327" s="2172"/>
      <c r="AA1327" s="2172"/>
      <c r="AB1327" s="2625"/>
      <c r="AC1327" s="2625"/>
      <c r="AD1327" s="2625"/>
      <c r="AE1327" s="2625"/>
      <c r="AF1327" s="2625"/>
      <c r="AG1327" s="2625"/>
      <c r="AH1327" s="2625"/>
      <c r="AI1327" s="2625"/>
      <c r="AJ1327" s="2625"/>
      <c r="AK1327" s="2625"/>
      <c r="AL1327" s="2625"/>
      <c r="AM1327" s="2625"/>
      <c r="AN1327" s="2625"/>
      <c r="AO1327" s="2625"/>
      <c r="AP1327" s="2625"/>
      <c r="AQ1327" s="2625"/>
      <c r="AR1327" s="2625"/>
      <c r="AS1327" s="2625"/>
      <c r="AT1327" s="2625"/>
      <c r="AU1327" s="2625"/>
      <c r="AV1327" s="2625"/>
      <c r="AW1327" s="2625"/>
      <c r="AX1327" s="2625"/>
      <c r="AY1327" s="2625"/>
      <c r="AZ1327" s="2625"/>
      <c r="BA1327" s="2625"/>
      <c r="BB1327" s="2625"/>
      <c r="BC1327" s="2625"/>
      <c r="BD1327" s="2625"/>
      <c r="BE1327" s="2625"/>
      <c r="BF1327" s="2625"/>
      <c r="BG1327" s="2625"/>
      <c r="BH1327" s="2625"/>
      <c r="BI1327" s="2625"/>
      <c r="BJ1327" s="2625"/>
      <c r="BK1327" s="2625"/>
      <c r="BL1327" s="2625"/>
      <c r="BM1327" s="1767"/>
      <c r="BN1327" s="1767"/>
      <c r="BO1327" s="1767"/>
      <c r="BP1327" s="1767"/>
      <c r="BQ1327" s="1767"/>
      <c r="BR1327" s="1767"/>
      <c r="BS1327" s="1767"/>
      <c r="BT1327" s="1767"/>
      <c r="BU1327" s="1767"/>
      <c r="BV1327" s="1767"/>
      <c r="BW1327" s="1767"/>
      <c r="BX1327" s="1767"/>
      <c r="BY1327" s="1767"/>
      <c r="BZ1327" s="1767"/>
      <c r="CA1327" s="1768"/>
    </row>
    <row r="1328" spans="1:79" ht="12.75" customHeight="1" x14ac:dyDescent="0.2">
      <c r="A1328" s="1916">
        <v>1328</v>
      </c>
      <c r="B1328" s="5148"/>
      <c r="C1328" s="2580"/>
      <c r="D1328" s="210"/>
      <c r="E1328" s="2583" t="s">
        <v>2742</v>
      </c>
      <c r="F1328" s="195">
        <v>5</v>
      </c>
      <c r="G1328" s="195">
        <v>20</v>
      </c>
      <c r="H1328" s="195">
        <f>COUNTIF(HabilidadesEsenciales_Adquiridas,Tablas!E1328)</f>
        <v>0</v>
      </c>
      <c r="I1328" s="2585"/>
      <c r="J1328" s="370"/>
      <c r="K1328" s="2576"/>
      <c r="M1328" s="1847"/>
      <c r="N1328" s="96"/>
      <c r="O1328" s="411" t="s">
        <v>9438</v>
      </c>
      <c r="P1328" s="2578">
        <v>25</v>
      </c>
      <c r="Q1328" s="503">
        <v>120</v>
      </c>
      <c r="R1328" s="2585">
        <f>COUNTIF(PoderesDeCriatura_Adquiridos,Tablas!O1328)</f>
        <v>0</v>
      </c>
      <c r="S1328" s="370"/>
      <c r="T1328" s="2576"/>
      <c r="U1328" s="436"/>
      <c r="V1328" s="2634" t="s">
        <v>2794</v>
      </c>
      <c r="W1328" s="2605"/>
      <c r="X1328" s="2172" t="str">
        <f t="shared" si="146"/>
        <v/>
      </c>
      <c r="Y1328" s="2619" t="s">
        <v>8500</v>
      </c>
      <c r="Z1328" s="2172"/>
      <c r="AA1328" s="2172"/>
      <c r="AB1328" s="2625"/>
      <c r="AC1328" s="2625"/>
      <c r="AD1328" s="2625"/>
      <c r="AE1328" s="2625"/>
      <c r="AF1328" s="2625"/>
      <c r="AG1328" s="2625"/>
      <c r="AH1328" s="2625"/>
      <c r="AI1328" s="2625"/>
      <c r="AJ1328" s="2625"/>
      <c r="AK1328" s="2625"/>
      <c r="AL1328" s="2625"/>
      <c r="AM1328" s="2625"/>
      <c r="AN1328" s="2625"/>
      <c r="AO1328" s="2625"/>
      <c r="AP1328" s="2625"/>
      <c r="AQ1328" s="2625"/>
      <c r="AR1328" s="2625"/>
      <c r="AS1328" s="2625"/>
      <c r="AT1328" s="2625"/>
      <c r="AU1328" s="2625"/>
      <c r="AV1328" s="2625"/>
      <c r="AW1328" s="2625"/>
      <c r="AX1328" s="2625"/>
      <c r="AY1328" s="2625"/>
      <c r="AZ1328" s="2625"/>
      <c r="BA1328" s="2625"/>
      <c r="BB1328" s="2625"/>
      <c r="BC1328" s="2625"/>
      <c r="BD1328" s="2625"/>
      <c r="BE1328" s="2625"/>
      <c r="BF1328" s="2625"/>
      <c r="BG1328" s="2625"/>
      <c r="BH1328" s="2625"/>
      <c r="BI1328" s="2625"/>
      <c r="BJ1328" s="2625"/>
      <c r="BK1328" s="2625"/>
      <c r="BL1328" s="2625"/>
      <c r="BM1328" s="1767"/>
      <c r="BN1328" s="1767"/>
      <c r="BO1328" s="1767"/>
      <c r="BP1328" s="1767"/>
      <c r="BQ1328" s="1767"/>
      <c r="BR1328" s="1767"/>
      <c r="BS1328" s="1767"/>
      <c r="BT1328" s="1767"/>
      <c r="BU1328" s="1767"/>
      <c r="BV1328" s="1767"/>
      <c r="BW1328" s="1767"/>
      <c r="BX1328" s="1767"/>
      <c r="BY1328" s="1767"/>
      <c r="BZ1328" s="1767"/>
      <c r="CA1328" s="1768"/>
    </row>
    <row r="1329" spans="1:79" ht="12.75" customHeight="1" x14ac:dyDescent="0.2">
      <c r="A1329" s="1916">
        <v>1329</v>
      </c>
      <c r="B1329" s="5148"/>
      <c r="C1329" s="2580"/>
      <c r="D1329" s="210"/>
      <c r="E1329" s="2583" t="s">
        <v>2743</v>
      </c>
      <c r="F1329" s="195">
        <v>5</v>
      </c>
      <c r="G1329" s="195">
        <v>20</v>
      </c>
      <c r="H1329" s="195">
        <f>COUNTIF(HabilidadesEsenciales_Adquiridas,Tablas!E1329)</f>
        <v>0</v>
      </c>
      <c r="I1329" s="2585"/>
      <c r="J1329" s="370"/>
      <c r="K1329" s="2576"/>
      <c r="M1329" s="1847"/>
      <c r="N1329" s="96"/>
      <c r="O1329" s="411" t="s">
        <v>9439</v>
      </c>
      <c r="P1329" s="2578">
        <v>30</v>
      </c>
      <c r="Q1329" s="503">
        <v>140</v>
      </c>
      <c r="R1329" s="2585">
        <f>COUNTIF(PoderesDeCriatura_Adquiridos,Tablas!O1329)</f>
        <v>0</v>
      </c>
      <c r="S1329" s="370"/>
      <c r="T1329" s="2576"/>
      <c r="U1329" s="436"/>
      <c r="V1329" s="2634" t="s">
        <v>1586</v>
      </c>
      <c r="W1329" s="2605"/>
      <c r="X1329" s="2172" t="str">
        <f t="shared" si="146"/>
        <v/>
      </c>
      <c r="Y1329" s="2619" t="s">
        <v>8500</v>
      </c>
      <c r="Z1329" s="2172"/>
      <c r="AA1329" s="2172"/>
      <c r="AB1329" s="2625"/>
      <c r="AC1329" s="2625"/>
      <c r="AD1329" s="2625"/>
      <c r="AE1329" s="2625"/>
      <c r="AF1329" s="2625"/>
      <c r="AG1329" s="2625"/>
      <c r="AH1329" s="2625"/>
      <c r="AI1329" s="2625"/>
      <c r="AJ1329" s="2625"/>
      <c r="AK1329" s="2625"/>
      <c r="AL1329" s="2625"/>
      <c r="AM1329" s="2625"/>
      <c r="AN1329" s="2625"/>
      <c r="AO1329" s="2625"/>
      <c r="AP1329" s="2625"/>
      <c r="AQ1329" s="2625"/>
      <c r="AR1329" s="2625"/>
      <c r="AS1329" s="2625"/>
      <c r="AT1329" s="2625"/>
      <c r="AU1329" s="2625"/>
      <c r="AV1329" s="2625"/>
      <c r="AW1329" s="2625"/>
      <c r="AX1329" s="2625"/>
      <c r="AY1329" s="2625"/>
      <c r="AZ1329" s="2625"/>
      <c r="BA1329" s="2625"/>
      <c r="BB1329" s="2625"/>
      <c r="BC1329" s="2625"/>
      <c r="BD1329" s="2625"/>
      <c r="BE1329" s="2625"/>
      <c r="BF1329" s="2625"/>
      <c r="BG1329" s="2625"/>
      <c r="BH1329" s="2625"/>
      <c r="BI1329" s="2625"/>
      <c r="BJ1329" s="2625"/>
      <c r="BK1329" s="2625"/>
      <c r="BL1329" s="2625"/>
      <c r="BM1329" s="1767"/>
      <c r="BN1329" s="1767"/>
      <c r="BO1329" s="1767"/>
      <c r="BP1329" s="1767"/>
      <c r="BQ1329" s="1767"/>
      <c r="BR1329" s="1767"/>
      <c r="BS1329" s="1767"/>
      <c r="BT1329" s="1767"/>
      <c r="BU1329" s="1767"/>
      <c r="BV1329" s="1767"/>
      <c r="BW1329" s="1767"/>
      <c r="BX1329" s="1767"/>
      <c r="BY1329" s="1767"/>
      <c r="BZ1329" s="1767"/>
      <c r="CA1329" s="1768"/>
    </row>
    <row r="1330" spans="1:79" ht="12.75" customHeight="1" x14ac:dyDescent="0.2">
      <c r="A1330" s="1916">
        <v>1330</v>
      </c>
      <c r="B1330" s="5148"/>
      <c r="C1330" s="2580"/>
      <c r="D1330" s="210"/>
      <c r="E1330" s="2583" t="s">
        <v>1579</v>
      </c>
      <c r="F1330" s="195">
        <v>5</v>
      </c>
      <c r="G1330" s="195">
        <v>20</v>
      </c>
      <c r="H1330" s="195">
        <f>COUNTIF(HabilidadesEsenciales_Adquiridas,Tablas!E1330)</f>
        <v>0</v>
      </c>
      <c r="I1330" s="2585">
        <v>1</v>
      </c>
      <c r="J1330" s="370"/>
      <c r="K1330" s="2576"/>
      <c r="M1330" s="1847"/>
      <c r="N1330" s="96"/>
      <c r="O1330" s="411" t="s">
        <v>9440</v>
      </c>
      <c r="P1330" s="2578">
        <v>35</v>
      </c>
      <c r="Q1330" s="503">
        <v>160</v>
      </c>
      <c r="R1330" s="2585">
        <f>COUNTIF(PoderesDeCriatura_Adquiridos,Tablas!O1330)</f>
        <v>0</v>
      </c>
      <c r="S1330" s="370"/>
      <c r="T1330" s="2576"/>
      <c r="U1330" s="436"/>
      <c r="V1330" s="2634" t="s">
        <v>1585</v>
      </c>
      <c r="W1330" s="2605"/>
      <c r="X1330" s="2172" t="str">
        <f t="shared" si="146"/>
        <v/>
      </c>
      <c r="Y1330" s="2619" t="s">
        <v>8500</v>
      </c>
      <c r="Z1330" s="2172"/>
      <c r="AA1330" s="2172"/>
      <c r="AB1330" s="2625"/>
      <c r="AC1330" s="2625"/>
      <c r="AD1330" s="2625"/>
      <c r="AE1330" s="2625"/>
      <c r="AF1330" s="2625"/>
      <c r="AG1330" s="2625"/>
      <c r="AH1330" s="2625"/>
      <c r="AI1330" s="2625"/>
      <c r="AJ1330" s="2625"/>
      <c r="AK1330" s="2625"/>
      <c r="AL1330" s="2625"/>
      <c r="AM1330" s="2625"/>
      <c r="AN1330" s="2625"/>
      <c r="AO1330" s="2625"/>
      <c r="AP1330" s="2625"/>
      <c r="AQ1330" s="2625"/>
      <c r="AR1330" s="2625"/>
      <c r="AS1330" s="2625"/>
      <c r="AT1330" s="2625"/>
      <c r="AU1330" s="2625"/>
      <c r="AV1330" s="2625"/>
      <c r="AW1330" s="2625"/>
      <c r="AX1330" s="2625"/>
      <c r="AY1330" s="2625"/>
      <c r="AZ1330" s="2625"/>
      <c r="BA1330" s="2625"/>
      <c r="BB1330" s="2625"/>
      <c r="BC1330" s="2625"/>
      <c r="BD1330" s="2625"/>
      <c r="BE1330" s="2625"/>
      <c r="BF1330" s="2625"/>
      <c r="BG1330" s="2625"/>
      <c r="BH1330" s="2625"/>
      <c r="BI1330" s="2625"/>
      <c r="BJ1330" s="2625"/>
      <c r="BK1330" s="2625"/>
      <c r="BL1330" s="2625"/>
      <c r="BM1330" s="1767"/>
      <c r="BN1330" s="1767"/>
      <c r="BO1330" s="1767"/>
      <c r="BP1330" s="1767"/>
      <c r="BQ1330" s="1767"/>
      <c r="BR1330" s="1767"/>
      <c r="BS1330" s="1767"/>
      <c r="BT1330" s="1767"/>
      <c r="BU1330" s="1767"/>
      <c r="BV1330" s="1767"/>
      <c r="BW1330" s="1767"/>
      <c r="BX1330" s="1767"/>
      <c r="BY1330" s="1767"/>
      <c r="BZ1330" s="1767"/>
      <c r="CA1330" s="1768"/>
    </row>
    <row r="1331" spans="1:79" ht="12.75" customHeight="1" x14ac:dyDescent="0.2">
      <c r="A1331" s="1916">
        <v>1331</v>
      </c>
      <c r="B1331" s="5148"/>
      <c r="C1331" s="2580"/>
      <c r="D1331" s="210"/>
      <c r="E1331" s="2583" t="s">
        <v>1580</v>
      </c>
      <c r="F1331" s="195">
        <v>0</v>
      </c>
      <c r="G1331" s="195">
        <v>0</v>
      </c>
      <c r="H1331" s="195"/>
      <c r="I1331" s="2585"/>
      <c r="J1331" s="370"/>
      <c r="K1331" s="2576"/>
      <c r="M1331" s="1847"/>
      <c r="N1331" s="96"/>
      <c r="O1331" s="411" t="s">
        <v>9441</v>
      </c>
      <c r="P1331" s="2578">
        <v>35</v>
      </c>
      <c r="Q1331" s="503">
        <f>200+IF(OR(TipoDeCriatura="Entre mundos, Elemental",TipoDeCriatura="Ánima, Elemental"),10,0)</f>
        <v>200</v>
      </c>
      <c r="R1331" s="2585">
        <f>COUNTIF(PoderesDeCriatura_Adquiridos,Tablas!O1331)</f>
        <v>0</v>
      </c>
      <c r="S1331" s="370"/>
      <c r="T1331" s="2576"/>
      <c r="U1331" s="436"/>
      <c r="V1331" s="2634" t="s">
        <v>1590</v>
      </c>
      <c r="W1331" s="2605"/>
      <c r="X1331" s="2172" t="str">
        <f t="shared" si="146"/>
        <v/>
      </c>
      <c r="Y1331" s="2619" t="s">
        <v>8500</v>
      </c>
      <c r="Z1331" s="2172"/>
      <c r="AA1331" s="2172"/>
      <c r="AB1331" s="2625"/>
      <c r="AC1331" s="2625"/>
      <c r="AD1331" s="2625"/>
      <c r="AE1331" s="2625"/>
      <c r="AF1331" s="2625"/>
      <c r="AG1331" s="2625"/>
      <c r="AH1331" s="2625"/>
      <c r="AI1331" s="2625"/>
      <c r="AJ1331" s="2625"/>
      <c r="AK1331" s="2625"/>
      <c r="AL1331" s="2625"/>
      <c r="AM1331" s="2625"/>
      <c r="AN1331" s="2625"/>
      <c r="AO1331" s="2625"/>
      <c r="AP1331" s="2625"/>
      <c r="AQ1331" s="2625"/>
      <c r="AR1331" s="2625"/>
      <c r="AS1331" s="2625"/>
      <c r="AT1331" s="2625"/>
      <c r="AU1331" s="2625"/>
      <c r="AV1331" s="2625"/>
      <c r="AW1331" s="2625"/>
      <c r="AX1331" s="2625"/>
      <c r="AY1331" s="2625"/>
      <c r="AZ1331" s="2625"/>
      <c r="BA1331" s="2625"/>
      <c r="BB1331" s="2625"/>
      <c r="BC1331" s="2625"/>
      <c r="BD1331" s="2625"/>
      <c r="BE1331" s="2625"/>
      <c r="BF1331" s="2625"/>
      <c r="BG1331" s="2625"/>
      <c r="BH1331" s="2625"/>
      <c r="BI1331" s="2625"/>
      <c r="BJ1331" s="2625"/>
      <c r="BK1331" s="2625"/>
      <c r="BL1331" s="2625"/>
      <c r="BM1331" s="1767"/>
      <c r="BN1331" s="1767"/>
      <c r="BO1331" s="1767"/>
      <c r="BP1331" s="1767"/>
      <c r="BQ1331" s="1767"/>
      <c r="BR1331" s="1767"/>
      <c r="BS1331" s="1767"/>
      <c r="BT1331" s="1767"/>
      <c r="BU1331" s="1767"/>
      <c r="BV1331" s="1767"/>
      <c r="BW1331" s="1767"/>
      <c r="BX1331" s="1767"/>
      <c r="BY1331" s="1767"/>
      <c r="BZ1331" s="1767"/>
      <c r="CA1331" s="1768"/>
    </row>
    <row r="1332" spans="1:79" ht="12.75" customHeight="1" x14ac:dyDescent="0.2">
      <c r="A1332" s="1916">
        <v>1332</v>
      </c>
      <c r="B1332" s="5148"/>
      <c r="C1332" s="2580"/>
      <c r="D1332" s="210"/>
      <c r="E1332" s="2583" t="s">
        <v>2094</v>
      </c>
      <c r="F1332" s="195">
        <v>5</v>
      </c>
      <c r="G1332" s="195">
        <v>30</v>
      </c>
      <c r="H1332" s="195">
        <f>COUNTIF(HabilidadesEsenciales_Adquiridas,Tablas!E1332)</f>
        <v>0</v>
      </c>
      <c r="I1332" s="2585"/>
      <c r="J1332" s="370"/>
      <c r="K1332" s="2576"/>
      <c r="M1332" s="1847"/>
      <c r="N1332" s="96"/>
      <c r="O1332" s="411" t="s">
        <v>9442</v>
      </c>
      <c r="P1332" s="2578">
        <v>10</v>
      </c>
      <c r="Q1332" s="503">
        <f>10+IF(OR(TipoDeCriatura="Entre mundos, Elemental",TipoDeCriatura="Ánima, Elemental"),10,0)</f>
        <v>10</v>
      </c>
      <c r="R1332" s="2585">
        <f>COUNTIF(PoderesDeCriatura_Adquiridos,Tablas!O1332)</f>
        <v>0</v>
      </c>
      <c r="S1332" s="370"/>
      <c r="T1332" s="2576"/>
      <c r="U1332" s="436"/>
      <c r="V1332" s="2634" t="s">
        <v>1589</v>
      </c>
      <c r="W1332" s="2605"/>
      <c r="X1332" s="2172" t="str">
        <f t="shared" si="146"/>
        <v/>
      </c>
      <c r="Y1332" s="2619" t="s">
        <v>8500</v>
      </c>
      <c r="Z1332" s="2172"/>
      <c r="AA1332" s="2172"/>
      <c r="AB1332" s="2625"/>
      <c r="AC1332" s="2625"/>
      <c r="AD1332" s="2625"/>
      <c r="AE1332" s="2625"/>
      <c r="AF1332" s="2625"/>
      <c r="AG1332" s="2625"/>
      <c r="AH1332" s="2625"/>
      <c r="AI1332" s="2625"/>
      <c r="AJ1332" s="2625"/>
      <c r="AK1332" s="2625"/>
      <c r="AL1332" s="2625"/>
      <c r="AM1332" s="2625"/>
      <c r="AN1332" s="2625"/>
      <c r="AO1332" s="2625"/>
      <c r="AP1332" s="2625"/>
      <c r="AQ1332" s="2625"/>
      <c r="AR1332" s="2625"/>
      <c r="AS1332" s="2625"/>
      <c r="AT1332" s="2625"/>
      <c r="AU1332" s="2625"/>
      <c r="AV1332" s="2625"/>
      <c r="AW1332" s="2625"/>
      <c r="AX1332" s="2625"/>
      <c r="AY1332" s="2625"/>
      <c r="AZ1332" s="2625"/>
      <c r="BA1332" s="2625"/>
      <c r="BB1332" s="2625"/>
      <c r="BC1332" s="2625"/>
      <c r="BD1332" s="2625"/>
      <c r="BE1332" s="2625"/>
      <c r="BF1332" s="2625"/>
      <c r="BG1332" s="2625"/>
      <c r="BH1332" s="2625"/>
      <c r="BI1332" s="2625"/>
      <c r="BJ1332" s="2625"/>
      <c r="BK1332" s="2625"/>
      <c r="BL1332" s="2625"/>
      <c r="BM1332" s="1767"/>
      <c r="BN1332" s="1767"/>
      <c r="BO1332" s="1767"/>
      <c r="BP1332" s="1767"/>
      <c r="BQ1332" s="1767"/>
      <c r="BR1332" s="1767"/>
      <c r="BS1332" s="1767"/>
      <c r="BT1332" s="1767"/>
      <c r="BU1332" s="1767"/>
      <c r="BV1332" s="1767"/>
      <c r="BW1332" s="1767"/>
      <c r="BX1332" s="1767"/>
      <c r="BY1332" s="1767"/>
      <c r="BZ1332" s="1767"/>
      <c r="CA1332" s="1768"/>
    </row>
    <row r="1333" spans="1:79" ht="12.75" customHeight="1" x14ac:dyDescent="0.2">
      <c r="A1333" s="1916">
        <v>1333</v>
      </c>
      <c r="B1333" s="5148"/>
      <c r="C1333" s="2580"/>
      <c r="D1333" s="210"/>
      <c r="E1333" s="2583" t="s">
        <v>1581</v>
      </c>
      <c r="F1333" s="195">
        <v>5</v>
      </c>
      <c r="G1333" s="195">
        <v>30</v>
      </c>
      <c r="H1333" s="195">
        <f>COUNTIF(HabilidadesEsenciales_Adquiridas,Tablas!E1333)</f>
        <v>0</v>
      </c>
      <c r="I1333" s="2585"/>
      <c r="J1333" s="370"/>
      <c r="K1333" s="2576"/>
      <c r="M1333" s="1847"/>
      <c r="N1333" s="96"/>
      <c r="O1333" s="411" t="s">
        <v>9443</v>
      </c>
      <c r="P1333" s="2578">
        <v>35</v>
      </c>
      <c r="Q1333" s="503">
        <f>100+IF(OR(TipoDeCriatura="Entre mundos, Elemental",TipoDeCriatura="Ánima, Elemental"),10,0)</f>
        <v>100</v>
      </c>
      <c r="R1333" s="2585">
        <f>COUNTIF(PoderesDeCriatura_Adquiridos,Tablas!O1333)</f>
        <v>0</v>
      </c>
      <c r="S1333" s="370"/>
      <c r="T1333" s="2576"/>
      <c r="U1333" s="436"/>
      <c r="V1333" s="2634" t="s">
        <v>1587</v>
      </c>
      <c r="W1333" s="2605"/>
      <c r="X1333" s="2172" t="str">
        <f t="shared" si="146"/>
        <v/>
      </c>
      <c r="Y1333" s="2619" t="s">
        <v>8500</v>
      </c>
      <c r="Z1333" s="2172"/>
      <c r="AA1333" s="2172"/>
      <c r="AB1333" s="2625"/>
      <c r="AC1333" s="2625"/>
      <c r="AD1333" s="2625"/>
      <c r="AE1333" s="2625"/>
      <c r="AF1333" s="2625"/>
      <c r="AG1333" s="2625"/>
      <c r="AH1333" s="2625"/>
      <c r="AI1333" s="2625"/>
      <c r="AJ1333" s="2625"/>
      <c r="AK1333" s="2625"/>
      <c r="AL1333" s="2625"/>
      <c r="AM1333" s="2625"/>
      <c r="AN1333" s="2625"/>
      <c r="AO1333" s="2625"/>
      <c r="AP1333" s="2625"/>
      <c r="AQ1333" s="2625"/>
      <c r="AR1333" s="2625"/>
      <c r="AS1333" s="2625"/>
      <c r="AT1333" s="2625"/>
      <c r="AU1333" s="2625"/>
      <c r="AV1333" s="2625"/>
      <c r="AW1333" s="2625"/>
      <c r="AX1333" s="2625"/>
      <c r="AY1333" s="2625"/>
      <c r="AZ1333" s="2625"/>
      <c r="BA1333" s="2625"/>
      <c r="BB1333" s="2625"/>
      <c r="BC1333" s="2625"/>
      <c r="BD1333" s="2625"/>
      <c r="BE1333" s="2625"/>
      <c r="BF1333" s="2625"/>
      <c r="BG1333" s="2625"/>
      <c r="BH1333" s="2625"/>
      <c r="BI1333" s="2625"/>
      <c r="BJ1333" s="2625"/>
      <c r="BK1333" s="2625"/>
      <c r="BL1333" s="2625"/>
      <c r="BM1333" s="1767"/>
      <c r="BN1333" s="1767"/>
      <c r="BO1333" s="1767"/>
      <c r="BP1333" s="1767"/>
      <c r="BQ1333" s="1767"/>
      <c r="BR1333" s="1767"/>
      <c r="BS1333" s="1767"/>
      <c r="BT1333" s="1767"/>
      <c r="BU1333" s="1767"/>
      <c r="BV1333" s="1767"/>
      <c r="BW1333" s="1767"/>
      <c r="BX1333" s="1767"/>
      <c r="BY1333" s="1767"/>
      <c r="BZ1333" s="1767"/>
      <c r="CA1333" s="1768"/>
    </row>
    <row r="1334" spans="1:79" ht="12.75" customHeight="1" x14ac:dyDescent="0.2">
      <c r="A1334" s="1916">
        <v>1334</v>
      </c>
      <c r="B1334" s="5148"/>
      <c r="C1334" s="2580"/>
      <c r="D1334" s="210"/>
      <c r="E1334" s="2583" t="s">
        <v>1582</v>
      </c>
      <c r="F1334" s="195">
        <v>5</v>
      </c>
      <c r="G1334" s="195">
        <v>20</v>
      </c>
      <c r="H1334" s="195">
        <f>COUNTIF(HabilidadesEsenciales_Adquiridas,Tablas!E1334)</f>
        <v>0</v>
      </c>
      <c r="I1334" s="2585"/>
      <c r="J1334" s="370"/>
      <c r="K1334" s="2576"/>
      <c r="M1334" s="1847"/>
      <c r="N1334" s="96"/>
      <c r="O1334" s="411" t="s">
        <v>9444</v>
      </c>
      <c r="P1334" s="2578">
        <v>10</v>
      </c>
      <c r="Q1334" s="503">
        <v>-10</v>
      </c>
      <c r="R1334" s="2585">
        <f>COUNTIF(PoderesDeCriatura_Adquiridos,Tablas!O1334)</f>
        <v>0</v>
      </c>
      <c r="S1334" s="370"/>
      <c r="T1334" s="2576"/>
      <c r="U1334" s="436"/>
      <c r="V1334" s="2634" t="s">
        <v>1584</v>
      </c>
      <c r="W1334" s="2605"/>
      <c r="X1334" s="2172" t="str">
        <f t="shared" si="146"/>
        <v/>
      </c>
      <c r="Y1334" s="2619" t="s">
        <v>8500</v>
      </c>
      <c r="Z1334" s="2172"/>
      <c r="AA1334" s="2172"/>
      <c r="AB1334" s="2625"/>
      <c r="AC1334" s="2625"/>
      <c r="AD1334" s="2625"/>
      <c r="AE1334" s="2625"/>
      <c r="AF1334" s="2625"/>
      <c r="AG1334" s="2625"/>
      <c r="AH1334" s="2625"/>
      <c r="AI1334" s="2625"/>
      <c r="AJ1334" s="2625"/>
      <c r="AK1334" s="2625"/>
      <c r="AL1334" s="2625"/>
      <c r="AM1334" s="2625"/>
      <c r="AN1334" s="2625"/>
      <c r="AO1334" s="2625"/>
      <c r="AP1334" s="2625"/>
      <c r="AQ1334" s="2625"/>
      <c r="AR1334" s="2625"/>
      <c r="AS1334" s="2625"/>
      <c r="AT1334" s="2625"/>
      <c r="AU1334" s="2625"/>
      <c r="AV1334" s="2625"/>
      <c r="AW1334" s="2625"/>
      <c r="AX1334" s="2625"/>
      <c r="AY1334" s="2625"/>
      <c r="AZ1334" s="2625"/>
      <c r="BA1334" s="2625"/>
      <c r="BB1334" s="2625"/>
      <c r="BC1334" s="2625"/>
      <c r="BD1334" s="2625"/>
      <c r="BE1334" s="2625"/>
      <c r="BF1334" s="2625"/>
      <c r="BG1334" s="2625"/>
      <c r="BH1334" s="2625"/>
      <c r="BI1334" s="2625"/>
      <c r="BJ1334" s="2625"/>
      <c r="BK1334" s="2625"/>
      <c r="BL1334" s="2625"/>
      <c r="BM1334" s="1767"/>
      <c r="BN1334" s="1767"/>
      <c r="BO1334" s="1767"/>
      <c r="BP1334" s="1767"/>
      <c r="BQ1334" s="1767"/>
      <c r="BR1334" s="1767"/>
      <c r="BS1334" s="1767"/>
      <c r="BT1334" s="1767"/>
      <c r="BU1334" s="1767"/>
      <c r="BV1334" s="1767"/>
      <c r="BW1334" s="1767"/>
      <c r="BX1334" s="1767"/>
      <c r="BY1334" s="1767"/>
      <c r="BZ1334" s="1767"/>
      <c r="CA1334" s="1768"/>
    </row>
    <row r="1335" spans="1:79" ht="12.75" customHeight="1" x14ac:dyDescent="0.2">
      <c r="A1335" s="1916">
        <v>1335</v>
      </c>
      <c r="B1335" s="5148"/>
      <c r="C1335" s="2580"/>
      <c r="D1335" s="210"/>
      <c r="E1335" s="2583" t="s">
        <v>2757</v>
      </c>
      <c r="F1335" s="195">
        <v>5</v>
      </c>
      <c r="G1335" s="195">
        <v>30</v>
      </c>
      <c r="H1335" s="195">
        <f>COUNTIF(HabilidadesEsenciales_Adquiridas,Tablas!E1335)</f>
        <v>0</v>
      </c>
      <c r="I1335" s="2585">
        <v>1</v>
      </c>
      <c r="J1335" s="370"/>
      <c r="K1335" s="2576"/>
      <c r="M1335" s="1847"/>
      <c r="N1335" s="96"/>
      <c r="O1335" s="411" t="s">
        <v>9445</v>
      </c>
      <c r="P1335" s="2578">
        <v>10</v>
      </c>
      <c r="Q1335" s="503">
        <v>-30</v>
      </c>
      <c r="R1335" s="2585">
        <f>COUNTIF(PoderesDeCriatura_Adquiridos,Tablas!O1335)</f>
        <v>0</v>
      </c>
      <c r="S1335" s="370"/>
      <c r="T1335" s="2576"/>
      <c r="U1335" s="436"/>
      <c r="V1335" s="2634" t="s">
        <v>9000</v>
      </c>
      <c r="W1335" s="2605"/>
      <c r="X1335" s="2172" t="str">
        <f>IF(Y1335="","",SUBSTITUTE(SUBSTITUTE("PodHab_"&amp;V1335," ",""),".",""))</f>
        <v>PodHab_Vulaelemento</v>
      </c>
      <c r="Y1335" s="2964" t="s">
        <v>9975</v>
      </c>
      <c r="Z1335" s="2619" t="s">
        <v>2091</v>
      </c>
      <c r="AA1335" s="2172"/>
      <c r="AB1335" s="2625"/>
      <c r="AC1335" s="2625"/>
      <c r="AD1335" s="2625"/>
      <c r="AE1335" s="2625"/>
      <c r="AF1335" s="2625"/>
      <c r="AG1335" s="2625"/>
      <c r="AH1335" s="2625"/>
      <c r="AI1335" s="2625"/>
      <c r="AJ1335" s="2625"/>
      <c r="AK1335" s="2625"/>
      <c r="AL1335" s="2625"/>
      <c r="AM1335" s="2625"/>
      <c r="AN1335" s="2625"/>
      <c r="AO1335" s="2625"/>
      <c r="AP1335" s="2625"/>
      <c r="AQ1335" s="2625"/>
      <c r="AR1335" s="2625"/>
      <c r="AS1335" s="2625"/>
      <c r="AT1335" s="2625"/>
      <c r="AU1335" s="2625"/>
      <c r="AV1335" s="2625"/>
      <c r="AW1335" s="2625"/>
      <c r="AX1335" s="2625"/>
      <c r="AY1335" s="2625"/>
      <c r="AZ1335" s="2625"/>
      <c r="BA1335" s="2625"/>
      <c r="BB1335" s="2625"/>
      <c r="BC1335" s="2625"/>
      <c r="BD1335" s="2625"/>
      <c r="BE1335" s="2625"/>
      <c r="BF1335" s="2625"/>
      <c r="BG1335" s="2625"/>
      <c r="BH1335" s="2625"/>
      <c r="BI1335" s="2625"/>
      <c r="BJ1335" s="2625"/>
      <c r="BK1335" s="2625"/>
      <c r="BL1335" s="2625"/>
      <c r="BM1335" s="1767"/>
      <c r="BN1335" s="1767"/>
      <c r="BO1335" s="1767"/>
      <c r="BP1335" s="1767"/>
      <c r="BQ1335" s="1767"/>
      <c r="BR1335" s="1767"/>
      <c r="BS1335" s="1767"/>
      <c r="BT1335" s="1767"/>
      <c r="BU1335" s="1767"/>
      <c r="BV1335" s="1767"/>
      <c r="BW1335" s="1767"/>
      <c r="BX1335" s="1767"/>
      <c r="BY1335" s="1767"/>
      <c r="BZ1335" s="1767"/>
      <c r="CA1335" s="1768"/>
    </row>
    <row r="1336" spans="1:79" ht="12.75" customHeight="1" x14ac:dyDescent="0.2">
      <c r="A1336" s="1916">
        <v>1336</v>
      </c>
      <c r="B1336" s="5148"/>
      <c r="C1336" s="2580"/>
      <c r="D1336" s="210"/>
      <c r="E1336" s="2583" t="s">
        <v>2758</v>
      </c>
      <c r="F1336" s="195">
        <v>5</v>
      </c>
      <c r="G1336" s="195">
        <v>20</v>
      </c>
      <c r="H1336" s="195">
        <f>COUNTIF(HabilidadesEsenciales_Adquiridas,Tablas!E1336)</f>
        <v>0</v>
      </c>
      <c r="I1336" s="2585">
        <v>1</v>
      </c>
      <c r="J1336" s="370"/>
      <c r="K1336" s="2576"/>
      <c r="M1336" s="1847"/>
      <c r="N1336" s="96"/>
      <c r="O1336" s="411" t="s">
        <v>9446</v>
      </c>
      <c r="P1336" s="2578">
        <v>10</v>
      </c>
      <c r="Q1336" s="503">
        <v>-50</v>
      </c>
      <c r="R1336" s="2585">
        <f>COUNTIF(PoderesDeCriatura_Adquiridos,Tablas!O1336)</f>
        <v>0</v>
      </c>
      <c r="S1336" s="370"/>
      <c r="T1336" s="2576"/>
      <c r="U1336" s="436"/>
      <c r="V1336" s="2634" t="s">
        <v>1591</v>
      </c>
      <c r="W1336" s="2605"/>
      <c r="X1336" s="2172" t="str">
        <f t="shared" si="146"/>
        <v/>
      </c>
      <c r="Y1336" s="2619"/>
      <c r="Z1336" s="2619"/>
      <c r="AA1336" s="2172"/>
      <c r="AB1336" s="2625"/>
      <c r="AC1336" s="2625"/>
      <c r="AD1336" s="2625"/>
      <c r="AE1336" s="2625"/>
      <c r="AF1336" s="2625"/>
      <c r="AG1336" s="2625"/>
      <c r="AH1336" s="2625"/>
      <c r="AI1336" s="2625"/>
      <c r="AJ1336" s="2625"/>
      <c r="AK1336" s="2625"/>
      <c r="AL1336" s="2625"/>
      <c r="AM1336" s="2625"/>
      <c r="AN1336" s="2625"/>
      <c r="AO1336" s="2625"/>
      <c r="AP1336" s="2625"/>
      <c r="AQ1336" s="2625"/>
      <c r="AR1336" s="2625"/>
      <c r="AS1336" s="2625"/>
      <c r="AT1336" s="2625"/>
      <c r="AU1336" s="2625"/>
      <c r="AV1336" s="2625"/>
      <c r="AW1336" s="2625"/>
      <c r="AX1336" s="2625"/>
      <c r="AY1336" s="2625"/>
      <c r="AZ1336" s="2625"/>
      <c r="BA1336" s="2625"/>
      <c r="BB1336" s="2625"/>
      <c r="BC1336" s="2625"/>
      <c r="BD1336" s="2625"/>
      <c r="BE1336" s="2625"/>
      <c r="BF1336" s="2625"/>
      <c r="BG1336" s="2625"/>
      <c r="BH1336" s="2625"/>
      <c r="BI1336" s="2625"/>
      <c r="BJ1336" s="2625"/>
      <c r="BK1336" s="2625"/>
      <c r="BL1336" s="2625"/>
      <c r="BM1336" s="1767"/>
      <c r="BN1336" s="1767"/>
      <c r="BO1336" s="1767"/>
      <c r="BP1336" s="1767"/>
      <c r="BQ1336" s="1767"/>
      <c r="BR1336" s="1767"/>
      <c r="BS1336" s="1767"/>
      <c r="BT1336" s="1767"/>
      <c r="BU1336" s="1767"/>
      <c r="BV1336" s="1767"/>
      <c r="BW1336" s="1767"/>
      <c r="BX1336" s="1767"/>
      <c r="BY1336" s="1767"/>
      <c r="BZ1336" s="1767"/>
      <c r="CA1336" s="1768"/>
    </row>
    <row r="1337" spans="1:79" ht="12.75" customHeight="1" x14ac:dyDescent="0.2">
      <c r="A1337" s="1916">
        <v>1337</v>
      </c>
      <c r="B1337" s="5148"/>
      <c r="C1337" s="2580"/>
      <c r="D1337" s="210"/>
      <c r="E1337" s="2583" t="s">
        <v>9862</v>
      </c>
      <c r="F1337" s="195">
        <v>5</v>
      </c>
      <c r="G1337" s="195">
        <v>20</v>
      </c>
      <c r="H1337" s="195">
        <f>COUNTIF(HabilidadesEsenciales_Adquiridas,Tablas!E1337)</f>
        <v>0</v>
      </c>
      <c r="I1337" s="2585">
        <v>1</v>
      </c>
      <c r="J1337" s="370"/>
      <c r="K1337" s="2576"/>
      <c r="M1337" s="1847"/>
      <c r="N1337" s="96"/>
      <c r="O1337" s="411" t="s">
        <v>9447</v>
      </c>
      <c r="P1337" s="2578">
        <v>10</v>
      </c>
      <c r="Q1337" s="503">
        <v>-30</v>
      </c>
      <c r="R1337" s="2585">
        <f>COUNTIF(PoderesDeCriatura_Adquiridos,Tablas!O1337)</f>
        <v>0</v>
      </c>
      <c r="S1337" s="370"/>
      <c r="T1337" s="2576"/>
      <c r="U1337" s="436"/>
      <c r="V1337" s="2634" t="s">
        <v>1592</v>
      </c>
      <c r="W1337" s="2605"/>
      <c r="X1337" s="2172" t="str">
        <f t="shared" si="146"/>
        <v/>
      </c>
      <c r="Y1337" s="2619" t="s">
        <v>8500</v>
      </c>
      <c r="Z1337" s="2172"/>
      <c r="AA1337" s="2172"/>
      <c r="AB1337" s="2625"/>
      <c r="AC1337" s="2625"/>
      <c r="AD1337" s="2625"/>
      <c r="AE1337" s="2625"/>
      <c r="AF1337" s="2625"/>
      <c r="AG1337" s="2625"/>
      <c r="AH1337" s="2625"/>
      <c r="AI1337" s="2625"/>
      <c r="AJ1337" s="2625"/>
      <c r="AK1337" s="2625"/>
      <c r="AL1337" s="2625"/>
      <c r="AM1337" s="2625"/>
      <c r="AN1337" s="2625"/>
      <c r="AO1337" s="2625"/>
      <c r="AP1337" s="2625"/>
      <c r="AQ1337" s="2625"/>
      <c r="AR1337" s="2625"/>
      <c r="AS1337" s="2625"/>
      <c r="AT1337" s="2625"/>
      <c r="AU1337" s="2625"/>
      <c r="AV1337" s="2625"/>
      <c r="AW1337" s="2625"/>
      <c r="AX1337" s="2625"/>
      <c r="AY1337" s="2625"/>
      <c r="AZ1337" s="2625"/>
      <c r="BA1337" s="2625"/>
      <c r="BB1337" s="2625"/>
      <c r="BC1337" s="2625"/>
      <c r="BD1337" s="2625"/>
      <c r="BE1337" s="2625"/>
      <c r="BF1337" s="2625"/>
      <c r="BG1337" s="2625"/>
      <c r="BH1337" s="2625"/>
      <c r="BI1337" s="2625"/>
      <c r="BJ1337" s="2625"/>
      <c r="BK1337" s="2625"/>
      <c r="BL1337" s="2625"/>
      <c r="BM1337" s="1767"/>
      <c r="BN1337" s="1767"/>
      <c r="BO1337" s="1767"/>
      <c r="BP1337" s="1767"/>
      <c r="BQ1337" s="1767"/>
      <c r="BR1337" s="1767"/>
      <c r="BS1337" s="1767"/>
      <c r="BT1337" s="1767"/>
      <c r="BU1337" s="1767"/>
      <c r="BV1337" s="1767"/>
      <c r="BW1337" s="1767"/>
      <c r="BX1337" s="1767"/>
      <c r="BY1337" s="1767"/>
      <c r="BZ1337" s="1767"/>
      <c r="CA1337" s="1768"/>
    </row>
    <row r="1338" spans="1:79" ht="12.75" customHeight="1" x14ac:dyDescent="0.2">
      <c r="A1338" s="1916">
        <v>1338</v>
      </c>
      <c r="B1338" s="5148"/>
      <c r="C1338" s="2580"/>
      <c r="D1338" s="210"/>
      <c r="E1338" s="2583" t="s">
        <v>9863</v>
      </c>
      <c r="F1338" s="195">
        <v>5</v>
      </c>
      <c r="G1338" s="195">
        <v>20</v>
      </c>
      <c r="H1338" s="195">
        <f>COUNTIF(HabilidadesEsenciales_Adquiridas,Tablas!E1338)</f>
        <v>0</v>
      </c>
      <c r="I1338" s="2585">
        <v>1</v>
      </c>
      <c r="J1338" s="370"/>
      <c r="K1338" s="2576"/>
      <c r="M1338" s="1847"/>
      <c r="N1338" s="96"/>
      <c r="O1338" s="411" t="s">
        <v>1617</v>
      </c>
      <c r="P1338" s="2578">
        <v>0</v>
      </c>
      <c r="Q1338" s="503">
        <v>10</v>
      </c>
      <c r="R1338" s="2585">
        <f>COUNTIF(PoderesDeCriatura_Adquiridos,Tablas!O1338)</f>
        <v>0</v>
      </c>
      <c r="S1338" s="370"/>
      <c r="T1338" s="2576"/>
      <c r="U1338" s="436"/>
      <c r="V1338" s="2634" t="s">
        <v>1594</v>
      </c>
      <c r="W1338" s="2605"/>
      <c r="X1338" s="2172" t="str">
        <f t="shared" si="146"/>
        <v/>
      </c>
      <c r="Y1338" s="2619" t="s">
        <v>8500</v>
      </c>
      <c r="Z1338" s="2172"/>
      <c r="AA1338" s="2172"/>
      <c r="AB1338" s="2625"/>
      <c r="AC1338" s="2625"/>
      <c r="AD1338" s="2625"/>
      <c r="AE1338" s="2625"/>
      <c r="AF1338" s="2625"/>
      <c r="AG1338" s="2625"/>
      <c r="AH1338" s="2625"/>
      <c r="AI1338" s="2625"/>
      <c r="AJ1338" s="2625"/>
      <c r="AK1338" s="2625"/>
      <c r="AL1338" s="2625"/>
      <c r="AM1338" s="2625"/>
      <c r="AN1338" s="2625"/>
      <c r="AO1338" s="2625"/>
      <c r="AP1338" s="2625"/>
      <c r="AQ1338" s="2625"/>
      <c r="AR1338" s="2625"/>
      <c r="AS1338" s="2625"/>
      <c r="AT1338" s="2625"/>
      <c r="AU1338" s="2625"/>
      <c r="AV1338" s="2625"/>
      <c r="AW1338" s="2625"/>
      <c r="AX1338" s="2625"/>
      <c r="AY1338" s="2625"/>
      <c r="AZ1338" s="2625"/>
      <c r="BA1338" s="2625"/>
      <c r="BB1338" s="2625"/>
      <c r="BC1338" s="2625"/>
      <c r="BD1338" s="2625"/>
      <c r="BE1338" s="2625"/>
      <c r="BF1338" s="2625"/>
      <c r="BG1338" s="2625"/>
      <c r="BH1338" s="2625"/>
      <c r="BI1338" s="2625"/>
      <c r="BJ1338" s="2625"/>
      <c r="BK1338" s="2625"/>
      <c r="BL1338" s="2625"/>
      <c r="BM1338" s="1767"/>
      <c r="BN1338" s="1767"/>
      <c r="BO1338" s="1767"/>
      <c r="BP1338" s="1767"/>
      <c r="BQ1338" s="1767"/>
      <c r="BR1338" s="1767"/>
      <c r="BS1338" s="1767"/>
      <c r="BT1338" s="1767"/>
      <c r="BU1338" s="1767"/>
      <c r="BV1338" s="1767"/>
      <c r="BW1338" s="1767"/>
      <c r="BX1338" s="1767"/>
      <c r="BY1338" s="1767"/>
      <c r="BZ1338" s="1767"/>
      <c r="CA1338" s="1768"/>
    </row>
    <row r="1339" spans="1:79" ht="12.75" customHeight="1" x14ac:dyDescent="0.2">
      <c r="A1339" s="1916">
        <v>1339</v>
      </c>
      <c r="B1339" s="5148"/>
      <c r="C1339" s="2580"/>
      <c r="D1339" s="210"/>
      <c r="E1339" s="2583" t="s">
        <v>9864</v>
      </c>
      <c r="F1339" s="195">
        <v>5</v>
      </c>
      <c r="G1339" s="195">
        <v>20</v>
      </c>
      <c r="H1339" s="195">
        <f>COUNTIF(HabilidadesEsenciales_Adquiridas,Tablas!E1339)</f>
        <v>0</v>
      </c>
      <c r="I1339" s="2585">
        <v>1</v>
      </c>
      <c r="J1339" s="370"/>
      <c r="K1339" s="2576"/>
      <c r="M1339" s="1847"/>
      <c r="N1339" s="96"/>
      <c r="O1339" s="411" t="s">
        <v>1618</v>
      </c>
      <c r="P1339" s="2578">
        <v>5</v>
      </c>
      <c r="Q1339" s="503">
        <v>20</v>
      </c>
      <c r="R1339" s="2585">
        <f>COUNTIF(PoderesDeCriatura_Adquiridos,Tablas!O1339)</f>
        <v>0</v>
      </c>
      <c r="S1339" s="370">
        <f t="array" ref="S1339">MAX({1;2;3;4}*R1338:R1341)</f>
        <v>0</v>
      </c>
      <c r="T1339" s="2576" t="s">
        <v>8950</v>
      </c>
      <c r="U1339" s="436"/>
      <c r="V1339" s="2634" t="s">
        <v>2807</v>
      </c>
      <c r="W1339" s="2605"/>
      <c r="X1339" s="2172" t="str">
        <f t="shared" si="146"/>
        <v/>
      </c>
      <c r="Y1339" s="2619" t="s">
        <v>8500</v>
      </c>
      <c r="Z1339" s="2172"/>
      <c r="AA1339" s="2172"/>
      <c r="AB1339" s="2625"/>
      <c r="AC1339" s="2625"/>
      <c r="AD1339" s="2625"/>
      <c r="AE1339" s="2625"/>
      <c r="AF1339" s="2625"/>
      <c r="AG1339" s="2625"/>
      <c r="AH1339" s="2625"/>
      <c r="AI1339" s="2625"/>
      <c r="AJ1339" s="2625"/>
      <c r="AK1339" s="2625"/>
      <c r="AL1339" s="2625"/>
      <c r="AM1339" s="2625"/>
      <c r="AN1339" s="2625"/>
      <c r="AO1339" s="2625"/>
      <c r="AP1339" s="2625"/>
      <c r="AQ1339" s="2625"/>
      <c r="AR1339" s="2625"/>
      <c r="AS1339" s="2625"/>
      <c r="AT1339" s="2625"/>
      <c r="AU1339" s="2625"/>
      <c r="AV1339" s="2625"/>
      <c r="AW1339" s="2625"/>
      <c r="AX1339" s="2625"/>
      <c r="AY1339" s="2625"/>
      <c r="AZ1339" s="2625"/>
      <c r="BA1339" s="2625"/>
      <c r="BB1339" s="2625"/>
      <c r="BC1339" s="2625"/>
      <c r="BD1339" s="2625"/>
      <c r="BE1339" s="2625"/>
      <c r="BF1339" s="2625"/>
      <c r="BG1339" s="2625"/>
      <c r="BH1339" s="2625"/>
      <c r="BI1339" s="2625"/>
      <c r="BJ1339" s="2625"/>
      <c r="BK1339" s="2625"/>
      <c r="BL1339" s="2625"/>
      <c r="BM1339" s="1767"/>
      <c r="BN1339" s="1767"/>
      <c r="BO1339" s="1767"/>
      <c r="BP1339" s="1767"/>
      <c r="BQ1339" s="1767"/>
      <c r="BR1339" s="1767"/>
      <c r="BS1339" s="1767"/>
      <c r="BT1339" s="1767"/>
      <c r="BU1339" s="1767"/>
      <c r="BV1339" s="1767"/>
      <c r="BW1339" s="1767"/>
      <c r="BX1339" s="1767"/>
      <c r="BY1339" s="1767"/>
      <c r="BZ1339" s="1767"/>
      <c r="CA1339" s="1768"/>
    </row>
    <row r="1340" spans="1:79" ht="12.75" customHeight="1" x14ac:dyDescent="0.2">
      <c r="A1340" s="1916">
        <v>1340</v>
      </c>
      <c r="B1340" s="5148"/>
      <c r="C1340" s="2580"/>
      <c r="D1340" s="210"/>
      <c r="E1340" s="2583" t="s">
        <v>9865</v>
      </c>
      <c r="F1340" s="195">
        <v>5</v>
      </c>
      <c r="G1340" s="195">
        <v>20</v>
      </c>
      <c r="H1340" s="195">
        <f>COUNTIF(HabilidadesEsenciales_Adquiridas,Tablas!E1340)</f>
        <v>0</v>
      </c>
      <c r="I1340" s="2585">
        <v>1</v>
      </c>
      <c r="J1340" s="370"/>
      <c r="K1340" s="2576"/>
      <c r="M1340" s="1847"/>
      <c r="N1340" s="96"/>
      <c r="O1340" s="411" t="s">
        <v>1619</v>
      </c>
      <c r="P1340" s="2578">
        <v>10</v>
      </c>
      <c r="Q1340" s="503">
        <v>30</v>
      </c>
      <c r="R1340" s="2585">
        <f>COUNTIF(PoderesDeCriatura_Adquiridos,Tablas!O1340)</f>
        <v>0</v>
      </c>
      <c r="S1340" s="370"/>
      <c r="T1340" s="2576"/>
      <c r="U1340" s="436"/>
      <c r="V1340" s="2634" t="s">
        <v>1593</v>
      </c>
      <c r="W1340" s="2605"/>
      <c r="X1340" s="2172" t="str">
        <f t="shared" si="146"/>
        <v/>
      </c>
      <c r="Y1340" s="2619" t="s">
        <v>8500</v>
      </c>
      <c r="Z1340" s="2172"/>
      <c r="AA1340" s="2172"/>
      <c r="AB1340" s="2625"/>
      <c r="AC1340" s="2625"/>
      <c r="AD1340" s="2625"/>
      <c r="AE1340" s="2625"/>
      <c r="AF1340" s="2625"/>
      <c r="AG1340" s="2625"/>
      <c r="AH1340" s="2625"/>
      <c r="AI1340" s="2625"/>
      <c r="AJ1340" s="2625"/>
      <c r="AK1340" s="2625"/>
      <c r="AL1340" s="2625"/>
      <c r="AM1340" s="2625"/>
      <c r="AN1340" s="2625"/>
      <c r="AO1340" s="2625"/>
      <c r="AP1340" s="2625"/>
      <c r="AQ1340" s="2625"/>
      <c r="AR1340" s="2625"/>
      <c r="AS1340" s="2625"/>
      <c r="AT1340" s="2625"/>
      <c r="AU1340" s="2625"/>
      <c r="AV1340" s="2625"/>
      <c r="AW1340" s="2625"/>
      <c r="AX1340" s="2625"/>
      <c r="AY1340" s="2625"/>
      <c r="AZ1340" s="2625"/>
      <c r="BA1340" s="2625"/>
      <c r="BB1340" s="2625"/>
      <c r="BC1340" s="2625"/>
      <c r="BD1340" s="2625"/>
      <c r="BE1340" s="2625"/>
      <c r="BF1340" s="2625"/>
      <c r="BG1340" s="2625"/>
      <c r="BH1340" s="2625"/>
      <c r="BI1340" s="2625"/>
      <c r="BJ1340" s="2625"/>
      <c r="BK1340" s="2625"/>
      <c r="BL1340" s="2625"/>
      <c r="BM1340" s="1767"/>
      <c r="BN1340" s="1767"/>
      <c r="BO1340" s="1767"/>
      <c r="BP1340" s="1767"/>
      <c r="BQ1340" s="1767"/>
      <c r="BR1340" s="1767"/>
      <c r="BS1340" s="1767"/>
      <c r="BT1340" s="1767"/>
      <c r="BU1340" s="1767"/>
      <c r="BV1340" s="1767"/>
      <c r="BW1340" s="1767"/>
      <c r="BX1340" s="1767"/>
      <c r="BY1340" s="1767"/>
      <c r="BZ1340" s="1767"/>
      <c r="CA1340" s="1768"/>
    </row>
    <row r="1341" spans="1:79" ht="12.75" customHeight="1" x14ac:dyDescent="0.2">
      <c r="A1341" s="1916">
        <v>1341</v>
      </c>
      <c r="B1341" s="5148"/>
      <c r="C1341" s="2580"/>
      <c r="D1341" s="210"/>
      <c r="E1341" s="2583" t="s">
        <v>9866</v>
      </c>
      <c r="F1341" s="195">
        <v>5</v>
      </c>
      <c r="G1341" s="195">
        <v>20</v>
      </c>
      <c r="H1341" s="195">
        <f>COUNTIF(HabilidadesEsenciales_Adquiridas,Tablas!E1341)</f>
        <v>0</v>
      </c>
      <c r="I1341" s="2585">
        <v>1</v>
      </c>
      <c r="J1341" s="370"/>
      <c r="K1341" s="2576"/>
      <c r="M1341" s="1847"/>
      <c r="N1341" s="96"/>
      <c r="O1341" s="411" t="s">
        <v>1620</v>
      </c>
      <c r="P1341" s="2578">
        <v>20</v>
      </c>
      <c r="Q1341" s="503">
        <v>40</v>
      </c>
      <c r="R1341" s="2585">
        <f>COUNTIF(PoderesDeCriatura_Adquiridos,Tablas!O1341)</f>
        <v>0</v>
      </c>
      <c r="S1341" s="370"/>
      <c r="T1341" s="2576"/>
      <c r="U1341" s="436"/>
      <c r="V1341" s="2634" t="s">
        <v>2810</v>
      </c>
      <c r="W1341" s="2605"/>
      <c r="X1341" s="2172" t="str">
        <f t="shared" si="146"/>
        <v/>
      </c>
      <c r="Y1341" s="2619" t="s">
        <v>8500</v>
      </c>
      <c r="Z1341" s="2172"/>
      <c r="AA1341" s="2172"/>
      <c r="AB1341" s="2625"/>
      <c r="AC1341" s="2625"/>
      <c r="AD1341" s="2625"/>
      <c r="AE1341" s="2625"/>
      <c r="AF1341" s="2625"/>
      <c r="AG1341" s="2625"/>
      <c r="AH1341" s="2625"/>
      <c r="AI1341" s="2625"/>
      <c r="AJ1341" s="2625"/>
      <c r="AK1341" s="2625"/>
      <c r="AL1341" s="2625"/>
      <c r="AM1341" s="2625"/>
      <c r="AN1341" s="2625"/>
      <c r="AO1341" s="2625"/>
      <c r="AP1341" s="2625"/>
      <c r="AQ1341" s="2625"/>
      <c r="AR1341" s="2625"/>
      <c r="AS1341" s="2625"/>
      <c r="AT1341" s="2625"/>
      <c r="AU1341" s="2625"/>
      <c r="AV1341" s="2625"/>
      <c r="AW1341" s="2625"/>
      <c r="AX1341" s="2625"/>
      <c r="AY1341" s="2625"/>
      <c r="AZ1341" s="2625"/>
      <c r="BA1341" s="2625"/>
      <c r="BB1341" s="2625"/>
      <c r="BC1341" s="2625"/>
      <c r="BD1341" s="2625"/>
      <c r="BE1341" s="2625"/>
      <c r="BF1341" s="2625"/>
      <c r="BG1341" s="2625"/>
      <c r="BH1341" s="2625"/>
      <c r="BI1341" s="2625"/>
      <c r="BJ1341" s="2625"/>
      <c r="BK1341" s="2625"/>
      <c r="BL1341" s="2625"/>
      <c r="BM1341" s="1767"/>
      <c r="BN1341" s="1767"/>
      <c r="BO1341" s="1767"/>
      <c r="BP1341" s="1767"/>
      <c r="BQ1341" s="1767"/>
      <c r="BR1341" s="1767"/>
      <c r="BS1341" s="1767"/>
      <c r="BT1341" s="1767"/>
      <c r="BU1341" s="1767"/>
      <c r="BV1341" s="1767"/>
      <c r="BW1341" s="1767"/>
      <c r="BX1341" s="1767"/>
      <c r="BY1341" s="1767"/>
      <c r="BZ1341" s="1767"/>
      <c r="CA1341" s="1768"/>
    </row>
    <row r="1342" spans="1:79" ht="12.75" customHeight="1" x14ac:dyDescent="0.2">
      <c r="A1342" s="1916">
        <v>1342</v>
      </c>
      <c r="B1342" s="5148"/>
      <c r="C1342" s="2580"/>
      <c r="D1342" s="210"/>
      <c r="E1342" s="2583" t="s">
        <v>9867</v>
      </c>
      <c r="F1342" s="195">
        <v>5</v>
      </c>
      <c r="G1342" s="195">
        <v>20</v>
      </c>
      <c r="H1342" s="195">
        <f>COUNTIF(HabilidadesEsenciales_Adquiridas,Tablas!E1342)</f>
        <v>0</v>
      </c>
      <c r="I1342" s="2585">
        <v>1</v>
      </c>
      <c r="J1342" s="370"/>
      <c r="K1342" s="2576"/>
      <c r="M1342" s="1847"/>
      <c r="N1342" s="96"/>
      <c r="O1342" s="411" t="s">
        <v>9448</v>
      </c>
      <c r="P1342" s="2578">
        <v>0</v>
      </c>
      <c r="Q1342" s="503">
        <v>40</v>
      </c>
      <c r="R1342" s="2585">
        <f>COUNTIF(PoderesDeCriatura_Adquiridos,Tablas!O1342)</f>
        <v>0</v>
      </c>
      <c r="S1342" s="370"/>
      <c r="T1342" s="2576"/>
      <c r="U1342" s="436"/>
      <c r="V1342" s="2634" t="s">
        <v>2805</v>
      </c>
      <c r="W1342" s="2605"/>
      <c r="X1342" s="2172" t="str">
        <f t="shared" si="146"/>
        <v/>
      </c>
      <c r="Y1342" s="2619" t="s">
        <v>8500</v>
      </c>
      <c r="Z1342" s="2172"/>
      <c r="AA1342" s="2172"/>
      <c r="AB1342" s="2625"/>
      <c r="AC1342" s="2625"/>
      <c r="AD1342" s="2625"/>
      <c r="AE1342" s="2625"/>
      <c r="AF1342" s="2625"/>
      <c r="AG1342" s="2625"/>
      <c r="AH1342" s="2625"/>
      <c r="AI1342" s="2625"/>
      <c r="AJ1342" s="2625"/>
      <c r="AK1342" s="2625"/>
      <c r="AL1342" s="2625"/>
      <c r="AM1342" s="2625"/>
      <c r="AN1342" s="2625"/>
      <c r="AO1342" s="2625"/>
      <c r="AP1342" s="2625"/>
      <c r="AQ1342" s="2625"/>
      <c r="AR1342" s="2625"/>
      <c r="AS1342" s="2625"/>
      <c r="AT1342" s="2625"/>
      <c r="AU1342" s="2625"/>
      <c r="AV1342" s="2625"/>
      <c r="AW1342" s="2625"/>
      <c r="AX1342" s="2625"/>
      <c r="AY1342" s="2625"/>
      <c r="AZ1342" s="2625"/>
      <c r="BA1342" s="2625"/>
      <c r="BB1342" s="2625"/>
      <c r="BC1342" s="2625"/>
      <c r="BD1342" s="2625"/>
      <c r="BE1342" s="2625"/>
      <c r="BF1342" s="2625"/>
      <c r="BG1342" s="2625"/>
      <c r="BH1342" s="2625"/>
      <c r="BI1342" s="2625"/>
      <c r="BJ1342" s="2625"/>
      <c r="BK1342" s="2625"/>
      <c r="BL1342" s="2625"/>
      <c r="BM1342" s="1767"/>
      <c r="BN1342" s="1767"/>
      <c r="BO1342" s="1767"/>
      <c r="BP1342" s="1767"/>
      <c r="BQ1342" s="1767"/>
      <c r="BR1342" s="1767"/>
      <c r="BS1342" s="1767"/>
      <c r="BT1342" s="1767"/>
      <c r="BU1342" s="1767"/>
      <c r="BV1342" s="1767"/>
      <c r="BW1342" s="1767"/>
      <c r="BX1342" s="1767"/>
      <c r="BY1342" s="1767"/>
      <c r="BZ1342" s="1767"/>
      <c r="CA1342" s="1768"/>
    </row>
    <row r="1343" spans="1:79" ht="12.75" customHeight="1" x14ac:dyDescent="0.2">
      <c r="A1343" s="1916">
        <v>1343</v>
      </c>
      <c r="B1343" s="5148"/>
      <c r="C1343" s="2580"/>
      <c r="D1343" s="210"/>
      <c r="E1343" s="2583" t="s">
        <v>9868</v>
      </c>
      <c r="F1343" s="195">
        <v>5</v>
      </c>
      <c r="G1343" s="195">
        <v>20</v>
      </c>
      <c r="H1343" s="195">
        <f>COUNTIF(HabilidadesEsenciales_Adquiridas,Tablas!E1343)</f>
        <v>0</v>
      </c>
      <c r="I1343" s="2585">
        <v>1</v>
      </c>
      <c r="J1343" s="370"/>
      <c r="K1343" s="2576"/>
      <c r="M1343" s="1847"/>
      <c r="N1343" s="96"/>
      <c r="O1343" s="411" t="s">
        <v>9449</v>
      </c>
      <c r="P1343" s="2578">
        <v>0</v>
      </c>
      <c r="Q1343" s="503">
        <v>60</v>
      </c>
      <c r="R1343" s="2585">
        <f>COUNTIF(PoderesDeCriatura_Adquiridos,Tablas!O1343)</f>
        <v>0</v>
      </c>
      <c r="S1343" s="370"/>
      <c r="T1343" s="2576"/>
      <c r="U1343" s="436"/>
      <c r="V1343" s="2634" t="s">
        <v>2806</v>
      </c>
      <c r="W1343" s="2605"/>
      <c r="X1343" s="2172" t="str">
        <f t="shared" si="146"/>
        <v/>
      </c>
      <c r="Y1343" s="2619" t="s">
        <v>8500</v>
      </c>
      <c r="Z1343" s="2172"/>
      <c r="AA1343" s="2172"/>
      <c r="AB1343" s="2625"/>
      <c r="AC1343" s="2625"/>
      <c r="AD1343" s="2625"/>
      <c r="AE1343" s="2625"/>
      <c r="AF1343" s="2625"/>
      <c r="AG1343" s="2625"/>
      <c r="AH1343" s="2625"/>
      <c r="AI1343" s="2625"/>
      <c r="AJ1343" s="2625"/>
      <c r="AK1343" s="2625"/>
      <c r="AL1343" s="2625"/>
      <c r="AM1343" s="2625"/>
      <c r="AN1343" s="2625"/>
      <c r="AO1343" s="2625"/>
      <c r="AP1343" s="2625"/>
      <c r="AQ1343" s="2625"/>
      <c r="AR1343" s="2625"/>
      <c r="AS1343" s="2625"/>
      <c r="AT1343" s="2625"/>
      <c r="AU1343" s="2625"/>
      <c r="AV1343" s="2625"/>
      <c r="AW1343" s="2625"/>
      <c r="AX1343" s="2625"/>
      <c r="AY1343" s="2625"/>
      <c r="AZ1343" s="2625"/>
      <c r="BA1343" s="2625"/>
      <c r="BB1343" s="2625"/>
      <c r="BC1343" s="2625"/>
      <c r="BD1343" s="2625"/>
      <c r="BE1343" s="2625"/>
      <c r="BF1343" s="2625"/>
      <c r="BG1343" s="2625"/>
      <c r="BH1343" s="2625"/>
      <c r="BI1343" s="2625"/>
      <c r="BJ1343" s="2625"/>
      <c r="BK1343" s="2625"/>
      <c r="BL1343" s="2625"/>
      <c r="BM1343" s="1767"/>
      <c r="BN1343" s="1767"/>
      <c r="BO1343" s="1767"/>
      <c r="BP1343" s="1767"/>
      <c r="BQ1343" s="1767"/>
      <c r="BR1343" s="1767"/>
      <c r="BS1343" s="1767"/>
      <c r="BT1343" s="1767"/>
      <c r="BU1343" s="1767"/>
      <c r="BV1343" s="1767"/>
      <c r="BW1343" s="1767"/>
      <c r="BX1343" s="1767"/>
      <c r="BY1343" s="1767"/>
      <c r="BZ1343" s="1767"/>
      <c r="CA1343" s="1768"/>
    </row>
    <row r="1344" spans="1:79" ht="12.75" customHeight="1" x14ac:dyDescent="0.2">
      <c r="A1344" s="1916">
        <v>1344</v>
      </c>
      <c r="B1344" s="5148"/>
      <c r="C1344" s="2580"/>
      <c r="D1344" s="210"/>
      <c r="E1344" s="2583" t="s">
        <v>9869</v>
      </c>
      <c r="F1344" s="195">
        <v>5</v>
      </c>
      <c r="G1344" s="195">
        <v>20</v>
      </c>
      <c r="H1344" s="195">
        <f>COUNTIF(HabilidadesEsenciales_Adquiridas,Tablas!E1344)</f>
        <v>0</v>
      </c>
      <c r="I1344" s="2585">
        <v>1</v>
      </c>
      <c r="J1344" s="370"/>
      <c r="K1344" s="2576"/>
      <c r="M1344" s="1847"/>
      <c r="N1344" s="96"/>
      <c r="O1344" s="411" t="s">
        <v>9450</v>
      </c>
      <c r="P1344" s="2578">
        <v>0</v>
      </c>
      <c r="Q1344" s="503">
        <v>80</v>
      </c>
      <c r="R1344" s="2585">
        <f>COUNTIF(PoderesDeCriatura_Adquiridos,Tablas!O1344)</f>
        <v>0</v>
      </c>
      <c r="S1344" s="370"/>
      <c r="T1344" s="2576"/>
      <c r="U1344" s="436"/>
      <c r="V1344" s="2634" t="s">
        <v>1595</v>
      </c>
      <c r="W1344" s="2605"/>
      <c r="X1344" s="2172" t="str">
        <f t="shared" si="146"/>
        <v/>
      </c>
      <c r="Y1344" s="2619" t="s">
        <v>8500</v>
      </c>
      <c r="Z1344" s="2172"/>
      <c r="AA1344" s="2172"/>
      <c r="AB1344" s="2625"/>
      <c r="AC1344" s="2625"/>
      <c r="AD1344" s="2625"/>
      <c r="AE1344" s="2625"/>
      <c r="AF1344" s="2625"/>
      <c r="AG1344" s="2625"/>
      <c r="AH1344" s="2625"/>
      <c r="AI1344" s="2625"/>
      <c r="AJ1344" s="2625"/>
      <c r="AK1344" s="2625"/>
      <c r="AL1344" s="2625"/>
      <c r="AM1344" s="2625"/>
      <c r="AN1344" s="2625"/>
      <c r="AO1344" s="2625"/>
      <c r="AP1344" s="2625"/>
      <c r="AQ1344" s="2625"/>
      <c r="AR1344" s="2625"/>
      <c r="AS1344" s="2625"/>
      <c r="AT1344" s="2625"/>
      <c r="AU1344" s="2625"/>
      <c r="AV1344" s="2625"/>
      <c r="AW1344" s="2625"/>
      <c r="AX1344" s="2625"/>
      <c r="AY1344" s="2625"/>
      <c r="AZ1344" s="2625"/>
      <c r="BA1344" s="2625"/>
      <c r="BB1344" s="2625"/>
      <c r="BC1344" s="2625"/>
      <c r="BD1344" s="2625"/>
      <c r="BE1344" s="2625"/>
      <c r="BF1344" s="2625"/>
      <c r="BG1344" s="2625"/>
      <c r="BH1344" s="2625"/>
      <c r="BI1344" s="2625"/>
      <c r="BJ1344" s="2625"/>
      <c r="BK1344" s="2625"/>
      <c r="BL1344" s="2625"/>
      <c r="BM1344" s="1767"/>
      <c r="BN1344" s="1767"/>
      <c r="BO1344" s="1767"/>
      <c r="BP1344" s="1767"/>
      <c r="BQ1344" s="1767"/>
      <c r="BR1344" s="1767"/>
      <c r="BS1344" s="1767"/>
      <c r="BT1344" s="1767"/>
      <c r="BU1344" s="1767"/>
      <c r="BV1344" s="1767"/>
      <c r="BW1344" s="1767"/>
      <c r="BX1344" s="1767"/>
      <c r="BY1344" s="1767"/>
      <c r="BZ1344" s="1767"/>
      <c r="CA1344" s="1768"/>
    </row>
    <row r="1345" spans="1:79" ht="12.75" customHeight="1" x14ac:dyDescent="0.2">
      <c r="A1345" s="1916">
        <v>1345</v>
      </c>
      <c r="B1345" s="5148"/>
      <c r="C1345" s="2580"/>
      <c r="D1345" s="210"/>
      <c r="E1345" s="2583" t="s">
        <v>9870</v>
      </c>
      <c r="F1345" s="195">
        <v>5</v>
      </c>
      <c r="G1345" s="195">
        <v>20</v>
      </c>
      <c r="H1345" s="195">
        <f>COUNTIF(HabilidadesEsenciales_Adquiridas,Tablas!E1345)</f>
        <v>0</v>
      </c>
      <c r="I1345" s="2585">
        <v>1</v>
      </c>
      <c r="J1345" s="370"/>
      <c r="K1345" s="2576"/>
      <c r="M1345" s="1847"/>
      <c r="N1345" s="96"/>
      <c r="O1345" s="411" t="s">
        <v>9451</v>
      </c>
      <c r="P1345" s="2578">
        <v>0</v>
      </c>
      <c r="Q1345" s="503">
        <v>100</v>
      </c>
      <c r="R1345" s="2585">
        <f>COUNTIF(PoderesDeCriatura_Adquiridos,Tablas!O1345)</f>
        <v>0</v>
      </c>
      <c r="S1345" s="370"/>
      <c r="T1345" s="2576"/>
      <c r="U1345" s="436"/>
      <c r="V1345" s="2634" t="s">
        <v>1596</v>
      </c>
      <c r="W1345" s="2605"/>
      <c r="X1345" s="2172" t="str">
        <f t="shared" si="146"/>
        <v/>
      </c>
      <c r="Y1345" s="2619" t="s">
        <v>8500</v>
      </c>
      <c r="Z1345" s="2172"/>
      <c r="AA1345" s="2172"/>
      <c r="AB1345" s="2625"/>
      <c r="AC1345" s="2625"/>
      <c r="AD1345" s="2625"/>
      <c r="AE1345" s="2625"/>
      <c r="AF1345" s="2625"/>
      <c r="AG1345" s="2625"/>
      <c r="AH1345" s="2625"/>
      <c r="AI1345" s="2625"/>
      <c r="AJ1345" s="2625"/>
      <c r="AK1345" s="2625"/>
      <c r="AL1345" s="2625"/>
      <c r="AM1345" s="2625"/>
      <c r="AN1345" s="2625"/>
      <c r="AO1345" s="2625"/>
      <c r="AP1345" s="2625"/>
      <c r="AQ1345" s="2625"/>
      <c r="AR1345" s="2625"/>
      <c r="AS1345" s="2625"/>
      <c r="AT1345" s="2625"/>
      <c r="AU1345" s="2625"/>
      <c r="AV1345" s="2625"/>
      <c r="AW1345" s="2625"/>
      <c r="AX1345" s="2625"/>
      <c r="AY1345" s="2625"/>
      <c r="AZ1345" s="2625"/>
      <c r="BA1345" s="2625"/>
      <c r="BB1345" s="2625"/>
      <c r="BC1345" s="2625"/>
      <c r="BD1345" s="2625"/>
      <c r="BE1345" s="2625"/>
      <c r="BF1345" s="2625"/>
      <c r="BG1345" s="2625"/>
      <c r="BH1345" s="2625"/>
      <c r="BI1345" s="2625"/>
      <c r="BJ1345" s="2625"/>
      <c r="BK1345" s="2625"/>
      <c r="BL1345" s="2625"/>
      <c r="BM1345" s="1767"/>
      <c r="BN1345" s="1767"/>
      <c r="BO1345" s="1767"/>
      <c r="BP1345" s="1767"/>
      <c r="BQ1345" s="1767"/>
      <c r="BR1345" s="1767"/>
      <c r="BS1345" s="1767"/>
      <c r="BT1345" s="1767"/>
      <c r="BU1345" s="1767"/>
      <c r="BV1345" s="1767"/>
      <c r="BW1345" s="1767"/>
      <c r="BX1345" s="1767"/>
      <c r="BY1345" s="1767"/>
      <c r="BZ1345" s="1767"/>
      <c r="CA1345" s="1768"/>
    </row>
    <row r="1346" spans="1:79" ht="12.75" customHeight="1" x14ac:dyDescent="0.2">
      <c r="A1346" s="1916">
        <v>1346</v>
      </c>
      <c r="B1346" s="5148"/>
      <c r="C1346" s="2580"/>
      <c r="D1346" s="210"/>
      <c r="E1346" s="2583" t="s">
        <v>9871</v>
      </c>
      <c r="F1346" s="195">
        <v>5</v>
      </c>
      <c r="G1346" s="195">
        <v>20</v>
      </c>
      <c r="H1346" s="195">
        <f>COUNTIF(HabilidadesEsenciales_Adquiridas,Tablas!E1346)</f>
        <v>0</v>
      </c>
      <c r="I1346" s="2585">
        <v>1</v>
      </c>
      <c r="J1346" s="370"/>
      <c r="K1346" s="2576"/>
      <c r="M1346" s="1847"/>
      <c r="N1346" s="96"/>
      <c r="O1346" s="411" t="s">
        <v>9452</v>
      </c>
      <c r="P1346" s="2578">
        <v>10</v>
      </c>
      <c r="Q1346" s="503">
        <v>120</v>
      </c>
      <c r="R1346" s="2585">
        <f>COUNTIF(PoderesDeCriatura_Adquiridos,Tablas!O1346)</f>
        <v>0</v>
      </c>
      <c r="S1346" s="370"/>
      <c r="T1346" s="2576"/>
      <c r="U1346" s="436"/>
      <c r="V1346" s="2634" t="s">
        <v>2815</v>
      </c>
      <c r="W1346" s="2605"/>
      <c r="X1346" s="2172" t="str">
        <f t="shared" si="146"/>
        <v/>
      </c>
      <c r="Y1346" s="2619" t="s">
        <v>8500</v>
      </c>
      <c r="Z1346" s="2172"/>
      <c r="AA1346" s="2172"/>
      <c r="AB1346" s="2625"/>
      <c r="AC1346" s="2625"/>
      <c r="AD1346" s="2625"/>
      <c r="AE1346" s="2625"/>
      <c r="AF1346" s="2625"/>
      <c r="AG1346" s="2625"/>
      <c r="AH1346" s="2625"/>
      <c r="AI1346" s="2625"/>
      <c r="AJ1346" s="2625"/>
      <c r="AK1346" s="2625"/>
      <c r="AL1346" s="2625"/>
      <c r="AM1346" s="2625"/>
      <c r="AN1346" s="2625"/>
      <c r="AO1346" s="2625"/>
      <c r="AP1346" s="2625"/>
      <c r="AQ1346" s="2625"/>
      <c r="AR1346" s="2625"/>
      <c r="AS1346" s="2625"/>
      <c r="AT1346" s="2625"/>
      <c r="AU1346" s="2625"/>
      <c r="AV1346" s="2625"/>
      <c r="AW1346" s="2625"/>
      <c r="AX1346" s="2625"/>
      <c r="AY1346" s="2625"/>
      <c r="AZ1346" s="2625"/>
      <c r="BA1346" s="2625"/>
      <c r="BB1346" s="2625"/>
      <c r="BC1346" s="2625"/>
      <c r="BD1346" s="2625"/>
      <c r="BE1346" s="2625"/>
      <c r="BF1346" s="2625"/>
      <c r="BG1346" s="2625"/>
      <c r="BH1346" s="2625"/>
      <c r="BI1346" s="2625"/>
      <c r="BJ1346" s="2625"/>
      <c r="BK1346" s="2625"/>
      <c r="BL1346" s="2625"/>
      <c r="BM1346" s="1767"/>
      <c r="BN1346" s="1767"/>
      <c r="BO1346" s="1767"/>
      <c r="BP1346" s="1767"/>
      <c r="BQ1346" s="1767"/>
      <c r="BR1346" s="1767"/>
      <c r="BS1346" s="1767"/>
      <c r="BT1346" s="1767"/>
      <c r="BU1346" s="1767"/>
      <c r="BV1346" s="1767"/>
      <c r="BW1346" s="1767"/>
      <c r="BX1346" s="1767"/>
      <c r="BY1346" s="1767"/>
      <c r="BZ1346" s="1767"/>
      <c r="CA1346" s="1768"/>
    </row>
    <row r="1347" spans="1:79" ht="12.75" customHeight="1" x14ac:dyDescent="0.2">
      <c r="A1347" s="1916">
        <v>1347</v>
      </c>
      <c r="B1347" s="5148"/>
      <c r="C1347" s="2580"/>
      <c r="D1347" s="210"/>
      <c r="E1347" s="2583" t="s">
        <v>9872</v>
      </c>
      <c r="F1347" s="195">
        <v>5</v>
      </c>
      <c r="G1347" s="195">
        <v>20</v>
      </c>
      <c r="H1347" s="195">
        <f>COUNTIF(HabilidadesEsenciales_Adquiridas,Tablas!E1347)</f>
        <v>0</v>
      </c>
      <c r="I1347" s="2585">
        <v>1</v>
      </c>
      <c r="J1347" s="370"/>
      <c r="K1347" s="2576"/>
      <c r="M1347" s="1847"/>
      <c r="N1347" s="96"/>
      <c r="O1347" s="411" t="s">
        <v>9453</v>
      </c>
      <c r="P1347" s="2578">
        <v>10</v>
      </c>
      <c r="Q1347" s="503">
        <v>20</v>
      </c>
      <c r="R1347" s="2585">
        <f>COUNTIF(PoderesDeCriatura_Adquiridos,Tablas!O1347)</f>
        <v>0</v>
      </c>
      <c r="S1347" s="370"/>
      <c r="T1347" s="2576"/>
      <c r="U1347" s="436"/>
      <c r="V1347" s="2634" t="s">
        <v>2814</v>
      </c>
      <c r="W1347" s="2605"/>
      <c r="X1347" s="2172" t="str">
        <f t="shared" si="146"/>
        <v/>
      </c>
      <c r="Y1347" s="2619" t="s">
        <v>8500</v>
      </c>
      <c r="Z1347" s="2172"/>
      <c r="AA1347" s="2172"/>
      <c r="AB1347" s="2625"/>
      <c r="AC1347" s="2625"/>
      <c r="AD1347" s="2625"/>
      <c r="AE1347" s="2625"/>
      <c r="AF1347" s="2625"/>
      <c r="AG1347" s="2625"/>
      <c r="AH1347" s="2625"/>
      <c r="AI1347" s="2625"/>
      <c r="AJ1347" s="2625"/>
      <c r="AK1347" s="2625"/>
      <c r="AL1347" s="2625"/>
      <c r="AM1347" s="2625"/>
      <c r="AN1347" s="2625"/>
      <c r="AO1347" s="2625"/>
      <c r="AP1347" s="2625"/>
      <c r="AQ1347" s="2625"/>
      <c r="AR1347" s="2625"/>
      <c r="AS1347" s="2625"/>
      <c r="AT1347" s="2625"/>
      <c r="AU1347" s="2625"/>
      <c r="AV1347" s="2625"/>
      <c r="AW1347" s="2625"/>
      <c r="AX1347" s="2625"/>
      <c r="AY1347" s="2625"/>
      <c r="AZ1347" s="2625"/>
      <c r="BA1347" s="2625"/>
      <c r="BB1347" s="2625"/>
      <c r="BC1347" s="2625"/>
      <c r="BD1347" s="2625"/>
      <c r="BE1347" s="2625"/>
      <c r="BF1347" s="2625"/>
      <c r="BG1347" s="2625"/>
      <c r="BH1347" s="2625"/>
      <c r="BI1347" s="2625"/>
      <c r="BJ1347" s="2625"/>
      <c r="BK1347" s="2625"/>
      <c r="BL1347" s="2625"/>
      <c r="BM1347" s="1767"/>
      <c r="BN1347" s="1767"/>
      <c r="BO1347" s="1767"/>
      <c r="BP1347" s="1767"/>
      <c r="BQ1347" s="1767"/>
      <c r="BR1347" s="1767"/>
      <c r="BS1347" s="1767"/>
      <c r="BT1347" s="1767"/>
      <c r="BU1347" s="1767"/>
      <c r="BV1347" s="1767"/>
      <c r="BW1347" s="1767"/>
      <c r="BX1347" s="1767"/>
      <c r="BY1347" s="1767"/>
      <c r="BZ1347" s="1767"/>
      <c r="CA1347" s="1768"/>
    </row>
    <row r="1348" spans="1:79" ht="12.75" customHeight="1" x14ac:dyDescent="0.2">
      <c r="A1348" s="1916">
        <v>1348</v>
      </c>
      <c r="B1348" s="5148"/>
      <c r="C1348" s="2580"/>
      <c r="D1348" s="210"/>
      <c r="E1348" s="2583" t="s">
        <v>9873</v>
      </c>
      <c r="F1348" s="195">
        <v>5</v>
      </c>
      <c r="G1348" s="195">
        <v>20</v>
      </c>
      <c r="H1348" s="195">
        <f>COUNTIF(HabilidadesEsenciales_Adquiridas,Tablas!E1348)</f>
        <v>0</v>
      </c>
      <c r="I1348" s="2585">
        <v>1</v>
      </c>
      <c r="J1348" s="370"/>
      <c r="K1348" s="2576"/>
      <c r="M1348" s="1847"/>
      <c r="N1348" s="96"/>
      <c r="O1348" s="411" t="s">
        <v>9454</v>
      </c>
      <c r="P1348" s="2578">
        <v>15</v>
      </c>
      <c r="Q1348" s="503">
        <v>40</v>
      </c>
      <c r="R1348" s="2585">
        <f>COUNTIF(PoderesDeCriatura_Adquiridos,Tablas!O1348)</f>
        <v>0</v>
      </c>
      <c r="S1348" s="370"/>
      <c r="T1348" s="2576"/>
      <c r="U1348" s="436"/>
      <c r="V1348" s="2634" t="s">
        <v>1597</v>
      </c>
      <c r="W1348" s="2605"/>
      <c r="X1348" s="2172" t="str">
        <f t="shared" si="146"/>
        <v/>
      </c>
      <c r="Y1348" s="2619" t="s">
        <v>8500</v>
      </c>
      <c r="Z1348" s="2172"/>
      <c r="AA1348" s="2172"/>
      <c r="AB1348" s="2625"/>
      <c r="AC1348" s="2625"/>
      <c r="AD1348" s="2625"/>
      <c r="AE1348" s="2625"/>
      <c r="AF1348" s="2625"/>
      <c r="AG1348" s="2625"/>
      <c r="AH1348" s="2625"/>
      <c r="AI1348" s="2625"/>
      <c r="AJ1348" s="2625"/>
      <c r="AK1348" s="2625"/>
      <c r="AL1348" s="2625"/>
      <c r="AM1348" s="2625"/>
      <c r="AN1348" s="2625"/>
      <c r="AO1348" s="2625"/>
      <c r="AP1348" s="2625"/>
      <c r="AQ1348" s="2625"/>
      <c r="AR1348" s="2625"/>
      <c r="AS1348" s="2625"/>
      <c r="AT1348" s="2625"/>
      <c r="AU1348" s="2625"/>
      <c r="AV1348" s="2625"/>
      <c r="AW1348" s="2625"/>
      <c r="AX1348" s="2625"/>
      <c r="AY1348" s="2625"/>
      <c r="AZ1348" s="2625"/>
      <c r="BA1348" s="2625"/>
      <c r="BB1348" s="2625"/>
      <c r="BC1348" s="2625"/>
      <c r="BD1348" s="2625"/>
      <c r="BE1348" s="2625"/>
      <c r="BF1348" s="2625"/>
      <c r="BG1348" s="2625"/>
      <c r="BH1348" s="2625"/>
      <c r="BI1348" s="2625"/>
      <c r="BJ1348" s="2625"/>
      <c r="BK1348" s="2625"/>
      <c r="BL1348" s="2625"/>
      <c r="BM1348" s="1767"/>
      <c r="BN1348" s="1767"/>
      <c r="BO1348" s="1767"/>
      <c r="BP1348" s="1767"/>
      <c r="BQ1348" s="1767"/>
      <c r="BR1348" s="1767"/>
      <c r="BS1348" s="1767"/>
      <c r="BT1348" s="1767"/>
      <c r="BU1348" s="1767"/>
      <c r="BV1348" s="1767"/>
      <c r="BW1348" s="1767"/>
      <c r="BX1348" s="1767"/>
      <c r="BY1348" s="1767"/>
      <c r="BZ1348" s="1767"/>
      <c r="CA1348" s="1768"/>
    </row>
    <row r="1349" spans="1:79" ht="12.75" customHeight="1" x14ac:dyDescent="0.2">
      <c r="A1349" s="1916">
        <v>1349</v>
      </c>
      <c r="B1349" s="5148"/>
      <c r="C1349" s="2580"/>
      <c r="D1349" s="210"/>
      <c r="E1349" s="2583" t="s">
        <v>9874</v>
      </c>
      <c r="F1349" s="195">
        <v>5</v>
      </c>
      <c r="G1349" s="195">
        <v>20</v>
      </c>
      <c r="H1349" s="195">
        <f>COUNTIF(HabilidadesEsenciales_Adquiridas,Tablas!E1349)</f>
        <v>0</v>
      </c>
      <c r="I1349" s="2585">
        <v>1</v>
      </c>
      <c r="J1349" s="370"/>
      <c r="K1349" s="2576"/>
      <c r="M1349" s="1847"/>
      <c r="N1349" s="96"/>
      <c r="O1349" s="411" t="s">
        <v>9455</v>
      </c>
      <c r="P1349" s="2578">
        <v>20</v>
      </c>
      <c r="Q1349" s="503">
        <v>60</v>
      </c>
      <c r="R1349" s="2585">
        <f>COUNTIF(PoderesDeCriatura_Adquiridos,Tablas!O1349)</f>
        <v>0</v>
      </c>
      <c r="S1349" s="370"/>
      <c r="T1349" s="2576"/>
      <c r="U1349" s="436"/>
      <c r="V1349" s="2634" t="s">
        <v>2822</v>
      </c>
      <c r="W1349" s="2605"/>
      <c r="X1349" s="2172" t="str">
        <f t="shared" si="146"/>
        <v/>
      </c>
      <c r="Y1349" s="2619" t="s">
        <v>8500</v>
      </c>
      <c r="Z1349" s="2172"/>
      <c r="AA1349" s="2172"/>
      <c r="AB1349" s="2625"/>
      <c r="AC1349" s="2625"/>
      <c r="AD1349" s="2625"/>
      <c r="AE1349" s="2625"/>
      <c r="AF1349" s="2625"/>
      <c r="AG1349" s="2625"/>
      <c r="AH1349" s="2625"/>
      <c r="AI1349" s="2625"/>
      <c r="AJ1349" s="2625"/>
      <c r="AK1349" s="2625"/>
      <c r="AL1349" s="2625"/>
      <c r="AM1349" s="2625"/>
      <c r="AN1349" s="2625"/>
      <c r="AO1349" s="2625"/>
      <c r="AP1349" s="2625"/>
      <c r="AQ1349" s="2625"/>
      <c r="AR1349" s="2625"/>
      <c r="AS1349" s="2625"/>
      <c r="AT1349" s="2625"/>
      <c r="AU1349" s="2625"/>
      <c r="AV1349" s="2625"/>
      <c r="AW1349" s="2625"/>
      <c r="AX1349" s="2625"/>
      <c r="AY1349" s="2625"/>
      <c r="AZ1349" s="2625"/>
      <c r="BA1349" s="2625"/>
      <c r="BB1349" s="2625"/>
      <c r="BC1349" s="2625"/>
      <c r="BD1349" s="2625"/>
      <c r="BE1349" s="2625"/>
      <c r="BF1349" s="2625"/>
      <c r="BG1349" s="2625"/>
      <c r="BH1349" s="2625"/>
      <c r="BI1349" s="2625"/>
      <c r="BJ1349" s="2625"/>
      <c r="BK1349" s="2625"/>
      <c r="BL1349" s="2625"/>
      <c r="BM1349" s="1767"/>
      <c r="BN1349" s="1767"/>
      <c r="BO1349" s="1767"/>
      <c r="BP1349" s="1767"/>
      <c r="BQ1349" s="1767"/>
      <c r="BR1349" s="1767"/>
      <c r="BS1349" s="1767"/>
      <c r="BT1349" s="1767"/>
      <c r="BU1349" s="1767"/>
      <c r="BV1349" s="1767"/>
      <c r="BW1349" s="1767"/>
      <c r="BX1349" s="1767"/>
      <c r="BY1349" s="1767"/>
      <c r="BZ1349" s="1767"/>
      <c r="CA1349" s="1768"/>
    </row>
    <row r="1350" spans="1:79" ht="12.75" customHeight="1" x14ac:dyDescent="0.2">
      <c r="A1350" s="1916">
        <v>1350</v>
      </c>
      <c r="B1350" s="5148"/>
      <c r="C1350" s="2580"/>
      <c r="D1350" s="210"/>
      <c r="E1350" s="2583" t="s">
        <v>2776</v>
      </c>
      <c r="F1350" s="195">
        <v>5</v>
      </c>
      <c r="G1350" s="195">
        <v>30</v>
      </c>
      <c r="H1350" s="195">
        <f>COUNTIF(HabilidadesEsenciales_Adquiridas,Tablas!E1350)</f>
        <v>0</v>
      </c>
      <c r="I1350" s="2585"/>
      <c r="J1350" s="370"/>
      <c r="K1350" s="2576"/>
      <c r="M1350" s="1847"/>
      <c r="N1350" s="96"/>
      <c r="O1350" s="411" t="s">
        <v>9456</v>
      </c>
      <c r="P1350" s="2578">
        <v>20</v>
      </c>
      <c r="Q1350" s="503">
        <v>80</v>
      </c>
      <c r="R1350" s="2585">
        <f>COUNTIF(PoderesDeCriatura_Adquiridos,Tablas!O1350)</f>
        <v>0</v>
      </c>
      <c r="S1350" s="370"/>
      <c r="T1350" s="2576"/>
      <c r="U1350" s="436"/>
      <c r="V1350" s="2634" t="s">
        <v>2849</v>
      </c>
      <c r="W1350" s="2605"/>
      <c r="X1350" s="2172" t="str">
        <f t="shared" si="146"/>
        <v/>
      </c>
      <c r="Y1350" s="2619" t="s">
        <v>8500</v>
      </c>
      <c r="Z1350" s="2172"/>
      <c r="AA1350" s="2172"/>
      <c r="AB1350" s="2625"/>
      <c r="AC1350" s="2625"/>
      <c r="AD1350" s="2625"/>
      <c r="AE1350" s="2625"/>
      <c r="AF1350" s="2625"/>
      <c r="AG1350" s="2625"/>
      <c r="AH1350" s="2625"/>
      <c r="AI1350" s="2625"/>
      <c r="AJ1350" s="2625"/>
      <c r="AK1350" s="2625"/>
      <c r="AL1350" s="2625"/>
      <c r="AM1350" s="2625"/>
      <c r="AN1350" s="2625"/>
      <c r="AO1350" s="2625"/>
      <c r="AP1350" s="2625"/>
      <c r="AQ1350" s="2625"/>
      <c r="AR1350" s="2625"/>
      <c r="AS1350" s="2625"/>
      <c r="AT1350" s="2625"/>
      <c r="AU1350" s="2625"/>
      <c r="AV1350" s="2625"/>
      <c r="AW1350" s="2625"/>
      <c r="AX1350" s="2625"/>
      <c r="AY1350" s="2625"/>
      <c r="AZ1350" s="2625"/>
      <c r="BA1350" s="2625"/>
      <c r="BB1350" s="2625"/>
      <c r="BC1350" s="2625"/>
      <c r="BD1350" s="2625"/>
      <c r="BE1350" s="2625"/>
      <c r="BF1350" s="2625"/>
      <c r="BG1350" s="2625"/>
      <c r="BH1350" s="2625"/>
      <c r="BI1350" s="2625"/>
      <c r="BJ1350" s="2625"/>
      <c r="BK1350" s="2625"/>
      <c r="BL1350" s="2625"/>
      <c r="BM1350" s="1767"/>
      <c r="BN1350" s="1767"/>
      <c r="BO1350" s="1767"/>
      <c r="BP1350" s="1767"/>
      <c r="BQ1350" s="1767"/>
      <c r="BR1350" s="1767"/>
      <c r="BS1350" s="1767"/>
      <c r="BT1350" s="1767"/>
      <c r="BU1350" s="1767"/>
      <c r="BV1350" s="1767"/>
      <c r="BW1350" s="1767"/>
      <c r="BX1350" s="1767"/>
      <c r="BY1350" s="1767"/>
      <c r="BZ1350" s="1767"/>
      <c r="CA1350" s="1768"/>
    </row>
    <row r="1351" spans="1:79" ht="12.75" customHeight="1" x14ac:dyDescent="0.2">
      <c r="A1351" s="1916">
        <v>1351</v>
      </c>
      <c r="B1351" s="5148"/>
      <c r="C1351" s="2580"/>
      <c r="D1351" s="210"/>
      <c r="E1351" s="2583" t="s">
        <v>1583</v>
      </c>
      <c r="F1351" s="195">
        <v>0</v>
      </c>
      <c r="G1351" s="195">
        <v>0</v>
      </c>
      <c r="H1351" s="195"/>
      <c r="I1351" s="2585"/>
      <c r="J1351" s="370"/>
      <c r="K1351" s="2576"/>
      <c r="M1351" s="1847"/>
      <c r="N1351" s="96"/>
      <c r="O1351" s="411" t="s">
        <v>9457</v>
      </c>
      <c r="P1351" s="2578">
        <v>25</v>
      </c>
      <c r="Q1351" s="503">
        <v>100</v>
      </c>
      <c r="R1351" s="2585">
        <f>COUNTIF(PoderesDeCriatura_Adquiridos,Tablas!O1351)</f>
        <v>0</v>
      </c>
      <c r="S1351" s="370"/>
      <c r="T1351" s="2576"/>
      <c r="U1351" s="436"/>
      <c r="V1351" s="2634" t="s">
        <v>1600</v>
      </c>
      <c r="W1351" s="2605"/>
      <c r="X1351" s="2172" t="str">
        <f t="shared" si="146"/>
        <v/>
      </c>
      <c r="Y1351" s="2619" t="s">
        <v>8500</v>
      </c>
      <c r="Z1351" s="2172"/>
      <c r="AA1351" s="2172"/>
      <c r="AB1351" s="2625"/>
      <c r="AC1351" s="2625"/>
      <c r="AD1351" s="2625"/>
      <c r="AE1351" s="2625"/>
      <c r="AF1351" s="2625"/>
      <c r="AG1351" s="2625"/>
      <c r="AH1351" s="2625"/>
      <c r="AI1351" s="2625"/>
      <c r="AJ1351" s="2625"/>
      <c r="AK1351" s="2625"/>
      <c r="AL1351" s="2625"/>
      <c r="AM1351" s="2625"/>
      <c r="AN1351" s="2625"/>
      <c r="AO1351" s="2625"/>
      <c r="AP1351" s="2625"/>
      <c r="AQ1351" s="2625"/>
      <c r="AR1351" s="2625"/>
      <c r="AS1351" s="2625"/>
      <c r="AT1351" s="2625"/>
      <c r="AU1351" s="2625"/>
      <c r="AV1351" s="2625"/>
      <c r="AW1351" s="2625"/>
      <c r="AX1351" s="2625"/>
      <c r="AY1351" s="2625"/>
      <c r="AZ1351" s="2625"/>
      <c r="BA1351" s="2625"/>
      <c r="BB1351" s="2625"/>
      <c r="BC1351" s="2625"/>
      <c r="BD1351" s="2625"/>
      <c r="BE1351" s="2625"/>
      <c r="BF1351" s="2625"/>
      <c r="BG1351" s="2625"/>
      <c r="BH1351" s="2625"/>
      <c r="BI1351" s="2625"/>
      <c r="BJ1351" s="2625"/>
      <c r="BK1351" s="2625"/>
      <c r="BL1351" s="2625"/>
      <c r="BM1351" s="1767"/>
      <c r="BN1351" s="1767"/>
      <c r="BO1351" s="1767"/>
      <c r="BP1351" s="1767"/>
      <c r="BQ1351" s="1767"/>
      <c r="BR1351" s="1767"/>
      <c r="BS1351" s="1767"/>
      <c r="BT1351" s="1767"/>
      <c r="BU1351" s="1767"/>
      <c r="BV1351" s="1767"/>
      <c r="BW1351" s="1767"/>
      <c r="BX1351" s="1767"/>
      <c r="BY1351" s="1767"/>
      <c r="BZ1351" s="1767"/>
      <c r="CA1351" s="1768"/>
    </row>
    <row r="1352" spans="1:79" ht="12.75" customHeight="1" x14ac:dyDescent="0.2">
      <c r="A1352" s="1916">
        <v>1352</v>
      </c>
      <c r="B1352" s="5148"/>
      <c r="C1352" s="2580"/>
      <c r="D1352" s="210"/>
      <c r="E1352" s="2583" t="s">
        <v>1584</v>
      </c>
      <c r="F1352" s="195">
        <v>0</v>
      </c>
      <c r="G1352" s="195">
        <v>-10</v>
      </c>
      <c r="H1352" s="195">
        <f>COUNTIF(HabilidadesEsenciales_Adquiridas,Tablas!E1352)</f>
        <v>0</v>
      </c>
      <c r="I1352" s="2585"/>
      <c r="J1352" s="370"/>
      <c r="K1352" s="2576"/>
      <c r="M1352" s="1847"/>
      <c r="N1352" s="96"/>
      <c r="O1352" s="411" t="s">
        <v>9458</v>
      </c>
      <c r="P1352" s="2578">
        <v>30</v>
      </c>
      <c r="Q1352" s="503">
        <v>120</v>
      </c>
      <c r="R1352" s="2585">
        <f>COUNTIF(PoderesDeCriatura_Adquiridos,Tablas!O1352)</f>
        <v>0</v>
      </c>
      <c r="S1352" s="370"/>
      <c r="T1352" s="2576"/>
      <c r="U1352" s="436"/>
      <c r="V1352" s="2634" t="s">
        <v>2842</v>
      </c>
      <c r="W1352" s="2605"/>
      <c r="X1352" s="2172" t="str">
        <f t="shared" si="146"/>
        <v/>
      </c>
      <c r="Y1352" s="2619" t="s">
        <v>8500</v>
      </c>
      <c r="Z1352" s="2625"/>
      <c r="AA1352" s="2625"/>
      <c r="AB1352" s="2625"/>
      <c r="AC1352" s="2625"/>
      <c r="AD1352" s="2625"/>
      <c r="AE1352" s="2625"/>
      <c r="AF1352" s="2625"/>
      <c r="AG1352" s="2625"/>
      <c r="AH1352" s="2625"/>
      <c r="AI1352" s="2625"/>
      <c r="AJ1352" s="2625"/>
      <c r="AK1352" s="2625"/>
      <c r="AL1352" s="2625"/>
      <c r="AM1352" s="2625"/>
      <c r="AN1352" s="2625"/>
      <c r="AO1352" s="2625"/>
      <c r="AP1352" s="2625"/>
      <c r="AQ1352" s="2625"/>
      <c r="AR1352" s="2625"/>
      <c r="AS1352" s="2625"/>
      <c r="AT1352" s="2625"/>
      <c r="AU1352" s="2625"/>
      <c r="AV1352" s="2625"/>
      <c r="AW1352" s="2625"/>
      <c r="AX1352" s="2625"/>
      <c r="AY1352" s="2625"/>
      <c r="AZ1352" s="2625"/>
      <c r="BA1352" s="2625"/>
      <c r="BB1352" s="2625"/>
      <c r="BC1352" s="2625"/>
      <c r="BD1352" s="2625"/>
      <c r="BE1352" s="2625"/>
      <c r="BF1352" s="2625"/>
      <c r="BG1352" s="2625"/>
      <c r="BH1352" s="2625"/>
      <c r="BI1352" s="2625"/>
      <c r="BJ1352" s="2625"/>
      <c r="BK1352" s="2625"/>
      <c r="BL1352" s="2625"/>
      <c r="BM1352" s="1767"/>
      <c r="BN1352" s="1767"/>
      <c r="BO1352" s="1767"/>
      <c r="BP1352" s="1767"/>
      <c r="BQ1352" s="1767"/>
      <c r="BR1352" s="1767"/>
      <c r="BS1352" s="1767"/>
      <c r="BT1352" s="1767"/>
      <c r="BU1352" s="1767"/>
      <c r="BV1352" s="1767"/>
      <c r="BW1352" s="1767"/>
      <c r="BX1352" s="1767"/>
      <c r="BY1352" s="1767"/>
      <c r="BZ1352" s="1767"/>
      <c r="CA1352" s="1768"/>
    </row>
    <row r="1353" spans="1:79" ht="12.75" customHeight="1" x14ac:dyDescent="0.2">
      <c r="A1353" s="1916">
        <v>1353</v>
      </c>
      <c r="B1353" s="5148"/>
      <c r="C1353" s="2580"/>
      <c r="D1353" s="210"/>
      <c r="E1353" s="2583" t="s">
        <v>1585</v>
      </c>
      <c r="F1353" s="195">
        <v>0</v>
      </c>
      <c r="G1353" s="195">
        <v>-20</v>
      </c>
      <c r="H1353" s="195">
        <f>COUNTIF(HabilidadesEsenciales_Adquiridas,Tablas!E1353)</f>
        <v>0</v>
      </c>
      <c r="I1353" s="2585"/>
      <c r="J1353" s="370"/>
      <c r="K1353" s="2576"/>
      <c r="M1353" s="1847"/>
      <c r="N1353" s="96"/>
      <c r="O1353" s="411" t="s">
        <v>9459</v>
      </c>
      <c r="P1353" s="2578">
        <v>35</v>
      </c>
      <c r="Q1353" s="503">
        <v>140</v>
      </c>
      <c r="R1353" s="2585">
        <f>COUNTIF(PoderesDeCriatura_Adquiridos,Tablas!O1353)</f>
        <v>0</v>
      </c>
      <c r="S1353" s="370"/>
      <c r="T1353" s="2576"/>
      <c r="U1353" s="436"/>
      <c r="V1353" s="2634" t="s">
        <v>1599</v>
      </c>
      <c r="W1353" s="2605"/>
      <c r="X1353" s="2172" t="str">
        <f t="shared" si="146"/>
        <v/>
      </c>
      <c r="Y1353" s="2619" t="s">
        <v>8500</v>
      </c>
      <c r="Z1353" s="2625"/>
      <c r="AA1353" s="2625"/>
      <c r="AB1353" s="2625"/>
      <c r="AC1353" s="2625"/>
      <c r="AD1353" s="2625"/>
      <c r="AE1353" s="2625"/>
      <c r="AF1353" s="2625"/>
      <c r="AG1353" s="2625"/>
      <c r="AH1353" s="2625"/>
      <c r="AI1353" s="2625"/>
      <c r="AJ1353" s="2625"/>
      <c r="AK1353" s="2625"/>
      <c r="AL1353" s="2625"/>
      <c r="AM1353" s="2625"/>
      <c r="AN1353" s="2625"/>
      <c r="AO1353" s="2625"/>
      <c r="AP1353" s="2625"/>
      <c r="AQ1353" s="2625"/>
      <c r="AR1353" s="2625"/>
      <c r="AS1353" s="2625"/>
      <c r="AT1353" s="2625"/>
      <c r="AU1353" s="2625"/>
      <c r="AV1353" s="2625"/>
      <c r="AW1353" s="2625"/>
      <c r="AX1353" s="2625"/>
      <c r="AY1353" s="2625"/>
      <c r="AZ1353" s="2625"/>
      <c r="BA1353" s="2625"/>
      <c r="BB1353" s="2625"/>
      <c r="BC1353" s="2625"/>
      <c r="BD1353" s="2625"/>
      <c r="BE1353" s="2625"/>
      <c r="BF1353" s="2625"/>
      <c r="BG1353" s="2625"/>
      <c r="BH1353" s="2625"/>
      <c r="BI1353" s="2625"/>
      <c r="BJ1353" s="2625"/>
      <c r="BK1353" s="2625"/>
      <c r="BL1353" s="2625"/>
      <c r="BM1353" s="1767"/>
      <c r="BN1353" s="1767"/>
      <c r="BO1353" s="1767"/>
      <c r="BP1353" s="1767"/>
      <c r="BQ1353" s="1767"/>
      <c r="BR1353" s="1767"/>
      <c r="BS1353" s="1767"/>
      <c r="BT1353" s="1767"/>
      <c r="BU1353" s="1767"/>
      <c r="BV1353" s="1767"/>
      <c r="BW1353" s="1767"/>
      <c r="BX1353" s="1767"/>
      <c r="BY1353" s="1767"/>
      <c r="BZ1353" s="1767"/>
      <c r="CA1353" s="1768"/>
    </row>
    <row r="1354" spans="1:79" ht="12.75" customHeight="1" x14ac:dyDescent="0.2">
      <c r="A1354" s="1916">
        <v>1354</v>
      </c>
      <c r="B1354" s="5148"/>
      <c r="C1354" s="2580"/>
      <c r="D1354" s="210"/>
      <c r="E1354" s="2583" t="s">
        <v>1586</v>
      </c>
      <c r="F1354" s="195">
        <v>10</v>
      </c>
      <c r="G1354" s="195">
        <v>-10</v>
      </c>
      <c r="H1354" s="195">
        <f>COUNTIF(HabilidadesEsenciales_Adquiridas,Tablas!E1354)</f>
        <v>0</v>
      </c>
      <c r="I1354" s="2585"/>
      <c r="J1354" s="370"/>
      <c r="K1354" s="2576"/>
      <c r="M1354" s="1847"/>
      <c r="N1354" s="96"/>
      <c r="O1354" s="411" t="s">
        <v>9460</v>
      </c>
      <c r="P1354" s="2578">
        <v>10</v>
      </c>
      <c r="Q1354" s="503">
        <v>-20</v>
      </c>
      <c r="R1354" s="2585">
        <f>COUNTIF(PoderesDeCriatura_Adquiridos,Tablas!O1354)</f>
        <v>0</v>
      </c>
      <c r="S1354" s="370"/>
      <c r="T1354" s="2576"/>
      <c r="U1354" s="436"/>
      <c r="V1354" s="2634" t="s">
        <v>2862</v>
      </c>
      <c r="W1354" s="2605"/>
      <c r="X1354" s="2172" t="str">
        <f t="shared" si="146"/>
        <v/>
      </c>
      <c r="Y1354" s="2619" t="s">
        <v>8500</v>
      </c>
      <c r="Z1354" s="2625"/>
      <c r="AA1354" s="2625"/>
      <c r="AB1354" s="2625"/>
      <c r="AC1354" s="2625"/>
      <c r="AD1354" s="2625"/>
      <c r="AE1354" s="2625"/>
      <c r="AF1354" s="2625"/>
      <c r="AG1354" s="2625"/>
      <c r="AH1354" s="2625"/>
      <c r="AI1354" s="2625"/>
      <c r="AJ1354" s="2625"/>
      <c r="AK1354" s="2625"/>
      <c r="AL1354" s="2625"/>
      <c r="AM1354" s="2625"/>
      <c r="AN1354" s="2625"/>
      <c r="AO1354" s="2625"/>
      <c r="AP1354" s="2625"/>
      <c r="AQ1354" s="2625"/>
      <c r="AR1354" s="2625"/>
      <c r="AS1354" s="2625"/>
      <c r="AT1354" s="2625"/>
      <c r="AU1354" s="2625"/>
      <c r="AV1354" s="2625"/>
      <c r="AW1354" s="2625"/>
      <c r="AX1354" s="2625"/>
      <c r="AY1354" s="2625"/>
      <c r="AZ1354" s="2625"/>
      <c r="BA1354" s="2625"/>
      <c r="BB1354" s="2625"/>
      <c r="BC1354" s="2625"/>
      <c r="BD1354" s="2625"/>
      <c r="BE1354" s="2625"/>
      <c r="BF1354" s="2625"/>
      <c r="BG1354" s="2625"/>
      <c r="BH1354" s="2625"/>
      <c r="BI1354" s="2625"/>
      <c r="BJ1354" s="2625"/>
      <c r="BK1354" s="2625"/>
      <c r="BL1354" s="2625"/>
      <c r="BM1354" s="1767"/>
      <c r="BN1354" s="1767"/>
      <c r="BO1354" s="1767"/>
      <c r="BP1354" s="1767"/>
      <c r="BQ1354" s="1767"/>
      <c r="BR1354" s="1767"/>
      <c r="BS1354" s="1767"/>
      <c r="BT1354" s="1767"/>
      <c r="BU1354" s="1767"/>
      <c r="BV1354" s="1767"/>
      <c r="BW1354" s="1767"/>
      <c r="BX1354" s="1767"/>
      <c r="BY1354" s="1767"/>
      <c r="BZ1354" s="1767"/>
      <c r="CA1354" s="1768"/>
    </row>
    <row r="1355" spans="1:79" ht="12.75" customHeight="1" x14ac:dyDescent="0.2">
      <c r="A1355" s="1916">
        <v>1355</v>
      </c>
      <c r="B1355" s="5148"/>
      <c r="C1355" s="2580"/>
      <c r="D1355" s="210"/>
      <c r="E1355" s="2583" t="s">
        <v>1587</v>
      </c>
      <c r="F1355" s="195">
        <v>10</v>
      </c>
      <c r="G1355" s="195">
        <v>-20</v>
      </c>
      <c r="H1355" s="195">
        <f>COUNTIF(HabilidadesEsenciales_Adquiridas,Tablas!E1355)</f>
        <v>0</v>
      </c>
      <c r="I1355" s="2585"/>
      <c r="J1355" s="370"/>
      <c r="K1355" s="2576"/>
      <c r="M1355" s="1847"/>
      <c r="N1355" s="96"/>
      <c r="O1355" s="411" t="s">
        <v>1621</v>
      </c>
      <c r="P1355" s="2578"/>
      <c r="Q1355" s="503"/>
      <c r="R1355" s="2585"/>
      <c r="S1355" s="370"/>
      <c r="T1355" s="2576"/>
      <c r="U1355" s="436"/>
      <c r="V1355" s="2634" t="s">
        <v>2846</v>
      </c>
      <c r="W1355" s="2605"/>
      <c r="X1355" s="2172" t="str">
        <f t="shared" si="146"/>
        <v/>
      </c>
      <c r="Y1355" s="2619" t="s">
        <v>8500</v>
      </c>
      <c r="Z1355" s="2625"/>
      <c r="AA1355" s="2625"/>
      <c r="AB1355" s="2625"/>
      <c r="AC1355" s="2625"/>
      <c r="AD1355" s="2625"/>
      <c r="AE1355" s="2625"/>
      <c r="AF1355" s="2625"/>
      <c r="AG1355" s="2625"/>
      <c r="AH1355" s="2625"/>
      <c r="AI1355" s="2625"/>
      <c r="AJ1355" s="2625"/>
      <c r="AK1355" s="2625"/>
      <c r="AL1355" s="2625"/>
      <c r="AM1355" s="2625"/>
      <c r="AN1355" s="2625"/>
      <c r="AO1355" s="2625"/>
      <c r="AP1355" s="2625"/>
      <c r="AQ1355" s="2625"/>
      <c r="AR1355" s="2625"/>
      <c r="AS1355" s="2625"/>
      <c r="AT1355" s="2625"/>
      <c r="AU1355" s="2625"/>
      <c r="AV1355" s="2625"/>
      <c r="AW1355" s="2625"/>
      <c r="AX1355" s="2625"/>
      <c r="AY1355" s="2625"/>
      <c r="AZ1355" s="2625"/>
      <c r="BA1355" s="2625"/>
      <c r="BB1355" s="2625"/>
      <c r="BC1355" s="2625"/>
      <c r="BD1355" s="2625"/>
      <c r="BE1355" s="2625"/>
      <c r="BF1355" s="2625"/>
      <c r="BG1355" s="2625"/>
      <c r="BH1355" s="2625"/>
      <c r="BI1355" s="2625"/>
      <c r="BJ1355" s="2625"/>
      <c r="BK1355" s="2625"/>
      <c r="BL1355" s="2625"/>
      <c r="BM1355" s="1767"/>
      <c r="BN1355" s="1767"/>
      <c r="BO1355" s="1767"/>
      <c r="BP1355" s="1767"/>
      <c r="BQ1355" s="1767"/>
      <c r="BR1355" s="1767"/>
      <c r="BS1355" s="1767"/>
      <c r="BT1355" s="1767"/>
      <c r="BU1355" s="1767"/>
      <c r="BV1355" s="1767"/>
      <c r="BW1355" s="1767"/>
      <c r="BX1355" s="1767"/>
      <c r="BY1355" s="1767"/>
      <c r="BZ1355" s="1767"/>
      <c r="CA1355" s="1768"/>
    </row>
    <row r="1356" spans="1:79" ht="12.75" customHeight="1" x14ac:dyDescent="0.2">
      <c r="A1356" s="1916">
        <v>1356</v>
      </c>
      <c r="B1356" s="5148"/>
      <c r="C1356" s="2580"/>
      <c r="D1356" s="210"/>
      <c r="E1356" s="2583" t="s">
        <v>1588</v>
      </c>
      <c r="F1356" s="195">
        <v>0</v>
      </c>
      <c r="G1356" s="195">
        <v>-10</v>
      </c>
      <c r="H1356" s="195">
        <f>COUNTIF(HabilidadesEsenciales_Adquiridas,Tablas!E1356)</f>
        <v>0</v>
      </c>
      <c r="I1356" s="2585"/>
      <c r="J1356" s="370"/>
      <c r="K1356" s="2576"/>
      <c r="M1356" s="1847"/>
      <c r="N1356" s="96"/>
      <c r="O1356" s="411" t="s">
        <v>9461</v>
      </c>
      <c r="P1356" s="2578">
        <v>0</v>
      </c>
      <c r="Q1356" s="503">
        <v>10</v>
      </c>
      <c r="R1356" s="2585">
        <f>COUNTIF(PoderesDeCriatura_Adquiridos,Tablas!O1356)</f>
        <v>0</v>
      </c>
      <c r="S1356" s="370">
        <f t="array" ref="S1356">IF(OR(R$1362=1,R$1363=1),0,MAX({10;20;30;40;50}*$R$1356:$R$1360))</f>
        <v>0</v>
      </c>
      <c r="T1356" s="2576" t="s">
        <v>1769</v>
      </c>
      <c r="U1356" s="436"/>
      <c r="V1356" s="2634" t="s">
        <v>2741</v>
      </c>
      <c r="W1356" s="2605"/>
      <c r="X1356" s="2172" t="str">
        <f t="shared" si="146"/>
        <v/>
      </c>
      <c r="Y1356" s="2619" t="s">
        <v>8500</v>
      </c>
      <c r="Z1356" s="2625"/>
      <c r="AA1356" s="2625"/>
      <c r="AB1356" s="2625"/>
      <c r="AC1356" s="2625"/>
      <c r="AD1356" s="2625"/>
      <c r="AE1356" s="2625"/>
      <c r="AF1356" s="2625"/>
      <c r="AG1356" s="2625"/>
      <c r="AH1356" s="2625"/>
      <c r="AI1356" s="2625"/>
      <c r="AJ1356" s="2625"/>
      <c r="AK1356" s="2625"/>
      <c r="AL1356" s="2625"/>
      <c r="AM1356" s="2625"/>
      <c r="AN1356" s="2625"/>
      <c r="AO1356" s="2625"/>
      <c r="AP1356" s="2625"/>
      <c r="AQ1356" s="2625"/>
      <c r="AR1356" s="2625"/>
      <c r="AS1356" s="2625"/>
      <c r="AT1356" s="2625"/>
      <c r="AU1356" s="2625"/>
      <c r="AV1356" s="2625"/>
      <c r="AW1356" s="2625"/>
      <c r="AX1356" s="2625"/>
      <c r="AY1356" s="2625"/>
      <c r="AZ1356" s="2625"/>
      <c r="BA1356" s="2625"/>
      <c r="BB1356" s="2625"/>
      <c r="BC1356" s="2625"/>
      <c r="BD1356" s="2625"/>
      <c r="BE1356" s="2625"/>
      <c r="BF1356" s="2625"/>
      <c r="BG1356" s="2625"/>
      <c r="BH1356" s="2625"/>
      <c r="BI1356" s="2625"/>
      <c r="BJ1356" s="2625"/>
      <c r="BK1356" s="2625"/>
      <c r="BL1356" s="2625"/>
      <c r="BM1356" s="1767"/>
      <c r="BN1356" s="1767"/>
      <c r="BO1356" s="1767"/>
      <c r="BP1356" s="1767"/>
      <c r="BQ1356" s="1767"/>
      <c r="BR1356" s="1767"/>
      <c r="BS1356" s="1767"/>
      <c r="BT1356" s="1767"/>
      <c r="BU1356" s="1767"/>
      <c r="BV1356" s="1767"/>
      <c r="BW1356" s="1767"/>
      <c r="BX1356" s="1767"/>
      <c r="BY1356" s="1767"/>
      <c r="BZ1356" s="1767"/>
      <c r="CA1356" s="1768"/>
    </row>
    <row r="1357" spans="1:79" ht="12.75" customHeight="1" x14ac:dyDescent="0.2">
      <c r="A1357" s="1916">
        <v>1357</v>
      </c>
      <c r="B1357" s="5148"/>
      <c r="C1357" s="2580"/>
      <c r="D1357" s="210"/>
      <c r="E1357" s="2583" t="s">
        <v>2794</v>
      </c>
      <c r="F1357" s="195">
        <v>0</v>
      </c>
      <c r="G1357" s="195">
        <v>-20</v>
      </c>
      <c r="H1357" s="195">
        <f>COUNTIF(HabilidadesEsenciales_Adquiridas,Tablas!E1357)</f>
        <v>0</v>
      </c>
      <c r="I1357" s="2585"/>
      <c r="J1357" s="370"/>
      <c r="K1357" s="2576"/>
      <c r="M1357" s="1847"/>
      <c r="N1357" s="96"/>
      <c r="O1357" s="411" t="s">
        <v>9462</v>
      </c>
      <c r="P1357" s="2578">
        <v>0</v>
      </c>
      <c r="Q1357" s="503">
        <v>20</v>
      </c>
      <c r="R1357" s="2585">
        <f>COUNTIF(PoderesDeCriatura_Adquiridos,Tablas!O1357)</f>
        <v>0</v>
      </c>
      <c r="S1357" s="370">
        <f t="array" ref="S1357">IF(OR(R$1361=1,R$1363=1),0,MAX({10;20;30;40;50}*$R$1356:$R$1360))</f>
        <v>0</v>
      </c>
      <c r="T1357" s="2576" t="s">
        <v>1771</v>
      </c>
      <c r="U1357" s="436"/>
      <c r="V1357" s="2634" t="s">
        <v>1598</v>
      </c>
      <c r="W1357" s="2605"/>
      <c r="X1357" s="2172" t="str">
        <f t="shared" si="146"/>
        <v/>
      </c>
      <c r="Y1357" s="2619" t="s">
        <v>8500</v>
      </c>
      <c r="Z1357" s="2625"/>
      <c r="AA1357" s="2625"/>
      <c r="AB1357" s="2625"/>
      <c r="AC1357" s="2625"/>
      <c r="AD1357" s="2625"/>
      <c r="AE1357" s="2625"/>
      <c r="AF1357" s="2625"/>
      <c r="AG1357" s="2625"/>
      <c r="AH1357" s="2625"/>
      <c r="AI1357" s="2625"/>
      <c r="AJ1357" s="2625"/>
      <c r="AK1357" s="2625"/>
      <c r="AL1357" s="2625"/>
      <c r="AM1357" s="2625"/>
      <c r="AN1357" s="2625"/>
      <c r="AO1357" s="2625"/>
      <c r="AP1357" s="2625"/>
      <c r="AQ1357" s="2625"/>
      <c r="AR1357" s="2625"/>
      <c r="AS1357" s="2625"/>
      <c r="AT1357" s="2625"/>
      <c r="AU1357" s="2625"/>
      <c r="AV1357" s="2625"/>
      <c r="AW1357" s="2625"/>
      <c r="AX1357" s="2625"/>
      <c r="AY1357" s="2625"/>
      <c r="AZ1357" s="2625"/>
      <c r="BA1357" s="2625"/>
      <c r="BB1357" s="2625"/>
      <c r="BC1357" s="2625"/>
      <c r="BD1357" s="2625"/>
      <c r="BE1357" s="2625"/>
      <c r="BF1357" s="2625"/>
      <c r="BG1357" s="2625"/>
      <c r="BH1357" s="2625"/>
      <c r="BI1357" s="2625"/>
      <c r="BJ1357" s="2625"/>
      <c r="BK1357" s="2625"/>
      <c r="BL1357" s="2625"/>
      <c r="BM1357" s="1767"/>
      <c r="BN1357" s="1767"/>
      <c r="BO1357" s="1767"/>
      <c r="BP1357" s="1767"/>
      <c r="BQ1357" s="1767"/>
      <c r="BR1357" s="1767"/>
      <c r="BS1357" s="1767"/>
      <c r="BT1357" s="1767"/>
      <c r="BU1357" s="1767"/>
      <c r="BV1357" s="1767"/>
      <c r="BW1357" s="1767"/>
      <c r="BX1357" s="1767"/>
      <c r="BY1357" s="1767"/>
      <c r="BZ1357" s="1767"/>
      <c r="CA1357" s="1768"/>
    </row>
    <row r="1358" spans="1:79" ht="12.75" customHeight="1" x14ac:dyDescent="0.2">
      <c r="A1358" s="1916">
        <v>1358</v>
      </c>
      <c r="B1358" s="5148"/>
      <c r="C1358" s="2580"/>
      <c r="D1358" s="210"/>
      <c r="E1358" s="2583" t="s">
        <v>1589</v>
      </c>
      <c r="F1358" s="195">
        <v>0</v>
      </c>
      <c r="G1358" s="195">
        <v>-10</v>
      </c>
      <c r="H1358" s="195">
        <f>COUNTIF(HabilidadesEsenciales_Adquiridas,Tablas!E1358)</f>
        <v>0</v>
      </c>
      <c r="I1358" s="2585"/>
      <c r="J1358" s="370"/>
      <c r="K1358" s="2576"/>
      <c r="M1358" s="1847"/>
      <c r="N1358" s="96"/>
      <c r="O1358" s="411" t="s">
        <v>9463</v>
      </c>
      <c r="P1358" s="2578">
        <v>10</v>
      </c>
      <c r="Q1358" s="503">
        <v>30</v>
      </c>
      <c r="R1358" s="2585">
        <f>COUNTIF(PoderesDeCriatura_Adquiridos,Tablas!O1358)</f>
        <v>0</v>
      </c>
      <c r="S1358" s="370">
        <f t="array" ref="S1358">IF(OR(R$1362=1,R$1361=1),0,MAX({10;20;30;40;50}*$R$1356:$R$1360))</f>
        <v>0</v>
      </c>
      <c r="T1358" s="2576" t="s">
        <v>1773</v>
      </c>
      <c r="U1358" s="436"/>
      <c r="V1358" s="2634" t="s">
        <v>2698</v>
      </c>
      <c r="W1358" s="2605"/>
      <c r="X1358" s="2172" t="str">
        <f t="shared" si="146"/>
        <v/>
      </c>
      <c r="Y1358" s="2619" t="s">
        <v>8500</v>
      </c>
      <c r="Z1358" s="2625"/>
      <c r="AA1358" s="2625"/>
      <c r="AB1358" s="2625"/>
      <c r="AC1358" s="2625"/>
      <c r="AD1358" s="2625"/>
      <c r="AE1358" s="2625"/>
      <c r="AF1358" s="2625"/>
      <c r="AG1358" s="2625"/>
      <c r="AH1358" s="2625"/>
      <c r="AI1358" s="2625"/>
      <c r="AJ1358" s="2625"/>
      <c r="AK1358" s="2625"/>
      <c r="AL1358" s="2625"/>
      <c r="AM1358" s="2625"/>
      <c r="AN1358" s="2625"/>
      <c r="AO1358" s="2625"/>
      <c r="AP1358" s="2625"/>
      <c r="AQ1358" s="2625"/>
      <c r="AR1358" s="2625"/>
      <c r="AS1358" s="2625"/>
      <c r="AT1358" s="2625"/>
      <c r="AU1358" s="2625"/>
      <c r="AV1358" s="2625"/>
      <c r="AW1358" s="2625"/>
      <c r="AX1358" s="2625"/>
      <c r="AY1358" s="2625"/>
      <c r="AZ1358" s="2625"/>
      <c r="BA1358" s="2625"/>
      <c r="BB1358" s="2625"/>
      <c r="BC1358" s="2625"/>
      <c r="BD1358" s="2625"/>
      <c r="BE1358" s="2625"/>
      <c r="BF1358" s="2625"/>
      <c r="BG1358" s="2625"/>
      <c r="BH1358" s="2625"/>
      <c r="BI1358" s="2625"/>
      <c r="BJ1358" s="2625"/>
      <c r="BK1358" s="2625"/>
      <c r="BL1358" s="2625"/>
      <c r="BM1358" s="1767"/>
      <c r="BN1358" s="1767"/>
      <c r="BO1358" s="1767"/>
      <c r="BP1358" s="1767"/>
      <c r="BQ1358" s="1767"/>
      <c r="BR1358" s="1767"/>
      <c r="BS1358" s="1767"/>
      <c r="BT1358" s="1767"/>
      <c r="BU1358" s="1767"/>
      <c r="BV1358" s="1767"/>
      <c r="BW1358" s="1767"/>
      <c r="BX1358" s="1767"/>
      <c r="BY1358" s="1767"/>
      <c r="BZ1358" s="1767"/>
      <c r="CA1358" s="1768"/>
    </row>
    <row r="1359" spans="1:79" ht="12.75" customHeight="1" x14ac:dyDescent="0.2">
      <c r="A1359" s="1916">
        <v>1359</v>
      </c>
      <c r="B1359" s="5148"/>
      <c r="C1359" s="2580"/>
      <c r="D1359" s="210"/>
      <c r="E1359" s="2583" t="s">
        <v>1590</v>
      </c>
      <c r="F1359" s="195">
        <v>10</v>
      </c>
      <c r="G1359" s="195">
        <v>-20</v>
      </c>
      <c r="H1359" s="195">
        <f>COUNTIF(HabilidadesEsenciales_Adquiridas,Tablas!E1359)</f>
        <v>0</v>
      </c>
      <c r="I1359" s="2585"/>
      <c r="J1359" s="370"/>
      <c r="K1359" s="2576"/>
      <c r="M1359" s="1847"/>
      <c r="N1359" s="96"/>
      <c r="O1359" s="411" t="s">
        <v>9464</v>
      </c>
      <c r="P1359" s="2578">
        <v>20</v>
      </c>
      <c r="Q1359" s="503">
        <v>40</v>
      </c>
      <c r="R1359" s="2585">
        <f>COUNTIF(PoderesDeCriatura_Adquiridos,Tablas!O1359)</f>
        <v>0</v>
      </c>
      <c r="S1359" s="370"/>
      <c r="T1359" s="2576"/>
      <c r="U1359" s="436"/>
      <c r="V1359" s="2634" t="s">
        <v>2835</v>
      </c>
      <c r="W1359" s="2605"/>
      <c r="X1359" s="2172" t="str">
        <f t="shared" si="146"/>
        <v/>
      </c>
      <c r="Y1359" s="2619" t="s">
        <v>8500</v>
      </c>
      <c r="Z1359" s="2625"/>
      <c r="AA1359" s="2625"/>
      <c r="AB1359" s="2625"/>
      <c r="AC1359" s="2625"/>
      <c r="AD1359" s="2625"/>
      <c r="AE1359" s="2625"/>
      <c r="AF1359" s="2625"/>
      <c r="AG1359" s="2625"/>
      <c r="AH1359" s="2625"/>
      <c r="AI1359" s="2625"/>
      <c r="AJ1359" s="2625"/>
      <c r="AK1359" s="2625"/>
      <c r="AL1359" s="2625"/>
      <c r="AM1359" s="2625"/>
      <c r="AN1359" s="2625"/>
      <c r="AO1359" s="2625"/>
      <c r="AP1359" s="2625"/>
      <c r="AQ1359" s="2625"/>
      <c r="AR1359" s="2625"/>
      <c r="AS1359" s="2625"/>
      <c r="AT1359" s="2625"/>
      <c r="AU1359" s="2625"/>
      <c r="AV1359" s="2625"/>
      <c r="AW1359" s="2625"/>
      <c r="AX1359" s="2625"/>
      <c r="AY1359" s="2625"/>
      <c r="AZ1359" s="2625"/>
      <c r="BA1359" s="2625"/>
      <c r="BB1359" s="2625"/>
      <c r="BC1359" s="2625"/>
      <c r="BD1359" s="2625"/>
      <c r="BE1359" s="2625"/>
      <c r="BF1359" s="2625"/>
      <c r="BG1359" s="2625"/>
      <c r="BH1359" s="2625"/>
      <c r="BI1359" s="2625"/>
      <c r="BJ1359" s="2625"/>
      <c r="BK1359" s="2625"/>
      <c r="BL1359" s="2625"/>
      <c r="BM1359" s="1767"/>
      <c r="BN1359" s="1767"/>
      <c r="BO1359" s="1767"/>
      <c r="BP1359" s="1767"/>
      <c r="BQ1359" s="1767"/>
      <c r="BR1359" s="1767"/>
      <c r="BS1359" s="1767"/>
      <c r="BT1359" s="1767"/>
      <c r="BU1359" s="1767"/>
      <c r="BV1359" s="1767"/>
      <c r="BW1359" s="1767"/>
      <c r="BX1359" s="1767"/>
      <c r="BY1359" s="1767"/>
      <c r="BZ1359" s="1767"/>
      <c r="CA1359" s="1768"/>
    </row>
    <row r="1360" spans="1:79" ht="12.75" customHeight="1" x14ac:dyDescent="0.2">
      <c r="A1360" s="1916">
        <v>1360</v>
      </c>
      <c r="B1360" s="5148"/>
      <c r="C1360" s="2580"/>
      <c r="D1360" s="210"/>
      <c r="E1360" s="2583" t="s">
        <v>8954</v>
      </c>
      <c r="F1360" s="195">
        <v>20</v>
      </c>
      <c r="G1360" s="195">
        <v>-10</v>
      </c>
      <c r="H1360" s="195">
        <f>COUNTIF(HabilidadesEsenciales_Adquiridas,Tablas!E1360)</f>
        <v>0</v>
      </c>
      <c r="I1360" s="2585"/>
      <c r="J1360" s="370"/>
      <c r="K1360" s="2576"/>
      <c r="M1360" s="1847"/>
      <c r="N1360" s="96"/>
      <c r="O1360" s="411" t="s">
        <v>9465</v>
      </c>
      <c r="P1360" s="2578">
        <v>30</v>
      </c>
      <c r="Q1360" s="503">
        <v>50</v>
      </c>
      <c r="R1360" s="2585">
        <f>COUNTIF(PoderesDeCriatura_Adquiridos,Tablas!O1360)</f>
        <v>0</v>
      </c>
      <c r="S1360" s="370"/>
      <c r="T1360" s="2576"/>
      <c r="U1360" s="436"/>
      <c r="V1360" s="2634" t="s">
        <v>1601</v>
      </c>
      <c r="W1360" s="2605"/>
      <c r="X1360" s="2172" t="str">
        <f t="shared" si="146"/>
        <v/>
      </c>
      <c r="Y1360" s="2619" t="s">
        <v>8500</v>
      </c>
      <c r="Z1360" s="2625"/>
      <c r="AA1360" s="2625"/>
      <c r="AB1360" s="2625"/>
      <c r="AC1360" s="2625"/>
      <c r="AD1360" s="2625"/>
      <c r="AE1360" s="2625"/>
      <c r="AF1360" s="2625"/>
      <c r="AG1360" s="2625"/>
      <c r="AH1360" s="2625"/>
      <c r="AI1360" s="2625"/>
      <c r="AJ1360" s="2625"/>
      <c r="AK1360" s="2625"/>
      <c r="AL1360" s="2625"/>
      <c r="AM1360" s="2625"/>
      <c r="AN1360" s="2625"/>
      <c r="AO1360" s="2625"/>
      <c r="AP1360" s="2625"/>
      <c r="AQ1360" s="2625"/>
      <c r="AR1360" s="2625"/>
      <c r="AS1360" s="2625"/>
      <c r="AT1360" s="2625"/>
      <c r="AU1360" s="2625"/>
      <c r="AV1360" s="2625"/>
      <c r="AW1360" s="2625"/>
      <c r="AX1360" s="2625"/>
      <c r="AY1360" s="2625"/>
      <c r="AZ1360" s="2625"/>
      <c r="BA1360" s="2625"/>
      <c r="BB1360" s="2625"/>
      <c r="BC1360" s="2625"/>
      <c r="BD1360" s="2625"/>
      <c r="BE1360" s="2625"/>
      <c r="BF1360" s="2625"/>
      <c r="BG1360" s="2625"/>
      <c r="BH1360" s="2625"/>
      <c r="BI1360" s="2625"/>
      <c r="BJ1360" s="2625"/>
      <c r="BK1360" s="2625"/>
      <c r="BL1360" s="2625"/>
      <c r="BM1360" s="1767"/>
      <c r="BN1360" s="1767"/>
      <c r="BO1360" s="1767"/>
      <c r="BP1360" s="1767"/>
      <c r="BQ1360" s="1767"/>
      <c r="BR1360" s="1767"/>
      <c r="BS1360" s="1767"/>
      <c r="BT1360" s="1767"/>
      <c r="BU1360" s="1767"/>
      <c r="BV1360" s="1767"/>
      <c r="BW1360" s="1767"/>
      <c r="BX1360" s="1767"/>
      <c r="BY1360" s="1767"/>
      <c r="BZ1360" s="1767"/>
      <c r="CA1360" s="1768"/>
    </row>
    <row r="1361" spans="1:79" ht="12.75" customHeight="1" x14ac:dyDescent="0.2">
      <c r="A1361" s="1916">
        <v>1361</v>
      </c>
      <c r="B1361" s="5148"/>
      <c r="C1361" s="2580"/>
      <c r="D1361" s="67"/>
      <c r="E1361" s="2583" t="s">
        <v>8955</v>
      </c>
      <c r="F1361" s="195">
        <v>20</v>
      </c>
      <c r="G1361" s="195">
        <v>-20</v>
      </c>
      <c r="H1361" s="195">
        <f>COUNTIF(HabilidadesEsenciales_Adquiridas,Tablas!E1361)</f>
        <v>0</v>
      </c>
      <c r="I1361" s="2585"/>
      <c r="J1361" s="370"/>
      <c r="K1361" s="2576"/>
      <c r="M1361" s="1847"/>
      <c r="N1361" s="96"/>
      <c r="O1361" s="411" t="s">
        <v>9466</v>
      </c>
      <c r="P1361" s="2578">
        <v>10</v>
      </c>
      <c r="Q1361" s="503">
        <v>-20</v>
      </c>
      <c r="R1361" s="2585">
        <f>COUNTIF(PoderesDeCriatura_Adquiridos,Tablas!O1361)</f>
        <v>0</v>
      </c>
      <c r="S1361" s="370"/>
      <c r="T1361" s="2576"/>
      <c r="U1361" s="436"/>
      <c r="V1361" s="2634" t="s">
        <v>1602</v>
      </c>
      <c r="W1361" s="2605"/>
      <c r="X1361" s="2172" t="str">
        <f t="shared" si="146"/>
        <v/>
      </c>
      <c r="Y1361" s="2619" t="s">
        <v>8500</v>
      </c>
      <c r="Z1361" s="2625"/>
      <c r="AA1361" s="2625"/>
      <c r="AB1361" s="2625"/>
      <c r="AC1361" s="2625"/>
      <c r="AD1361" s="2625"/>
      <c r="AE1361" s="2625"/>
      <c r="AF1361" s="2625"/>
      <c r="AG1361" s="2625"/>
      <c r="AH1361" s="2625"/>
      <c r="AI1361" s="2625"/>
      <c r="AJ1361" s="2625"/>
      <c r="AK1361" s="2625"/>
      <c r="AL1361" s="2625"/>
      <c r="AM1361" s="2625"/>
      <c r="AN1361" s="2625"/>
      <c r="AO1361" s="2625"/>
      <c r="AP1361" s="2625"/>
      <c r="AQ1361" s="2625"/>
      <c r="AR1361" s="2625"/>
      <c r="AS1361" s="2625"/>
      <c r="AT1361" s="2625"/>
      <c r="AU1361" s="2625"/>
      <c r="AV1361" s="2625"/>
      <c r="AW1361" s="2625"/>
      <c r="AX1361" s="2625"/>
      <c r="AY1361" s="2625"/>
      <c r="AZ1361" s="2625"/>
      <c r="BA1361" s="2625"/>
      <c r="BB1361" s="2625"/>
      <c r="BC1361" s="2625"/>
      <c r="BD1361" s="2625"/>
      <c r="BE1361" s="2625"/>
      <c r="BF1361" s="2625"/>
      <c r="BG1361" s="2625"/>
      <c r="BH1361" s="2625"/>
      <c r="BI1361" s="2625"/>
      <c r="BJ1361" s="2625"/>
      <c r="BK1361" s="2625"/>
      <c r="BL1361" s="2625"/>
      <c r="BM1361" s="1767"/>
      <c r="BN1361" s="1767"/>
      <c r="BO1361" s="1767"/>
      <c r="BP1361" s="1767"/>
      <c r="BQ1361" s="1767"/>
      <c r="BR1361" s="1767"/>
      <c r="BS1361" s="1767"/>
      <c r="BT1361" s="1767"/>
      <c r="BU1361" s="1767"/>
      <c r="BV1361" s="1767"/>
      <c r="BW1361" s="1767"/>
      <c r="BX1361" s="1767"/>
      <c r="BY1361" s="1767"/>
      <c r="BZ1361" s="1767"/>
      <c r="CA1361" s="1768"/>
    </row>
    <row r="1362" spans="1:79" ht="12.75" customHeight="1" x14ac:dyDescent="0.2">
      <c r="A1362" s="1916">
        <v>1362</v>
      </c>
      <c r="B1362" s="5148"/>
      <c r="C1362" s="2580"/>
      <c r="D1362" s="210"/>
      <c r="E1362" s="2583" t="s">
        <v>1591</v>
      </c>
      <c r="F1362" s="195">
        <v>10</v>
      </c>
      <c r="G1362" s="195">
        <v>-20</v>
      </c>
      <c r="H1362" s="195">
        <f>COUNTIF(HabilidadesEsenciales_Adquiridas,Tablas!E1362)</f>
        <v>0</v>
      </c>
      <c r="I1362" s="2585"/>
      <c r="J1362" s="370"/>
      <c r="K1362" s="2576"/>
      <c r="M1362" s="1847"/>
      <c r="N1362" s="96"/>
      <c r="O1362" s="411" t="s">
        <v>9467</v>
      </c>
      <c r="P1362" s="2578">
        <v>10</v>
      </c>
      <c r="Q1362" s="503">
        <v>-20</v>
      </c>
      <c r="R1362" s="2585">
        <f>COUNTIF(PoderesDeCriatura_Adquiridos,Tablas!O1362)</f>
        <v>0</v>
      </c>
      <c r="S1362" s="370"/>
      <c r="T1362" s="2576"/>
      <c r="U1362" s="436"/>
      <c r="V1362" s="2634" t="s">
        <v>1603</v>
      </c>
      <c r="W1362" s="2605"/>
      <c r="X1362" s="2172" t="str">
        <f t="shared" si="146"/>
        <v/>
      </c>
      <c r="Y1362" s="2619" t="s">
        <v>8500</v>
      </c>
      <c r="Z1362" s="2625"/>
      <c r="AA1362" s="2625"/>
      <c r="AB1362" s="2625"/>
      <c r="AC1362" s="2625"/>
      <c r="AD1362" s="2625"/>
      <c r="AE1362" s="2625"/>
      <c r="AF1362" s="2625"/>
      <c r="AG1362" s="2625"/>
      <c r="AH1362" s="2625"/>
      <c r="AI1362" s="2625"/>
      <c r="AJ1362" s="2625"/>
      <c r="AK1362" s="2625"/>
      <c r="AL1362" s="2625"/>
      <c r="AM1362" s="2625"/>
      <c r="AN1362" s="2625"/>
      <c r="AO1362" s="2625"/>
      <c r="AP1362" s="2625"/>
      <c r="AQ1362" s="2625"/>
      <c r="AR1362" s="2625"/>
      <c r="AS1362" s="2625"/>
      <c r="AT1362" s="2625"/>
      <c r="AU1362" s="2625"/>
      <c r="AV1362" s="2625"/>
      <c r="AW1362" s="2625"/>
      <c r="AX1362" s="2625"/>
      <c r="AY1362" s="2625"/>
      <c r="AZ1362" s="2625"/>
      <c r="BA1362" s="2625"/>
      <c r="BB1362" s="2625"/>
      <c r="BC1362" s="2625"/>
      <c r="BD1362" s="2625"/>
      <c r="BE1362" s="2625"/>
      <c r="BF1362" s="2625"/>
      <c r="BG1362" s="2625"/>
      <c r="BH1362" s="2625"/>
      <c r="BI1362" s="2625"/>
      <c r="BJ1362" s="2625"/>
      <c r="BK1362" s="2625"/>
      <c r="BL1362" s="2625"/>
      <c r="BM1362" s="1767"/>
      <c r="BN1362" s="1767"/>
      <c r="BO1362" s="1767"/>
      <c r="BP1362" s="1767"/>
      <c r="BQ1362" s="1767"/>
      <c r="BR1362" s="1767"/>
      <c r="BS1362" s="1767"/>
      <c r="BT1362" s="1767"/>
      <c r="BU1362" s="1767"/>
      <c r="BV1362" s="1767"/>
      <c r="BW1362" s="1767"/>
      <c r="BX1362" s="1767"/>
      <c r="BY1362" s="1767"/>
      <c r="BZ1362" s="1767"/>
      <c r="CA1362" s="1768"/>
    </row>
    <row r="1363" spans="1:79" ht="12.75" customHeight="1" x14ac:dyDescent="0.2">
      <c r="A1363" s="1916">
        <v>1363</v>
      </c>
      <c r="B1363" s="5148"/>
      <c r="C1363" s="2580"/>
      <c r="D1363" s="210"/>
      <c r="E1363" s="2583" t="s">
        <v>1592</v>
      </c>
      <c r="F1363" s="195">
        <v>0</v>
      </c>
      <c r="G1363" s="195">
        <v>0</v>
      </c>
      <c r="H1363" s="195"/>
      <c r="I1363" s="2585"/>
      <c r="J1363" s="370"/>
      <c r="K1363" s="2576"/>
      <c r="M1363" s="1847"/>
      <c r="N1363" s="96"/>
      <c r="O1363" s="411" t="s">
        <v>9468</v>
      </c>
      <c r="P1363" s="2578">
        <v>10</v>
      </c>
      <c r="Q1363" s="503">
        <v>-20</v>
      </c>
      <c r="R1363" s="2585">
        <f>COUNTIF(PoderesDeCriatura_Adquiridos,Tablas!O1363)</f>
        <v>0</v>
      </c>
      <c r="S1363" s="370"/>
      <c r="T1363" s="2576"/>
      <c r="U1363" s="436"/>
      <c r="V1363" s="2634" t="s">
        <v>1604</v>
      </c>
      <c r="W1363" s="2605"/>
      <c r="X1363" s="2172"/>
      <c r="Y1363" s="2619" t="s">
        <v>8500</v>
      </c>
      <c r="Z1363" s="2625"/>
      <c r="AA1363" s="2625"/>
      <c r="AB1363" s="2625"/>
      <c r="AC1363" s="2625"/>
      <c r="AD1363" s="2625"/>
      <c r="AE1363" s="2625"/>
      <c r="AF1363" s="2625"/>
      <c r="AG1363" s="2625"/>
      <c r="AH1363" s="2625"/>
      <c r="AI1363" s="2625"/>
      <c r="AJ1363" s="2625"/>
      <c r="AK1363" s="2625"/>
      <c r="AL1363" s="2625"/>
      <c r="AM1363" s="2625"/>
      <c r="AN1363" s="2625"/>
      <c r="AO1363" s="2625"/>
      <c r="AP1363" s="2625"/>
      <c r="AQ1363" s="2625"/>
      <c r="AR1363" s="2625"/>
      <c r="AS1363" s="2625"/>
      <c r="AT1363" s="2625"/>
      <c r="AU1363" s="2625"/>
      <c r="AV1363" s="2625"/>
      <c r="AW1363" s="2625"/>
      <c r="AX1363" s="2625"/>
      <c r="AY1363" s="2625"/>
      <c r="AZ1363" s="2625"/>
      <c r="BA1363" s="2625"/>
      <c r="BB1363" s="2625"/>
      <c r="BC1363" s="2625"/>
      <c r="BD1363" s="2625"/>
      <c r="BE1363" s="2625"/>
      <c r="BF1363" s="2625"/>
      <c r="BG1363" s="2625"/>
      <c r="BH1363" s="2625"/>
      <c r="BI1363" s="2625"/>
      <c r="BJ1363" s="2625"/>
      <c r="BK1363" s="2625"/>
      <c r="BL1363" s="2625"/>
      <c r="BM1363" s="1767"/>
      <c r="BN1363" s="1767"/>
      <c r="BO1363" s="1767"/>
      <c r="BP1363" s="1767"/>
      <c r="BQ1363" s="1767"/>
      <c r="BR1363" s="1767"/>
      <c r="BS1363" s="1767"/>
      <c r="BT1363" s="1767"/>
      <c r="BU1363" s="1767"/>
      <c r="BV1363" s="1767"/>
      <c r="BW1363" s="1767"/>
      <c r="BX1363" s="1767"/>
      <c r="BY1363" s="1767"/>
      <c r="BZ1363" s="1767"/>
      <c r="CA1363" s="1768"/>
    </row>
    <row r="1364" spans="1:79" ht="12.75" customHeight="1" x14ac:dyDescent="0.2">
      <c r="A1364" s="1916">
        <v>1364</v>
      </c>
      <c r="B1364" s="5148"/>
      <c r="C1364" s="2580"/>
      <c r="D1364" s="210"/>
      <c r="E1364" s="2583" t="s">
        <v>2805</v>
      </c>
      <c r="F1364" s="195">
        <v>5</v>
      </c>
      <c r="G1364" s="195">
        <v>-10</v>
      </c>
      <c r="H1364" s="195">
        <f>COUNTIF(HabilidadesEsenciales_Adquiridas,Tablas!E1364)</f>
        <v>0</v>
      </c>
      <c r="I1364" s="2585"/>
      <c r="J1364" s="370"/>
      <c r="K1364" s="2576"/>
      <c r="M1364" s="1847"/>
      <c r="N1364" s="96"/>
      <c r="O1364" s="411" t="s">
        <v>9469</v>
      </c>
      <c r="P1364" s="2578">
        <v>10</v>
      </c>
      <c r="Q1364" s="503">
        <v>10</v>
      </c>
      <c r="R1364" s="2585">
        <f>COUNTIF(PoderesDeCriatura_Adquiridos,Tablas!O1364)</f>
        <v>0</v>
      </c>
      <c r="S1364" s="370">
        <f t="array" ref="S1364">MAX(R1364:R1373*{10;20;30;40;50;-10;-20;-30;-40;-50})</f>
        <v>0</v>
      </c>
      <c r="T1364" s="2576" t="s">
        <v>1777</v>
      </c>
      <c r="U1364" s="436"/>
      <c r="V1364" s="2634" t="str">
        <f>$E1390</f>
        <v>Habilidad #1</v>
      </c>
      <c r="W1364" s="2605"/>
      <c r="X1364" s="2172"/>
      <c r="Y1364" s="2625"/>
      <c r="Z1364" s="2625"/>
      <c r="AA1364" s="2625"/>
      <c r="AB1364" s="2625"/>
      <c r="AC1364" s="2625"/>
      <c r="AD1364" s="2625"/>
      <c r="AE1364" s="2625"/>
      <c r="AF1364" s="2625"/>
      <c r="AG1364" s="2625"/>
      <c r="AH1364" s="2625"/>
      <c r="AI1364" s="2625"/>
      <c r="AJ1364" s="2625"/>
      <c r="AK1364" s="2625"/>
      <c r="AL1364" s="2625"/>
      <c r="AM1364" s="2625"/>
      <c r="AN1364" s="2625"/>
      <c r="AO1364" s="2625"/>
      <c r="AP1364" s="2625"/>
      <c r="AQ1364" s="2625"/>
      <c r="AR1364" s="2625"/>
      <c r="AS1364" s="2625"/>
      <c r="AT1364" s="2625"/>
      <c r="AU1364" s="2625"/>
      <c r="AV1364" s="2625"/>
      <c r="AW1364" s="2625"/>
      <c r="AX1364" s="2625"/>
      <c r="AY1364" s="2625"/>
      <c r="AZ1364" s="2625"/>
      <c r="BA1364" s="2625"/>
      <c r="BB1364" s="2625"/>
      <c r="BC1364" s="2625"/>
      <c r="BD1364" s="2625"/>
      <c r="BE1364" s="2625"/>
      <c r="BF1364" s="2625"/>
      <c r="BG1364" s="2625"/>
      <c r="BH1364" s="2625"/>
      <c r="BI1364" s="2625"/>
      <c r="BJ1364" s="2625"/>
      <c r="BK1364" s="2625"/>
      <c r="BL1364" s="2625"/>
      <c r="BM1364" s="1767"/>
      <c r="BN1364" s="1767"/>
      <c r="BO1364" s="1767"/>
      <c r="BP1364" s="1767"/>
      <c r="BQ1364" s="1767"/>
      <c r="BR1364" s="1767"/>
      <c r="BS1364" s="1767"/>
      <c r="BT1364" s="1767"/>
      <c r="BU1364" s="1767"/>
      <c r="BV1364" s="1767"/>
      <c r="BW1364" s="1767"/>
      <c r="BX1364" s="1767"/>
      <c r="BY1364" s="1767"/>
      <c r="BZ1364" s="1767"/>
      <c r="CA1364" s="1768"/>
    </row>
    <row r="1365" spans="1:79" ht="12.75" customHeight="1" x14ac:dyDescent="0.2">
      <c r="A1365" s="1916">
        <v>1365</v>
      </c>
      <c r="B1365" s="5148"/>
      <c r="C1365" s="2580"/>
      <c r="D1365" s="210"/>
      <c r="E1365" s="2583" t="s">
        <v>2806</v>
      </c>
      <c r="F1365" s="195">
        <v>5</v>
      </c>
      <c r="G1365" s="195">
        <v>-10</v>
      </c>
      <c r="H1365" s="195">
        <f>COUNTIF(HabilidadesEsenciales_Adquiridas,Tablas!E1365)</f>
        <v>0</v>
      </c>
      <c r="I1365" s="2585"/>
      <c r="J1365" s="370"/>
      <c r="K1365" s="2576"/>
      <c r="M1365" s="1847"/>
      <c r="N1365" s="96"/>
      <c r="O1365" s="411" t="s">
        <v>9470</v>
      </c>
      <c r="P1365" s="2578">
        <v>15</v>
      </c>
      <c r="Q1365" s="503">
        <v>20</v>
      </c>
      <c r="R1365" s="2585">
        <f>COUNTIF(PoderesDeCriatura_Adquiridos,Tablas!O1365)</f>
        <v>0</v>
      </c>
      <c r="S1365" s="370"/>
      <c r="T1365" s="2576"/>
      <c r="U1365" s="436"/>
      <c r="V1365" s="2634" t="str">
        <f>$E$1391</f>
        <v>Habilidad #1</v>
      </c>
      <c r="W1365" s="2605"/>
      <c r="X1365" s="2172"/>
      <c r="Y1365" s="2625"/>
      <c r="Z1365" s="2625"/>
      <c r="AA1365" s="2625"/>
      <c r="AB1365" s="2625"/>
      <c r="AC1365" s="2625"/>
      <c r="AD1365" s="2625"/>
      <c r="AE1365" s="2625"/>
      <c r="AF1365" s="2625"/>
      <c r="AG1365" s="2625"/>
      <c r="AH1365" s="2625"/>
      <c r="AI1365" s="2625"/>
      <c r="AJ1365" s="2625"/>
      <c r="AK1365" s="2625"/>
      <c r="AL1365" s="2625"/>
      <c r="AM1365" s="2625"/>
      <c r="AN1365" s="2625"/>
      <c r="AO1365" s="2625"/>
      <c r="AP1365" s="2625"/>
      <c r="AQ1365" s="2625"/>
      <c r="AR1365" s="2625"/>
      <c r="AS1365" s="2625"/>
      <c r="AT1365" s="2625"/>
      <c r="AU1365" s="2625"/>
      <c r="AV1365" s="2625"/>
      <c r="AW1365" s="2625"/>
      <c r="AX1365" s="2625"/>
      <c r="AY1365" s="2625"/>
      <c r="AZ1365" s="2625"/>
      <c r="BA1365" s="2625"/>
      <c r="BB1365" s="2625"/>
      <c r="BC1365" s="2625"/>
      <c r="BD1365" s="2625"/>
      <c r="BE1365" s="2625"/>
      <c r="BF1365" s="2625"/>
      <c r="BG1365" s="2625"/>
      <c r="BH1365" s="2625"/>
      <c r="BI1365" s="2625"/>
      <c r="BJ1365" s="2625"/>
      <c r="BK1365" s="2625"/>
      <c r="BL1365" s="2625"/>
      <c r="BM1365" s="1767"/>
      <c r="BN1365" s="1767"/>
      <c r="BO1365" s="1767"/>
      <c r="BP1365" s="1767"/>
      <c r="BQ1365" s="1767"/>
      <c r="BR1365" s="1767"/>
      <c r="BS1365" s="1767"/>
      <c r="BT1365" s="1767"/>
      <c r="BU1365" s="1767"/>
      <c r="BV1365" s="1767"/>
      <c r="BW1365" s="1767"/>
      <c r="BX1365" s="1767"/>
      <c r="BY1365" s="1767"/>
      <c r="BZ1365" s="1767"/>
      <c r="CA1365" s="1768"/>
    </row>
    <row r="1366" spans="1:79" ht="12.75" customHeight="1" x14ac:dyDescent="0.2">
      <c r="A1366" s="1916">
        <v>1366</v>
      </c>
      <c r="B1366" s="5148"/>
      <c r="C1366" s="2580"/>
      <c r="D1366" s="210"/>
      <c r="E1366" s="2583" t="s">
        <v>1593</v>
      </c>
      <c r="F1366" s="195">
        <v>5</v>
      </c>
      <c r="G1366" s="195">
        <v>-10</v>
      </c>
      <c r="H1366" s="195">
        <f>COUNTIF(HabilidadesEsenciales_Adquiridas,Tablas!E1366)</f>
        <v>0</v>
      </c>
      <c r="I1366" s="2585">
        <v>1</v>
      </c>
      <c r="J1366" s="370"/>
      <c r="K1366" s="2576"/>
      <c r="M1366" s="1847"/>
      <c r="N1366" s="96"/>
      <c r="O1366" s="411" t="s">
        <v>9471</v>
      </c>
      <c r="P1366" s="2578">
        <v>20</v>
      </c>
      <c r="Q1366" s="503">
        <v>30</v>
      </c>
      <c r="R1366" s="2585">
        <f>COUNTIF(PoderesDeCriatura_Adquiridos,Tablas!O1366)</f>
        <v>0</v>
      </c>
      <c r="S1366" s="370"/>
      <c r="T1366" s="2576"/>
      <c r="U1366" s="436"/>
      <c r="V1366" s="2634" t="str">
        <f>$E$1392</f>
        <v>Habilidad #1</v>
      </c>
      <c r="W1366" s="2605"/>
      <c r="X1366" s="2172"/>
      <c r="Y1366" s="2625"/>
      <c r="Z1366" s="2625"/>
      <c r="AA1366" s="2625"/>
      <c r="AB1366" s="2625"/>
      <c r="AC1366" s="2625"/>
      <c r="AD1366" s="2625"/>
      <c r="AE1366" s="2625"/>
      <c r="AF1366" s="2625"/>
      <c r="AG1366" s="2625"/>
      <c r="AH1366" s="2625"/>
      <c r="AI1366" s="2625"/>
      <c r="AJ1366" s="2625"/>
      <c r="AK1366" s="2625"/>
      <c r="AL1366" s="2625"/>
      <c r="AM1366" s="2625"/>
      <c r="AN1366" s="2625"/>
      <c r="AO1366" s="2625"/>
      <c r="AP1366" s="2625"/>
      <c r="AQ1366" s="2625"/>
      <c r="AR1366" s="2625"/>
      <c r="AS1366" s="2625"/>
      <c r="AT1366" s="2625"/>
      <c r="AU1366" s="2625"/>
      <c r="AV1366" s="2625"/>
      <c r="AW1366" s="2625"/>
      <c r="AX1366" s="2625"/>
      <c r="AY1366" s="2625"/>
      <c r="AZ1366" s="2625"/>
      <c r="BA1366" s="2625"/>
      <c r="BB1366" s="2625"/>
      <c r="BC1366" s="2625"/>
      <c r="BD1366" s="2625"/>
      <c r="BE1366" s="2625"/>
      <c r="BF1366" s="2625"/>
      <c r="BG1366" s="2625"/>
      <c r="BH1366" s="2625"/>
      <c r="BI1366" s="2625"/>
      <c r="BJ1366" s="2625"/>
      <c r="BK1366" s="2625"/>
      <c r="BL1366" s="2625"/>
      <c r="BM1366" s="1767"/>
      <c r="BN1366" s="1767"/>
      <c r="BO1366" s="1767"/>
      <c r="BP1366" s="1767"/>
      <c r="BQ1366" s="1767"/>
      <c r="BR1366" s="1767"/>
      <c r="BS1366" s="1767"/>
      <c r="BT1366" s="1767"/>
      <c r="BU1366" s="1767"/>
      <c r="BV1366" s="1767"/>
      <c r="BW1366" s="1767"/>
      <c r="BX1366" s="1767"/>
      <c r="BY1366" s="1767"/>
      <c r="BZ1366" s="1767"/>
      <c r="CA1366" s="1768"/>
    </row>
    <row r="1367" spans="1:79" ht="12.75" customHeight="1" x14ac:dyDescent="0.2">
      <c r="A1367" s="1916">
        <v>1367</v>
      </c>
      <c r="B1367" s="5148"/>
      <c r="C1367" s="2580"/>
      <c r="D1367" s="210"/>
      <c r="E1367" s="2583" t="s">
        <v>2810</v>
      </c>
      <c r="F1367" s="195">
        <v>5</v>
      </c>
      <c r="G1367" s="195">
        <v>-30</v>
      </c>
      <c r="H1367" s="195">
        <f>COUNTIF(HabilidadesEsenciales_Adquiridas,Tablas!E1367)</f>
        <v>0</v>
      </c>
      <c r="I1367" s="2585">
        <v>1</v>
      </c>
      <c r="J1367" s="370"/>
      <c r="K1367" s="2576"/>
      <c r="M1367" s="1847"/>
      <c r="N1367" s="96"/>
      <c r="O1367" s="411" t="s">
        <v>9472</v>
      </c>
      <c r="P1367" s="2578">
        <v>25</v>
      </c>
      <c r="Q1367" s="503">
        <v>40</v>
      </c>
      <c r="R1367" s="2585">
        <f>COUNTIF(PoderesDeCriatura_Adquiridos,Tablas!O1367)</f>
        <v>0</v>
      </c>
      <c r="S1367" s="370"/>
      <c r="T1367" s="2576"/>
      <c r="U1367" s="436"/>
      <c r="V1367" s="2634" t="str">
        <f>$E$1393</f>
        <v>Habilidad #1</v>
      </c>
      <c r="W1367" s="2605"/>
      <c r="X1367" s="2172"/>
      <c r="Y1367" s="2625"/>
      <c r="Z1367" s="2625"/>
      <c r="AA1367" s="2625"/>
      <c r="AB1367" s="2625"/>
      <c r="AC1367" s="2625"/>
      <c r="AD1367" s="2625"/>
      <c r="AE1367" s="2625"/>
      <c r="AF1367" s="2625"/>
      <c r="AG1367" s="2625"/>
      <c r="AH1367" s="2625"/>
      <c r="AI1367" s="2625"/>
      <c r="AJ1367" s="2625"/>
      <c r="AK1367" s="2625"/>
      <c r="AL1367" s="2625"/>
      <c r="AM1367" s="2625"/>
      <c r="AN1367" s="2625"/>
      <c r="AO1367" s="2625"/>
      <c r="AP1367" s="2625"/>
      <c r="AQ1367" s="2625"/>
      <c r="AR1367" s="2625"/>
      <c r="AS1367" s="2625"/>
      <c r="AT1367" s="2625"/>
      <c r="AU1367" s="2625"/>
      <c r="AV1367" s="2625"/>
      <c r="AW1367" s="2625"/>
      <c r="AX1367" s="2625"/>
      <c r="AY1367" s="2625"/>
      <c r="AZ1367" s="2625"/>
      <c r="BA1367" s="2625"/>
      <c r="BB1367" s="2625"/>
      <c r="BC1367" s="2625"/>
      <c r="BD1367" s="2625"/>
      <c r="BE1367" s="2625"/>
      <c r="BF1367" s="2625"/>
      <c r="BG1367" s="2625"/>
      <c r="BH1367" s="2625"/>
      <c r="BI1367" s="2625"/>
      <c r="BJ1367" s="2625"/>
      <c r="BK1367" s="2625"/>
      <c r="BL1367" s="2625"/>
      <c r="BM1367" s="1767"/>
      <c r="BN1367" s="1767"/>
      <c r="BO1367" s="1767"/>
      <c r="BP1367" s="1767"/>
      <c r="BQ1367" s="1767"/>
      <c r="BR1367" s="1767"/>
      <c r="BS1367" s="1767"/>
      <c r="BT1367" s="1767"/>
      <c r="BU1367" s="1767"/>
      <c r="BV1367" s="1767"/>
      <c r="BW1367" s="1767"/>
      <c r="BX1367" s="1767"/>
      <c r="BY1367" s="1767"/>
      <c r="BZ1367" s="1767"/>
      <c r="CA1367" s="1768"/>
    </row>
    <row r="1368" spans="1:79" ht="12.75" customHeight="1" x14ac:dyDescent="0.2">
      <c r="A1368" s="1916">
        <v>1368</v>
      </c>
      <c r="B1368" s="5148"/>
      <c r="C1368" s="2580"/>
      <c r="D1368" s="210"/>
      <c r="E1368" s="2583" t="s">
        <v>2807</v>
      </c>
      <c r="F1368" s="195">
        <v>5</v>
      </c>
      <c r="G1368" s="195">
        <v>-10</v>
      </c>
      <c r="H1368" s="195">
        <f>COUNTIF(HabilidadesEsenciales_Adquiridas,Tablas!E1368)</f>
        <v>0</v>
      </c>
      <c r="I1368" s="2585"/>
      <c r="J1368" s="370"/>
      <c r="K1368" s="2576"/>
      <c r="M1368" s="1847"/>
      <c r="N1368" s="96"/>
      <c r="O1368" s="411" t="s">
        <v>9473</v>
      </c>
      <c r="P1368" s="2578">
        <v>35</v>
      </c>
      <c r="Q1368" s="503">
        <v>50</v>
      </c>
      <c r="R1368" s="2585">
        <f>COUNTIF(PoderesDeCriatura_Adquiridos,Tablas!O1368)</f>
        <v>0</v>
      </c>
      <c r="S1368" s="370"/>
      <c r="T1368" s="2576"/>
      <c r="V1368" s="2634" t="str">
        <f>$E$1394</f>
        <v>Habilidad #1</v>
      </c>
      <c r="W1368" s="2605"/>
      <c r="X1368" s="2172"/>
      <c r="Y1368" s="2625"/>
      <c r="Z1368" s="2625"/>
      <c r="AA1368" s="2625"/>
      <c r="AB1368" s="2625"/>
      <c r="AC1368" s="2625"/>
      <c r="AD1368" s="2625"/>
      <c r="AE1368" s="2625"/>
      <c r="AF1368" s="2625"/>
      <c r="AG1368" s="2625"/>
      <c r="AH1368" s="2625"/>
      <c r="AI1368" s="2625"/>
      <c r="AJ1368" s="2625"/>
      <c r="AK1368" s="2625"/>
      <c r="AL1368" s="2625"/>
      <c r="AM1368" s="2625"/>
      <c r="AN1368" s="2625"/>
      <c r="AO1368" s="2625"/>
      <c r="AP1368" s="2625"/>
      <c r="AQ1368" s="2625"/>
      <c r="AR1368" s="2625"/>
      <c r="AS1368" s="2625"/>
      <c r="AT1368" s="2625"/>
      <c r="AU1368" s="2625"/>
      <c r="AV1368" s="2625"/>
      <c r="AW1368" s="2625"/>
      <c r="AX1368" s="2625"/>
      <c r="AY1368" s="2625"/>
      <c r="AZ1368" s="2625"/>
      <c r="BA1368" s="2625"/>
      <c r="BB1368" s="2625"/>
      <c r="BC1368" s="2625"/>
      <c r="BD1368" s="2625"/>
      <c r="BE1368" s="2625"/>
      <c r="BF1368" s="2625"/>
      <c r="BG1368" s="2625"/>
      <c r="BH1368" s="2625"/>
      <c r="BI1368" s="2625"/>
      <c r="BJ1368" s="2625"/>
      <c r="BK1368" s="2625"/>
      <c r="BL1368" s="2625"/>
      <c r="BM1368" s="1767"/>
      <c r="BN1368" s="1767"/>
      <c r="BO1368" s="1767"/>
      <c r="BP1368" s="1767"/>
      <c r="BQ1368" s="1767"/>
      <c r="BR1368" s="1767"/>
      <c r="BS1368" s="1767"/>
      <c r="BT1368" s="1767"/>
      <c r="BU1368" s="1767"/>
      <c r="BV1368" s="1767"/>
      <c r="BW1368" s="1767"/>
      <c r="BX1368" s="1767"/>
      <c r="BY1368" s="1767"/>
      <c r="BZ1368" s="1767"/>
      <c r="CA1368" s="1768"/>
    </row>
    <row r="1369" spans="1:79" ht="12.75" customHeight="1" thickBot="1" x14ac:dyDescent="0.25">
      <c r="A1369" s="1916">
        <v>1369</v>
      </c>
      <c r="B1369" s="5148"/>
      <c r="C1369" s="2580"/>
      <c r="D1369" s="210"/>
      <c r="E1369" s="2583" t="s">
        <v>1594</v>
      </c>
      <c r="F1369" s="195">
        <v>5</v>
      </c>
      <c r="G1369" s="195">
        <v>-20</v>
      </c>
      <c r="H1369" s="195">
        <f>COUNTIF(HabilidadesEsenciales_Adquiridas,Tablas!E1369)</f>
        <v>0</v>
      </c>
      <c r="I1369" s="2585"/>
      <c r="J1369" s="370"/>
      <c r="K1369" s="2576"/>
      <c r="M1369" s="1847"/>
      <c r="N1369" s="96"/>
      <c r="O1369" s="411" t="s">
        <v>9474</v>
      </c>
      <c r="P1369" s="2578">
        <v>10</v>
      </c>
      <c r="Q1369" s="503">
        <v>-10</v>
      </c>
      <c r="R1369" s="2585">
        <f>COUNTIF(PoderesDeCriatura_Adquiridos,Tablas!O1369)</f>
        <v>0</v>
      </c>
      <c r="S1369" s="370"/>
      <c r="T1369" s="2576"/>
      <c r="V1369" s="2640" t="s">
        <v>9766</v>
      </c>
      <c r="W1369" s="2641"/>
      <c r="X1369" s="2642"/>
      <c r="Y1369" s="2642"/>
      <c r="Z1369" s="2643"/>
      <c r="AA1369" s="2643"/>
      <c r="AB1369" s="2641" t="s">
        <v>9765</v>
      </c>
      <c r="AC1369" s="2641"/>
      <c r="AD1369" s="2643"/>
      <c r="AE1369" s="2643"/>
      <c r="AF1369" s="2643"/>
      <c r="AG1369" s="2643"/>
      <c r="AH1369" s="2643"/>
      <c r="AI1369" s="2643"/>
      <c r="AJ1369" s="2643"/>
      <c r="AK1369" s="2643"/>
      <c r="AL1369" s="2643"/>
      <c r="AM1369" s="2643"/>
      <c r="AN1369" s="2643"/>
      <c r="AO1369" s="2643"/>
      <c r="AP1369" s="2643"/>
      <c r="AQ1369" s="2643"/>
      <c r="AR1369" s="2643"/>
      <c r="AS1369" s="2643"/>
      <c r="AT1369" s="2643"/>
      <c r="AU1369" s="2643"/>
      <c r="AV1369" s="2643"/>
      <c r="AW1369" s="2643"/>
      <c r="AX1369" s="2643"/>
      <c r="AY1369" s="2643"/>
      <c r="AZ1369" s="2643"/>
      <c r="BA1369" s="2643"/>
      <c r="BB1369" s="2643"/>
      <c r="BC1369" s="2643"/>
      <c r="BD1369" s="2643"/>
      <c r="BE1369" s="2643"/>
      <c r="BF1369" s="2643"/>
      <c r="BG1369" s="2643"/>
      <c r="BH1369" s="2643"/>
      <c r="BI1369" s="2643"/>
      <c r="BJ1369" s="2643"/>
      <c r="BK1369" s="2643"/>
      <c r="BL1369" s="2643"/>
      <c r="BM1369" s="2643"/>
      <c r="BN1369" s="2643"/>
      <c r="BO1369" s="2643"/>
      <c r="BP1369" s="2643"/>
      <c r="BQ1369" s="2643"/>
      <c r="BR1369" s="2643"/>
      <c r="BS1369" s="2643"/>
      <c r="BT1369" s="2643"/>
      <c r="BU1369" s="2643"/>
      <c r="BV1369" s="2643"/>
      <c r="BW1369" s="2643"/>
      <c r="BX1369" s="2643"/>
      <c r="BY1369" s="2643"/>
      <c r="BZ1369" s="2643"/>
      <c r="CA1369" s="2644"/>
    </row>
    <row r="1370" spans="1:79" ht="12.75" customHeight="1" x14ac:dyDescent="0.2">
      <c r="A1370" s="1916">
        <v>1370</v>
      </c>
      <c r="B1370" s="5148"/>
      <c r="C1370" s="2580"/>
      <c r="D1370" s="210"/>
      <c r="E1370" s="2583" t="s">
        <v>1595</v>
      </c>
      <c r="F1370" s="195">
        <v>0</v>
      </c>
      <c r="G1370" s="195">
        <v>0</v>
      </c>
      <c r="H1370" s="195"/>
      <c r="I1370" s="2585"/>
      <c r="J1370" s="370"/>
      <c r="K1370" s="2576"/>
      <c r="M1370" s="1847"/>
      <c r="N1370" s="96"/>
      <c r="O1370" s="411" t="s">
        <v>9475</v>
      </c>
      <c r="P1370" s="2578">
        <v>10</v>
      </c>
      <c r="Q1370" s="503">
        <v>-15</v>
      </c>
      <c r="R1370" s="2585">
        <f>COUNTIF(PoderesDeCriatura_Adquiridos,Tablas!O1370)</f>
        <v>0</v>
      </c>
      <c r="S1370" s="370"/>
      <c r="T1370" s="2576"/>
      <c r="V1370" s="436"/>
      <c r="X1370" s="2014"/>
      <c r="Y1370" s="2014"/>
      <c r="Z1370" s="436"/>
      <c r="AA1370" s="436"/>
      <c r="AB1370" s="363"/>
    </row>
    <row r="1371" spans="1:79" ht="12.75" customHeight="1" x14ac:dyDescent="0.2">
      <c r="A1371" s="1916">
        <v>1371</v>
      </c>
      <c r="B1371" s="5148"/>
      <c r="C1371" s="2580"/>
      <c r="D1371" s="210"/>
      <c r="E1371" s="2583" t="s">
        <v>2814</v>
      </c>
      <c r="F1371" s="195">
        <v>5</v>
      </c>
      <c r="G1371" s="195">
        <v>-10</v>
      </c>
      <c r="H1371" s="195">
        <f>COUNTIF(HabilidadesEsenciales_Adquiridas,Tablas!E1371)</f>
        <v>0</v>
      </c>
      <c r="I1371" s="2585">
        <v>1</v>
      </c>
      <c r="J1371" s="370"/>
      <c r="K1371" s="2576"/>
      <c r="M1371" s="1847"/>
      <c r="N1371" s="96"/>
      <c r="O1371" s="411" t="s">
        <v>9476</v>
      </c>
      <c r="P1371" s="2578">
        <v>10</v>
      </c>
      <c r="Q1371" s="503">
        <v>-20</v>
      </c>
      <c r="R1371" s="2585">
        <f>COUNTIF(PoderesDeCriatura_Adquiridos,Tablas!O1371)</f>
        <v>0</v>
      </c>
      <c r="S1371" s="370"/>
      <c r="T1371" s="2576"/>
    </row>
    <row r="1372" spans="1:79" ht="12.75" customHeight="1" x14ac:dyDescent="0.2">
      <c r="A1372" s="1916">
        <v>1372</v>
      </c>
      <c r="B1372" s="5148"/>
      <c r="C1372" s="2580"/>
      <c r="D1372" s="210"/>
      <c r="E1372" s="2583" t="s">
        <v>2815</v>
      </c>
      <c r="F1372" s="195">
        <v>5</v>
      </c>
      <c r="G1372" s="195">
        <v>-10</v>
      </c>
      <c r="H1372" s="195">
        <f>COUNTIF(HabilidadesEsenciales_Adquiridas,Tablas!E1372)</f>
        <v>0</v>
      </c>
      <c r="I1372" s="2585"/>
      <c r="J1372" s="370"/>
      <c r="K1372" s="2576"/>
      <c r="M1372" s="1847"/>
      <c r="N1372" s="96"/>
      <c r="O1372" s="411" t="s">
        <v>9477</v>
      </c>
      <c r="P1372" s="2578">
        <v>20</v>
      </c>
      <c r="Q1372" s="503">
        <v>-25</v>
      </c>
      <c r="R1372" s="2585">
        <f>COUNTIF(PoderesDeCriatura_Adquiridos,Tablas!O1372)</f>
        <v>0</v>
      </c>
      <c r="S1372" s="370"/>
      <c r="T1372" s="2576"/>
    </row>
    <row r="1373" spans="1:79" ht="12.75" customHeight="1" x14ac:dyDescent="0.2">
      <c r="A1373" s="1916">
        <v>1373</v>
      </c>
      <c r="B1373" s="5148"/>
      <c r="C1373" s="2580"/>
      <c r="D1373" s="210"/>
      <c r="E1373" s="2583" t="s">
        <v>1596</v>
      </c>
      <c r="F1373" s="195">
        <v>5</v>
      </c>
      <c r="G1373" s="195">
        <v>-20</v>
      </c>
      <c r="H1373" s="195">
        <f>COUNTIF(HabilidadesEsenciales_Adquiridas,Tablas!E1373)</f>
        <v>0</v>
      </c>
      <c r="I1373" s="2585"/>
      <c r="J1373" s="370"/>
      <c r="K1373" s="2576"/>
      <c r="M1373" s="1847"/>
      <c r="N1373" s="96"/>
      <c r="O1373" s="411" t="s">
        <v>9478</v>
      </c>
      <c r="P1373" s="2578">
        <v>20</v>
      </c>
      <c r="Q1373" s="503">
        <v>-30</v>
      </c>
      <c r="R1373" s="2585">
        <f>COUNTIF(PoderesDeCriatura_Adquiridos,Tablas!O1373)</f>
        <v>0</v>
      </c>
      <c r="S1373" s="370"/>
      <c r="T1373" s="2576"/>
    </row>
    <row r="1374" spans="1:79" ht="12.75" customHeight="1" x14ac:dyDescent="0.2">
      <c r="A1374" s="1916">
        <v>1374</v>
      </c>
      <c r="B1374" s="5148"/>
      <c r="C1374" s="2580"/>
      <c r="D1374" s="210"/>
      <c r="E1374" s="2583" t="s">
        <v>1597</v>
      </c>
      <c r="F1374" s="195">
        <v>0</v>
      </c>
      <c r="G1374" s="195">
        <v>0</v>
      </c>
      <c r="H1374" s="195"/>
      <c r="I1374" s="2585"/>
      <c r="J1374" s="370"/>
      <c r="K1374" s="2576"/>
      <c r="M1374" s="1847"/>
      <c r="N1374" s="96"/>
      <c r="O1374" s="411" t="s">
        <v>9479</v>
      </c>
      <c r="P1374" s="2578">
        <v>10</v>
      </c>
      <c r="Q1374" s="503">
        <v>10</v>
      </c>
      <c r="R1374" s="2585">
        <f>COUNTIF(PoderesDeCriatura_Adquiridos,Tablas!O1374)</f>
        <v>0</v>
      </c>
      <c r="S1374" s="370">
        <f t="array" ref="S1374">MAX(R1374:R1383*{10;20;30;40;50;-10;-20;-30;-40;-50})</f>
        <v>0</v>
      </c>
      <c r="T1374" s="2576" t="s">
        <v>1775</v>
      </c>
    </row>
    <row r="1375" spans="1:79" ht="12.75" customHeight="1" x14ac:dyDescent="0.2">
      <c r="A1375" s="1916">
        <v>1375</v>
      </c>
      <c r="B1375" s="5148"/>
      <c r="C1375" s="2580"/>
      <c r="D1375" s="210"/>
      <c r="E1375" s="2583" t="s">
        <v>2698</v>
      </c>
      <c r="F1375" s="195">
        <v>20</v>
      </c>
      <c r="G1375" s="195">
        <v>40</v>
      </c>
      <c r="H1375" s="195">
        <f>COUNTIF(HabilidadesEsenciales_Adquiridas,Tablas!E1375)</f>
        <v>0</v>
      </c>
      <c r="I1375" s="2585"/>
      <c r="J1375" s="370"/>
      <c r="K1375" s="2576"/>
      <c r="M1375" s="1847"/>
      <c r="N1375" s="96"/>
      <c r="O1375" s="411" t="s">
        <v>9480</v>
      </c>
      <c r="P1375" s="2578">
        <v>15</v>
      </c>
      <c r="Q1375" s="503">
        <v>20</v>
      </c>
      <c r="R1375" s="2585">
        <f>COUNTIF(PoderesDeCriatura_Adquiridos,Tablas!O1375)</f>
        <v>0</v>
      </c>
      <c r="S1375" s="370"/>
      <c r="T1375" s="2576"/>
    </row>
    <row r="1376" spans="1:79" ht="12.75" customHeight="1" x14ac:dyDescent="0.2">
      <c r="A1376" s="1916">
        <v>1376</v>
      </c>
      <c r="B1376" s="5148"/>
      <c r="C1376" s="2580"/>
      <c r="D1376" s="210"/>
      <c r="E1376" s="2583" t="s">
        <v>1598</v>
      </c>
      <c r="F1376" s="195">
        <v>20</v>
      </c>
      <c r="G1376" s="195">
        <v>20</v>
      </c>
      <c r="H1376" s="195">
        <f>COUNTIF(HabilidadesEsenciales_Adquiridas,Tablas!E1376)</f>
        <v>0</v>
      </c>
      <c r="I1376" s="2585"/>
      <c r="J1376" s="370"/>
      <c r="K1376" s="2576"/>
      <c r="M1376" s="1847"/>
      <c r="N1376" s="96"/>
      <c r="O1376" s="411" t="s">
        <v>9481</v>
      </c>
      <c r="P1376" s="2578">
        <v>20</v>
      </c>
      <c r="Q1376" s="503">
        <v>30</v>
      </c>
      <c r="R1376" s="2585">
        <f>COUNTIF(PoderesDeCriatura_Adquiridos,Tablas!O1376)</f>
        <v>0</v>
      </c>
      <c r="S1376" s="370"/>
      <c r="T1376" s="2576"/>
    </row>
    <row r="1377" spans="1:20" ht="12.75" customHeight="1" x14ac:dyDescent="0.2">
      <c r="A1377" s="1916">
        <v>1377</v>
      </c>
      <c r="B1377" s="5148"/>
      <c r="C1377" s="2580"/>
      <c r="D1377" s="210"/>
      <c r="E1377" s="2583" t="s">
        <v>2741</v>
      </c>
      <c r="F1377" s="195">
        <v>10</v>
      </c>
      <c r="G1377" s="195">
        <v>10</v>
      </c>
      <c r="H1377" s="195">
        <f>COUNTIF(HabilidadesEsenciales_Adquiridas,Tablas!E1377)</f>
        <v>0</v>
      </c>
      <c r="I1377" s="2585"/>
      <c r="J1377" s="370"/>
      <c r="K1377" s="2576"/>
      <c r="M1377" s="1847"/>
      <c r="N1377" s="96"/>
      <c r="O1377" s="411" t="s">
        <v>9482</v>
      </c>
      <c r="P1377" s="2578">
        <v>25</v>
      </c>
      <c r="Q1377" s="503">
        <v>40</v>
      </c>
      <c r="R1377" s="2585">
        <f>COUNTIF(PoderesDeCriatura_Adquiridos,Tablas!O1377)</f>
        <v>0</v>
      </c>
      <c r="S1377" s="370"/>
      <c r="T1377" s="2576"/>
    </row>
    <row r="1378" spans="1:20" ht="12.75" customHeight="1" x14ac:dyDescent="0.2">
      <c r="A1378" s="1916">
        <v>1378</v>
      </c>
      <c r="B1378" s="5148"/>
      <c r="C1378" s="2580"/>
      <c r="D1378" s="210"/>
      <c r="E1378" s="2583" t="s">
        <v>2822</v>
      </c>
      <c r="F1378" s="195">
        <v>5</v>
      </c>
      <c r="G1378" s="195">
        <v>20</v>
      </c>
      <c r="H1378" s="195">
        <f>COUNTIF(HabilidadesEsenciales_Adquiridas,Tablas!E1378)</f>
        <v>0</v>
      </c>
      <c r="I1378" s="2585"/>
      <c r="J1378" s="370"/>
      <c r="K1378" s="2576"/>
      <c r="M1378" s="1847"/>
      <c r="N1378" s="96"/>
      <c r="O1378" s="411" t="s">
        <v>9483</v>
      </c>
      <c r="P1378" s="2578">
        <v>35</v>
      </c>
      <c r="Q1378" s="503">
        <v>50</v>
      </c>
      <c r="R1378" s="2585">
        <f>COUNTIF(PoderesDeCriatura_Adquiridos,Tablas!O1378)</f>
        <v>0</v>
      </c>
      <c r="S1378" s="370"/>
      <c r="T1378" s="2576"/>
    </row>
    <row r="1379" spans="1:20" ht="12.75" customHeight="1" x14ac:dyDescent="0.2">
      <c r="A1379" s="1916">
        <v>1379</v>
      </c>
      <c r="B1379" s="5148"/>
      <c r="C1379" s="2580"/>
      <c r="D1379" s="210"/>
      <c r="E1379" s="2583" t="s">
        <v>2835</v>
      </c>
      <c r="F1379" s="195">
        <v>0</v>
      </c>
      <c r="G1379" s="195">
        <v>10</v>
      </c>
      <c r="H1379" s="195">
        <f>COUNTIF(HabilidadesEsenciales_Adquiridas,Tablas!E1379)</f>
        <v>0</v>
      </c>
      <c r="I1379" s="2585"/>
      <c r="J1379" s="370"/>
      <c r="K1379" s="2576"/>
      <c r="M1379" s="1847"/>
      <c r="N1379" s="96"/>
      <c r="O1379" s="411" t="s">
        <v>9484</v>
      </c>
      <c r="P1379" s="2578">
        <v>10</v>
      </c>
      <c r="Q1379" s="503">
        <v>-10</v>
      </c>
      <c r="R1379" s="2585">
        <f>COUNTIF(PoderesDeCriatura_Adquiridos,Tablas!O1379)</f>
        <v>0</v>
      </c>
      <c r="S1379" s="370"/>
      <c r="T1379" s="2576"/>
    </row>
    <row r="1380" spans="1:20" ht="12.75" customHeight="1" x14ac:dyDescent="0.2">
      <c r="A1380" s="1916">
        <v>1380</v>
      </c>
      <c r="B1380" s="5148"/>
      <c r="C1380" s="2580"/>
      <c r="D1380" s="210"/>
      <c r="E1380" s="2583" t="s">
        <v>2842</v>
      </c>
      <c r="F1380" s="195">
        <v>10</v>
      </c>
      <c r="G1380" s="195">
        <v>20</v>
      </c>
      <c r="H1380" s="195">
        <f>COUNTIF(HabilidadesEsenciales_Adquiridas,Tablas!E1380)</f>
        <v>0</v>
      </c>
      <c r="I1380" s="2585">
        <v>1</v>
      </c>
      <c r="J1380" s="370"/>
      <c r="K1380" s="2576"/>
      <c r="M1380" s="1847"/>
      <c r="N1380" s="96"/>
      <c r="O1380" s="411" t="s">
        <v>9485</v>
      </c>
      <c r="P1380" s="2578">
        <v>10</v>
      </c>
      <c r="Q1380" s="503">
        <v>-15</v>
      </c>
      <c r="R1380" s="2585">
        <f>COUNTIF(PoderesDeCriatura_Adquiridos,Tablas!O1380)</f>
        <v>0</v>
      </c>
      <c r="S1380" s="370"/>
      <c r="T1380" s="2576"/>
    </row>
    <row r="1381" spans="1:20" ht="12.75" customHeight="1" x14ac:dyDescent="0.2">
      <c r="A1381" s="1916">
        <v>1381</v>
      </c>
      <c r="B1381" s="5148"/>
      <c r="C1381" s="2580"/>
      <c r="D1381" s="210"/>
      <c r="E1381" s="2583" t="s">
        <v>2846</v>
      </c>
      <c r="F1381" s="195">
        <v>10</v>
      </c>
      <c r="G1381" s="195">
        <v>20</v>
      </c>
      <c r="H1381" s="195">
        <f>COUNTIF(HabilidadesEsenciales_Adquiridas,Tablas!E1381)</f>
        <v>0</v>
      </c>
      <c r="I1381" s="2585"/>
      <c r="J1381" s="370"/>
      <c r="K1381" s="2576"/>
      <c r="M1381" s="1847"/>
      <c r="N1381" s="96"/>
      <c r="O1381" s="411" t="s">
        <v>9486</v>
      </c>
      <c r="P1381" s="2578">
        <v>10</v>
      </c>
      <c r="Q1381" s="503">
        <v>-20</v>
      </c>
      <c r="R1381" s="2585">
        <f>COUNTIF(PoderesDeCriatura_Adquiridos,Tablas!O1381)</f>
        <v>0</v>
      </c>
      <c r="S1381" s="370"/>
      <c r="T1381" s="2576"/>
    </row>
    <row r="1382" spans="1:20" ht="12.75" customHeight="1" x14ac:dyDescent="0.2">
      <c r="A1382" s="1916">
        <v>1382</v>
      </c>
      <c r="B1382" s="5148"/>
      <c r="C1382" s="2580"/>
      <c r="D1382" s="210"/>
      <c r="E1382" s="2583" t="s">
        <v>2849</v>
      </c>
      <c r="F1382" s="195">
        <v>15</v>
      </c>
      <c r="G1382" s="195">
        <v>30</v>
      </c>
      <c r="H1382" s="195">
        <f>COUNTIF(HabilidadesEsenciales_Adquiridas,Tablas!E1382)</f>
        <v>0</v>
      </c>
      <c r="I1382" s="2585"/>
      <c r="J1382" s="370"/>
      <c r="K1382" s="2576"/>
      <c r="M1382" s="1847"/>
      <c r="N1382" s="96"/>
      <c r="O1382" s="411" t="s">
        <v>9487</v>
      </c>
      <c r="P1382" s="2578">
        <v>20</v>
      </c>
      <c r="Q1382" s="503">
        <v>-25</v>
      </c>
      <c r="R1382" s="2585">
        <f>COUNTIF(PoderesDeCriatura_Adquiridos,Tablas!O1382)</f>
        <v>0</v>
      </c>
      <c r="S1382" s="370"/>
      <c r="T1382" s="2576"/>
    </row>
    <row r="1383" spans="1:20" ht="12.75" customHeight="1" x14ac:dyDescent="0.2">
      <c r="A1383" s="1916">
        <v>1383</v>
      </c>
      <c r="B1383" s="5148"/>
      <c r="C1383" s="2580"/>
      <c r="D1383" s="210"/>
      <c r="E1383" s="2583" t="s">
        <v>1599</v>
      </c>
      <c r="F1383" s="195">
        <v>10</v>
      </c>
      <c r="G1383" s="195">
        <v>20</v>
      </c>
      <c r="H1383" s="195">
        <f>COUNTIF(HabilidadesEsenciales_Adquiridas,Tablas!E1383)</f>
        <v>0</v>
      </c>
      <c r="I1383" s="2585"/>
      <c r="J1383" s="370"/>
      <c r="K1383" s="2576"/>
      <c r="M1383" s="1847"/>
      <c r="N1383" s="96"/>
      <c r="O1383" s="411" t="s">
        <v>9488</v>
      </c>
      <c r="P1383" s="2578">
        <v>20</v>
      </c>
      <c r="Q1383" s="503">
        <v>-30</v>
      </c>
      <c r="R1383" s="2585">
        <f>COUNTIF(PoderesDeCriatura_Adquiridos,Tablas!O1383)</f>
        <v>0</v>
      </c>
      <c r="S1383" s="370"/>
      <c r="T1383" s="2576"/>
    </row>
    <row r="1384" spans="1:20" ht="12.75" customHeight="1" x14ac:dyDescent="0.2">
      <c r="A1384" s="1916">
        <v>1384</v>
      </c>
      <c r="B1384" s="5148"/>
      <c r="C1384" s="2580"/>
      <c r="D1384" s="210"/>
      <c r="E1384" s="2583" t="s">
        <v>2862</v>
      </c>
      <c r="F1384" s="195">
        <v>5</v>
      </c>
      <c r="G1384" s="195">
        <v>20</v>
      </c>
      <c r="H1384" s="195">
        <f>COUNTIF(HabilidadesEsenciales_Adquiridas,Tablas!E1384)</f>
        <v>0</v>
      </c>
      <c r="I1384" s="2585">
        <v>1</v>
      </c>
      <c r="J1384" s="370"/>
      <c r="K1384" s="2576"/>
      <c r="M1384" s="1847"/>
      <c r="N1384" s="96"/>
      <c r="O1384" s="411" t="s">
        <v>9489</v>
      </c>
      <c r="P1384" s="2578">
        <v>0</v>
      </c>
      <c r="Q1384" s="503">
        <v>10</v>
      </c>
      <c r="R1384" s="2585">
        <f>COUNTIF(PoderesDeCriatura_Adquiridos,Tablas!O1384)</f>
        <v>0</v>
      </c>
      <c r="S1384" s="370">
        <f>IF(SUM(R1397:R1401)&gt;0,0,SUMPRODUCT(R1384:R1394,VALUE(RIGHT(O1384:O1394,2))))</f>
        <v>0</v>
      </c>
      <c r="T1384" s="2576" t="s">
        <v>1677</v>
      </c>
    </row>
    <row r="1385" spans="1:20" ht="12.75" customHeight="1" x14ac:dyDescent="0.2">
      <c r="A1385" s="1916">
        <v>1385</v>
      </c>
      <c r="B1385" s="5148"/>
      <c r="C1385" s="2580"/>
      <c r="D1385" s="210"/>
      <c r="E1385" s="2583" t="s">
        <v>1600</v>
      </c>
      <c r="F1385" s="195">
        <v>0</v>
      </c>
      <c r="G1385" s="195">
        <v>20</v>
      </c>
      <c r="H1385" s="195">
        <f>COUNTIF(HabilidadesEsenciales_Adquiridas,Tablas!E1385)</f>
        <v>0</v>
      </c>
      <c r="I1385" s="2585">
        <v>1</v>
      </c>
      <c r="J1385" s="370"/>
      <c r="K1385" s="2576"/>
      <c r="M1385" s="1847"/>
      <c r="N1385" s="96"/>
      <c r="O1385" s="411" t="s">
        <v>9490</v>
      </c>
      <c r="P1385" s="2578">
        <v>0</v>
      </c>
      <c r="Q1385" s="503">
        <v>20</v>
      </c>
      <c r="R1385" s="2585">
        <f>COUNTIF(PoderesDeCriatura_Adquiridos,Tablas!O1385)</f>
        <v>0</v>
      </c>
      <c r="S1385" s="370"/>
      <c r="T1385" s="2576"/>
    </row>
    <row r="1386" spans="1:20" ht="12.75" customHeight="1" x14ac:dyDescent="0.2">
      <c r="A1386" s="1916">
        <v>1386</v>
      </c>
      <c r="B1386" s="5148"/>
      <c r="C1386" s="2580"/>
      <c r="D1386" s="210"/>
      <c r="E1386" s="2583" t="s">
        <v>1601</v>
      </c>
      <c r="F1386" s="195">
        <v>0</v>
      </c>
      <c r="G1386" s="195">
        <v>0</v>
      </c>
      <c r="H1386" s="195"/>
      <c r="I1386" s="2585"/>
      <c r="J1386" s="370"/>
      <c r="K1386" s="2576"/>
      <c r="M1386" s="1847"/>
      <c r="N1386" s="96"/>
      <c r="O1386" s="411" t="s">
        <v>9491</v>
      </c>
      <c r="P1386" s="2578">
        <v>0</v>
      </c>
      <c r="Q1386" s="503">
        <v>30</v>
      </c>
      <c r="R1386" s="2585">
        <f>COUNTIF(PoderesDeCriatura_Adquiridos,Tablas!O1386)</f>
        <v>0</v>
      </c>
      <c r="S1386" s="370"/>
      <c r="T1386" s="2576"/>
    </row>
    <row r="1387" spans="1:20" ht="12.75" customHeight="1" x14ac:dyDescent="0.2">
      <c r="A1387" s="1916">
        <v>1387</v>
      </c>
      <c r="B1387" s="5148"/>
      <c r="C1387" s="2580"/>
      <c r="D1387" s="210"/>
      <c r="E1387" s="2583" t="s">
        <v>1602</v>
      </c>
      <c r="F1387" s="195">
        <v>0</v>
      </c>
      <c r="G1387" s="195">
        <v>-30</v>
      </c>
      <c r="H1387" s="195">
        <f>COUNTIF(HabilidadesEsenciales_Adquiridas,Tablas!E1387)</f>
        <v>0</v>
      </c>
      <c r="I1387" s="2585"/>
      <c r="J1387" s="370"/>
      <c r="K1387" s="2576"/>
      <c r="M1387" s="1847"/>
      <c r="N1387" s="96"/>
      <c r="O1387" s="411" t="s">
        <v>9492</v>
      </c>
      <c r="P1387" s="2578">
        <v>5</v>
      </c>
      <c r="Q1387" s="503">
        <v>40</v>
      </c>
      <c r="R1387" s="2585">
        <f>COUNTIF(PoderesDeCriatura_Adquiridos,Tablas!O1387)</f>
        <v>0</v>
      </c>
      <c r="S1387" s="370"/>
      <c r="T1387" s="2576"/>
    </row>
    <row r="1388" spans="1:20" ht="12.75" customHeight="1" x14ac:dyDescent="0.2">
      <c r="A1388" s="1916">
        <v>1388</v>
      </c>
      <c r="B1388" s="5148"/>
      <c r="C1388" s="2580"/>
      <c r="D1388" s="210"/>
      <c r="E1388" s="2583" t="s">
        <v>1603</v>
      </c>
      <c r="F1388" s="195">
        <v>0</v>
      </c>
      <c r="G1388" s="195">
        <v>-20</v>
      </c>
      <c r="H1388" s="195">
        <f>COUNTIF(HabilidadesEsenciales_Adquiridas,Tablas!E1388)</f>
        <v>0</v>
      </c>
      <c r="I1388" s="2585"/>
      <c r="J1388" s="370"/>
      <c r="K1388" s="2576"/>
      <c r="M1388" s="1847"/>
      <c r="N1388" s="96"/>
      <c r="O1388" s="411" t="s">
        <v>9493</v>
      </c>
      <c r="P1388" s="2578">
        <v>10</v>
      </c>
      <c r="Q1388" s="503">
        <v>60</v>
      </c>
      <c r="R1388" s="2585">
        <f>COUNTIF(PoderesDeCriatura_Adquiridos,Tablas!O1388)</f>
        <v>0</v>
      </c>
      <c r="S1388" s="370"/>
      <c r="T1388" s="2576"/>
    </row>
    <row r="1389" spans="1:20" ht="12.75" customHeight="1" x14ac:dyDescent="0.2">
      <c r="A1389" s="1916">
        <v>1389</v>
      </c>
      <c r="B1389" s="5148"/>
      <c r="C1389" s="2580"/>
      <c r="D1389" s="210"/>
      <c r="E1389" s="2583" t="s">
        <v>8958</v>
      </c>
      <c r="F1389" s="195"/>
      <c r="G1389" s="195"/>
      <c r="H1389" s="195"/>
      <c r="I1389" s="2585"/>
      <c r="J1389" s="370"/>
      <c r="K1389" s="2576"/>
      <c r="M1389" s="1847"/>
      <c r="N1389" s="96"/>
      <c r="O1389" s="411" t="s">
        <v>9494</v>
      </c>
      <c r="P1389" s="2578">
        <v>15</v>
      </c>
      <c r="Q1389" s="503">
        <v>100</v>
      </c>
      <c r="R1389" s="2585">
        <f>COUNTIF(PoderesDeCriatura_Adquiridos,Tablas!O1389)</f>
        <v>0</v>
      </c>
      <c r="S1389" s="370"/>
      <c r="T1389" s="2576"/>
    </row>
    <row r="1390" spans="1:20" ht="12.75" customHeight="1" x14ac:dyDescent="0.2">
      <c r="A1390" s="1916">
        <v>1390</v>
      </c>
      <c r="B1390" s="5148"/>
      <c r="C1390" s="2580"/>
      <c r="D1390" s="210"/>
      <c r="E1390" s="2583" t="str">
        <f>IF(Personalización!$I8="","Habilidad #1",Personalización!$I8)</f>
        <v>Habilidad #1</v>
      </c>
      <c r="F1390" s="195">
        <f>Personalización!P8</f>
        <v>0</v>
      </c>
      <c r="G1390" s="195">
        <f>Personalización!Q8</f>
        <v>0</v>
      </c>
      <c r="H1390" s="195">
        <f>COUNTIF(HabilidadesEsenciales_Adquiridas,Tablas!E1390)</f>
        <v>0</v>
      </c>
      <c r="I1390" s="2585"/>
      <c r="J1390" s="370"/>
      <c r="K1390" s="2576"/>
      <c r="M1390" s="1847"/>
      <c r="N1390" s="96"/>
      <c r="O1390" s="411" t="s">
        <v>9495</v>
      </c>
      <c r="P1390" s="2578">
        <v>20</v>
      </c>
      <c r="Q1390" s="503">
        <v>140</v>
      </c>
      <c r="R1390" s="2585">
        <f>COUNTIF(PoderesDeCriatura_Adquiridos,Tablas!O1390)</f>
        <v>0</v>
      </c>
      <c r="S1390" s="370"/>
      <c r="T1390" s="2576"/>
    </row>
    <row r="1391" spans="1:20" ht="12.75" customHeight="1" x14ac:dyDescent="0.2">
      <c r="A1391" s="1916">
        <v>1391</v>
      </c>
      <c r="B1391" s="5148"/>
      <c r="C1391" s="2580"/>
      <c r="D1391" s="210"/>
      <c r="E1391" s="2583" t="str">
        <f>IF(Personalización!$I9="","Habilidad #1",Personalización!$I9)</f>
        <v>Habilidad #1</v>
      </c>
      <c r="F1391" s="195">
        <f>Personalización!P9</f>
        <v>0</v>
      </c>
      <c r="G1391" s="195">
        <f>Personalización!Q9</f>
        <v>0</v>
      </c>
      <c r="H1391" s="195">
        <f>COUNTIF(HabilidadesEsenciales_Adquiridas,Tablas!E1391)</f>
        <v>0</v>
      </c>
      <c r="I1391" s="2585"/>
      <c r="J1391" s="370"/>
      <c r="K1391" s="2576"/>
      <c r="M1391" s="1847"/>
      <c r="N1391" s="96"/>
      <c r="O1391" s="411" t="s">
        <v>9496</v>
      </c>
      <c r="P1391" s="2578">
        <v>25</v>
      </c>
      <c r="Q1391" s="503">
        <v>160</v>
      </c>
      <c r="R1391" s="2585">
        <f>COUNTIF(PoderesDeCriatura_Adquiridos,Tablas!O1391)</f>
        <v>0</v>
      </c>
      <c r="S1391" s="370"/>
      <c r="T1391" s="2576"/>
    </row>
    <row r="1392" spans="1:20" ht="12.75" customHeight="1" x14ac:dyDescent="0.2">
      <c r="A1392" s="1916">
        <v>1392</v>
      </c>
      <c r="B1392" s="5148"/>
      <c r="C1392" s="2580"/>
      <c r="D1392" s="210"/>
      <c r="E1392" s="2583" t="str">
        <f>IF(Personalización!$I10="","Habilidad #1",Personalización!$I10)</f>
        <v>Habilidad #1</v>
      </c>
      <c r="F1392" s="195">
        <f>Personalización!P10</f>
        <v>0</v>
      </c>
      <c r="G1392" s="195">
        <f>Personalización!Q10</f>
        <v>0</v>
      </c>
      <c r="H1392" s="195">
        <f>COUNTIF(HabilidadesEsenciales_Adquiridas,Tablas!E1392)</f>
        <v>0</v>
      </c>
      <c r="I1392" s="2585"/>
      <c r="J1392" s="370"/>
      <c r="K1392" s="2576"/>
      <c r="M1392" s="1847"/>
      <c r="N1392" s="96"/>
      <c r="O1392" s="411" t="s">
        <v>9497</v>
      </c>
      <c r="P1392" s="2578">
        <v>35</v>
      </c>
      <c r="Q1392" s="503">
        <v>180</v>
      </c>
      <c r="R1392" s="2585">
        <f>COUNTIF(PoderesDeCriatura_Adquiridos,Tablas!O1392)</f>
        <v>0</v>
      </c>
      <c r="S1392" s="370"/>
      <c r="T1392" s="2576"/>
    </row>
    <row r="1393" spans="1:21" ht="12.75" customHeight="1" x14ac:dyDescent="0.2">
      <c r="A1393" s="1916">
        <v>1393</v>
      </c>
      <c r="B1393" s="5148"/>
      <c r="C1393" s="2580"/>
      <c r="D1393" s="210"/>
      <c r="E1393" s="2583" t="str">
        <f>IF(Personalización!$I11="","Habilidad #1",Personalización!$I11)</f>
        <v>Habilidad #1</v>
      </c>
      <c r="F1393" s="195">
        <f>Personalización!P11</f>
        <v>0</v>
      </c>
      <c r="G1393" s="195">
        <f>Personalización!Q11</f>
        <v>0</v>
      </c>
      <c r="H1393" s="195">
        <f>COUNTIF(HabilidadesEsenciales_Adquiridas,Tablas!E1393)</f>
        <v>0</v>
      </c>
      <c r="I1393" s="2585"/>
      <c r="J1393" s="370"/>
      <c r="K1393" s="2576"/>
      <c r="M1393" s="1847"/>
      <c r="N1393" s="96"/>
      <c r="O1393" s="411" t="s">
        <v>9498</v>
      </c>
      <c r="P1393" s="2578">
        <v>45</v>
      </c>
      <c r="Q1393" s="503">
        <v>200</v>
      </c>
      <c r="R1393" s="2585">
        <f>COUNTIF(PoderesDeCriatura_Adquiridos,Tablas!O1393)</f>
        <v>0</v>
      </c>
      <c r="S1393" s="370"/>
      <c r="T1393" s="2576"/>
    </row>
    <row r="1394" spans="1:21" ht="12.75" customHeight="1" thickBot="1" x14ac:dyDescent="0.25">
      <c r="A1394" s="1916">
        <v>1394</v>
      </c>
      <c r="B1394" s="5148"/>
      <c r="C1394" s="2581"/>
      <c r="D1394" s="2582"/>
      <c r="E1394" s="2584" t="str">
        <f>IF(Personalización!$I12="","Habilidad #1",Personalización!$I12)</f>
        <v>Habilidad #1</v>
      </c>
      <c r="F1394" s="2560">
        <f>Personalización!P12</f>
        <v>0</v>
      </c>
      <c r="G1394" s="2560">
        <f>Personalización!Q12</f>
        <v>0</v>
      </c>
      <c r="H1394" s="2560">
        <f>COUNTIF(HabilidadesEsenciales_Adquiridas,Tablas!E1394)</f>
        <v>0</v>
      </c>
      <c r="I1394" s="2586"/>
      <c r="J1394" s="2128"/>
      <c r="K1394" s="2577"/>
      <c r="M1394" s="1847"/>
      <c r="N1394" s="96"/>
      <c r="O1394" s="411" t="s">
        <v>9499</v>
      </c>
      <c r="P1394" s="2578">
        <v>50</v>
      </c>
      <c r="Q1394" s="503">
        <v>220</v>
      </c>
      <c r="R1394" s="2585">
        <f>COUNTIF(PoderesDeCriatura_Adquiridos,Tablas!O1394)</f>
        <v>0</v>
      </c>
      <c r="S1394" s="370"/>
      <c r="T1394" s="2576"/>
    </row>
    <row r="1395" spans="1:21" ht="12.75" customHeight="1" x14ac:dyDescent="0.2">
      <c r="A1395" s="1916">
        <v>1395</v>
      </c>
      <c r="B1395" s="5148"/>
      <c r="C1395" s="1999"/>
      <c r="H1395" s="363"/>
      <c r="M1395" s="1847"/>
      <c r="N1395" s="96"/>
      <c r="O1395" s="411" t="s">
        <v>9500</v>
      </c>
      <c r="P1395" s="2578">
        <v>0</v>
      </c>
      <c r="Q1395" s="503">
        <v>-10</v>
      </c>
      <c r="R1395" s="2585">
        <f>COUNTIF(PoderesDeCriatura_Adquiridos,Tablas!O1395)</f>
        <v>0</v>
      </c>
      <c r="S1395" s="370"/>
      <c r="T1395" s="2576"/>
    </row>
    <row r="1396" spans="1:21" ht="12.75" customHeight="1" x14ac:dyDescent="0.2">
      <c r="A1396" s="1916">
        <v>1396</v>
      </c>
      <c r="B1396" s="5148"/>
      <c r="C1396" s="1999"/>
      <c r="H1396" s="363"/>
      <c r="M1396" s="1847"/>
      <c r="N1396" s="96"/>
      <c r="O1396" s="411" t="s">
        <v>9501</v>
      </c>
      <c r="P1396" s="2578">
        <v>10</v>
      </c>
      <c r="Q1396" s="503">
        <v>-40</v>
      </c>
      <c r="R1396" s="2585">
        <f>COUNTIF(PoderesDeCriatura_Adquiridos,Tablas!O1396)</f>
        <v>0</v>
      </c>
      <c r="S1396" s="370"/>
      <c r="T1396" s="2576"/>
    </row>
    <row r="1397" spans="1:21" ht="12.75" customHeight="1" x14ac:dyDescent="0.2">
      <c r="A1397" s="1916">
        <v>1397</v>
      </c>
      <c r="B1397" s="5148"/>
      <c r="C1397" s="1999"/>
      <c r="H1397" s="363"/>
      <c r="M1397" s="1847"/>
      <c r="N1397" s="96"/>
      <c r="O1397" s="411" t="s">
        <v>9502</v>
      </c>
      <c r="P1397" s="2578">
        <v>10</v>
      </c>
      <c r="Q1397" s="503">
        <v>-30</v>
      </c>
      <c r="R1397" s="2585">
        <f>COUNTIF(PoderesDeCriatura_Adquiridos,Tablas!O1397)</f>
        <v>0</v>
      </c>
      <c r="S1397" s="370"/>
      <c r="T1397" s="2576"/>
    </row>
    <row r="1398" spans="1:21" ht="12.75" customHeight="1" x14ac:dyDescent="0.2">
      <c r="A1398" s="1916">
        <v>1398</v>
      </c>
      <c r="B1398" s="5148"/>
      <c r="C1398" s="1999"/>
      <c r="H1398" s="363"/>
      <c r="M1398" s="1847"/>
      <c r="N1398" s="96"/>
      <c r="O1398" s="411" t="s">
        <v>9503</v>
      </c>
      <c r="P1398" s="2578">
        <v>10</v>
      </c>
      <c r="Q1398" s="503">
        <v>-40</v>
      </c>
      <c r="R1398" s="2585">
        <f>COUNTIF(PoderesDeCriatura_Adquiridos,Tablas!O1398)</f>
        <v>0</v>
      </c>
      <c r="S1398" s="370">
        <f t="array" ref="S1398">MIN(R1398:R1401*{-10;-25;-50;-100})</f>
        <v>0</v>
      </c>
      <c r="T1398" s="2576" t="s">
        <v>8666</v>
      </c>
    </row>
    <row r="1399" spans="1:21" ht="12.75" customHeight="1" x14ac:dyDescent="0.2">
      <c r="A1399" s="1916">
        <v>1399</v>
      </c>
      <c r="B1399" s="5148"/>
      <c r="C1399" s="1999"/>
      <c r="H1399" s="363"/>
      <c r="M1399" s="1847"/>
      <c r="N1399" s="96"/>
      <c r="O1399" s="411" t="s">
        <v>9504</v>
      </c>
      <c r="P1399" s="2578">
        <v>10</v>
      </c>
      <c r="Q1399" s="503">
        <v>-45</v>
      </c>
      <c r="R1399" s="2585">
        <f>COUNTIF(PoderesDeCriatura_Adquiridos,Tablas!O1399)</f>
        <v>0</v>
      </c>
      <c r="S1399" s="370"/>
      <c r="T1399" s="2576"/>
      <c r="U1399" s="504"/>
    </row>
    <row r="1400" spans="1:21" ht="12.75" customHeight="1" x14ac:dyDescent="0.2">
      <c r="A1400" s="1916">
        <v>1400</v>
      </c>
      <c r="B1400" s="5148"/>
      <c r="C1400" s="1999"/>
      <c r="H1400" s="363"/>
      <c r="M1400" s="1847"/>
      <c r="N1400" s="96"/>
      <c r="O1400" s="411" t="s">
        <v>9505</v>
      </c>
      <c r="P1400" s="2578">
        <v>10</v>
      </c>
      <c r="Q1400" s="503">
        <v>-50</v>
      </c>
      <c r="R1400" s="2585">
        <f>COUNTIF(PoderesDeCriatura_Adquiridos,Tablas!O1400)</f>
        <v>0</v>
      </c>
      <c r="S1400" s="370"/>
      <c r="T1400" s="2576"/>
      <c r="U1400" s="504"/>
    </row>
    <row r="1401" spans="1:21" ht="12.75" customHeight="1" x14ac:dyDescent="0.2">
      <c r="A1401" s="1916">
        <v>1401</v>
      </c>
      <c r="B1401" s="5148"/>
      <c r="C1401" s="1999"/>
      <c r="H1401" s="363"/>
      <c r="M1401" s="1847"/>
      <c r="N1401" s="96"/>
      <c r="O1401" s="411" t="s">
        <v>9506</v>
      </c>
      <c r="P1401" s="2578">
        <v>10</v>
      </c>
      <c r="Q1401" s="503">
        <v>-60</v>
      </c>
      <c r="R1401" s="2585">
        <f>COUNTIF(PoderesDeCriatura_Adquiridos,Tablas!O1401)</f>
        <v>0</v>
      </c>
      <c r="S1401" s="370"/>
      <c r="T1401" s="2576"/>
      <c r="U1401" s="504"/>
    </row>
    <row r="1402" spans="1:21" ht="12.75" customHeight="1" x14ac:dyDescent="0.2">
      <c r="A1402" s="1916">
        <v>1402</v>
      </c>
      <c r="B1402" s="5148"/>
      <c r="C1402" s="1999"/>
      <c r="H1402" s="363"/>
      <c r="M1402" s="1847"/>
      <c r="N1402" s="96"/>
      <c r="O1402" s="411" t="s">
        <v>1622</v>
      </c>
      <c r="P1402" s="2578"/>
      <c r="Q1402" s="503"/>
      <c r="R1402" s="2585"/>
      <c r="S1402" s="370"/>
      <c r="T1402" s="2576"/>
      <c r="U1402" s="504"/>
    </row>
    <row r="1403" spans="1:21" ht="12.75" customHeight="1" x14ac:dyDescent="0.2">
      <c r="A1403" s="1916">
        <v>1403</v>
      </c>
      <c r="B1403" s="5148"/>
      <c r="C1403" s="1999"/>
      <c r="H1403" s="363"/>
      <c r="M1403" s="1847"/>
      <c r="N1403" s="96"/>
      <c r="O1403" s="411" t="s">
        <v>9507</v>
      </c>
      <c r="P1403" s="2578">
        <v>15</v>
      </c>
      <c r="Q1403" s="503">
        <v>40</v>
      </c>
      <c r="R1403" s="2585">
        <f>COUNTIF(PoderesDeCriatura_Adquiridos,Tablas!O1403)</f>
        <v>0</v>
      </c>
      <c r="S1403" s="370"/>
      <c r="T1403" s="2576"/>
      <c r="U1403" s="504"/>
    </row>
    <row r="1404" spans="1:21" ht="12.75" customHeight="1" x14ac:dyDescent="0.2">
      <c r="A1404" s="1916">
        <v>1404</v>
      </c>
      <c r="B1404" s="5148"/>
      <c r="C1404" s="1999"/>
      <c r="H1404" s="363"/>
      <c r="M1404" s="1847"/>
      <c r="N1404" s="96"/>
      <c r="O1404" s="411" t="s">
        <v>9508</v>
      </c>
      <c r="P1404" s="2578">
        <v>20</v>
      </c>
      <c r="Q1404" s="503">
        <v>60</v>
      </c>
      <c r="R1404" s="2585">
        <f>COUNTIF(PoderesDeCriatura_Adquiridos,Tablas!O1404)</f>
        <v>0</v>
      </c>
      <c r="S1404" s="370"/>
      <c r="T1404" s="2576"/>
      <c r="U1404" s="504"/>
    </row>
    <row r="1405" spans="1:21" ht="12.75" customHeight="1" x14ac:dyDescent="0.2">
      <c r="A1405" s="1916">
        <v>1405</v>
      </c>
      <c r="B1405" s="5148"/>
      <c r="C1405" s="1999"/>
      <c r="H1405" s="363"/>
      <c r="M1405" s="1847"/>
      <c r="N1405" s="96"/>
      <c r="O1405" s="411" t="s">
        <v>9509</v>
      </c>
      <c r="P1405" s="2578">
        <v>20</v>
      </c>
      <c r="Q1405" s="503">
        <v>80</v>
      </c>
      <c r="R1405" s="2585">
        <f>COUNTIF(PoderesDeCriatura_Adquiridos,Tablas!O1405)</f>
        <v>0</v>
      </c>
      <c r="S1405" s="370"/>
      <c r="T1405" s="2576"/>
      <c r="U1405" s="504"/>
    </row>
    <row r="1406" spans="1:21" ht="12.75" customHeight="1" x14ac:dyDescent="0.2">
      <c r="A1406" s="1916">
        <v>1406</v>
      </c>
      <c r="B1406" s="5148"/>
      <c r="C1406" s="1999"/>
      <c r="H1406" s="363"/>
      <c r="M1406" s="1847"/>
      <c r="N1406" s="96"/>
      <c r="O1406" s="411" t="s">
        <v>9510</v>
      </c>
      <c r="P1406" s="2578">
        <v>25</v>
      </c>
      <c r="Q1406" s="503">
        <v>100</v>
      </c>
      <c r="R1406" s="2585">
        <f>COUNTIF(PoderesDeCriatura_Adquiridos,Tablas!O1406)</f>
        <v>0</v>
      </c>
      <c r="S1406" s="370"/>
      <c r="T1406" s="2576"/>
      <c r="U1406" s="504"/>
    </row>
    <row r="1407" spans="1:21" ht="12.75" customHeight="1" x14ac:dyDescent="0.2">
      <c r="A1407" s="1916">
        <v>1407</v>
      </c>
      <c r="B1407" s="5148"/>
      <c r="C1407" s="1999"/>
      <c r="H1407" s="363"/>
      <c r="M1407" s="1847"/>
      <c r="N1407" s="96"/>
      <c r="O1407" s="411" t="s">
        <v>9511</v>
      </c>
      <c r="P1407" s="2578">
        <v>30</v>
      </c>
      <c r="Q1407" s="503">
        <v>140</v>
      </c>
      <c r="R1407" s="2585">
        <f>COUNTIF(PoderesDeCriatura_Adquiridos,Tablas!O1407)</f>
        <v>0</v>
      </c>
      <c r="S1407" s="370"/>
      <c r="T1407" s="2576"/>
      <c r="U1407" s="504"/>
    </row>
    <row r="1408" spans="1:21" ht="12.75" customHeight="1" x14ac:dyDescent="0.2">
      <c r="A1408" s="1916">
        <v>1408</v>
      </c>
      <c r="B1408" s="5148"/>
      <c r="C1408" s="1999"/>
      <c r="H1408" s="363"/>
      <c r="M1408" s="1847"/>
      <c r="N1408" s="96"/>
      <c r="O1408" s="411" t="s">
        <v>9512</v>
      </c>
      <c r="P1408" s="2578">
        <v>35</v>
      </c>
      <c r="Q1408" s="503">
        <v>180</v>
      </c>
      <c r="R1408" s="2585">
        <f>COUNTIF(PoderesDeCriatura_Adquiridos,Tablas!O1408)</f>
        <v>0</v>
      </c>
      <c r="S1408" s="370"/>
      <c r="T1408" s="2576"/>
      <c r="U1408" s="504"/>
    </row>
    <row r="1409" spans="1:21" ht="12.75" customHeight="1" x14ac:dyDescent="0.2">
      <c r="A1409" s="1916">
        <v>1409</v>
      </c>
      <c r="B1409" s="5148"/>
      <c r="C1409" s="1999"/>
      <c r="H1409" s="363"/>
      <c r="M1409" s="1847"/>
      <c r="N1409" s="96"/>
      <c r="O1409" s="411" t="s">
        <v>9513</v>
      </c>
      <c r="P1409" s="2578">
        <v>15</v>
      </c>
      <c r="Q1409" s="503">
        <v>30</v>
      </c>
      <c r="R1409" s="2585">
        <f>COUNTIF(PoderesDeCriatura_Adquiridos,Tablas!O1409)</f>
        <v>0</v>
      </c>
      <c r="S1409" s="370"/>
      <c r="T1409" s="2576"/>
      <c r="U1409" s="504"/>
    </row>
    <row r="1410" spans="1:21" ht="12.75" customHeight="1" x14ac:dyDescent="0.2">
      <c r="A1410" s="1916">
        <v>1410</v>
      </c>
      <c r="B1410" s="5148"/>
      <c r="C1410" s="1999"/>
      <c r="H1410" s="363"/>
      <c r="M1410" s="1847"/>
      <c r="N1410" s="96"/>
      <c r="O1410" s="411" t="s">
        <v>9514</v>
      </c>
      <c r="P1410" s="2578">
        <v>15</v>
      </c>
      <c r="Q1410" s="503">
        <v>40</v>
      </c>
      <c r="R1410" s="2585">
        <f>COUNTIF(PoderesDeCriatura_Adquiridos,Tablas!O1410)</f>
        <v>0</v>
      </c>
      <c r="S1410" s="370"/>
      <c r="T1410" s="2576"/>
      <c r="U1410" s="504"/>
    </row>
    <row r="1411" spans="1:21" ht="12.75" customHeight="1" x14ac:dyDescent="0.2">
      <c r="A1411" s="1916">
        <v>1411</v>
      </c>
      <c r="B1411" s="5148"/>
      <c r="C1411" s="1999"/>
      <c r="H1411" s="363"/>
      <c r="M1411" s="1847"/>
      <c r="N1411" s="96"/>
      <c r="O1411" s="411" t="s">
        <v>9515</v>
      </c>
      <c r="P1411" s="2578">
        <v>20</v>
      </c>
      <c r="Q1411" s="503">
        <v>50</v>
      </c>
      <c r="R1411" s="2585">
        <f>COUNTIF(PoderesDeCriatura_Adquiridos,Tablas!O1411)</f>
        <v>0</v>
      </c>
      <c r="S1411" s="370"/>
      <c r="T1411" s="2576"/>
      <c r="U1411" s="504"/>
    </row>
    <row r="1412" spans="1:21" ht="12.75" customHeight="1" x14ac:dyDescent="0.2">
      <c r="A1412" s="1916">
        <v>1412</v>
      </c>
      <c r="B1412" s="5148"/>
      <c r="C1412" s="1999"/>
      <c r="H1412" s="363"/>
      <c r="M1412" s="1847"/>
      <c r="N1412" s="96"/>
      <c r="O1412" s="411" t="s">
        <v>9516</v>
      </c>
      <c r="P1412" s="2578">
        <v>20</v>
      </c>
      <c r="Q1412" s="503">
        <v>75</v>
      </c>
      <c r="R1412" s="2585">
        <f>COUNTIF(PoderesDeCriatura_Adquiridos,Tablas!O1412)</f>
        <v>0</v>
      </c>
      <c r="S1412" s="370"/>
      <c r="T1412" s="2576"/>
      <c r="U1412" s="504"/>
    </row>
    <row r="1413" spans="1:21" ht="12.75" customHeight="1" x14ac:dyDescent="0.2">
      <c r="A1413" s="1916">
        <v>1413</v>
      </c>
      <c r="B1413" s="5148"/>
      <c r="C1413" s="1999"/>
      <c r="H1413" s="363"/>
      <c r="M1413" s="1847"/>
      <c r="N1413" s="96"/>
      <c r="O1413" s="411" t="s">
        <v>9517</v>
      </c>
      <c r="P1413" s="2578">
        <v>25</v>
      </c>
      <c r="Q1413" s="503">
        <v>100</v>
      </c>
      <c r="R1413" s="2585">
        <f>COUNTIF(PoderesDeCriatura_Adquiridos,Tablas!O1413)</f>
        <v>0</v>
      </c>
      <c r="S1413" s="370"/>
      <c r="T1413" s="2576"/>
      <c r="U1413" s="504"/>
    </row>
    <row r="1414" spans="1:21" ht="12.75" customHeight="1" x14ac:dyDescent="0.2">
      <c r="A1414" s="1916">
        <v>1414</v>
      </c>
      <c r="B1414" s="5148"/>
      <c r="C1414" s="1999"/>
      <c r="H1414" s="363"/>
      <c r="M1414" s="1847"/>
      <c r="N1414" s="96"/>
      <c r="O1414" s="411" t="s">
        <v>9518</v>
      </c>
      <c r="P1414" s="2578">
        <v>30</v>
      </c>
      <c r="Q1414" s="503">
        <v>125</v>
      </c>
      <c r="R1414" s="2585">
        <f>COUNTIF(PoderesDeCriatura_Adquiridos,Tablas!O1414)</f>
        <v>0</v>
      </c>
      <c r="S1414" s="370"/>
      <c r="T1414" s="2576"/>
      <c r="U1414" s="504"/>
    </row>
    <row r="1415" spans="1:21" ht="12.75" customHeight="1" x14ac:dyDescent="0.2">
      <c r="A1415" s="1916">
        <v>1415</v>
      </c>
      <c r="B1415" s="5148"/>
      <c r="C1415" s="1999"/>
      <c r="H1415" s="363"/>
      <c r="M1415" s="1847"/>
      <c r="N1415" s="96"/>
      <c r="O1415" s="411" t="s">
        <v>9519</v>
      </c>
      <c r="P1415" s="2578">
        <v>35</v>
      </c>
      <c r="Q1415" s="503">
        <v>150</v>
      </c>
      <c r="R1415" s="2585">
        <f>COUNTIF(PoderesDeCriatura_Adquiridos,Tablas!O1415)</f>
        <v>0</v>
      </c>
      <c r="S1415" s="370"/>
      <c r="T1415" s="2576"/>
      <c r="U1415" s="504"/>
    </row>
    <row r="1416" spans="1:21" ht="12.75" customHeight="1" x14ac:dyDescent="0.2">
      <c r="A1416" s="1916">
        <v>1416</v>
      </c>
      <c r="B1416" s="5148"/>
      <c r="C1416" s="1999"/>
      <c r="H1416" s="363"/>
      <c r="M1416" s="1847"/>
      <c r="N1416" s="96"/>
      <c r="O1416" s="411" t="s">
        <v>9520</v>
      </c>
      <c r="P1416" s="2578">
        <v>15</v>
      </c>
      <c r="Q1416" s="503">
        <v>60</v>
      </c>
      <c r="R1416" s="2585">
        <f>COUNTIF(PoderesDeCriatura_Adquiridos,Tablas!O1416)</f>
        <v>0</v>
      </c>
      <c r="S1416" s="370"/>
      <c r="T1416" s="2576"/>
      <c r="U1416" s="504"/>
    </row>
    <row r="1417" spans="1:21" ht="12.75" customHeight="1" x14ac:dyDescent="0.2">
      <c r="A1417" s="1916">
        <v>1417</v>
      </c>
      <c r="B1417" s="5148"/>
      <c r="C1417" s="1999"/>
      <c r="H1417" s="363"/>
      <c r="M1417" s="1847"/>
      <c r="N1417" s="96"/>
      <c r="O1417" s="411" t="s">
        <v>9521</v>
      </c>
      <c r="P1417" s="2578">
        <v>20</v>
      </c>
      <c r="Q1417" s="503">
        <v>80</v>
      </c>
      <c r="R1417" s="2585">
        <f>COUNTIF(PoderesDeCriatura_Adquiridos,Tablas!O1417)</f>
        <v>0</v>
      </c>
      <c r="S1417" s="370"/>
      <c r="T1417" s="2576"/>
      <c r="U1417" s="504"/>
    </row>
    <row r="1418" spans="1:21" ht="12.75" customHeight="1" x14ac:dyDescent="0.2">
      <c r="A1418" s="1916">
        <v>1418</v>
      </c>
      <c r="B1418" s="5148"/>
      <c r="C1418" s="1999"/>
      <c r="H1418" s="363"/>
      <c r="M1418" s="1847"/>
      <c r="N1418" s="96"/>
      <c r="O1418" s="411" t="s">
        <v>9522</v>
      </c>
      <c r="P1418" s="2578">
        <v>25</v>
      </c>
      <c r="Q1418" s="503">
        <v>120</v>
      </c>
      <c r="R1418" s="2585">
        <f>COUNTIF(PoderesDeCriatura_Adquiridos,Tablas!O1418)</f>
        <v>0</v>
      </c>
      <c r="S1418" s="370"/>
      <c r="T1418" s="2576"/>
      <c r="U1418" s="504"/>
    </row>
    <row r="1419" spans="1:21" ht="12.75" customHeight="1" x14ac:dyDescent="0.2">
      <c r="A1419" s="1916">
        <v>1419</v>
      </c>
      <c r="B1419" s="5148"/>
      <c r="C1419" s="1999"/>
      <c r="H1419" s="363"/>
      <c r="M1419" s="1847"/>
      <c r="N1419" s="96"/>
      <c r="O1419" s="411" t="s">
        <v>9523</v>
      </c>
      <c r="P1419" s="2578">
        <v>30</v>
      </c>
      <c r="Q1419" s="503">
        <v>140</v>
      </c>
      <c r="R1419" s="2585">
        <f>COUNTIF(PoderesDeCriatura_Adquiridos,Tablas!O1419)</f>
        <v>0</v>
      </c>
      <c r="S1419" s="370"/>
      <c r="T1419" s="2576"/>
      <c r="U1419" s="504"/>
    </row>
    <row r="1420" spans="1:21" ht="12.75" customHeight="1" x14ac:dyDescent="0.2">
      <c r="A1420" s="1916">
        <v>1420</v>
      </c>
      <c r="B1420" s="5148"/>
      <c r="C1420" s="1999"/>
      <c r="H1420" s="363"/>
      <c r="M1420" s="1847"/>
      <c r="N1420" s="96"/>
      <c r="O1420" s="411" t="s">
        <v>9524</v>
      </c>
      <c r="P1420" s="2578">
        <v>15</v>
      </c>
      <c r="Q1420" s="503">
        <v>-30</v>
      </c>
      <c r="R1420" s="2585">
        <f>COUNTIF(PoderesDeCriatura_Adquiridos,Tablas!O1420)</f>
        <v>0</v>
      </c>
      <c r="S1420" s="370"/>
      <c r="T1420" s="2576"/>
      <c r="U1420" s="504"/>
    </row>
    <row r="1421" spans="1:21" ht="12.75" customHeight="1" x14ac:dyDescent="0.2">
      <c r="A1421" s="1916">
        <v>1421</v>
      </c>
      <c r="B1421" s="5148"/>
      <c r="C1421" s="1999"/>
      <c r="H1421" s="363"/>
      <c r="M1421" s="1847"/>
      <c r="N1421" s="96"/>
      <c r="O1421" s="411" t="s">
        <v>9525</v>
      </c>
      <c r="P1421" s="2578">
        <v>15</v>
      </c>
      <c r="Q1421" s="503">
        <v>-20</v>
      </c>
      <c r="R1421" s="2585">
        <f>COUNTIF(PoderesDeCriatura_Adquiridos,Tablas!O1421)</f>
        <v>0</v>
      </c>
      <c r="S1421" s="370"/>
      <c r="T1421" s="2576"/>
      <c r="U1421" s="504"/>
    </row>
    <row r="1422" spans="1:21" ht="12.75" customHeight="1" x14ac:dyDescent="0.2">
      <c r="A1422" s="1916">
        <v>1422</v>
      </c>
      <c r="B1422" s="5148"/>
      <c r="C1422" s="1999"/>
      <c r="H1422" s="363"/>
      <c r="M1422" s="1847"/>
      <c r="N1422" s="96"/>
      <c r="O1422" s="411" t="s">
        <v>9526</v>
      </c>
      <c r="P1422" s="2578">
        <v>15</v>
      </c>
      <c r="Q1422" s="503">
        <v>-10</v>
      </c>
      <c r="R1422" s="2585">
        <f>COUNTIF(PoderesDeCriatura_Adquiridos,Tablas!O1422)</f>
        <v>0</v>
      </c>
      <c r="S1422" s="370"/>
      <c r="T1422" s="2576"/>
      <c r="U1422" s="504"/>
    </row>
    <row r="1423" spans="1:21" ht="12.75" customHeight="1" x14ac:dyDescent="0.2">
      <c r="A1423" s="1916">
        <v>1423</v>
      </c>
      <c r="B1423" s="5148"/>
      <c r="C1423" s="1999"/>
      <c r="H1423" s="363"/>
      <c r="M1423" s="1847"/>
      <c r="N1423" s="96"/>
      <c r="O1423" s="411" t="s">
        <v>9527</v>
      </c>
      <c r="P1423" s="2578">
        <v>15</v>
      </c>
      <c r="Q1423" s="503">
        <v>-10</v>
      </c>
      <c r="R1423" s="2585">
        <f>COUNTIF(PoderesDeCriatura_Adquiridos,Tablas!O1423)</f>
        <v>0</v>
      </c>
      <c r="S1423" s="370"/>
      <c r="T1423" s="2576"/>
      <c r="U1423" s="504"/>
    </row>
    <row r="1424" spans="1:21" ht="12.75" customHeight="1" x14ac:dyDescent="0.2">
      <c r="A1424" s="1916">
        <v>1424</v>
      </c>
      <c r="B1424" s="5148"/>
      <c r="C1424" s="1999"/>
      <c r="H1424" s="363"/>
      <c r="M1424" s="1847"/>
      <c r="N1424" s="96"/>
      <c r="O1424" s="411" t="s">
        <v>9528</v>
      </c>
      <c r="P1424" s="2578">
        <v>15</v>
      </c>
      <c r="Q1424" s="503">
        <v>-20</v>
      </c>
      <c r="R1424" s="2585">
        <f>COUNTIF(PoderesDeCriatura_Adquiridos,Tablas!O1424)</f>
        <v>0</v>
      </c>
      <c r="S1424" s="370"/>
      <c r="T1424" s="2576"/>
      <c r="U1424" s="504"/>
    </row>
    <row r="1425" spans="1:21" ht="12.75" customHeight="1" x14ac:dyDescent="0.2">
      <c r="A1425" s="1916">
        <v>1425</v>
      </c>
      <c r="B1425" s="5148"/>
      <c r="C1425" s="1999"/>
      <c r="H1425" s="363"/>
      <c r="M1425" s="1847"/>
      <c r="N1425" s="96"/>
      <c r="O1425" s="411" t="s">
        <v>9529</v>
      </c>
      <c r="P1425" s="2578">
        <v>15</v>
      </c>
      <c r="Q1425" s="503">
        <v>-10</v>
      </c>
      <c r="R1425" s="2585">
        <f>COUNTIF(PoderesDeCriatura_Adquiridos,Tablas!O1425)</f>
        <v>0</v>
      </c>
      <c r="S1425" s="370"/>
      <c r="T1425" s="2576"/>
      <c r="U1425" s="504"/>
    </row>
    <row r="1426" spans="1:21" ht="12.75" customHeight="1" x14ac:dyDescent="0.2">
      <c r="A1426" s="1916">
        <v>1426</v>
      </c>
      <c r="B1426" s="5148"/>
      <c r="C1426" s="1999"/>
      <c r="H1426" s="363"/>
      <c r="M1426" s="1847"/>
      <c r="N1426" s="96"/>
      <c r="O1426" s="411" t="s">
        <v>9530</v>
      </c>
      <c r="P1426" s="2578">
        <v>20</v>
      </c>
      <c r="Q1426" s="503">
        <v>-10</v>
      </c>
      <c r="R1426" s="2585">
        <f>COUNTIF(PoderesDeCriatura_Adquiridos,Tablas!O1426)</f>
        <v>0</v>
      </c>
      <c r="S1426" s="370"/>
      <c r="T1426" s="2576"/>
      <c r="U1426" s="504"/>
    </row>
    <row r="1427" spans="1:21" ht="12.75" customHeight="1" x14ac:dyDescent="0.2">
      <c r="A1427" s="1916">
        <v>1427</v>
      </c>
      <c r="B1427" s="5148"/>
      <c r="C1427" s="1999"/>
      <c r="H1427" s="363"/>
      <c r="M1427" s="1847"/>
      <c r="N1427" s="96"/>
      <c r="O1427" s="411" t="s">
        <v>9531</v>
      </c>
      <c r="P1427" s="2578">
        <v>25</v>
      </c>
      <c r="Q1427" s="503">
        <v>-10</v>
      </c>
      <c r="R1427" s="2585">
        <f>COUNTIF(PoderesDeCriatura_Adquiridos,Tablas!O1427)</f>
        <v>0</v>
      </c>
      <c r="S1427" s="370"/>
      <c r="T1427" s="2576"/>
      <c r="U1427" s="504"/>
    </row>
    <row r="1428" spans="1:21" ht="12.75" customHeight="1" x14ac:dyDescent="0.2">
      <c r="A1428" s="1916">
        <v>1428</v>
      </c>
      <c r="B1428" s="5148"/>
      <c r="C1428" s="1999"/>
      <c r="H1428" s="363"/>
      <c r="M1428" s="1847"/>
      <c r="N1428" s="96"/>
      <c r="O1428" s="411" t="s">
        <v>10067</v>
      </c>
      <c r="P1428" s="2578">
        <v>20</v>
      </c>
      <c r="Q1428" s="503">
        <v>-10</v>
      </c>
      <c r="R1428" s="2585">
        <f>COUNTIF(PoderesDeCriatura_Adquiridos,Tablas!O1428)</f>
        <v>0</v>
      </c>
      <c r="S1428" s="370"/>
      <c r="T1428" s="2576"/>
      <c r="U1428" s="504"/>
    </row>
    <row r="1429" spans="1:21" ht="12.75" customHeight="1" x14ac:dyDescent="0.2">
      <c r="A1429" s="1916">
        <v>1429</v>
      </c>
      <c r="B1429" s="5148"/>
      <c r="C1429" s="1999"/>
      <c r="H1429" s="363"/>
      <c r="M1429" s="1847"/>
      <c r="N1429" s="96"/>
      <c r="O1429" s="411" t="s">
        <v>10068</v>
      </c>
      <c r="P1429" s="2578">
        <v>20</v>
      </c>
      <c r="Q1429" s="503">
        <v>-10</v>
      </c>
      <c r="R1429" s="2585">
        <f>COUNTIF(PoderesDeCriatura_Adquiridos,Tablas!O1429)</f>
        <v>0</v>
      </c>
      <c r="S1429" s="370"/>
      <c r="T1429" s="2576"/>
      <c r="U1429" s="504"/>
    </row>
    <row r="1430" spans="1:21" ht="12.75" customHeight="1" x14ac:dyDescent="0.2">
      <c r="A1430" s="1916">
        <v>1430</v>
      </c>
      <c r="B1430" s="5148"/>
      <c r="C1430" s="1999"/>
      <c r="H1430" s="363"/>
      <c r="M1430" s="1847"/>
      <c r="N1430" s="96"/>
      <c r="O1430" s="2592" t="s">
        <v>9532</v>
      </c>
      <c r="P1430" s="2578">
        <v>20</v>
      </c>
      <c r="Q1430" s="503">
        <v>-20</v>
      </c>
      <c r="R1430" s="2585">
        <f>COUNTIF(PoderesDeCriatura_Adquiridos,Tablas!O1430)</f>
        <v>0</v>
      </c>
      <c r="S1430" s="370"/>
      <c r="T1430" s="2576"/>
      <c r="U1430" s="504"/>
    </row>
    <row r="1431" spans="1:21" ht="12.75" customHeight="1" x14ac:dyDescent="0.2">
      <c r="A1431" s="1916">
        <v>1431</v>
      </c>
      <c r="B1431" s="5148"/>
      <c r="C1431" s="1999"/>
      <c r="H1431" s="363"/>
      <c r="M1431" s="1847"/>
      <c r="N1431" s="96"/>
      <c r="O1431" s="411" t="s">
        <v>9533</v>
      </c>
      <c r="P1431" s="2578">
        <v>20</v>
      </c>
      <c r="Q1431" s="503">
        <v>-15</v>
      </c>
      <c r="R1431" s="2585">
        <f>COUNTIF(PoderesDeCriatura_Adquiridos,Tablas!O1431)</f>
        <v>0</v>
      </c>
      <c r="S1431" s="370"/>
      <c r="T1431" s="2576"/>
      <c r="U1431" s="504"/>
    </row>
    <row r="1432" spans="1:21" ht="12.75" customHeight="1" x14ac:dyDescent="0.2">
      <c r="A1432" s="1916">
        <v>1432</v>
      </c>
      <c r="B1432" s="5148"/>
      <c r="C1432" s="1999"/>
      <c r="H1432" s="363"/>
      <c r="M1432" s="1847"/>
      <c r="N1432" s="96"/>
      <c r="O1432" s="411" t="s">
        <v>9534</v>
      </c>
      <c r="P1432" s="2578">
        <v>20</v>
      </c>
      <c r="Q1432" s="503">
        <v>-10</v>
      </c>
      <c r="R1432" s="2585">
        <f>COUNTIF(PoderesDeCriatura_Adquiridos,Tablas!O1432)</f>
        <v>0</v>
      </c>
      <c r="S1432" s="370"/>
      <c r="T1432" s="2576"/>
      <c r="U1432" s="504"/>
    </row>
    <row r="1433" spans="1:21" ht="12.75" customHeight="1" x14ac:dyDescent="0.2">
      <c r="A1433" s="1916">
        <v>1433</v>
      </c>
      <c r="B1433" s="5148"/>
      <c r="C1433" s="1999"/>
      <c r="H1433" s="363"/>
      <c r="M1433" s="1847"/>
      <c r="N1433" s="96"/>
      <c r="O1433" s="411" t="s">
        <v>9535</v>
      </c>
      <c r="P1433" s="2578">
        <v>20</v>
      </c>
      <c r="Q1433" s="503">
        <v>-30</v>
      </c>
      <c r="R1433" s="2585">
        <f>COUNTIF(PoderesDeCriatura_Adquiridos,Tablas!O1433)</f>
        <v>0</v>
      </c>
      <c r="S1433" s="370"/>
      <c r="T1433" s="2576"/>
      <c r="U1433" s="504"/>
    </row>
    <row r="1434" spans="1:21" ht="12.75" customHeight="1" x14ac:dyDescent="0.2">
      <c r="A1434" s="1916">
        <v>1434</v>
      </c>
      <c r="B1434" s="5148"/>
      <c r="C1434" s="1999"/>
      <c r="H1434" s="363"/>
      <c r="M1434" s="1847"/>
      <c r="N1434" s="96"/>
      <c r="O1434" s="411" t="s">
        <v>9536</v>
      </c>
      <c r="P1434" s="2578">
        <v>20</v>
      </c>
      <c r="Q1434" s="503">
        <v>-10</v>
      </c>
      <c r="R1434" s="2585">
        <f>COUNTIF(PoderesDeCriatura_Adquiridos,Tablas!O1434)</f>
        <v>0</v>
      </c>
      <c r="S1434" s="370"/>
      <c r="T1434" s="2576"/>
      <c r="U1434" s="504"/>
    </row>
    <row r="1435" spans="1:21" ht="12.75" customHeight="1" x14ac:dyDescent="0.2">
      <c r="A1435" s="1916">
        <v>1435</v>
      </c>
      <c r="B1435" s="5148"/>
      <c r="C1435" s="1999"/>
      <c r="H1435" s="363"/>
      <c r="M1435" s="1847"/>
      <c r="N1435" s="96"/>
      <c r="O1435" s="411" t="s">
        <v>9537</v>
      </c>
      <c r="P1435" s="2578">
        <v>20</v>
      </c>
      <c r="Q1435" s="503">
        <v>-15</v>
      </c>
      <c r="R1435" s="2585">
        <f>COUNTIF(PoderesDeCriatura_Adquiridos,Tablas!O1435)</f>
        <v>0</v>
      </c>
      <c r="S1435" s="370"/>
      <c r="T1435" s="2576"/>
      <c r="U1435" s="504"/>
    </row>
    <row r="1436" spans="1:21" ht="12.75" customHeight="1" x14ac:dyDescent="0.2">
      <c r="A1436" s="1916">
        <v>1436</v>
      </c>
      <c r="B1436" s="5148"/>
      <c r="C1436" s="1999"/>
      <c r="H1436" s="363"/>
      <c r="M1436" s="1847"/>
      <c r="N1436" s="96"/>
      <c r="O1436" s="411" t="s">
        <v>9538</v>
      </c>
      <c r="P1436" s="2578">
        <v>20</v>
      </c>
      <c r="Q1436" s="503">
        <v>-20</v>
      </c>
      <c r="R1436" s="2585">
        <f>COUNTIF(PoderesDeCriatura_Adquiridos,Tablas!O1436)</f>
        <v>0</v>
      </c>
      <c r="S1436" s="370"/>
      <c r="T1436" s="2576"/>
      <c r="U1436" s="504"/>
    </row>
    <row r="1437" spans="1:21" ht="12.75" customHeight="1" x14ac:dyDescent="0.2">
      <c r="A1437" s="1916">
        <v>1437</v>
      </c>
      <c r="B1437" s="5148"/>
      <c r="C1437" s="1999"/>
      <c r="H1437" s="363"/>
      <c r="M1437" s="1847"/>
      <c r="N1437" s="96"/>
      <c r="O1437" s="411" t="s">
        <v>9539</v>
      </c>
      <c r="P1437" s="2578">
        <v>20</v>
      </c>
      <c r="Q1437" s="503">
        <v>-25</v>
      </c>
      <c r="R1437" s="2585">
        <f>COUNTIF(PoderesDeCriatura_Adquiridos,Tablas!O1437)</f>
        <v>0</v>
      </c>
      <c r="S1437" s="370"/>
      <c r="T1437" s="2576"/>
      <c r="U1437" s="504"/>
    </row>
    <row r="1438" spans="1:21" ht="12.75" customHeight="1" x14ac:dyDescent="0.2">
      <c r="A1438" s="1916">
        <v>1438</v>
      </c>
      <c r="B1438" s="5148"/>
      <c r="C1438" s="1999"/>
      <c r="H1438" s="363"/>
      <c r="M1438" s="1847"/>
      <c r="N1438" s="96"/>
      <c r="O1438" s="411" t="s">
        <v>9540</v>
      </c>
      <c r="P1438" s="2578">
        <f>IF(General!R65="Xavi",10,0)</f>
        <v>0</v>
      </c>
      <c r="Q1438" s="503">
        <f>IF(General!R65="Xavi",10,5)</f>
        <v>5</v>
      </c>
      <c r="R1438" s="2585">
        <f>COUNTIF(PoderesDeCriatura_Adquiridos,Tablas!O1438)</f>
        <v>0</v>
      </c>
      <c r="S1438" s="370"/>
      <c r="T1438" s="2576"/>
      <c r="U1438" s="504"/>
    </row>
    <row r="1439" spans="1:21" ht="12.75" customHeight="1" x14ac:dyDescent="0.2">
      <c r="A1439" s="1916">
        <v>1439</v>
      </c>
      <c r="B1439" s="5148"/>
      <c r="C1439" s="1999"/>
      <c r="H1439" s="363"/>
      <c r="M1439" s="1847"/>
      <c r="N1439" s="96"/>
      <c r="O1439" s="411" t="s">
        <v>9541</v>
      </c>
      <c r="P1439" s="2578">
        <f>IF(General!R65="Xavi",20,0)</f>
        <v>0</v>
      </c>
      <c r="Q1439" s="503">
        <f>IF(General!R65="Xavi",20,10)</f>
        <v>10</v>
      </c>
      <c r="R1439" s="2585">
        <f>COUNTIF(PoderesDeCriatura_Adquiridos,Tablas!O1439)</f>
        <v>0</v>
      </c>
      <c r="S1439" s="370"/>
      <c r="T1439" s="2576"/>
      <c r="U1439" s="504"/>
    </row>
    <row r="1440" spans="1:21" ht="12.75" customHeight="1" x14ac:dyDescent="0.2">
      <c r="A1440" s="1916">
        <v>1440</v>
      </c>
      <c r="B1440" s="5148"/>
      <c r="C1440" s="1999"/>
      <c r="H1440" s="363"/>
      <c r="M1440" s="1847"/>
      <c r="N1440" s="96"/>
      <c r="O1440" s="411" t="s">
        <v>9542</v>
      </c>
      <c r="P1440" s="2578">
        <f>IF(General!R65="Xavi",20,5)</f>
        <v>5</v>
      </c>
      <c r="Q1440" s="503">
        <f>IF(General!R65="Xavi",30,15)</f>
        <v>15</v>
      </c>
      <c r="R1440" s="2585">
        <f>COUNTIF(PoderesDeCriatura_Adquiridos,Tablas!O1440)</f>
        <v>0</v>
      </c>
      <c r="S1440" s="370"/>
      <c r="T1440" s="2576"/>
      <c r="U1440" s="504"/>
    </row>
    <row r="1441" spans="1:21" ht="12.75" customHeight="1" x14ac:dyDescent="0.2">
      <c r="A1441" s="1916">
        <v>1441</v>
      </c>
      <c r="B1441" s="5148"/>
      <c r="C1441" s="1999"/>
      <c r="H1441" s="363"/>
      <c r="M1441" s="1847"/>
      <c r="N1441" s="96"/>
      <c r="O1441" s="411" t="s">
        <v>9543</v>
      </c>
      <c r="P1441" s="2578">
        <f>IF(General!R65="Xavi",25,5)</f>
        <v>5</v>
      </c>
      <c r="Q1441" s="503">
        <f>IF(General!R65="Xavi",40,20)</f>
        <v>20</v>
      </c>
      <c r="R1441" s="2585">
        <f>COUNTIF(PoderesDeCriatura_Adquiridos,Tablas!O1441)</f>
        <v>0</v>
      </c>
      <c r="S1441" s="370"/>
      <c r="T1441" s="2576"/>
      <c r="U1441" s="504"/>
    </row>
    <row r="1442" spans="1:21" ht="12.75" customHeight="1" x14ac:dyDescent="0.2">
      <c r="A1442" s="1916">
        <v>1442</v>
      </c>
      <c r="B1442" s="5148"/>
      <c r="C1442" s="1999"/>
      <c r="H1442" s="363"/>
      <c r="M1442" s="1847"/>
      <c r="N1442" s="96"/>
      <c r="O1442" s="411" t="s">
        <v>9544</v>
      </c>
      <c r="P1442" s="2578">
        <f>IF(General!R65="Xavi",25,10)</f>
        <v>10</v>
      </c>
      <c r="Q1442" s="503">
        <f>IF(General!R65="Xavi",50,25)</f>
        <v>25</v>
      </c>
      <c r="R1442" s="2585">
        <f>COUNTIF(PoderesDeCriatura_Adquiridos,Tablas!O1442)</f>
        <v>0</v>
      </c>
      <c r="S1442" s="370"/>
      <c r="T1442" s="2576"/>
      <c r="U1442" s="504"/>
    </row>
    <row r="1443" spans="1:21" ht="12.75" customHeight="1" x14ac:dyDescent="0.2">
      <c r="A1443" s="1916">
        <v>1443</v>
      </c>
      <c r="B1443" s="5148"/>
      <c r="C1443" s="1999"/>
      <c r="H1443" s="363"/>
      <c r="M1443" s="1847"/>
      <c r="N1443" s="96"/>
      <c r="O1443" s="411" t="s">
        <v>9545</v>
      </c>
      <c r="P1443" s="2578">
        <f>IF(General!R65="Xavi",30,10)</f>
        <v>10</v>
      </c>
      <c r="Q1443" s="503">
        <f>IF(General!R65="Xavi",60,30)</f>
        <v>30</v>
      </c>
      <c r="R1443" s="2585">
        <f>COUNTIF(PoderesDeCriatura_Adquiridos,Tablas!O1443)</f>
        <v>0</v>
      </c>
      <c r="S1443" s="370"/>
      <c r="T1443" s="2576"/>
      <c r="U1443" s="504"/>
    </row>
    <row r="1444" spans="1:21" ht="12.75" customHeight="1" x14ac:dyDescent="0.2">
      <c r="A1444" s="1916">
        <v>1444</v>
      </c>
      <c r="B1444" s="5148"/>
      <c r="C1444" s="1999"/>
      <c r="H1444" s="363"/>
      <c r="M1444" s="1847"/>
      <c r="N1444" s="96"/>
      <c r="O1444" s="411" t="s">
        <v>9546</v>
      </c>
      <c r="P1444" s="2578">
        <f>IF(General!R65="Xavi",30,10)</f>
        <v>10</v>
      </c>
      <c r="Q1444" s="503">
        <f>IF(General!R65="Xavi",80,40)</f>
        <v>40</v>
      </c>
      <c r="R1444" s="2585">
        <f>COUNTIF(PoderesDeCriatura_Adquiridos,Tablas!O1444)</f>
        <v>0</v>
      </c>
      <c r="S1444" s="370"/>
      <c r="T1444" s="2576"/>
      <c r="U1444" s="504"/>
    </row>
    <row r="1445" spans="1:21" ht="12.75" customHeight="1" x14ac:dyDescent="0.2">
      <c r="A1445" s="1916">
        <v>1445</v>
      </c>
      <c r="B1445" s="5148"/>
      <c r="C1445" s="1999"/>
      <c r="H1445" s="363"/>
      <c r="M1445" s="1847"/>
      <c r="N1445" s="96"/>
      <c r="O1445" s="411" t="s">
        <v>1623</v>
      </c>
      <c r="P1445" s="2578"/>
      <c r="Q1445" s="503"/>
      <c r="R1445" s="2585"/>
      <c r="S1445" s="370"/>
      <c r="T1445" s="2576"/>
    </row>
    <row r="1446" spans="1:21" ht="12.75" customHeight="1" x14ac:dyDescent="0.2">
      <c r="A1446" s="1916">
        <v>1446</v>
      </c>
      <c r="B1446" s="5148"/>
      <c r="C1446" s="1999"/>
      <c r="H1446" s="363"/>
      <c r="M1446" s="1847"/>
      <c r="N1446" s="96"/>
      <c r="O1446" s="411" t="s">
        <v>9547</v>
      </c>
      <c r="P1446" s="2578">
        <v>0</v>
      </c>
      <c r="Q1446" s="503">
        <v>10</v>
      </c>
      <c r="R1446" s="2585">
        <f>COUNTIF(PoderesDeCriatura_Adquiridos,Tablas!O1446)</f>
        <v>0</v>
      </c>
      <c r="S1446" s="370">
        <f t="array" ref="S1446">IF(R1457&gt;0,0,MAX($R$1446:$R$1456*VALUE(RIGHT($O$1446:$O$1456,2))))</f>
        <v>0</v>
      </c>
      <c r="T1446" s="2576" t="s">
        <v>1863</v>
      </c>
    </row>
    <row r="1447" spans="1:21" ht="12.75" customHeight="1" x14ac:dyDescent="0.2">
      <c r="A1447" s="1916">
        <v>1447</v>
      </c>
      <c r="B1447" s="5148"/>
      <c r="C1447" s="1999"/>
      <c r="H1447" s="363"/>
      <c r="M1447" s="1847"/>
      <c r="N1447" s="96"/>
      <c r="O1447" s="411" t="s">
        <v>9548</v>
      </c>
      <c r="P1447" s="2578">
        <v>0</v>
      </c>
      <c r="Q1447" s="503">
        <v>20</v>
      </c>
      <c r="R1447" s="2585">
        <f>COUNTIF(PoderesDeCriatura_Adquiridos,Tablas!O1447)</f>
        <v>0</v>
      </c>
      <c r="S1447" s="370">
        <f t="array" ref="S1447">IF(R1458&gt;0,0,MAX($R$1446:$R$1456*VALUE(RIGHT($O$1446:$O$1456,2))))</f>
        <v>0</v>
      </c>
      <c r="T1447" s="2576" t="s">
        <v>1809</v>
      </c>
    </row>
    <row r="1448" spans="1:21" ht="12.75" customHeight="1" x14ac:dyDescent="0.2">
      <c r="A1448" s="1916">
        <v>1448</v>
      </c>
      <c r="B1448" s="5148"/>
      <c r="C1448" s="1999"/>
      <c r="H1448" s="363"/>
      <c r="M1448" s="1847"/>
      <c r="N1448" s="96"/>
      <c r="O1448" s="411" t="s">
        <v>9549</v>
      </c>
      <c r="P1448" s="2578">
        <v>0</v>
      </c>
      <c r="Q1448" s="503">
        <v>30</v>
      </c>
      <c r="R1448" s="2585">
        <f>COUNTIF(PoderesDeCriatura_Adquiridos,Tablas!O1448)</f>
        <v>0</v>
      </c>
      <c r="S1448" s="370">
        <f t="array" ref="S1448">IF(R1459&gt;0,0,MAX($R$1446:$R$1456*VALUE(RIGHT($O$1446:$O$1456,2))))</f>
        <v>0</v>
      </c>
      <c r="T1448" s="2576" t="s">
        <v>1864</v>
      </c>
    </row>
    <row r="1449" spans="1:21" ht="12.75" customHeight="1" x14ac:dyDescent="0.2">
      <c r="A1449" s="1916">
        <v>1449</v>
      </c>
      <c r="B1449" s="5148"/>
      <c r="C1449" s="1999"/>
      <c r="H1449" s="363"/>
      <c r="M1449" s="1847"/>
      <c r="N1449" s="96"/>
      <c r="O1449" s="411" t="s">
        <v>9550</v>
      </c>
      <c r="P1449" s="2578">
        <v>5</v>
      </c>
      <c r="Q1449" s="503">
        <v>40</v>
      </c>
      <c r="R1449" s="2585">
        <f>COUNTIF(PoderesDeCriatura_Adquiridos,Tablas!O1449)</f>
        <v>0</v>
      </c>
      <c r="S1449" s="370">
        <f t="array" ref="S1449">IF(R1460&gt;0,0,MAX($R$1446:$R$1456*VALUE(RIGHT($O$1446:$O$1456,2))))</f>
        <v>0</v>
      </c>
      <c r="T1449" s="2576" t="s">
        <v>1865</v>
      </c>
    </row>
    <row r="1450" spans="1:21" ht="12.75" customHeight="1" x14ac:dyDescent="0.2">
      <c r="A1450" s="1916">
        <v>1450</v>
      </c>
      <c r="B1450" s="5148"/>
      <c r="C1450" s="1999"/>
      <c r="H1450" s="363"/>
      <c r="M1450" s="1847"/>
      <c r="N1450" s="96"/>
      <c r="O1450" s="411" t="s">
        <v>9551</v>
      </c>
      <c r="P1450" s="2578">
        <v>10</v>
      </c>
      <c r="Q1450" s="503">
        <v>50</v>
      </c>
      <c r="R1450" s="2585">
        <f>COUNTIF(PoderesDeCriatura_Adquiridos,Tablas!O1450)</f>
        <v>0</v>
      </c>
      <c r="S1450" s="370">
        <f t="array" ref="S1450">IF(R1461&gt;0,0,MAX($R$1446:$R$1456*VALUE(RIGHT($O$1446:$O$1456,2))))</f>
        <v>0</v>
      </c>
      <c r="T1450" s="2576" t="s">
        <v>1866</v>
      </c>
    </row>
    <row r="1451" spans="1:21" ht="12.75" customHeight="1" x14ac:dyDescent="0.2">
      <c r="A1451" s="1916">
        <v>1451</v>
      </c>
      <c r="B1451" s="5148"/>
      <c r="C1451" s="1999"/>
      <c r="H1451" s="363"/>
      <c r="M1451" s="1847"/>
      <c r="N1451" s="96"/>
      <c r="O1451" s="411" t="s">
        <v>9552</v>
      </c>
      <c r="P1451" s="2578">
        <v>15</v>
      </c>
      <c r="Q1451" s="503">
        <v>60</v>
      </c>
      <c r="R1451" s="2585">
        <f>COUNTIF(PoderesDeCriatura_Adquiridos,Tablas!O1451)</f>
        <v>0</v>
      </c>
      <c r="S1451" s="370">
        <f t="array" ref="S1451">IF(R1462&gt;0,0,MAX($R$1446:$R$1456*VALUE(RIGHT($O$1446:$O$1456,2))))</f>
        <v>0</v>
      </c>
      <c r="T1451" s="2576" t="s">
        <v>1867</v>
      </c>
    </row>
    <row r="1452" spans="1:21" ht="12.75" customHeight="1" x14ac:dyDescent="0.2">
      <c r="A1452" s="1916">
        <v>1452</v>
      </c>
      <c r="B1452" s="5148"/>
      <c r="C1452" s="1999"/>
      <c r="H1452" s="363"/>
      <c r="M1452" s="1847"/>
      <c r="N1452" s="96"/>
      <c r="O1452" s="411" t="s">
        <v>9553</v>
      </c>
      <c r="P1452" s="2578">
        <v>20</v>
      </c>
      <c r="Q1452" s="503">
        <v>80</v>
      </c>
      <c r="R1452" s="2585">
        <f>COUNTIF(PoderesDeCriatura_Adquiridos,Tablas!O1452)</f>
        <v>0</v>
      </c>
      <c r="S1452" s="370">
        <f t="array" ref="S1452">MAX($R$1464:$R$1471*VALUE(RIGHT($O$1464:$O$1471,2)))</f>
        <v>0</v>
      </c>
      <c r="T1452" s="2576" t="s">
        <v>1868</v>
      </c>
    </row>
    <row r="1453" spans="1:21" ht="12.75" customHeight="1" x14ac:dyDescent="0.2">
      <c r="A1453" s="1916">
        <v>1453</v>
      </c>
      <c r="B1453" s="5148"/>
      <c r="C1453" s="1999"/>
      <c r="H1453" s="363"/>
      <c r="M1453" s="1847"/>
      <c r="N1453" s="96"/>
      <c r="O1453" s="411" t="s">
        <v>9554</v>
      </c>
      <c r="P1453" s="2578">
        <v>25</v>
      </c>
      <c r="Q1453" s="503">
        <v>100</v>
      </c>
      <c r="R1453" s="2585">
        <f>COUNTIF(PoderesDeCriatura_Adquiridos,Tablas!O1453)</f>
        <v>0</v>
      </c>
      <c r="S1453" s="370"/>
      <c r="T1453" s="2576"/>
    </row>
    <row r="1454" spans="1:21" ht="12.75" customHeight="1" x14ac:dyDescent="0.2">
      <c r="A1454" s="1916">
        <v>1454</v>
      </c>
      <c r="B1454" s="5148"/>
      <c r="C1454" s="1999"/>
      <c r="H1454" s="363"/>
      <c r="M1454" s="1847"/>
      <c r="N1454" s="96"/>
      <c r="O1454" s="411" t="s">
        <v>9555</v>
      </c>
      <c r="P1454" s="2578">
        <v>30</v>
      </c>
      <c r="Q1454" s="503">
        <v>120</v>
      </c>
      <c r="R1454" s="2585">
        <f>COUNTIF(PoderesDeCriatura_Adquiridos,Tablas!O1454)</f>
        <v>0</v>
      </c>
      <c r="S1454" s="370"/>
      <c r="T1454" s="2576"/>
    </row>
    <row r="1455" spans="1:21" ht="12.75" customHeight="1" x14ac:dyDescent="0.2">
      <c r="A1455" s="1916">
        <v>1455</v>
      </c>
      <c r="B1455" s="5148"/>
      <c r="C1455" s="1999"/>
      <c r="H1455" s="363"/>
      <c r="M1455" s="1847"/>
      <c r="N1455" s="96"/>
      <c r="O1455" s="411" t="s">
        <v>9556</v>
      </c>
      <c r="P1455" s="2578">
        <v>35</v>
      </c>
      <c r="Q1455" s="503">
        <v>140</v>
      </c>
      <c r="R1455" s="2585">
        <f>COUNTIF(PoderesDeCriatura_Adquiridos,Tablas!O1455)</f>
        <v>0</v>
      </c>
      <c r="S1455" s="370"/>
      <c r="T1455" s="2576"/>
    </row>
    <row r="1456" spans="1:21" ht="12.75" customHeight="1" x14ac:dyDescent="0.2">
      <c r="A1456" s="1916">
        <v>1456</v>
      </c>
      <c r="B1456" s="5148"/>
      <c r="C1456" s="1999"/>
      <c r="H1456" s="363"/>
      <c r="M1456" s="1847"/>
      <c r="N1456" s="96"/>
      <c r="O1456" s="411" t="s">
        <v>9557</v>
      </c>
      <c r="P1456" s="2578">
        <v>40</v>
      </c>
      <c r="Q1456" s="503">
        <v>180</v>
      </c>
      <c r="R1456" s="2585">
        <f>COUNTIF(PoderesDeCriatura_Adquiridos,Tablas!O1456)</f>
        <v>0</v>
      </c>
      <c r="S1456" s="370"/>
      <c r="T1456" s="2576"/>
    </row>
    <row r="1457" spans="1:21" ht="12.75" customHeight="1" x14ac:dyDescent="0.2">
      <c r="A1457" s="1916">
        <v>1457</v>
      </c>
      <c r="B1457" s="5148"/>
      <c r="C1457" s="1999"/>
      <c r="H1457" s="363"/>
      <c r="M1457" s="1847"/>
      <c r="N1457" s="96"/>
      <c r="O1457" s="411" t="s">
        <v>9558</v>
      </c>
      <c r="P1457" s="2578">
        <v>0</v>
      </c>
      <c r="Q1457" s="503">
        <v>-10</v>
      </c>
      <c r="R1457" s="2585">
        <f>COUNTIF(PoderesDeCriatura_Adquiridos,Tablas!O1457)</f>
        <v>0</v>
      </c>
      <c r="S1457" s="370"/>
      <c r="T1457" s="2576"/>
      <c r="U1457" s="504"/>
    </row>
    <row r="1458" spans="1:21" ht="12.75" customHeight="1" x14ac:dyDescent="0.2">
      <c r="A1458" s="1916">
        <v>1458</v>
      </c>
      <c r="B1458" s="5148"/>
      <c r="C1458" s="1999"/>
      <c r="H1458" s="363"/>
      <c r="M1458" s="1847"/>
      <c r="N1458" s="96"/>
      <c r="O1458" s="411" t="s">
        <v>9559</v>
      </c>
      <c r="P1458" s="2578">
        <v>0</v>
      </c>
      <c r="Q1458" s="503">
        <v>-10</v>
      </c>
      <c r="R1458" s="2585">
        <f>COUNTIF(PoderesDeCriatura_Adquiridos,Tablas!O1458)</f>
        <v>0</v>
      </c>
      <c r="S1458" s="370"/>
      <c r="T1458" s="2576"/>
      <c r="U1458" s="504"/>
    </row>
    <row r="1459" spans="1:21" ht="12.75" customHeight="1" x14ac:dyDescent="0.2">
      <c r="A1459" s="1916">
        <v>1459</v>
      </c>
      <c r="B1459" s="5148"/>
      <c r="C1459" s="1999"/>
      <c r="H1459" s="363"/>
      <c r="M1459" s="1847"/>
      <c r="N1459" s="96"/>
      <c r="O1459" s="411" t="s">
        <v>9560</v>
      </c>
      <c r="P1459" s="2578">
        <v>0</v>
      </c>
      <c r="Q1459" s="503">
        <v>-10</v>
      </c>
      <c r="R1459" s="2585">
        <f>COUNTIF(PoderesDeCriatura_Adquiridos,Tablas!O1459)</f>
        <v>0</v>
      </c>
      <c r="S1459" s="370"/>
      <c r="T1459" s="2576"/>
      <c r="U1459" s="504"/>
    </row>
    <row r="1460" spans="1:21" ht="12.75" customHeight="1" x14ac:dyDescent="0.2">
      <c r="A1460" s="1916">
        <v>1460</v>
      </c>
      <c r="B1460" s="5148"/>
      <c r="C1460" s="1999"/>
      <c r="H1460" s="363"/>
      <c r="M1460" s="1847"/>
      <c r="N1460" s="96"/>
      <c r="O1460" s="411" t="s">
        <v>9561</v>
      </c>
      <c r="P1460" s="2578">
        <v>0</v>
      </c>
      <c r="Q1460" s="503">
        <v>-10</v>
      </c>
      <c r="R1460" s="2585">
        <f>COUNTIF(PoderesDeCriatura_Adquiridos,Tablas!O1460)</f>
        <v>0</v>
      </c>
      <c r="S1460" s="370"/>
      <c r="T1460" s="2576"/>
      <c r="U1460" s="504"/>
    </row>
    <row r="1461" spans="1:21" ht="12.75" customHeight="1" x14ac:dyDescent="0.2">
      <c r="A1461" s="1916">
        <v>1461</v>
      </c>
      <c r="B1461" s="5148"/>
      <c r="C1461" s="1999"/>
      <c r="H1461" s="363"/>
      <c r="M1461" s="1847"/>
      <c r="N1461" s="96"/>
      <c r="O1461" s="411" t="s">
        <v>9562</v>
      </c>
      <c r="P1461" s="2578">
        <v>0</v>
      </c>
      <c r="Q1461" s="503">
        <v>-10</v>
      </c>
      <c r="R1461" s="2585">
        <f>COUNTIF(PoderesDeCriatura_Adquiridos,Tablas!O1461)</f>
        <v>0</v>
      </c>
      <c r="S1461" s="370"/>
      <c r="T1461" s="2576"/>
      <c r="U1461" s="504"/>
    </row>
    <row r="1462" spans="1:21" ht="12.75" customHeight="1" x14ac:dyDescent="0.2">
      <c r="A1462" s="1916">
        <v>1462</v>
      </c>
      <c r="B1462" s="5148"/>
      <c r="C1462" s="1999"/>
      <c r="H1462" s="363"/>
      <c r="M1462" s="1847"/>
      <c r="N1462" s="96"/>
      <c r="O1462" s="411" t="s">
        <v>9563</v>
      </c>
      <c r="P1462" s="2578">
        <v>0</v>
      </c>
      <c r="Q1462" s="503">
        <v>-10</v>
      </c>
      <c r="R1462" s="2585">
        <f>COUNTIF(PoderesDeCriatura_Adquiridos,Tablas!O1462)</f>
        <v>0</v>
      </c>
      <c r="S1462" s="370"/>
      <c r="T1462" s="2576"/>
      <c r="U1462" s="504"/>
    </row>
    <row r="1463" spans="1:21" ht="12.75" customHeight="1" x14ac:dyDescent="0.2">
      <c r="A1463" s="1916">
        <v>1463</v>
      </c>
      <c r="B1463" s="5148"/>
      <c r="C1463" s="1999"/>
      <c r="H1463" s="363"/>
      <c r="M1463" s="1847"/>
      <c r="N1463" s="96"/>
      <c r="O1463" s="411" t="s">
        <v>9564</v>
      </c>
      <c r="P1463" s="2578">
        <v>0</v>
      </c>
      <c r="Q1463" s="503">
        <v>-10</v>
      </c>
      <c r="R1463" s="2585">
        <f>COUNTIF(PoderesDeCriatura_Adquiridos,Tablas!O1463)</f>
        <v>0</v>
      </c>
      <c r="S1463" s="370"/>
      <c r="T1463" s="2576"/>
      <c r="U1463" s="504"/>
    </row>
    <row r="1464" spans="1:21" ht="12.75" customHeight="1" x14ac:dyDescent="0.2">
      <c r="A1464" s="1916">
        <v>1464</v>
      </c>
      <c r="B1464" s="5148"/>
      <c r="C1464" s="1999"/>
      <c r="H1464" s="363"/>
      <c r="M1464" s="1847"/>
      <c r="N1464" s="96"/>
      <c r="O1464" s="411" t="s">
        <v>9565</v>
      </c>
      <c r="P1464" s="2578">
        <v>5</v>
      </c>
      <c r="Q1464" s="503">
        <v>10</v>
      </c>
      <c r="R1464" s="2585">
        <f>COUNTIF(PoderesDeCriatura_Adquiridos,Tablas!O1464)</f>
        <v>0</v>
      </c>
      <c r="S1464" s="370"/>
      <c r="T1464" s="2576"/>
      <c r="U1464" s="504"/>
    </row>
    <row r="1465" spans="1:21" ht="12.75" customHeight="1" x14ac:dyDescent="0.2">
      <c r="A1465" s="1916">
        <v>1465</v>
      </c>
      <c r="B1465" s="5148"/>
      <c r="C1465" s="1999"/>
      <c r="H1465" s="363"/>
      <c r="M1465" s="1847"/>
      <c r="N1465" s="96"/>
      <c r="O1465" s="411" t="s">
        <v>9566</v>
      </c>
      <c r="P1465" s="2578">
        <v>10</v>
      </c>
      <c r="Q1465" s="503">
        <v>20</v>
      </c>
      <c r="R1465" s="2585">
        <f>COUNTIF(PoderesDeCriatura_Adquiridos,Tablas!O1465)</f>
        <v>0</v>
      </c>
      <c r="S1465" s="370"/>
      <c r="T1465" s="2576"/>
      <c r="U1465" s="504"/>
    </row>
    <row r="1466" spans="1:21" ht="12.75" customHeight="1" x14ac:dyDescent="0.2">
      <c r="A1466" s="1916">
        <v>1466</v>
      </c>
      <c r="B1466" s="5148"/>
      <c r="C1466" s="1999"/>
      <c r="H1466" s="363"/>
      <c r="M1466" s="1847"/>
      <c r="N1466" s="96"/>
      <c r="O1466" s="411" t="s">
        <v>9567</v>
      </c>
      <c r="P1466" s="2578">
        <v>15</v>
      </c>
      <c r="Q1466" s="503">
        <v>30</v>
      </c>
      <c r="R1466" s="2585">
        <f>COUNTIF(PoderesDeCriatura_Adquiridos,Tablas!O1466)</f>
        <v>0</v>
      </c>
      <c r="S1466" s="370"/>
      <c r="T1466" s="2576"/>
      <c r="U1466" s="504"/>
    </row>
    <row r="1467" spans="1:21" ht="12.75" customHeight="1" x14ac:dyDescent="0.2">
      <c r="A1467" s="1916">
        <v>1467</v>
      </c>
      <c r="B1467" s="5148"/>
      <c r="C1467" s="1999"/>
      <c r="H1467" s="363"/>
      <c r="M1467" s="1847"/>
      <c r="N1467" s="96"/>
      <c r="O1467" s="411" t="s">
        <v>9568</v>
      </c>
      <c r="P1467" s="2578">
        <v>20</v>
      </c>
      <c r="Q1467" s="503">
        <v>40</v>
      </c>
      <c r="R1467" s="2585">
        <f>COUNTIF(PoderesDeCriatura_Adquiridos,Tablas!O1467)</f>
        <v>0</v>
      </c>
      <c r="S1467" s="370"/>
      <c r="T1467" s="2576"/>
      <c r="U1467" s="504"/>
    </row>
    <row r="1468" spans="1:21" ht="12.75" customHeight="1" x14ac:dyDescent="0.2">
      <c r="A1468" s="1916">
        <v>1468</v>
      </c>
      <c r="B1468" s="5148"/>
      <c r="C1468" s="1999"/>
      <c r="H1468" s="363"/>
      <c r="M1468" s="1847"/>
      <c r="N1468" s="96"/>
      <c r="O1468" s="411" t="s">
        <v>9569</v>
      </c>
      <c r="P1468" s="2578">
        <v>25</v>
      </c>
      <c r="Q1468" s="503">
        <v>50</v>
      </c>
      <c r="R1468" s="2585">
        <f>COUNTIF(PoderesDeCriatura_Adquiridos,Tablas!O1468)</f>
        <v>0</v>
      </c>
      <c r="S1468" s="370"/>
      <c r="T1468" s="2576"/>
      <c r="U1468" s="504"/>
    </row>
    <row r="1469" spans="1:21" ht="12.75" customHeight="1" x14ac:dyDescent="0.2">
      <c r="A1469" s="1916">
        <v>1469</v>
      </c>
      <c r="B1469" s="5148"/>
      <c r="C1469" s="1999"/>
      <c r="H1469" s="363"/>
      <c r="M1469" s="1847"/>
      <c r="N1469" s="96"/>
      <c r="O1469" s="411" t="s">
        <v>9570</v>
      </c>
      <c r="P1469" s="2578">
        <v>30</v>
      </c>
      <c r="Q1469" s="503">
        <v>60</v>
      </c>
      <c r="R1469" s="2585">
        <f>COUNTIF(PoderesDeCriatura_Adquiridos,Tablas!O1469)</f>
        <v>0</v>
      </c>
      <c r="S1469" s="370"/>
      <c r="T1469" s="2576"/>
      <c r="U1469" s="504"/>
    </row>
    <row r="1470" spans="1:21" ht="12.75" customHeight="1" x14ac:dyDescent="0.2">
      <c r="A1470" s="1916">
        <v>1470</v>
      </c>
      <c r="B1470" s="5148"/>
      <c r="C1470" s="1999"/>
      <c r="H1470" s="363"/>
      <c r="M1470" s="1847"/>
      <c r="N1470" s="96"/>
      <c r="O1470" s="411" t="s">
        <v>9571</v>
      </c>
      <c r="P1470" s="2578">
        <v>35</v>
      </c>
      <c r="Q1470" s="503">
        <v>70</v>
      </c>
      <c r="R1470" s="2585">
        <f>COUNTIF(PoderesDeCriatura_Adquiridos,Tablas!O1470)</f>
        <v>0</v>
      </c>
      <c r="S1470" s="370"/>
      <c r="T1470" s="2576"/>
      <c r="U1470" s="504"/>
    </row>
    <row r="1471" spans="1:21" ht="12.75" customHeight="1" x14ac:dyDescent="0.2">
      <c r="A1471" s="1916">
        <v>1471</v>
      </c>
      <c r="B1471" s="5148"/>
      <c r="C1471" s="1999"/>
      <c r="H1471" s="363"/>
      <c r="M1471" s="1847"/>
      <c r="N1471" s="96"/>
      <c r="O1471" s="411" t="s">
        <v>9572</v>
      </c>
      <c r="P1471" s="2578">
        <v>40</v>
      </c>
      <c r="Q1471" s="503">
        <v>80</v>
      </c>
      <c r="R1471" s="2585">
        <f>COUNTIF(PoderesDeCriatura_Adquiridos,Tablas!O1471)</f>
        <v>0</v>
      </c>
      <c r="S1471" s="370"/>
      <c r="T1471" s="2576"/>
      <c r="U1471" s="504"/>
    </row>
    <row r="1472" spans="1:21" ht="12.75" customHeight="1" x14ac:dyDescent="0.2">
      <c r="A1472" s="1916">
        <v>1472</v>
      </c>
      <c r="B1472" s="5148"/>
      <c r="C1472" s="1999"/>
      <c r="H1472" s="363"/>
      <c r="M1472" s="1847"/>
      <c r="N1472" s="96"/>
      <c r="O1472" s="411" t="s">
        <v>1624</v>
      </c>
      <c r="P1472" s="2578"/>
      <c r="Q1472" s="503"/>
      <c r="R1472" s="2585"/>
      <c r="S1472" s="370"/>
      <c r="T1472" s="2576"/>
      <c r="U1472" s="504"/>
    </row>
    <row r="1473" spans="1:21" ht="12.75" customHeight="1" x14ac:dyDescent="0.2">
      <c r="A1473" s="1916">
        <v>1473</v>
      </c>
      <c r="B1473" s="5148"/>
      <c r="C1473" s="1999"/>
      <c r="H1473" s="363"/>
      <c r="M1473" s="1847"/>
      <c r="N1473" s="96"/>
      <c r="O1473" s="411" t="s">
        <v>9573</v>
      </c>
      <c r="P1473" s="2578">
        <v>30</v>
      </c>
      <c r="Q1473" s="503">
        <v>30</v>
      </c>
      <c r="R1473" s="2585">
        <f>COUNTIF(PoderesDeCriatura_Adquiridos,Tablas!O1473)</f>
        <v>0</v>
      </c>
      <c r="S1473" s="370"/>
      <c r="T1473" s="2576"/>
      <c r="U1473" s="504"/>
    </row>
    <row r="1474" spans="1:21" ht="12.75" customHeight="1" x14ac:dyDescent="0.2">
      <c r="A1474" s="1916">
        <v>1474</v>
      </c>
      <c r="B1474" s="5148"/>
      <c r="C1474" s="1999"/>
      <c r="H1474" s="363"/>
      <c r="M1474" s="1847"/>
      <c r="N1474" s="96"/>
      <c r="O1474" s="411" t="s">
        <v>9574</v>
      </c>
      <c r="P1474" s="2578">
        <v>20</v>
      </c>
      <c r="Q1474" s="503">
        <v>20</v>
      </c>
      <c r="R1474" s="2585">
        <f>COUNTIF(PoderesDeCriatura_Adquiridos,Tablas!O1474)</f>
        <v>0</v>
      </c>
      <c r="S1474" s="370"/>
      <c r="T1474" s="2576"/>
      <c r="U1474" s="504"/>
    </row>
    <row r="1475" spans="1:21" ht="12.75" customHeight="1" x14ac:dyDescent="0.2">
      <c r="A1475" s="1916">
        <v>1475</v>
      </c>
      <c r="B1475" s="5148"/>
      <c r="C1475" s="1999"/>
      <c r="H1475" s="363"/>
      <c r="M1475" s="1847"/>
      <c r="N1475" s="96"/>
      <c r="O1475" s="411" t="s">
        <v>9575</v>
      </c>
      <c r="P1475" s="2578">
        <v>30</v>
      </c>
      <c r="Q1475" s="503">
        <v>60</v>
      </c>
      <c r="R1475" s="2585">
        <f>COUNTIF(PoderesDeCriatura_Adquiridos,Tablas!O1475)</f>
        <v>0</v>
      </c>
      <c r="S1475" s="370"/>
      <c r="T1475" s="2576"/>
      <c r="U1475" s="504"/>
    </row>
    <row r="1476" spans="1:21" ht="12.75" customHeight="1" x14ac:dyDescent="0.2">
      <c r="A1476" s="1916">
        <v>1476</v>
      </c>
      <c r="B1476" s="5148"/>
      <c r="C1476" s="1999"/>
      <c r="H1476" s="363"/>
      <c r="M1476" s="1847"/>
      <c r="N1476" s="96"/>
      <c r="O1476" s="411" t="s">
        <v>0</v>
      </c>
      <c r="P1476" s="2578"/>
      <c r="Q1476" s="503"/>
      <c r="R1476" s="2585"/>
      <c r="S1476" s="370"/>
      <c r="T1476" s="2576"/>
      <c r="U1476" s="504"/>
    </row>
    <row r="1477" spans="1:21" ht="12.75" customHeight="1" x14ac:dyDescent="0.2">
      <c r="A1477" s="1916">
        <v>1477</v>
      </c>
      <c r="B1477" s="5148"/>
      <c r="C1477" s="1999"/>
      <c r="H1477" s="363"/>
      <c r="M1477" s="1847"/>
      <c r="N1477" s="96"/>
      <c r="O1477" s="411" t="s">
        <v>9576</v>
      </c>
      <c r="P1477" s="2578">
        <v>20</v>
      </c>
      <c r="Q1477" s="503">
        <v>80</v>
      </c>
      <c r="R1477" s="2585">
        <f>COUNTIF(PoderesDeCriatura_Adquiridos,Tablas!O1477)</f>
        <v>0</v>
      </c>
      <c r="S1477" s="370"/>
      <c r="T1477" s="2576"/>
      <c r="U1477" s="504"/>
    </row>
    <row r="1478" spans="1:21" ht="12.75" customHeight="1" x14ac:dyDescent="0.2">
      <c r="A1478" s="1916">
        <v>1478</v>
      </c>
      <c r="B1478" s="5148"/>
      <c r="C1478" s="1999"/>
      <c r="H1478" s="363"/>
      <c r="M1478" s="1847"/>
      <c r="N1478" s="96"/>
      <c r="O1478" s="411" t="s">
        <v>9577</v>
      </c>
      <c r="P1478" s="2578">
        <v>20</v>
      </c>
      <c r="Q1478" s="503">
        <v>100</v>
      </c>
      <c r="R1478" s="2585">
        <f>COUNTIF(PoderesDeCriatura_Adquiridos,Tablas!O1478)</f>
        <v>0</v>
      </c>
      <c r="S1478" s="370"/>
      <c r="T1478" s="2576"/>
      <c r="U1478" s="504"/>
    </row>
    <row r="1479" spans="1:21" ht="12.75" customHeight="1" x14ac:dyDescent="0.2">
      <c r="A1479" s="1916">
        <v>1479</v>
      </c>
      <c r="B1479" s="5148"/>
      <c r="C1479" s="1999"/>
      <c r="H1479" s="363"/>
      <c r="M1479" s="1847"/>
      <c r="N1479" s="96"/>
      <c r="O1479" s="411" t="s">
        <v>9578</v>
      </c>
      <c r="P1479" s="2578">
        <v>20</v>
      </c>
      <c r="Q1479" s="503">
        <f>IF(TipoDeCriatura="No muerto, Espectro",25,100)</f>
        <v>100</v>
      </c>
      <c r="R1479" s="2585">
        <f>COUNTIF(PoderesDeCriatura_Adquiridos,Tablas!O1479)</f>
        <v>0</v>
      </c>
      <c r="S1479" s="370"/>
      <c r="T1479" s="2576"/>
      <c r="U1479" s="504"/>
    </row>
    <row r="1480" spans="1:21" ht="12.75" customHeight="1" x14ac:dyDescent="0.2">
      <c r="A1480" s="1916">
        <v>1480</v>
      </c>
      <c r="B1480" s="5148"/>
      <c r="C1480" s="1999"/>
      <c r="H1480" s="363"/>
      <c r="M1480" s="1847"/>
      <c r="N1480" s="96"/>
      <c r="O1480" s="411" t="s">
        <v>9579</v>
      </c>
      <c r="P1480" s="2578">
        <v>20</v>
      </c>
      <c r="Q1480" s="503">
        <v>10</v>
      </c>
      <c r="R1480" s="2585">
        <f>COUNTIF(PoderesDeCriatura_Adquiridos,Tablas!O1480)</f>
        <v>0</v>
      </c>
      <c r="S1480" s="370"/>
      <c r="T1480" s="2576"/>
      <c r="U1480" s="504"/>
    </row>
    <row r="1481" spans="1:21" ht="12.75" customHeight="1" x14ac:dyDescent="0.2">
      <c r="A1481" s="1916">
        <v>1481</v>
      </c>
      <c r="B1481" s="5148"/>
      <c r="C1481" s="1999"/>
      <c r="H1481" s="363"/>
      <c r="M1481" s="1847"/>
      <c r="N1481" s="96"/>
      <c r="O1481" s="411" t="s">
        <v>9580</v>
      </c>
      <c r="P1481" s="2578">
        <v>20</v>
      </c>
      <c r="Q1481" s="503">
        <v>-20</v>
      </c>
      <c r="R1481" s="2585">
        <f>COUNTIF(PoderesDeCriatura_Adquiridos,Tablas!O1481)</f>
        <v>0</v>
      </c>
      <c r="S1481" s="370"/>
      <c r="T1481" s="2576"/>
      <c r="U1481" s="504"/>
    </row>
    <row r="1482" spans="1:21" ht="12.75" customHeight="1" x14ac:dyDescent="0.2">
      <c r="A1482" s="1916">
        <v>1482</v>
      </c>
      <c r="B1482" s="5148"/>
      <c r="C1482" s="1999"/>
      <c r="H1482" s="363"/>
      <c r="M1482" s="1847"/>
      <c r="N1482" s="96"/>
      <c r="O1482" s="411" t="s">
        <v>9581</v>
      </c>
      <c r="P1482" s="2594">
        <v>0</v>
      </c>
      <c r="Q1482" s="2473">
        <v>0</v>
      </c>
      <c r="R1482" s="2585">
        <f>COUNTIF(PoderesDeCriatura_Adquiridos,Tablas!O1482)</f>
        <v>0</v>
      </c>
      <c r="S1482" s="370"/>
      <c r="T1482" s="2576"/>
      <c r="U1482" s="504"/>
    </row>
    <row r="1483" spans="1:21" ht="12.75" customHeight="1" x14ac:dyDescent="0.2">
      <c r="A1483" s="1916">
        <v>1483</v>
      </c>
      <c r="B1483" s="5148"/>
      <c r="C1483" s="1999"/>
      <c r="H1483" s="363"/>
      <c r="M1483" s="1847"/>
      <c r="N1483" s="96"/>
      <c r="O1483" s="411" t="s">
        <v>9582</v>
      </c>
      <c r="P1483" s="2594">
        <v>10</v>
      </c>
      <c r="Q1483" s="2473">
        <f>5+IF(OR(TipoDeCriatura="Entre mundos, Elemental",TipoDeCriatura="Ánima, Elemental"),5,0)</f>
        <v>5</v>
      </c>
      <c r="R1483" s="2585">
        <f>COUNTIF(PoderesDeCriatura_Adquiridos,Tablas!O1483)</f>
        <v>0</v>
      </c>
      <c r="S1483" s="370"/>
      <c r="T1483" s="2576"/>
      <c r="U1483" s="504"/>
    </row>
    <row r="1484" spans="1:21" ht="12.75" customHeight="1" x14ac:dyDescent="0.2">
      <c r="A1484" s="1916">
        <v>1484</v>
      </c>
      <c r="B1484" s="5148"/>
      <c r="C1484" s="1999"/>
      <c r="H1484" s="363"/>
      <c r="M1484" s="1847"/>
      <c r="N1484" s="96"/>
      <c r="O1484" s="411" t="s">
        <v>9583</v>
      </c>
      <c r="P1484" s="2594">
        <v>30</v>
      </c>
      <c r="Q1484" s="2473">
        <f>100+IF(OR(TipoDeCriatura="Entre mundos, Elemental",TipoDeCriatura="Ánima, Elemental"),10,0)</f>
        <v>100</v>
      </c>
      <c r="R1484" s="2585">
        <f>COUNTIF(PoderesDeCriatura_Adquiridos,Tablas!O1484)</f>
        <v>0</v>
      </c>
      <c r="S1484" s="370"/>
      <c r="T1484" s="2576"/>
      <c r="U1484" s="504"/>
    </row>
    <row r="1485" spans="1:21" ht="12.75" customHeight="1" x14ac:dyDescent="0.2">
      <c r="A1485" s="1916">
        <v>1485</v>
      </c>
      <c r="B1485" s="5148"/>
      <c r="C1485" s="1999"/>
      <c r="H1485" s="363"/>
      <c r="M1485" s="1847"/>
      <c r="N1485" s="96"/>
      <c r="O1485" s="411" t="s">
        <v>9584</v>
      </c>
      <c r="P1485" s="2578">
        <v>10</v>
      </c>
      <c r="Q1485" s="503">
        <v>-30</v>
      </c>
      <c r="R1485" s="2585">
        <f>COUNTIF(PoderesDeCriatura_Adquiridos,Tablas!O1485)</f>
        <v>0</v>
      </c>
      <c r="S1485" s="370"/>
      <c r="T1485" s="2576"/>
      <c r="U1485" s="504"/>
    </row>
    <row r="1486" spans="1:21" ht="12.75" customHeight="1" x14ac:dyDescent="0.2">
      <c r="A1486" s="1916">
        <v>1486</v>
      </c>
      <c r="B1486" s="5148"/>
      <c r="C1486" s="1999"/>
      <c r="H1486" s="363"/>
      <c r="M1486" s="1847"/>
      <c r="N1486" s="96"/>
      <c r="O1486" s="411" t="s">
        <v>9585</v>
      </c>
      <c r="P1486" s="2578">
        <v>10</v>
      </c>
      <c r="Q1486" s="503">
        <v>-10</v>
      </c>
      <c r="R1486" s="2585">
        <f>COUNTIF(PoderesDeCriatura_Adquiridos,Tablas!O1486)</f>
        <v>0</v>
      </c>
      <c r="S1486" s="370"/>
      <c r="T1486" s="2576"/>
      <c r="U1486" s="504"/>
    </row>
    <row r="1487" spans="1:21" ht="12.75" customHeight="1" x14ac:dyDescent="0.2">
      <c r="A1487" s="1916">
        <v>1487</v>
      </c>
      <c r="B1487" s="5148"/>
      <c r="C1487" s="1999"/>
      <c r="H1487" s="363"/>
      <c r="M1487" s="1847"/>
      <c r="N1487" s="96"/>
      <c r="O1487" s="411" t="s">
        <v>9586</v>
      </c>
      <c r="P1487" s="2578">
        <v>10</v>
      </c>
      <c r="Q1487" s="503">
        <v>-20</v>
      </c>
      <c r="R1487" s="2585">
        <f>COUNTIF(PoderesDeCriatura_Adquiridos,Tablas!O1487)</f>
        <v>0</v>
      </c>
      <c r="S1487" s="370"/>
      <c r="T1487" s="2576"/>
      <c r="U1487" s="504"/>
    </row>
    <row r="1488" spans="1:21" ht="12.75" customHeight="1" x14ac:dyDescent="0.2">
      <c r="A1488" s="1916">
        <v>1488</v>
      </c>
      <c r="B1488" s="5148"/>
      <c r="C1488" s="1999"/>
      <c r="H1488" s="363"/>
      <c r="M1488" s="1847"/>
      <c r="N1488" s="96"/>
      <c r="O1488" s="411" t="s">
        <v>9587</v>
      </c>
      <c r="P1488" s="2578">
        <v>10</v>
      </c>
      <c r="Q1488" s="503">
        <v>-30</v>
      </c>
      <c r="R1488" s="2585">
        <f>COUNTIF(PoderesDeCriatura_Adquiridos,Tablas!O1488)</f>
        <v>0</v>
      </c>
      <c r="S1488" s="370"/>
      <c r="T1488" s="2576"/>
      <c r="U1488" s="504"/>
    </row>
    <row r="1489" spans="1:21" ht="12.75" customHeight="1" x14ac:dyDescent="0.2">
      <c r="A1489" s="1916">
        <v>1489</v>
      </c>
      <c r="B1489" s="5148"/>
      <c r="C1489" s="1999"/>
      <c r="H1489" s="363"/>
      <c r="M1489" s="1847"/>
      <c r="N1489" s="96"/>
      <c r="O1489" s="411" t="s">
        <v>9588</v>
      </c>
      <c r="P1489" s="2578">
        <v>10</v>
      </c>
      <c r="Q1489" s="503">
        <v>-40</v>
      </c>
      <c r="R1489" s="2585">
        <f>COUNTIF(PoderesDeCriatura_Adquiridos,Tablas!O1489)</f>
        <v>0</v>
      </c>
      <c r="S1489" s="370"/>
      <c r="T1489" s="2576"/>
      <c r="U1489" s="504"/>
    </row>
    <row r="1490" spans="1:21" ht="12.75" customHeight="1" x14ac:dyDescent="0.2">
      <c r="A1490" s="1916">
        <v>1490</v>
      </c>
      <c r="B1490" s="5148"/>
      <c r="C1490" s="1999"/>
      <c r="H1490" s="363"/>
      <c r="M1490" s="1847"/>
      <c r="N1490" s="96"/>
      <c r="O1490" s="411" t="s">
        <v>9589</v>
      </c>
      <c r="P1490" s="2578">
        <v>10</v>
      </c>
      <c r="Q1490" s="503">
        <v>-50</v>
      </c>
      <c r="R1490" s="2585">
        <f>COUNTIF(PoderesDeCriatura_Adquiridos,Tablas!O1490)</f>
        <v>0</v>
      </c>
      <c r="S1490" s="370"/>
      <c r="T1490" s="2576"/>
      <c r="U1490" s="504"/>
    </row>
    <row r="1491" spans="1:21" ht="12.75" customHeight="1" x14ac:dyDescent="0.2">
      <c r="A1491" s="1916">
        <v>1491</v>
      </c>
      <c r="B1491" s="5148"/>
      <c r="C1491" s="1999"/>
      <c r="H1491" s="363"/>
      <c r="M1491" s="1847"/>
      <c r="N1491" s="96"/>
      <c r="O1491" s="411" t="s">
        <v>9590</v>
      </c>
      <c r="P1491" s="2594">
        <v>0</v>
      </c>
      <c r="Q1491" s="2473">
        <v>0</v>
      </c>
      <c r="R1491" s="2585">
        <f>COUNTIF(PoderesDeCriatura_Adquiridos,Tablas!O1491)</f>
        <v>0</v>
      </c>
      <c r="S1491" s="370"/>
      <c r="T1491" s="2576"/>
      <c r="U1491" s="504"/>
    </row>
    <row r="1492" spans="1:21" ht="12.75" customHeight="1" x14ac:dyDescent="0.2">
      <c r="A1492" s="1916">
        <v>1492</v>
      </c>
      <c r="B1492" s="5148"/>
      <c r="C1492" s="1999"/>
      <c r="H1492" s="363"/>
      <c r="M1492" s="1847"/>
      <c r="N1492" s="96"/>
      <c r="O1492" s="411" t="s">
        <v>9591</v>
      </c>
      <c r="P1492" s="2594">
        <v>10</v>
      </c>
      <c r="Q1492" s="2473">
        <f>5+IF(OR(TipoDeCriatura="Entre mundos, Elemental",TipoDeCriatura="Ánima, Elemental"),5,0)</f>
        <v>5</v>
      </c>
      <c r="R1492" s="2585">
        <f>COUNTIF(PoderesDeCriatura_Adquiridos,Tablas!O1492)</f>
        <v>0</v>
      </c>
      <c r="S1492" s="370"/>
      <c r="T1492" s="2576"/>
      <c r="U1492" s="504"/>
    </row>
    <row r="1493" spans="1:21" ht="12.75" customHeight="1" x14ac:dyDescent="0.2">
      <c r="A1493" s="1916">
        <v>1493</v>
      </c>
      <c r="B1493" s="5148"/>
      <c r="C1493" s="1999"/>
      <c r="H1493" s="363"/>
      <c r="M1493" s="1847"/>
      <c r="N1493" s="96"/>
      <c r="O1493" s="411" t="s">
        <v>9592</v>
      </c>
      <c r="P1493" s="2594">
        <v>25</v>
      </c>
      <c r="Q1493" s="2473">
        <f>80+IF(OR(TipoDeCriatura="Entre mundos, Elemental",TipoDeCriatura="Ánima, Elemental"),10,0)</f>
        <v>80</v>
      </c>
      <c r="R1493" s="2585">
        <f>COUNTIF(PoderesDeCriatura_Adquiridos,Tablas!O1493)</f>
        <v>0</v>
      </c>
      <c r="S1493" s="370"/>
      <c r="T1493" s="2576"/>
      <c r="U1493" s="504"/>
    </row>
    <row r="1494" spans="1:21" ht="12.75" customHeight="1" x14ac:dyDescent="0.2">
      <c r="A1494" s="1916">
        <v>1494</v>
      </c>
      <c r="B1494" s="5148"/>
      <c r="C1494" s="1999"/>
      <c r="H1494" s="363"/>
      <c r="M1494" s="1847"/>
      <c r="N1494" s="96"/>
      <c r="O1494" s="411" t="s">
        <v>9593</v>
      </c>
      <c r="P1494" s="2578">
        <v>10</v>
      </c>
      <c r="Q1494" s="503">
        <v>-30</v>
      </c>
      <c r="R1494" s="2585">
        <f>COUNTIF(PoderesDeCriatura_Adquiridos,Tablas!O1494)</f>
        <v>0</v>
      </c>
      <c r="S1494" s="370"/>
      <c r="T1494" s="2576"/>
      <c r="U1494" s="504"/>
    </row>
    <row r="1495" spans="1:21" ht="12.75" customHeight="1" x14ac:dyDescent="0.2">
      <c r="A1495" s="1916">
        <v>1495</v>
      </c>
      <c r="B1495" s="5148"/>
      <c r="C1495" s="1999"/>
      <c r="H1495" s="363"/>
      <c r="M1495" s="1847"/>
      <c r="N1495" s="96"/>
      <c r="O1495" s="411" t="s">
        <v>9594</v>
      </c>
      <c r="P1495" s="2578">
        <v>10</v>
      </c>
      <c r="Q1495" s="503">
        <v>-10</v>
      </c>
      <c r="R1495" s="2585">
        <f>COUNTIF(PoderesDeCriatura_Adquiridos,Tablas!O1495)</f>
        <v>0</v>
      </c>
      <c r="S1495" s="370"/>
      <c r="T1495" s="2576"/>
      <c r="U1495" s="504"/>
    </row>
    <row r="1496" spans="1:21" ht="12.75" customHeight="1" x14ac:dyDescent="0.2">
      <c r="A1496" s="1916">
        <v>1496</v>
      </c>
      <c r="B1496" s="5148"/>
      <c r="C1496" s="1999"/>
      <c r="H1496" s="363"/>
      <c r="M1496" s="1847"/>
      <c r="N1496" s="96"/>
      <c r="O1496" s="411" t="s">
        <v>9595</v>
      </c>
      <c r="P1496" s="2578">
        <v>10</v>
      </c>
      <c r="Q1496" s="503">
        <v>-20</v>
      </c>
      <c r="R1496" s="2585">
        <f>COUNTIF(PoderesDeCriatura_Adquiridos,Tablas!O1496)</f>
        <v>0</v>
      </c>
      <c r="S1496" s="370"/>
      <c r="T1496" s="2576"/>
      <c r="U1496" s="504"/>
    </row>
    <row r="1497" spans="1:21" ht="12.75" customHeight="1" x14ac:dyDescent="0.2">
      <c r="A1497" s="1916">
        <v>1497</v>
      </c>
      <c r="B1497" s="5148"/>
      <c r="C1497" s="1999"/>
      <c r="H1497" s="363"/>
      <c r="M1497" s="1847"/>
      <c r="N1497" s="96"/>
      <c r="O1497" s="411" t="s">
        <v>9596</v>
      </c>
      <c r="P1497" s="2578">
        <v>10</v>
      </c>
      <c r="Q1497" s="503">
        <v>-30</v>
      </c>
      <c r="R1497" s="2585">
        <f>COUNTIF(PoderesDeCriatura_Adquiridos,Tablas!O1497)</f>
        <v>0</v>
      </c>
      <c r="S1497" s="370"/>
      <c r="T1497" s="2576"/>
      <c r="U1497" s="504"/>
    </row>
    <row r="1498" spans="1:21" ht="12.75" customHeight="1" x14ac:dyDescent="0.2">
      <c r="A1498" s="1916">
        <v>1498</v>
      </c>
      <c r="B1498" s="5148"/>
      <c r="C1498" s="1999"/>
      <c r="H1498" s="363"/>
      <c r="M1498" s="1847"/>
      <c r="N1498" s="96"/>
      <c r="O1498" s="411" t="s">
        <v>9597</v>
      </c>
      <c r="P1498" s="2578">
        <v>10</v>
      </c>
      <c r="Q1498" s="503">
        <v>-40</v>
      </c>
      <c r="R1498" s="2585">
        <f>COUNTIF(PoderesDeCriatura_Adquiridos,Tablas!O1498)</f>
        <v>0</v>
      </c>
      <c r="S1498" s="370"/>
      <c r="T1498" s="2576"/>
      <c r="U1498" s="504"/>
    </row>
    <row r="1499" spans="1:21" ht="12.75" customHeight="1" x14ac:dyDescent="0.2">
      <c r="A1499" s="1916">
        <v>1499</v>
      </c>
      <c r="B1499" s="5148"/>
      <c r="C1499" s="1999"/>
      <c r="H1499" s="363"/>
      <c r="M1499" s="1847"/>
      <c r="N1499" s="96"/>
      <c r="O1499" s="411" t="s">
        <v>9598</v>
      </c>
      <c r="P1499" s="2578">
        <v>10</v>
      </c>
      <c r="Q1499" s="503">
        <v>-50</v>
      </c>
      <c r="R1499" s="2585">
        <f>COUNTIF(PoderesDeCriatura_Adquiridos,Tablas!O1499)</f>
        <v>0</v>
      </c>
      <c r="S1499" s="370"/>
      <c r="T1499" s="2576"/>
      <c r="U1499" s="504"/>
    </row>
    <row r="1500" spans="1:21" ht="12.75" customHeight="1" x14ac:dyDescent="0.2">
      <c r="A1500" s="1916">
        <v>1500</v>
      </c>
      <c r="B1500" s="5148"/>
      <c r="C1500" s="1999"/>
      <c r="H1500" s="363"/>
      <c r="M1500" s="1847"/>
      <c r="N1500" s="96"/>
      <c r="O1500" s="411" t="s">
        <v>9599</v>
      </c>
      <c r="P1500" s="2578">
        <v>15</v>
      </c>
      <c r="Q1500" s="503">
        <v>40</v>
      </c>
      <c r="R1500" s="2585">
        <f>COUNTIF(PoderesDeCriatura_Adquiridos,Tablas!O1500)</f>
        <v>0</v>
      </c>
      <c r="S1500" s="370"/>
      <c r="T1500" s="2576"/>
      <c r="U1500" s="504"/>
    </row>
    <row r="1501" spans="1:21" ht="12.75" customHeight="1" x14ac:dyDescent="0.2">
      <c r="A1501" s="1916">
        <v>1501</v>
      </c>
      <c r="B1501" s="5148"/>
      <c r="C1501" s="1999"/>
      <c r="H1501" s="363"/>
      <c r="M1501" s="1847"/>
      <c r="N1501" s="96"/>
      <c r="O1501" s="411" t="s">
        <v>9600</v>
      </c>
      <c r="P1501" s="2578">
        <v>20</v>
      </c>
      <c r="Q1501" s="503">
        <v>60</v>
      </c>
      <c r="R1501" s="2585">
        <f>COUNTIF(PoderesDeCriatura_Adquiridos,Tablas!O1501)</f>
        <v>0</v>
      </c>
      <c r="S1501" s="370"/>
      <c r="T1501" s="2576"/>
      <c r="U1501" s="504"/>
    </row>
    <row r="1502" spans="1:21" ht="12.75" customHeight="1" x14ac:dyDescent="0.2">
      <c r="A1502" s="1916">
        <v>1502</v>
      </c>
      <c r="B1502" s="5148"/>
      <c r="C1502" s="1999"/>
      <c r="H1502" s="363"/>
      <c r="M1502" s="1847"/>
      <c r="N1502" s="96"/>
      <c r="O1502" s="411" t="s">
        <v>9601</v>
      </c>
      <c r="P1502" s="2578">
        <v>25</v>
      </c>
      <c r="Q1502" s="503">
        <v>100</v>
      </c>
      <c r="R1502" s="2585">
        <f>COUNTIF(PoderesDeCriatura_Adquiridos,Tablas!O1502)</f>
        <v>0</v>
      </c>
      <c r="S1502" s="370"/>
      <c r="T1502" s="2576"/>
      <c r="U1502" s="504"/>
    </row>
    <row r="1503" spans="1:21" ht="12.75" customHeight="1" x14ac:dyDescent="0.2">
      <c r="A1503" s="1916">
        <v>1503</v>
      </c>
      <c r="B1503" s="5148"/>
      <c r="C1503" s="1999"/>
      <c r="H1503" s="363"/>
      <c r="M1503" s="1847"/>
      <c r="N1503" s="96"/>
      <c r="O1503" s="411" t="s">
        <v>9602</v>
      </c>
      <c r="P1503" s="2578">
        <v>20</v>
      </c>
      <c r="Q1503" s="503">
        <v>-20</v>
      </c>
      <c r="R1503" s="2585">
        <f>COUNTIF(PoderesDeCriatura_Adquiridos,Tablas!O1503)</f>
        <v>0</v>
      </c>
      <c r="S1503" s="370"/>
      <c r="T1503" s="2576"/>
      <c r="U1503" s="504"/>
    </row>
    <row r="1504" spans="1:21" ht="12.75" customHeight="1" x14ac:dyDescent="0.2">
      <c r="A1504" s="1916">
        <v>1504</v>
      </c>
      <c r="B1504" s="5148"/>
      <c r="C1504" s="1999"/>
      <c r="H1504" s="363"/>
      <c r="M1504" s="1847"/>
      <c r="N1504" s="96"/>
      <c r="O1504" s="411" t="s">
        <v>9603</v>
      </c>
      <c r="P1504" s="2578">
        <v>10</v>
      </c>
      <c r="Q1504" s="503">
        <v>10</v>
      </c>
      <c r="R1504" s="2585">
        <f>COUNTIF(PoderesDeCriatura_Adquiridos,Tablas!O1504)</f>
        <v>0</v>
      </c>
      <c r="S1504" s="370"/>
      <c r="T1504" s="2576"/>
      <c r="U1504" s="504"/>
    </row>
    <row r="1505" spans="1:21" ht="12.75" customHeight="1" x14ac:dyDescent="0.2">
      <c r="A1505" s="1916">
        <v>1505</v>
      </c>
      <c r="B1505" s="5148"/>
      <c r="C1505" s="1999"/>
      <c r="H1505" s="363"/>
      <c r="M1505" s="1847"/>
      <c r="N1505" s="96"/>
      <c r="O1505" s="411" t="s">
        <v>9604</v>
      </c>
      <c r="P1505" s="2578">
        <v>20</v>
      </c>
      <c r="Q1505" s="503">
        <v>20</v>
      </c>
      <c r="R1505" s="2585">
        <f>COUNTIF(PoderesDeCriatura_Adquiridos,Tablas!O1505)</f>
        <v>0</v>
      </c>
      <c r="S1505" s="370"/>
      <c r="T1505" s="2576"/>
      <c r="U1505" s="504"/>
    </row>
    <row r="1506" spans="1:21" ht="12.75" customHeight="1" x14ac:dyDescent="0.2">
      <c r="A1506" s="1916">
        <v>1506</v>
      </c>
      <c r="B1506" s="5148"/>
      <c r="C1506" s="1999"/>
      <c r="H1506" s="363"/>
      <c r="M1506" s="1847"/>
      <c r="N1506" s="96"/>
      <c r="O1506" s="411" t="s">
        <v>9605</v>
      </c>
      <c r="P1506" s="2578">
        <v>20</v>
      </c>
      <c r="Q1506" s="503">
        <v>40</v>
      </c>
      <c r="R1506" s="2585">
        <f>COUNTIF(PoderesDeCriatura_Adquiridos,Tablas!O1506)</f>
        <v>0</v>
      </c>
      <c r="S1506" s="370"/>
      <c r="T1506" s="2576"/>
      <c r="U1506" s="504"/>
    </row>
    <row r="1507" spans="1:21" ht="12.75" customHeight="1" x14ac:dyDescent="0.2">
      <c r="A1507" s="1916">
        <v>1507</v>
      </c>
      <c r="B1507" s="5148"/>
      <c r="C1507" s="1999"/>
      <c r="H1507" s="363"/>
      <c r="M1507" s="1847"/>
      <c r="N1507" s="96"/>
      <c r="O1507" s="411" t="s">
        <v>9606</v>
      </c>
      <c r="P1507" s="2578">
        <v>25</v>
      </c>
      <c r="Q1507" s="503">
        <v>80</v>
      </c>
      <c r="R1507" s="2585">
        <f>COUNTIF(PoderesDeCriatura_Adquiridos,Tablas!O1507)</f>
        <v>0</v>
      </c>
      <c r="S1507" s="370"/>
      <c r="T1507" s="2576"/>
      <c r="U1507" s="504"/>
    </row>
    <row r="1508" spans="1:21" ht="12.75" customHeight="1" x14ac:dyDescent="0.2">
      <c r="A1508" s="1916">
        <v>1508</v>
      </c>
      <c r="B1508" s="5148"/>
      <c r="C1508" s="1999"/>
      <c r="H1508" s="363"/>
      <c r="M1508" s="1847"/>
      <c r="N1508" s="96"/>
      <c r="O1508" s="411" t="s">
        <v>9607</v>
      </c>
      <c r="P1508" s="2578">
        <v>10</v>
      </c>
      <c r="Q1508" s="503">
        <v>50</v>
      </c>
      <c r="R1508" s="2585">
        <f>COUNTIF(PoderesDeCriatura_Adquiridos,Tablas!O1508)</f>
        <v>0</v>
      </c>
      <c r="S1508" s="370"/>
      <c r="T1508" s="2576"/>
      <c r="U1508" s="504"/>
    </row>
    <row r="1509" spans="1:21" ht="12.75" customHeight="1" x14ac:dyDescent="0.2">
      <c r="A1509" s="1916">
        <v>1509</v>
      </c>
      <c r="B1509" s="5148"/>
      <c r="C1509" s="1999"/>
      <c r="H1509" s="363"/>
      <c r="M1509" s="1847"/>
      <c r="N1509" s="96"/>
      <c r="O1509" s="411" t="s">
        <v>9608</v>
      </c>
      <c r="P1509" s="2578">
        <v>20</v>
      </c>
      <c r="Q1509" s="503">
        <v>80</v>
      </c>
      <c r="R1509" s="2585">
        <f>COUNTIF(PoderesDeCriatura_Adquiridos,Tablas!O1509)</f>
        <v>0</v>
      </c>
      <c r="S1509" s="370"/>
      <c r="T1509" s="2576"/>
      <c r="U1509" s="504"/>
    </row>
    <row r="1510" spans="1:21" ht="12.75" customHeight="1" x14ac:dyDescent="0.2">
      <c r="A1510" s="1916">
        <v>1510</v>
      </c>
      <c r="B1510" s="5148"/>
      <c r="C1510" s="1999"/>
      <c r="H1510" s="363"/>
      <c r="M1510" s="1847"/>
      <c r="N1510" s="96"/>
      <c r="O1510" s="411" t="s">
        <v>9609</v>
      </c>
      <c r="P1510" s="2578">
        <v>25</v>
      </c>
      <c r="Q1510" s="503">
        <v>100</v>
      </c>
      <c r="R1510" s="2585">
        <f>COUNTIF(PoderesDeCriatura_Adquiridos,Tablas!O1510)</f>
        <v>0</v>
      </c>
      <c r="S1510" s="370"/>
      <c r="T1510" s="2576"/>
      <c r="U1510" s="504"/>
    </row>
    <row r="1511" spans="1:21" ht="12.75" customHeight="1" x14ac:dyDescent="0.2">
      <c r="A1511" s="1916">
        <v>1511</v>
      </c>
      <c r="B1511" s="5148"/>
      <c r="C1511" s="1999"/>
      <c r="H1511" s="363"/>
      <c r="M1511" s="1847"/>
      <c r="N1511" s="96"/>
      <c r="O1511" s="411" t="s">
        <v>9610</v>
      </c>
      <c r="P1511" s="2578">
        <v>30</v>
      </c>
      <c r="Q1511" s="503">
        <v>150</v>
      </c>
      <c r="R1511" s="2585">
        <f>COUNTIF(PoderesDeCriatura_Adquiridos,Tablas!O1511)</f>
        <v>0</v>
      </c>
      <c r="S1511" s="370"/>
      <c r="T1511" s="2576"/>
      <c r="U1511" s="504"/>
    </row>
    <row r="1512" spans="1:21" ht="12.75" customHeight="1" x14ac:dyDescent="0.2">
      <c r="A1512" s="1916">
        <v>1512</v>
      </c>
      <c r="B1512" s="5148"/>
      <c r="C1512" s="1999"/>
      <c r="H1512" s="363"/>
      <c r="M1512" s="1847"/>
      <c r="N1512" s="96"/>
      <c r="O1512" s="411" t="s">
        <v>9611</v>
      </c>
      <c r="P1512" s="2578">
        <v>10</v>
      </c>
      <c r="Q1512" s="503">
        <v>50</v>
      </c>
      <c r="R1512" s="2585">
        <f>COUNTIF(PoderesDeCriatura_Adquiridos,Tablas!O1512)</f>
        <v>0</v>
      </c>
      <c r="S1512" s="370"/>
      <c r="T1512" s="2576"/>
      <c r="U1512" s="504"/>
    </row>
    <row r="1513" spans="1:21" ht="12.75" customHeight="1" x14ac:dyDescent="0.2">
      <c r="A1513" s="1916">
        <v>1513</v>
      </c>
      <c r="B1513" s="5148"/>
      <c r="C1513" s="1999"/>
      <c r="H1513" s="363"/>
      <c r="M1513" s="1847"/>
      <c r="N1513" s="96"/>
      <c r="O1513" s="411" t="s">
        <v>9612</v>
      </c>
      <c r="P1513" s="2578">
        <v>20</v>
      </c>
      <c r="Q1513" s="503">
        <v>-30</v>
      </c>
      <c r="R1513" s="2585">
        <f>COUNTIF(PoderesDeCriatura_Adquiridos,Tablas!O1513)</f>
        <v>0</v>
      </c>
      <c r="S1513" s="370"/>
      <c r="T1513" s="2576"/>
      <c r="U1513" s="504"/>
    </row>
    <row r="1514" spans="1:21" ht="12.75" customHeight="1" x14ac:dyDescent="0.2">
      <c r="A1514" s="1916">
        <v>1514</v>
      </c>
      <c r="B1514" s="5148"/>
      <c r="C1514" s="1999"/>
      <c r="H1514" s="363"/>
      <c r="M1514" s="1847"/>
      <c r="N1514" s="96"/>
      <c r="O1514" s="411" t="s">
        <v>9613</v>
      </c>
      <c r="P1514" s="2594">
        <v>20</v>
      </c>
      <c r="Q1514" s="2473">
        <v>40</v>
      </c>
      <c r="R1514" s="2585">
        <f>COUNTIF(PoderesDeCriatura_Adquiridos,Tablas!O1514)</f>
        <v>0</v>
      </c>
      <c r="S1514" s="370"/>
      <c r="T1514" s="2576"/>
      <c r="U1514" s="504"/>
    </row>
    <row r="1515" spans="1:21" ht="12.75" customHeight="1" x14ac:dyDescent="0.2">
      <c r="A1515" s="1916">
        <v>1515</v>
      </c>
      <c r="B1515" s="5148"/>
      <c r="C1515" s="1999"/>
      <c r="H1515" s="363"/>
      <c r="M1515" s="1847"/>
      <c r="N1515" s="96"/>
      <c r="O1515" s="411" t="s">
        <v>9614</v>
      </c>
      <c r="P1515" s="2596">
        <v>20</v>
      </c>
      <c r="Q1515" s="2473">
        <v>60</v>
      </c>
      <c r="R1515" s="2585">
        <f>COUNTIF(PoderesDeCriatura_Adquiridos,Tablas!O1515)</f>
        <v>0</v>
      </c>
      <c r="S1515" s="370"/>
      <c r="T1515" s="2576"/>
      <c r="U1515" s="504"/>
    </row>
    <row r="1516" spans="1:21" ht="12.75" customHeight="1" x14ac:dyDescent="0.2">
      <c r="A1516" s="1916">
        <v>1516</v>
      </c>
      <c r="B1516" s="5148"/>
      <c r="C1516" s="1999"/>
      <c r="H1516" s="363"/>
      <c r="M1516" s="1847"/>
      <c r="N1516" s="96"/>
      <c r="O1516" s="411" t="s">
        <v>9615</v>
      </c>
      <c r="P1516" s="2594">
        <v>25</v>
      </c>
      <c r="Q1516" s="2473">
        <v>80</v>
      </c>
      <c r="R1516" s="2585">
        <f>COUNTIF(PoderesDeCriatura_Adquiridos,Tablas!O1516)</f>
        <v>0</v>
      </c>
      <c r="S1516" s="370"/>
      <c r="T1516" s="2576"/>
      <c r="U1516" s="504"/>
    </row>
    <row r="1517" spans="1:21" ht="12.75" customHeight="1" x14ac:dyDescent="0.2">
      <c r="A1517" s="1916">
        <v>1517</v>
      </c>
      <c r="B1517" s="5148"/>
      <c r="C1517" s="1999"/>
      <c r="H1517" s="363"/>
      <c r="M1517" s="1847"/>
      <c r="N1517" s="96"/>
      <c r="O1517" s="411" t="s">
        <v>9616</v>
      </c>
      <c r="P1517" s="2594">
        <v>25</v>
      </c>
      <c r="Q1517" s="2473">
        <v>100</v>
      </c>
      <c r="R1517" s="2585">
        <f>COUNTIF(PoderesDeCriatura_Adquiridos,Tablas!O1517)</f>
        <v>0</v>
      </c>
      <c r="S1517" s="370"/>
      <c r="T1517" s="2576"/>
      <c r="U1517" s="504"/>
    </row>
    <row r="1518" spans="1:21" ht="12.75" customHeight="1" x14ac:dyDescent="0.2">
      <c r="A1518" s="1916">
        <v>1518</v>
      </c>
      <c r="B1518" s="5148"/>
      <c r="C1518" s="1999"/>
      <c r="H1518" s="363"/>
      <c r="M1518" s="1847"/>
      <c r="N1518" s="96"/>
      <c r="O1518" s="411" t="s">
        <v>9617</v>
      </c>
      <c r="P1518" s="2594">
        <v>30</v>
      </c>
      <c r="Q1518" s="2473">
        <v>120</v>
      </c>
      <c r="R1518" s="2585">
        <f>COUNTIF(PoderesDeCriatura_Adquiridos,Tablas!O1518)</f>
        <v>0</v>
      </c>
      <c r="S1518" s="370"/>
      <c r="T1518" s="2576"/>
      <c r="U1518" s="504"/>
    </row>
    <row r="1519" spans="1:21" ht="12.75" customHeight="1" x14ac:dyDescent="0.2">
      <c r="A1519" s="1916">
        <v>1519</v>
      </c>
      <c r="B1519" s="5148"/>
      <c r="C1519" s="1999"/>
      <c r="H1519" s="363"/>
      <c r="M1519" s="1847"/>
      <c r="N1519" s="96"/>
      <c r="O1519" s="411" t="s">
        <v>9618</v>
      </c>
      <c r="P1519" s="2594">
        <v>35</v>
      </c>
      <c r="Q1519" s="2473">
        <v>140</v>
      </c>
      <c r="R1519" s="2585">
        <f>COUNTIF(PoderesDeCriatura_Adquiridos,Tablas!O1519)</f>
        <v>0</v>
      </c>
      <c r="S1519" s="370"/>
      <c r="T1519" s="2576"/>
      <c r="U1519" s="504"/>
    </row>
    <row r="1520" spans="1:21" ht="12.75" customHeight="1" x14ac:dyDescent="0.2">
      <c r="A1520" s="1916">
        <v>1520</v>
      </c>
      <c r="B1520" s="5148"/>
      <c r="C1520" s="1999"/>
      <c r="H1520" s="363"/>
      <c r="M1520" s="1847"/>
      <c r="N1520" s="96"/>
      <c r="O1520" s="411" t="s">
        <v>9619</v>
      </c>
      <c r="P1520" s="2594">
        <v>20</v>
      </c>
      <c r="Q1520" s="2473">
        <f>20+IF(OR(TipoDeCriatura="Entre mundos, Elemental",TipoDeCriatura="Ánima, Elemental"),10,0)</f>
        <v>20</v>
      </c>
      <c r="R1520" s="2585">
        <f>COUNTIF(PoderesDeCriatura_Adquiridos,Tablas!O1520)</f>
        <v>0</v>
      </c>
      <c r="S1520" s="370"/>
      <c r="T1520" s="2576"/>
      <c r="U1520" s="504"/>
    </row>
    <row r="1521" spans="1:21" ht="12.75" customHeight="1" x14ac:dyDescent="0.2">
      <c r="A1521" s="1916">
        <v>1521</v>
      </c>
      <c r="B1521" s="5148"/>
      <c r="C1521" s="1999"/>
      <c r="H1521" s="363"/>
      <c r="M1521" s="1847"/>
      <c r="N1521" s="96"/>
      <c r="O1521" s="411" t="s">
        <v>9620</v>
      </c>
      <c r="P1521" s="2594">
        <v>20</v>
      </c>
      <c r="Q1521" s="2473">
        <f>30+IF(OR(TipoDeCriatura="Entre mundos, Elemental",TipoDeCriatura="Ánima, Elemental"),10,0)</f>
        <v>30</v>
      </c>
      <c r="R1521" s="2585">
        <f>COUNTIF(PoderesDeCriatura_Adquiridos,Tablas!O1521)</f>
        <v>0</v>
      </c>
      <c r="S1521" s="370"/>
      <c r="T1521" s="2576"/>
      <c r="U1521" s="504"/>
    </row>
    <row r="1522" spans="1:21" ht="12.75" customHeight="1" x14ac:dyDescent="0.2">
      <c r="A1522" s="1916">
        <v>1522</v>
      </c>
      <c r="B1522" s="5148"/>
      <c r="C1522" s="1999"/>
      <c r="H1522" s="363"/>
      <c r="M1522" s="1847"/>
      <c r="N1522" s="96"/>
      <c r="O1522" s="411" t="s">
        <v>9621</v>
      </c>
      <c r="P1522" s="2594">
        <v>25</v>
      </c>
      <c r="Q1522" s="2473">
        <f>40+IF(OR(TipoDeCriatura="Entre mundos, Elemental",TipoDeCriatura="Ánima, Elemental"),10,0)</f>
        <v>40</v>
      </c>
      <c r="R1522" s="2585">
        <f>COUNTIF(PoderesDeCriatura_Adquiridos,Tablas!O1522)</f>
        <v>0</v>
      </c>
      <c r="S1522" s="370"/>
      <c r="T1522" s="2576"/>
      <c r="U1522" s="504"/>
    </row>
    <row r="1523" spans="1:21" ht="12.75" customHeight="1" x14ac:dyDescent="0.2">
      <c r="A1523" s="1916">
        <v>1523</v>
      </c>
      <c r="B1523" s="5148"/>
      <c r="C1523" s="1999"/>
      <c r="H1523" s="363"/>
      <c r="M1523" s="1847"/>
      <c r="N1523" s="96"/>
      <c r="O1523" s="411" t="s">
        <v>9622</v>
      </c>
      <c r="P1523" s="2594">
        <v>25</v>
      </c>
      <c r="Q1523" s="2473">
        <f>50+IF(OR(TipoDeCriatura="Entre mundos, Elemental",TipoDeCriatura="Ánima, Elemental"),10,0)</f>
        <v>50</v>
      </c>
      <c r="R1523" s="2585">
        <f>COUNTIF(PoderesDeCriatura_Adquiridos,Tablas!O1523)</f>
        <v>0</v>
      </c>
      <c r="S1523" s="370"/>
      <c r="T1523" s="2576"/>
      <c r="U1523" s="504"/>
    </row>
    <row r="1524" spans="1:21" ht="12.75" customHeight="1" x14ac:dyDescent="0.2">
      <c r="A1524" s="1916">
        <v>1524</v>
      </c>
      <c r="B1524" s="5148"/>
      <c r="C1524" s="1999"/>
      <c r="H1524" s="363"/>
      <c r="M1524" s="1847"/>
      <c r="N1524" s="96"/>
      <c r="O1524" s="411" t="s">
        <v>9623</v>
      </c>
      <c r="P1524" s="2594">
        <v>30</v>
      </c>
      <c r="Q1524" s="2473">
        <f>60+IF(OR(TipoDeCriatura="Entre mundos, Elemental",TipoDeCriatura="Ánima, Elemental"),10,0)</f>
        <v>60</v>
      </c>
      <c r="R1524" s="2585">
        <f>COUNTIF(PoderesDeCriatura_Adquiridos,Tablas!O1524)</f>
        <v>0</v>
      </c>
      <c r="S1524" s="370"/>
      <c r="T1524" s="2576"/>
      <c r="U1524" s="504"/>
    </row>
    <row r="1525" spans="1:21" ht="12.75" customHeight="1" x14ac:dyDescent="0.2">
      <c r="A1525" s="1916">
        <v>1525</v>
      </c>
      <c r="B1525" s="5148"/>
      <c r="C1525" s="1999"/>
      <c r="H1525" s="363"/>
      <c r="M1525" s="1847"/>
      <c r="N1525" s="96"/>
      <c r="O1525" s="411" t="s">
        <v>9624</v>
      </c>
      <c r="P1525" s="2595">
        <v>35</v>
      </c>
      <c r="Q1525" s="2473">
        <f>80+IF(OR(TipoDeCriatura="Entre mundos, Elemental",TipoDeCriatura="Ánima, Elemental"),10,0)</f>
        <v>80</v>
      </c>
      <c r="R1525" s="2585">
        <f>COUNTIF(PoderesDeCriatura_Adquiridos,Tablas!O1525)</f>
        <v>0</v>
      </c>
      <c r="S1525" s="370"/>
      <c r="T1525" s="2576"/>
      <c r="U1525" s="504"/>
    </row>
    <row r="1526" spans="1:21" ht="12.75" customHeight="1" x14ac:dyDescent="0.2">
      <c r="A1526" s="1916">
        <v>1526</v>
      </c>
      <c r="B1526" s="5148"/>
      <c r="C1526" s="1999"/>
      <c r="H1526" s="363"/>
      <c r="M1526" s="1847"/>
      <c r="N1526" s="96"/>
      <c r="O1526" s="411" t="s">
        <v>9625</v>
      </c>
      <c r="P1526" s="2594">
        <v>20</v>
      </c>
      <c r="Q1526" s="2473">
        <f>60+IF(OR(TipoDeCriatura="Entre mundos, Elemental",TipoDeCriatura="Ánima, Elemental"),10,0)</f>
        <v>60</v>
      </c>
      <c r="R1526" s="2585">
        <f>COUNTIF(PoderesDeCriatura_Adquiridos,Tablas!O1526)</f>
        <v>0</v>
      </c>
      <c r="S1526" s="370"/>
      <c r="T1526" s="2576"/>
      <c r="U1526" s="504"/>
    </row>
    <row r="1527" spans="1:21" ht="12.75" customHeight="1" x14ac:dyDescent="0.2">
      <c r="A1527" s="1916">
        <v>1527</v>
      </c>
      <c r="B1527" s="5148"/>
      <c r="C1527" s="1999"/>
      <c r="H1527" s="363"/>
      <c r="M1527" s="1847"/>
      <c r="N1527" s="96"/>
      <c r="O1527" s="411" t="s">
        <v>9626</v>
      </c>
      <c r="P1527" s="2594">
        <v>30</v>
      </c>
      <c r="Q1527" s="2473">
        <f>80+IF(OR(TipoDeCriatura="Entre mundos, Elemental",TipoDeCriatura="Ánima, Elemental"),10,0)</f>
        <v>80</v>
      </c>
      <c r="R1527" s="2585">
        <f>COUNTIF(PoderesDeCriatura_Adquiridos,Tablas!O1527)</f>
        <v>0</v>
      </c>
      <c r="S1527" s="370"/>
      <c r="T1527" s="2576"/>
      <c r="U1527" s="504"/>
    </row>
    <row r="1528" spans="1:21" ht="12.75" customHeight="1" x14ac:dyDescent="0.2">
      <c r="A1528" s="1916">
        <v>1528</v>
      </c>
      <c r="B1528" s="5148"/>
      <c r="C1528" s="1999"/>
      <c r="H1528" s="363"/>
      <c r="M1528" s="1847"/>
      <c r="N1528" s="96"/>
      <c r="O1528" s="411" t="s">
        <v>9627</v>
      </c>
      <c r="P1528" s="2594">
        <v>20</v>
      </c>
      <c r="Q1528" s="2473">
        <f>60+IF(OR(TipoDeCriatura="Entre mundos, Elemental",TipoDeCriatura="Ánima, Elemental"),10,0)</f>
        <v>60</v>
      </c>
      <c r="R1528" s="2585">
        <f>COUNTIF(PoderesDeCriatura_Adquiridos,Tablas!O1528)</f>
        <v>0</v>
      </c>
      <c r="S1528" s="370"/>
      <c r="T1528" s="2576"/>
      <c r="U1528" s="504"/>
    </row>
    <row r="1529" spans="1:21" ht="12.75" customHeight="1" x14ac:dyDescent="0.2">
      <c r="A1529" s="1916">
        <v>1529</v>
      </c>
      <c r="B1529" s="5148"/>
      <c r="C1529" s="1999"/>
      <c r="H1529" s="363"/>
      <c r="M1529" s="1847"/>
      <c r="N1529" s="96"/>
      <c r="O1529" s="411" t="s">
        <v>9628</v>
      </c>
      <c r="P1529" s="2594">
        <v>25</v>
      </c>
      <c r="Q1529" s="2473">
        <f>80+IF(OR(TipoDeCriatura="Entre mundos, Elemental",TipoDeCriatura="Ánima, Elemental"),10,0)</f>
        <v>80</v>
      </c>
      <c r="R1529" s="2585">
        <f>COUNTIF(PoderesDeCriatura_Adquiridos,Tablas!O1529)</f>
        <v>0</v>
      </c>
      <c r="S1529" s="370"/>
      <c r="T1529" s="2576"/>
      <c r="U1529" s="504"/>
    </row>
    <row r="1530" spans="1:21" ht="12.75" customHeight="1" x14ac:dyDescent="0.2">
      <c r="A1530" s="1916">
        <v>1530</v>
      </c>
      <c r="B1530" s="5148"/>
      <c r="C1530" s="1999"/>
      <c r="H1530" s="363"/>
      <c r="M1530" s="1847"/>
      <c r="N1530" s="96"/>
      <c r="O1530" s="411" t="s">
        <v>9629</v>
      </c>
      <c r="P1530" s="2594">
        <v>20</v>
      </c>
      <c r="Q1530" s="2473">
        <f>100+IF(OR(TipoDeCriatura="Entre mundos, Elemental",TipoDeCriatura="Ánima, Elemental"),10,0)</f>
        <v>100</v>
      </c>
      <c r="R1530" s="2585">
        <f>COUNTIF(PoderesDeCriatura_Adquiridos,Tablas!O1530)</f>
        <v>0</v>
      </c>
      <c r="S1530" s="370"/>
      <c r="T1530" s="2576"/>
      <c r="U1530" s="504"/>
    </row>
    <row r="1531" spans="1:21" ht="12.75" customHeight="1" x14ac:dyDescent="0.2">
      <c r="A1531" s="1916">
        <v>1531</v>
      </c>
      <c r="B1531" s="5148"/>
      <c r="C1531" s="1999"/>
      <c r="H1531" s="363"/>
      <c r="M1531" s="1847"/>
      <c r="N1531" s="96"/>
      <c r="O1531" s="411" t="s">
        <v>9630</v>
      </c>
      <c r="P1531" s="2594">
        <v>20</v>
      </c>
      <c r="Q1531" s="2473">
        <f>80+IF(OR(TipoDeCriatura="Entre mundos, Elemental",TipoDeCriatura="Ánima, Elemental"),10,0)</f>
        <v>80</v>
      </c>
      <c r="R1531" s="2585">
        <f>COUNTIF(PoderesDeCriatura_Adquiridos,Tablas!O1531)</f>
        <v>0</v>
      </c>
      <c r="S1531" s="370"/>
      <c r="T1531" s="2576"/>
      <c r="U1531" s="504"/>
    </row>
    <row r="1532" spans="1:21" ht="12.75" customHeight="1" x14ac:dyDescent="0.2">
      <c r="A1532" s="1916">
        <v>1532</v>
      </c>
      <c r="B1532" s="5148"/>
      <c r="C1532" s="1999"/>
      <c r="H1532" s="363"/>
      <c r="M1532" s="1847"/>
      <c r="N1532" s="96"/>
      <c r="O1532" s="411" t="s">
        <v>9631</v>
      </c>
      <c r="P1532" s="2594">
        <v>30</v>
      </c>
      <c r="Q1532" s="2473">
        <f>120+IF(OR(TipoDeCriatura="Entre mundos, Elemental",TipoDeCriatura="Ánima, Elemental"),10,0)</f>
        <v>120</v>
      </c>
      <c r="R1532" s="2585">
        <f>COUNTIF(PoderesDeCriatura_Adquiridos,Tablas!O1532)</f>
        <v>0</v>
      </c>
      <c r="S1532" s="370"/>
      <c r="T1532" s="2576"/>
      <c r="U1532" s="504"/>
    </row>
    <row r="1533" spans="1:21" ht="12.75" customHeight="1" x14ac:dyDescent="0.2">
      <c r="A1533" s="1916">
        <v>1533</v>
      </c>
      <c r="B1533" s="5148"/>
      <c r="C1533" s="1999"/>
      <c r="H1533" s="363"/>
      <c r="M1533" s="1847"/>
      <c r="N1533" s="96"/>
      <c r="O1533" s="411" t="s">
        <v>9632</v>
      </c>
      <c r="P1533" s="2594">
        <v>20</v>
      </c>
      <c r="Q1533" s="2473">
        <f>60+IF(OR(TipoDeCriatura="Entre mundos, Elemental",TipoDeCriatura="Ánima, Elemental"),10,0)</f>
        <v>60</v>
      </c>
      <c r="R1533" s="2585">
        <f>COUNTIF(PoderesDeCriatura_Adquiridos,Tablas!O1533)</f>
        <v>0</v>
      </c>
      <c r="S1533" s="370"/>
      <c r="T1533" s="2576"/>
      <c r="U1533" s="504"/>
    </row>
    <row r="1534" spans="1:21" ht="12.75" customHeight="1" x14ac:dyDescent="0.2">
      <c r="A1534" s="1916">
        <v>1534</v>
      </c>
      <c r="B1534" s="5148"/>
      <c r="C1534" s="1999"/>
      <c r="H1534" s="363"/>
      <c r="M1534" s="1847"/>
      <c r="N1534" s="96"/>
      <c r="O1534" s="411" t="s">
        <v>9633</v>
      </c>
      <c r="P1534" s="2594">
        <v>20</v>
      </c>
      <c r="Q1534" s="2473">
        <f>80+IF(OR(TipoDeCriatura="Entre mundos, Elemental",TipoDeCriatura="Ánima, Elemental"),10,0)</f>
        <v>80</v>
      </c>
      <c r="R1534" s="2585">
        <f>COUNTIF(PoderesDeCriatura_Adquiridos,Tablas!O1534)</f>
        <v>0</v>
      </c>
      <c r="S1534" s="370"/>
      <c r="T1534" s="2576"/>
      <c r="U1534" s="504"/>
    </row>
    <row r="1535" spans="1:21" ht="12.75" customHeight="1" x14ac:dyDescent="0.2">
      <c r="A1535" s="1916">
        <v>1535</v>
      </c>
      <c r="B1535" s="5148"/>
      <c r="C1535" s="1999"/>
      <c r="H1535" s="363"/>
      <c r="M1535" s="1847"/>
      <c r="N1535" s="96"/>
      <c r="O1535" s="411" t="s">
        <v>9634</v>
      </c>
      <c r="P1535" s="2594">
        <v>20</v>
      </c>
      <c r="Q1535" s="2473">
        <f>40+IF(OR(TipoDeCriatura="Entre mundos, Elemental",TipoDeCriatura="Ánima, Elemental"),10,0)</f>
        <v>40</v>
      </c>
      <c r="R1535" s="2585">
        <f>COUNTIF(PoderesDeCriatura_Adquiridos,Tablas!O1535)</f>
        <v>0</v>
      </c>
      <c r="S1535" s="370"/>
      <c r="T1535" s="2576"/>
      <c r="U1535" s="504"/>
    </row>
    <row r="1536" spans="1:21" ht="12.75" customHeight="1" x14ac:dyDescent="0.2">
      <c r="A1536" s="1916">
        <v>1536</v>
      </c>
      <c r="B1536" s="5148"/>
      <c r="C1536" s="1999"/>
      <c r="H1536" s="363"/>
      <c r="M1536" s="1847"/>
      <c r="N1536" s="96"/>
      <c r="O1536" s="411" t="s">
        <v>9635</v>
      </c>
      <c r="P1536" s="2594">
        <v>20</v>
      </c>
      <c r="Q1536" s="2473">
        <f>40+IF(OR(TipoDeCriatura="Entre mundos, Elemental",TipoDeCriatura="Ánima, Elemental"),10,0)</f>
        <v>40</v>
      </c>
      <c r="R1536" s="2585">
        <f>COUNTIF(PoderesDeCriatura_Adquiridos,Tablas!O1536)</f>
        <v>0</v>
      </c>
      <c r="S1536" s="370"/>
      <c r="T1536" s="2576"/>
      <c r="U1536" s="504"/>
    </row>
    <row r="1537" spans="1:29" ht="12.75" customHeight="1" x14ac:dyDescent="0.2">
      <c r="A1537" s="1916">
        <v>1537</v>
      </c>
      <c r="B1537" s="5148"/>
      <c r="C1537" s="1999"/>
      <c r="H1537" s="363"/>
      <c r="M1537" s="1847"/>
      <c r="N1537" s="96"/>
      <c r="O1537" s="411" t="s">
        <v>9636</v>
      </c>
      <c r="P1537" s="2594">
        <v>20</v>
      </c>
      <c r="Q1537" s="2473">
        <f>40+IF(OR(TipoDeCriatura="Entre mundos, Elemental",TipoDeCriatura="Ánima, Elemental"),10,0)</f>
        <v>40</v>
      </c>
      <c r="R1537" s="2585">
        <f>COUNTIF(PoderesDeCriatura_Adquiridos,Tablas!O1537)</f>
        <v>0</v>
      </c>
      <c r="S1537" s="370"/>
      <c r="T1537" s="2576"/>
      <c r="U1537" s="504"/>
    </row>
    <row r="1538" spans="1:29" ht="12.75" customHeight="1" x14ac:dyDescent="0.2">
      <c r="A1538" s="1916">
        <v>1538</v>
      </c>
      <c r="B1538" s="5148"/>
      <c r="C1538" s="1999"/>
      <c r="H1538" s="363"/>
      <c r="M1538" s="1847"/>
      <c r="N1538" s="96"/>
      <c r="O1538" s="411" t="s">
        <v>9637</v>
      </c>
      <c r="P1538" s="2594">
        <v>20</v>
      </c>
      <c r="Q1538" s="2473">
        <f>60+IF(OR(TipoDeCriatura="Entre mundos, Elemental",TipoDeCriatura="Ánima, Elemental"),10,0)</f>
        <v>60</v>
      </c>
      <c r="R1538" s="2585">
        <f>COUNTIF(PoderesDeCriatura_Adquiridos,Tablas!O1538)</f>
        <v>0</v>
      </c>
      <c r="S1538" s="370"/>
      <c r="T1538" s="2576"/>
      <c r="U1538" s="504"/>
    </row>
    <row r="1539" spans="1:29" ht="12.75" customHeight="1" x14ac:dyDescent="0.2">
      <c r="A1539" s="1916">
        <v>1539</v>
      </c>
      <c r="B1539" s="5148"/>
      <c r="C1539" s="1999"/>
      <c r="H1539" s="363"/>
      <c r="M1539" s="1847"/>
      <c r="N1539" s="96"/>
      <c r="O1539" s="411" t="s">
        <v>9638</v>
      </c>
      <c r="P1539" s="2594">
        <v>30</v>
      </c>
      <c r="Q1539" s="2473">
        <f>100+IF(OR(TipoDeCriatura="Entre mundos, Elemental",TipoDeCriatura="Ánima, Elemental"),10,0)</f>
        <v>100</v>
      </c>
      <c r="R1539" s="2585">
        <f>COUNTIF(PoderesDeCriatura_Adquiridos,Tablas!O1539)</f>
        <v>0</v>
      </c>
      <c r="S1539" s="370"/>
      <c r="T1539" s="2576"/>
      <c r="U1539" s="504"/>
    </row>
    <row r="1540" spans="1:29" ht="12.75" customHeight="1" x14ac:dyDescent="0.2">
      <c r="A1540" s="1916">
        <v>1540</v>
      </c>
      <c r="B1540" s="5148"/>
      <c r="C1540" s="1999"/>
      <c r="H1540" s="363"/>
      <c r="M1540" s="1847"/>
      <c r="N1540" s="96"/>
      <c r="O1540" s="411" t="s">
        <v>9639</v>
      </c>
      <c r="P1540" s="2594">
        <v>20</v>
      </c>
      <c r="Q1540" s="2473">
        <f>120+IF(OR(TipoDeCriatura="Entre mundos, Elemental",TipoDeCriatura="Ánima, Elemental"),10,0)</f>
        <v>120</v>
      </c>
      <c r="R1540" s="2585">
        <f>COUNTIF(PoderesDeCriatura_Adquiridos,Tablas!O1540)</f>
        <v>0</v>
      </c>
      <c r="S1540" s="370"/>
      <c r="T1540" s="2576"/>
      <c r="U1540" s="504"/>
    </row>
    <row r="1541" spans="1:29" ht="12.75" customHeight="1" x14ac:dyDescent="0.2">
      <c r="A1541" s="1916">
        <v>1541</v>
      </c>
      <c r="B1541" s="5148"/>
      <c r="C1541" s="1999"/>
      <c r="H1541" s="363"/>
      <c r="M1541" s="1847"/>
      <c r="N1541" s="96"/>
      <c r="O1541" s="411" t="s">
        <v>9640</v>
      </c>
      <c r="P1541" s="2594">
        <v>30</v>
      </c>
      <c r="Q1541" s="2473">
        <f>140+IF(OR(TipoDeCriatura="Entre mundos, Elemental",TipoDeCriatura="Ánima, Elemental"),10,0)</f>
        <v>140</v>
      </c>
      <c r="R1541" s="2585">
        <f>COUNTIF(PoderesDeCriatura_Adquiridos,Tablas!O1541)</f>
        <v>0</v>
      </c>
      <c r="S1541" s="370"/>
      <c r="T1541" s="2576"/>
      <c r="U1541" s="504"/>
    </row>
    <row r="1542" spans="1:29" ht="12.75" customHeight="1" x14ac:dyDescent="0.2">
      <c r="A1542" s="1916">
        <v>1542</v>
      </c>
      <c r="B1542" s="5148"/>
      <c r="C1542" s="1999"/>
      <c r="H1542" s="363"/>
      <c r="M1542" s="1847"/>
      <c r="N1542" s="96"/>
      <c r="O1542" s="411" t="s">
        <v>9641</v>
      </c>
      <c r="P1542" s="2594">
        <v>35</v>
      </c>
      <c r="Q1542" s="2473">
        <f>160+IF(OR(TipoDeCriatura="Entre mundos, Elemental",TipoDeCriatura="Ánima, Elemental"),10,0)</f>
        <v>160</v>
      </c>
      <c r="R1542" s="2585">
        <f>COUNTIF(PoderesDeCriatura_Adquiridos,Tablas!O1542)</f>
        <v>0</v>
      </c>
      <c r="S1542" s="370"/>
      <c r="T1542" s="2576"/>
      <c r="U1542" s="504"/>
      <c r="Y1542" s="1999"/>
      <c r="AB1542" s="363"/>
      <c r="AC1542" s="2563"/>
    </row>
    <row r="1543" spans="1:29" ht="12.75" customHeight="1" x14ac:dyDescent="0.2">
      <c r="A1543" s="1916">
        <v>1543</v>
      </c>
      <c r="B1543" s="5148"/>
      <c r="C1543" s="1999"/>
      <c r="H1543" s="363"/>
      <c r="M1543" s="1847"/>
      <c r="N1543" s="96"/>
      <c r="O1543" s="411" t="s">
        <v>9642</v>
      </c>
      <c r="P1543" s="2594">
        <v>20</v>
      </c>
      <c r="Q1543" s="2473">
        <f>40+IF(OR(TipoDeCriatura="Entre mundos, Elemental",TipoDeCriatura="Ánima, Elemental"),10,0)</f>
        <v>40</v>
      </c>
      <c r="R1543" s="2585">
        <f>COUNTIF(PoderesDeCriatura_Adquiridos,Tablas!O1543)</f>
        <v>0</v>
      </c>
      <c r="S1543" s="370"/>
      <c r="T1543" s="2576"/>
      <c r="U1543" s="504"/>
      <c r="Y1543" s="1999"/>
      <c r="AB1543" s="363"/>
      <c r="AC1543" s="2563"/>
    </row>
    <row r="1544" spans="1:29" ht="12.75" customHeight="1" x14ac:dyDescent="0.2">
      <c r="A1544" s="1916">
        <v>1544</v>
      </c>
      <c r="B1544" s="5148"/>
      <c r="C1544" s="1999"/>
      <c r="H1544" s="363"/>
      <c r="M1544" s="1847"/>
      <c r="N1544" s="96"/>
      <c r="O1544" s="411" t="s">
        <v>9643</v>
      </c>
      <c r="P1544" s="2594">
        <v>25</v>
      </c>
      <c r="Q1544" s="2473">
        <f>80+IF(OR(TipoDeCriatura="Entre mundos, Elemental",TipoDeCriatura="Ánima, Elemental"),10,0)</f>
        <v>80</v>
      </c>
      <c r="R1544" s="2585">
        <f>COUNTIF(PoderesDeCriatura_Adquiridos,Tablas!O1544)</f>
        <v>0</v>
      </c>
      <c r="S1544" s="370"/>
      <c r="T1544" s="2576"/>
      <c r="U1544" s="504"/>
      <c r="Y1544" s="1999"/>
      <c r="AB1544" s="363"/>
      <c r="AC1544" s="2563"/>
    </row>
    <row r="1545" spans="1:29" ht="12.75" customHeight="1" x14ac:dyDescent="0.2">
      <c r="A1545" s="1916">
        <v>1545</v>
      </c>
      <c r="B1545" s="5148"/>
      <c r="C1545" s="1999"/>
      <c r="H1545" s="363"/>
      <c r="M1545" s="1847"/>
      <c r="N1545" s="96"/>
      <c r="O1545" s="411" t="s">
        <v>9644</v>
      </c>
      <c r="P1545" s="2594">
        <v>30</v>
      </c>
      <c r="Q1545" s="2473">
        <f>140+IF(OR(TipoDeCriatura="Entre mundos, Elemental",TipoDeCriatura="Ánima, Elemental"),10,0)</f>
        <v>140</v>
      </c>
      <c r="R1545" s="2585">
        <f>COUNTIF(PoderesDeCriatura_Adquiridos,Tablas!O1545)</f>
        <v>0</v>
      </c>
      <c r="S1545" s="370"/>
      <c r="T1545" s="2576"/>
      <c r="U1545" s="504"/>
      <c r="Y1545" s="1999"/>
      <c r="AB1545" s="363"/>
      <c r="AC1545" s="2563"/>
    </row>
    <row r="1546" spans="1:29" ht="12.75" customHeight="1" x14ac:dyDescent="0.2">
      <c r="A1546" s="1916">
        <v>1546</v>
      </c>
      <c r="B1546" s="5148"/>
      <c r="C1546" s="1999"/>
      <c r="H1546" s="363"/>
      <c r="M1546" s="1847"/>
      <c r="N1546" s="96"/>
      <c r="O1546" s="411" t="s">
        <v>9645</v>
      </c>
      <c r="P1546" s="2594">
        <v>20</v>
      </c>
      <c r="Q1546" s="2473">
        <f>100+IF(OR(TipoDeCriatura="Entre mundos, Elemental",TipoDeCriatura="Ánima, Elemental"),10,0)</f>
        <v>100</v>
      </c>
      <c r="R1546" s="2585">
        <f>COUNTIF(PoderesDeCriatura_Adquiridos,Tablas!O1546)</f>
        <v>0</v>
      </c>
      <c r="S1546" s="370"/>
      <c r="T1546" s="2576"/>
      <c r="U1546" s="504"/>
      <c r="Y1546" s="1999"/>
      <c r="AB1546" s="363"/>
      <c r="AC1546" s="2563"/>
    </row>
    <row r="1547" spans="1:29" ht="12.75" customHeight="1" x14ac:dyDescent="0.2">
      <c r="A1547" s="1916">
        <v>1547</v>
      </c>
      <c r="B1547" s="5148"/>
      <c r="C1547" s="1999"/>
      <c r="H1547" s="363"/>
      <c r="M1547" s="1847"/>
      <c r="N1547" s="96"/>
      <c r="O1547" s="411" t="s">
        <v>9646</v>
      </c>
      <c r="P1547" s="2594">
        <v>20</v>
      </c>
      <c r="Q1547" s="2473">
        <f>10+IF(OR(TipoDeCriatura="Entre mundos, Elemental",TipoDeCriatura="Ánima, Elemental"),10,0)</f>
        <v>10</v>
      </c>
      <c r="R1547" s="2585">
        <f>COUNTIF(PoderesDeCriatura_Adquiridos,Tablas!O1547)</f>
        <v>0</v>
      </c>
      <c r="S1547" s="370"/>
      <c r="T1547" s="2576"/>
      <c r="U1547" s="504"/>
      <c r="Y1547" s="1999"/>
      <c r="AB1547" s="363"/>
      <c r="AC1547" s="2563"/>
    </row>
    <row r="1548" spans="1:29" ht="12.75" customHeight="1" x14ac:dyDescent="0.2">
      <c r="A1548" s="1916">
        <v>1548</v>
      </c>
      <c r="B1548" s="5148"/>
      <c r="C1548" s="1999"/>
      <c r="H1548" s="363"/>
      <c r="M1548" s="1847"/>
      <c r="N1548" s="96"/>
      <c r="O1548" s="411" t="s">
        <v>9647</v>
      </c>
      <c r="P1548" s="2594">
        <v>20</v>
      </c>
      <c r="Q1548" s="2473">
        <v>-30</v>
      </c>
      <c r="R1548" s="2585">
        <f>COUNTIF(PoderesDeCriatura_Adquiridos,Tablas!O1548)</f>
        <v>0</v>
      </c>
      <c r="S1548" s="370"/>
      <c r="T1548" s="2576"/>
      <c r="U1548" s="504"/>
      <c r="Y1548" s="1999"/>
      <c r="AB1548" s="363"/>
      <c r="AC1548" s="2563"/>
    </row>
    <row r="1549" spans="1:29" ht="12.75" customHeight="1" x14ac:dyDescent="0.2">
      <c r="A1549" s="1916">
        <v>1549</v>
      </c>
      <c r="B1549" s="5148"/>
      <c r="C1549" s="1999"/>
      <c r="H1549" s="363"/>
      <c r="M1549" s="1847"/>
      <c r="N1549" s="96"/>
      <c r="O1549" s="411" t="s">
        <v>5</v>
      </c>
      <c r="P1549" s="2594"/>
      <c r="Q1549" s="2473"/>
      <c r="R1549" s="2585">
        <f>COUNTIF(PoderesDeCriatura_Adquiridos,Tablas!O1549)</f>
        <v>0</v>
      </c>
      <c r="S1549" s="370"/>
      <c r="T1549" s="2576"/>
      <c r="U1549" s="504"/>
      <c r="Y1549" s="1999"/>
      <c r="AB1549" s="363"/>
      <c r="AC1549" s="2563"/>
    </row>
    <row r="1550" spans="1:29" ht="12.75" customHeight="1" x14ac:dyDescent="0.2">
      <c r="A1550" s="1916">
        <v>1550</v>
      </c>
      <c r="B1550" s="5148"/>
      <c r="C1550" s="1999"/>
      <c r="H1550" s="363"/>
      <c r="M1550" s="1847"/>
      <c r="N1550" s="96"/>
      <c r="O1550" s="411" t="s">
        <v>9648</v>
      </c>
      <c r="P1550" s="2578">
        <v>0</v>
      </c>
      <c r="Q1550" s="503">
        <v>10</v>
      </c>
      <c r="R1550" s="2585">
        <f>COUNTIF(PoderesDeCriatura_Adquiridos,Tablas!O1550)</f>
        <v>0</v>
      </c>
      <c r="S1550" s="370"/>
      <c r="T1550" s="2576"/>
      <c r="U1550" s="504"/>
      <c r="Y1550" s="1999"/>
      <c r="AB1550" s="363"/>
      <c r="AC1550" s="2563"/>
    </row>
    <row r="1551" spans="1:29" ht="12.75" customHeight="1" x14ac:dyDescent="0.2">
      <c r="A1551" s="1916">
        <v>1551</v>
      </c>
      <c r="B1551" s="5148"/>
      <c r="C1551" s="1999"/>
      <c r="H1551" s="363"/>
      <c r="M1551" s="1847"/>
      <c r="N1551" s="96"/>
      <c r="O1551" s="411" t="s">
        <v>9649</v>
      </c>
      <c r="P1551" s="2578">
        <v>10</v>
      </c>
      <c r="Q1551" s="503">
        <v>20</v>
      </c>
      <c r="R1551" s="2585">
        <f>COUNTIF(PoderesDeCriatura_Adquiridos,Tablas!O1551)</f>
        <v>0</v>
      </c>
      <c r="S1551" s="370"/>
      <c r="T1551" s="2576"/>
      <c r="U1551" s="504"/>
      <c r="Y1551" s="1999"/>
      <c r="AB1551" s="363"/>
      <c r="AC1551" s="2563"/>
    </row>
    <row r="1552" spans="1:29" ht="12.75" customHeight="1" x14ac:dyDescent="0.2">
      <c r="A1552" s="1916">
        <v>1552</v>
      </c>
      <c r="B1552" s="5148"/>
      <c r="C1552" s="1999"/>
      <c r="H1552" s="363"/>
      <c r="M1552" s="1847"/>
      <c r="N1552" s="96"/>
      <c r="O1552" s="411" t="s">
        <v>9650</v>
      </c>
      <c r="P1552" s="2578">
        <v>10</v>
      </c>
      <c r="Q1552" s="503">
        <v>30</v>
      </c>
      <c r="R1552" s="2585">
        <f>COUNTIF(PoderesDeCriatura_Adquiridos,Tablas!O1552)</f>
        <v>0</v>
      </c>
      <c r="S1552" s="370"/>
      <c r="T1552" s="2576"/>
      <c r="U1552" s="504"/>
      <c r="Y1552" s="1999"/>
      <c r="AB1552" s="363"/>
      <c r="AC1552" s="2563"/>
    </row>
    <row r="1553" spans="1:29" ht="12.75" customHeight="1" x14ac:dyDescent="0.2">
      <c r="A1553" s="1916">
        <v>1553</v>
      </c>
      <c r="B1553" s="5148"/>
      <c r="C1553" s="1999"/>
      <c r="H1553" s="363"/>
      <c r="M1553" s="1847"/>
      <c r="N1553" s="96"/>
      <c r="O1553" s="411" t="s">
        <v>9651</v>
      </c>
      <c r="P1553" s="2578">
        <v>10</v>
      </c>
      <c r="Q1553" s="503">
        <v>10</v>
      </c>
      <c r="R1553" s="2585">
        <f>COUNTIF(PoderesDeCriatura_Adquiridos,Tablas!O1553)</f>
        <v>0</v>
      </c>
      <c r="S1553" s="370"/>
      <c r="T1553" s="2576"/>
      <c r="U1553" s="504"/>
      <c r="Y1553" s="1999"/>
      <c r="AB1553" s="363"/>
      <c r="AC1553" s="2563"/>
    </row>
    <row r="1554" spans="1:29" ht="12.75" customHeight="1" x14ac:dyDescent="0.2">
      <c r="A1554" s="1916">
        <v>1554</v>
      </c>
      <c r="B1554" s="5148"/>
      <c r="C1554" s="1999"/>
      <c r="H1554" s="363"/>
      <c r="M1554" s="1847"/>
      <c r="N1554" s="96"/>
      <c r="O1554" s="411" t="s">
        <v>9652</v>
      </c>
      <c r="P1554" s="2578">
        <v>10</v>
      </c>
      <c r="Q1554" s="503">
        <v>10</v>
      </c>
      <c r="R1554" s="2585">
        <f>COUNTIF(PoderesDeCriatura_Adquiridos,Tablas!O1554)</f>
        <v>0</v>
      </c>
      <c r="S1554" s="370"/>
      <c r="T1554" s="2576"/>
      <c r="U1554" s="504"/>
      <c r="Y1554" s="1999"/>
      <c r="AB1554" s="363"/>
      <c r="AC1554" s="2563"/>
    </row>
    <row r="1555" spans="1:29" ht="12.75" customHeight="1" x14ac:dyDescent="0.2">
      <c r="A1555" s="1916">
        <v>1555</v>
      </c>
      <c r="B1555" s="5148"/>
      <c r="C1555" s="1999"/>
      <c r="H1555" s="363"/>
      <c r="M1555" s="1847"/>
      <c r="N1555" s="96"/>
      <c r="O1555" s="411" t="s">
        <v>9653</v>
      </c>
      <c r="P1555" s="2578">
        <v>10</v>
      </c>
      <c r="Q1555" s="503">
        <v>10</v>
      </c>
      <c r="R1555" s="2585">
        <f>COUNTIF(PoderesDeCriatura_Adquiridos,Tablas!O1555)</f>
        <v>0</v>
      </c>
      <c r="S1555" s="370"/>
      <c r="T1555" s="2576"/>
      <c r="U1555" s="504"/>
      <c r="Y1555" s="1999"/>
      <c r="AB1555" s="363"/>
      <c r="AC1555" s="2563"/>
    </row>
    <row r="1556" spans="1:29" ht="12.75" customHeight="1" x14ac:dyDescent="0.2">
      <c r="A1556" s="1916">
        <v>1556</v>
      </c>
      <c r="B1556" s="5148"/>
      <c r="C1556" s="1999"/>
      <c r="H1556" s="363"/>
      <c r="M1556" s="1847"/>
      <c r="N1556" s="96"/>
      <c r="O1556" s="411" t="s">
        <v>9654</v>
      </c>
      <c r="P1556" s="2578">
        <v>20</v>
      </c>
      <c r="Q1556" s="503">
        <v>30</v>
      </c>
      <c r="R1556" s="2585">
        <f>COUNTIF(PoderesDeCriatura_Adquiridos,Tablas!O1556)</f>
        <v>0</v>
      </c>
      <c r="S1556" s="370"/>
      <c r="T1556" s="2576"/>
      <c r="U1556" s="504"/>
      <c r="Y1556" s="1999"/>
      <c r="AB1556" s="363"/>
      <c r="AC1556" s="2563"/>
    </row>
    <row r="1557" spans="1:29" ht="12.75" customHeight="1" x14ac:dyDescent="0.2">
      <c r="A1557" s="1916">
        <v>1557</v>
      </c>
      <c r="B1557" s="5148"/>
      <c r="C1557" s="2409" t="str">
        <f t="shared" ref="C1557" si="147">C1552&amp;" "&amp;D1552</f>
        <v xml:space="preserve"> </v>
      </c>
      <c r="H1557" s="363"/>
      <c r="M1557" s="1847"/>
      <c r="N1557" s="96"/>
      <c r="O1557" s="411" t="s">
        <v>9655</v>
      </c>
      <c r="P1557" s="2578">
        <v>0</v>
      </c>
      <c r="Q1557" s="503">
        <v>10</v>
      </c>
      <c r="R1557" s="2585">
        <f>COUNTIF(PoderesDeCriatura_Adquiridos,Tablas!O1557)</f>
        <v>0</v>
      </c>
      <c r="S1557" s="370"/>
      <c r="T1557" s="2576"/>
      <c r="U1557" s="504"/>
      <c r="Y1557" s="1999"/>
      <c r="AB1557" s="363"/>
      <c r="AC1557" s="2563"/>
    </row>
    <row r="1558" spans="1:29" ht="12.75" customHeight="1" x14ac:dyDescent="0.2">
      <c r="A1558" s="1916">
        <v>1558</v>
      </c>
      <c r="B1558" s="5148"/>
      <c r="C1558" s="1999"/>
      <c r="H1558" s="363"/>
      <c r="M1558" s="1847"/>
      <c r="N1558" s="96"/>
      <c r="O1558" s="411" t="s">
        <v>9656</v>
      </c>
      <c r="P1558" s="2578">
        <v>10</v>
      </c>
      <c r="Q1558" s="503">
        <v>20</v>
      </c>
      <c r="R1558" s="2585">
        <f>COUNTIF(PoderesDeCriatura_Adquiridos,Tablas!O1558)</f>
        <v>0</v>
      </c>
      <c r="S1558" s="370"/>
      <c r="T1558" s="2576"/>
      <c r="U1558" s="504"/>
      <c r="Y1558" s="1999"/>
      <c r="AB1558" s="363"/>
      <c r="AC1558" s="2563"/>
    </row>
    <row r="1559" spans="1:29" ht="12.75" customHeight="1" x14ac:dyDescent="0.2">
      <c r="A1559" s="1916">
        <v>1559</v>
      </c>
      <c r="B1559" s="5148"/>
      <c r="C1559" s="1999"/>
      <c r="H1559" s="363"/>
      <c r="M1559" s="1847"/>
      <c r="N1559" s="96"/>
      <c r="O1559" s="411" t="s">
        <v>9657</v>
      </c>
      <c r="P1559" s="2578">
        <v>10</v>
      </c>
      <c r="Q1559" s="503">
        <v>30</v>
      </c>
      <c r="R1559" s="2585">
        <f>COUNTIF(PoderesDeCriatura_Adquiridos,Tablas!O1559)</f>
        <v>0</v>
      </c>
      <c r="S1559" s="370"/>
      <c r="T1559" s="2576"/>
      <c r="U1559" s="504"/>
      <c r="Y1559" s="1999"/>
      <c r="AB1559" s="363"/>
      <c r="AC1559" s="2563"/>
    </row>
    <row r="1560" spans="1:29" ht="12.75" customHeight="1" x14ac:dyDescent="0.2">
      <c r="A1560" s="1916">
        <v>1560</v>
      </c>
      <c r="B1560" s="5148"/>
      <c r="C1560" s="1999"/>
      <c r="H1560" s="363"/>
      <c r="M1560" s="1847"/>
      <c r="N1560" s="96"/>
      <c r="O1560" s="411" t="s">
        <v>9658</v>
      </c>
      <c r="P1560" s="2578">
        <v>10</v>
      </c>
      <c r="Q1560" s="503">
        <v>10</v>
      </c>
      <c r="R1560" s="2585">
        <f>COUNTIF(PoderesDeCriatura_Adquiridos,Tablas!O1560)</f>
        <v>0</v>
      </c>
      <c r="S1560" s="370"/>
      <c r="T1560" s="2576"/>
      <c r="U1560" s="504"/>
      <c r="Y1560" s="1999"/>
      <c r="AB1560" s="363"/>
      <c r="AC1560" s="2563"/>
    </row>
    <row r="1561" spans="1:29" ht="12.75" customHeight="1" x14ac:dyDescent="0.2">
      <c r="A1561" s="1916">
        <v>1561</v>
      </c>
      <c r="B1561" s="5148"/>
      <c r="H1561" s="363"/>
      <c r="M1561" s="1847"/>
      <c r="N1561" s="96"/>
      <c r="O1561" s="411" t="s">
        <v>9659</v>
      </c>
      <c r="P1561" s="2578">
        <v>10</v>
      </c>
      <c r="Q1561" s="503">
        <v>10</v>
      </c>
      <c r="R1561" s="2585">
        <f>COUNTIF(PoderesDeCriatura_Adquiridos,Tablas!O1561)</f>
        <v>0</v>
      </c>
      <c r="S1561" s="370"/>
      <c r="T1561" s="2576"/>
      <c r="U1561" s="504"/>
      <c r="Y1561" s="1999"/>
      <c r="AB1561" s="363"/>
      <c r="AC1561" s="2563"/>
    </row>
    <row r="1562" spans="1:29" ht="12.75" customHeight="1" x14ac:dyDescent="0.2">
      <c r="A1562" s="1916">
        <v>1562</v>
      </c>
      <c r="B1562" s="5148"/>
      <c r="H1562" s="363"/>
      <c r="M1562" s="1847"/>
      <c r="N1562" s="96"/>
      <c r="O1562" s="411" t="s">
        <v>9660</v>
      </c>
      <c r="P1562" s="2578">
        <v>10</v>
      </c>
      <c r="Q1562" s="503">
        <v>10</v>
      </c>
      <c r="R1562" s="2585">
        <f>COUNTIF(PoderesDeCriatura_Adquiridos,Tablas!O1562)</f>
        <v>0</v>
      </c>
      <c r="S1562" s="370"/>
      <c r="T1562" s="2576"/>
      <c r="U1562" s="504"/>
      <c r="Y1562" s="1999"/>
      <c r="AB1562" s="363"/>
      <c r="AC1562" s="2563"/>
    </row>
    <row r="1563" spans="1:29" ht="12.75" customHeight="1" x14ac:dyDescent="0.2">
      <c r="A1563" s="1916">
        <v>1563</v>
      </c>
      <c r="B1563" s="5148"/>
      <c r="H1563" s="363"/>
      <c r="M1563" s="1847"/>
      <c r="N1563" s="96"/>
      <c r="O1563" s="411" t="s">
        <v>9661</v>
      </c>
      <c r="P1563" s="2578">
        <v>20</v>
      </c>
      <c r="Q1563" s="503">
        <v>30</v>
      </c>
      <c r="R1563" s="2585">
        <f>COUNTIF(PoderesDeCriatura_Adquiridos,Tablas!O1563)</f>
        <v>0</v>
      </c>
      <c r="S1563" s="370"/>
      <c r="T1563" s="2576"/>
      <c r="U1563" s="504"/>
      <c r="AB1563" s="363"/>
      <c r="AC1563" s="2563"/>
    </row>
    <row r="1564" spans="1:29" ht="12.75" customHeight="1" x14ac:dyDescent="0.2">
      <c r="A1564" s="1916">
        <v>1564</v>
      </c>
      <c r="B1564" s="5148"/>
      <c r="H1564" s="363"/>
      <c r="M1564" s="1847"/>
      <c r="N1564" s="96"/>
      <c r="O1564" s="411" t="s">
        <v>9662</v>
      </c>
      <c r="P1564" s="2578">
        <v>0</v>
      </c>
      <c r="Q1564" s="503">
        <f>10+IF(OR(TipoDeCriatura="Entre mundos, Elemental",TipoDeCriatura="Ánima, Elemental"),10,0)</f>
        <v>10</v>
      </c>
      <c r="R1564" s="2585">
        <f>COUNTIF(PoderesDeCriatura_Adquiridos,Tablas!O1564)</f>
        <v>0</v>
      </c>
      <c r="S1564" s="370"/>
      <c r="T1564" s="2576"/>
      <c r="U1564" s="504"/>
      <c r="AB1564" s="363"/>
      <c r="AC1564" s="2563"/>
    </row>
    <row r="1565" spans="1:29" ht="12.75" customHeight="1" x14ac:dyDescent="0.2">
      <c r="A1565" s="1916">
        <v>1565</v>
      </c>
      <c r="B1565" s="5148"/>
      <c r="H1565" s="363"/>
      <c r="M1565" s="1847"/>
      <c r="N1565" s="96"/>
      <c r="O1565" s="411" t="s">
        <v>9663</v>
      </c>
      <c r="P1565" s="2578">
        <v>10</v>
      </c>
      <c r="Q1565" s="503">
        <f>20+IF(OR(TipoDeCriatura="Entre mundos, Elemental",TipoDeCriatura="Ánima, Elemental"),10,0)</f>
        <v>20</v>
      </c>
      <c r="R1565" s="2585">
        <f>COUNTIF(PoderesDeCriatura_Adquiridos,Tablas!O1565)</f>
        <v>0</v>
      </c>
      <c r="S1565" s="370"/>
      <c r="T1565" s="2576"/>
      <c r="U1565" s="504"/>
      <c r="AB1565" s="363"/>
      <c r="AC1565" s="2563"/>
    </row>
    <row r="1566" spans="1:29" ht="12.75" customHeight="1" x14ac:dyDescent="0.2">
      <c r="A1566" s="1916">
        <v>1566</v>
      </c>
      <c r="B1566" s="5148"/>
      <c r="H1566" s="363"/>
      <c r="M1566" s="1847"/>
      <c r="N1566" s="96"/>
      <c r="O1566" s="411" t="s">
        <v>9664</v>
      </c>
      <c r="P1566" s="2578">
        <v>10</v>
      </c>
      <c r="Q1566" s="503">
        <f>30+IF(OR(TipoDeCriatura="Entre mundos, Elemental",TipoDeCriatura="Ánima, Elemental"),10,0)</f>
        <v>30</v>
      </c>
      <c r="R1566" s="2585">
        <f>COUNTIF(PoderesDeCriatura_Adquiridos,Tablas!O1566)</f>
        <v>0</v>
      </c>
      <c r="S1566" s="370"/>
      <c r="T1566" s="2576"/>
      <c r="U1566" s="504"/>
      <c r="AB1566" s="363"/>
      <c r="AC1566" s="2563"/>
    </row>
    <row r="1567" spans="1:29" ht="12.75" customHeight="1" x14ac:dyDescent="0.2">
      <c r="A1567" s="1916">
        <v>1567</v>
      </c>
      <c r="B1567" s="5148"/>
      <c r="H1567" s="363"/>
      <c r="M1567" s="1847"/>
      <c r="N1567" s="96"/>
      <c r="O1567" s="411" t="s">
        <v>9665</v>
      </c>
      <c r="P1567" s="2578">
        <v>10</v>
      </c>
      <c r="Q1567" s="503">
        <f>10+IF(OR(TipoDeCriatura="Entre mundos, Elemental",TipoDeCriatura="Ánima, Elemental"),10,0)</f>
        <v>10</v>
      </c>
      <c r="R1567" s="2585">
        <f>COUNTIF(PoderesDeCriatura_Adquiridos,Tablas!O1567)</f>
        <v>0</v>
      </c>
      <c r="S1567" s="370"/>
      <c r="T1567" s="2576"/>
      <c r="U1567" s="504"/>
      <c r="AB1567" s="363"/>
      <c r="AC1567" s="2563"/>
    </row>
    <row r="1568" spans="1:29" ht="12.75" customHeight="1" x14ac:dyDescent="0.2">
      <c r="A1568" s="1916">
        <v>1568</v>
      </c>
      <c r="B1568" s="5148"/>
      <c r="H1568" s="363"/>
      <c r="M1568" s="1847"/>
      <c r="N1568" s="96"/>
      <c r="O1568" s="411" t="s">
        <v>9666</v>
      </c>
      <c r="P1568" s="2578">
        <v>10</v>
      </c>
      <c r="Q1568" s="503">
        <f>10+IF(OR(TipoDeCriatura="Entre mundos, Elemental",TipoDeCriatura="Ánima, Elemental"),10,0)</f>
        <v>10</v>
      </c>
      <c r="R1568" s="2585">
        <f>COUNTIF(PoderesDeCriatura_Adquiridos,Tablas!O1568)</f>
        <v>0</v>
      </c>
      <c r="S1568" s="370"/>
      <c r="T1568" s="2576"/>
      <c r="U1568" s="504"/>
      <c r="AB1568" s="363"/>
      <c r="AC1568" s="2563"/>
    </row>
    <row r="1569" spans="1:29" ht="12.75" customHeight="1" x14ac:dyDescent="0.2">
      <c r="A1569" s="1916">
        <v>1569</v>
      </c>
      <c r="B1569" s="5148"/>
      <c r="H1569" s="363"/>
      <c r="M1569" s="1847"/>
      <c r="N1569" s="96"/>
      <c r="O1569" s="411" t="s">
        <v>9667</v>
      </c>
      <c r="P1569" s="2578">
        <v>10</v>
      </c>
      <c r="Q1569" s="503">
        <f>20+IF(OR(TipoDeCriatura="Entre mundos, Elemental",TipoDeCriatura="Ánima, Elemental"),10,0)</f>
        <v>20</v>
      </c>
      <c r="R1569" s="2585">
        <f>COUNTIF(PoderesDeCriatura_Adquiridos,Tablas!O1569)</f>
        <v>0</v>
      </c>
      <c r="S1569" s="370"/>
      <c r="T1569" s="2576"/>
      <c r="U1569" s="504"/>
      <c r="AB1569" s="363"/>
      <c r="AC1569" s="2563"/>
    </row>
    <row r="1570" spans="1:29" ht="12.75" customHeight="1" x14ac:dyDescent="0.2">
      <c r="A1570" s="1916">
        <v>1570</v>
      </c>
      <c r="B1570" s="5148"/>
      <c r="H1570" s="363"/>
      <c r="M1570" s="1847"/>
      <c r="N1570" s="96"/>
      <c r="O1570" s="411" t="s">
        <v>9668</v>
      </c>
      <c r="P1570" s="2578">
        <v>20</v>
      </c>
      <c r="Q1570" s="503">
        <f>30+IF(OR(TipoDeCriatura="Entre mundos, Elemental",TipoDeCriatura="Ánima, Elemental"),10,0)</f>
        <v>30</v>
      </c>
      <c r="R1570" s="2585">
        <f>COUNTIF(PoderesDeCriatura_Adquiridos,Tablas!O1570)</f>
        <v>0</v>
      </c>
      <c r="S1570" s="370"/>
      <c r="T1570" s="2576"/>
      <c r="U1570" s="504"/>
      <c r="AB1570" s="363"/>
      <c r="AC1570" s="2563"/>
    </row>
    <row r="1571" spans="1:29" ht="12.75" customHeight="1" x14ac:dyDescent="0.2">
      <c r="A1571" s="1916">
        <v>1571</v>
      </c>
      <c r="B1571" s="5148"/>
      <c r="H1571" s="363"/>
      <c r="M1571" s="1847"/>
      <c r="N1571" s="96"/>
      <c r="O1571" s="411" t="s">
        <v>11</v>
      </c>
      <c r="P1571" s="2594"/>
      <c r="Q1571" s="2473"/>
      <c r="R1571" s="2585"/>
      <c r="S1571" s="370"/>
      <c r="T1571" s="2576"/>
      <c r="U1571" s="504"/>
      <c r="AB1571" s="363"/>
      <c r="AC1571" s="2563"/>
    </row>
    <row r="1572" spans="1:29" ht="12.75" customHeight="1" x14ac:dyDescent="0.2">
      <c r="A1572" s="1916">
        <v>1572</v>
      </c>
      <c r="B1572" s="5148"/>
      <c r="H1572" s="363"/>
      <c r="M1572" s="1847"/>
      <c r="N1572" s="96"/>
      <c r="O1572" s="2" t="s">
        <v>12</v>
      </c>
      <c r="P1572" s="2578">
        <v>5</v>
      </c>
      <c r="Q1572" s="503">
        <v>20</v>
      </c>
      <c r="R1572" s="2585">
        <f>COUNTIF(PoderesDeCriatura_Adquiridos,Tablas!O1572)</f>
        <v>0</v>
      </c>
      <c r="S1572" s="370"/>
      <c r="T1572" s="2576"/>
      <c r="U1572" s="504"/>
      <c r="AB1572" s="363"/>
      <c r="AC1572" s="2563"/>
    </row>
    <row r="1573" spans="1:29" ht="12.75" customHeight="1" x14ac:dyDescent="0.2">
      <c r="A1573" s="1916">
        <v>1573</v>
      </c>
      <c r="B1573" s="5148"/>
      <c r="H1573" s="363"/>
      <c r="M1573" s="1847"/>
      <c r="N1573" s="96"/>
      <c r="O1573" s="411" t="s">
        <v>9669</v>
      </c>
      <c r="P1573" s="2578">
        <v>10</v>
      </c>
      <c r="Q1573" s="503">
        <v>10</v>
      </c>
      <c r="R1573" s="2585">
        <f>COUNTIF(PoderesDeCriatura_Adquiridos,Tablas!O1573)</f>
        <v>0</v>
      </c>
      <c r="S1573" s="370"/>
      <c r="T1573" s="2576"/>
      <c r="U1573" s="504"/>
      <c r="AB1573" s="363"/>
      <c r="AC1573" s="2563"/>
    </row>
    <row r="1574" spans="1:29" ht="12.75" customHeight="1" x14ac:dyDescent="0.2">
      <c r="A1574" s="1916">
        <v>1574</v>
      </c>
      <c r="B1574" s="5148"/>
      <c r="H1574" s="363"/>
      <c r="M1574" s="1847"/>
      <c r="N1574" s="96"/>
      <c r="O1574" s="411" t="s">
        <v>9670</v>
      </c>
      <c r="P1574" s="2578">
        <v>20</v>
      </c>
      <c r="Q1574" s="503">
        <v>20</v>
      </c>
      <c r="R1574" s="2585">
        <f>COUNTIF(PoderesDeCriatura_Adquiridos,Tablas!O1574)</f>
        <v>0</v>
      </c>
      <c r="S1574" s="370"/>
      <c r="T1574" s="2576"/>
      <c r="U1574" s="504"/>
      <c r="AB1574" s="363"/>
      <c r="AC1574" s="2563"/>
    </row>
    <row r="1575" spans="1:29" ht="12.75" customHeight="1" x14ac:dyDescent="0.2">
      <c r="A1575" s="1916">
        <v>1575</v>
      </c>
      <c r="B1575" s="5148"/>
      <c r="H1575" s="363"/>
      <c r="M1575" s="1847"/>
      <c r="N1575" s="96"/>
      <c r="O1575" s="411" t="s">
        <v>9671</v>
      </c>
      <c r="P1575" s="2578">
        <v>25</v>
      </c>
      <c r="Q1575" s="503">
        <v>30</v>
      </c>
      <c r="R1575" s="2585">
        <f>COUNTIF(PoderesDeCriatura_Adquiridos,Tablas!O1575)</f>
        <v>0</v>
      </c>
      <c r="S1575" s="370"/>
      <c r="T1575" s="2576"/>
      <c r="U1575" s="504"/>
      <c r="AB1575" s="363"/>
      <c r="AC1575" s="2563"/>
    </row>
    <row r="1576" spans="1:29" ht="12.75" customHeight="1" x14ac:dyDescent="0.2">
      <c r="A1576" s="1916">
        <v>1576</v>
      </c>
      <c r="B1576" s="5148"/>
      <c r="C1576" s="2409"/>
      <c r="H1576" s="363"/>
      <c r="M1576" s="1847"/>
      <c r="N1576" s="96"/>
      <c r="O1576" s="411" t="s">
        <v>9672</v>
      </c>
      <c r="P1576" s="2578">
        <v>30</v>
      </c>
      <c r="Q1576" s="503">
        <v>40</v>
      </c>
      <c r="R1576" s="2585">
        <f>COUNTIF(PoderesDeCriatura_Adquiridos,Tablas!O1576)</f>
        <v>0</v>
      </c>
      <c r="S1576" s="370"/>
      <c r="T1576" s="2576"/>
      <c r="U1576" s="504"/>
      <c r="AB1576" s="363"/>
      <c r="AC1576" s="2563"/>
    </row>
    <row r="1577" spans="1:29" ht="12.75" customHeight="1" x14ac:dyDescent="0.2">
      <c r="A1577" s="1916">
        <v>1577</v>
      </c>
      <c r="B1577" s="5148"/>
      <c r="C1577" s="1999"/>
      <c r="H1577" s="363"/>
      <c r="M1577" s="1847"/>
      <c r="N1577" s="96"/>
      <c r="O1577" s="411" t="s">
        <v>9673</v>
      </c>
      <c r="P1577" s="2578">
        <v>5</v>
      </c>
      <c r="Q1577" s="503">
        <v>20</v>
      </c>
      <c r="R1577" s="2585">
        <f>COUNTIF(PoderesDeCriatura_Adquiridos,Tablas!O1577)</f>
        <v>0</v>
      </c>
      <c r="S1577" s="370"/>
      <c r="T1577" s="2576"/>
      <c r="U1577" s="504"/>
      <c r="AB1577" s="363"/>
      <c r="AC1577" s="2563"/>
    </row>
    <row r="1578" spans="1:29" ht="12.75" customHeight="1" x14ac:dyDescent="0.2">
      <c r="A1578" s="1916">
        <v>1578</v>
      </c>
      <c r="B1578" s="5148"/>
      <c r="C1578" s="1999"/>
      <c r="H1578" s="363"/>
      <c r="M1578" s="1847"/>
      <c r="N1578" s="96"/>
      <c r="O1578" s="411" t="s">
        <v>9674</v>
      </c>
      <c r="P1578" s="2578">
        <v>10</v>
      </c>
      <c r="Q1578" s="503">
        <v>30</v>
      </c>
      <c r="R1578" s="2585">
        <f>COUNTIF(PoderesDeCriatura_Adquiridos,Tablas!O1578)</f>
        <v>0</v>
      </c>
      <c r="S1578" s="370"/>
      <c r="T1578" s="2576"/>
      <c r="U1578" s="504"/>
      <c r="AB1578" s="363"/>
      <c r="AC1578" s="2563"/>
    </row>
    <row r="1579" spans="1:29" ht="12.75" customHeight="1" x14ac:dyDescent="0.2">
      <c r="A1579" s="1916">
        <v>1579</v>
      </c>
      <c r="B1579" s="5148"/>
      <c r="C1579" s="1999"/>
      <c r="H1579" s="363"/>
      <c r="M1579" s="1847"/>
      <c r="N1579" s="96"/>
      <c r="O1579" s="411" t="s">
        <v>9675</v>
      </c>
      <c r="P1579" s="2578">
        <v>15</v>
      </c>
      <c r="Q1579" s="503">
        <v>40</v>
      </c>
      <c r="R1579" s="2585">
        <f>COUNTIF(PoderesDeCriatura_Adquiridos,Tablas!O1579)</f>
        <v>0</v>
      </c>
      <c r="S1579" s="370"/>
      <c r="T1579" s="2576"/>
      <c r="U1579" s="504"/>
      <c r="AB1579" s="363"/>
      <c r="AC1579" s="2563"/>
    </row>
    <row r="1580" spans="1:29" ht="12.75" customHeight="1" x14ac:dyDescent="0.2">
      <c r="A1580" s="1916">
        <v>1580</v>
      </c>
      <c r="B1580" s="5148"/>
      <c r="C1580" s="1999"/>
      <c r="H1580" s="363"/>
      <c r="M1580" s="1847"/>
      <c r="N1580" s="96"/>
      <c r="O1580" s="411" t="s">
        <v>9676</v>
      </c>
      <c r="P1580" s="2578">
        <v>25</v>
      </c>
      <c r="Q1580" s="503">
        <v>60</v>
      </c>
      <c r="R1580" s="2585">
        <f>COUNTIF(PoderesDeCriatura_Adquiridos,Tablas!O1580)</f>
        <v>0</v>
      </c>
      <c r="S1580" s="370"/>
      <c r="T1580" s="2576"/>
      <c r="U1580" s="504"/>
      <c r="AB1580" s="363"/>
      <c r="AC1580" s="2563"/>
    </row>
    <row r="1581" spans="1:29" ht="12.75" customHeight="1" x14ac:dyDescent="0.2">
      <c r="A1581" s="1916">
        <v>1581</v>
      </c>
      <c r="B1581" s="5148"/>
      <c r="C1581" s="1999"/>
      <c r="H1581" s="363"/>
      <c r="M1581" s="1847"/>
      <c r="N1581" s="96"/>
      <c r="O1581" s="411" t="s">
        <v>9677</v>
      </c>
      <c r="P1581" s="2578">
        <v>30</v>
      </c>
      <c r="Q1581" s="503">
        <v>80</v>
      </c>
      <c r="R1581" s="2585">
        <f>COUNTIF(PoderesDeCriatura_Adquiridos,Tablas!O1581)</f>
        <v>0</v>
      </c>
      <c r="S1581" s="370"/>
      <c r="T1581" s="2576"/>
      <c r="U1581" s="504"/>
      <c r="AB1581" s="363"/>
      <c r="AC1581" s="2563"/>
    </row>
    <row r="1582" spans="1:29" ht="12.75" customHeight="1" x14ac:dyDescent="0.2">
      <c r="A1582" s="1916">
        <v>1582</v>
      </c>
      <c r="B1582" s="5148"/>
      <c r="C1582" s="1999"/>
      <c r="H1582" s="363"/>
      <c r="M1582" s="1847"/>
      <c r="N1582" s="96"/>
      <c r="O1582" s="411" t="s">
        <v>9678</v>
      </c>
      <c r="P1582" s="2578">
        <v>10</v>
      </c>
      <c r="Q1582" s="503">
        <v>50</v>
      </c>
      <c r="R1582" s="2585">
        <f>COUNTIF(PoderesDeCriatura_Adquiridos,Tablas!O1582)</f>
        <v>0</v>
      </c>
      <c r="S1582" s="370"/>
      <c r="T1582" s="2576"/>
      <c r="U1582" s="504"/>
      <c r="AB1582" s="363"/>
      <c r="AC1582" s="2563"/>
    </row>
    <row r="1583" spans="1:29" ht="12.75" customHeight="1" x14ac:dyDescent="0.2">
      <c r="A1583" s="1916">
        <v>1583</v>
      </c>
      <c r="B1583" s="5148"/>
      <c r="C1583" s="1999"/>
      <c r="H1583" s="363"/>
      <c r="M1583" s="1847"/>
      <c r="N1583" s="96"/>
      <c r="O1583" s="411" t="s">
        <v>9679</v>
      </c>
      <c r="P1583" s="2578">
        <v>15</v>
      </c>
      <c r="Q1583" s="503">
        <v>60</v>
      </c>
      <c r="R1583" s="2585">
        <f>COUNTIF(PoderesDeCriatura_Adquiridos,Tablas!O1583)</f>
        <v>0</v>
      </c>
      <c r="S1583" s="370"/>
      <c r="T1583" s="2576"/>
      <c r="U1583" s="504"/>
      <c r="AB1583" s="363"/>
      <c r="AC1583" s="2563"/>
    </row>
    <row r="1584" spans="1:29" ht="12.75" customHeight="1" x14ac:dyDescent="0.2">
      <c r="A1584" s="1916">
        <v>1584</v>
      </c>
      <c r="B1584" s="5148"/>
      <c r="C1584" s="1999"/>
      <c r="H1584" s="363"/>
      <c r="M1584" s="1847"/>
      <c r="N1584" s="96"/>
      <c r="O1584" s="411" t="s">
        <v>9680</v>
      </c>
      <c r="P1584" s="2578">
        <v>20</v>
      </c>
      <c r="Q1584" s="503">
        <v>80</v>
      </c>
      <c r="R1584" s="2585">
        <f>COUNTIF(PoderesDeCriatura_Adquiridos,Tablas!O1584)</f>
        <v>0</v>
      </c>
      <c r="S1584" s="370"/>
      <c r="T1584" s="2576"/>
      <c r="U1584" s="504"/>
      <c r="AB1584" s="363"/>
      <c r="AC1584" s="2563"/>
    </row>
    <row r="1585" spans="1:29" ht="12.75" customHeight="1" x14ac:dyDescent="0.2">
      <c r="A1585" s="1916">
        <v>1585</v>
      </c>
      <c r="B1585" s="5148"/>
      <c r="C1585" s="1999"/>
      <c r="H1585" s="363"/>
      <c r="M1585" s="1847"/>
      <c r="N1585" s="96"/>
      <c r="O1585" s="411" t="s">
        <v>9681</v>
      </c>
      <c r="P1585" s="2594">
        <v>25</v>
      </c>
      <c r="Q1585" s="2473">
        <v>100</v>
      </c>
      <c r="R1585" s="2585">
        <f>COUNTIF(PoderesDeCriatura_Adquiridos,Tablas!O1585)</f>
        <v>0</v>
      </c>
      <c r="S1585" s="370"/>
      <c r="T1585" s="2576"/>
      <c r="U1585" s="504"/>
      <c r="AB1585" s="363"/>
      <c r="AC1585" s="2563"/>
    </row>
    <row r="1586" spans="1:29" ht="12.75" customHeight="1" x14ac:dyDescent="0.2">
      <c r="A1586" s="1916">
        <v>1586</v>
      </c>
      <c r="B1586" s="5148"/>
      <c r="C1586" s="1999"/>
      <c r="H1586" s="363"/>
      <c r="M1586" s="1847"/>
      <c r="N1586" s="96"/>
      <c r="O1586" s="411" t="s">
        <v>9682</v>
      </c>
      <c r="P1586" s="2594">
        <v>30</v>
      </c>
      <c r="Q1586" s="2473">
        <v>120</v>
      </c>
      <c r="R1586" s="2585">
        <f>COUNTIF(PoderesDeCriatura_Adquiridos,Tablas!O1586)</f>
        <v>0</v>
      </c>
      <c r="S1586" s="370"/>
      <c r="T1586" s="2576"/>
      <c r="U1586" s="504"/>
      <c r="AB1586" s="363"/>
      <c r="AC1586" s="2563"/>
    </row>
    <row r="1587" spans="1:29" ht="12.75" customHeight="1" x14ac:dyDescent="0.2">
      <c r="A1587" s="1916">
        <v>1587</v>
      </c>
      <c r="B1587" s="5148"/>
      <c r="C1587" s="1999"/>
      <c r="H1587" s="363"/>
      <c r="M1587" s="1847"/>
      <c r="N1587" s="96"/>
      <c r="O1587" s="411" t="s">
        <v>9683</v>
      </c>
      <c r="P1587" s="2578">
        <v>0</v>
      </c>
      <c r="Q1587" s="503">
        <v>20</v>
      </c>
      <c r="R1587" s="2585">
        <f>COUNTIF(PoderesDeCriatura_Adquiridos,Tablas!O1587)</f>
        <v>0</v>
      </c>
      <c r="S1587" s="370"/>
      <c r="T1587" s="2576"/>
      <c r="U1587" s="504"/>
      <c r="AB1587" s="363"/>
      <c r="AC1587" s="2563"/>
    </row>
    <row r="1588" spans="1:29" ht="12.75" customHeight="1" x14ac:dyDescent="0.2">
      <c r="A1588" s="1916">
        <v>1588</v>
      </c>
      <c r="B1588" s="5148"/>
      <c r="C1588" s="1999"/>
      <c r="H1588" s="363"/>
      <c r="M1588" s="1847"/>
      <c r="N1588" s="96"/>
      <c r="O1588" s="411" t="s">
        <v>9684</v>
      </c>
      <c r="P1588" s="2578">
        <v>10</v>
      </c>
      <c r="Q1588" s="503">
        <v>40</v>
      </c>
      <c r="R1588" s="2585">
        <f>COUNTIF(PoderesDeCriatura_Adquiridos,Tablas!O1588)</f>
        <v>0</v>
      </c>
      <c r="S1588" s="370"/>
      <c r="T1588" s="2576"/>
      <c r="U1588" s="504"/>
      <c r="AB1588" s="363"/>
      <c r="AC1588" s="2563"/>
    </row>
    <row r="1589" spans="1:29" ht="12.75" customHeight="1" x14ac:dyDescent="0.2">
      <c r="A1589" s="1916">
        <v>1589</v>
      </c>
      <c r="B1589" s="5148"/>
      <c r="C1589" s="1999"/>
      <c r="H1589" s="363"/>
      <c r="M1589" s="1847"/>
      <c r="N1589" s="96"/>
      <c r="O1589" s="411" t="s">
        <v>9685</v>
      </c>
      <c r="P1589" s="2578">
        <v>30</v>
      </c>
      <c r="Q1589" s="503">
        <v>60</v>
      </c>
      <c r="R1589" s="2585">
        <f>COUNTIF(PoderesDeCriatura_Adquiridos,Tablas!O1589)</f>
        <v>0</v>
      </c>
      <c r="S1589" s="370"/>
      <c r="T1589" s="2576"/>
      <c r="U1589" s="504"/>
      <c r="AB1589" s="363"/>
      <c r="AC1589" s="2563"/>
    </row>
    <row r="1590" spans="1:29" ht="12.75" customHeight="1" x14ac:dyDescent="0.2">
      <c r="A1590" s="1916">
        <v>1590</v>
      </c>
      <c r="B1590" s="5148"/>
      <c r="C1590" s="1999"/>
      <c r="H1590" s="363"/>
      <c r="M1590" s="1847"/>
      <c r="N1590" s="96"/>
      <c r="O1590" s="411" t="s">
        <v>9686</v>
      </c>
      <c r="P1590" s="2578">
        <v>10</v>
      </c>
      <c r="Q1590" s="503">
        <v>30</v>
      </c>
      <c r="R1590" s="2585">
        <f>COUNTIF(PoderesDeCriatura_Adquiridos,Tablas!O1590)</f>
        <v>0</v>
      </c>
      <c r="S1590" s="370"/>
      <c r="T1590" s="2576"/>
      <c r="U1590" s="504"/>
      <c r="AB1590" s="363"/>
      <c r="AC1590" s="2563"/>
    </row>
    <row r="1591" spans="1:29" ht="12.75" customHeight="1" x14ac:dyDescent="0.2">
      <c r="A1591" s="1916">
        <v>1591</v>
      </c>
      <c r="B1591" s="5148"/>
      <c r="C1591" s="1999"/>
      <c r="H1591" s="363"/>
      <c r="M1591" s="1847"/>
      <c r="N1591" s="96"/>
      <c r="O1591" s="411" t="s">
        <v>9687</v>
      </c>
      <c r="P1591" s="2578">
        <v>15</v>
      </c>
      <c r="Q1591" s="503">
        <v>40</v>
      </c>
      <c r="R1591" s="2585">
        <f>COUNTIF(PoderesDeCriatura_Adquiridos,Tablas!O1591)</f>
        <v>0</v>
      </c>
      <c r="S1591" s="370"/>
      <c r="T1591" s="2576"/>
      <c r="U1591" s="504"/>
      <c r="AB1591" s="363"/>
      <c r="AC1591" s="2563"/>
    </row>
    <row r="1592" spans="1:29" ht="12.75" customHeight="1" x14ac:dyDescent="0.2">
      <c r="A1592" s="1916">
        <v>1592</v>
      </c>
      <c r="B1592" s="5148"/>
      <c r="C1592" s="1999"/>
      <c r="H1592" s="363"/>
      <c r="M1592" s="1847"/>
      <c r="N1592" s="96"/>
      <c r="O1592" s="411" t="s">
        <v>9688</v>
      </c>
      <c r="P1592" s="2578">
        <v>15</v>
      </c>
      <c r="Q1592" s="503">
        <f>20+IF(OR(TipoDeCriatura="Entre mundos, Elemental",TipoDeCriatura="Ánima, Elemental"),10,0)</f>
        <v>20</v>
      </c>
      <c r="R1592" s="2585">
        <f>COUNTIF(PoderesDeCriatura_Adquiridos,Tablas!O1592)</f>
        <v>0</v>
      </c>
      <c r="S1592" s="370"/>
      <c r="T1592" s="2576"/>
      <c r="U1592" s="504"/>
      <c r="AB1592" s="363"/>
      <c r="AC1592" s="2563"/>
    </row>
    <row r="1593" spans="1:29" ht="12.75" customHeight="1" x14ac:dyDescent="0.2">
      <c r="A1593" s="1916">
        <v>1593</v>
      </c>
      <c r="B1593" s="5148"/>
      <c r="C1593" s="1999"/>
      <c r="H1593" s="363"/>
      <c r="M1593" s="1847"/>
      <c r="N1593" s="96"/>
      <c r="O1593" s="411" t="s">
        <v>9689</v>
      </c>
      <c r="P1593" s="2578">
        <v>30</v>
      </c>
      <c r="Q1593" s="503">
        <f>40+IF(OR(TipoDeCriatura="Entre mundos, Elemental",TipoDeCriatura="Ánima, Elemental"),10,0)</f>
        <v>40</v>
      </c>
      <c r="R1593" s="2585">
        <f>COUNTIF(PoderesDeCriatura_Adquiridos,Tablas!O1593)</f>
        <v>0</v>
      </c>
      <c r="S1593" s="370"/>
      <c r="T1593" s="2576"/>
      <c r="U1593" s="504"/>
      <c r="AB1593" s="363"/>
      <c r="AC1593" s="2563"/>
    </row>
    <row r="1594" spans="1:29" ht="12.75" customHeight="1" x14ac:dyDescent="0.2">
      <c r="A1594" s="1916">
        <v>1594</v>
      </c>
      <c r="B1594" s="5148"/>
      <c r="C1594" s="1999"/>
      <c r="H1594" s="363"/>
      <c r="M1594" s="1847"/>
      <c r="N1594" s="96"/>
      <c r="O1594" s="411" t="s">
        <v>13</v>
      </c>
      <c r="P1594" s="2578">
        <v>5</v>
      </c>
      <c r="Q1594" s="503">
        <v>20</v>
      </c>
      <c r="R1594" s="2585">
        <f>COUNTIF(PoderesDeCriatura_Adquiridos,Tablas!O1594)</f>
        <v>0</v>
      </c>
      <c r="S1594" s="370"/>
      <c r="T1594" s="2576"/>
      <c r="U1594" s="504"/>
      <c r="AB1594" s="363"/>
      <c r="AC1594" s="2563"/>
    </row>
    <row r="1595" spans="1:29" ht="12.75" customHeight="1" x14ac:dyDescent="0.2">
      <c r="A1595" s="1916">
        <v>1595</v>
      </c>
      <c r="B1595" s="5148"/>
      <c r="C1595" s="1999"/>
      <c r="H1595" s="363"/>
      <c r="M1595" s="1847"/>
      <c r="N1595" s="96"/>
      <c r="O1595" s="411" t="s">
        <v>9690</v>
      </c>
      <c r="P1595" s="2578">
        <v>10</v>
      </c>
      <c r="Q1595" s="503">
        <f>20+IF(OR(TipoDeCriatura="Entre mundos, Elemental",TipoDeCriatura="Ánima, Elemental"),10,0)</f>
        <v>20</v>
      </c>
      <c r="R1595" s="2585">
        <f>COUNTIF(PoderesDeCriatura_Adquiridos,Tablas!O1595)</f>
        <v>0</v>
      </c>
      <c r="S1595" s="370"/>
      <c r="T1595" s="2576"/>
      <c r="U1595" s="504"/>
      <c r="AB1595" s="363"/>
      <c r="AC1595" s="2563"/>
    </row>
    <row r="1596" spans="1:29" ht="12.75" customHeight="1" x14ac:dyDescent="0.2">
      <c r="A1596" s="1916">
        <v>1596</v>
      </c>
      <c r="B1596" s="5148"/>
      <c r="C1596" s="1999"/>
      <c r="H1596" s="363"/>
      <c r="M1596" s="1847"/>
      <c r="N1596" s="96"/>
      <c r="O1596" s="411" t="s">
        <v>9691</v>
      </c>
      <c r="P1596" s="2578">
        <v>20</v>
      </c>
      <c r="Q1596" s="503">
        <f>40+IF(OR(TipoDeCriatura="Entre mundos, Elemental",TipoDeCriatura="Ánima, Elemental"),10,0)</f>
        <v>40</v>
      </c>
      <c r="R1596" s="2585">
        <f>COUNTIF(PoderesDeCriatura_Adquiridos,Tablas!O1596)</f>
        <v>0</v>
      </c>
      <c r="S1596" s="370"/>
      <c r="T1596" s="2576"/>
      <c r="U1596" s="504"/>
      <c r="AB1596" s="363"/>
      <c r="AC1596" s="2563"/>
    </row>
    <row r="1597" spans="1:29" ht="12.75" customHeight="1" x14ac:dyDescent="0.2">
      <c r="A1597" s="1916">
        <v>1597</v>
      </c>
      <c r="B1597" s="5148"/>
      <c r="C1597" s="1999"/>
      <c r="H1597" s="363"/>
      <c r="M1597" s="1847"/>
      <c r="N1597" s="96"/>
      <c r="O1597" s="411" t="s">
        <v>9692</v>
      </c>
      <c r="P1597" s="2578">
        <v>10</v>
      </c>
      <c r="Q1597" s="503">
        <f>30+IF(OR(TipoDeCriatura="Entre mundos, Elemental",TipoDeCriatura="Ánima, Elemental"),10,0)</f>
        <v>30</v>
      </c>
      <c r="R1597" s="2585">
        <f>COUNTIF(PoderesDeCriatura_Adquiridos,Tablas!O1597)</f>
        <v>0</v>
      </c>
      <c r="S1597" s="370"/>
      <c r="T1597" s="2576"/>
      <c r="U1597" s="504"/>
      <c r="AB1597" s="363"/>
      <c r="AC1597" s="2563"/>
    </row>
    <row r="1598" spans="1:29" ht="12.75" customHeight="1" x14ac:dyDescent="0.2">
      <c r="A1598" s="1916">
        <v>1598</v>
      </c>
      <c r="B1598" s="5148"/>
      <c r="C1598" s="1999"/>
      <c r="H1598" s="363"/>
      <c r="M1598" s="1847"/>
      <c r="N1598" s="96"/>
      <c r="O1598" s="411" t="s">
        <v>9693</v>
      </c>
      <c r="P1598" s="2578">
        <v>10</v>
      </c>
      <c r="Q1598" s="503">
        <f>20+IF(OR(TipoDeCriatura="Entre mundos, Elemental",TipoDeCriatura="Ánima, Elemental"),10,0)</f>
        <v>20</v>
      </c>
      <c r="R1598" s="2585">
        <f>COUNTIF(PoderesDeCriatura_Adquiridos,Tablas!O1598)</f>
        <v>0</v>
      </c>
      <c r="S1598" s="370"/>
      <c r="T1598" s="2576"/>
      <c r="U1598" s="504"/>
      <c r="AB1598" s="363"/>
      <c r="AC1598" s="2563"/>
    </row>
    <row r="1599" spans="1:29" ht="12.75" customHeight="1" x14ac:dyDescent="0.2">
      <c r="A1599" s="1916">
        <v>1599</v>
      </c>
      <c r="B1599" s="5148"/>
      <c r="C1599" s="1999"/>
      <c r="H1599" s="363"/>
      <c r="M1599" s="1847"/>
      <c r="N1599" s="96"/>
      <c r="O1599" s="2" t="s">
        <v>14</v>
      </c>
      <c r="P1599" s="2578">
        <v>15</v>
      </c>
      <c r="Q1599" s="503">
        <v>50</v>
      </c>
      <c r="R1599" s="2585">
        <f>COUNTIF(PoderesDeCriatura_Adquiridos,Tablas!O1599)</f>
        <v>0</v>
      </c>
      <c r="S1599" s="370"/>
      <c r="T1599" s="2576"/>
      <c r="U1599" s="504"/>
      <c r="AB1599" s="363"/>
      <c r="AC1599" s="2563"/>
    </row>
    <row r="1600" spans="1:29" ht="12.75" customHeight="1" x14ac:dyDescent="0.2">
      <c r="A1600" s="1916">
        <v>1600</v>
      </c>
      <c r="B1600" s="5148"/>
      <c r="C1600" s="1999"/>
      <c r="H1600" s="363"/>
      <c r="M1600" s="1847"/>
      <c r="N1600" s="96"/>
      <c r="O1600" s="411" t="s">
        <v>9694</v>
      </c>
      <c r="P1600" s="2578">
        <v>5</v>
      </c>
      <c r="Q1600" s="503">
        <v>10</v>
      </c>
      <c r="R1600" s="2585">
        <f>COUNTIF(PoderesDeCriatura_Adquiridos,Tablas!O1600)</f>
        <v>0</v>
      </c>
      <c r="S1600" s="370"/>
      <c r="T1600" s="2576"/>
      <c r="U1600" s="504"/>
      <c r="AB1600" s="363"/>
      <c r="AC1600" s="2563"/>
    </row>
    <row r="1601" spans="1:29" ht="12.75" customHeight="1" x14ac:dyDescent="0.2">
      <c r="A1601" s="1916">
        <v>1601</v>
      </c>
      <c r="B1601" s="5148"/>
      <c r="C1601" s="1999"/>
      <c r="H1601" s="363"/>
      <c r="M1601" s="1847"/>
      <c r="N1601" s="96"/>
      <c r="O1601" s="411" t="s">
        <v>9695</v>
      </c>
      <c r="P1601" s="2578">
        <v>10</v>
      </c>
      <c r="Q1601" s="503">
        <v>20</v>
      </c>
      <c r="R1601" s="2585">
        <f>COUNTIF(PoderesDeCriatura_Adquiridos,Tablas!O1601)</f>
        <v>0</v>
      </c>
      <c r="S1601" s="370"/>
      <c r="T1601" s="2576"/>
      <c r="U1601" s="504"/>
      <c r="AB1601" s="363"/>
      <c r="AC1601" s="2563"/>
    </row>
    <row r="1602" spans="1:29" ht="12.75" customHeight="1" x14ac:dyDescent="0.2">
      <c r="A1602" s="1916">
        <v>1602</v>
      </c>
      <c r="B1602" s="5148"/>
      <c r="C1602" s="1999"/>
      <c r="H1602" s="363"/>
      <c r="M1602" s="1847"/>
      <c r="N1602" s="96"/>
      <c r="O1602" s="411" t="s">
        <v>9696</v>
      </c>
      <c r="P1602" s="2578">
        <v>20</v>
      </c>
      <c r="Q1602" s="503">
        <v>30</v>
      </c>
      <c r="R1602" s="2585">
        <f>COUNTIF(PoderesDeCriatura_Adquiridos,Tablas!O1602)</f>
        <v>0</v>
      </c>
      <c r="S1602" s="370"/>
      <c r="T1602" s="2576"/>
      <c r="U1602" s="504"/>
      <c r="AB1602" s="363"/>
      <c r="AC1602" s="2563"/>
    </row>
    <row r="1603" spans="1:29" ht="12.75" customHeight="1" x14ac:dyDescent="0.2">
      <c r="A1603" s="1916">
        <v>1603</v>
      </c>
      <c r="B1603" s="5148"/>
      <c r="C1603" s="1999"/>
      <c r="H1603" s="363"/>
      <c r="M1603" s="1847"/>
      <c r="N1603" s="96"/>
      <c r="O1603" s="411" t="s">
        <v>9697</v>
      </c>
      <c r="P1603" s="2578">
        <v>30</v>
      </c>
      <c r="Q1603" s="503">
        <v>40</v>
      </c>
      <c r="R1603" s="2585">
        <f>COUNTIF(PoderesDeCriatura_Adquiridos,Tablas!O1603)</f>
        <v>0</v>
      </c>
      <c r="S1603" s="370"/>
      <c r="T1603" s="2576"/>
      <c r="U1603" s="504"/>
      <c r="AB1603" s="363"/>
      <c r="AC1603" s="2563"/>
    </row>
    <row r="1604" spans="1:29" ht="12.75" customHeight="1" x14ac:dyDescent="0.2">
      <c r="A1604" s="1916">
        <v>1604</v>
      </c>
      <c r="B1604" s="5148"/>
      <c r="C1604" s="1999"/>
      <c r="H1604" s="363"/>
      <c r="M1604" s="1847"/>
      <c r="N1604" s="96"/>
      <c r="O1604" s="411" t="s">
        <v>9698</v>
      </c>
      <c r="P1604" s="2578">
        <v>20</v>
      </c>
      <c r="Q1604" s="503">
        <f>40+IF(OR(TipoDeCriatura="Entre mundos, Elemental",TipoDeCriatura="Ánima, Elemental"),10,0)</f>
        <v>40</v>
      </c>
      <c r="R1604" s="2585">
        <f>COUNTIF(PoderesDeCriatura_Adquiridos,Tablas!O1604)</f>
        <v>0</v>
      </c>
      <c r="S1604" s="370"/>
      <c r="T1604" s="2576"/>
      <c r="U1604" s="504"/>
      <c r="AB1604" s="363"/>
      <c r="AC1604" s="2563"/>
    </row>
    <row r="1605" spans="1:29" ht="12.75" customHeight="1" x14ac:dyDescent="0.2">
      <c r="A1605" s="1916">
        <v>1605</v>
      </c>
      <c r="B1605" s="5148"/>
      <c r="C1605" s="1999"/>
      <c r="H1605" s="363"/>
      <c r="M1605" s="1847"/>
      <c r="N1605" s="96"/>
      <c r="O1605" s="411" t="s">
        <v>9699</v>
      </c>
      <c r="P1605" s="2578">
        <v>10</v>
      </c>
      <c r="Q1605" s="503">
        <f>20+IF(OR(TipoDeCriatura="Entre mundos, Elemental",TipoDeCriatura="Ánima, Elemental"),10,0)</f>
        <v>20</v>
      </c>
      <c r="R1605" s="2585">
        <f>COUNTIF(PoderesDeCriatura_Adquiridos,Tablas!O1605)</f>
        <v>0</v>
      </c>
      <c r="S1605" s="370"/>
      <c r="T1605" s="2576"/>
      <c r="U1605" s="504"/>
      <c r="AB1605" s="363"/>
      <c r="AC1605" s="2563"/>
    </row>
    <row r="1606" spans="1:29" ht="12.75" customHeight="1" x14ac:dyDescent="0.2">
      <c r="A1606" s="1916">
        <v>1606</v>
      </c>
      <c r="B1606" s="5148"/>
      <c r="C1606" s="1999"/>
      <c r="H1606" s="363"/>
      <c r="M1606" s="1847"/>
      <c r="N1606" s="96"/>
      <c r="O1606" s="411" t="s">
        <v>9700</v>
      </c>
      <c r="P1606" s="2578">
        <v>15</v>
      </c>
      <c r="Q1606" s="503">
        <f>30+IF(OR(TipoDeCriatura="Entre mundos, Elemental",TipoDeCriatura="Ánima, Elemental"),10,0)</f>
        <v>30</v>
      </c>
      <c r="R1606" s="2585">
        <f>COUNTIF(PoderesDeCriatura_Adquiridos,Tablas!O1606)</f>
        <v>0</v>
      </c>
      <c r="S1606" s="370"/>
      <c r="T1606" s="2576"/>
      <c r="U1606" s="504"/>
      <c r="AB1606" s="363"/>
      <c r="AC1606" s="2563"/>
    </row>
    <row r="1607" spans="1:29" ht="12.75" customHeight="1" x14ac:dyDescent="0.2">
      <c r="A1607" s="1916">
        <v>1607</v>
      </c>
      <c r="B1607" s="5148"/>
      <c r="C1607" s="1999"/>
      <c r="H1607" s="363"/>
      <c r="M1607" s="1847"/>
      <c r="N1607" s="96"/>
      <c r="O1607" s="411" t="s">
        <v>9701</v>
      </c>
      <c r="P1607" s="2578">
        <v>5</v>
      </c>
      <c r="Q1607" s="503">
        <f>10+IF(OR(TipoDeCriatura="Entre mundos, Elemental",TipoDeCriatura="Ánima, Elemental"),10,0)</f>
        <v>10</v>
      </c>
      <c r="R1607" s="2585">
        <f>COUNTIF(PoderesDeCriatura_Adquiridos,Tablas!O1607)</f>
        <v>0</v>
      </c>
      <c r="S1607" s="370"/>
      <c r="T1607" s="2576"/>
      <c r="U1607" s="504"/>
      <c r="AB1607" s="363"/>
      <c r="AC1607" s="2563"/>
    </row>
    <row r="1608" spans="1:29" ht="12.75" customHeight="1" x14ac:dyDescent="0.2">
      <c r="A1608" s="1916">
        <v>1608</v>
      </c>
      <c r="B1608" s="5148"/>
      <c r="C1608" s="1999"/>
      <c r="H1608" s="363"/>
      <c r="M1608" s="1847"/>
      <c r="N1608" s="96"/>
      <c r="O1608" s="411" t="s">
        <v>9702</v>
      </c>
      <c r="P1608" s="2578">
        <v>10</v>
      </c>
      <c r="Q1608" s="503">
        <f>10+IF(OR(TipoDeCriatura="Entre mundos, Elemental",TipoDeCriatura="Ánima, Elemental"),10,0)</f>
        <v>10</v>
      </c>
      <c r="R1608" s="2585">
        <f>COUNTIF(PoderesDeCriatura_Adquiridos,Tablas!O1608)</f>
        <v>0</v>
      </c>
      <c r="S1608" s="370"/>
      <c r="T1608" s="2576"/>
      <c r="U1608" s="504"/>
      <c r="AB1608" s="363"/>
      <c r="AC1608" s="2563"/>
    </row>
    <row r="1609" spans="1:29" ht="12.75" customHeight="1" x14ac:dyDescent="0.2">
      <c r="A1609" s="1916">
        <v>1609</v>
      </c>
      <c r="B1609" s="5148"/>
      <c r="C1609" s="1999"/>
      <c r="H1609" s="363"/>
      <c r="M1609" s="1847"/>
      <c r="N1609" s="96"/>
      <c r="O1609" s="411" t="s">
        <v>9703</v>
      </c>
      <c r="P1609" s="2578">
        <v>20</v>
      </c>
      <c r="Q1609" s="503">
        <f>40+IF(OR(TipoDeCriatura="Entre mundos, Elemental",TipoDeCriatura="Ánima, Elemental"),10,0)</f>
        <v>40</v>
      </c>
      <c r="R1609" s="2585">
        <f>COUNTIF(PoderesDeCriatura_Adquiridos,Tablas!O1609)</f>
        <v>0</v>
      </c>
      <c r="S1609" s="370"/>
      <c r="T1609" s="2576"/>
      <c r="U1609" s="504"/>
      <c r="AB1609" s="363"/>
      <c r="AC1609" s="2563"/>
    </row>
    <row r="1610" spans="1:29" ht="12.75" customHeight="1" x14ac:dyDescent="0.2">
      <c r="A1610" s="1916">
        <v>1610</v>
      </c>
      <c r="B1610" s="5148"/>
      <c r="C1610" s="1999"/>
      <c r="H1610" s="363"/>
      <c r="M1610" s="1847"/>
      <c r="N1610" s="96"/>
      <c r="O1610" s="411" t="s">
        <v>9704</v>
      </c>
      <c r="P1610" s="2578">
        <v>5</v>
      </c>
      <c r="Q1610" s="503">
        <v>10</v>
      </c>
      <c r="R1610" s="2585">
        <f>COUNTIF(PoderesDeCriatura_Adquiridos,Tablas!O1610)</f>
        <v>0</v>
      </c>
      <c r="S1610" s="370"/>
      <c r="T1610" s="2576"/>
      <c r="U1610" s="504"/>
      <c r="AB1610" s="363"/>
      <c r="AC1610" s="2563"/>
    </row>
    <row r="1611" spans="1:29" ht="12.75" customHeight="1" x14ac:dyDescent="0.2">
      <c r="A1611" s="1916">
        <v>1611</v>
      </c>
      <c r="B1611" s="5148"/>
      <c r="C1611" s="1999"/>
      <c r="H1611" s="363"/>
      <c r="M1611" s="1847"/>
      <c r="N1611" s="96"/>
      <c r="O1611" s="411" t="s">
        <v>9705</v>
      </c>
      <c r="P1611" s="2578">
        <v>10</v>
      </c>
      <c r="Q1611" s="503">
        <v>20</v>
      </c>
      <c r="R1611" s="2585">
        <f>COUNTIF(PoderesDeCriatura_Adquiridos,Tablas!O1611)</f>
        <v>0</v>
      </c>
      <c r="S1611" s="370"/>
      <c r="T1611" s="2576"/>
      <c r="U1611" s="504"/>
      <c r="AB1611" s="363"/>
      <c r="AC1611" s="2563"/>
    </row>
    <row r="1612" spans="1:29" ht="12.75" customHeight="1" x14ac:dyDescent="0.2">
      <c r="A1612" s="1916">
        <v>1612</v>
      </c>
      <c r="B1612" s="5148"/>
      <c r="C1612" s="1999"/>
      <c r="H1612" s="363"/>
      <c r="M1612" s="1847"/>
      <c r="N1612" s="96"/>
      <c r="O1612" s="411" t="s">
        <v>5710</v>
      </c>
      <c r="P1612" s="2578">
        <v>15</v>
      </c>
      <c r="Q1612" s="503">
        <v>40</v>
      </c>
      <c r="R1612" s="2585">
        <f>COUNTIF(PoderesDeCriatura_Adquiridos,Tablas!O1612)</f>
        <v>0</v>
      </c>
      <c r="S1612" s="370"/>
      <c r="T1612" s="2576"/>
      <c r="U1612" s="504"/>
      <c r="AB1612" s="363"/>
      <c r="AC1612" s="2563"/>
    </row>
    <row r="1613" spans="1:29" ht="12.75" customHeight="1" x14ac:dyDescent="0.2">
      <c r="A1613" s="1916">
        <v>1613</v>
      </c>
      <c r="B1613" s="5148"/>
      <c r="C1613" s="1999"/>
      <c r="H1613" s="363"/>
      <c r="M1613" s="1847"/>
      <c r="N1613" s="96"/>
      <c r="O1613" s="411" t="s">
        <v>9706</v>
      </c>
      <c r="P1613" s="2578">
        <v>30</v>
      </c>
      <c r="Q1613" s="503">
        <v>60</v>
      </c>
      <c r="R1613" s="2585">
        <f>COUNTIF(PoderesDeCriatura_Adquiridos,Tablas!O1613)</f>
        <v>0</v>
      </c>
      <c r="S1613" s="370"/>
      <c r="T1613" s="2576"/>
      <c r="U1613" s="504"/>
      <c r="AB1613" s="363"/>
      <c r="AC1613" s="2563"/>
    </row>
    <row r="1614" spans="1:29" ht="12.75" customHeight="1" x14ac:dyDescent="0.2">
      <c r="A1614" s="1916">
        <v>1614</v>
      </c>
      <c r="B1614" s="5148"/>
      <c r="C1614" s="1999"/>
      <c r="H1614" s="363"/>
      <c r="M1614" s="1847"/>
      <c r="N1614" s="96"/>
      <c r="O1614" s="411" t="s">
        <v>9707</v>
      </c>
      <c r="P1614" s="2578">
        <v>35</v>
      </c>
      <c r="Q1614" s="503">
        <v>80</v>
      </c>
      <c r="R1614" s="2585">
        <f>COUNTIF(PoderesDeCriatura_Adquiridos,Tablas!O1614)</f>
        <v>0</v>
      </c>
      <c r="S1614" s="370"/>
      <c r="T1614" s="2576"/>
      <c r="U1614" s="504"/>
      <c r="AB1614" s="363"/>
      <c r="AC1614" s="2563"/>
    </row>
    <row r="1615" spans="1:29" ht="12.75" customHeight="1" x14ac:dyDescent="0.2">
      <c r="A1615" s="1916">
        <v>1615</v>
      </c>
      <c r="B1615" s="5148"/>
      <c r="C1615" s="1999"/>
      <c r="H1615" s="363"/>
      <c r="M1615" s="1847"/>
      <c r="N1615" s="96"/>
      <c r="O1615" s="2" t="s">
        <v>15</v>
      </c>
      <c r="P1615" s="2578">
        <v>30</v>
      </c>
      <c r="Q1615" s="503">
        <v>100</v>
      </c>
      <c r="R1615" s="2585">
        <f>COUNTIF(PoderesDeCriatura_Adquiridos,Tablas!O1615)</f>
        <v>0</v>
      </c>
      <c r="S1615" s="370"/>
      <c r="T1615" s="2576"/>
      <c r="U1615" s="504"/>
      <c r="AB1615" s="363"/>
      <c r="AC1615" s="2563"/>
    </row>
    <row r="1616" spans="1:29" ht="12.75" customHeight="1" x14ac:dyDescent="0.2">
      <c r="A1616" s="1916">
        <v>1616</v>
      </c>
      <c r="B1616" s="5148"/>
      <c r="C1616" s="1999"/>
      <c r="H1616" s="363"/>
      <c r="M1616" s="1847"/>
      <c r="N1616" s="96"/>
      <c r="O1616" s="411" t="s">
        <v>9708</v>
      </c>
      <c r="P1616" s="2578">
        <v>10</v>
      </c>
      <c r="Q1616" s="503">
        <v>10</v>
      </c>
      <c r="R1616" s="2585">
        <f>COUNTIF(PoderesDeCriatura_Adquiridos,Tablas!O1616)</f>
        <v>0</v>
      </c>
      <c r="S1616" s="370"/>
      <c r="T1616" s="2576"/>
      <c r="U1616" s="504"/>
      <c r="AB1616" s="363"/>
      <c r="AC1616" s="2563"/>
    </row>
    <row r="1617" spans="1:29" ht="12.75" customHeight="1" x14ac:dyDescent="0.2">
      <c r="A1617" s="1916">
        <v>1617</v>
      </c>
      <c r="B1617" s="5148"/>
      <c r="C1617" s="1999"/>
      <c r="H1617" s="363"/>
      <c r="M1617" s="1847"/>
      <c r="N1617" s="96"/>
      <c r="O1617" s="411" t="s">
        <v>9709</v>
      </c>
      <c r="P1617" s="2578">
        <v>20</v>
      </c>
      <c r="Q1617" s="503">
        <v>20</v>
      </c>
      <c r="R1617" s="2585">
        <f>COUNTIF(PoderesDeCriatura_Adquiridos,Tablas!O1617)</f>
        <v>0</v>
      </c>
      <c r="S1617" s="370"/>
      <c r="T1617" s="2576"/>
      <c r="U1617" s="504"/>
      <c r="AB1617" s="363"/>
      <c r="AC1617" s="2563"/>
    </row>
    <row r="1618" spans="1:29" ht="12.75" customHeight="1" x14ac:dyDescent="0.2">
      <c r="A1618" s="1916">
        <v>1618</v>
      </c>
      <c r="B1618" s="5148"/>
      <c r="C1618" s="1999"/>
      <c r="H1618" s="363"/>
      <c r="M1618" s="1847"/>
      <c r="N1618" s="96"/>
      <c r="O1618" s="411" t="s">
        <v>9710</v>
      </c>
      <c r="P1618" s="2578">
        <v>15</v>
      </c>
      <c r="Q1618" s="503">
        <v>20</v>
      </c>
      <c r="R1618" s="2585">
        <f>COUNTIF(PoderesDeCriatura_Adquiridos,Tablas!O1618)</f>
        <v>0</v>
      </c>
      <c r="S1618" s="370"/>
      <c r="T1618" s="2576"/>
      <c r="U1618" s="504"/>
      <c r="AB1618" s="363"/>
      <c r="AC1618" s="2563"/>
    </row>
    <row r="1619" spans="1:29" ht="12.75" customHeight="1" x14ac:dyDescent="0.2">
      <c r="A1619" s="1916">
        <v>1619</v>
      </c>
      <c r="B1619" s="5148"/>
      <c r="C1619" s="1999"/>
      <c r="H1619" s="363"/>
      <c r="M1619" s="1847"/>
      <c r="N1619" s="96"/>
      <c r="O1619" s="411" t="s">
        <v>9711</v>
      </c>
      <c r="P1619" s="2578">
        <v>25</v>
      </c>
      <c r="Q1619" s="503">
        <v>40</v>
      </c>
      <c r="R1619" s="2585">
        <f>COUNTIF(PoderesDeCriatura_Adquiridos,Tablas!O1619)</f>
        <v>0</v>
      </c>
      <c r="S1619" s="370"/>
      <c r="T1619" s="2576"/>
      <c r="U1619" s="504"/>
      <c r="AB1619" s="363"/>
      <c r="AC1619" s="2563"/>
    </row>
    <row r="1620" spans="1:29" ht="12.75" customHeight="1" x14ac:dyDescent="0.2">
      <c r="A1620" s="1916">
        <v>1620</v>
      </c>
      <c r="B1620" s="5148"/>
      <c r="C1620" s="1999"/>
      <c r="H1620" s="363"/>
      <c r="M1620" s="1847"/>
      <c r="N1620" s="96"/>
      <c r="O1620" s="411" t="s">
        <v>9712</v>
      </c>
      <c r="P1620" s="2578">
        <v>15</v>
      </c>
      <c r="Q1620" s="503">
        <f>10+IF(OR(TipoDeCriatura="Entre mundos, Elemental",TipoDeCriatura="Ánima, Elemental"),10,0)</f>
        <v>10</v>
      </c>
      <c r="R1620" s="2585">
        <f>COUNTIF(PoderesDeCriatura_Adquiridos,Tablas!O1620)</f>
        <v>0</v>
      </c>
      <c r="S1620" s="370"/>
      <c r="T1620" s="2576"/>
      <c r="U1620" s="504"/>
      <c r="AB1620" s="363"/>
      <c r="AC1620" s="2563"/>
    </row>
    <row r="1621" spans="1:29" ht="12.75" customHeight="1" x14ac:dyDescent="0.2">
      <c r="A1621" s="1916">
        <v>1621</v>
      </c>
      <c r="B1621" s="5148"/>
      <c r="C1621" s="1999"/>
      <c r="H1621" s="363"/>
      <c r="M1621" s="1847"/>
      <c r="N1621" s="96"/>
      <c r="O1621" s="411" t="s">
        <v>9713</v>
      </c>
      <c r="P1621" s="2578">
        <v>20</v>
      </c>
      <c r="Q1621" s="503">
        <f>10+IF(OR(TipoDeCriatura="Entre mundos, Elemental",TipoDeCriatura="Ánima, Elemental"),10,0)</f>
        <v>10</v>
      </c>
      <c r="R1621" s="2585">
        <f>COUNTIF(PoderesDeCriatura_Adquiridos,Tablas!O1621)</f>
        <v>0</v>
      </c>
      <c r="S1621" s="370"/>
      <c r="T1621" s="2576"/>
      <c r="U1621" s="504"/>
      <c r="AB1621" s="363"/>
      <c r="AC1621" s="2563"/>
    </row>
    <row r="1622" spans="1:29" ht="12.75" customHeight="1" x14ac:dyDescent="0.2">
      <c r="A1622" s="1916">
        <v>1622</v>
      </c>
      <c r="B1622" s="5148"/>
      <c r="C1622" s="1999"/>
      <c r="H1622" s="363"/>
      <c r="M1622" s="1847"/>
      <c r="N1622" s="96"/>
      <c r="O1622" s="411" t="s">
        <v>9714</v>
      </c>
      <c r="P1622" s="2578">
        <v>30</v>
      </c>
      <c r="Q1622" s="503">
        <f>20+IF(OR(TipoDeCriatura="Entre mundos, Elemental",TipoDeCriatura="Ánima, Elemental"),10,0)</f>
        <v>20</v>
      </c>
      <c r="R1622" s="2585">
        <f>COUNTIF(PoderesDeCriatura_Adquiridos,Tablas!O1622)</f>
        <v>0</v>
      </c>
      <c r="S1622" s="370"/>
      <c r="T1622" s="2576"/>
      <c r="U1622" s="504"/>
      <c r="AB1622" s="363"/>
      <c r="AC1622" s="2563"/>
    </row>
    <row r="1623" spans="1:29" ht="12.75" customHeight="1" x14ac:dyDescent="0.2">
      <c r="A1623" s="1916">
        <v>1623</v>
      </c>
      <c r="B1623" s="5148"/>
      <c r="C1623" s="1999"/>
      <c r="H1623" s="363"/>
      <c r="M1623" s="1847"/>
      <c r="N1623" s="96"/>
      <c r="O1623" s="411" t="s">
        <v>9715</v>
      </c>
      <c r="P1623" s="2578">
        <v>20</v>
      </c>
      <c r="Q1623" s="503">
        <v>120</v>
      </c>
      <c r="R1623" s="2585">
        <f>COUNTIF(PoderesDeCriatura_Adquiridos,Tablas!O1623)</f>
        <v>0</v>
      </c>
      <c r="S1623" s="370"/>
      <c r="T1623" s="2576"/>
      <c r="U1623" s="504"/>
      <c r="AB1623" s="363"/>
      <c r="AC1623" s="2563"/>
    </row>
    <row r="1624" spans="1:29" ht="12.75" customHeight="1" x14ac:dyDescent="0.2">
      <c r="A1624" s="1916">
        <v>1624</v>
      </c>
      <c r="B1624" s="5148"/>
      <c r="C1624" s="1999"/>
      <c r="H1624" s="363"/>
      <c r="M1624" s="1847"/>
      <c r="N1624" s="96"/>
      <c r="O1624" s="411" t="s">
        <v>9716</v>
      </c>
      <c r="P1624" s="2578">
        <v>30</v>
      </c>
      <c r="Q1624" s="503">
        <v>220</v>
      </c>
      <c r="R1624" s="2585">
        <f>COUNTIF(PoderesDeCriatura_Adquiridos,Tablas!O1624)</f>
        <v>0</v>
      </c>
      <c r="S1624" s="370"/>
      <c r="T1624" s="2576"/>
      <c r="U1624" s="504"/>
      <c r="AB1624" s="363"/>
      <c r="AC1624" s="2563"/>
    </row>
    <row r="1625" spans="1:29" ht="12.75" customHeight="1" x14ac:dyDescent="0.2">
      <c r="A1625" s="1916">
        <v>1625</v>
      </c>
      <c r="B1625" s="5148"/>
      <c r="C1625" s="1999"/>
      <c r="H1625" s="363"/>
      <c r="M1625" s="1847"/>
      <c r="N1625" s="96"/>
      <c r="O1625" s="411" t="s">
        <v>9717</v>
      </c>
      <c r="P1625" s="2578">
        <v>20</v>
      </c>
      <c r="Q1625" s="503">
        <f>30+IF(OR(TipoDeCriatura="Entre mundos, Elemental",TipoDeCriatura="Ánima, Elemental"),10,0)</f>
        <v>30</v>
      </c>
      <c r="R1625" s="2585">
        <f>COUNTIF(PoderesDeCriatura_Adquiridos,Tablas!O1625)</f>
        <v>0</v>
      </c>
      <c r="S1625" s="370"/>
      <c r="T1625" s="2576"/>
      <c r="U1625" s="504"/>
      <c r="AB1625" s="363"/>
      <c r="AC1625" s="2563"/>
    </row>
    <row r="1626" spans="1:29" ht="12.75" customHeight="1" x14ac:dyDescent="0.2">
      <c r="A1626" s="1916">
        <v>1626</v>
      </c>
      <c r="B1626" s="5148"/>
      <c r="C1626" s="1999"/>
      <c r="H1626" s="363"/>
      <c r="M1626" s="1847"/>
      <c r="N1626" s="96"/>
      <c r="O1626" s="411" t="s">
        <v>9718</v>
      </c>
      <c r="P1626" s="2578">
        <v>20</v>
      </c>
      <c r="Q1626" s="503">
        <f>40+IF(OR(TipoDeCriatura="Entre mundos, Elemental",TipoDeCriatura="Ánima, Elemental"),10,0)</f>
        <v>40</v>
      </c>
      <c r="R1626" s="2585">
        <f>COUNTIF(PoderesDeCriatura_Adquiridos,Tablas!O1626)</f>
        <v>0</v>
      </c>
      <c r="S1626" s="370"/>
      <c r="T1626" s="2576"/>
      <c r="U1626" s="504"/>
      <c r="AB1626" s="363"/>
      <c r="AC1626" s="2563"/>
    </row>
    <row r="1627" spans="1:29" ht="12.75" customHeight="1" x14ac:dyDescent="0.2">
      <c r="A1627" s="1916">
        <v>1627</v>
      </c>
      <c r="B1627" s="5148"/>
      <c r="C1627" s="1999"/>
      <c r="H1627" s="363"/>
      <c r="M1627" s="1847"/>
      <c r="N1627" s="96"/>
      <c r="O1627" s="411" t="s">
        <v>9719</v>
      </c>
      <c r="P1627" s="2578">
        <v>20</v>
      </c>
      <c r="Q1627" s="503">
        <f>50+IF(OR(TipoDeCriatura="Entre mundos, Elemental",TipoDeCriatura="Ánima, Elemental"),10,0)</f>
        <v>50</v>
      </c>
      <c r="R1627" s="2585">
        <f>COUNTIF(PoderesDeCriatura_Adquiridos,Tablas!O1627)</f>
        <v>0</v>
      </c>
      <c r="S1627" s="370"/>
      <c r="T1627" s="2576"/>
      <c r="U1627" s="504"/>
      <c r="AB1627" s="363"/>
      <c r="AC1627" s="2563"/>
    </row>
    <row r="1628" spans="1:29" ht="12.75" customHeight="1" x14ac:dyDescent="0.2">
      <c r="A1628" s="1916">
        <v>1628</v>
      </c>
      <c r="B1628" s="5148"/>
      <c r="C1628" s="1999"/>
      <c r="H1628" s="363"/>
      <c r="M1628" s="1847"/>
      <c r="N1628" s="96"/>
      <c r="O1628" s="411" t="s">
        <v>9720</v>
      </c>
      <c r="P1628" s="2578">
        <v>20</v>
      </c>
      <c r="Q1628" s="503">
        <f>60+IF(OR(TipoDeCriatura="Entre mundos, Elemental",TipoDeCriatura="Ánima, Elemental"),10,0)</f>
        <v>60</v>
      </c>
      <c r="R1628" s="2585">
        <f>COUNTIF(PoderesDeCriatura_Adquiridos,Tablas!O1628)</f>
        <v>0</v>
      </c>
      <c r="S1628" s="370"/>
      <c r="T1628" s="2576"/>
      <c r="U1628" s="504"/>
      <c r="AB1628" s="363"/>
      <c r="AC1628" s="2563"/>
    </row>
    <row r="1629" spans="1:29" ht="12.75" customHeight="1" x14ac:dyDescent="0.2">
      <c r="A1629" s="1916">
        <v>1629</v>
      </c>
      <c r="B1629" s="5148"/>
      <c r="C1629" s="1999"/>
      <c r="H1629" s="363"/>
      <c r="M1629" s="1847"/>
      <c r="N1629" s="96"/>
      <c r="O1629" s="411" t="s">
        <v>9721</v>
      </c>
      <c r="P1629" s="2578">
        <v>20</v>
      </c>
      <c r="Q1629" s="503">
        <f>80+IF(OR(TipoDeCriatura="Entre mundos, Elemental",TipoDeCriatura="Ánima, Elemental"),10,0)</f>
        <v>80</v>
      </c>
      <c r="R1629" s="2585">
        <f>COUNTIF(PoderesDeCriatura_Adquiridos,Tablas!O1629)</f>
        <v>0</v>
      </c>
      <c r="S1629" s="370"/>
      <c r="T1629" s="2576"/>
      <c r="AB1629" s="363"/>
      <c r="AC1629" s="2563"/>
    </row>
    <row r="1630" spans="1:29" ht="12.75" customHeight="1" x14ac:dyDescent="0.2">
      <c r="A1630" s="1916">
        <v>1630</v>
      </c>
      <c r="B1630" s="5148"/>
      <c r="C1630" s="1999"/>
      <c r="H1630" s="363"/>
      <c r="M1630" s="1847"/>
      <c r="N1630" s="96"/>
      <c r="O1630" s="2" t="s">
        <v>16</v>
      </c>
      <c r="P1630" s="2578">
        <v>0</v>
      </c>
      <c r="Q1630" s="503">
        <v>20</v>
      </c>
      <c r="R1630" s="2585">
        <f>COUNTIF(PoderesDeCriatura_Adquiridos,Tablas!O1630)</f>
        <v>0</v>
      </c>
      <c r="S1630" s="370"/>
      <c r="T1630" s="2576"/>
      <c r="AB1630" s="363"/>
      <c r="AC1630" s="2563"/>
    </row>
    <row r="1631" spans="1:29" ht="12.75" customHeight="1" x14ac:dyDescent="0.2">
      <c r="A1631" s="1916">
        <v>1631</v>
      </c>
      <c r="B1631" s="5148"/>
      <c r="C1631" s="1999"/>
      <c r="H1631" s="363"/>
      <c r="M1631" s="1847"/>
      <c r="N1631" s="96"/>
      <c r="O1631" s="411" t="s">
        <v>9722</v>
      </c>
      <c r="P1631" s="2578">
        <v>10</v>
      </c>
      <c r="Q1631" s="503">
        <v>30</v>
      </c>
      <c r="R1631" s="2585">
        <f>COUNTIF(PoderesDeCriatura_Adquiridos,Tablas!O1631)</f>
        <v>0</v>
      </c>
      <c r="S1631" s="370"/>
      <c r="T1631" s="2576"/>
      <c r="AB1631" s="363"/>
      <c r="AC1631" s="2563"/>
    </row>
    <row r="1632" spans="1:29" ht="12.75" customHeight="1" x14ac:dyDescent="0.2">
      <c r="A1632" s="1916">
        <v>1632</v>
      </c>
      <c r="B1632" s="5148"/>
      <c r="C1632" s="1999"/>
      <c r="H1632" s="363"/>
      <c r="M1632" s="1847"/>
      <c r="N1632" s="96"/>
      <c r="O1632" s="411" t="s">
        <v>9723</v>
      </c>
      <c r="P1632" s="2578">
        <v>20</v>
      </c>
      <c r="Q1632" s="503">
        <v>50</v>
      </c>
      <c r="R1632" s="2585">
        <f>COUNTIF(PoderesDeCriatura_Adquiridos,Tablas!O1632)</f>
        <v>0</v>
      </c>
      <c r="S1632" s="370"/>
      <c r="T1632" s="2576"/>
      <c r="AB1632" s="363"/>
      <c r="AC1632" s="2563"/>
    </row>
    <row r="1633" spans="1:29" ht="12.75" customHeight="1" x14ac:dyDescent="0.2">
      <c r="A1633" s="1916">
        <v>1633</v>
      </c>
      <c r="B1633" s="5148"/>
      <c r="C1633" s="1999"/>
      <c r="H1633" s="363"/>
      <c r="M1633" s="1847"/>
      <c r="N1633" s="96"/>
      <c r="O1633" s="411" t="s">
        <v>9724</v>
      </c>
      <c r="P1633" s="2578">
        <v>25</v>
      </c>
      <c r="Q1633" s="503">
        <v>80</v>
      </c>
      <c r="R1633" s="2585">
        <f>COUNTIF(PoderesDeCriatura_Adquiridos,Tablas!O1633)</f>
        <v>0</v>
      </c>
      <c r="S1633" s="370"/>
      <c r="T1633" s="2576"/>
      <c r="AB1633" s="363"/>
      <c r="AC1633" s="2563"/>
    </row>
    <row r="1634" spans="1:29" ht="12.75" customHeight="1" x14ac:dyDescent="0.2">
      <c r="A1634" s="1916">
        <v>1634</v>
      </c>
      <c r="B1634" s="5148"/>
      <c r="C1634" s="1999"/>
      <c r="H1634" s="363"/>
      <c r="M1634" s="1847"/>
      <c r="N1634" s="96"/>
      <c r="O1634" s="411" t="s">
        <v>9725</v>
      </c>
      <c r="P1634" s="2578">
        <v>30</v>
      </c>
      <c r="Q1634" s="503">
        <v>110</v>
      </c>
      <c r="R1634" s="2585">
        <f>COUNTIF(PoderesDeCriatura_Adquiridos,Tablas!O1634)</f>
        <v>0</v>
      </c>
      <c r="S1634" s="370"/>
      <c r="T1634" s="2576"/>
      <c r="AB1634" s="363"/>
      <c r="AC1634" s="2563"/>
    </row>
    <row r="1635" spans="1:29" ht="12.75" customHeight="1" x14ac:dyDescent="0.2">
      <c r="A1635" s="1916">
        <v>1635</v>
      </c>
      <c r="B1635" s="5148"/>
      <c r="C1635" s="1999"/>
      <c r="H1635" s="363"/>
      <c r="M1635" s="1847"/>
      <c r="N1635" s="96"/>
      <c r="O1635" s="411" t="s">
        <v>9726</v>
      </c>
      <c r="P1635" s="2578">
        <v>35</v>
      </c>
      <c r="Q1635" s="503">
        <v>140</v>
      </c>
      <c r="R1635" s="2585">
        <f>COUNTIF(PoderesDeCriatura_Adquiridos,Tablas!O1635)</f>
        <v>0</v>
      </c>
      <c r="S1635" s="370"/>
      <c r="T1635" s="2576"/>
      <c r="AB1635" s="363"/>
      <c r="AC1635" s="2563"/>
    </row>
    <row r="1636" spans="1:29" ht="12.75" customHeight="1" x14ac:dyDescent="0.2">
      <c r="A1636" s="1916">
        <v>1636</v>
      </c>
      <c r="B1636" s="5148"/>
      <c r="C1636" s="1999"/>
      <c r="H1636" s="363"/>
      <c r="M1636" s="1847"/>
      <c r="N1636" s="96"/>
      <c r="O1636" s="411" t="s">
        <v>9727</v>
      </c>
      <c r="P1636" s="2578">
        <v>10</v>
      </c>
      <c r="Q1636" s="503">
        <v>-15</v>
      </c>
      <c r="R1636" s="2585">
        <f>COUNTIF(PoderesDeCriatura_Adquiridos,Tablas!O1636)</f>
        <v>0</v>
      </c>
      <c r="S1636" s="370"/>
      <c r="T1636" s="2576"/>
      <c r="AB1636" s="363"/>
      <c r="AC1636" s="2563"/>
    </row>
    <row r="1637" spans="1:29" ht="12.75" customHeight="1" x14ac:dyDescent="0.2">
      <c r="A1637" s="1916">
        <v>1637</v>
      </c>
      <c r="B1637" s="5148"/>
      <c r="C1637" s="1999"/>
      <c r="H1637" s="363"/>
      <c r="M1637" s="1847"/>
      <c r="N1637" s="96"/>
      <c r="O1637" s="2" t="s">
        <v>17</v>
      </c>
      <c r="P1637" s="2578">
        <v>5</v>
      </c>
      <c r="Q1637" s="503">
        <v>20</v>
      </c>
      <c r="R1637" s="2585">
        <f>COUNTIF(PoderesDeCriatura_Adquiridos,Tablas!O1637)</f>
        <v>0</v>
      </c>
      <c r="S1637" s="370"/>
      <c r="T1637" s="2576"/>
      <c r="AB1637" s="363"/>
      <c r="AC1637" s="2563"/>
    </row>
    <row r="1638" spans="1:29" ht="12.75" customHeight="1" x14ac:dyDescent="0.2">
      <c r="A1638" s="1916">
        <v>1638</v>
      </c>
      <c r="B1638" s="5148"/>
      <c r="C1638" s="1999"/>
      <c r="H1638" s="363"/>
      <c r="M1638" s="1847"/>
      <c r="N1638" s="96"/>
      <c r="O1638" s="411" t="s">
        <v>9728</v>
      </c>
      <c r="P1638" s="2578">
        <v>0</v>
      </c>
      <c r="Q1638" s="503">
        <v>10</v>
      </c>
      <c r="R1638" s="2585">
        <f>COUNTIF(PoderesDeCriatura_Adquiridos,Tablas!O1638)</f>
        <v>0</v>
      </c>
      <c r="S1638" s="370"/>
      <c r="T1638" s="2576"/>
      <c r="AB1638" s="363"/>
      <c r="AC1638" s="2563"/>
    </row>
    <row r="1639" spans="1:29" ht="12.75" customHeight="1" x14ac:dyDescent="0.2">
      <c r="A1639" s="1916">
        <v>1639</v>
      </c>
      <c r="B1639" s="5148"/>
      <c r="C1639" s="1999"/>
      <c r="H1639" s="363"/>
      <c r="M1639" s="1847"/>
      <c r="N1639" s="96"/>
      <c r="O1639" s="411" t="s">
        <v>9729</v>
      </c>
      <c r="P1639" s="2578">
        <v>0</v>
      </c>
      <c r="Q1639" s="503">
        <v>20</v>
      </c>
      <c r="R1639" s="2585">
        <f>COUNTIF(PoderesDeCriatura_Adquiridos,Tablas!O1639)</f>
        <v>0</v>
      </c>
      <c r="S1639" s="370"/>
      <c r="T1639" s="2576"/>
      <c r="AB1639" s="363"/>
      <c r="AC1639" s="2563"/>
    </row>
    <row r="1640" spans="1:29" ht="12.75" customHeight="1" x14ac:dyDescent="0.2">
      <c r="A1640" s="1916">
        <v>1640</v>
      </c>
      <c r="B1640" s="5148"/>
      <c r="C1640" s="1999"/>
      <c r="H1640" s="363"/>
      <c r="M1640" s="1847"/>
      <c r="N1640" s="96"/>
      <c r="O1640" s="411" t="s">
        <v>9730</v>
      </c>
      <c r="P1640" s="2578">
        <v>0</v>
      </c>
      <c r="Q1640" s="503">
        <v>30</v>
      </c>
      <c r="R1640" s="2585">
        <f>COUNTIF(PoderesDeCriatura_Adquiridos,Tablas!O1640)</f>
        <v>0</v>
      </c>
      <c r="S1640" s="370"/>
      <c r="T1640" s="2576"/>
      <c r="AB1640" s="363"/>
      <c r="AC1640" s="2563"/>
    </row>
    <row r="1641" spans="1:29" ht="12.75" customHeight="1" x14ac:dyDescent="0.2">
      <c r="A1641" s="1916">
        <v>1641</v>
      </c>
      <c r="B1641" s="5148"/>
      <c r="C1641" s="1999"/>
      <c r="H1641" s="363"/>
      <c r="M1641" s="1847"/>
      <c r="N1641" s="96"/>
      <c r="O1641" s="411" t="s">
        <v>9731</v>
      </c>
      <c r="P1641" s="2578">
        <v>10</v>
      </c>
      <c r="Q1641" s="503">
        <v>20</v>
      </c>
      <c r="R1641" s="2585">
        <f>COUNTIF(PoderesDeCriatura_Adquiridos,Tablas!O1641)</f>
        <v>0</v>
      </c>
      <c r="S1641" s="370"/>
      <c r="T1641" s="2576"/>
      <c r="AB1641" s="363"/>
      <c r="AC1641" s="2563"/>
    </row>
    <row r="1642" spans="1:29" ht="12.75" customHeight="1" x14ac:dyDescent="0.2">
      <c r="A1642" s="1916">
        <v>1642</v>
      </c>
      <c r="B1642" s="5148"/>
      <c r="C1642" s="1999"/>
      <c r="H1642" s="363"/>
      <c r="M1642" s="1847"/>
      <c r="N1642" s="96"/>
      <c r="O1642" s="411" t="s">
        <v>9732</v>
      </c>
      <c r="P1642" s="2578">
        <v>15</v>
      </c>
      <c r="Q1642" s="503">
        <v>40</v>
      </c>
      <c r="R1642" s="2585">
        <f>COUNTIF(PoderesDeCriatura_Adquiridos,Tablas!O1642)</f>
        <v>0</v>
      </c>
      <c r="S1642" s="370"/>
      <c r="T1642" s="2576"/>
      <c r="AB1642" s="363"/>
      <c r="AC1642" s="2563"/>
    </row>
    <row r="1643" spans="1:29" ht="12.75" customHeight="1" x14ac:dyDescent="0.2">
      <c r="A1643" s="1916">
        <v>1643</v>
      </c>
      <c r="B1643" s="5148"/>
      <c r="C1643" s="1999"/>
      <c r="H1643" s="363"/>
      <c r="M1643" s="1847"/>
      <c r="N1643" s="96"/>
      <c r="O1643" s="411" t="s">
        <v>9733</v>
      </c>
      <c r="P1643" s="2578">
        <v>20</v>
      </c>
      <c r="Q1643" s="503">
        <v>60</v>
      </c>
      <c r="R1643" s="2585">
        <f>COUNTIF(PoderesDeCriatura_Adquiridos,Tablas!O1643)</f>
        <v>0</v>
      </c>
      <c r="S1643" s="370"/>
      <c r="T1643" s="2576"/>
      <c r="AB1643" s="363"/>
      <c r="AC1643" s="2563"/>
    </row>
    <row r="1644" spans="1:29" ht="12.75" customHeight="1" x14ac:dyDescent="0.2">
      <c r="A1644" s="1916">
        <v>1644</v>
      </c>
      <c r="B1644" s="5148"/>
      <c r="C1644" s="1999"/>
      <c r="H1644" s="363"/>
      <c r="M1644" s="1847"/>
      <c r="N1644" s="96"/>
      <c r="O1644" s="411" t="s">
        <v>9734</v>
      </c>
      <c r="P1644" s="2578">
        <v>25</v>
      </c>
      <c r="Q1644" s="503">
        <v>80</v>
      </c>
      <c r="R1644" s="2585">
        <f>COUNTIF(PoderesDeCriatura_Adquiridos,Tablas!O1644)</f>
        <v>0</v>
      </c>
      <c r="S1644" s="370"/>
      <c r="T1644" s="2576"/>
      <c r="AB1644" s="363"/>
      <c r="AC1644" s="2563"/>
    </row>
    <row r="1645" spans="1:29" ht="12.75" customHeight="1" x14ac:dyDescent="0.2">
      <c r="A1645" s="1916">
        <v>1645</v>
      </c>
      <c r="B1645" s="5148"/>
      <c r="C1645" s="1999"/>
      <c r="H1645" s="363"/>
      <c r="M1645" s="1847"/>
      <c r="N1645" s="96"/>
      <c r="O1645" s="411" t="s">
        <v>9735</v>
      </c>
      <c r="P1645" s="2578">
        <v>35</v>
      </c>
      <c r="Q1645" s="503">
        <v>120</v>
      </c>
      <c r="R1645" s="2585">
        <f>COUNTIF(PoderesDeCriatura_Adquiridos,Tablas!O1645)</f>
        <v>0</v>
      </c>
      <c r="S1645" s="370"/>
      <c r="T1645" s="2576"/>
      <c r="AB1645" s="363"/>
      <c r="AC1645" s="2563"/>
    </row>
    <row r="1646" spans="1:29" ht="12.75" customHeight="1" x14ac:dyDescent="0.2">
      <c r="A1646" s="1916">
        <v>1646</v>
      </c>
      <c r="B1646" s="5148"/>
      <c r="C1646" s="1999"/>
      <c r="H1646" s="363"/>
      <c r="M1646" s="1847"/>
      <c r="N1646" s="96"/>
      <c r="O1646" s="411" t="s">
        <v>9736</v>
      </c>
      <c r="P1646" s="2578">
        <v>5</v>
      </c>
      <c r="Q1646" s="503">
        <v>10</v>
      </c>
      <c r="R1646" s="2585">
        <f>COUNTIF(PoderesDeCriatura_Adquiridos,Tablas!O1646)</f>
        <v>0</v>
      </c>
      <c r="S1646" s="370"/>
      <c r="T1646" s="2576"/>
      <c r="AB1646" s="363"/>
      <c r="AC1646" s="2563"/>
    </row>
    <row r="1647" spans="1:29" ht="12.75" customHeight="1" x14ac:dyDescent="0.2">
      <c r="A1647" s="1916">
        <v>1647</v>
      </c>
      <c r="B1647" s="5148"/>
      <c r="C1647" s="1999"/>
      <c r="H1647" s="363"/>
      <c r="M1647" s="1847"/>
      <c r="N1647" s="96"/>
      <c r="O1647" s="411" t="s">
        <v>9737</v>
      </c>
      <c r="P1647" s="2578">
        <v>5</v>
      </c>
      <c r="Q1647" s="503">
        <v>20</v>
      </c>
      <c r="R1647" s="2585">
        <f>COUNTIF(PoderesDeCriatura_Adquiridos,Tablas!O1647)</f>
        <v>0</v>
      </c>
      <c r="S1647" s="370"/>
      <c r="T1647" s="2576"/>
      <c r="AB1647" s="363"/>
      <c r="AC1647" s="2563"/>
    </row>
    <row r="1648" spans="1:29" ht="12.75" customHeight="1" x14ac:dyDescent="0.2">
      <c r="A1648" s="1916">
        <v>1648</v>
      </c>
      <c r="B1648" s="5148"/>
      <c r="C1648" s="1999"/>
      <c r="H1648" s="363"/>
      <c r="M1648" s="1847"/>
      <c r="N1648" s="96"/>
      <c r="O1648" s="411" t="s">
        <v>9738</v>
      </c>
      <c r="P1648" s="2578">
        <v>10</v>
      </c>
      <c r="Q1648" s="503">
        <v>30</v>
      </c>
      <c r="R1648" s="2585">
        <f>COUNTIF(PoderesDeCriatura_Adquiridos,Tablas!O1648)</f>
        <v>0</v>
      </c>
      <c r="S1648" s="370"/>
      <c r="T1648" s="2576"/>
      <c r="AB1648" s="363"/>
      <c r="AC1648" s="2563"/>
    </row>
    <row r="1649" spans="1:29" ht="12.75" customHeight="1" x14ac:dyDescent="0.2">
      <c r="A1649" s="1916">
        <v>1649</v>
      </c>
      <c r="B1649" s="5148"/>
      <c r="C1649" s="1999"/>
      <c r="H1649" s="363"/>
      <c r="M1649" s="1847"/>
      <c r="N1649" s="96"/>
      <c r="O1649" s="411" t="s">
        <v>9739</v>
      </c>
      <c r="P1649" s="2578">
        <v>15</v>
      </c>
      <c r="Q1649" s="503">
        <v>40</v>
      </c>
      <c r="R1649" s="2585">
        <f>COUNTIF(PoderesDeCriatura_Adquiridos,Tablas!O1649)</f>
        <v>0</v>
      </c>
      <c r="S1649" s="370"/>
      <c r="T1649" s="2576"/>
      <c r="AB1649" s="363"/>
      <c r="AC1649" s="2563"/>
    </row>
    <row r="1650" spans="1:29" ht="12.75" customHeight="1" x14ac:dyDescent="0.2">
      <c r="A1650" s="1916">
        <v>1650</v>
      </c>
      <c r="B1650" s="5148"/>
      <c r="C1650" s="1999"/>
      <c r="H1650" s="363"/>
      <c r="M1650" s="1847"/>
      <c r="N1650" s="96"/>
      <c r="O1650" s="411" t="s">
        <v>9740</v>
      </c>
      <c r="P1650" s="2578">
        <v>25</v>
      </c>
      <c r="Q1650" s="503">
        <v>50</v>
      </c>
      <c r="R1650" s="2585">
        <f>COUNTIF(PoderesDeCriatura_Adquiridos,Tablas!O1650)</f>
        <v>0</v>
      </c>
      <c r="S1650" s="370"/>
      <c r="T1650" s="2576"/>
      <c r="AB1650" s="363"/>
      <c r="AC1650" s="2563"/>
    </row>
    <row r="1651" spans="1:29" ht="12.75" customHeight="1" x14ac:dyDescent="0.2">
      <c r="A1651" s="1916">
        <v>1651</v>
      </c>
      <c r="B1651" s="5148"/>
      <c r="C1651" s="1999"/>
      <c r="H1651" s="363"/>
      <c r="M1651" s="1847"/>
      <c r="N1651" s="96"/>
      <c r="O1651" s="2" t="s">
        <v>18</v>
      </c>
      <c r="P1651" s="2578"/>
      <c r="Q1651" s="503"/>
      <c r="R1651" s="2585"/>
      <c r="S1651" s="370"/>
      <c r="T1651" s="2576"/>
      <c r="AB1651" s="363"/>
      <c r="AC1651" s="2563"/>
    </row>
    <row r="1652" spans="1:29" ht="12.75" customHeight="1" x14ac:dyDescent="0.2">
      <c r="A1652" s="1916">
        <v>1652</v>
      </c>
      <c r="B1652" s="5148"/>
      <c r="C1652" s="1999"/>
      <c r="H1652" s="363"/>
      <c r="M1652" s="1847"/>
      <c r="N1652" s="96"/>
      <c r="O1652" s="411" t="s">
        <v>9741</v>
      </c>
      <c r="P1652" s="2578">
        <v>5</v>
      </c>
      <c r="Q1652" s="503">
        <v>20</v>
      </c>
      <c r="R1652" s="2585">
        <f>COUNTIF(PoderesDeCriatura_Adquiridos,Tablas!O1652)</f>
        <v>0</v>
      </c>
      <c r="S1652" s="370"/>
      <c r="T1652" s="2576"/>
      <c r="AB1652" s="363"/>
      <c r="AC1652" s="2563"/>
    </row>
    <row r="1653" spans="1:29" ht="12.75" customHeight="1" x14ac:dyDescent="0.2">
      <c r="A1653" s="1916">
        <v>1653</v>
      </c>
      <c r="B1653" s="5148"/>
      <c r="C1653" s="1999"/>
      <c r="H1653" s="363"/>
      <c r="M1653" s="1847"/>
      <c r="N1653" s="96"/>
      <c r="O1653" s="411" t="s">
        <v>9742</v>
      </c>
      <c r="P1653" s="2578">
        <v>20</v>
      </c>
      <c r="Q1653" s="503">
        <v>30</v>
      </c>
      <c r="R1653" s="2585">
        <f>COUNTIF(PoderesDeCriatura_Adquiridos,Tablas!O1653)</f>
        <v>0</v>
      </c>
      <c r="S1653" s="370"/>
      <c r="T1653" s="2576"/>
      <c r="AB1653" s="363"/>
      <c r="AC1653" s="2563"/>
    </row>
    <row r="1654" spans="1:29" ht="12.75" customHeight="1" x14ac:dyDescent="0.2">
      <c r="A1654" s="1916">
        <v>1654</v>
      </c>
      <c r="B1654" s="5148"/>
      <c r="C1654" s="1999"/>
      <c r="H1654" s="363"/>
      <c r="M1654" s="1847"/>
      <c r="N1654" s="96"/>
      <c r="O1654" s="411" t="s">
        <v>9743</v>
      </c>
      <c r="P1654" s="2578">
        <v>15</v>
      </c>
      <c r="Q1654" s="503">
        <v>10</v>
      </c>
      <c r="R1654" s="2585">
        <f>COUNTIF(PoderesDeCriatura_Adquiridos,Tablas!O1654)</f>
        <v>0</v>
      </c>
      <c r="S1654" s="370"/>
      <c r="T1654" s="2576"/>
      <c r="AB1654" s="363"/>
      <c r="AC1654" s="2563"/>
    </row>
    <row r="1655" spans="1:29" ht="12.75" customHeight="1" x14ac:dyDescent="0.2">
      <c r="A1655" s="1916">
        <v>1655</v>
      </c>
      <c r="B1655" s="5148"/>
      <c r="C1655" s="1999"/>
      <c r="H1655" s="363"/>
      <c r="M1655" s="1847"/>
      <c r="N1655" s="96"/>
      <c r="O1655" s="2" t="s">
        <v>22</v>
      </c>
      <c r="P1655" s="2578">
        <v>0</v>
      </c>
      <c r="Q1655" s="503">
        <v>20</v>
      </c>
      <c r="R1655" s="2585">
        <f>COUNTIF(PoderesDeCriatura_Adquiridos,Tablas!O1655)</f>
        <v>0</v>
      </c>
      <c r="S1655" s="370"/>
      <c r="T1655" s="2576"/>
      <c r="AB1655" s="363"/>
      <c r="AC1655" s="2563"/>
    </row>
    <row r="1656" spans="1:29" ht="12.75" customHeight="1" x14ac:dyDescent="0.2">
      <c r="A1656" s="1916">
        <v>1656</v>
      </c>
      <c r="B1656" s="5148"/>
      <c r="C1656" s="1999"/>
      <c r="H1656" s="363"/>
      <c r="M1656" s="1847"/>
      <c r="N1656" s="96"/>
      <c r="O1656" s="411" t="s">
        <v>9744</v>
      </c>
      <c r="P1656" s="2578">
        <v>15</v>
      </c>
      <c r="Q1656" s="503">
        <v>30</v>
      </c>
      <c r="R1656" s="2585">
        <f>COUNTIF(PoderesDeCriatura_Adquiridos,Tablas!O1656)</f>
        <v>0</v>
      </c>
      <c r="S1656" s="370"/>
      <c r="T1656" s="2576"/>
      <c r="AB1656" s="363"/>
      <c r="AC1656" s="2563"/>
    </row>
    <row r="1657" spans="1:29" ht="12.75" customHeight="1" x14ac:dyDescent="0.2">
      <c r="A1657" s="1916">
        <v>1657</v>
      </c>
      <c r="B1657" s="5148"/>
      <c r="C1657" s="1999"/>
      <c r="H1657" s="363"/>
      <c r="M1657" s="1847"/>
      <c r="N1657" s="96"/>
      <c r="O1657" s="411" t="s">
        <v>9745</v>
      </c>
      <c r="P1657" s="2578">
        <v>30</v>
      </c>
      <c r="Q1657" s="503">
        <v>60</v>
      </c>
      <c r="R1657" s="2585">
        <f>COUNTIF(PoderesDeCriatura_Adquiridos,Tablas!O1657)</f>
        <v>0</v>
      </c>
      <c r="S1657" s="370"/>
      <c r="T1657" s="2576"/>
      <c r="AB1657" s="363"/>
      <c r="AC1657" s="2563"/>
    </row>
    <row r="1658" spans="1:29" ht="12.75" customHeight="1" x14ac:dyDescent="0.2">
      <c r="A1658" s="1916">
        <v>1658</v>
      </c>
      <c r="B1658" s="5148"/>
      <c r="C1658" s="1999"/>
      <c r="H1658" s="363"/>
      <c r="M1658" s="1847"/>
      <c r="N1658" s="96"/>
      <c r="O1658" s="411" t="s">
        <v>9759</v>
      </c>
      <c r="P1658" s="2578">
        <v>20</v>
      </c>
      <c r="Q1658" s="503">
        <v>40</v>
      </c>
      <c r="R1658" s="2585">
        <f>COUNTIF(PoderesDeCriatura_Adquiridos,Tablas!O1658)</f>
        <v>0</v>
      </c>
      <c r="S1658" s="370"/>
      <c r="T1658" s="2576"/>
      <c r="AB1658" s="363"/>
      <c r="AC1658" s="2563"/>
    </row>
    <row r="1659" spans="1:29" ht="12.75" customHeight="1" x14ac:dyDescent="0.2">
      <c r="A1659" s="1916">
        <v>1659</v>
      </c>
      <c r="B1659" s="5148"/>
      <c r="C1659" s="1999"/>
      <c r="H1659" s="363"/>
      <c r="M1659" s="1847"/>
      <c r="N1659" s="96"/>
      <c r="O1659" s="411" t="s">
        <v>9760</v>
      </c>
      <c r="P1659" s="2578">
        <v>25</v>
      </c>
      <c r="Q1659" s="503">
        <v>60</v>
      </c>
      <c r="R1659" s="2585">
        <f>COUNTIF(PoderesDeCriatura_Adquiridos,Tablas!O1659)</f>
        <v>0</v>
      </c>
      <c r="S1659" s="370"/>
      <c r="T1659" s="2576"/>
      <c r="AB1659" s="363"/>
      <c r="AC1659" s="2563"/>
    </row>
    <row r="1660" spans="1:29" ht="12.75" customHeight="1" x14ac:dyDescent="0.2">
      <c r="A1660" s="1916">
        <v>1660</v>
      </c>
      <c r="B1660" s="5148"/>
      <c r="C1660" s="1999"/>
      <c r="H1660" s="363"/>
      <c r="M1660" s="1847"/>
      <c r="N1660" s="96"/>
      <c r="O1660" s="411" t="s">
        <v>9761</v>
      </c>
      <c r="P1660" s="2578">
        <v>30</v>
      </c>
      <c r="Q1660" s="503">
        <v>50</v>
      </c>
      <c r="R1660" s="2585">
        <f>COUNTIF(PoderesDeCriatura_Adquiridos,Tablas!O1660)</f>
        <v>0</v>
      </c>
      <c r="S1660" s="370"/>
      <c r="T1660" s="2576"/>
      <c r="AB1660" s="363"/>
      <c r="AC1660" s="2563"/>
    </row>
    <row r="1661" spans="1:29" ht="12.75" customHeight="1" x14ac:dyDescent="0.2">
      <c r="A1661" s="1916">
        <v>1661</v>
      </c>
      <c r="B1661" s="5148"/>
      <c r="C1661" s="1999"/>
      <c r="H1661" s="363"/>
      <c r="M1661" s="1847"/>
      <c r="N1661" s="96"/>
      <c r="O1661" s="411" t="s">
        <v>9762</v>
      </c>
      <c r="P1661" s="2578">
        <v>20</v>
      </c>
      <c r="Q1661" s="503">
        <v>-20</v>
      </c>
      <c r="R1661" s="2585">
        <f>COUNTIF(PoderesDeCriatura_Adquiridos,Tablas!O1661)</f>
        <v>0</v>
      </c>
      <c r="S1661" s="370"/>
      <c r="T1661" s="2576"/>
      <c r="AB1661" s="363"/>
      <c r="AC1661" s="2563"/>
    </row>
    <row r="1662" spans="1:29" ht="12.75" customHeight="1" x14ac:dyDescent="0.2">
      <c r="A1662" s="1916">
        <v>1662</v>
      </c>
      <c r="B1662" s="5148"/>
      <c r="C1662" s="1999"/>
      <c r="H1662" s="363"/>
      <c r="M1662" s="1847"/>
      <c r="N1662" s="96"/>
      <c r="O1662" s="411" t="s">
        <v>9763</v>
      </c>
      <c r="P1662" s="2578">
        <v>20</v>
      </c>
      <c r="Q1662" s="503">
        <v>-20</v>
      </c>
      <c r="R1662" s="2585">
        <f>COUNTIF(PoderesDeCriatura_Adquiridos,Tablas!O1662)</f>
        <v>0</v>
      </c>
      <c r="S1662" s="370"/>
      <c r="T1662" s="2576"/>
      <c r="AB1662" s="363"/>
      <c r="AC1662" s="2563"/>
    </row>
    <row r="1663" spans="1:29" ht="12.75" customHeight="1" x14ac:dyDescent="0.2">
      <c r="A1663" s="1916">
        <v>1663</v>
      </c>
      <c r="B1663" s="5148"/>
      <c r="C1663" s="1999"/>
      <c r="H1663" s="363"/>
      <c r="M1663" s="1847"/>
      <c r="N1663" s="96"/>
      <c r="O1663" s="2" t="s">
        <v>23</v>
      </c>
      <c r="P1663" s="2578"/>
      <c r="Q1663" s="503"/>
      <c r="R1663" s="2585"/>
      <c r="S1663" s="370"/>
      <c r="T1663" s="2576"/>
      <c r="AB1663" s="363"/>
      <c r="AC1663" s="2563"/>
    </row>
    <row r="1664" spans="1:29" ht="12.75" customHeight="1" x14ac:dyDescent="0.2">
      <c r="A1664" s="1916">
        <v>1664</v>
      </c>
      <c r="B1664" s="5148"/>
      <c r="C1664" s="1999"/>
      <c r="H1664" s="363"/>
      <c r="M1664" s="1847"/>
      <c r="N1664" s="96"/>
      <c r="O1664" s="411" t="s">
        <v>9746</v>
      </c>
      <c r="P1664" s="2578">
        <v>10</v>
      </c>
      <c r="Q1664" s="503">
        <v>20</v>
      </c>
      <c r="R1664" s="2585">
        <f>COUNTIF(PoderesDeCriatura_Adquiridos,Tablas!O1664)</f>
        <v>0</v>
      </c>
      <c r="S1664" s="370"/>
      <c r="T1664" s="2576"/>
      <c r="AB1664" s="363"/>
      <c r="AC1664" s="2563"/>
    </row>
    <row r="1665" spans="1:29" ht="12.75" customHeight="1" x14ac:dyDescent="0.2">
      <c r="A1665" s="1916">
        <v>1665</v>
      </c>
      <c r="B1665" s="5148"/>
      <c r="C1665" s="1999"/>
      <c r="H1665" s="363"/>
      <c r="M1665" s="1847"/>
      <c r="N1665" s="96"/>
      <c r="O1665" s="411" t="s">
        <v>9747</v>
      </c>
      <c r="P1665" s="2578">
        <v>20</v>
      </c>
      <c r="Q1665" s="503">
        <v>30</v>
      </c>
      <c r="R1665" s="2585">
        <f>COUNTIF(PoderesDeCriatura_Adquiridos,Tablas!O1665)</f>
        <v>0</v>
      </c>
      <c r="S1665" s="370"/>
      <c r="T1665" s="2576"/>
      <c r="AB1665" s="363"/>
      <c r="AC1665" s="2563"/>
    </row>
    <row r="1666" spans="1:29" ht="12.75" customHeight="1" x14ac:dyDescent="0.2">
      <c r="A1666" s="1916">
        <v>1666</v>
      </c>
      <c r="B1666" s="5148"/>
      <c r="C1666" s="1999"/>
      <c r="H1666" s="363"/>
      <c r="M1666" s="1847"/>
      <c r="N1666" s="96"/>
      <c r="O1666" s="411" t="s">
        <v>9748</v>
      </c>
      <c r="P1666" s="2578">
        <v>25</v>
      </c>
      <c r="Q1666" s="503">
        <v>40</v>
      </c>
      <c r="R1666" s="2585">
        <f>COUNTIF(PoderesDeCriatura_Adquiridos,Tablas!O1666)</f>
        <v>0</v>
      </c>
      <c r="S1666" s="370"/>
      <c r="T1666" s="2576"/>
      <c r="AB1666" s="363"/>
      <c r="AC1666" s="2563"/>
    </row>
    <row r="1667" spans="1:29" ht="12.75" customHeight="1" x14ac:dyDescent="0.2">
      <c r="A1667" s="1916">
        <v>1667</v>
      </c>
      <c r="B1667" s="5148"/>
      <c r="C1667" s="1999"/>
      <c r="H1667" s="363"/>
      <c r="M1667" s="1847"/>
      <c r="N1667" s="96"/>
      <c r="O1667" s="411" t="s">
        <v>9749</v>
      </c>
      <c r="P1667" s="2578">
        <v>30</v>
      </c>
      <c r="Q1667" s="503">
        <v>60</v>
      </c>
      <c r="R1667" s="2585">
        <f>COUNTIF(PoderesDeCriatura_Adquiridos,Tablas!O1667)</f>
        <v>0</v>
      </c>
      <c r="S1667" s="370"/>
      <c r="T1667" s="2576"/>
      <c r="AB1667" s="363"/>
      <c r="AC1667" s="2563"/>
    </row>
    <row r="1668" spans="1:29" ht="12.75" customHeight="1" x14ac:dyDescent="0.2">
      <c r="A1668" s="1916">
        <v>1668</v>
      </c>
      <c r="B1668" s="5148"/>
      <c r="C1668" s="1999"/>
      <c r="H1668" s="363"/>
      <c r="M1668" s="1847"/>
      <c r="N1668" s="96"/>
      <c r="O1668" s="411" t="s">
        <v>9750</v>
      </c>
      <c r="P1668" s="2578">
        <v>35</v>
      </c>
      <c r="Q1668" s="503">
        <v>80</v>
      </c>
      <c r="R1668" s="2585">
        <f>COUNTIF(PoderesDeCriatura_Adquiridos,Tablas!O1668)</f>
        <v>0</v>
      </c>
      <c r="S1668" s="370"/>
      <c r="T1668" s="2576"/>
      <c r="AB1668" s="363"/>
      <c r="AC1668" s="2563"/>
    </row>
    <row r="1669" spans="1:29" ht="12.75" customHeight="1" x14ac:dyDescent="0.2">
      <c r="A1669" s="1916">
        <v>1669</v>
      </c>
      <c r="B1669" s="5148"/>
      <c r="C1669" s="1999"/>
      <c r="H1669" s="363"/>
      <c r="M1669" s="1847"/>
      <c r="N1669" s="96"/>
      <c r="O1669" s="411" t="s">
        <v>9751</v>
      </c>
      <c r="P1669" s="2578">
        <v>10</v>
      </c>
      <c r="Q1669" s="503">
        <v>-20</v>
      </c>
      <c r="R1669" s="2585">
        <f>COUNTIF(PoderesDeCriatura_Adquiridos,Tablas!O1669)</f>
        <v>0</v>
      </c>
      <c r="S1669" s="370"/>
      <c r="T1669" s="2576"/>
      <c r="AB1669" s="363"/>
      <c r="AC1669" s="2563"/>
    </row>
    <row r="1670" spans="1:29" ht="12.75" customHeight="1" x14ac:dyDescent="0.2">
      <c r="A1670" s="1916">
        <v>1670</v>
      </c>
      <c r="B1670" s="5148"/>
      <c r="C1670" s="1999"/>
      <c r="H1670" s="363"/>
      <c r="M1670" s="1847"/>
      <c r="N1670" s="96"/>
      <c r="O1670" s="411" t="s">
        <v>9752</v>
      </c>
      <c r="P1670" s="2578">
        <v>30</v>
      </c>
      <c r="Q1670" s="503">
        <v>100</v>
      </c>
      <c r="R1670" s="2585">
        <f>COUNTIF(PoderesDeCriatura_Adquiridos,Tablas!O1670)</f>
        <v>0</v>
      </c>
      <c r="S1670" s="370"/>
      <c r="T1670" s="2576"/>
      <c r="AB1670" s="363"/>
      <c r="AC1670" s="2563"/>
    </row>
    <row r="1671" spans="1:29" ht="12.75" customHeight="1" x14ac:dyDescent="0.2">
      <c r="A1671" s="1916">
        <v>1671</v>
      </c>
      <c r="B1671" s="5148"/>
      <c r="C1671" s="1999"/>
      <c r="H1671" s="363"/>
      <c r="M1671" s="1847"/>
      <c r="N1671" s="96"/>
      <c r="O1671" s="411" t="s">
        <v>9753</v>
      </c>
      <c r="P1671" s="2578">
        <v>35</v>
      </c>
      <c r="Q1671" s="503">
        <v>150</v>
      </c>
      <c r="R1671" s="2585">
        <f>COUNTIF(PoderesDeCriatura_Adquiridos,Tablas!O1671)</f>
        <v>0</v>
      </c>
      <c r="S1671" s="370"/>
      <c r="T1671" s="2576"/>
      <c r="AB1671" s="363"/>
      <c r="AC1671" s="2563"/>
    </row>
    <row r="1672" spans="1:29" ht="12.75" customHeight="1" x14ac:dyDescent="0.2">
      <c r="A1672" s="1916">
        <v>1672</v>
      </c>
      <c r="B1672" s="5148"/>
      <c r="C1672" s="1999"/>
      <c r="H1672" s="363"/>
      <c r="M1672" s="1847"/>
      <c r="N1672" s="96"/>
      <c r="O1672" s="2" t="s">
        <v>24</v>
      </c>
      <c r="P1672" s="2578">
        <v>30</v>
      </c>
      <c r="Q1672" s="503">
        <v>150</v>
      </c>
      <c r="R1672" s="2585">
        <f>COUNTIF(PoderesDeCriatura_Adquiridos,Tablas!O1672)</f>
        <v>0</v>
      </c>
      <c r="S1672" s="370"/>
      <c r="T1672" s="2576"/>
      <c r="AB1672" s="363"/>
      <c r="AC1672" s="2563"/>
    </row>
    <row r="1673" spans="1:29" ht="12.75" customHeight="1" x14ac:dyDescent="0.2">
      <c r="A1673" s="1916">
        <v>1673</v>
      </c>
      <c r="B1673" s="5148"/>
      <c r="C1673" s="1999"/>
      <c r="H1673" s="363"/>
      <c r="M1673" s="1847"/>
      <c r="N1673" s="96"/>
      <c r="O1673" s="411" t="s">
        <v>25</v>
      </c>
      <c r="P1673" s="2578"/>
      <c r="Q1673" s="503"/>
      <c r="R1673" s="2585"/>
      <c r="S1673" s="370"/>
      <c r="T1673" s="2576"/>
      <c r="AB1673" s="363"/>
      <c r="AC1673" s="2563"/>
    </row>
    <row r="1674" spans="1:29" ht="12.75" customHeight="1" x14ac:dyDescent="0.2">
      <c r="A1674" s="1916">
        <v>1674</v>
      </c>
      <c r="B1674" s="5148"/>
      <c r="C1674" s="1999"/>
      <c r="H1674" s="363"/>
      <c r="M1674" s="1847"/>
      <c r="N1674" s="96"/>
      <c r="O1674" s="2" t="s">
        <v>26</v>
      </c>
      <c r="P1674" s="2578">
        <v>35</v>
      </c>
      <c r="Q1674" s="503">
        <v>40</v>
      </c>
      <c r="R1674" s="2585">
        <f>COUNTIF(PoderesDeCriatura_Adquiridos,Tablas!O1674)</f>
        <v>0</v>
      </c>
      <c r="S1674" s="370"/>
      <c r="T1674" s="2576"/>
      <c r="AB1674" s="363"/>
      <c r="AC1674" s="2563"/>
    </row>
    <row r="1675" spans="1:29" ht="12.75" customHeight="1" x14ac:dyDescent="0.2">
      <c r="A1675" s="1916">
        <v>1675</v>
      </c>
      <c r="B1675" s="5148"/>
      <c r="C1675" s="1999"/>
      <c r="H1675" s="363"/>
      <c r="M1675" s="1847"/>
      <c r="N1675" s="96"/>
      <c r="O1675" s="411" t="s">
        <v>9754</v>
      </c>
      <c r="P1675" s="2578">
        <v>35</v>
      </c>
      <c r="Q1675" s="503">
        <v>40</v>
      </c>
      <c r="R1675" s="2585">
        <f>COUNTIF(PoderesDeCriatura_Adquiridos,Tablas!O1675)</f>
        <v>0</v>
      </c>
      <c r="S1675" s="370"/>
      <c r="T1675" s="2576"/>
      <c r="Y1675" s="1999"/>
      <c r="AB1675" s="363"/>
      <c r="AC1675" s="2563"/>
    </row>
    <row r="1676" spans="1:29" ht="12.75" customHeight="1" x14ac:dyDescent="0.2">
      <c r="A1676" s="1916">
        <v>1676</v>
      </c>
      <c r="B1676" s="5148"/>
      <c r="C1676" s="1999"/>
      <c r="H1676" s="363"/>
      <c r="M1676" s="1847"/>
      <c r="N1676" s="96"/>
      <c r="O1676" s="411" t="s">
        <v>9755</v>
      </c>
      <c r="P1676" s="2578">
        <v>40</v>
      </c>
      <c r="Q1676" s="503">
        <v>60</v>
      </c>
      <c r="R1676" s="2585">
        <f>COUNTIF(PoderesDeCriatura_Adquiridos,Tablas!O1676)</f>
        <v>0</v>
      </c>
      <c r="S1676" s="370">
        <f>IF(R1675,15,IF(R1676,20,0))</f>
        <v>0</v>
      </c>
      <c r="T1676" s="2576" t="s">
        <v>2298</v>
      </c>
      <c r="Y1676" s="1999"/>
      <c r="AB1676" s="363"/>
      <c r="AC1676" s="2563"/>
    </row>
    <row r="1677" spans="1:29" ht="12.75" customHeight="1" x14ac:dyDescent="0.2">
      <c r="A1677" s="1916">
        <v>1677</v>
      </c>
      <c r="B1677" s="5148"/>
      <c r="C1677" s="1999"/>
      <c r="H1677" s="363"/>
      <c r="M1677" s="1847"/>
      <c r="N1677" s="96"/>
      <c r="O1677" s="411" t="s">
        <v>9756</v>
      </c>
      <c r="P1677" s="2578">
        <v>35</v>
      </c>
      <c r="Q1677" s="503">
        <v>40</v>
      </c>
      <c r="R1677" s="2585">
        <f>COUNTIF(PoderesDeCriatura_Adquiridos,Tablas!O1677)</f>
        <v>0</v>
      </c>
      <c r="S1677" s="370"/>
      <c r="T1677" s="2576"/>
      <c r="Y1677" s="1999"/>
      <c r="AB1677" s="363"/>
      <c r="AC1677" s="2563"/>
    </row>
    <row r="1678" spans="1:29" ht="12.75" customHeight="1" x14ac:dyDescent="0.2">
      <c r="A1678" s="1916">
        <v>1678</v>
      </c>
      <c r="B1678" s="5148"/>
      <c r="C1678" s="1999"/>
      <c r="H1678" s="363"/>
      <c r="M1678" s="1847"/>
      <c r="N1678" s="96"/>
      <c r="O1678" s="411" t="s">
        <v>9757</v>
      </c>
      <c r="P1678" s="2578">
        <v>35</v>
      </c>
      <c r="Q1678" s="503">
        <v>40</v>
      </c>
      <c r="R1678" s="2585">
        <f>COUNTIF(PoderesDeCriatura_Adquiridos,Tablas!O1678)</f>
        <v>0</v>
      </c>
      <c r="S1678" s="370"/>
      <c r="T1678" s="2576"/>
      <c r="Y1678" s="1999"/>
      <c r="AB1678" s="363"/>
      <c r="AC1678" s="2563"/>
    </row>
    <row r="1679" spans="1:29" ht="12.75" customHeight="1" x14ac:dyDescent="0.2">
      <c r="A1679" s="1916">
        <v>1679</v>
      </c>
      <c r="B1679" s="5148"/>
      <c r="C1679" s="2409"/>
      <c r="H1679" s="363"/>
      <c r="M1679" s="1847"/>
      <c r="N1679" s="96"/>
      <c r="O1679" s="411" t="s">
        <v>9758</v>
      </c>
      <c r="P1679" s="2578">
        <v>40</v>
      </c>
      <c r="Q1679" s="503">
        <v>20</v>
      </c>
      <c r="R1679" s="2585">
        <f>COUNTIF(PoderesDeCriatura_Adquiridos,Tablas!O1679)</f>
        <v>0</v>
      </c>
      <c r="S1679" s="370"/>
      <c r="T1679" s="2576"/>
      <c r="Y1679" s="1999"/>
      <c r="AB1679" s="363"/>
      <c r="AC1679" s="2563"/>
    </row>
    <row r="1680" spans="1:29" ht="12.75" customHeight="1" x14ac:dyDescent="0.2">
      <c r="A1680" s="1916">
        <v>1680</v>
      </c>
      <c r="B1680" s="5148"/>
      <c r="C1680" s="2409"/>
      <c r="H1680" s="363"/>
      <c r="M1680" s="1847"/>
      <c r="N1680" s="96"/>
      <c r="O1680" s="2" t="s">
        <v>27</v>
      </c>
      <c r="P1680" s="2578">
        <v>35</v>
      </c>
      <c r="Q1680" s="503">
        <v>50</v>
      </c>
      <c r="R1680" s="2585">
        <f>COUNTIF(PoderesDeCriatura_Adquiridos,Tablas!O1680)</f>
        <v>0</v>
      </c>
      <c r="S1680" s="370"/>
      <c r="T1680" s="2576"/>
      <c r="Y1680" s="1999"/>
      <c r="AB1680" s="363"/>
      <c r="AC1680" s="2563"/>
    </row>
    <row r="1681" spans="1:29" ht="12.75" customHeight="1" x14ac:dyDescent="0.2">
      <c r="A1681" s="1916">
        <v>1681</v>
      </c>
      <c r="B1681" s="5148"/>
      <c r="C1681" s="2409"/>
      <c r="H1681" s="363"/>
      <c r="M1681" s="1847"/>
      <c r="N1681" s="96"/>
      <c r="O1681" s="2" t="s">
        <v>28</v>
      </c>
      <c r="P1681" s="2578">
        <v>30</v>
      </c>
      <c r="Q1681" s="503">
        <v>40</v>
      </c>
      <c r="R1681" s="2585">
        <f>COUNTIF(PoderesDeCriatura_Adquiridos,Tablas!O1681)</f>
        <v>0</v>
      </c>
      <c r="S1681" s="370"/>
      <c r="T1681" s="2576"/>
      <c r="Y1681" s="1999"/>
      <c r="AB1681" s="363"/>
      <c r="AC1681" s="2563"/>
    </row>
    <row r="1682" spans="1:29" ht="12.75" customHeight="1" x14ac:dyDescent="0.2">
      <c r="A1682" s="1916">
        <v>1682</v>
      </c>
      <c r="B1682" s="5148"/>
      <c r="C1682" s="2409"/>
      <c r="H1682" s="363"/>
      <c r="M1682" s="1847"/>
      <c r="N1682" s="96"/>
      <c r="O1682" s="2" t="s">
        <v>29</v>
      </c>
      <c r="P1682" s="2578"/>
      <c r="Q1682" s="503"/>
      <c r="R1682" s="2585"/>
      <c r="S1682" s="370"/>
      <c r="T1682" s="2576"/>
      <c r="Y1682" s="1999"/>
      <c r="AB1682" s="363"/>
      <c r="AC1682" s="2563"/>
    </row>
    <row r="1683" spans="1:29" ht="12.75" customHeight="1" x14ac:dyDescent="0.2">
      <c r="A1683" s="1916">
        <v>1683</v>
      </c>
      <c r="B1683" s="5148"/>
      <c r="H1683" s="363"/>
      <c r="M1683" s="1847"/>
      <c r="N1683" s="96"/>
      <c r="O1683" s="2" t="str">
        <f>IF(Personalización!I17=0,"Poder #1",Personalización!I17)</f>
        <v>Poder #1</v>
      </c>
      <c r="P1683" s="2578">
        <f>Personalización!P17</f>
        <v>0</v>
      </c>
      <c r="Q1683" s="503">
        <f>Personalización!Q17</f>
        <v>0</v>
      </c>
      <c r="R1683" s="2585">
        <f>COUNTIF(PoderesDeCriatura_Adquiridos,Tablas!O1683)</f>
        <v>0</v>
      </c>
      <c r="S1683" s="370"/>
      <c r="T1683" s="2576"/>
      <c r="Y1683" s="1999"/>
      <c r="AB1683" s="363"/>
      <c r="AC1683" s="2563"/>
    </row>
    <row r="1684" spans="1:29" ht="12.75" customHeight="1" x14ac:dyDescent="0.2">
      <c r="A1684" s="1916">
        <v>1684</v>
      </c>
      <c r="B1684" s="5148"/>
      <c r="H1684" s="363"/>
      <c r="M1684" s="1847"/>
      <c r="N1684" s="96"/>
      <c r="O1684" s="2" t="str">
        <f>IF(Personalización!I18=0,"Poder #2",Personalización!I18)</f>
        <v>Poder #2</v>
      </c>
      <c r="P1684" s="2578">
        <f>Personalización!P18</f>
        <v>0</v>
      </c>
      <c r="Q1684" s="503">
        <f>Personalización!Q18</f>
        <v>0</v>
      </c>
      <c r="R1684" s="2585">
        <f>COUNTIF(PoderesDeCriatura_Adquiridos,Tablas!O1684)</f>
        <v>0</v>
      </c>
      <c r="S1684" s="370"/>
      <c r="T1684" s="2576"/>
      <c r="Y1684" s="1999"/>
      <c r="AB1684" s="363"/>
      <c r="AC1684" s="2563"/>
    </row>
    <row r="1685" spans="1:29" ht="12.75" customHeight="1" x14ac:dyDescent="0.2">
      <c r="A1685" s="1916">
        <v>1685</v>
      </c>
      <c r="B1685" s="5148"/>
      <c r="H1685" s="363"/>
      <c r="M1685" s="1847"/>
      <c r="N1685" s="96"/>
      <c r="O1685" s="2" t="str">
        <f>IF(Personalización!I19=0,"Poder #3",Personalización!I19)</f>
        <v>Poder #3</v>
      </c>
      <c r="P1685" s="2578">
        <f>Personalización!P19</f>
        <v>0</v>
      </c>
      <c r="Q1685" s="503">
        <f>Personalización!Q19</f>
        <v>0</v>
      </c>
      <c r="R1685" s="2585">
        <f>COUNTIF(PoderesDeCriatura_Adquiridos,Tablas!O1685)</f>
        <v>0</v>
      </c>
      <c r="S1685" s="370"/>
      <c r="T1685" s="2576"/>
      <c r="Y1685" s="1999"/>
      <c r="AB1685" s="363"/>
      <c r="AC1685" s="2563"/>
    </row>
    <row r="1686" spans="1:29" ht="12.75" customHeight="1" x14ac:dyDescent="0.2">
      <c r="A1686" s="1916">
        <v>1686</v>
      </c>
      <c r="B1686" s="5148"/>
      <c r="H1686" s="363"/>
      <c r="M1686" s="1847"/>
      <c r="N1686" s="96"/>
      <c r="O1686" s="2" t="str">
        <f>IF(Personalización!I20=0,"Poder #4",Personalización!I20)</f>
        <v>Poder #4</v>
      </c>
      <c r="P1686" s="2578">
        <f>Personalización!P20</f>
        <v>0</v>
      </c>
      <c r="Q1686" s="503">
        <f>Personalización!Q20</f>
        <v>0</v>
      </c>
      <c r="R1686" s="2585">
        <f>COUNTIF(PoderesDeCriatura_Adquiridos,Tablas!O1686)</f>
        <v>0</v>
      </c>
      <c r="S1686" s="370"/>
      <c r="T1686" s="2576"/>
      <c r="Y1686" s="1999"/>
      <c r="AB1686" s="363"/>
      <c r="AC1686" s="2563"/>
    </row>
    <row r="1687" spans="1:29" ht="12.75" customHeight="1" x14ac:dyDescent="0.2">
      <c r="A1687" s="1916">
        <v>1687</v>
      </c>
      <c r="B1687" s="5148"/>
      <c r="H1687" s="363"/>
      <c r="M1687" s="1847"/>
      <c r="N1687" s="96"/>
      <c r="O1687" s="2" t="str">
        <f>IF(Personalización!I21=0,"Poder #5",Personalización!I21)</f>
        <v>Poder #5</v>
      </c>
      <c r="P1687" s="2578">
        <f>Personalización!P21</f>
        <v>0</v>
      </c>
      <c r="Q1687" s="503">
        <f>Personalización!Q21</f>
        <v>0</v>
      </c>
      <c r="R1687" s="2585">
        <f>COUNTIF(PoderesDeCriatura_Adquiridos,Tablas!O1687)</f>
        <v>0</v>
      </c>
      <c r="S1687" s="370"/>
      <c r="T1687" s="2576"/>
      <c r="Y1687" s="1999"/>
      <c r="AB1687" s="363"/>
      <c r="AC1687" s="2563"/>
    </row>
    <row r="1688" spans="1:29" ht="12.75" customHeight="1" x14ac:dyDescent="0.2">
      <c r="A1688" s="1916">
        <v>1688</v>
      </c>
      <c r="B1688" s="5148"/>
      <c r="H1688" s="363"/>
      <c r="M1688" s="1847"/>
      <c r="N1688" s="96"/>
      <c r="O1688" s="2" t="str">
        <f>IF(Personalización!I22=0,"Poder #6",Personalización!I22)</f>
        <v>Poder #6</v>
      </c>
      <c r="P1688" s="2578">
        <f>Personalización!P22</f>
        <v>0</v>
      </c>
      <c r="Q1688" s="503">
        <f>Personalización!Q22</f>
        <v>0</v>
      </c>
      <c r="R1688" s="2585">
        <f>COUNTIF(PoderesDeCriatura_Adquiridos,Tablas!O1688)</f>
        <v>0</v>
      </c>
      <c r="S1688" s="370"/>
      <c r="T1688" s="2576"/>
      <c r="Y1688" s="1999"/>
      <c r="AB1688" s="363"/>
      <c r="AC1688" s="2563"/>
    </row>
    <row r="1689" spans="1:29" ht="12.75" customHeight="1" x14ac:dyDescent="0.2">
      <c r="A1689" s="1916">
        <v>1689</v>
      </c>
      <c r="B1689" s="5148"/>
      <c r="H1689" s="363"/>
      <c r="M1689" s="1847"/>
      <c r="N1689" s="96"/>
      <c r="O1689" s="2" t="str">
        <f>IF(Personalización!I23=0,"Poder #7",Personalización!I23)</f>
        <v>Poder #7</v>
      </c>
      <c r="P1689" s="2578">
        <f>Personalización!P23</f>
        <v>0</v>
      </c>
      <c r="Q1689" s="503">
        <f>Personalización!Q23</f>
        <v>0</v>
      </c>
      <c r="R1689" s="2585">
        <f>COUNTIF(PoderesDeCriatura_Adquiridos,Tablas!O1689)</f>
        <v>0</v>
      </c>
      <c r="S1689" s="370"/>
      <c r="T1689" s="2576"/>
      <c r="Y1689" s="1999"/>
      <c r="AB1689" s="363"/>
      <c r="AC1689" s="2563"/>
    </row>
    <row r="1690" spans="1:29" ht="12.75" customHeight="1" x14ac:dyDescent="0.2">
      <c r="A1690" s="1916">
        <v>1690</v>
      </c>
      <c r="B1690" s="5148"/>
      <c r="H1690" s="363"/>
      <c r="M1690" s="1847"/>
      <c r="N1690" s="96"/>
      <c r="O1690" s="2" t="str">
        <f>IF(Personalización!I24=0,"Poder #8",Personalización!I24)</f>
        <v>Poder #8</v>
      </c>
      <c r="P1690" s="2578">
        <f>Personalización!P24</f>
        <v>0</v>
      </c>
      <c r="Q1690" s="503">
        <f>Personalización!Q24</f>
        <v>0</v>
      </c>
      <c r="R1690" s="2585">
        <f>COUNTIF(PoderesDeCriatura_Adquiridos,Tablas!O1690)</f>
        <v>0</v>
      </c>
      <c r="S1690" s="370"/>
      <c r="T1690" s="2576"/>
      <c r="Y1690" s="1999"/>
      <c r="AB1690" s="363"/>
      <c r="AC1690" s="2563"/>
    </row>
    <row r="1691" spans="1:29" ht="12.75" customHeight="1" x14ac:dyDescent="0.2">
      <c r="A1691" s="1916">
        <v>1691</v>
      </c>
      <c r="B1691" s="5148"/>
      <c r="H1691" s="363"/>
      <c r="M1691" s="1847"/>
      <c r="N1691" s="96"/>
      <c r="O1691" s="2" t="str">
        <f>IF(Personalización!I25=0,"Poder #9",Personalización!I25)</f>
        <v>Poder #9</v>
      </c>
      <c r="P1691" s="2578">
        <f>Personalización!P25</f>
        <v>0</v>
      </c>
      <c r="Q1691" s="503">
        <f>Personalización!Q25</f>
        <v>0</v>
      </c>
      <c r="R1691" s="2585">
        <f>COUNTIF(PoderesDeCriatura_Adquiridos,Tablas!O1691)</f>
        <v>0</v>
      </c>
      <c r="S1691" s="370"/>
      <c r="T1691" s="2576"/>
      <c r="Y1691" s="1999"/>
      <c r="AB1691" s="363"/>
      <c r="AC1691" s="2563"/>
    </row>
    <row r="1692" spans="1:29" ht="12.75" customHeight="1" thickBot="1" x14ac:dyDescent="0.25">
      <c r="A1692" s="1916">
        <v>1692</v>
      </c>
      <c r="B1692" s="5148"/>
      <c r="H1692" s="363"/>
      <c r="M1692" s="1848"/>
      <c r="N1692" s="2127"/>
      <c r="O1692" s="2593" t="str">
        <f>IF(Personalización!I26=0,"Poder #10",Personalización!I26)</f>
        <v>Poder #10</v>
      </c>
      <c r="P1692" s="2579">
        <f>Personalización!P26</f>
        <v>0</v>
      </c>
      <c r="Q1692" s="2129">
        <f>Personalización!Q26</f>
        <v>0</v>
      </c>
      <c r="R1692" s="2586">
        <f>COUNTIF(PoderesDeCriatura_Adquiridos,Tablas!O1692)</f>
        <v>0</v>
      </c>
      <c r="S1692" s="2128"/>
      <c r="T1692" s="2577"/>
      <c r="Y1692" s="1999"/>
      <c r="AB1692" s="363"/>
      <c r="AC1692" s="2563"/>
    </row>
    <row r="1693" spans="1:29" ht="12.75" customHeight="1" x14ac:dyDescent="0.2">
      <c r="A1693" s="1916">
        <v>1693</v>
      </c>
      <c r="B1693" s="5148"/>
      <c r="H1693" s="363"/>
      <c r="I1693" s="1653"/>
      <c r="N1693" s="363"/>
      <c r="O1693" s="1999"/>
      <c r="AB1693" s="363"/>
      <c r="AC1693" s="2563"/>
    </row>
    <row r="1694" spans="1:29" ht="12.75" customHeight="1" x14ac:dyDescent="0.2">
      <c r="A1694" s="1916">
        <v>1694</v>
      </c>
      <c r="B1694" s="5148"/>
      <c r="C1694" s="5143" t="s">
        <v>8942</v>
      </c>
      <c r="D1694" s="5143"/>
      <c r="E1694" s="5143"/>
      <c r="F1694" s="5143"/>
      <c r="G1694" s="5143"/>
      <c r="H1694" s="5143"/>
      <c r="I1694" s="5143"/>
      <c r="J1694" s="5143"/>
      <c r="K1694" s="5143"/>
      <c r="L1694" s="5143"/>
      <c r="M1694" s="5143"/>
      <c r="N1694" s="5143"/>
      <c r="O1694" s="5143"/>
      <c r="P1694" s="5143"/>
      <c r="Q1694" s="5143"/>
      <c r="R1694" s="5143"/>
      <c r="S1694" s="5143"/>
      <c r="T1694" s="5143"/>
      <c r="U1694" s="5143"/>
      <c r="V1694" s="5143"/>
      <c r="W1694" s="5143"/>
      <c r="X1694" s="5143"/>
      <c r="Y1694" s="5143"/>
      <c r="AB1694" s="363"/>
      <c r="AC1694" s="2563"/>
    </row>
    <row r="1695" spans="1:29" ht="12.75" customHeight="1" x14ac:dyDescent="0.2">
      <c r="A1695" s="1916">
        <v>1695</v>
      </c>
      <c r="B1695" s="5148"/>
      <c r="C1695" s="5143"/>
      <c r="D1695" s="5143"/>
      <c r="E1695" s="5143"/>
      <c r="F1695" s="5143"/>
      <c r="G1695" s="5143"/>
      <c r="H1695" s="5143"/>
      <c r="I1695" s="5143"/>
      <c r="J1695" s="5143"/>
      <c r="K1695" s="5143"/>
      <c r="L1695" s="5143"/>
      <c r="M1695" s="5143"/>
      <c r="N1695" s="5143"/>
      <c r="O1695" s="5143"/>
      <c r="P1695" s="5143"/>
      <c r="Q1695" s="5143"/>
      <c r="R1695" s="5143"/>
      <c r="S1695" s="5143"/>
      <c r="T1695" s="5143"/>
      <c r="U1695" s="5143"/>
      <c r="V1695" s="5143"/>
      <c r="W1695" s="5143"/>
      <c r="X1695" s="5143"/>
      <c r="Y1695" s="5143"/>
      <c r="AB1695" s="363"/>
      <c r="AC1695" s="2563"/>
    </row>
    <row r="1696" spans="1:29" ht="12.75" customHeight="1" x14ac:dyDescent="0.2">
      <c r="A1696" s="1916">
        <v>1696</v>
      </c>
      <c r="B1696" s="5148"/>
      <c r="C1696" s="5143"/>
      <c r="D1696" s="5143"/>
      <c r="E1696" s="5143"/>
      <c r="F1696" s="5143"/>
      <c r="G1696" s="5143"/>
      <c r="H1696" s="5143"/>
      <c r="I1696" s="5143"/>
      <c r="J1696" s="5143"/>
      <c r="K1696" s="5143"/>
      <c r="L1696" s="5143"/>
      <c r="M1696" s="5143"/>
      <c r="N1696" s="5143"/>
      <c r="O1696" s="5143"/>
      <c r="P1696" s="5143"/>
      <c r="Q1696" s="5143"/>
      <c r="R1696" s="5143"/>
      <c r="S1696" s="5143"/>
      <c r="T1696" s="5143"/>
      <c r="U1696" s="5143"/>
      <c r="V1696" s="5143"/>
      <c r="W1696" s="5143"/>
      <c r="X1696" s="5143"/>
      <c r="Y1696" s="5143"/>
      <c r="AB1696" s="363"/>
      <c r="AC1696" s="2563"/>
    </row>
    <row r="1697" spans="1:29" ht="12.75" customHeight="1" thickBot="1" x14ac:dyDescent="0.25">
      <c r="A1697" s="1916">
        <v>1697</v>
      </c>
      <c r="B1697" s="5148"/>
      <c r="H1697" s="363"/>
      <c r="I1697" s="1653"/>
      <c r="N1697" s="363"/>
      <c r="O1697" s="1999"/>
      <c r="AB1697" s="363"/>
      <c r="AC1697" s="2563"/>
    </row>
    <row r="1698" spans="1:29" ht="12.75" customHeight="1" x14ac:dyDescent="0.2">
      <c r="A1698" s="1916">
        <v>1698</v>
      </c>
      <c r="B1698" s="5148"/>
      <c r="C1698" s="5173" t="s">
        <v>7883</v>
      </c>
      <c r="D1698" s="5185"/>
      <c r="E1698" s="5173" t="s">
        <v>2149</v>
      </c>
      <c r="F1698" s="5174"/>
      <c r="G1698" s="5174"/>
      <c r="H1698" s="5174"/>
      <c r="I1698" s="5174"/>
      <c r="J1698" s="5174"/>
      <c r="K1698" s="5174"/>
      <c r="L1698" s="5174"/>
      <c r="M1698" s="5174"/>
      <c r="N1698" s="5174"/>
      <c r="O1698" s="2488"/>
      <c r="P1698" s="2488"/>
      <c r="Q1698" s="2490"/>
      <c r="R1698" s="2489"/>
      <c r="T1698" s="5192" t="s">
        <v>8930</v>
      </c>
      <c r="U1698" s="5193"/>
      <c r="V1698" s="5193"/>
      <c r="W1698" s="5193"/>
      <c r="X1698" s="5193"/>
      <c r="Y1698" s="5194"/>
      <c r="AB1698" s="363"/>
      <c r="AC1698" s="2563"/>
    </row>
    <row r="1699" spans="1:29" ht="12.75" customHeight="1" x14ac:dyDescent="0.2">
      <c r="A1699" s="1916">
        <v>1699</v>
      </c>
      <c r="B1699" s="5148"/>
      <c r="C1699" s="5175"/>
      <c r="D1699" s="5186"/>
      <c r="E1699" s="5175"/>
      <c r="F1699" s="5176"/>
      <c r="G1699" s="5176"/>
      <c r="H1699" s="5176"/>
      <c r="I1699" s="5176"/>
      <c r="J1699" s="5176"/>
      <c r="K1699" s="5176"/>
      <c r="L1699" s="5176"/>
      <c r="M1699" s="5176"/>
      <c r="N1699" s="5176"/>
      <c r="O1699" s="5199" t="s">
        <v>8926</v>
      </c>
      <c r="P1699" s="5198">
        <f>COUNTIF(J1702:J1894,"&gt;0")</f>
        <v>0</v>
      </c>
      <c r="Q1699" s="2491"/>
      <c r="R1699" s="1732"/>
      <c r="T1699" s="5195"/>
      <c r="U1699" s="5196"/>
      <c r="V1699" s="5196"/>
      <c r="W1699" s="5196"/>
      <c r="X1699" s="5196"/>
      <c r="Y1699" s="5197"/>
      <c r="AB1699" s="363"/>
      <c r="AC1699" s="2563"/>
    </row>
    <row r="1700" spans="1:29" ht="12.75" customHeight="1" x14ac:dyDescent="0.2">
      <c r="A1700" s="1916">
        <v>1700</v>
      </c>
      <c r="B1700" s="5148"/>
      <c r="C1700" s="1761" t="s">
        <v>7884</v>
      </c>
      <c r="D1700" s="1726"/>
      <c r="E1700" s="2492"/>
      <c r="F1700" s="2487" t="s">
        <v>8927</v>
      </c>
      <c r="G1700" s="1730">
        <v>3</v>
      </c>
      <c r="H1700" s="1730">
        <v>4</v>
      </c>
      <c r="I1700" s="1730">
        <v>5</v>
      </c>
      <c r="J1700" s="1730">
        <v>6</v>
      </c>
      <c r="K1700" s="1730">
        <v>7</v>
      </c>
      <c r="L1700" s="1730">
        <v>8</v>
      </c>
      <c r="M1700" s="1730">
        <v>9</v>
      </c>
      <c r="N1700" s="1730">
        <v>10</v>
      </c>
      <c r="O1700" s="5199"/>
      <c r="P1700" s="5198"/>
      <c r="Q1700" s="2491">
        <v>13</v>
      </c>
      <c r="R1700" s="1732">
        <v>14</v>
      </c>
      <c r="T1700" s="5191" t="s">
        <v>8928</v>
      </c>
      <c r="U1700" s="5190"/>
      <c r="V1700" s="5190" t="s">
        <v>8929</v>
      </c>
      <c r="W1700" s="5190"/>
      <c r="X1700" s="5190" t="s">
        <v>1509</v>
      </c>
      <c r="Y1700" s="5200"/>
      <c r="AB1700" s="363"/>
      <c r="AC1700" s="2563"/>
    </row>
    <row r="1701" spans="1:29" ht="12.75" customHeight="1" x14ac:dyDescent="0.2">
      <c r="A1701" s="1916">
        <v>1701</v>
      </c>
      <c r="B1701" s="5148"/>
      <c r="C1701" s="1761" t="s">
        <v>7885</v>
      </c>
      <c r="D1701" s="1726"/>
      <c r="E1701" s="2493" t="s">
        <v>7884</v>
      </c>
      <c r="F1701" s="2485">
        <f>IF(Elan!$C$11=Tablas!$E1701,Elan!$G$11,IF(Elan!$U$11=Tablas!$E1701,Elan!$Y$11,0))</f>
        <v>0</v>
      </c>
      <c r="G1701" s="2486" t="s">
        <v>2149</v>
      </c>
      <c r="H1701" s="2486" t="s">
        <v>10012</v>
      </c>
      <c r="I1701" s="2486" t="s">
        <v>1801</v>
      </c>
      <c r="J1701" s="2486" t="s">
        <v>7897</v>
      </c>
      <c r="K1701" s="2486" t="s">
        <v>8676</v>
      </c>
      <c r="L1701" s="2486" t="s">
        <v>1861</v>
      </c>
      <c r="M1701" s="1730"/>
      <c r="N1701" s="1730"/>
      <c r="O1701" s="1730"/>
      <c r="P1701" s="1730"/>
      <c r="Q1701" s="2491"/>
      <c r="R1701" s="1946" t="s">
        <v>3064</v>
      </c>
      <c r="T1701" s="2732" t="s">
        <v>7884</v>
      </c>
      <c r="U1701" s="2733">
        <v>2</v>
      </c>
      <c r="V1701" s="2733">
        <v>3</v>
      </c>
      <c r="W1701" s="2733">
        <v>4</v>
      </c>
      <c r="X1701" s="2733">
        <v>5</v>
      </c>
      <c r="Y1701" s="2734">
        <v>6</v>
      </c>
      <c r="AB1701" s="363"/>
      <c r="AC1701" s="2563"/>
    </row>
    <row r="1702" spans="1:29" ht="12.75" customHeight="1" x14ac:dyDescent="0.2">
      <c r="A1702" s="1916">
        <v>1702</v>
      </c>
      <c r="B1702" s="5148"/>
      <c r="C1702" s="1761" t="s">
        <v>7886</v>
      </c>
      <c r="D1702" s="1726"/>
      <c r="E1702" s="2494" t="s">
        <v>7898</v>
      </c>
      <c r="F1702" s="1728"/>
      <c r="G1702" s="1728">
        <v>10</v>
      </c>
      <c r="H1702" s="1729">
        <v>1</v>
      </c>
      <c r="I1702" s="1729">
        <v>5</v>
      </c>
      <c r="J1702" s="1729">
        <f>COUNTIF(Elan!$C$13:$F$25,Tablas!E1702)+COUNTIF(Elan!$U$13:$X$25,Tablas!E1702)</f>
        <v>0</v>
      </c>
      <c r="K1702" s="1728"/>
      <c r="L1702" s="5170" t="s">
        <v>8091</v>
      </c>
      <c r="M1702" s="5170"/>
      <c r="N1702" s="5170"/>
      <c r="O1702" s="5170"/>
      <c r="P1702" s="5170"/>
      <c r="Q1702" s="5171"/>
      <c r="R1702" s="2497">
        <f>IF(OR($J1702=0,$J1702="Aprendida"),0,SUM($J$1702:$J1702))</f>
        <v>0</v>
      </c>
      <c r="T1702" s="2735" t="s">
        <v>8092</v>
      </c>
      <c r="U1702" s="2736">
        <v>1</v>
      </c>
      <c r="V1702" s="2737" t="s">
        <v>8093</v>
      </c>
      <c r="W1702" s="2736">
        <v>1</v>
      </c>
      <c r="X1702" s="2736" t="s">
        <v>8094</v>
      </c>
      <c r="Y1702" s="2738">
        <v>-5</v>
      </c>
      <c r="AB1702" s="363"/>
      <c r="AC1702" s="2563"/>
    </row>
    <row r="1703" spans="1:29" ht="12.75" customHeight="1" x14ac:dyDescent="0.2">
      <c r="A1703" s="1916">
        <v>1703</v>
      </c>
      <c r="B1703" s="5148"/>
      <c r="C1703" s="1761" t="s">
        <v>7887</v>
      </c>
      <c r="D1703" s="1726"/>
      <c r="E1703" s="2494" t="s">
        <v>7899</v>
      </c>
      <c r="F1703" s="1728"/>
      <c r="G1703" s="1728">
        <v>20</v>
      </c>
      <c r="H1703" s="1729">
        <v>1</v>
      </c>
      <c r="I1703" s="1729">
        <v>10</v>
      </c>
      <c r="J1703" s="1729">
        <f>COUNTIF(Elan!$C$13:$F$25,Tablas!E1703)+COUNTIF(Elan!$U$13:$X$25,Tablas!E1703)</f>
        <v>0</v>
      </c>
      <c r="K1703" s="1728"/>
      <c r="L1703" s="5170" t="s">
        <v>8095</v>
      </c>
      <c r="M1703" s="5170"/>
      <c r="N1703" s="5170"/>
      <c r="O1703" s="5170"/>
      <c r="P1703" s="5170"/>
      <c r="Q1703" s="5171"/>
      <c r="R1703" s="2497">
        <f>IF(OR($J1703=0,$J1703="Aprendida"),0,SUM($J$1702:$J1703))</f>
        <v>0</v>
      </c>
      <c r="T1703" s="2735" t="s">
        <v>8096</v>
      </c>
      <c r="U1703" s="2736">
        <v>5</v>
      </c>
      <c r="V1703" s="2737" t="s">
        <v>8097</v>
      </c>
      <c r="W1703" s="2736">
        <v>3</v>
      </c>
      <c r="X1703" s="2736" t="s">
        <v>8098</v>
      </c>
      <c r="Y1703" s="2738">
        <v>-3</v>
      </c>
      <c r="AB1703" s="363"/>
      <c r="AC1703" s="2563"/>
    </row>
    <row r="1704" spans="1:29" ht="12.75" customHeight="1" x14ac:dyDescent="0.2">
      <c r="A1704" s="1916">
        <v>1704</v>
      </c>
      <c r="B1704" s="5148"/>
      <c r="C1704" s="1761" t="s">
        <v>7793</v>
      </c>
      <c r="D1704" s="1726"/>
      <c r="E1704" s="2494" t="s">
        <v>7900</v>
      </c>
      <c r="F1704" s="1728"/>
      <c r="G1704" s="1728">
        <v>30</v>
      </c>
      <c r="H1704" s="1729">
        <v>1</v>
      </c>
      <c r="I1704" s="1729">
        <v>5</v>
      </c>
      <c r="J1704" s="1729">
        <f>COUNTIF(Elan!$C$13:$F$25,Tablas!E1704)+COUNTIF(Elan!$U$13:$X$25,Tablas!E1704)</f>
        <v>0</v>
      </c>
      <c r="K1704" s="1728"/>
      <c r="L1704" s="5170" t="s">
        <v>8099</v>
      </c>
      <c r="M1704" s="5170"/>
      <c r="N1704" s="5170"/>
      <c r="O1704" s="5170"/>
      <c r="P1704" s="5170"/>
      <c r="Q1704" s="5171"/>
      <c r="R1704" s="2497">
        <f>IF(OR($J1704=0,$J1704="Aprendida"),0,SUM($J$1702:$J1704))</f>
        <v>0</v>
      </c>
      <c r="T1704" s="2735" t="s">
        <v>8100</v>
      </c>
      <c r="U1704" s="2736">
        <v>3</v>
      </c>
      <c r="V1704" s="2737" t="s">
        <v>8101</v>
      </c>
      <c r="W1704" s="2736">
        <v>1</v>
      </c>
      <c r="X1704" s="2736" t="s">
        <v>8102</v>
      </c>
      <c r="Y1704" s="2738">
        <v>-10</v>
      </c>
      <c r="AB1704" s="363"/>
      <c r="AC1704" s="2563"/>
    </row>
    <row r="1705" spans="1:29" ht="12.75" customHeight="1" x14ac:dyDescent="0.2">
      <c r="A1705" s="1916">
        <v>1705</v>
      </c>
      <c r="B1705" s="5148"/>
      <c r="C1705" s="1761" t="s">
        <v>7888</v>
      </c>
      <c r="D1705" s="1726"/>
      <c r="E1705" s="2494" t="s">
        <v>7901</v>
      </c>
      <c r="F1705" s="1728"/>
      <c r="G1705" s="1728">
        <v>40</v>
      </c>
      <c r="H1705" s="1729">
        <v>1</v>
      </c>
      <c r="I1705" s="1729">
        <v>20</v>
      </c>
      <c r="J1705" s="1729">
        <f>COUNTIF(Elan!$C$13:$F$25,Tablas!E1705)+COUNTIF(Elan!$U$13:$X$25,Tablas!E1705)</f>
        <v>0</v>
      </c>
      <c r="K1705" s="1728">
        <f>$F$1701/2*J1705</f>
        <v>0</v>
      </c>
      <c r="L1705" s="5170" t="s">
        <v>8103</v>
      </c>
      <c r="M1705" s="5170"/>
      <c r="N1705" s="5170"/>
      <c r="O1705" s="5170"/>
      <c r="P1705" s="5170"/>
      <c r="Q1705" s="5171"/>
      <c r="R1705" s="2497">
        <f>IF(OR($J1705=0,$J1705="Aprendida"),0,SUM($J$1702:$J1705))</f>
        <v>0</v>
      </c>
      <c r="T1705" s="2735" t="s">
        <v>8104</v>
      </c>
      <c r="U1705" s="2736">
        <v>3</v>
      </c>
      <c r="V1705" s="2737" t="s">
        <v>8105</v>
      </c>
      <c r="W1705" s="2736">
        <v>1</v>
      </c>
      <c r="X1705" s="2736"/>
      <c r="Y1705" s="2738"/>
      <c r="AB1705" s="363"/>
      <c r="AC1705" s="2563"/>
    </row>
    <row r="1706" spans="1:29" ht="12.75" customHeight="1" x14ac:dyDescent="0.2">
      <c r="A1706" s="1916">
        <v>1706</v>
      </c>
      <c r="B1706" s="5148"/>
      <c r="C1706" s="1761" t="s">
        <v>7889</v>
      </c>
      <c r="D1706" s="1726"/>
      <c r="E1706" s="2494" t="s">
        <v>7902</v>
      </c>
      <c r="F1706" s="1728"/>
      <c r="G1706" s="1728">
        <v>50</v>
      </c>
      <c r="H1706" s="1729">
        <v>1</v>
      </c>
      <c r="I1706" s="1729">
        <v>15</v>
      </c>
      <c r="J1706" s="1729">
        <f>COUNTIF(Elan!$C$13:$F$25,Tablas!E1706)+COUNTIF(Elan!$U$13:$X$25,Tablas!E1706)</f>
        <v>0</v>
      </c>
      <c r="K1706" s="1728"/>
      <c r="L1706" s="5170" t="s">
        <v>8106</v>
      </c>
      <c r="M1706" s="5170"/>
      <c r="N1706" s="5170"/>
      <c r="O1706" s="5170"/>
      <c r="P1706" s="5170"/>
      <c r="Q1706" s="5171"/>
      <c r="R1706" s="2497">
        <f>IF(OR($J1706=0,$J1706="Aprendida"),0,SUM($J$1702:$J1706))</f>
        <v>0</v>
      </c>
      <c r="T1706" s="2735" t="s">
        <v>8107</v>
      </c>
      <c r="U1706" s="2736">
        <v>1</v>
      </c>
      <c r="V1706" s="2737"/>
      <c r="W1706" s="2736"/>
      <c r="X1706" s="2736"/>
      <c r="Y1706" s="2738"/>
      <c r="AB1706" s="363"/>
      <c r="AC1706" s="2563"/>
    </row>
    <row r="1707" spans="1:29" ht="12.75" customHeight="1" x14ac:dyDescent="0.2">
      <c r="A1707" s="1916">
        <v>1707</v>
      </c>
      <c r="B1707" s="5148"/>
      <c r="C1707" s="1761" t="s">
        <v>7890</v>
      </c>
      <c r="D1707" s="1726"/>
      <c r="E1707" s="2494" t="s">
        <v>3172</v>
      </c>
      <c r="F1707" s="1728"/>
      <c r="G1707" s="1728">
        <v>50</v>
      </c>
      <c r="H1707" s="1729">
        <f>IF(J1705=1,1,0)</f>
        <v>0</v>
      </c>
      <c r="I1707" s="1729">
        <v>10</v>
      </c>
      <c r="J1707" s="1729">
        <f>COUNTIF(Elan!$C$13:$F$25,Tablas!E1707)+COUNTIF(Elan!$U$13:$X$25,Tablas!E1707)</f>
        <v>0</v>
      </c>
      <c r="K1707" s="1728"/>
      <c r="L1707" s="5170" t="s">
        <v>8108</v>
      </c>
      <c r="M1707" s="5170"/>
      <c r="N1707" s="5170"/>
      <c r="O1707" s="5170"/>
      <c r="P1707" s="5170"/>
      <c r="Q1707" s="5171"/>
      <c r="R1707" s="2497">
        <f>IF(OR($J1707=0,$J1707="Aprendida"),0,SUM($J$1702:$J1707))</f>
        <v>0</v>
      </c>
      <c r="T1707" s="2735" t="s">
        <v>8097</v>
      </c>
      <c r="U1707" s="2736">
        <v>5</v>
      </c>
      <c r="V1707" s="2737"/>
      <c r="W1707" s="2736"/>
      <c r="X1707" s="2736"/>
      <c r="Y1707" s="2738"/>
      <c r="AB1707" s="363"/>
      <c r="AC1707" s="2563"/>
    </row>
    <row r="1708" spans="1:29" ht="12.75" customHeight="1" x14ac:dyDescent="0.2">
      <c r="A1708" s="1916">
        <v>1708</v>
      </c>
      <c r="B1708" s="5148"/>
      <c r="C1708" s="1761" t="s">
        <v>7891</v>
      </c>
      <c r="D1708" s="1726"/>
      <c r="E1708" s="2494" t="s">
        <v>7903</v>
      </c>
      <c r="F1708" s="1728"/>
      <c r="G1708" s="1728">
        <v>60</v>
      </c>
      <c r="H1708" s="1729">
        <v>1</v>
      </c>
      <c r="I1708" s="1729">
        <v>10</v>
      </c>
      <c r="J1708" s="1729">
        <f>COUNTIF(Elan!$C$13:$F$25,Tablas!E1708)+COUNTIF(Elan!$U$13:$X$25,Tablas!E1708)</f>
        <v>0</v>
      </c>
      <c r="K1708" s="1728"/>
      <c r="L1708" s="5170" t="s">
        <v>8109</v>
      </c>
      <c r="M1708" s="5170"/>
      <c r="N1708" s="5170"/>
      <c r="O1708" s="5170"/>
      <c r="P1708" s="5170"/>
      <c r="Q1708" s="5171"/>
      <c r="R1708" s="2497">
        <f>IF(OR($J1708=0,$J1708="Aprendida"),0,SUM($J$1702:$J1708))</f>
        <v>0</v>
      </c>
      <c r="T1708" s="2739"/>
      <c r="U1708" s="2740"/>
      <c r="V1708" s="2740"/>
      <c r="W1708" s="2740"/>
      <c r="X1708" s="2740"/>
      <c r="Y1708" s="2741"/>
      <c r="AB1708" s="363"/>
      <c r="AC1708" s="2563"/>
    </row>
    <row r="1709" spans="1:29" ht="12.75" customHeight="1" x14ac:dyDescent="0.2">
      <c r="A1709" s="1916">
        <v>1709</v>
      </c>
      <c r="B1709" s="5148"/>
      <c r="C1709" s="1761" t="s">
        <v>7892</v>
      </c>
      <c r="D1709" s="1726"/>
      <c r="E1709" s="2494" t="s">
        <v>7904</v>
      </c>
      <c r="F1709" s="1728"/>
      <c r="G1709" s="1728">
        <v>70</v>
      </c>
      <c r="H1709" s="1729">
        <v>1</v>
      </c>
      <c r="I1709" s="1729">
        <v>10</v>
      </c>
      <c r="J1709" s="1729">
        <f>COUNTIF(Elan!$C$13:$F$25,Tablas!E1709)+COUNTIF(Elan!$U$13:$X$25,Tablas!E1709)</f>
        <v>0</v>
      </c>
      <c r="K1709" s="1728"/>
      <c r="L1709" s="5170" t="s">
        <v>8110</v>
      </c>
      <c r="M1709" s="5170"/>
      <c r="N1709" s="5170"/>
      <c r="O1709" s="5170"/>
      <c r="P1709" s="5170"/>
      <c r="Q1709" s="5171"/>
      <c r="R1709" s="2497">
        <f>IF(OR($J1709=0,$J1709="Aprendida"),0,SUM($J$1702:$J1709))</f>
        <v>0</v>
      </c>
      <c r="T1709" s="2732" t="str">
        <f>E1714</f>
        <v>Zemial</v>
      </c>
      <c r="U1709" s="2733"/>
      <c r="V1709" s="2742"/>
      <c r="W1709" s="2733"/>
      <c r="X1709" s="2733"/>
      <c r="Y1709" s="2734"/>
      <c r="AB1709" s="363"/>
      <c r="AC1709" s="2563"/>
    </row>
    <row r="1710" spans="1:29" ht="12.75" customHeight="1" x14ac:dyDescent="0.2">
      <c r="A1710" s="1916">
        <v>1710</v>
      </c>
      <c r="B1710" s="5148"/>
      <c r="C1710" s="1761" t="s">
        <v>7893</v>
      </c>
      <c r="D1710" s="1726"/>
      <c r="E1710" s="2494" t="s">
        <v>7905</v>
      </c>
      <c r="F1710" s="1728"/>
      <c r="G1710" s="1728">
        <v>70</v>
      </c>
      <c r="H1710" s="1729">
        <v>1</v>
      </c>
      <c r="I1710" s="1729">
        <v>10</v>
      </c>
      <c r="J1710" s="1729">
        <f>COUNTIF(Elan!$C$13:$F$25,Tablas!E1710)+COUNTIF(Elan!$U$13:$X$25,Tablas!E1710)</f>
        <v>0</v>
      </c>
      <c r="K1710" s="1728"/>
      <c r="L1710" s="5170" t="s">
        <v>8111</v>
      </c>
      <c r="M1710" s="5170"/>
      <c r="N1710" s="5170"/>
      <c r="O1710" s="5170"/>
      <c r="P1710" s="5170"/>
      <c r="Q1710" s="5171"/>
      <c r="R1710" s="2497">
        <f>IF(OR($J1710=0,$J1710="Aprendida"),0,SUM($J$1702:$J1710))</f>
        <v>0</v>
      </c>
      <c r="T1710" s="2735" t="s">
        <v>8116</v>
      </c>
      <c r="U1710" s="2736">
        <v>1</v>
      </c>
      <c r="V1710" s="2737" t="s">
        <v>8117</v>
      </c>
      <c r="W1710" s="2736">
        <v>5</v>
      </c>
      <c r="X1710" s="2736" t="s">
        <v>8118</v>
      </c>
      <c r="Y1710" s="2738">
        <v>-3</v>
      </c>
      <c r="AB1710" s="363"/>
      <c r="AC1710" s="2563"/>
    </row>
    <row r="1711" spans="1:29" ht="12.75" customHeight="1" x14ac:dyDescent="0.2">
      <c r="A1711" s="1916">
        <v>1711</v>
      </c>
      <c r="B1711" s="5148"/>
      <c r="C1711" s="1761" t="s">
        <v>7894</v>
      </c>
      <c r="D1711" s="1726"/>
      <c r="E1711" s="2494" t="s">
        <v>7906</v>
      </c>
      <c r="F1711" s="1728"/>
      <c r="G1711" s="1728">
        <v>80</v>
      </c>
      <c r="H1711" s="1729">
        <v>1</v>
      </c>
      <c r="I1711" s="1729">
        <v>15</v>
      </c>
      <c r="J1711" s="1729">
        <f>COUNTIF(Elan!$C$13:$F$25,Tablas!E1711)+COUNTIF(Elan!$U$13:$X$25,Tablas!E1711)</f>
        <v>0</v>
      </c>
      <c r="K1711" s="1728"/>
      <c r="L1711" s="5170" t="s">
        <v>8112</v>
      </c>
      <c r="M1711" s="5170"/>
      <c r="N1711" s="5170"/>
      <c r="O1711" s="5170"/>
      <c r="P1711" s="5170"/>
      <c r="Q1711" s="5171"/>
      <c r="R1711" s="2497">
        <f>IF(OR($J1711=0,$J1711="Aprendida"),0,SUM($J$1702:$J1711))</f>
        <v>0</v>
      </c>
      <c r="T1711" s="2735" t="s">
        <v>8420</v>
      </c>
      <c r="U1711" s="2736">
        <v>5</v>
      </c>
      <c r="V1711" s="2737" t="s">
        <v>8120</v>
      </c>
      <c r="W1711" s="2736">
        <v>2</v>
      </c>
      <c r="X1711" s="2736" t="s">
        <v>8121</v>
      </c>
      <c r="Y1711" s="2738">
        <v>-5</v>
      </c>
      <c r="AB1711" s="363"/>
      <c r="AC1711" s="2563"/>
    </row>
    <row r="1712" spans="1:29" ht="12.75" customHeight="1" x14ac:dyDescent="0.2">
      <c r="A1712" s="1916">
        <v>1712</v>
      </c>
      <c r="B1712" s="5148"/>
      <c r="C1712" s="1761" t="s">
        <v>7895</v>
      </c>
      <c r="D1712" s="1726"/>
      <c r="E1712" s="2494" t="s">
        <v>7907</v>
      </c>
      <c r="F1712" s="1728"/>
      <c r="G1712" s="1728">
        <v>90</v>
      </c>
      <c r="H1712" s="1729">
        <v>1</v>
      </c>
      <c r="I1712" s="1729">
        <v>20</v>
      </c>
      <c r="J1712" s="1729">
        <f>COUNTIF(Elan!$C$13:$F$25,Tablas!E1712)+COUNTIF(Elan!$U$13:$X$25,Tablas!E1712)</f>
        <v>0</v>
      </c>
      <c r="K1712" s="1728"/>
      <c r="L1712" s="5170" t="s">
        <v>8113</v>
      </c>
      <c r="M1712" s="5170"/>
      <c r="N1712" s="5170"/>
      <c r="O1712" s="5170"/>
      <c r="P1712" s="5170"/>
      <c r="Q1712" s="5171"/>
      <c r="R1712" s="2497">
        <f>IF(OR($J1712=0,$J1712="Aprendida"),0,SUM($J$1702:$J1712))</f>
        <v>0</v>
      </c>
      <c r="T1712" s="2735" t="s">
        <v>8418</v>
      </c>
      <c r="U1712" s="2736">
        <v>2</v>
      </c>
      <c r="V1712" s="2737" t="s">
        <v>8123</v>
      </c>
      <c r="W1712" s="2736">
        <v>3</v>
      </c>
      <c r="X1712" s="2736" t="s">
        <v>8124</v>
      </c>
      <c r="Y1712" s="2738">
        <v>-2</v>
      </c>
      <c r="AB1712" s="363"/>
      <c r="AC1712" s="2563"/>
    </row>
    <row r="1713" spans="1:29" ht="12.75" customHeight="1" thickBot="1" x14ac:dyDescent="0.25">
      <c r="A1713" s="1916">
        <v>1713</v>
      </c>
      <c r="B1713" s="5148"/>
      <c r="C1713" s="1762" t="s">
        <v>7896</v>
      </c>
      <c r="D1713" s="1727"/>
      <c r="E1713" s="2494" t="s">
        <v>7908</v>
      </c>
      <c r="F1713" s="1728"/>
      <c r="G1713" s="1728">
        <v>100</v>
      </c>
      <c r="H1713" s="1729">
        <v>1</v>
      </c>
      <c r="I1713" s="1729">
        <v>10</v>
      </c>
      <c r="J1713" s="1729">
        <f>COUNTIF(Elan!$C$13:$F$25,Tablas!E1713)+COUNTIF(Elan!$U$13:$X$25,Tablas!E1713)</f>
        <v>0</v>
      </c>
      <c r="K1713" s="1728"/>
      <c r="L1713" s="5170" t="s">
        <v>8114</v>
      </c>
      <c r="M1713" s="5170"/>
      <c r="N1713" s="5170"/>
      <c r="O1713" s="5170"/>
      <c r="P1713" s="5170"/>
      <c r="Q1713" s="5171"/>
      <c r="R1713" s="2497">
        <f>IF(OR($J1713=0,$J1713="Aprendida"),0,SUM($J$1702:$J1713))</f>
        <v>0</v>
      </c>
      <c r="T1713" s="2735" t="s">
        <v>8419</v>
      </c>
      <c r="U1713" s="2736">
        <v>5</v>
      </c>
      <c r="V1713" s="2737" t="s">
        <v>8126</v>
      </c>
      <c r="W1713" s="2736">
        <v>1</v>
      </c>
      <c r="X1713" s="2736"/>
      <c r="Y1713" s="2738"/>
      <c r="AB1713" s="363"/>
      <c r="AC1713" s="2563"/>
    </row>
    <row r="1714" spans="1:29" ht="12.75" customHeight="1" thickBot="1" x14ac:dyDescent="0.25">
      <c r="A1714" s="1916">
        <v>1714</v>
      </c>
      <c r="B1714" s="5148"/>
      <c r="C1714" s="1762" t="str">
        <f>$E$1884</f>
        <v>ElanPersonalizado</v>
      </c>
      <c r="D1714" s="1727"/>
      <c r="E1714" s="2493" t="s">
        <v>7885</v>
      </c>
      <c r="F1714" s="2485">
        <f>IF(Elan!$C$11=Tablas!$E1714,Elan!$G$11,IF(Elan!$U$11=Tablas!$E1714,Elan!$Y$11,0))</f>
        <v>0</v>
      </c>
      <c r="G1714" s="2486" t="s">
        <v>2149</v>
      </c>
      <c r="H1714" s="2486" t="s">
        <v>10012</v>
      </c>
      <c r="I1714" s="2486" t="s">
        <v>1801</v>
      </c>
      <c r="J1714" s="2486" t="s">
        <v>7897</v>
      </c>
      <c r="K1714" s="2486" t="s">
        <v>8676</v>
      </c>
      <c r="L1714" s="2486" t="s">
        <v>1861</v>
      </c>
      <c r="M1714" s="1730"/>
      <c r="N1714" s="1730"/>
      <c r="O1714" s="1730"/>
      <c r="P1714" s="1730"/>
      <c r="Q1714" s="2491"/>
      <c r="R1714" s="2497">
        <f>IF(OR($J1714=0,$J1714="Aprendida"),0,SUM($J$1702:$J1714))</f>
        <v>0</v>
      </c>
      <c r="T1714" s="2735" t="s">
        <v>8128</v>
      </c>
      <c r="U1714" s="2736">
        <v>1</v>
      </c>
      <c r="V1714" s="2737"/>
      <c r="W1714" s="2736"/>
      <c r="X1714" s="2736"/>
      <c r="Y1714" s="2738"/>
      <c r="AB1714" s="363"/>
      <c r="AC1714" s="2563"/>
    </row>
    <row r="1715" spans="1:29" ht="12.75" customHeight="1" x14ac:dyDescent="0.2">
      <c r="A1715" s="1916">
        <v>1715</v>
      </c>
      <c r="B1715" s="5148"/>
      <c r="E1715" s="2494" t="s">
        <v>7909</v>
      </c>
      <c r="F1715" s="1728"/>
      <c r="G1715" s="1728">
        <v>10</v>
      </c>
      <c r="H1715" s="1729">
        <v>1</v>
      </c>
      <c r="I1715" s="1729">
        <v>5</v>
      </c>
      <c r="J1715" s="1729">
        <f>COUNTIF(Elan!$C$13:$F$25,Tablas!E1715)+COUNTIF(Elan!$U$13:$X$25,Tablas!E1715)</f>
        <v>0</v>
      </c>
      <c r="K1715" s="1728"/>
      <c r="L1715" s="5170" t="s">
        <v>8115</v>
      </c>
      <c r="M1715" s="5170"/>
      <c r="N1715" s="5170"/>
      <c r="O1715" s="5170"/>
      <c r="P1715" s="5170"/>
      <c r="Q1715" s="5171"/>
      <c r="R1715" s="2497">
        <f>IF(OR($J1715=0,$J1715="Aprendida"),0,SUM($J$1702:$J1715))</f>
        <v>0</v>
      </c>
      <c r="T1715" s="2735" t="s">
        <v>8130</v>
      </c>
      <c r="U1715" s="2736">
        <v>2</v>
      </c>
      <c r="V1715" s="2737"/>
      <c r="W1715" s="2736"/>
      <c r="X1715" s="2736"/>
      <c r="Y1715" s="2738"/>
      <c r="AB1715" s="363"/>
      <c r="AC1715" s="2563"/>
    </row>
    <row r="1716" spans="1:29" ht="12.75" customHeight="1" x14ac:dyDescent="0.2">
      <c r="A1716" s="1916">
        <v>1716</v>
      </c>
      <c r="B1716" s="5148"/>
      <c r="E1716" s="2494" t="s">
        <v>7910</v>
      </c>
      <c r="F1716" s="1728"/>
      <c r="G1716" s="1728">
        <v>20</v>
      </c>
      <c r="H1716" s="1729">
        <v>1</v>
      </c>
      <c r="I1716" s="1729">
        <v>5</v>
      </c>
      <c r="J1716" s="1729">
        <f>COUNTIF(Elan!$C$13:$F$25,Tablas!E1716)+COUNTIF(Elan!$U$13:$X$25,Tablas!E1716)</f>
        <v>0</v>
      </c>
      <c r="K1716" s="1728"/>
      <c r="L1716" s="5170" t="s">
        <v>8119</v>
      </c>
      <c r="M1716" s="5170"/>
      <c r="N1716" s="5170"/>
      <c r="O1716" s="5170"/>
      <c r="P1716" s="5170"/>
      <c r="Q1716" s="5171"/>
      <c r="R1716" s="2497">
        <f>IF(OR($J1716=0,$J1716="Aprendida"),0,SUM($J$1702:$J1716))</f>
        <v>0</v>
      </c>
      <c r="T1716" s="2739"/>
      <c r="U1716" s="2740"/>
      <c r="V1716" s="2740"/>
      <c r="W1716" s="2740"/>
      <c r="X1716" s="2740"/>
      <c r="Y1716" s="2741"/>
      <c r="AB1716" s="363"/>
      <c r="AC1716" s="2563"/>
    </row>
    <row r="1717" spans="1:29" ht="12.75" customHeight="1" x14ac:dyDescent="0.2">
      <c r="A1717" s="1916">
        <v>1717</v>
      </c>
      <c r="B1717" s="5148"/>
      <c r="E1717" s="2494" t="s">
        <v>1956</v>
      </c>
      <c r="F1717" s="1728"/>
      <c r="G1717" s="1728">
        <v>30</v>
      </c>
      <c r="H1717" s="1729">
        <v>1</v>
      </c>
      <c r="I1717" s="1729">
        <v>10</v>
      </c>
      <c r="J1717" s="1729">
        <f>COUNTIF(Elan!$C$13:$F$25,Tablas!E1717)+COUNTIF(Elan!$U$13:$X$25,Tablas!E1717)</f>
        <v>0</v>
      </c>
      <c r="K1717" s="1728">
        <f>MROUND($F$1714/2,5)*J1717</f>
        <v>0</v>
      </c>
      <c r="L1717" s="5170" t="s">
        <v>8122</v>
      </c>
      <c r="M1717" s="5170"/>
      <c r="N1717" s="5170"/>
      <c r="O1717" s="5170"/>
      <c r="P1717" s="5170"/>
      <c r="Q1717" s="5171"/>
      <c r="R1717" s="2497">
        <f>IF(OR($J1717=0,$J1717="Aprendida"),0,SUM($J$1702:$J1717))</f>
        <v>0</v>
      </c>
      <c r="T1717" s="2732" t="str">
        <f>E1727</f>
        <v>Uriel</v>
      </c>
      <c r="U1717" s="2733"/>
      <c r="V1717" s="2742"/>
      <c r="W1717" s="2733"/>
      <c r="X1717" s="2733"/>
      <c r="Y1717" s="2734"/>
      <c r="AB1717" s="363"/>
      <c r="AC1717" s="2563"/>
    </row>
    <row r="1718" spans="1:29" ht="12.75" customHeight="1" x14ac:dyDescent="0.2">
      <c r="A1718" s="1916">
        <v>1718</v>
      </c>
      <c r="B1718" s="5148"/>
      <c r="E1718" s="2494" t="s">
        <v>7911</v>
      </c>
      <c r="F1718" s="1728"/>
      <c r="G1718" s="1728">
        <v>40</v>
      </c>
      <c r="H1718" s="1729">
        <f>IF(J1715,1,0)</f>
        <v>0</v>
      </c>
      <c r="I1718" s="1729">
        <v>10</v>
      </c>
      <c r="J1718" s="1729">
        <f>COUNTIF(Elan!$C$13:$F$25,Tablas!E1718)+COUNTIF(Elan!$U$13:$X$25,Tablas!E1718)</f>
        <v>0</v>
      </c>
      <c r="K1718" s="1728"/>
      <c r="L1718" s="5170" t="s">
        <v>8125</v>
      </c>
      <c r="M1718" s="5170"/>
      <c r="N1718" s="5170"/>
      <c r="O1718" s="5170"/>
      <c r="P1718" s="5170"/>
      <c r="Q1718" s="5171"/>
      <c r="R1718" s="2497">
        <f>IF(OR($J1718=0,$J1718="Aprendida"),0,SUM($J$1702:$J1718))</f>
        <v>0</v>
      </c>
      <c r="T1718" s="2735" t="s">
        <v>8138</v>
      </c>
      <c r="U1718" s="2736">
        <v>2</v>
      </c>
      <c r="V1718" s="2737" t="s">
        <v>8139</v>
      </c>
      <c r="W1718" s="2736">
        <v>3</v>
      </c>
      <c r="X1718" s="2736" t="s">
        <v>8140</v>
      </c>
      <c r="Y1718" s="2738">
        <v>-1</v>
      </c>
      <c r="AB1718" s="363"/>
      <c r="AC1718" s="2563"/>
    </row>
    <row r="1719" spans="1:29" ht="12.75" customHeight="1" x14ac:dyDescent="0.2">
      <c r="A1719" s="1916">
        <v>1719</v>
      </c>
      <c r="B1719" s="5148"/>
      <c r="E1719" s="2494" t="s">
        <v>7912</v>
      </c>
      <c r="F1719" s="1728"/>
      <c r="G1719" s="1728">
        <v>50</v>
      </c>
      <c r="H1719" s="1729">
        <v>1</v>
      </c>
      <c r="I1719" s="1729">
        <v>15</v>
      </c>
      <c r="J1719" s="1729">
        <f>COUNTIF(Elan!$C$13:$F$25,Tablas!E1719)+COUNTIF(Elan!$U$13:$X$25,Tablas!E1719)</f>
        <v>0</v>
      </c>
      <c r="K1719" s="1728"/>
      <c r="L1719" s="5170" t="s">
        <v>8127</v>
      </c>
      <c r="M1719" s="5170"/>
      <c r="N1719" s="5170"/>
      <c r="O1719" s="5170"/>
      <c r="P1719" s="5170"/>
      <c r="Q1719" s="5171"/>
      <c r="R1719" s="2497">
        <f>IF(OR($J1719=0,$J1719="Aprendida"),0,SUM($J$1702:$J1719))</f>
        <v>0</v>
      </c>
      <c r="T1719" s="2735" t="s">
        <v>8142</v>
      </c>
      <c r="U1719" s="2736">
        <v>5</v>
      </c>
      <c r="V1719" s="2737" t="s">
        <v>8143</v>
      </c>
      <c r="W1719" s="2736">
        <v>2</v>
      </c>
      <c r="X1719" s="2736" t="s">
        <v>8144</v>
      </c>
      <c r="Y1719" s="2738">
        <v>-2</v>
      </c>
      <c r="AB1719" s="363"/>
      <c r="AC1719" s="2563"/>
    </row>
    <row r="1720" spans="1:29" ht="12.75" customHeight="1" x14ac:dyDescent="0.2">
      <c r="A1720" s="1916">
        <v>1720</v>
      </c>
      <c r="B1720" s="5148"/>
      <c r="E1720" s="2494" t="s">
        <v>7913</v>
      </c>
      <c r="F1720" s="1728"/>
      <c r="G1720" s="1728">
        <v>50</v>
      </c>
      <c r="H1720" s="1729">
        <v>1</v>
      </c>
      <c r="I1720" s="1729">
        <v>10</v>
      </c>
      <c r="J1720" s="1729">
        <f>COUNTIF(Elan!$C$13:$F$25,Tablas!E1720)+COUNTIF(Elan!$U$13:$X$25,Tablas!E1720)</f>
        <v>0</v>
      </c>
      <c r="K1720" s="1728"/>
      <c r="L1720" s="5170" t="s">
        <v>8129</v>
      </c>
      <c r="M1720" s="5170"/>
      <c r="N1720" s="5170"/>
      <c r="O1720" s="5170"/>
      <c r="P1720" s="5170"/>
      <c r="Q1720" s="5171"/>
      <c r="R1720" s="2497">
        <f>IF(OR($J1720=0,$J1720="Aprendida"),0,SUM($J$1702:$J1720))</f>
        <v>0</v>
      </c>
      <c r="T1720" s="2735" t="s">
        <v>8146</v>
      </c>
      <c r="U1720" s="2736">
        <v>2</v>
      </c>
      <c r="V1720" s="2737" t="s">
        <v>8147</v>
      </c>
      <c r="W1720" s="2736">
        <v>1</v>
      </c>
      <c r="X1720" s="2736" t="s">
        <v>8148</v>
      </c>
      <c r="Y1720" s="2738">
        <v>-1</v>
      </c>
      <c r="AB1720" s="363"/>
      <c r="AC1720" s="2563"/>
    </row>
    <row r="1721" spans="1:29" ht="12.75" customHeight="1" x14ac:dyDescent="0.2">
      <c r="A1721" s="1916">
        <v>1721</v>
      </c>
      <c r="B1721" s="5148"/>
      <c r="E1721" s="2494" t="s">
        <v>7914</v>
      </c>
      <c r="F1721" s="1728"/>
      <c r="G1721" s="1728">
        <v>60</v>
      </c>
      <c r="H1721" s="1729">
        <v>1</v>
      </c>
      <c r="I1721" s="1729">
        <v>10</v>
      </c>
      <c r="J1721" s="1729">
        <f>COUNTIF(Elan!$C$13:$F$25,Tablas!E1721)+COUNTIF(Elan!$U$13:$X$25,Tablas!E1721)</f>
        <v>0</v>
      </c>
      <c r="K1721" s="1728"/>
      <c r="L1721" s="5170" t="s">
        <v>8131</v>
      </c>
      <c r="M1721" s="5170"/>
      <c r="N1721" s="5170"/>
      <c r="O1721" s="5170"/>
      <c r="P1721" s="5170"/>
      <c r="Q1721" s="5171"/>
      <c r="R1721" s="2497">
        <f>IF(OR($J1721=0,$J1721="Aprendida"),0,SUM($J$1702:$J1721))</f>
        <v>0</v>
      </c>
      <c r="T1721" s="2735" t="s">
        <v>8150</v>
      </c>
      <c r="U1721" s="2736">
        <v>2</v>
      </c>
      <c r="V1721" s="2737"/>
      <c r="W1721" s="2736"/>
      <c r="X1721" s="2736" t="s">
        <v>8151</v>
      </c>
      <c r="Y1721" s="2738">
        <v>-2</v>
      </c>
      <c r="AB1721" s="363"/>
      <c r="AC1721" s="2563"/>
    </row>
    <row r="1722" spans="1:29" ht="12.75" customHeight="1" x14ac:dyDescent="0.2">
      <c r="A1722" s="1916">
        <v>1722</v>
      </c>
      <c r="B1722" s="5148"/>
      <c r="E1722" s="2494" t="s">
        <v>7915</v>
      </c>
      <c r="F1722" s="1728"/>
      <c r="G1722" s="1728">
        <v>60</v>
      </c>
      <c r="H1722" s="1729">
        <f>IF(J1720,1,0)</f>
        <v>0</v>
      </c>
      <c r="I1722" s="1729">
        <v>10</v>
      </c>
      <c r="J1722" s="1729">
        <f>COUNTIF(Elan!$C$13:$F$25,Tablas!E1722)+COUNTIF(Elan!$U$13:$X$25,Tablas!E1722)</f>
        <v>0</v>
      </c>
      <c r="K1722" s="1728"/>
      <c r="L1722" s="5170" t="s">
        <v>8132</v>
      </c>
      <c r="M1722" s="5170"/>
      <c r="N1722" s="5170"/>
      <c r="O1722" s="5170"/>
      <c r="P1722" s="5170"/>
      <c r="Q1722" s="5171"/>
      <c r="R1722" s="2497">
        <f>IF(OR($J1722=0,$J1722="Aprendida"),0,SUM($J$1702:$J1722))</f>
        <v>0</v>
      </c>
      <c r="T1722" s="2735" t="s">
        <v>8153</v>
      </c>
      <c r="U1722" s="2736">
        <v>1</v>
      </c>
      <c r="V1722" s="2737"/>
      <c r="W1722" s="2736"/>
      <c r="X1722" s="2736" t="s">
        <v>8154</v>
      </c>
      <c r="Y1722" s="2738">
        <v>-10</v>
      </c>
      <c r="AB1722" s="363"/>
      <c r="AC1722" s="2563"/>
    </row>
    <row r="1723" spans="1:29" ht="12.75" customHeight="1" x14ac:dyDescent="0.2">
      <c r="A1723" s="1916">
        <v>1723</v>
      </c>
      <c r="B1723" s="5148"/>
      <c r="E1723" s="2494" t="s">
        <v>7916</v>
      </c>
      <c r="F1723" s="1728"/>
      <c r="G1723" s="1728">
        <v>70</v>
      </c>
      <c r="H1723" s="1729">
        <f>IF(J1722,1,0)</f>
        <v>0</v>
      </c>
      <c r="I1723" s="1729">
        <v>10</v>
      </c>
      <c r="J1723" s="1729">
        <f>COUNTIF(Elan!$C$13:$F$25,Tablas!E1723)+COUNTIF(Elan!$U$13:$X$25,Tablas!E1723)</f>
        <v>0</v>
      </c>
      <c r="K1723" s="1728"/>
      <c r="L1723" s="5170" t="s">
        <v>8133</v>
      </c>
      <c r="M1723" s="5170"/>
      <c r="N1723" s="5170"/>
      <c r="O1723" s="5170"/>
      <c r="P1723" s="5170"/>
      <c r="Q1723" s="5171"/>
      <c r="R1723" s="2497">
        <f>IF(OR($J1723=0,$J1723="Aprendida"),0,SUM($J$1702:$J1723))</f>
        <v>0</v>
      </c>
      <c r="T1723" s="2735" t="s">
        <v>8156</v>
      </c>
      <c r="U1723" s="2736">
        <v>2</v>
      </c>
      <c r="V1723" s="2737"/>
      <c r="W1723" s="2736"/>
      <c r="X1723" s="2736"/>
      <c r="Y1723" s="2738"/>
      <c r="AB1723" s="363"/>
      <c r="AC1723" s="2563"/>
    </row>
    <row r="1724" spans="1:29" ht="12.75" customHeight="1" x14ac:dyDescent="0.2">
      <c r="A1724" s="1916">
        <v>1724</v>
      </c>
      <c r="B1724" s="5148"/>
      <c r="E1724" s="2494" t="s">
        <v>7917</v>
      </c>
      <c r="F1724" s="1728"/>
      <c r="G1724" s="1728">
        <v>80</v>
      </c>
      <c r="H1724" s="1729">
        <v>1</v>
      </c>
      <c r="I1724" s="1729">
        <v>15</v>
      </c>
      <c r="J1724" s="1729">
        <f>COUNTIF(Elan!$C$13:$F$25,Tablas!E1724)+COUNTIF(Elan!$U$13:$X$25,Tablas!E1724)</f>
        <v>0</v>
      </c>
      <c r="K1724" s="1728"/>
      <c r="L1724" s="5170" t="s">
        <v>8134</v>
      </c>
      <c r="M1724" s="5170"/>
      <c r="N1724" s="5170"/>
      <c r="O1724" s="5170"/>
      <c r="P1724" s="5170"/>
      <c r="Q1724" s="5171"/>
      <c r="R1724" s="2497">
        <f>IF(OR($J1724=0,$J1724="Aprendida"),0,SUM($J$1702:$J1724))</f>
        <v>0</v>
      </c>
      <c r="T1724" s="2739"/>
      <c r="U1724" s="2740"/>
      <c r="V1724" s="2740"/>
      <c r="W1724" s="2740"/>
      <c r="X1724" s="2740"/>
      <c r="Y1724" s="2741"/>
      <c r="AB1724" s="363"/>
      <c r="AC1724" s="2563"/>
    </row>
    <row r="1725" spans="1:29" ht="12.75" customHeight="1" x14ac:dyDescent="0.2">
      <c r="A1725" s="1916">
        <v>1725</v>
      </c>
      <c r="B1725" s="5148"/>
      <c r="E1725" s="2494" t="s">
        <v>7918</v>
      </c>
      <c r="F1725" s="1728"/>
      <c r="G1725" s="1728">
        <v>90</v>
      </c>
      <c r="H1725" s="1729">
        <v>1</v>
      </c>
      <c r="I1725" s="1729">
        <v>20</v>
      </c>
      <c r="J1725" s="1729">
        <f>COUNTIF(Elan!$C$13:$F$25,Tablas!E1725)+COUNTIF(Elan!$U$13:$X$25,Tablas!E1725)</f>
        <v>0</v>
      </c>
      <c r="K1725" s="1728"/>
      <c r="L1725" s="5170" t="s">
        <v>8135</v>
      </c>
      <c r="M1725" s="5170"/>
      <c r="N1725" s="5170"/>
      <c r="O1725" s="5170"/>
      <c r="P1725" s="5170"/>
      <c r="Q1725" s="5171"/>
      <c r="R1725" s="2497">
        <f>IF(OR($J1725=0,$J1725="Aprendida"),0,SUM($J$1702:$J1725))</f>
        <v>0</v>
      </c>
      <c r="T1725" s="2732" t="str">
        <f>E1741</f>
        <v>Jedah</v>
      </c>
      <c r="U1725" s="2733"/>
      <c r="V1725" s="2742"/>
      <c r="W1725" s="2733"/>
      <c r="X1725" s="2733"/>
      <c r="Y1725" s="2734"/>
      <c r="AB1725" s="363"/>
      <c r="AC1725" s="2563"/>
    </row>
    <row r="1726" spans="1:29" ht="12.75" customHeight="1" x14ac:dyDescent="0.2">
      <c r="A1726" s="1916">
        <v>1726</v>
      </c>
      <c r="B1726" s="5148"/>
      <c r="E1726" s="2494" t="s">
        <v>7919</v>
      </c>
      <c r="F1726" s="1728"/>
      <c r="G1726" s="1728">
        <v>100</v>
      </c>
      <c r="H1726" s="1729">
        <v>1</v>
      </c>
      <c r="I1726" s="1729">
        <v>10</v>
      </c>
      <c r="J1726" s="1729">
        <f>COUNTIF(Elan!$C$13:$F$25,Tablas!E1726)+COUNTIF(Elan!$U$13:$X$25,Tablas!E1726)</f>
        <v>0</v>
      </c>
      <c r="K1726" s="1728"/>
      <c r="L1726" s="5170" t="s">
        <v>8136</v>
      </c>
      <c r="M1726" s="5170"/>
      <c r="N1726" s="5170"/>
      <c r="O1726" s="5170"/>
      <c r="P1726" s="5170"/>
      <c r="Q1726" s="5171"/>
      <c r="R1726" s="2497">
        <f>IF(OR($J1726=0,$J1726="Aprendida"),0,SUM($J$1702:$J1726))</f>
        <v>0</v>
      </c>
      <c r="T1726" s="2735" t="s">
        <v>8421</v>
      </c>
      <c r="U1726" s="2736">
        <v>1</v>
      </c>
      <c r="V1726" s="2737" t="s">
        <v>8165</v>
      </c>
      <c r="W1726" s="2736">
        <v>1</v>
      </c>
      <c r="X1726" s="2736" t="s">
        <v>8166</v>
      </c>
      <c r="Y1726" s="2738">
        <v>-2</v>
      </c>
      <c r="AB1726" s="363"/>
      <c r="AC1726" s="2563"/>
    </row>
    <row r="1727" spans="1:29" ht="12.75" customHeight="1" x14ac:dyDescent="0.2">
      <c r="A1727" s="1916">
        <v>1727</v>
      </c>
      <c r="B1727" s="5148"/>
      <c r="E1727" s="2493" t="s">
        <v>7886</v>
      </c>
      <c r="F1727" s="2485">
        <f>IF(Elan!$C$11=Tablas!$E1727,Elan!$G$11,IF(Elan!$U$11=Tablas!$E1727,Elan!$Y$11,0))</f>
        <v>0</v>
      </c>
      <c r="G1727" s="2486" t="s">
        <v>2149</v>
      </c>
      <c r="H1727" s="2486" t="s">
        <v>10012</v>
      </c>
      <c r="I1727" s="2486" t="s">
        <v>1801</v>
      </c>
      <c r="J1727" s="2486" t="s">
        <v>7897</v>
      </c>
      <c r="K1727" s="2486" t="s">
        <v>8676</v>
      </c>
      <c r="L1727" s="2486" t="s">
        <v>1861</v>
      </c>
      <c r="M1727" s="1730"/>
      <c r="N1727" s="1730"/>
      <c r="O1727" s="1730"/>
      <c r="P1727" s="1730"/>
      <c r="Q1727" s="2491"/>
      <c r="R1727" s="2497">
        <f>IF(OR($J1727=0,$J1727="Aprendida"),0,SUM($J$1702:$J1727))</f>
        <v>0</v>
      </c>
      <c r="T1727" s="2735" t="s">
        <v>8168</v>
      </c>
      <c r="U1727" s="2736">
        <v>3</v>
      </c>
      <c r="V1727" s="2737" t="s">
        <v>8169</v>
      </c>
      <c r="W1727" s="2736">
        <v>3</v>
      </c>
      <c r="X1727" s="2736" t="s">
        <v>8170</v>
      </c>
      <c r="Y1727" s="2738">
        <v>-3</v>
      </c>
      <c r="AB1727" s="363"/>
      <c r="AC1727" s="2563"/>
    </row>
    <row r="1728" spans="1:29" ht="12.75" customHeight="1" x14ac:dyDescent="0.2">
      <c r="A1728" s="1916">
        <v>1728</v>
      </c>
      <c r="B1728" s="5148"/>
      <c r="E1728" s="2494" t="s">
        <v>7920</v>
      </c>
      <c r="F1728" s="1728"/>
      <c r="G1728" s="1728">
        <v>10</v>
      </c>
      <c r="H1728" s="1729">
        <v>1</v>
      </c>
      <c r="I1728" s="1729">
        <v>5</v>
      </c>
      <c r="J1728" s="1729">
        <f>COUNTIF(Elan!$C$13:$F$25,Tablas!E1728)+COUNTIF(Elan!$U$13:$X$25,Tablas!E1728)</f>
        <v>0</v>
      </c>
      <c r="K1728" s="1728"/>
      <c r="L1728" s="5170" t="s">
        <v>8137</v>
      </c>
      <c r="M1728" s="5170"/>
      <c r="N1728" s="5170"/>
      <c r="O1728" s="5170"/>
      <c r="P1728" s="5170"/>
      <c r="Q1728" s="5171"/>
      <c r="R1728" s="2497">
        <f>IF(OR($J1728=0,$J1728="Aprendida"),0,SUM($J$1702:$J1728))</f>
        <v>0</v>
      </c>
      <c r="T1728" s="2735" t="s">
        <v>8172</v>
      </c>
      <c r="U1728" s="2736">
        <v>2</v>
      </c>
      <c r="V1728" s="2737" t="s">
        <v>8173</v>
      </c>
      <c r="W1728" s="2736">
        <v>3</v>
      </c>
      <c r="X1728" s="2736" t="s">
        <v>8174</v>
      </c>
      <c r="Y1728" s="2738">
        <v>-2</v>
      </c>
      <c r="AB1728" s="363"/>
      <c r="AC1728" s="2563"/>
    </row>
    <row r="1729" spans="1:29" ht="12.75" customHeight="1" x14ac:dyDescent="0.2">
      <c r="A1729" s="1916">
        <v>1729</v>
      </c>
      <c r="B1729" s="5148"/>
      <c r="E1729" s="2494" t="s">
        <v>7921</v>
      </c>
      <c r="F1729" s="1728"/>
      <c r="G1729" s="1728">
        <v>20</v>
      </c>
      <c r="H1729" s="1729">
        <v>1</v>
      </c>
      <c r="I1729" s="1729">
        <v>5</v>
      </c>
      <c r="J1729" s="1729">
        <f>COUNTIF(Elan!$C$13:$F$25,Tablas!E1729)+COUNTIF(Elan!$U$13:$X$25,Tablas!E1729)</f>
        <v>0</v>
      </c>
      <c r="K1729" s="1728"/>
      <c r="L1729" s="5170" t="s">
        <v>8141</v>
      </c>
      <c r="M1729" s="5170"/>
      <c r="N1729" s="5170"/>
      <c r="O1729" s="5170"/>
      <c r="P1729" s="5170"/>
      <c r="Q1729" s="5171"/>
      <c r="R1729" s="2497">
        <f>IF(OR($J1729=0,$J1729="Aprendida"),0,SUM($J$1702:$J1729))</f>
        <v>0</v>
      </c>
      <c r="T1729" s="2735" t="s">
        <v>8176</v>
      </c>
      <c r="U1729" s="2736">
        <v>3</v>
      </c>
      <c r="V1729" s="2737"/>
      <c r="W1729" s="2736"/>
      <c r="X1729" s="2736" t="s">
        <v>8177</v>
      </c>
      <c r="Y1729" s="2738">
        <v>-4</v>
      </c>
      <c r="AB1729" s="363"/>
      <c r="AC1729" s="2563"/>
    </row>
    <row r="1730" spans="1:29" ht="12.75" customHeight="1" x14ac:dyDescent="0.2">
      <c r="A1730" s="1916">
        <v>1730</v>
      </c>
      <c r="B1730" s="5148"/>
      <c r="E1730" s="2494" t="s">
        <v>7922</v>
      </c>
      <c r="F1730" s="1728"/>
      <c r="G1730" s="1728">
        <v>20</v>
      </c>
      <c r="H1730" s="1729">
        <v>1</v>
      </c>
      <c r="I1730" s="1729">
        <v>10</v>
      </c>
      <c r="J1730" s="1729">
        <f>COUNTIF(Elan!$C$13:$F$25,Tablas!E1730)+COUNTIF(Elan!$U$13:$X$25,Tablas!E1730)</f>
        <v>0</v>
      </c>
      <c r="K1730" s="1728"/>
      <c r="L1730" s="5170" t="s">
        <v>8145</v>
      </c>
      <c r="M1730" s="5170"/>
      <c r="N1730" s="5170"/>
      <c r="O1730" s="5170"/>
      <c r="P1730" s="5170"/>
      <c r="Q1730" s="5171"/>
      <c r="R1730" s="2497">
        <f>IF(OR($J1730=0,$J1730="Aprendida"),0,SUM($J$1702:$J1730))</f>
        <v>0</v>
      </c>
      <c r="T1730" s="2735" t="s">
        <v>8179</v>
      </c>
      <c r="U1730" s="2736">
        <v>3</v>
      </c>
      <c r="V1730" s="2737"/>
      <c r="W1730" s="2736"/>
      <c r="X1730" s="2736"/>
      <c r="Y1730" s="2738"/>
      <c r="AB1730" s="363"/>
      <c r="AC1730" s="2563"/>
    </row>
    <row r="1731" spans="1:29" ht="12.75" customHeight="1" x14ac:dyDescent="0.2">
      <c r="A1731" s="1916">
        <v>1731</v>
      </c>
      <c r="B1731" s="5148"/>
      <c r="E1731" s="2494" t="s">
        <v>7923</v>
      </c>
      <c r="F1731" s="1728"/>
      <c r="G1731" s="1728">
        <v>30</v>
      </c>
      <c r="H1731" s="1729">
        <v>1</v>
      </c>
      <c r="I1731" s="1729">
        <v>5</v>
      </c>
      <c r="J1731" s="1729">
        <f>COUNTIF(Elan!$C$13:$F$25,Tablas!E1731)+COUNTIF(Elan!$U$13:$X$25,Tablas!E1731)</f>
        <v>0</v>
      </c>
      <c r="K1731" s="1728"/>
      <c r="L1731" s="5170" t="s">
        <v>8149</v>
      </c>
      <c r="M1731" s="5170"/>
      <c r="N1731" s="5170"/>
      <c r="O1731" s="5170"/>
      <c r="P1731" s="5170"/>
      <c r="Q1731" s="5171"/>
      <c r="R1731" s="2497">
        <f>IF(OR($J1731=0,$J1731="Aprendida"),0,SUM($J$1702:$J1731))</f>
        <v>0</v>
      </c>
      <c r="T1731" s="2735" t="s">
        <v>8181</v>
      </c>
      <c r="U1731" s="2736">
        <v>2</v>
      </c>
      <c r="V1731" s="2737"/>
      <c r="W1731" s="2736"/>
      <c r="X1731" s="2736"/>
      <c r="Y1731" s="2738"/>
      <c r="AB1731" s="363"/>
      <c r="AC1731" s="2563"/>
    </row>
    <row r="1732" spans="1:29" ht="12.75" customHeight="1" x14ac:dyDescent="0.2">
      <c r="A1732" s="1916">
        <v>1732</v>
      </c>
      <c r="B1732" s="5148"/>
      <c r="E1732" s="2494" t="s">
        <v>7924</v>
      </c>
      <c r="F1732" s="1728"/>
      <c r="G1732" s="1728">
        <v>40</v>
      </c>
      <c r="H1732" s="1729">
        <v>1</v>
      </c>
      <c r="I1732" s="1729">
        <v>10</v>
      </c>
      <c r="J1732" s="1729">
        <f>COUNTIF(Elan!$C$13:$F$25,Tablas!E1732)+COUNTIF(Elan!$U$13:$X$25,Tablas!E1732)</f>
        <v>0</v>
      </c>
      <c r="K1732" s="1728"/>
      <c r="L1732" s="5170" t="s">
        <v>8152</v>
      </c>
      <c r="M1732" s="5170"/>
      <c r="N1732" s="5170"/>
      <c r="O1732" s="5170"/>
      <c r="P1732" s="5170"/>
      <c r="Q1732" s="5171"/>
      <c r="R1732" s="2497">
        <f>IF(OR($J1732=0,$J1732="Aprendida"),0,SUM($J$1702:$J1732))</f>
        <v>0</v>
      </c>
      <c r="T1732" s="2739"/>
      <c r="U1732" s="2740"/>
      <c r="V1732" s="2740"/>
      <c r="W1732" s="2740"/>
      <c r="X1732" s="2740"/>
      <c r="Y1732" s="2741"/>
      <c r="AB1732" s="363"/>
      <c r="AC1732" s="2563"/>
    </row>
    <row r="1733" spans="1:29" ht="12.75" customHeight="1" x14ac:dyDescent="0.2">
      <c r="A1733" s="1916">
        <v>1733</v>
      </c>
      <c r="B1733" s="5148"/>
      <c r="E1733" s="2494" t="s">
        <v>7925</v>
      </c>
      <c r="F1733" s="1728"/>
      <c r="G1733" s="1728">
        <v>40</v>
      </c>
      <c r="H1733" s="1729">
        <v>1</v>
      </c>
      <c r="I1733" s="1729">
        <v>5</v>
      </c>
      <c r="J1733" s="1729">
        <f>COUNTIF(Elan!$C$13:$F$25,Tablas!E1733)+COUNTIF(Elan!$U$13:$X$25,Tablas!E1733)</f>
        <v>0</v>
      </c>
      <c r="K1733" s="1728"/>
      <c r="L1733" s="5170" t="s">
        <v>8155</v>
      </c>
      <c r="M1733" s="5170"/>
      <c r="N1733" s="5170"/>
      <c r="O1733" s="5170"/>
      <c r="P1733" s="5170"/>
      <c r="Q1733" s="5171"/>
      <c r="R1733" s="2497">
        <f>IF(OR($J1733=0,$J1733="Aprendida"),0,SUM($J$1702:$J1733))</f>
        <v>0</v>
      </c>
      <c r="T1733" s="2739"/>
      <c r="U1733" s="2740"/>
      <c r="V1733" s="2740"/>
      <c r="W1733" s="2740"/>
      <c r="X1733" s="2740"/>
      <c r="Y1733" s="2741"/>
      <c r="AB1733" s="363"/>
      <c r="AC1733" s="2563"/>
    </row>
    <row r="1734" spans="1:29" ht="12.75" customHeight="1" x14ac:dyDescent="0.2">
      <c r="A1734" s="1916">
        <v>1734</v>
      </c>
      <c r="B1734" s="5148"/>
      <c r="E1734" s="2494" t="s">
        <v>7926</v>
      </c>
      <c r="F1734" s="1728"/>
      <c r="G1734" s="1728">
        <v>50</v>
      </c>
      <c r="H1734" s="1729">
        <v>1</v>
      </c>
      <c r="I1734" s="1729">
        <v>10</v>
      </c>
      <c r="J1734" s="1729">
        <f>COUNTIF(Elan!$C$13:$F$25,Tablas!E1734)+COUNTIF(Elan!$U$13:$X$25,Tablas!E1734)</f>
        <v>0</v>
      </c>
      <c r="K1734" s="1728"/>
      <c r="L1734" s="5170" t="s">
        <v>8157</v>
      </c>
      <c r="M1734" s="5170"/>
      <c r="N1734" s="5170"/>
      <c r="O1734" s="5170"/>
      <c r="P1734" s="5170"/>
      <c r="Q1734" s="5171"/>
      <c r="R1734" s="2497">
        <f>IF(OR($J1734=0,$J1734="Aprendida"),0,SUM($J$1702:$J1734))</f>
        <v>0</v>
      </c>
      <c r="T1734" s="2732" t="str">
        <f>E1755</f>
        <v>Gabriel</v>
      </c>
      <c r="U1734" s="2733"/>
      <c r="V1734" s="2742"/>
      <c r="W1734" s="2733"/>
      <c r="X1734" s="2733"/>
      <c r="Y1734" s="2734"/>
      <c r="AB1734" s="363"/>
      <c r="AC1734" s="2563"/>
    </row>
    <row r="1735" spans="1:29" ht="12.75" customHeight="1" x14ac:dyDescent="0.2">
      <c r="A1735" s="1916">
        <v>1735</v>
      </c>
      <c r="B1735" s="5148"/>
      <c r="E1735" s="2494" t="s">
        <v>7927</v>
      </c>
      <c r="F1735" s="1728"/>
      <c r="G1735" s="1728">
        <v>60</v>
      </c>
      <c r="H1735" s="1729">
        <f>IF(J1732,1,0)</f>
        <v>0</v>
      </c>
      <c r="I1735" s="1729">
        <v>20</v>
      </c>
      <c r="J1735" s="1729">
        <f>COUNTIF(Elan!$C$13:$F$25,Tablas!E1735)+COUNTIF(Elan!$U$13:$X$25,Tablas!E1735)</f>
        <v>0</v>
      </c>
      <c r="K1735" s="1728"/>
      <c r="L1735" s="5170" t="s">
        <v>8158</v>
      </c>
      <c r="M1735" s="5170"/>
      <c r="N1735" s="5170"/>
      <c r="O1735" s="5170"/>
      <c r="P1735" s="5170"/>
      <c r="Q1735" s="5171"/>
      <c r="R1735" s="2497">
        <f>IF(OR($J1735=0,$J1735="Aprendida"),0,SUM($J$1702:$J1735))</f>
        <v>0</v>
      </c>
      <c r="T1735" s="2735" t="s">
        <v>8189</v>
      </c>
      <c r="U1735" s="2736">
        <v>3</v>
      </c>
      <c r="V1735" s="2737" t="s">
        <v>8190</v>
      </c>
      <c r="W1735" s="2736">
        <v>3</v>
      </c>
      <c r="X1735" s="2736" t="s">
        <v>8191</v>
      </c>
      <c r="Y1735" s="2738">
        <v>-2</v>
      </c>
      <c r="AB1735" s="363"/>
      <c r="AC1735" s="2563"/>
    </row>
    <row r="1736" spans="1:29" ht="12.75" customHeight="1" x14ac:dyDescent="0.2">
      <c r="A1736" s="1916">
        <v>1736</v>
      </c>
      <c r="B1736" s="5148"/>
      <c r="E1736" s="2494" t="s">
        <v>7928</v>
      </c>
      <c r="F1736" s="1728"/>
      <c r="G1736" s="1728">
        <v>60</v>
      </c>
      <c r="H1736" s="1729">
        <v>1</v>
      </c>
      <c r="I1736" s="1729">
        <v>15</v>
      </c>
      <c r="J1736" s="1729">
        <f>COUNTIF(Elan!$C$13:$F$25,Tablas!E1736)+COUNTIF(Elan!$U$13:$X$25,Tablas!E1736)</f>
        <v>0</v>
      </c>
      <c r="K1736" s="1728"/>
      <c r="L1736" s="5170" t="s">
        <v>8159</v>
      </c>
      <c r="M1736" s="5170"/>
      <c r="N1736" s="5170"/>
      <c r="O1736" s="5170"/>
      <c r="P1736" s="5170"/>
      <c r="Q1736" s="5171"/>
      <c r="R1736" s="2497">
        <f>IF(OR($J1736=0,$J1736="Aprendida"),0,SUM($J$1702:$J1736))</f>
        <v>0</v>
      </c>
      <c r="T1736" s="2735" t="s">
        <v>8193</v>
      </c>
      <c r="U1736" s="2736">
        <v>1</v>
      </c>
      <c r="V1736" s="2737" t="s">
        <v>8194</v>
      </c>
      <c r="W1736" s="2736">
        <v>2</v>
      </c>
      <c r="X1736" s="2736" t="s">
        <v>8195</v>
      </c>
      <c r="Y1736" s="2738">
        <v>-3</v>
      </c>
      <c r="AB1736" s="363"/>
      <c r="AC1736" s="2563"/>
    </row>
    <row r="1737" spans="1:29" ht="12.75" customHeight="1" x14ac:dyDescent="0.2">
      <c r="A1737" s="1916">
        <v>1737</v>
      </c>
      <c r="B1737" s="5148"/>
      <c r="E1737" s="2494" t="s">
        <v>7929</v>
      </c>
      <c r="F1737" s="1728"/>
      <c r="G1737" s="1728">
        <v>70</v>
      </c>
      <c r="H1737" s="1729">
        <v>1</v>
      </c>
      <c r="I1737" s="1729">
        <v>10</v>
      </c>
      <c r="J1737" s="1729">
        <f>COUNTIF(Elan!$C$13:$F$25,Tablas!E1737)+COUNTIF(Elan!$U$13:$X$25,Tablas!E1737)</f>
        <v>0</v>
      </c>
      <c r="K1737" s="1728">
        <f>IF(J1737&gt;0,1,0)</f>
        <v>0</v>
      </c>
      <c r="L1737" s="5170" t="s">
        <v>8160</v>
      </c>
      <c r="M1737" s="5170"/>
      <c r="N1737" s="5170"/>
      <c r="O1737" s="5170"/>
      <c r="P1737" s="5170"/>
      <c r="Q1737" s="5171"/>
      <c r="R1737" s="2497">
        <f>IF(OR($J1737=0,$J1737="Aprendida"),0,SUM($J$1702:$J1737))</f>
        <v>0</v>
      </c>
      <c r="T1737" s="2735" t="s">
        <v>8100</v>
      </c>
      <c r="U1737" s="2736">
        <v>2</v>
      </c>
      <c r="V1737" s="2737" t="s">
        <v>8197</v>
      </c>
      <c r="W1737" s="2736">
        <v>1</v>
      </c>
      <c r="X1737" s="2736" t="s">
        <v>8198</v>
      </c>
      <c r="Y1737" s="2738">
        <v>-2</v>
      </c>
      <c r="AB1737" s="363"/>
      <c r="AC1737" s="2563"/>
    </row>
    <row r="1738" spans="1:29" ht="12.75" customHeight="1" x14ac:dyDescent="0.2">
      <c r="A1738" s="1916">
        <v>1738</v>
      </c>
      <c r="B1738" s="5148"/>
      <c r="E1738" s="2494" t="s">
        <v>7930</v>
      </c>
      <c r="F1738" s="1728"/>
      <c r="G1738" s="1728">
        <v>80</v>
      </c>
      <c r="H1738" s="1729">
        <v>1</v>
      </c>
      <c r="I1738" s="1729">
        <v>10</v>
      </c>
      <c r="J1738" s="1729">
        <f>COUNTIF(Elan!$C$13:$F$25,Tablas!E1738)+COUNTIF(Elan!$U$13:$X$25,Tablas!E1738)</f>
        <v>0</v>
      </c>
      <c r="K1738" s="1728"/>
      <c r="L1738" s="5170" t="s">
        <v>8161</v>
      </c>
      <c r="M1738" s="5170"/>
      <c r="N1738" s="5170"/>
      <c r="O1738" s="5170"/>
      <c r="P1738" s="5170"/>
      <c r="Q1738" s="5171"/>
      <c r="R1738" s="2497">
        <f>IF(OR($J1738=0,$J1738="Aprendida"),0,SUM($J$1702:$J1738))</f>
        <v>0</v>
      </c>
      <c r="T1738" s="2735" t="s">
        <v>8200</v>
      </c>
      <c r="U1738" s="2736">
        <v>3</v>
      </c>
      <c r="V1738" s="2737" t="s">
        <v>8201</v>
      </c>
      <c r="W1738" s="2736">
        <v>2</v>
      </c>
      <c r="X1738" s="2736" t="s">
        <v>8202</v>
      </c>
      <c r="Y1738" s="2738">
        <v>-1</v>
      </c>
      <c r="AB1738" s="363"/>
      <c r="AC1738" s="2563"/>
    </row>
    <row r="1739" spans="1:29" ht="12.75" customHeight="1" x14ac:dyDescent="0.2">
      <c r="A1739" s="1916">
        <v>1739</v>
      </c>
      <c r="B1739" s="5148"/>
      <c r="E1739" s="2494" t="s">
        <v>7931</v>
      </c>
      <c r="F1739" s="1728"/>
      <c r="G1739" s="1728">
        <v>90</v>
      </c>
      <c r="H1739" s="1729">
        <v>1</v>
      </c>
      <c r="I1739" s="1729">
        <v>20</v>
      </c>
      <c r="J1739" s="1729">
        <f>COUNTIF(Elan!$C$13:$F$25,Tablas!E1739)+COUNTIF(Elan!$U$13:$X$25,Tablas!E1739)</f>
        <v>0</v>
      </c>
      <c r="K1739" s="1728"/>
      <c r="L1739" s="5170" t="s">
        <v>8162</v>
      </c>
      <c r="M1739" s="5170"/>
      <c r="N1739" s="5170"/>
      <c r="O1739" s="5170"/>
      <c r="P1739" s="5170"/>
      <c r="Q1739" s="5171"/>
      <c r="R1739" s="2497">
        <f>IF(OR($J1739=0,$J1739="Aprendida"),0,SUM($J$1702:$J1739))</f>
        <v>0</v>
      </c>
      <c r="T1739" s="2735" t="s">
        <v>8204</v>
      </c>
      <c r="U1739" s="2736">
        <v>1</v>
      </c>
      <c r="V1739" s="2737"/>
      <c r="W1739" s="2736"/>
      <c r="X1739" s="2736" t="s">
        <v>8205</v>
      </c>
      <c r="Y1739" s="2738">
        <v>-5</v>
      </c>
      <c r="AB1739" s="363"/>
      <c r="AC1739" s="2563"/>
    </row>
    <row r="1740" spans="1:29" ht="12.75" customHeight="1" x14ac:dyDescent="0.2">
      <c r="A1740" s="1916">
        <v>1740</v>
      </c>
      <c r="B1740" s="5148"/>
      <c r="E1740" s="2494" t="s">
        <v>7932</v>
      </c>
      <c r="F1740" s="1728"/>
      <c r="G1740" s="1728">
        <v>100</v>
      </c>
      <c r="H1740" s="1729">
        <v>1</v>
      </c>
      <c r="I1740" s="1729">
        <v>10</v>
      </c>
      <c r="J1740" s="1729">
        <f>COUNTIF(Elan!$C$13:$F$25,Tablas!E1740)+COUNTIF(Elan!$U$13:$X$25,Tablas!E1740)</f>
        <v>0</v>
      </c>
      <c r="K1740" s="1728"/>
      <c r="L1740" s="5170" t="s">
        <v>8163</v>
      </c>
      <c r="M1740" s="5170"/>
      <c r="N1740" s="5170"/>
      <c r="O1740" s="5170"/>
      <c r="P1740" s="5170"/>
      <c r="Q1740" s="5171"/>
      <c r="R1740" s="2497">
        <f>IF(OR($J1740=0,$J1740="Aprendida"),0,SUM($J$1702:$J1740))</f>
        <v>0</v>
      </c>
      <c r="T1740" s="2739"/>
      <c r="U1740" s="2740"/>
      <c r="V1740" s="2740"/>
      <c r="W1740" s="2740"/>
      <c r="X1740" s="2740"/>
      <c r="Y1740" s="2741"/>
      <c r="AB1740" s="363"/>
      <c r="AC1740" s="2563"/>
    </row>
    <row r="1741" spans="1:29" ht="12.75" customHeight="1" x14ac:dyDescent="0.2">
      <c r="A1741" s="1916">
        <v>1741</v>
      </c>
      <c r="B1741" s="5148"/>
      <c r="E1741" s="2493" t="s">
        <v>7887</v>
      </c>
      <c r="F1741" s="2485">
        <f>IF(Elan!$C$11=Tablas!$E1741,Elan!$G$11,IF(Elan!$U$11=Tablas!$E1741,Elan!$Y$11,0))</f>
        <v>0</v>
      </c>
      <c r="G1741" s="2486" t="s">
        <v>2149</v>
      </c>
      <c r="H1741" s="2486" t="s">
        <v>10012</v>
      </c>
      <c r="I1741" s="2486" t="s">
        <v>1801</v>
      </c>
      <c r="J1741" s="2486" t="s">
        <v>7897</v>
      </c>
      <c r="K1741" s="2486" t="s">
        <v>8676</v>
      </c>
      <c r="L1741" s="2486" t="s">
        <v>1861</v>
      </c>
      <c r="M1741" s="1730"/>
      <c r="N1741" s="1730"/>
      <c r="O1741" s="1730"/>
      <c r="P1741" s="1730"/>
      <c r="Q1741" s="2491"/>
      <c r="R1741" s="2497">
        <f>IF(OR($J1741=0,$J1741="Aprendida"),0,SUM($J$1702:$J1741))</f>
        <v>0</v>
      </c>
      <c r="T1741" s="2739"/>
      <c r="U1741" s="2740"/>
      <c r="V1741" s="2740"/>
      <c r="W1741" s="2740"/>
      <c r="X1741" s="2740"/>
      <c r="Y1741" s="2741"/>
      <c r="AB1741" s="363"/>
      <c r="AC1741" s="2563"/>
    </row>
    <row r="1742" spans="1:29" ht="12.75" customHeight="1" x14ac:dyDescent="0.2">
      <c r="A1742" s="1916">
        <v>1742</v>
      </c>
      <c r="B1742" s="5148"/>
      <c r="E1742" s="2494" t="s">
        <v>7933</v>
      </c>
      <c r="F1742" s="1728"/>
      <c r="G1742" s="1728">
        <v>10</v>
      </c>
      <c r="H1742" s="1729">
        <v>1</v>
      </c>
      <c r="I1742" s="1729">
        <v>5</v>
      </c>
      <c r="J1742" s="1729">
        <f>COUNTIF(Elan!$C$13:$F$25,Tablas!E1742)+COUNTIF(Elan!$U$13:$X$25,Tablas!E1742)</f>
        <v>0</v>
      </c>
      <c r="K1742" s="1728">
        <f>F$1741*J1742</f>
        <v>0</v>
      </c>
      <c r="L1742" s="5170" t="s">
        <v>8164</v>
      </c>
      <c r="M1742" s="5170"/>
      <c r="N1742" s="5170"/>
      <c r="O1742" s="5170"/>
      <c r="P1742" s="5170"/>
      <c r="Q1742" s="5171"/>
      <c r="R1742" s="2497">
        <f>IF(OR($J1742=0,$J1742="Aprendida"),0,SUM($J$1702:$J1742))</f>
        <v>0</v>
      </c>
      <c r="T1742" s="2732" t="str">
        <f>E1768</f>
        <v>Noah</v>
      </c>
      <c r="U1742" s="2733"/>
      <c r="V1742" s="2742"/>
      <c r="W1742" s="2733"/>
      <c r="X1742" s="2733"/>
      <c r="Y1742" s="2734"/>
      <c r="AB1742" s="363"/>
      <c r="AC1742" s="2563"/>
    </row>
    <row r="1743" spans="1:29" ht="12.75" customHeight="1" x14ac:dyDescent="0.2">
      <c r="A1743" s="1916">
        <v>1743</v>
      </c>
      <c r="B1743" s="5148"/>
      <c r="E1743" s="2494" t="s">
        <v>7934</v>
      </c>
      <c r="F1743" s="1728"/>
      <c r="G1743" s="1728">
        <v>20</v>
      </c>
      <c r="H1743" s="1729">
        <v>1</v>
      </c>
      <c r="I1743" s="1729">
        <v>10</v>
      </c>
      <c r="J1743" s="1729">
        <f>COUNTIF(Elan!$C$13:$F$25,Tablas!E1743)+COUNTIF(Elan!$U$13:$X$25,Tablas!E1743)</f>
        <v>0</v>
      </c>
      <c r="K1743" s="1728">
        <f>ROUNDDOWN(F$1741/2,0)*J1743</f>
        <v>0</v>
      </c>
      <c r="L1743" s="5170" t="s">
        <v>8167</v>
      </c>
      <c r="M1743" s="5170"/>
      <c r="N1743" s="5170"/>
      <c r="O1743" s="5170"/>
      <c r="P1743" s="5170"/>
      <c r="Q1743" s="5171"/>
      <c r="R1743" s="2497">
        <f>IF(OR($J1743=0,$J1743="Aprendida"),0,SUM($J$1702:$J1743))</f>
        <v>0</v>
      </c>
      <c r="T1743" s="2735" t="s">
        <v>8214</v>
      </c>
      <c r="U1743" s="2736">
        <v>2</v>
      </c>
      <c r="V1743" s="2737" t="s">
        <v>8215</v>
      </c>
      <c r="W1743" s="2736">
        <v>1</v>
      </c>
      <c r="X1743" s="2736" t="s">
        <v>8216</v>
      </c>
      <c r="Y1743" s="2738">
        <v>-2</v>
      </c>
      <c r="AB1743" s="363"/>
      <c r="AC1743" s="2563"/>
    </row>
    <row r="1744" spans="1:29" ht="12.75" customHeight="1" x14ac:dyDescent="0.2">
      <c r="A1744" s="1916">
        <v>1744</v>
      </c>
      <c r="B1744" s="5148"/>
      <c r="E1744" s="2494" t="s">
        <v>2418</v>
      </c>
      <c r="F1744" s="1728"/>
      <c r="G1744" s="1728">
        <v>30</v>
      </c>
      <c r="H1744" s="1729">
        <v>1</v>
      </c>
      <c r="I1744" s="1729">
        <v>5</v>
      </c>
      <c r="J1744" s="1729">
        <f>COUNTIF(Elan!$C$13:$F$25,Tablas!E1744)+COUNTIF(Elan!$U$13:$X$25,Tablas!E1744)</f>
        <v>0</v>
      </c>
      <c r="K1744" s="1728"/>
      <c r="L1744" s="5170" t="s">
        <v>8171</v>
      </c>
      <c r="M1744" s="5170"/>
      <c r="N1744" s="5170"/>
      <c r="O1744" s="5170"/>
      <c r="P1744" s="5170"/>
      <c r="Q1744" s="5171"/>
      <c r="R1744" s="2497">
        <f>IF(OR($J1744=0,$J1744="Aprendida"),0,SUM($J$1702:$J1744))</f>
        <v>0</v>
      </c>
      <c r="T1744" s="2735" t="s">
        <v>8218</v>
      </c>
      <c r="U1744" s="2736">
        <v>3</v>
      </c>
      <c r="V1744" s="2737" t="s">
        <v>8219</v>
      </c>
      <c r="W1744" s="2736">
        <v>2</v>
      </c>
      <c r="X1744" s="2736" t="s">
        <v>8220</v>
      </c>
      <c r="Y1744" s="2738">
        <v>-5</v>
      </c>
      <c r="AB1744" s="363"/>
      <c r="AC1744" s="2563"/>
    </row>
    <row r="1745" spans="1:29" ht="12.75" customHeight="1" x14ac:dyDescent="0.2">
      <c r="A1745" s="1916">
        <v>1745</v>
      </c>
      <c r="B1745" s="5148"/>
      <c r="E1745" s="2494" t="s">
        <v>7935</v>
      </c>
      <c r="F1745" s="1728"/>
      <c r="G1745" s="1728">
        <v>40</v>
      </c>
      <c r="H1745" s="1729">
        <v>1</v>
      </c>
      <c r="I1745" s="1729">
        <v>5</v>
      </c>
      <c r="J1745" s="1729">
        <f>COUNTIF(Elan!$C$13:$F$25,Tablas!E1745)+COUNTIF(Elan!$U$13:$X$25,Tablas!E1745)</f>
        <v>0</v>
      </c>
      <c r="K1745" s="1728"/>
      <c r="L1745" s="5170" t="s">
        <v>8175</v>
      </c>
      <c r="M1745" s="5170"/>
      <c r="N1745" s="5170"/>
      <c r="O1745" s="5170"/>
      <c r="P1745" s="5170"/>
      <c r="Q1745" s="5171"/>
      <c r="R1745" s="2497">
        <f>IF(OR($J1745=0,$J1745="Aprendida"),0,SUM($J$1702:$J1745))</f>
        <v>0</v>
      </c>
      <c r="T1745" s="2735" t="s">
        <v>8222</v>
      </c>
      <c r="U1745" s="2736">
        <v>3</v>
      </c>
      <c r="V1745" s="2737" t="s">
        <v>8223</v>
      </c>
      <c r="W1745" s="2736">
        <v>4</v>
      </c>
      <c r="X1745" s="2736" t="s">
        <v>8224</v>
      </c>
      <c r="Y1745" s="2738">
        <v>-10</v>
      </c>
      <c r="AB1745" s="363"/>
      <c r="AC1745" s="2563"/>
    </row>
    <row r="1746" spans="1:29" ht="12.75" customHeight="1" x14ac:dyDescent="0.2">
      <c r="A1746" s="1916">
        <v>1746</v>
      </c>
      <c r="B1746" s="5148"/>
      <c r="E1746" s="2494" t="s">
        <v>7936</v>
      </c>
      <c r="F1746" s="1728"/>
      <c r="G1746" s="1728">
        <v>50</v>
      </c>
      <c r="H1746" s="1729">
        <v>1</v>
      </c>
      <c r="I1746" s="1729">
        <v>10</v>
      </c>
      <c r="J1746" s="1729">
        <f>COUNTIF(Elan!$C$13:$F$25,Tablas!E1746)+COUNTIF(Elan!$U$13:$X$25,Tablas!E1746)</f>
        <v>0</v>
      </c>
      <c r="K1746" s="1728">
        <f>ROUNDDOWN(F$1741/2,0)*J1746</f>
        <v>0</v>
      </c>
      <c r="L1746" s="5170" t="s">
        <v>8178</v>
      </c>
      <c r="M1746" s="5170"/>
      <c r="N1746" s="5170"/>
      <c r="O1746" s="5170"/>
      <c r="P1746" s="5170"/>
      <c r="Q1746" s="5171"/>
      <c r="R1746" s="2497">
        <f>IF(OR($J1746=0,$J1746="Aprendida"),0,SUM($J$1702:$J1746))</f>
        <v>0</v>
      </c>
      <c r="T1746" s="2735" t="s">
        <v>8226</v>
      </c>
      <c r="U1746" s="2736">
        <v>3</v>
      </c>
      <c r="V1746" s="2737"/>
      <c r="W1746" s="2736"/>
      <c r="X1746" s="2736" t="s">
        <v>8227</v>
      </c>
      <c r="Y1746" s="2738">
        <v>-2</v>
      </c>
      <c r="AB1746" s="363"/>
      <c r="AC1746" s="2563"/>
    </row>
    <row r="1747" spans="1:29" ht="12.75" customHeight="1" x14ac:dyDescent="0.2">
      <c r="A1747" s="1916">
        <v>1747</v>
      </c>
      <c r="B1747" s="5148"/>
      <c r="E1747" s="2494" t="s">
        <v>7937</v>
      </c>
      <c r="F1747" s="1728"/>
      <c r="G1747" s="1728">
        <v>50</v>
      </c>
      <c r="H1747" s="1729">
        <v>1</v>
      </c>
      <c r="I1747" s="1729">
        <v>10</v>
      </c>
      <c r="J1747" s="1729">
        <f>COUNTIF(Elan!$C$13:$F$25,Tablas!E1747)+COUNTIF(Elan!$U$13:$X$25,Tablas!E1747)</f>
        <v>0</v>
      </c>
      <c r="K1747" s="1728"/>
      <c r="L1747" s="5170" t="s">
        <v>8180</v>
      </c>
      <c r="M1747" s="5170"/>
      <c r="N1747" s="5170"/>
      <c r="O1747" s="5170"/>
      <c r="P1747" s="5170"/>
      <c r="Q1747" s="5171"/>
      <c r="R1747" s="2497">
        <f>IF(OR($J1747=0,$J1747="Aprendida"),0,SUM($J$1702:$J1747))</f>
        <v>0</v>
      </c>
      <c r="T1747" s="2735" t="s">
        <v>8229</v>
      </c>
      <c r="U1747" s="2736">
        <v>2</v>
      </c>
      <c r="V1747" s="2737"/>
      <c r="W1747" s="2736"/>
      <c r="X1747" s="2736"/>
      <c r="Y1747" s="2738"/>
      <c r="AB1747" s="363"/>
      <c r="AC1747" s="2563"/>
    </row>
    <row r="1748" spans="1:29" ht="12.75" customHeight="1" x14ac:dyDescent="0.2">
      <c r="A1748" s="1916">
        <v>1748</v>
      </c>
      <c r="B1748" s="5148"/>
      <c r="E1748" s="2494" t="s">
        <v>7938</v>
      </c>
      <c r="F1748" s="1728"/>
      <c r="G1748" s="1728">
        <v>60</v>
      </c>
      <c r="H1748" s="1729">
        <v>1</v>
      </c>
      <c r="I1748" s="1729">
        <v>10</v>
      </c>
      <c r="J1748" s="1729">
        <f>COUNTIF(Elan!$C$13:$F$25,Tablas!E1748)+COUNTIF(Elan!$U$13:$X$25,Tablas!E1748)</f>
        <v>0</v>
      </c>
      <c r="K1748" s="1728"/>
      <c r="L1748" s="5170" t="s">
        <v>8182</v>
      </c>
      <c r="M1748" s="5170"/>
      <c r="N1748" s="5170"/>
      <c r="O1748" s="5170"/>
      <c r="P1748" s="5170"/>
      <c r="Q1748" s="5171"/>
      <c r="R1748" s="2497">
        <f>IF(OR($J1748=0,$J1748="Aprendida"),0,SUM($J$1702:$J1748))</f>
        <v>0</v>
      </c>
      <c r="T1748" s="2739"/>
      <c r="U1748" s="2740"/>
      <c r="V1748" s="2740"/>
      <c r="W1748" s="2740"/>
      <c r="X1748" s="2740"/>
      <c r="Y1748" s="2741"/>
      <c r="AB1748" s="363"/>
      <c r="AC1748" s="2563"/>
    </row>
    <row r="1749" spans="1:29" ht="12.75" customHeight="1" x14ac:dyDescent="0.2">
      <c r="A1749" s="1916">
        <v>1749</v>
      </c>
      <c r="B1749" s="5148"/>
      <c r="E1749" s="2494" t="s">
        <v>7939</v>
      </c>
      <c r="F1749" s="1728"/>
      <c r="G1749" s="1728">
        <v>65</v>
      </c>
      <c r="H1749" s="1729">
        <v>1</v>
      </c>
      <c r="I1749" s="1729">
        <v>15</v>
      </c>
      <c r="J1749" s="1729">
        <f>COUNTIF(Elan!$C$13:$F$25,Tablas!E1749)+COUNTIF(Elan!$U$13:$X$25,Tablas!E1749)</f>
        <v>0</v>
      </c>
      <c r="K1749" s="1728"/>
      <c r="L1749" s="5170" t="s">
        <v>8183</v>
      </c>
      <c r="M1749" s="5170"/>
      <c r="N1749" s="5170"/>
      <c r="O1749" s="5170"/>
      <c r="P1749" s="5170"/>
      <c r="Q1749" s="5171"/>
      <c r="R1749" s="2497">
        <f>IF(OR($J1749=0,$J1749="Aprendida"),0,SUM($J$1702:$J1749))</f>
        <v>0</v>
      </c>
      <c r="T1749" s="2739"/>
      <c r="U1749" s="2740"/>
      <c r="V1749" s="2740"/>
      <c r="W1749" s="2740"/>
      <c r="X1749" s="2740"/>
      <c r="Y1749" s="2741"/>
      <c r="AB1749" s="363"/>
      <c r="AC1749" s="2563"/>
    </row>
    <row r="1750" spans="1:29" ht="12.75" customHeight="1" x14ac:dyDescent="0.2">
      <c r="A1750" s="1916">
        <v>1750</v>
      </c>
      <c r="B1750" s="5148"/>
      <c r="E1750" s="2494" t="s">
        <v>7940</v>
      </c>
      <c r="F1750" s="1728"/>
      <c r="G1750" s="1728">
        <v>70</v>
      </c>
      <c r="H1750" s="1729">
        <v>1</v>
      </c>
      <c r="I1750" s="1729">
        <v>15</v>
      </c>
      <c r="J1750" s="1729">
        <f>COUNTIF(Elan!$C$13:$F$25,Tablas!E1750)+COUNTIF(Elan!$U$13:$X$25,Tablas!E1750)</f>
        <v>0</v>
      </c>
      <c r="K1750" s="1728">
        <f>IF(J1750&gt;0,1,0)</f>
        <v>0</v>
      </c>
      <c r="L1750" s="5170" t="s">
        <v>8184</v>
      </c>
      <c r="M1750" s="5170"/>
      <c r="N1750" s="5170"/>
      <c r="O1750" s="5170"/>
      <c r="P1750" s="5170"/>
      <c r="Q1750" s="5171"/>
      <c r="R1750" s="2497">
        <f>IF(OR($J1750=0,$J1750="Aprendida"),0,SUM($J$1702:$J1750))</f>
        <v>0</v>
      </c>
      <c r="T1750" s="2732" t="str">
        <f>E1781</f>
        <v>Rafael</v>
      </c>
      <c r="U1750" s="2733"/>
      <c r="V1750" s="2742"/>
      <c r="W1750" s="2733"/>
      <c r="X1750" s="2733"/>
      <c r="Y1750" s="2734"/>
      <c r="AB1750" s="363"/>
      <c r="AC1750" s="2563"/>
    </row>
    <row r="1751" spans="1:29" ht="12.75" customHeight="1" x14ac:dyDescent="0.2">
      <c r="A1751" s="1916">
        <v>1751</v>
      </c>
      <c r="B1751" s="5148"/>
      <c r="E1751" s="2494" t="s">
        <v>7941</v>
      </c>
      <c r="F1751" s="1728"/>
      <c r="G1751" s="1728">
        <v>70</v>
      </c>
      <c r="H1751" s="1729">
        <f>IF(J1747,1,0)</f>
        <v>0</v>
      </c>
      <c r="I1751" s="1729">
        <v>10</v>
      </c>
      <c r="J1751" s="1729">
        <f>COUNTIF(Elan!$C$13:$F$25,Tablas!E1751)+COUNTIF(Elan!$U$13:$X$25,Tablas!E1751)</f>
        <v>0</v>
      </c>
      <c r="K1751" s="1728"/>
      <c r="L1751" s="5170" t="s">
        <v>8185</v>
      </c>
      <c r="M1751" s="5170"/>
      <c r="N1751" s="5170"/>
      <c r="O1751" s="5170"/>
      <c r="P1751" s="5170"/>
      <c r="Q1751" s="5171"/>
      <c r="R1751" s="2497">
        <f>IF(OR($J1751=0,$J1751="Aprendida"),0,SUM($J$1702:$J1751))</f>
        <v>0</v>
      </c>
      <c r="T1751" s="2735" t="s">
        <v>8238</v>
      </c>
      <c r="U1751" s="2736">
        <v>1</v>
      </c>
      <c r="V1751" s="2737" t="s">
        <v>8239</v>
      </c>
      <c r="W1751" s="2736">
        <v>2</v>
      </c>
      <c r="X1751" s="2736" t="s">
        <v>8240</v>
      </c>
      <c r="Y1751" s="2738">
        <v>-5</v>
      </c>
      <c r="AB1751" s="363"/>
      <c r="AC1751" s="2563"/>
    </row>
    <row r="1752" spans="1:29" ht="12.75" customHeight="1" x14ac:dyDescent="0.2">
      <c r="A1752" s="1916">
        <v>1752</v>
      </c>
      <c r="B1752" s="5148"/>
      <c r="E1752" s="2494" t="s">
        <v>7930</v>
      </c>
      <c r="F1752" s="1728"/>
      <c r="G1752" s="1728">
        <v>80</v>
      </c>
      <c r="H1752" s="1729">
        <v>1</v>
      </c>
      <c r="I1752" s="1729">
        <v>15</v>
      </c>
      <c r="J1752" s="1729">
        <f>COUNTIF(Elan!$C$13:$F$25,Tablas!E1752)+COUNTIF(Elan!$U$13:$X$25,Tablas!E1752)</f>
        <v>0</v>
      </c>
      <c r="K1752" s="1728"/>
      <c r="L1752" s="5170" t="s">
        <v>8161</v>
      </c>
      <c r="M1752" s="5170"/>
      <c r="N1752" s="5170"/>
      <c r="O1752" s="5170"/>
      <c r="P1752" s="5170"/>
      <c r="Q1752" s="5171"/>
      <c r="R1752" s="2497">
        <f>IF(OR($J1752=0,$J1752="Aprendida"),0,SUM($J$1702:$J1752))</f>
        <v>0</v>
      </c>
      <c r="T1752" s="2735" t="s">
        <v>8242</v>
      </c>
      <c r="U1752" s="2736">
        <v>5</v>
      </c>
      <c r="V1752" s="2737" t="s">
        <v>8242</v>
      </c>
      <c r="W1752" s="2736">
        <v>1</v>
      </c>
      <c r="X1752" s="2736" t="s">
        <v>8243</v>
      </c>
      <c r="Y1752" s="2738">
        <v>-3</v>
      </c>
      <c r="AB1752" s="363"/>
      <c r="AC1752" s="2563"/>
    </row>
    <row r="1753" spans="1:29" ht="12.75" customHeight="1" x14ac:dyDescent="0.2">
      <c r="A1753" s="1916">
        <v>1753</v>
      </c>
      <c r="B1753" s="5148"/>
      <c r="E1753" s="2494" t="s">
        <v>7942</v>
      </c>
      <c r="F1753" s="1728"/>
      <c r="G1753" s="1728">
        <v>90</v>
      </c>
      <c r="H1753" s="1729">
        <f>IF(J1751,1,0)</f>
        <v>0</v>
      </c>
      <c r="I1753" s="1729">
        <v>10</v>
      </c>
      <c r="J1753" s="1729">
        <f>COUNTIF(Elan!$C$13:$F$25,Tablas!E1753)+COUNTIF(Elan!$U$13:$X$25,Tablas!E1753)</f>
        <v>0</v>
      </c>
      <c r="K1753" s="1728"/>
      <c r="L1753" s="5170" t="s">
        <v>8186</v>
      </c>
      <c r="M1753" s="5170"/>
      <c r="N1753" s="5170"/>
      <c r="O1753" s="5170"/>
      <c r="P1753" s="5170"/>
      <c r="Q1753" s="5171"/>
      <c r="R1753" s="2497">
        <f>IF(OR($J1753=0,$J1753="Aprendida"),0,SUM($J$1702:$J1753))</f>
        <v>0</v>
      </c>
      <c r="T1753" s="2735" t="s">
        <v>8245</v>
      </c>
      <c r="U1753" s="2736">
        <v>3</v>
      </c>
      <c r="V1753" s="2737" t="s">
        <v>8246</v>
      </c>
      <c r="W1753" s="2736">
        <v>2</v>
      </c>
      <c r="X1753" s="2736" t="s">
        <v>8247</v>
      </c>
      <c r="Y1753" s="2738">
        <v>-10</v>
      </c>
      <c r="AB1753" s="363"/>
      <c r="AC1753" s="2563"/>
    </row>
    <row r="1754" spans="1:29" ht="12.75" customHeight="1" x14ac:dyDescent="0.2">
      <c r="A1754" s="1916">
        <v>1754</v>
      </c>
      <c r="B1754" s="5148"/>
      <c r="E1754" s="2494" t="s">
        <v>7943</v>
      </c>
      <c r="F1754" s="1728"/>
      <c r="G1754" s="1728">
        <v>100</v>
      </c>
      <c r="H1754" s="1729">
        <v>1</v>
      </c>
      <c r="I1754" s="1729">
        <v>10</v>
      </c>
      <c r="J1754" s="1729">
        <f>COUNTIF(Elan!$C$13:$F$25,Tablas!E1754)+COUNTIF(Elan!$U$13:$X$25,Tablas!E1754)</f>
        <v>0</v>
      </c>
      <c r="K1754" s="1728"/>
      <c r="L1754" s="5170" t="s">
        <v>8187</v>
      </c>
      <c r="M1754" s="5170"/>
      <c r="N1754" s="5170"/>
      <c r="O1754" s="5170"/>
      <c r="P1754" s="5170"/>
      <c r="Q1754" s="5171"/>
      <c r="R1754" s="2497">
        <f>IF(OR($J1754=0,$J1754="Aprendida"),0,SUM($J$1702:$J1754))</f>
        <v>0</v>
      </c>
      <c r="T1754" s="2735" t="s">
        <v>8249</v>
      </c>
      <c r="U1754" s="2736">
        <v>1</v>
      </c>
      <c r="V1754" s="2737"/>
      <c r="W1754" s="2736"/>
      <c r="X1754" s="2736"/>
      <c r="Y1754" s="2738"/>
      <c r="AB1754" s="363"/>
      <c r="AC1754" s="2563"/>
    </row>
    <row r="1755" spans="1:29" ht="12.75" customHeight="1" x14ac:dyDescent="0.2">
      <c r="A1755" s="1916">
        <v>1755</v>
      </c>
      <c r="B1755" s="5148"/>
      <c r="E1755" s="2493" t="s">
        <v>7793</v>
      </c>
      <c r="F1755" s="2485">
        <f>IF(Elan!$C$11=Tablas!$E1755,Elan!$G$11,IF(Elan!$U$11=Tablas!$E1755,Elan!$Y$11,0))</f>
        <v>0</v>
      </c>
      <c r="G1755" s="2486" t="s">
        <v>2149</v>
      </c>
      <c r="H1755" s="2486" t="s">
        <v>10012</v>
      </c>
      <c r="I1755" s="2486" t="s">
        <v>1801</v>
      </c>
      <c r="J1755" s="2486" t="s">
        <v>7897</v>
      </c>
      <c r="K1755" s="2486" t="s">
        <v>8676</v>
      </c>
      <c r="L1755" s="2486" t="s">
        <v>1861</v>
      </c>
      <c r="M1755" s="1730"/>
      <c r="N1755" s="1730"/>
      <c r="O1755" s="1730"/>
      <c r="P1755" s="1730"/>
      <c r="Q1755" s="2491"/>
      <c r="R1755" s="2497">
        <f>IF(OR($J1755=0,$J1755="Aprendida"),0,SUM($J$1702:$J1755))</f>
        <v>0</v>
      </c>
      <c r="T1755" s="2735" t="s">
        <v>8251</v>
      </c>
      <c r="U1755" s="2736">
        <v>5</v>
      </c>
      <c r="V1755" s="2737"/>
      <c r="W1755" s="2736"/>
      <c r="X1755" s="2736"/>
      <c r="Y1755" s="2738"/>
      <c r="AB1755" s="363"/>
      <c r="AC1755" s="2563"/>
    </row>
    <row r="1756" spans="1:29" ht="12.75" customHeight="1" x14ac:dyDescent="0.2">
      <c r="A1756" s="1916">
        <v>1756</v>
      </c>
      <c r="B1756" s="5148"/>
      <c r="E1756" s="2494" t="s">
        <v>7944</v>
      </c>
      <c r="F1756" s="1728"/>
      <c r="G1756" s="1728">
        <v>10</v>
      </c>
      <c r="H1756" s="1729">
        <v>1</v>
      </c>
      <c r="I1756" s="1729">
        <v>5</v>
      </c>
      <c r="J1756" s="1729">
        <f>COUNTIF(Elan!$C$13:$F$25,Tablas!E1756)+COUNTIF(Elan!$U$13:$X$25,Tablas!E1756)</f>
        <v>0</v>
      </c>
      <c r="K1756" s="1728">
        <f>F$1755*J1756</f>
        <v>0</v>
      </c>
      <c r="L1756" s="5170" t="s">
        <v>8188</v>
      </c>
      <c r="M1756" s="5170"/>
      <c r="N1756" s="5170"/>
      <c r="O1756" s="5170"/>
      <c r="P1756" s="5170"/>
      <c r="Q1756" s="5171"/>
      <c r="R1756" s="2497">
        <f>IF(OR($J1756=0,$J1756="Aprendida"),0,SUM($J$1702:$J1756))</f>
        <v>0</v>
      </c>
      <c r="T1756" s="2739"/>
      <c r="U1756" s="2740"/>
      <c r="V1756" s="2740"/>
      <c r="W1756" s="2740"/>
      <c r="X1756" s="2740"/>
      <c r="Y1756" s="2741"/>
      <c r="AB1756" s="363"/>
      <c r="AC1756" s="2563"/>
    </row>
    <row r="1757" spans="1:29" ht="12.75" customHeight="1" x14ac:dyDescent="0.2">
      <c r="A1757" s="1916">
        <v>1757</v>
      </c>
      <c r="B1757" s="5148"/>
      <c r="E1757" s="2494" t="s">
        <v>7945</v>
      </c>
      <c r="F1757" s="1728"/>
      <c r="G1757" s="1728">
        <v>20</v>
      </c>
      <c r="H1757" s="1729">
        <v>1</v>
      </c>
      <c r="I1757" s="1729">
        <v>5</v>
      </c>
      <c r="J1757" s="1729">
        <f>COUNTIF(Elan!$C$13:$F$25,Tablas!E1757)+COUNTIF(Elan!$U$13:$X$25,Tablas!E1757)</f>
        <v>0</v>
      </c>
      <c r="K1757" s="1728"/>
      <c r="L1757" s="5170" t="s">
        <v>8192</v>
      </c>
      <c r="M1757" s="5170"/>
      <c r="N1757" s="5170"/>
      <c r="O1757" s="5170"/>
      <c r="P1757" s="5170"/>
      <c r="Q1757" s="5171"/>
      <c r="R1757" s="2497">
        <f>IF(OR($J1757=0,$J1757="Aprendida"),0,SUM($J$1702:$J1757))</f>
        <v>0</v>
      </c>
      <c r="T1757" s="2739"/>
      <c r="U1757" s="2740"/>
      <c r="V1757" s="2740"/>
      <c r="W1757" s="2740"/>
      <c r="X1757" s="2740"/>
      <c r="Y1757" s="2741"/>
      <c r="AB1757" s="363"/>
      <c r="AC1757" s="2563"/>
    </row>
    <row r="1758" spans="1:29" ht="12.75" customHeight="1" x14ac:dyDescent="0.2">
      <c r="A1758" s="1916">
        <v>1758</v>
      </c>
      <c r="B1758" s="5148"/>
      <c r="E1758" s="2494" t="s">
        <v>7946</v>
      </c>
      <c r="F1758" s="1728"/>
      <c r="G1758" s="1728">
        <v>30</v>
      </c>
      <c r="H1758" s="1729">
        <v>1</v>
      </c>
      <c r="I1758" s="1729">
        <v>10</v>
      </c>
      <c r="J1758" s="1729">
        <f>COUNTIF(Elan!$C$13:$F$25,Tablas!E1758)+COUNTIF(Elan!$U$13:$X$25,Tablas!E1758)</f>
        <v>0</v>
      </c>
      <c r="K1758" s="1728"/>
      <c r="L1758" s="5170" t="s">
        <v>8196</v>
      </c>
      <c r="M1758" s="5170"/>
      <c r="N1758" s="5170"/>
      <c r="O1758" s="5170"/>
      <c r="P1758" s="5170"/>
      <c r="Q1758" s="5171"/>
      <c r="R1758" s="2497">
        <f>IF(OR($J1758=0,$J1758="Aprendida"),0,SUM($J$1702:$J1758))</f>
        <v>0</v>
      </c>
      <c r="T1758" s="2732" t="str">
        <f>E1795</f>
        <v>Erebus</v>
      </c>
      <c r="U1758" s="2733"/>
      <c r="V1758" s="2742"/>
      <c r="W1758" s="2733"/>
      <c r="X1758" s="2733"/>
      <c r="Y1758" s="2734"/>
      <c r="AB1758" s="363"/>
      <c r="AC1758" s="2563"/>
    </row>
    <row r="1759" spans="1:29" ht="12.75" customHeight="1" x14ac:dyDescent="0.2">
      <c r="A1759" s="1916">
        <v>1759</v>
      </c>
      <c r="B1759" s="5148"/>
      <c r="E1759" s="2494" t="s">
        <v>7947</v>
      </c>
      <c r="F1759" s="1728"/>
      <c r="G1759" s="1728">
        <v>40</v>
      </c>
      <c r="H1759" s="1729">
        <v>1</v>
      </c>
      <c r="I1759" s="1729">
        <v>10</v>
      </c>
      <c r="J1759" s="1729">
        <f>COUNTIF(Elan!$C$13:$F$25,Tablas!E1759)+COUNTIF(Elan!$U$13:$X$25,Tablas!E1759)</f>
        <v>0</v>
      </c>
      <c r="K1759" s="1728"/>
      <c r="L1759" s="5170" t="s">
        <v>8199</v>
      </c>
      <c r="M1759" s="5170"/>
      <c r="N1759" s="5170"/>
      <c r="O1759" s="5170"/>
      <c r="P1759" s="5170"/>
      <c r="Q1759" s="5171"/>
      <c r="R1759" s="2497">
        <f>IF(OR($J1759=0,$J1759="Aprendida"),0,SUM($J$1702:$J1759))</f>
        <v>0</v>
      </c>
      <c r="T1759" s="2735" t="s">
        <v>8261</v>
      </c>
      <c r="U1759" s="2736">
        <v>2</v>
      </c>
      <c r="V1759" s="2737" t="s">
        <v>8262</v>
      </c>
      <c r="W1759" s="2736">
        <v>2</v>
      </c>
      <c r="X1759" s="2736" t="s">
        <v>8263</v>
      </c>
      <c r="Y1759" s="2738">
        <v>-3</v>
      </c>
      <c r="AB1759" s="363"/>
      <c r="AC1759" s="2563"/>
    </row>
    <row r="1760" spans="1:29" ht="12.75" customHeight="1" x14ac:dyDescent="0.2">
      <c r="A1760" s="1916">
        <v>1760</v>
      </c>
      <c r="B1760" s="5148"/>
      <c r="E1760" s="2494" t="s">
        <v>1576</v>
      </c>
      <c r="F1760" s="1728"/>
      <c r="G1760" s="1728">
        <v>40</v>
      </c>
      <c r="H1760" s="1729">
        <v>1</v>
      </c>
      <c r="I1760" s="1729">
        <v>10</v>
      </c>
      <c r="J1760" s="1729">
        <f>COUNTIF(Elan!$C$13:$F$25,Tablas!E1760)+COUNTIF(Elan!$U$13:$X$25,Tablas!E1760)</f>
        <v>0</v>
      </c>
      <c r="K1760" s="1728"/>
      <c r="L1760" s="5170" t="s">
        <v>8203</v>
      </c>
      <c r="M1760" s="5170"/>
      <c r="N1760" s="5170"/>
      <c r="O1760" s="5170"/>
      <c r="P1760" s="5170"/>
      <c r="Q1760" s="5171"/>
      <c r="R1760" s="2497">
        <f>IF(OR($J1760=0,$J1760="Aprendida"),0,SUM($J$1702:$J1760))</f>
        <v>0</v>
      </c>
      <c r="T1760" s="2735" t="s">
        <v>8265</v>
      </c>
      <c r="U1760" s="2736">
        <v>3</v>
      </c>
      <c r="V1760" s="2737" t="s">
        <v>8266</v>
      </c>
      <c r="W1760" s="2736">
        <v>2</v>
      </c>
      <c r="X1760" s="2736" t="s">
        <v>8267</v>
      </c>
      <c r="Y1760" s="2738">
        <v>-2</v>
      </c>
      <c r="AB1760" s="363"/>
      <c r="AC1760" s="2563"/>
    </row>
    <row r="1761" spans="1:29" ht="12.75" customHeight="1" x14ac:dyDescent="0.2">
      <c r="A1761" s="1916">
        <v>1761</v>
      </c>
      <c r="B1761" s="5148"/>
      <c r="E1761" s="2494" t="s">
        <v>7948</v>
      </c>
      <c r="F1761" s="1728"/>
      <c r="G1761" s="1728">
        <v>50</v>
      </c>
      <c r="H1761" s="1729">
        <v>1</v>
      </c>
      <c r="I1761" s="1729">
        <v>10</v>
      </c>
      <c r="J1761" s="1729">
        <f>COUNTIF(Elan!$C$13:$F$25,Tablas!E1761)+COUNTIF(Elan!$U$13:$X$25,Tablas!E1761)</f>
        <v>0</v>
      </c>
      <c r="K1761" s="1728"/>
      <c r="L1761" s="5170" t="s">
        <v>8206</v>
      </c>
      <c r="M1761" s="5170"/>
      <c r="N1761" s="5170"/>
      <c r="O1761" s="5170"/>
      <c r="P1761" s="5170"/>
      <c r="Q1761" s="5171"/>
      <c r="R1761" s="2497">
        <f>IF(OR($J1761=0,$J1761="Aprendida"),0,SUM($J$1702:$J1761))</f>
        <v>0</v>
      </c>
      <c r="T1761" s="2735" t="s">
        <v>8269</v>
      </c>
      <c r="U1761" s="2736">
        <v>2</v>
      </c>
      <c r="V1761" s="2737" t="s">
        <v>8270</v>
      </c>
      <c r="W1761" s="2736">
        <v>2</v>
      </c>
      <c r="X1761" s="2736"/>
      <c r="Y1761" s="2738"/>
      <c r="AB1761" s="363"/>
      <c r="AC1761" s="2563"/>
    </row>
    <row r="1762" spans="1:29" ht="12.75" customHeight="1" x14ac:dyDescent="0.2">
      <c r="A1762" s="1916">
        <v>1762</v>
      </c>
      <c r="B1762" s="5148"/>
      <c r="E1762" s="2494" t="s">
        <v>7949</v>
      </c>
      <c r="F1762" s="1728"/>
      <c r="G1762" s="1728">
        <v>50</v>
      </c>
      <c r="H1762" s="1729">
        <v>1</v>
      </c>
      <c r="I1762" s="1729">
        <v>15</v>
      </c>
      <c r="J1762" s="1729">
        <f>COUNTIF(Elan!$C$13:$F$25,Tablas!E1762)+COUNTIF(Elan!$U$13:$X$25,Tablas!E1762)</f>
        <v>0</v>
      </c>
      <c r="K1762" s="1728"/>
      <c r="L1762" s="5170" t="s">
        <v>8207</v>
      </c>
      <c r="M1762" s="5170"/>
      <c r="N1762" s="5170"/>
      <c r="O1762" s="5170"/>
      <c r="P1762" s="5170"/>
      <c r="Q1762" s="5171"/>
      <c r="R1762" s="2497">
        <f>IF(OR($J1762=0,$J1762="Aprendida"),0,SUM($J$1702:$J1762))</f>
        <v>0</v>
      </c>
      <c r="T1762" s="2735" t="s">
        <v>8272</v>
      </c>
      <c r="U1762" s="2736">
        <v>3</v>
      </c>
      <c r="V1762" s="2737"/>
      <c r="W1762" s="2736"/>
      <c r="X1762" s="2736"/>
      <c r="Y1762" s="2738"/>
      <c r="AB1762" s="363"/>
      <c r="AC1762" s="2563"/>
    </row>
    <row r="1763" spans="1:29" ht="12.75" customHeight="1" x14ac:dyDescent="0.2">
      <c r="A1763" s="1916">
        <v>1763</v>
      </c>
      <c r="B1763" s="5148"/>
      <c r="E1763" s="2494" t="s">
        <v>2523</v>
      </c>
      <c r="F1763" s="1728"/>
      <c r="G1763" s="1728">
        <v>60</v>
      </c>
      <c r="H1763" s="1729">
        <v>1</v>
      </c>
      <c r="I1763" s="1729">
        <v>15</v>
      </c>
      <c r="J1763" s="1729">
        <f>COUNTIF(Elan!$C$13:$F$25,Tablas!E1763)+COUNTIF(Elan!$U$13:$X$25,Tablas!E1763)</f>
        <v>0</v>
      </c>
      <c r="K1763" s="1728"/>
      <c r="L1763" s="5170" t="s">
        <v>8208</v>
      </c>
      <c r="M1763" s="5170"/>
      <c r="N1763" s="5170"/>
      <c r="O1763" s="5170"/>
      <c r="P1763" s="5170"/>
      <c r="Q1763" s="5171"/>
      <c r="R1763" s="2497">
        <f>IF(OR($J1763=0,$J1763="Aprendida"),0,SUM($J$1702:$J1763))</f>
        <v>0</v>
      </c>
      <c r="T1763" s="2735" t="s">
        <v>8274</v>
      </c>
      <c r="U1763" s="2736">
        <v>2</v>
      </c>
      <c r="V1763" s="2737"/>
      <c r="W1763" s="2736"/>
      <c r="X1763" s="2736"/>
      <c r="Y1763" s="2738"/>
      <c r="AB1763" s="363"/>
      <c r="AC1763" s="2563"/>
    </row>
    <row r="1764" spans="1:29" ht="12.75" customHeight="1" x14ac:dyDescent="0.2">
      <c r="A1764" s="1916">
        <v>1764</v>
      </c>
      <c r="B1764" s="5148"/>
      <c r="E1764" s="2494" t="s">
        <v>7950</v>
      </c>
      <c r="F1764" s="1728"/>
      <c r="G1764" s="1728">
        <v>70</v>
      </c>
      <c r="H1764" s="1729">
        <v>1</v>
      </c>
      <c r="I1764" s="1729">
        <v>10</v>
      </c>
      <c r="J1764" s="1729">
        <f>COUNTIF(Elan!$C$13:$F$25,Tablas!E1764)+COUNTIF(Elan!$U$13:$X$25,Tablas!E1764)</f>
        <v>0</v>
      </c>
      <c r="K1764" s="1728"/>
      <c r="L1764" s="5170" t="s">
        <v>8209</v>
      </c>
      <c r="M1764" s="5170"/>
      <c r="N1764" s="5170"/>
      <c r="O1764" s="5170"/>
      <c r="P1764" s="5170"/>
      <c r="Q1764" s="5171"/>
      <c r="R1764" s="2497">
        <f>IF(OR($J1764=0,$J1764="Aprendida"),0,SUM($J$1702:$J1764))</f>
        <v>0</v>
      </c>
      <c r="T1764" s="2735" t="s">
        <v>8276</v>
      </c>
      <c r="U1764" s="2736">
        <v>2</v>
      </c>
      <c r="V1764" s="2737"/>
      <c r="W1764" s="2736"/>
      <c r="X1764" s="2736"/>
      <c r="Y1764" s="2738"/>
      <c r="AB1764" s="363"/>
      <c r="AC1764" s="2563"/>
    </row>
    <row r="1765" spans="1:29" ht="12.75" customHeight="1" x14ac:dyDescent="0.2">
      <c r="A1765" s="1916">
        <v>1765</v>
      </c>
      <c r="B1765" s="5148"/>
      <c r="E1765" s="2494" t="s">
        <v>7951</v>
      </c>
      <c r="F1765" s="1728"/>
      <c r="G1765" s="1728">
        <v>80</v>
      </c>
      <c r="H1765" s="1729">
        <v>1</v>
      </c>
      <c r="I1765" s="1729">
        <v>15</v>
      </c>
      <c r="J1765" s="1729">
        <f>COUNTIF(Elan!$C$13:$F$25,Tablas!E1765)+COUNTIF(Elan!$U$13:$X$25,Tablas!E1765)</f>
        <v>0</v>
      </c>
      <c r="K1765" s="1728"/>
      <c r="L1765" s="5170" t="s">
        <v>8210</v>
      </c>
      <c r="M1765" s="5170"/>
      <c r="N1765" s="5170"/>
      <c r="O1765" s="5170"/>
      <c r="P1765" s="5170"/>
      <c r="Q1765" s="5171"/>
      <c r="R1765" s="2497">
        <f>IF(OR($J1765=0,$J1765="Aprendida"),0,SUM($J$1702:$J1765))</f>
        <v>0</v>
      </c>
      <c r="T1765" s="2739"/>
      <c r="U1765" s="2740"/>
      <c r="V1765" s="2740"/>
      <c r="W1765" s="2740"/>
      <c r="X1765" s="2740"/>
      <c r="Y1765" s="2741"/>
      <c r="AB1765" s="363"/>
      <c r="AC1765" s="2563"/>
    </row>
    <row r="1766" spans="1:29" ht="12.75" customHeight="1" x14ac:dyDescent="0.2">
      <c r="A1766" s="1916">
        <v>1766</v>
      </c>
      <c r="B1766" s="5148"/>
      <c r="E1766" s="2494" t="s">
        <v>7952</v>
      </c>
      <c r="F1766" s="1728"/>
      <c r="G1766" s="1728">
        <v>90</v>
      </c>
      <c r="H1766" s="1729">
        <v>1</v>
      </c>
      <c r="I1766" s="1729">
        <v>20</v>
      </c>
      <c r="J1766" s="1729">
        <f>COUNTIF(Elan!$C$13:$F$25,Tablas!E1766)+COUNTIF(Elan!$U$13:$X$25,Tablas!E1766)</f>
        <v>0</v>
      </c>
      <c r="K1766" s="1728"/>
      <c r="L1766" s="5170" t="s">
        <v>8211</v>
      </c>
      <c r="M1766" s="5170"/>
      <c r="N1766" s="5170"/>
      <c r="O1766" s="5170"/>
      <c r="P1766" s="5170"/>
      <c r="Q1766" s="5171"/>
      <c r="R1766" s="2497">
        <f>IF(OR($J1766=0,$J1766="Aprendida"),0,SUM($J$1702:$J1766))</f>
        <v>0</v>
      </c>
      <c r="T1766" s="2732" t="str">
        <f>E1807</f>
        <v>Azrael</v>
      </c>
      <c r="U1766" s="2733"/>
      <c r="V1766" s="2742"/>
      <c r="W1766" s="2733"/>
      <c r="X1766" s="2733"/>
      <c r="Y1766" s="2734"/>
      <c r="AB1766" s="363"/>
      <c r="AC1766" s="2563"/>
    </row>
    <row r="1767" spans="1:29" ht="12.75" customHeight="1" x14ac:dyDescent="0.2">
      <c r="A1767" s="1916">
        <v>1767</v>
      </c>
      <c r="B1767" s="5148"/>
      <c r="E1767" s="2494" t="s">
        <v>7953</v>
      </c>
      <c r="F1767" s="1728"/>
      <c r="G1767" s="1728">
        <v>100</v>
      </c>
      <c r="H1767" s="1729">
        <v>1</v>
      </c>
      <c r="I1767" s="1729">
        <v>10</v>
      </c>
      <c r="J1767" s="1729">
        <f>COUNTIF(Elan!$C$13:$F$25,Tablas!E1767)+COUNTIF(Elan!$U$13:$X$25,Tablas!E1767)</f>
        <v>0</v>
      </c>
      <c r="K1767" s="1728"/>
      <c r="L1767" s="5170" t="s">
        <v>8212</v>
      </c>
      <c r="M1767" s="5170"/>
      <c r="N1767" s="5170"/>
      <c r="O1767" s="5170"/>
      <c r="P1767" s="5170"/>
      <c r="Q1767" s="5171"/>
      <c r="R1767" s="2497">
        <f>IF(OR($J1767=0,$J1767="Aprendida"),0,SUM($J$1702:$J1767))</f>
        <v>0</v>
      </c>
      <c r="T1767" s="2735" t="s">
        <v>8283</v>
      </c>
      <c r="U1767" s="2736">
        <v>3</v>
      </c>
      <c r="V1767" s="2737" t="s">
        <v>8284</v>
      </c>
      <c r="W1767" s="2736">
        <v>1</v>
      </c>
      <c r="X1767" s="2736" t="s">
        <v>8285</v>
      </c>
      <c r="Y1767" s="2738">
        <v>-2</v>
      </c>
      <c r="AB1767" s="363"/>
      <c r="AC1767" s="2563"/>
    </row>
    <row r="1768" spans="1:29" ht="12.75" customHeight="1" x14ac:dyDescent="0.2">
      <c r="A1768" s="1916">
        <v>1768</v>
      </c>
      <c r="B1768" s="5148"/>
      <c r="E1768" s="2493" t="s">
        <v>7888</v>
      </c>
      <c r="F1768" s="2485">
        <f>IF(Elan!$C$11=Tablas!$E1768,Elan!$G$11,IF(Elan!$U$11=Tablas!$E1768,Elan!$Y$11,0))</f>
        <v>0</v>
      </c>
      <c r="G1768" s="2486" t="s">
        <v>2149</v>
      </c>
      <c r="H1768" s="2486" t="s">
        <v>10012</v>
      </c>
      <c r="I1768" s="2486" t="s">
        <v>1801</v>
      </c>
      <c r="J1768" s="2486" t="s">
        <v>7897</v>
      </c>
      <c r="K1768" s="2486" t="s">
        <v>8676</v>
      </c>
      <c r="L1768" s="2486" t="s">
        <v>1861</v>
      </c>
      <c r="M1768" s="1730"/>
      <c r="N1768" s="1730"/>
      <c r="O1768" s="1730"/>
      <c r="P1768" s="1730"/>
      <c r="Q1768" s="2491"/>
      <c r="R1768" s="2497">
        <f>IF(OR($J1768=0,$J1768="Aprendida"),0,SUM($J$1702:$J1768))</f>
        <v>0</v>
      </c>
      <c r="T1768" s="2735" t="s">
        <v>8287</v>
      </c>
      <c r="U1768" s="2736">
        <v>2</v>
      </c>
      <c r="V1768" s="2737" t="s">
        <v>8288</v>
      </c>
      <c r="W1768" s="2736">
        <v>2</v>
      </c>
      <c r="X1768" s="2736" t="s">
        <v>8289</v>
      </c>
      <c r="Y1768" s="2738">
        <v>-8</v>
      </c>
      <c r="AB1768" s="363"/>
      <c r="AC1768" s="2563"/>
    </row>
    <row r="1769" spans="1:29" ht="12.75" customHeight="1" x14ac:dyDescent="0.2">
      <c r="A1769" s="1916">
        <v>1769</v>
      </c>
      <c r="B1769" s="5148"/>
      <c r="E1769" s="2494" t="s">
        <v>7954</v>
      </c>
      <c r="F1769" s="1728"/>
      <c r="G1769" s="1728">
        <v>10</v>
      </c>
      <c r="H1769" s="1729">
        <v>1</v>
      </c>
      <c r="I1769" s="1729">
        <v>5</v>
      </c>
      <c r="J1769" s="1729">
        <f>COUNTIF(Elan!$C$13:$F$25,Tablas!E1769)+COUNTIF(Elan!$U$13:$X$25,Tablas!E1769)</f>
        <v>0</v>
      </c>
      <c r="K1769" s="1728"/>
      <c r="L1769" s="5170" t="s">
        <v>8213</v>
      </c>
      <c r="M1769" s="5170"/>
      <c r="N1769" s="5170"/>
      <c r="O1769" s="5170"/>
      <c r="P1769" s="5170"/>
      <c r="Q1769" s="5171"/>
      <c r="R1769" s="2497">
        <f>IF(OR($J1769=0,$J1769="Aprendida"),0,SUM($J$1702:$J1769))</f>
        <v>0</v>
      </c>
      <c r="T1769" s="2735" t="s">
        <v>8291</v>
      </c>
      <c r="U1769" s="2736">
        <v>5</v>
      </c>
      <c r="V1769" s="2737" t="s">
        <v>8292</v>
      </c>
      <c r="W1769" s="2736">
        <v>2</v>
      </c>
      <c r="X1769" s="2736" t="s">
        <v>8293</v>
      </c>
      <c r="Y1769" s="2738">
        <v>-2</v>
      </c>
      <c r="AB1769" s="363"/>
      <c r="AC1769" s="2563"/>
    </row>
    <row r="1770" spans="1:29" ht="12.75" customHeight="1" x14ac:dyDescent="0.2">
      <c r="A1770" s="1916">
        <v>1770</v>
      </c>
      <c r="B1770" s="5148"/>
      <c r="E1770" s="2494" t="s">
        <v>7955</v>
      </c>
      <c r="F1770" s="1728"/>
      <c r="G1770" s="1728">
        <v>20</v>
      </c>
      <c r="H1770" s="1729">
        <v>1</v>
      </c>
      <c r="I1770" s="1729">
        <v>10</v>
      </c>
      <c r="J1770" s="1729">
        <f>COUNTIF(Elan!$C$13:$F$25,Tablas!E1770)+COUNTIF(Elan!$U$13:$X$25,Tablas!E1770)</f>
        <v>0</v>
      </c>
      <c r="K1770" s="1728"/>
      <c r="L1770" s="5170" t="s">
        <v>8217</v>
      </c>
      <c r="M1770" s="5170"/>
      <c r="N1770" s="5170"/>
      <c r="O1770" s="5170"/>
      <c r="P1770" s="5170"/>
      <c r="Q1770" s="5171"/>
      <c r="R1770" s="2497">
        <f>IF(OR($J1770=0,$J1770="Aprendida"),0,SUM($J$1702:$J1770))</f>
        <v>0</v>
      </c>
      <c r="T1770" s="2735" t="s">
        <v>8295</v>
      </c>
      <c r="U1770" s="2736">
        <v>2</v>
      </c>
      <c r="V1770" s="2737" t="s">
        <v>8296</v>
      </c>
      <c r="W1770" s="2736">
        <v>3</v>
      </c>
      <c r="X1770" s="2736"/>
      <c r="Y1770" s="2738"/>
      <c r="AB1770" s="363"/>
      <c r="AC1770" s="2563"/>
    </row>
    <row r="1771" spans="1:29" ht="12.75" customHeight="1" x14ac:dyDescent="0.2">
      <c r="A1771" s="1916">
        <v>1771</v>
      </c>
      <c r="B1771" s="5148"/>
      <c r="E1771" s="2494" t="s">
        <v>7956</v>
      </c>
      <c r="F1771" s="1728"/>
      <c r="G1771" s="1728">
        <v>20</v>
      </c>
      <c r="H1771" s="1729">
        <v>1</v>
      </c>
      <c r="I1771" s="1729">
        <v>5</v>
      </c>
      <c r="J1771" s="1729">
        <f>COUNTIF(Elan!$C$13:$F$25,Tablas!E1771)+COUNTIF(Elan!$U$13:$X$25,Tablas!E1771)</f>
        <v>0</v>
      </c>
      <c r="K1771" s="1728">
        <f>ROUNDDOWN(F$1768/2,0)*J1771</f>
        <v>0</v>
      </c>
      <c r="L1771" s="5170" t="s">
        <v>8221</v>
      </c>
      <c r="M1771" s="5170"/>
      <c r="N1771" s="5170"/>
      <c r="O1771" s="5170"/>
      <c r="P1771" s="5170"/>
      <c r="Q1771" s="5171"/>
      <c r="R1771" s="2497">
        <f>IF(OR($J1771=0,$J1771="Aprendida"),0,SUM($J$1702:$J1771))</f>
        <v>0</v>
      </c>
      <c r="T1771" s="2735" t="s">
        <v>8298</v>
      </c>
      <c r="U1771" s="2736">
        <v>2</v>
      </c>
      <c r="V1771" s="2737"/>
      <c r="W1771" s="2736"/>
      <c r="X1771" s="2736"/>
      <c r="Y1771" s="2738"/>
      <c r="AB1771" s="363"/>
      <c r="AC1771" s="2563"/>
    </row>
    <row r="1772" spans="1:29" ht="12.75" customHeight="1" x14ac:dyDescent="0.2">
      <c r="A1772" s="1916">
        <v>1772</v>
      </c>
      <c r="B1772" s="5148"/>
      <c r="E1772" s="2494" t="s">
        <v>2068</v>
      </c>
      <c r="F1772" s="1728"/>
      <c r="G1772" s="1728">
        <v>30</v>
      </c>
      <c r="H1772" s="1729">
        <v>1</v>
      </c>
      <c r="I1772" s="1729">
        <v>5</v>
      </c>
      <c r="J1772" s="1729">
        <f>COUNTIF(Elan!$C$13:$F$25,Tablas!E1772)+COUNTIF(Elan!$U$13:$X$25,Tablas!E1772)</f>
        <v>0</v>
      </c>
      <c r="K1772" s="1728"/>
      <c r="L1772" s="5170" t="s">
        <v>8225</v>
      </c>
      <c r="M1772" s="5170"/>
      <c r="N1772" s="5170"/>
      <c r="O1772" s="5170"/>
      <c r="P1772" s="5170"/>
      <c r="Q1772" s="5171"/>
      <c r="R1772" s="2497">
        <f>IF(OR($J1772=0,$J1772="Aprendida"),0,SUM($J$1702:$J1772))</f>
        <v>0</v>
      </c>
      <c r="T1772" s="2735" t="s">
        <v>8300</v>
      </c>
      <c r="U1772" s="2736">
        <v>3</v>
      </c>
      <c r="V1772" s="2737"/>
      <c r="W1772" s="2736"/>
      <c r="X1772" s="2736"/>
      <c r="Y1772" s="2738"/>
      <c r="AB1772" s="363"/>
      <c r="AC1772" s="2563"/>
    </row>
    <row r="1773" spans="1:29" ht="12.75" customHeight="1" x14ac:dyDescent="0.2">
      <c r="A1773" s="1916">
        <v>1773</v>
      </c>
      <c r="B1773" s="5148"/>
      <c r="E1773" s="2494" t="s">
        <v>7957</v>
      </c>
      <c r="F1773" s="1728"/>
      <c r="G1773" s="1728">
        <v>40</v>
      </c>
      <c r="H1773" s="1729">
        <v>1</v>
      </c>
      <c r="I1773" s="1729">
        <v>10</v>
      </c>
      <c r="J1773" s="1729">
        <f>COUNTIF(Elan!$C$13:$F$25,Tablas!E1773)+COUNTIF(Elan!$U$13:$X$25,Tablas!E1773)</f>
        <v>0</v>
      </c>
      <c r="K1773" s="1728"/>
      <c r="L1773" s="5170" t="s">
        <v>8228</v>
      </c>
      <c r="M1773" s="5170"/>
      <c r="N1773" s="5170"/>
      <c r="O1773" s="5170"/>
      <c r="P1773" s="5170"/>
      <c r="Q1773" s="5171"/>
      <c r="R1773" s="2497">
        <f>IF(OR($J1773=0,$J1773="Aprendida"),0,SUM($J$1702:$J1773))</f>
        <v>0</v>
      </c>
      <c r="T1773" s="2735" t="s">
        <v>8302</v>
      </c>
      <c r="U1773" s="2736">
        <v>5</v>
      </c>
      <c r="V1773" s="2737"/>
      <c r="W1773" s="2736"/>
      <c r="X1773" s="2736"/>
      <c r="Y1773" s="2738"/>
      <c r="AB1773" s="363"/>
      <c r="AC1773" s="2563"/>
    </row>
    <row r="1774" spans="1:29" ht="12.75" customHeight="1" x14ac:dyDescent="0.2">
      <c r="A1774" s="1916">
        <v>1774</v>
      </c>
      <c r="B1774" s="5148"/>
      <c r="E1774" s="2494" t="s">
        <v>7958</v>
      </c>
      <c r="F1774" s="1728"/>
      <c r="G1774" s="1728">
        <v>50</v>
      </c>
      <c r="H1774" s="1729">
        <v>1</v>
      </c>
      <c r="I1774" s="1729">
        <v>15</v>
      </c>
      <c r="J1774" s="1729">
        <f>COUNTIF(Elan!$C$13:$F$25,Tablas!E1774)+COUNTIF(Elan!$U$13:$X$25,Tablas!E1774)</f>
        <v>0</v>
      </c>
      <c r="K1774" s="1728"/>
      <c r="L1774" s="5170" t="s">
        <v>8230</v>
      </c>
      <c r="M1774" s="5170"/>
      <c r="N1774" s="5170"/>
      <c r="O1774" s="5170"/>
      <c r="P1774" s="5170"/>
      <c r="Q1774" s="5171"/>
      <c r="R1774" s="2497">
        <f>IF(OR($J1774=0,$J1774="Aprendida"),0,SUM($J$1702:$J1774))</f>
        <v>0</v>
      </c>
      <c r="T1774" s="2732" t="str">
        <f>E1820</f>
        <v>Abbadon</v>
      </c>
      <c r="U1774" s="2733"/>
      <c r="V1774" s="2742"/>
      <c r="W1774" s="2733"/>
      <c r="X1774" s="2733"/>
      <c r="Y1774" s="2734"/>
      <c r="AB1774" s="363"/>
      <c r="AC1774" s="2563"/>
    </row>
    <row r="1775" spans="1:29" ht="12.75" customHeight="1" x14ac:dyDescent="0.2">
      <c r="A1775" s="1916">
        <v>1775</v>
      </c>
      <c r="B1775" s="5148"/>
      <c r="E1775" s="2494" t="s">
        <v>7959</v>
      </c>
      <c r="F1775" s="1728"/>
      <c r="G1775" s="1728">
        <v>60</v>
      </c>
      <c r="H1775" s="1729">
        <v>1</v>
      </c>
      <c r="I1775" s="1729">
        <v>10</v>
      </c>
      <c r="J1775" s="1729">
        <f>COUNTIF(Elan!$C$13:$F$25,Tablas!E1775)+COUNTIF(Elan!$U$13:$X$25,Tablas!E1775)</f>
        <v>0</v>
      </c>
      <c r="K1775" s="1728"/>
      <c r="L1775" s="5170" t="s">
        <v>8231</v>
      </c>
      <c r="M1775" s="5170"/>
      <c r="N1775" s="5170"/>
      <c r="O1775" s="5170"/>
      <c r="P1775" s="5170"/>
      <c r="Q1775" s="5171"/>
      <c r="R1775" s="2497">
        <f>IF(OR($J1775=0,$J1775="Aprendida"),0,SUM($J$1702:$J1775))</f>
        <v>0</v>
      </c>
      <c r="T1775" s="2735" t="s">
        <v>8198</v>
      </c>
      <c r="U1775" s="2736">
        <v>1</v>
      </c>
      <c r="V1775" s="2737" t="s">
        <v>8309</v>
      </c>
      <c r="W1775" s="2736">
        <v>2</v>
      </c>
      <c r="X1775" s="2736" t="s">
        <v>8310</v>
      </c>
      <c r="Y1775" s="2738">
        <v>-1</v>
      </c>
      <c r="AB1775" s="363"/>
      <c r="AC1775" s="2563"/>
    </row>
    <row r="1776" spans="1:29" ht="12.75" customHeight="1" x14ac:dyDescent="0.2">
      <c r="A1776" s="1916">
        <v>1776</v>
      </c>
      <c r="B1776" s="5148"/>
      <c r="E1776" s="2494" t="s">
        <v>7960</v>
      </c>
      <c r="F1776" s="1728"/>
      <c r="G1776" s="1728">
        <v>70</v>
      </c>
      <c r="H1776" s="1729">
        <v>1</v>
      </c>
      <c r="I1776" s="1729">
        <v>15</v>
      </c>
      <c r="J1776" s="1729">
        <f>COUNTIF(Elan!$C$13:$F$25,Tablas!E1776)+COUNTIF(Elan!$U$13:$X$25,Tablas!E1776)</f>
        <v>0</v>
      </c>
      <c r="K1776" s="1728"/>
      <c r="L1776" s="5170" t="s">
        <v>8232</v>
      </c>
      <c r="M1776" s="5170"/>
      <c r="N1776" s="5170"/>
      <c r="O1776" s="5170"/>
      <c r="P1776" s="5170"/>
      <c r="Q1776" s="5171"/>
      <c r="R1776" s="2497">
        <f>IF(OR($J1776=0,$J1776="Aprendida"),0,SUM($J$1702:$J1776))</f>
        <v>0</v>
      </c>
      <c r="T1776" s="2735" t="s">
        <v>8312</v>
      </c>
      <c r="U1776" s="2736">
        <v>4</v>
      </c>
      <c r="V1776" s="2737" t="s">
        <v>8313</v>
      </c>
      <c r="W1776" s="2736">
        <v>3</v>
      </c>
      <c r="X1776" s="2736" t="s">
        <v>8314</v>
      </c>
      <c r="Y1776" s="2738">
        <v>-6</v>
      </c>
      <c r="AB1776" s="363"/>
      <c r="AC1776" s="2563"/>
    </row>
    <row r="1777" spans="1:29" ht="12.75" customHeight="1" x14ac:dyDescent="0.2">
      <c r="A1777" s="1916">
        <v>1777</v>
      </c>
      <c r="B1777" s="5148"/>
      <c r="E1777" s="2494" t="s">
        <v>7961</v>
      </c>
      <c r="F1777" s="1728"/>
      <c r="G1777" s="1728">
        <v>70</v>
      </c>
      <c r="H1777" s="1729">
        <v>1</v>
      </c>
      <c r="I1777" s="1729">
        <v>10</v>
      </c>
      <c r="J1777" s="1729">
        <f>COUNTIF(Elan!$C$13:$F$25,Tablas!E1777)+COUNTIF(Elan!$U$13:$X$25,Tablas!E1777)</f>
        <v>0</v>
      </c>
      <c r="K1777" s="1728"/>
      <c r="L1777" s="5170" t="s">
        <v>8233</v>
      </c>
      <c r="M1777" s="5170"/>
      <c r="N1777" s="5170"/>
      <c r="O1777" s="5170"/>
      <c r="P1777" s="5170"/>
      <c r="Q1777" s="5171"/>
      <c r="R1777" s="2497">
        <f>IF(OR($J1777=0,$J1777="Aprendida"),0,SUM($J$1702:$J1777))</f>
        <v>0</v>
      </c>
      <c r="T1777" s="2735" t="s">
        <v>8316</v>
      </c>
      <c r="U1777" s="2736">
        <v>3</v>
      </c>
      <c r="V1777" s="2737"/>
      <c r="W1777" s="2736"/>
      <c r="X1777" s="2736"/>
      <c r="Y1777" s="2738"/>
      <c r="AB1777" s="363"/>
      <c r="AC1777" s="2563"/>
    </row>
    <row r="1778" spans="1:29" ht="12.75" customHeight="1" x14ac:dyDescent="0.2">
      <c r="A1778" s="1916">
        <v>1778</v>
      </c>
      <c r="B1778" s="5148"/>
      <c r="E1778" s="2494" t="s">
        <v>7962</v>
      </c>
      <c r="F1778" s="1728"/>
      <c r="G1778" s="1728">
        <v>80</v>
      </c>
      <c r="H1778" s="1729">
        <f>IF(J1772,1,0)</f>
        <v>0</v>
      </c>
      <c r="I1778" s="1729">
        <v>20</v>
      </c>
      <c r="J1778" s="1729">
        <f>COUNTIF(Elan!$C$13:$F$25,Tablas!E1778)+COUNTIF(Elan!$U$13:$X$25,Tablas!E1778)</f>
        <v>0</v>
      </c>
      <c r="K1778" s="1728"/>
      <c r="L1778" s="5170" t="s">
        <v>8234</v>
      </c>
      <c r="M1778" s="5170"/>
      <c r="N1778" s="5170"/>
      <c r="O1778" s="5170"/>
      <c r="P1778" s="5170"/>
      <c r="Q1778" s="5171"/>
      <c r="R1778" s="2497">
        <f>IF(OR($J1778=0,$J1778="Aprendida"),0,SUM($J$1702:$J1778))</f>
        <v>0</v>
      </c>
      <c r="T1778" s="2735" t="s">
        <v>8318</v>
      </c>
      <c r="U1778" s="2736">
        <v>2</v>
      </c>
      <c r="V1778" s="2737"/>
      <c r="W1778" s="2736"/>
      <c r="X1778" s="2736"/>
      <c r="Y1778" s="2738"/>
      <c r="AB1778" s="363"/>
      <c r="AC1778" s="2563"/>
    </row>
    <row r="1779" spans="1:29" ht="12.75" customHeight="1" x14ac:dyDescent="0.2">
      <c r="A1779" s="1916">
        <v>1779</v>
      </c>
      <c r="B1779" s="5148"/>
      <c r="E1779" s="2494" t="s">
        <v>7963</v>
      </c>
      <c r="F1779" s="1728"/>
      <c r="G1779" s="1728">
        <v>90</v>
      </c>
      <c r="H1779" s="1729">
        <v>1</v>
      </c>
      <c r="I1779" s="1729">
        <v>15</v>
      </c>
      <c r="J1779" s="1729">
        <f>COUNTIF(Elan!$C$13:$F$25,Tablas!E1779)+COUNTIF(Elan!$U$13:$X$25,Tablas!E1779)</f>
        <v>0</v>
      </c>
      <c r="K1779" s="1728"/>
      <c r="L1779" s="5170" t="s">
        <v>8235</v>
      </c>
      <c r="M1779" s="5170"/>
      <c r="N1779" s="5170"/>
      <c r="O1779" s="5170"/>
      <c r="P1779" s="5170"/>
      <c r="Q1779" s="5171"/>
      <c r="R1779" s="2497">
        <f>IF(OR($J1779=0,$J1779="Aprendida"),0,SUM($J$1702:$J1779))</f>
        <v>0</v>
      </c>
      <c r="T1779" s="2735" t="s">
        <v>8320</v>
      </c>
      <c r="U1779" s="2736">
        <v>2</v>
      </c>
      <c r="V1779" s="2737"/>
      <c r="W1779" s="2736"/>
      <c r="X1779" s="2736"/>
      <c r="Y1779" s="2738"/>
      <c r="AB1779" s="363"/>
      <c r="AC1779" s="2563"/>
    </row>
    <row r="1780" spans="1:29" ht="12.75" customHeight="1" x14ac:dyDescent="0.2">
      <c r="A1780" s="1916">
        <v>1780</v>
      </c>
      <c r="B1780" s="5148"/>
      <c r="E1780" s="2494" t="s">
        <v>7964</v>
      </c>
      <c r="F1780" s="1728"/>
      <c r="G1780" s="1728">
        <v>100</v>
      </c>
      <c r="H1780" s="1729">
        <v>1</v>
      </c>
      <c r="I1780" s="1729">
        <v>10</v>
      </c>
      <c r="J1780" s="1729">
        <f>COUNTIF(Elan!$C$13:$F$25,Tablas!E1780)+COUNTIF(Elan!$U$13:$X$25,Tablas!E1780)</f>
        <v>0</v>
      </c>
      <c r="K1780" s="1728"/>
      <c r="L1780" s="5170" t="s">
        <v>8236</v>
      </c>
      <c r="M1780" s="5170"/>
      <c r="N1780" s="5170"/>
      <c r="O1780" s="5170"/>
      <c r="P1780" s="5170"/>
      <c r="Q1780" s="5171"/>
      <c r="R1780" s="2497">
        <f>IF(OR($J1780=0,$J1780="Aprendida"),0,SUM($J$1702:$J1780))</f>
        <v>0</v>
      </c>
      <c r="T1780" s="2739"/>
      <c r="U1780" s="2740"/>
      <c r="V1780" s="2740"/>
      <c r="W1780" s="2740"/>
      <c r="X1780" s="2740"/>
      <c r="Y1780" s="2741"/>
      <c r="AB1780" s="363"/>
      <c r="AC1780" s="2563"/>
    </row>
    <row r="1781" spans="1:29" ht="12.75" customHeight="1" x14ac:dyDescent="0.2">
      <c r="A1781" s="1916">
        <v>1781</v>
      </c>
      <c r="B1781" s="5148"/>
      <c r="E1781" s="2493" t="s">
        <v>7889</v>
      </c>
      <c r="F1781" s="2485">
        <f>IF(Elan!$C$11=Tablas!$E1781,Elan!$G$11,IF(Elan!$U$11=Tablas!$E1781,Elan!$Y$11,0))</f>
        <v>0</v>
      </c>
      <c r="G1781" s="2486" t="s">
        <v>2149</v>
      </c>
      <c r="H1781" s="2486" t="s">
        <v>10012</v>
      </c>
      <c r="I1781" s="2486" t="s">
        <v>1801</v>
      </c>
      <c r="J1781" s="2486" t="s">
        <v>7897</v>
      </c>
      <c r="K1781" s="2486" t="s">
        <v>8676</v>
      </c>
      <c r="L1781" s="2486" t="s">
        <v>1861</v>
      </c>
      <c r="M1781" s="1730"/>
      <c r="N1781" s="1730"/>
      <c r="O1781" s="1730"/>
      <c r="P1781" s="1730"/>
      <c r="Q1781" s="2491"/>
      <c r="R1781" s="2497">
        <f>IF(OR($J1781=0,$J1781="Aprendida"),0,SUM($J$1702:$J1781))</f>
        <v>0</v>
      </c>
      <c r="T1781" s="2739"/>
      <c r="U1781" s="2740"/>
      <c r="V1781" s="2740"/>
      <c r="W1781" s="2740"/>
      <c r="X1781" s="2740"/>
      <c r="Y1781" s="2741"/>
      <c r="AB1781" s="363"/>
      <c r="AC1781" s="2563"/>
    </row>
    <row r="1782" spans="1:29" ht="12.75" customHeight="1" x14ac:dyDescent="0.2">
      <c r="A1782" s="1916">
        <v>1782</v>
      </c>
      <c r="B1782" s="5148"/>
      <c r="E1782" s="2494" t="s">
        <v>7965</v>
      </c>
      <c r="F1782" s="1728"/>
      <c r="G1782" s="1728">
        <v>10</v>
      </c>
      <c r="H1782" s="1729">
        <v>1</v>
      </c>
      <c r="I1782" s="1729">
        <v>5</v>
      </c>
      <c r="J1782" s="1729">
        <f>COUNTIF(Elan!$C$13:$F$25,Tablas!E1782)+COUNTIF(Elan!$U$13:$X$25,Tablas!E1782)</f>
        <v>0</v>
      </c>
      <c r="K1782" s="1728">
        <f>F$1781*J1782</f>
        <v>0</v>
      </c>
      <c r="L1782" s="5170" t="s">
        <v>8237</v>
      </c>
      <c r="M1782" s="5170"/>
      <c r="N1782" s="5170"/>
      <c r="O1782" s="5170"/>
      <c r="P1782" s="5170"/>
      <c r="Q1782" s="5171"/>
      <c r="R1782" s="2497">
        <f>IF(OR($J1782=0,$J1782="Aprendida"),0,SUM($J$1702:$J1782))</f>
        <v>0</v>
      </c>
      <c r="T1782" s="2732" t="str">
        <f>E1832</f>
        <v>Barakiel</v>
      </c>
      <c r="U1782" s="2733"/>
      <c r="V1782" s="2742"/>
      <c r="W1782" s="2733"/>
      <c r="X1782" s="2733"/>
      <c r="Y1782" s="2734"/>
      <c r="AB1782" s="363"/>
      <c r="AC1782" s="2563"/>
    </row>
    <row r="1783" spans="1:29" ht="12.75" customHeight="1" x14ac:dyDescent="0.2">
      <c r="A1783" s="1916">
        <v>1783</v>
      </c>
      <c r="B1783" s="5148"/>
      <c r="E1783" s="2494" t="s">
        <v>7966</v>
      </c>
      <c r="F1783" s="1728"/>
      <c r="G1783" s="1728">
        <v>20</v>
      </c>
      <c r="H1783" s="1729">
        <v>1</v>
      </c>
      <c r="I1783" s="1729">
        <v>5</v>
      </c>
      <c r="J1783" s="1729">
        <f>COUNTIF(Elan!$C$13:$F$25,Tablas!E1783)+COUNTIF(Elan!$U$13:$X$25,Tablas!E1783)</f>
        <v>0</v>
      </c>
      <c r="K1783" s="1728">
        <f>F$1781*J1783</f>
        <v>0</v>
      </c>
      <c r="L1783" s="5170" t="s">
        <v>8241</v>
      </c>
      <c r="M1783" s="5170"/>
      <c r="N1783" s="5170"/>
      <c r="O1783" s="5170"/>
      <c r="P1783" s="5170"/>
      <c r="Q1783" s="5171"/>
      <c r="R1783" s="2497">
        <f>IF(OR($J1783=0,$J1783="Aprendida"),0,SUM($J$1702:$J1783))</f>
        <v>0</v>
      </c>
      <c r="T1783" s="2735" t="s">
        <v>8328</v>
      </c>
      <c r="U1783" s="2736">
        <v>1</v>
      </c>
      <c r="V1783" s="2737" t="s">
        <v>8329</v>
      </c>
      <c r="W1783" s="2736">
        <v>2</v>
      </c>
      <c r="X1783" s="2736" t="s">
        <v>8330</v>
      </c>
      <c r="Y1783" s="2738">
        <v>-2</v>
      </c>
      <c r="AB1783" s="363"/>
      <c r="AC1783" s="2563"/>
    </row>
    <row r="1784" spans="1:29" ht="12.75" customHeight="1" x14ac:dyDescent="0.2">
      <c r="A1784" s="1916">
        <v>1784</v>
      </c>
      <c r="B1784" s="5148"/>
      <c r="E1784" s="2494" t="s">
        <v>7967</v>
      </c>
      <c r="F1784" s="1728"/>
      <c r="G1784" s="1728">
        <v>20</v>
      </c>
      <c r="H1784" s="1729">
        <v>1</v>
      </c>
      <c r="I1784" s="1729">
        <v>10</v>
      </c>
      <c r="J1784" s="1729">
        <f>COUNTIF(Elan!$C$13:$F$25,Tablas!E1784)+COUNTIF(Elan!$U$13:$X$25,Tablas!E1784)</f>
        <v>0</v>
      </c>
      <c r="K1784" s="1728"/>
      <c r="L1784" s="5170" t="s">
        <v>8244</v>
      </c>
      <c r="M1784" s="5170"/>
      <c r="N1784" s="5170"/>
      <c r="O1784" s="5170"/>
      <c r="P1784" s="5170"/>
      <c r="Q1784" s="5171"/>
      <c r="R1784" s="2497">
        <f>IF(OR($J1784=0,$J1784="Aprendida"),0,SUM($J$1702:$J1784))</f>
        <v>0</v>
      </c>
      <c r="T1784" s="2735" t="s">
        <v>8332</v>
      </c>
      <c r="U1784" s="2736">
        <v>2</v>
      </c>
      <c r="V1784" s="2737" t="s">
        <v>8333</v>
      </c>
      <c r="W1784" s="2736">
        <v>3</v>
      </c>
      <c r="X1784" s="2736" t="s">
        <v>8334</v>
      </c>
      <c r="Y1784" s="2738">
        <v>-2</v>
      </c>
      <c r="AB1784" s="363"/>
      <c r="AC1784" s="2563"/>
    </row>
    <row r="1785" spans="1:29" ht="12.75" customHeight="1" x14ac:dyDescent="0.2">
      <c r="A1785" s="1916">
        <v>1785</v>
      </c>
      <c r="B1785" s="5148"/>
      <c r="E1785" s="2494" t="s">
        <v>7968</v>
      </c>
      <c r="F1785" s="1728"/>
      <c r="G1785" s="1728">
        <v>30</v>
      </c>
      <c r="H1785" s="1729">
        <v>1</v>
      </c>
      <c r="I1785" s="1729">
        <v>5</v>
      </c>
      <c r="J1785" s="1729">
        <f>COUNTIF(Elan!$C$13:$F$25,Tablas!E1785)+COUNTIF(Elan!$U$13:$X$25,Tablas!E1785)</f>
        <v>0</v>
      </c>
      <c r="K1785" s="1728"/>
      <c r="L1785" s="5170" t="s">
        <v>8248</v>
      </c>
      <c r="M1785" s="5170"/>
      <c r="N1785" s="5170"/>
      <c r="O1785" s="5170"/>
      <c r="P1785" s="5170"/>
      <c r="Q1785" s="5171"/>
      <c r="R1785" s="2497">
        <f>IF(OR($J1785=0,$J1785="Aprendida"),0,SUM($J$1702:$J1785))</f>
        <v>0</v>
      </c>
      <c r="T1785" s="2735" t="s">
        <v>8336</v>
      </c>
      <c r="U1785" s="2736">
        <v>2</v>
      </c>
      <c r="V1785" s="2737" t="s">
        <v>8337</v>
      </c>
      <c r="W1785" s="2736">
        <v>1</v>
      </c>
      <c r="X1785" s="2736" t="s">
        <v>8338</v>
      </c>
      <c r="Y1785" s="2738">
        <v>-5</v>
      </c>
      <c r="AB1785" s="363"/>
      <c r="AC1785" s="2563"/>
    </row>
    <row r="1786" spans="1:29" ht="12.75" customHeight="1" x14ac:dyDescent="0.2">
      <c r="A1786" s="1916">
        <v>1786</v>
      </c>
      <c r="B1786" s="5148"/>
      <c r="E1786" s="2494" t="s">
        <v>7969</v>
      </c>
      <c r="F1786" s="1728"/>
      <c r="G1786" s="1728">
        <v>40</v>
      </c>
      <c r="H1786" s="1729">
        <v>1</v>
      </c>
      <c r="I1786" s="1729">
        <v>10</v>
      </c>
      <c r="J1786" s="1729">
        <f>COUNTIF(Elan!$C$13:$F$25,Tablas!E1786)+COUNTIF(Elan!$U$13:$X$25,Tablas!E1786)</f>
        <v>0</v>
      </c>
      <c r="K1786" s="1728"/>
      <c r="L1786" s="5170" t="s">
        <v>8250</v>
      </c>
      <c r="M1786" s="5170"/>
      <c r="N1786" s="5170"/>
      <c r="O1786" s="5170"/>
      <c r="P1786" s="5170"/>
      <c r="Q1786" s="5171"/>
      <c r="R1786" s="2497">
        <f>IF(OR($J1786=0,$J1786="Aprendida"),0,SUM($J$1702:$J1786))</f>
        <v>0</v>
      </c>
      <c r="T1786" s="2735" t="s">
        <v>8340</v>
      </c>
      <c r="U1786" s="2736">
        <v>3</v>
      </c>
      <c r="V1786" s="2737"/>
      <c r="W1786" s="2736"/>
      <c r="X1786" s="2736" t="s">
        <v>8341</v>
      </c>
      <c r="Y1786" s="2738">
        <v>-10</v>
      </c>
      <c r="AB1786" s="363"/>
      <c r="AC1786" s="2563"/>
    </row>
    <row r="1787" spans="1:29" ht="12.75" customHeight="1" x14ac:dyDescent="0.2">
      <c r="A1787" s="1916">
        <v>1787</v>
      </c>
      <c r="B1787" s="5148"/>
      <c r="E1787" s="2494" t="s">
        <v>7970</v>
      </c>
      <c r="F1787" s="1728"/>
      <c r="G1787" s="1728">
        <v>50</v>
      </c>
      <c r="H1787" s="1729">
        <v>1</v>
      </c>
      <c r="I1787" s="1729">
        <v>20</v>
      </c>
      <c r="J1787" s="1729">
        <f>COUNTIF(Elan!$C$13:$F$25,Tablas!E1787)+COUNTIF(Elan!$U$13:$X$25,Tablas!E1787)</f>
        <v>0</v>
      </c>
      <c r="K1787" s="1728"/>
      <c r="L1787" s="5170" t="s">
        <v>8252</v>
      </c>
      <c r="M1787" s="5170"/>
      <c r="N1787" s="5170"/>
      <c r="O1787" s="5170"/>
      <c r="P1787" s="5170"/>
      <c r="Q1787" s="5171"/>
      <c r="R1787" s="2497">
        <f>IF(OR($J1787=0,$J1787="Aprendida"),0,SUM($J$1702:$J1787))</f>
        <v>0</v>
      </c>
      <c r="T1787" s="2735" t="s">
        <v>8343</v>
      </c>
      <c r="U1787" s="2736">
        <v>5</v>
      </c>
      <c r="V1787" s="2737"/>
      <c r="W1787" s="2736"/>
      <c r="X1787" s="2736"/>
      <c r="Y1787" s="2738"/>
      <c r="AB1787" s="363"/>
      <c r="AC1787" s="2563"/>
    </row>
    <row r="1788" spans="1:29" ht="12.75" customHeight="1" x14ac:dyDescent="0.2">
      <c r="A1788" s="1916">
        <v>1788</v>
      </c>
      <c r="B1788" s="5148"/>
      <c r="E1788" s="2494" t="s">
        <v>7971</v>
      </c>
      <c r="F1788" s="1728"/>
      <c r="G1788" s="1728">
        <v>50</v>
      </c>
      <c r="H1788" s="1729">
        <f>IF(J1784,1,0)</f>
        <v>0</v>
      </c>
      <c r="I1788" s="1729">
        <v>15</v>
      </c>
      <c r="J1788" s="1729">
        <f>COUNTIF(Elan!$C$13:$F$25,Tablas!E1788)+COUNTIF(Elan!$U$13:$X$25,Tablas!E1788)</f>
        <v>0</v>
      </c>
      <c r="K1788" s="1728"/>
      <c r="L1788" s="5170" t="s">
        <v>8253</v>
      </c>
      <c r="M1788" s="5170"/>
      <c r="N1788" s="5170"/>
      <c r="O1788" s="5170"/>
      <c r="P1788" s="5170"/>
      <c r="Q1788" s="5171"/>
      <c r="R1788" s="2497">
        <f>IF(OR($J1788=0,$J1788="Aprendida"),0,SUM($J$1702:$J1788))</f>
        <v>0</v>
      </c>
      <c r="T1788" s="2735" t="s">
        <v>8345</v>
      </c>
      <c r="U1788" s="2736">
        <v>2</v>
      </c>
      <c r="V1788" s="2737"/>
      <c r="W1788" s="2736"/>
      <c r="X1788" s="2736"/>
      <c r="Y1788" s="2738"/>
      <c r="AB1788" s="363"/>
      <c r="AC1788" s="2563"/>
    </row>
    <row r="1789" spans="1:29" ht="12.75" customHeight="1" x14ac:dyDescent="0.2">
      <c r="A1789" s="1916">
        <v>1789</v>
      </c>
      <c r="B1789" s="5148"/>
      <c r="E1789" s="2494" t="s">
        <v>7972</v>
      </c>
      <c r="F1789" s="1728"/>
      <c r="G1789" s="1728">
        <v>60</v>
      </c>
      <c r="H1789" s="1729">
        <v>1</v>
      </c>
      <c r="I1789" s="1729">
        <v>10</v>
      </c>
      <c r="J1789" s="1729">
        <f>COUNTIF(Elan!$C$13:$F$25,Tablas!E1789)+COUNTIF(Elan!$U$13:$X$25,Tablas!E1789)</f>
        <v>0</v>
      </c>
      <c r="K1789" s="1728"/>
      <c r="L1789" s="5170" t="s">
        <v>8254</v>
      </c>
      <c r="M1789" s="5170"/>
      <c r="N1789" s="5170"/>
      <c r="O1789" s="5170"/>
      <c r="P1789" s="5170"/>
      <c r="Q1789" s="5171"/>
      <c r="R1789" s="2497">
        <f>IF(OR($J1789=0,$J1789="Aprendida"),0,SUM($J$1702:$J1789))</f>
        <v>0</v>
      </c>
      <c r="T1789" s="2739"/>
      <c r="U1789" s="2740"/>
      <c r="V1789" s="2740"/>
      <c r="W1789" s="2740"/>
      <c r="X1789" s="2740"/>
      <c r="Y1789" s="2741"/>
      <c r="AB1789" s="363"/>
      <c r="AC1789" s="2563"/>
    </row>
    <row r="1790" spans="1:29" ht="12.75" customHeight="1" x14ac:dyDescent="0.2">
      <c r="A1790" s="1916">
        <v>1790</v>
      </c>
      <c r="B1790" s="5148"/>
      <c r="E1790" s="2494" t="s">
        <v>7973</v>
      </c>
      <c r="F1790" s="1728"/>
      <c r="G1790" s="1728">
        <v>60</v>
      </c>
      <c r="H1790" s="1729">
        <v>1</v>
      </c>
      <c r="I1790" s="1729">
        <v>10</v>
      </c>
      <c r="J1790" s="1729">
        <f>COUNTIF(Elan!$C$13:$F$25,Tablas!E1790)+COUNTIF(Elan!$U$13:$X$25,Tablas!E1790)</f>
        <v>0</v>
      </c>
      <c r="K1790" s="1728"/>
      <c r="L1790" s="5170" t="s">
        <v>8255</v>
      </c>
      <c r="M1790" s="5170"/>
      <c r="N1790" s="5170"/>
      <c r="O1790" s="5170"/>
      <c r="P1790" s="5170"/>
      <c r="Q1790" s="5171"/>
      <c r="R1790" s="2497">
        <f>IF(OR($J1790=0,$J1790="Aprendida"),0,SUM($J$1702:$J1790))</f>
        <v>0</v>
      </c>
      <c r="T1790" s="2732" t="str">
        <f>E1846</f>
        <v>Eriol</v>
      </c>
      <c r="U1790" s="2733"/>
      <c r="V1790" s="2742"/>
      <c r="W1790" s="2733"/>
      <c r="X1790" s="2733"/>
      <c r="Y1790" s="2734"/>
      <c r="AB1790" s="363"/>
      <c r="AC1790" s="2563"/>
    </row>
    <row r="1791" spans="1:29" ht="12.75" customHeight="1" x14ac:dyDescent="0.2">
      <c r="A1791" s="1916">
        <v>1791</v>
      </c>
      <c r="B1791" s="5148"/>
      <c r="E1791" s="2494" t="s">
        <v>7974</v>
      </c>
      <c r="F1791" s="1728"/>
      <c r="G1791" s="1728">
        <v>70</v>
      </c>
      <c r="H1791" s="1729">
        <v>1</v>
      </c>
      <c r="I1791" s="1729">
        <v>10</v>
      </c>
      <c r="J1791" s="1729">
        <f>COUNTIF(Elan!$C$13:$F$25,Tablas!E1791)+COUNTIF(Elan!$U$13:$X$25,Tablas!E1791)</f>
        <v>0</v>
      </c>
      <c r="K1791" s="1728"/>
      <c r="L1791" s="5170" t="s">
        <v>8256</v>
      </c>
      <c r="M1791" s="5170"/>
      <c r="N1791" s="5170"/>
      <c r="O1791" s="5170"/>
      <c r="P1791" s="5170"/>
      <c r="Q1791" s="5171"/>
      <c r="R1791" s="2497">
        <f>IF(OR($J1791=0,$J1791="Aprendida"),0,SUM($J$1702:$J1791))</f>
        <v>0</v>
      </c>
      <c r="T1791" s="2735" t="s">
        <v>8354</v>
      </c>
      <c r="U1791" s="2736">
        <v>2</v>
      </c>
      <c r="V1791" s="2737" t="s">
        <v>8355</v>
      </c>
      <c r="W1791" s="2736">
        <v>2</v>
      </c>
      <c r="X1791" s="2736" t="s">
        <v>8356</v>
      </c>
      <c r="Y1791" s="2738">
        <v>-2</v>
      </c>
      <c r="AB1791" s="363"/>
      <c r="AC1791" s="2563"/>
    </row>
    <row r="1792" spans="1:29" ht="12.75" customHeight="1" x14ac:dyDescent="0.2">
      <c r="A1792" s="1916">
        <v>1792</v>
      </c>
      <c r="B1792" s="5148"/>
      <c r="E1792" s="2494" t="s">
        <v>7975</v>
      </c>
      <c r="F1792" s="1728"/>
      <c r="G1792" s="1728">
        <v>80</v>
      </c>
      <c r="H1792" s="1729">
        <f>IF(J1791,1,0)</f>
        <v>0</v>
      </c>
      <c r="I1792" s="1729">
        <v>10</v>
      </c>
      <c r="J1792" s="1729">
        <f>COUNTIF(Elan!$C$13:$F$25,Tablas!E1792)+COUNTIF(Elan!$U$13:$X$25,Tablas!E1792)</f>
        <v>0</v>
      </c>
      <c r="K1792" s="1728"/>
      <c r="L1792" s="5170" t="s">
        <v>8257</v>
      </c>
      <c r="M1792" s="5170"/>
      <c r="N1792" s="5170"/>
      <c r="O1792" s="5170"/>
      <c r="P1792" s="5170"/>
      <c r="Q1792" s="5171"/>
      <c r="R1792" s="2497">
        <f>IF(OR($J1792=0,$J1792="Aprendida"),0,SUM($J$1702:$J1792))</f>
        <v>0</v>
      </c>
      <c r="T1792" s="2735" t="s">
        <v>8358</v>
      </c>
      <c r="U1792" s="2736">
        <v>2</v>
      </c>
      <c r="V1792" s="2737" t="s">
        <v>8359</v>
      </c>
      <c r="W1792" s="2736">
        <v>2</v>
      </c>
      <c r="X1792" s="2736" t="s">
        <v>8360</v>
      </c>
      <c r="Y1792" s="2738">
        <v>-3</v>
      </c>
      <c r="AB1792" s="363"/>
      <c r="AC1792" s="2563"/>
    </row>
    <row r="1793" spans="1:29" ht="12.75" customHeight="1" x14ac:dyDescent="0.2">
      <c r="A1793" s="1916">
        <v>1793</v>
      </c>
      <c r="B1793" s="5148"/>
      <c r="E1793" s="2494" t="s">
        <v>7976</v>
      </c>
      <c r="F1793" s="1728"/>
      <c r="G1793" s="1728">
        <v>90</v>
      </c>
      <c r="H1793" s="1729">
        <f>IF(J1788,1,0)</f>
        <v>0</v>
      </c>
      <c r="I1793" s="1729">
        <v>20</v>
      </c>
      <c r="J1793" s="1729">
        <f>COUNTIF(Elan!$C$13:$F$25,Tablas!E1793)+COUNTIF(Elan!$U$13:$X$25,Tablas!E1793)</f>
        <v>0</v>
      </c>
      <c r="K1793" s="1728"/>
      <c r="L1793" s="5170" t="s">
        <v>8258</v>
      </c>
      <c r="M1793" s="5170"/>
      <c r="N1793" s="5170"/>
      <c r="O1793" s="5170"/>
      <c r="P1793" s="5170"/>
      <c r="Q1793" s="5171"/>
      <c r="R1793" s="2497">
        <f>IF(OR($J1793=0,$J1793="Aprendida"),0,SUM($J$1702:$J1793))</f>
        <v>0</v>
      </c>
      <c r="T1793" s="2735" t="s">
        <v>8362</v>
      </c>
      <c r="U1793" s="2736">
        <v>5</v>
      </c>
      <c r="V1793" s="2737" t="s">
        <v>8363</v>
      </c>
      <c r="W1793" s="2736">
        <v>1</v>
      </c>
      <c r="X1793" s="2736" t="s">
        <v>8364</v>
      </c>
      <c r="Y1793" s="2738">
        <v>-2</v>
      </c>
      <c r="AB1793" s="363"/>
      <c r="AC1793" s="2563"/>
    </row>
    <row r="1794" spans="1:29" ht="12.75" customHeight="1" x14ac:dyDescent="0.2">
      <c r="A1794" s="1916">
        <v>1794</v>
      </c>
      <c r="B1794" s="5148"/>
      <c r="E1794" s="2494" t="s">
        <v>7977</v>
      </c>
      <c r="F1794" s="1728"/>
      <c r="G1794" s="1728">
        <v>100</v>
      </c>
      <c r="H1794" s="1729">
        <v>1</v>
      </c>
      <c r="I1794" s="1729">
        <v>10</v>
      </c>
      <c r="J1794" s="1729">
        <f>COUNTIF(Elan!$C$13:$F$25,Tablas!E1794)+COUNTIF(Elan!$U$13:$X$25,Tablas!E1794)</f>
        <v>0</v>
      </c>
      <c r="K1794" s="1728"/>
      <c r="L1794" s="5170" t="s">
        <v>8259</v>
      </c>
      <c r="M1794" s="5170"/>
      <c r="N1794" s="5170"/>
      <c r="O1794" s="5170"/>
      <c r="P1794" s="5170"/>
      <c r="Q1794" s="5171"/>
      <c r="R1794" s="2497">
        <f>IF(OR($J1794=0,$J1794="Aprendida"),0,SUM($J$1702:$J1794))</f>
        <v>0</v>
      </c>
      <c r="T1794" s="2735" t="s">
        <v>8366</v>
      </c>
      <c r="U1794" s="2736">
        <v>1</v>
      </c>
      <c r="V1794" s="2737"/>
      <c r="W1794" s="2736"/>
      <c r="X1794" s="2736"/>
      <c r="Y1794" s="2738"/>
      <c r="AB1794" s="363"/>
      <c r="AC1794" s="2563"/>
    </row>
    <row r="1795" spans="1:29" ht="12.75" customHeight="1" x14ac:dyDescent="0.2">
      <c r="A1795" s="1916">
        <v>1795</v>
      </c>
      <c r="B1795" s="5148"/>
      <c r="E1795" s="2493" t="s">
        <v>7890</v>
      </c>
      <c r="F1795" s="2485">
        <f>IF(Elan!$C$11=Tablas!$E1795,Elan!$G$11,IF(Elan!$U$11=Tablas!$E1795,Elan!$Y$11,0))</f>
        <v>0</v>
      </c>
      <c r="G1795" s="2486" t="s">
        <v>2149</v>
      </c>
      <c r="H1795" s="2486" t="s">
        <v>10012</v>
      </c>
      <c r="I1795" s="2486" t="s">
        <v>1801</v>
      </c>
      <c r="J1795" s="2486" t="s">
        <v>7897</v>
      </c>
      <c r="K1795" s="2486" t="s">
        <v>8676</v>
      </c>
      <c r="L1795" s="2486" t="s">
        <v>1861</v>
      </c>
      <c r="M1795" s="1730"/>
      <c r="N1795" s="1730"/>
      <c r="O1795" s="1730"/>
      <c r="P1795" s="1730"/>
      <c r="Q1795" s="2491"/>
      <c r="R1795" s="2497">
        <f>IF(OR($J1795=0,$J1795="Aprendida"),0,SUM($J$1702:$J1795))</f>
        <v>0</v>
      </c>
      <c r="T1795" s="2735" t="s">
        <v>8368</v>
      </c>
      <c r="U1795" s="2736">
        <v>2</v>
      </c>
      <c r="V1795" s="2737"/>
      <c r="W1795" s="2736"/>
      <c r="X1795" s="2736"/>
      <c r="Y1795" s="2738"/>
      <c r="AB1795" s="363"/>
      <c r="AC1795" s="2563"/>
    </row>
    <row r="1796" spans="1:29" ht="12.75" customHeight="1" x14ac:dyDescent="0.2">
      <c r="A1796" s="1916">
        <v>1796</v>
      </c>
      <c r="B1796" s="5148"/>
      <c r="E1796" s="2494" t="s">
        <v>7978</v>
      </c>
      <c r="F1796" s="1728"/>
      <c r="G1796" s="1728">
        <v>10</v>
      </c>
      <c r="H1796" s="1729">
        <v>1</v>
      </c>
      <c r="I1796" s="1729">
        <v>5</v>
      </c>
      <c r="J1796" s="1729">
        <f>COUNTIF(Elan!$C$13:$F$25,Tablas!E1796)+COUNTIF(Elan!$U$13:$X$25,Tablas!E1796)</f>
        <v>0</v>
      </c>
      <c r="K1796" s="1728">
        <f>F$1795*J1796</f>
        <v>0</v>
      </c>
      <c r="L1796" s="5170" t="s">
        <v>8260</v>
      </c>
      <c r="M1796" s="5170"/>
      <c r="N1796" s="5170"/>
      <c r="O1796" s="5170"/>
      <c r="P1796" s="5170"/>
      <c r="Q1796" s="5171"/>
      <c r="R1796" s="2497">
        <f>IF(OR($J1796=0,$J1796="Aprendida"),0,SUM($J$1702:$J1796))</f>
        <v>0</v>
      </c>
      <c r="T1796" s="2739"/>
      <c r="U1796" s="2740"/>
      <c r="V1796" s="2740"/>
      <c r="W1796" s="2740"/>
      <c r="X1796" s="2740"/>
      <c r="Y1796" s="2741"/>
      <c r="AB1796" s="363"/>
      <c r="AC1796" s="2563"/>
    </row>
    <row r="1797" spans="1:29" ht="12.75" customHeight="1" x14ac:dyDescent="0.2">
      <c r="A1797" s="1916">
        <v>1797</v>
      </c>
      <c r="B1797" s="5148"/>
      <c r="E1797" s="2494" t="s">
        <v>7979</v>
      </c>
      <c r="F1797" s="1728"/>
      <c r="G1797" s="1728">
        <v>20</v>
      </c>
      <c r="H1797" s="1729">
        <v>1</v>
      </c>
      <c r="I1797" s="1729">
        <v>5</v>
      </c>
      <c r="J1797" s="1729">
        <f>COUNTIF(Elan!$C$13:$F$25,Tablas!E1797)+COUNTIF(Elan!$U$13:$X$25,Tablas!E1797)</f>
        <v>0</v>
      </c>
      <c r="K1797" s="1728">
        <f>F$1795*J1797</f>
        <v>0</v>
      </c>
      <c r="L1797" s="5170" t="s">
        <v>8264</v>
      </c>
      <c r="M1797" s="5170"/>
      <c r="N1797" s="5170"/>
      <c r="O1797" s="5170"/>
      <c r="P1797" s="5170"/>
      <c r="Q1797" s="5171"/>
      <c r="R1797" s="2497">
        <f>IF(OR($J1797=0,$J1797="Aprendida"),0,SUM($J$1702:$J1797))</f>
        <v>0</v>
      </c>
      <c r="T1797" s="2739"/>
      <c r="U1797" s="2740"/>
      <c r="V1797" s="2740"/>
      <c r="W1797" s="2740"/>
      <c r="X1797" s="2740"/>
      <c r="Y1797" s="2741"/>
      <c r="AB1797" s="363"/>
      <c r="AC1797" s="2563"/>
    </row>
    <row r="1798" spans="1:29" ht="12.75" customHeight="1" x14ac:dyDescent="0.2">
      <c r="A1798" s="1916">
        <v>1798</v>
      </c>
      <c r="B1798" s="5148"/>
      <c r="E1798" s="2494" t="s">
        <v>7980</v>
      </c>
      <c r="F1798" s="1728"/>
      <c r="G1798" s="1728">
        <v>30</v>
      </c>
      <c r="H1798" s="1729">
        <v>1</v>
      </c>
      <c r="I1798" s="1729">
        <v>5</v>
      </c>
      <c r="J1798" s="1729">
        <f>COUNTIF(Elan!$C$13:$F$25,Tablas!E1798)+COUNTIF(Elan!$U$13:$X$25,Tablas!E1798)</f>
        <v>0</v>
      </c>
      <c r="K1798" s="1728"/>
      <c r="L1798" s="5170" t="s">
        <v>8268</v>
      </c>
      <c r="M1798" s="5170"/>
      <c r="N1798" s="5170"/>
      <c r="O1798" s="5170"/>
      <c r="P1798" s="5170"/>
      <c r="Q1798" s="5171"/>
      <c r="R1798" s="2497">
        <f>IF(OR($J1798=0,$J1798="Aprendida"),0,SUM($J$1702:$J1798))</f>
        <v>0</v>
      </c>
      <c r="T1798" s="2732" t="str">
        <f>E1858</f>
        <v>Edamiel</v>
      </c>
      <c r="U1798" s="2733"/>
      <c r="V1798" s="2742"/>
      <c r="W1798" s="2733"/>
      <c r="X1798" s="2733"/>
      <c r="Y1798" s="2734"/>
      <c r="AB1798" s="363"/>
      <c r="AC1798" s="2563"/>
    </row>
    <row r="1799" spans="1:29" ht="12.75" customHeight="1" x14ac:dyDescent="0.2">
      <c r="A1799" s="1916">
        <v>1799</v>
      </c>
      <c r="B1799" s="5148"/>
      <c r="E1799" s="2494" t="s">
        <v>7981</v>
      </c>
      <c r="F1799" s="1728"/>
      <c r="G1799" s="1728">
        <v>40</v>
      </c>
      <c r="H1799" s="1729">
        <v>1</v>
      </c>
      <c r="I1799" s="1729">
        <v>10</v>
      </c>
      <c r="J1799" s="1729">
        <f>COUNTIF(Elan!$C$13:$F$25,Tablas!E1799)+COUNTIF(Elan!$U$13:$X$25,Tablas!E1799)</f>
        <v>0</v>
      </c>
      <c r="K1799" s="1728"/>
      <c r="L1799" s="5170" t="s">
        <v>8271</v>
      </c>
      <c r="M1799" s="5170"/>
      <c r="N1799" s="5170"/>
      <c r="O1799" s="5170"/>
      <c r="P1799" s="5170"/>
      <c r="Q1799" s="5171"/>
      <c r="R1799" s="2497">
        <f>IF(OR($J1799=0,$J1799="Aprendida"),0,SUM($J$1702:$J1799))</f>
        <v>0</v>
      </c>
      <c r="T1799" s="2735" t="s">
        <v>8376</v>
      </c>
      <c r="U1799" s="2736">
        <v>3</v>
      </c>
      <c r="V1799" s="2737" t="s">
        <v>8377</v>
      </c>
      <c r="W1799" s="2736">
        <v>2</v>
      </c>
      <c r="X1799" s="2736" t="s">
        <v>8378</v>
      </c>
      <c r="Y1799" s="2738">
        <v>-2</v>
      </c>
      <c r="AB1799" s="363"/>
      <c r="AC1799" s="2563"/>
    </row>
    <row r="1800" spans="1:29" ht="12.75" customHeight="1" x14ac:dyDescent="0.2">
      <c r="A1800" s="1916">
        <v>1800</v>
      </c>
      <c r="B1800" s="5148"/>
      <c r="E1800" s="2494" t="s">
        <v>7982</v>
      </c>
      <c r="F1800" s="1728"/>
      <c r="G1800" s="1728">
        <v>50</v>
      </c>
      <c r="H1800" s="1729">
        <v>1</v>
      </c>
      <c r="I1800" s="1729">
        <v>15</v>
      </c>
      <c r="J1800" s="1729">
        <f>COUNTIF(Elan!$C$13:$F$25,Tablas!E1800)+COUNTIF(Elan!$U$13:$X$25,Tablas!E1800)</f>
        <v>0</v>
      </c>
      <c r="K1800" s="1728"/>
      <c r="L1800" s="5170" t="s">
        <v>8273</v>
      </c>
      <c r="M1800" s="5170"/>
      <c r="N1800" s="5170"/>
      <c r="O1800" s="5170"/>
      <c r="P1800" s="5170"/>
      <c r="Q1800" s="5171"/>
      <c r="R1800" s="2497">
        <f>IF(OR($J1800=0,$J1800="Aprendida"),0,SUM($J$1702:$J1800))</f>
        <v>0</v>
      </c>
      <c r="T1800" s="2735" t="s">
        <v>8380</v>
      </c>
      <c r="U1800" s="2736">
        <v>3</v>
      </c>
      <c r="V1800" s="2737" t="s">
        <v>8381</v>
      </c>
      <c r="W1800" s="2736">
        <v>3</v>
      </c>
      <c r="X1800" s="2736" t="s">
        <v>8382</v>
      </c>
      <c r="Y1800" s="2738">
        <v>-2</v>
      </c>
      <c r="AB1800" s="363"/>
      <c r="AC1800" s="2563"/>
    </row>
    <row r="1801" spans="1:29" ht="12.75" customHeight="1" x14ac:dyDescent="0.2">
      <c r="A1801" s="1916">
        <v>1801</v>
      </c>
      <c r="B1801" s="5148"/>
      <c r="E1801" s="2494" t="s">
        <v>7983</v>
      </c>
      <c r="F1801" s="1728"/>
      <c r="G1801" s="1728">
        <v>60</v>
      </c>
      <c r="H1801" s="1729">
        <v>1</v>
      </c>
      <c r="I1801" s="1729">
        <v>10</v>
      </c>
      <c r="J1801" s="1729">
        <f>COUNTIF(Elan!$C$13:$F$25,Tablas!E1801)+COUNTIF(Elan!$U$13:$X$25,Tablas!E1801)</f>
        <v>0</v>
      </c>
      <c r="K1801" s="1728"/>
      <c r="L1801" s="5170" t="s">
        <v>8275</v>
      </c>
      <c r="M1801" s="5170"/>
      <c r="N1801" s="5170"/>
      <c r="O1801" s="5170"/>
      <c r="P1801" s="5170"/>
      <c r="Q1801" s="5171"/>
      <c r="R1801" s="2497">
        <f>IF(OR($J1801=0,$J1801="Aprendida"),0,SUM($J$1702:$J1801))</f>
        <v>0</v>
      </c>
      <c r="T1801" s="2735" t="s">
        <v>8384</v>
      </c>
      <c r="U1801" s="2736">
        <v>2</v>
      </c>
      <c r="V1801" s="2737" t="s">
        <v>8385</v>
      </c>
      <c r="W1801" s="2736">
        <v>1</v>
      </c>
      <c r="X1801" s="2736"/>
      <c r="Y1801" s="2738"/>
      <c r="AB1801" s="363"/>
      <c r="AC1801" s="2563"/>
    </row>
    <row r="1802" spans="1:29" ht="12.75" customHeight="1" x14ac:dyDescent="0.2">
      <c r="A1802" s="1916">
        <v>1802</v>
      </c>
      <c r="B1802" s="5148"/>
      <c r="E1802" s="2494" t="s">
        <v>7984</v>
      </c>
      <c r="F1802" s="1728"/>
      <c r="G1802" s="1728">
        <v>60</v>
      </c>
      <c r="H1802" s="1729">
        <v>1</v>
      </c>
      <c r="I1802" s="1729">
        <v>10</v>
      </c>
      <c r="J1802" s="1729">
        <f>COUNTIF(Elan!$C$13:$F$25,Tablas!E1802)+COUNTIF(Elan!$U$13:$X$25,Tablas!E1802)</f>
        <v>0</v>
      </c>
      <c r="K1802" s="1728"/>
      <c r="L1802" s="5170" t="s">
        <v>8277</v>
      </c>
      <c r="M1802" s="5170"/>
      <c r="N1802" s="5170"/>
      <c r="O1802" s="5170"/>
      <c r="P1802" s="5170"/>
      <c r="Q1802" s="5171"/>
      <c r="R1802" s="2497">
        <f>IF(OR($J1802=0,$J1802="Aprendida"),0,SUM($J$1702:$J1802))</f>
        <v>0</v>
      </c>
      <c r="T1802" s="2735" t="s">
        <v>8387</v>
      </c>
      <c r="U1802" s="2736">
        <v>5</v>
      </c>
      <c r="V1802" s="2737" t="s">
        <v>8388</v>
      </c>
      <c r="W1802" s="2736">
        <v>4</v>
      </c>
      <c r="X1802" s="2736"/>
      <c r="Y1802" s="2738"/>
      <c r="AB1802" s="363"/>
      <c r="AC1802" s="2563"/>
    </row>
    <row r="1803" spans="1:29" ht="12.75" customHeight="1" x14ac:dyDescent="0.2">
      <c r="A1803" s="1916">
        <v>1803</v>
      </c>
      <c r="B1803" s="5148"/>
      <c r="E1803" s="2494" t="s">
        <v>7985</v>
      </c>
      <c r="F1803" s="1728"/>
      <c r="G1803" s="1728">
        <v>70</v>
      </c>
      <c r="H1803" s="1729">
        <v>1</v>
      </c>
      <c r="I1803" s="1729">
        <v>20</v>
      </c>
      <c r="J1803" s="1729">
        <f>COUNTIF(Elan!$C$13:$F$25,Tablas!E1803)+COUNTIF(Elan!$U$13:$X$25,Tablas!E1803)</f>
        <v>0</v>
      </c>
      <c r="K1803" s="1728"/>
      <c r="L1803" s="5170" t="s">
        <v>8278</v>
      </c>
      <c r="M1803" s="5170"/>
      <c r="N1803" s="5170"/>
      <c r="O1803" s="5170"/>
      <c r="P1803" s="5170"/>
      <c r="Q1803" s="5171"/>
      <c r="R1803" s="2497">
        <f>IF(OR($J1803=0,$J1803="Aprendida"),0,SUM($J$1702:$J1803))</f>
        <v>0</v>
      </c>
      <c r="T1803" s="2735" t="s">
        <v>8390</v>
      </c>
      <c r="U1803" s="2736">
        <v>4</v>
      </c>
      <c r="V1803" s="2737"/>
      <c r="W1803" s="2736"/>
      <c r="X1803" s="2736"/>
      <c r="Y1803" s="2738"/>
      <c r="AB1803" s="363"/>
      <c r="AC1803" s="2563"/>
    </row>
    <row r="1804" spans="1:29" ht="12.75" customHeight="1" x14ac:dyDescent="0.2">
      <c r="A1804" s="1916">
        <v>1804</v>
      </c>
      <c r="B1804" s="5148"/>
      <c r="E1804" s="2494" t="s">
        <v>7986</v>
      </c>
      <c r="F1804" s="1728"/>
      <c r="G1804" s="1728">
        <v>80</v>
      </c>
      <c r="H1804" s="1729">
        <v>1</v>
      </c>
      <c r="I1804" s="1729">
        <v>15</v>
      </c>
      <c r="J1804" s="1729">
        <f>COUNTIF(Elan!$C$13:$F$25,Tablas!E1804)+COUNTIF(Elan!$U$13:$X$25,Tablas!E1804)</f>
        <v>0</v>
      </c>
      <c r="K1804" s="1728"/>
      <c r="L1804" s="5170" t="s">
        <v>8279</v>
      </c>
      <c r="M1804" s="5170"/>
      <c r="N1804" s="5170"/>
      <c r="O1804" s="5170"/>
      <c r="P1804" s="5170"/>
      <c r="Q1804" s="5171"/>
      <c r="R1804" s="2497">
        <f>IF(OR($J1804=0,$J1804="Aprendida"),0,SUM($J$1702:$J1804))</f>
        <v>0</v>
      </c>
      <c r="T1804" s="2739"/>
      <c r="U1804" s="2740"/>
      <c r="V1804" s="2740"/>
      <c r="W1804" s="2740"/>
      <c r="X1804" s="2740"/>
      <c r="Y1804" s="2741"/>
      <c r="AB1804" s="363"/>
      <c r="AC1804" s="2563"/>
    </row>
    <row r="1805" spans="1:29" ht="12.75" customHeight="1" x14ac:dyDescent="0.2">
      <c r="A1805" s="1916">
        <v>1805</v>
      </c>
      <c r="B1805" s="5148"/>
      <c r="E1805" s="2494" t="s">
        <v>7987</v>
      </c>
      <c r="F1805" s="1728"/>
      <c r="G1805" s="1728">
        <v>90</v>
      </c>
      <c r="H1805" s="1729">
        <f>IF(J1803,1,0)</f>
        <v>0</v>
      </c>
      <c r="I1805" s="1729">
        <v>10</v>
      </c>
      <c r="J1805" s="1729">
        <f>COUNTIF(Elan!$C$13:$F$25,Tablas!E1805)+COUNTIF(Elan!$U$13:$X$25,Tablas!E1805)</f>
        <v>0</v>
      </c>
      <c r="K1805" s="1728"/>
      <c r="L1805" s="5170" t="s">
        <v>8280</v>
      </c>
      <c r="M1805" s="5170"/>
      <c r="N1805" s="5170"/>
      <c r="O1805" s="5170"/>
      <c r="P1805" s="5170"/>
      <c r="Q1805" s="5171"/>
      <c r="R1805" s="2497">
        <f>IF(OR($J1805=0,$J1805="Aprendida"),0,SUM($J$1702:$J1805))</f>
        <v>0</v>
      </c>
      <c r="T1805" s="2739"/>
      <c r="U1805" s="2740"/>
      <c r="V1805" s="2740"/>
      <c r="W1805" s="2740"/>
      <c r="X1805" s="2740"/>
      <c r="Y1805" s="2741"/>
      <c r="AB1805" s="363"/>
      <c r="AC1805" s="2563"/>
    </row>
    <row r="1806" spans="1:29" ht="12.75" customHeight="1" x14ac:dyDescent="0.2">
      <c r="A1806" s="1916">
        <v>1806</v>
      </c>
      <c r="B1806" s="5148"/>
      <c r="E1806" s="2494" t="s">
        <v>7988</v>
      </c>
      <c r="F1806" s="1728"/>
      <c r="G1806" s="1728">
        <v>100</v>
      </c>
      <c r="H1806" s="1729">
        <v>1</v>
      </c>
      <c r="I1806" s="1729">
        <v>10</v>
      </c>
      <c r="J1806" s="1729">
        <f>COUNTIF(Elan!$C$13:$F$25,Tablas!E1806)+COUNTIF(Elan!$U$13:$X$25,Tablas!E1806)</f>
        <v>0</v>
      </c>
      <c r="K1806" s="1728"/>
      <c r="L1806" s="5170" t="s">
        <v>8281</v>
      </c>
      <c r="M1806" s="5170"/>
      <c r="N1806" s="5170"/>
      <c r="O1806" s="5170"/>
      <c r="P1806" s="5170"/>
      <c r="Q1806" s="5171"/>
      <c r="R1806" s="2497">
        <f>IF(OR($J1806=0,$J1806="Aprendida"),0,SUM($J$1702:$J1806))</f>
        <v>0</v>
      </c>
      <c r="T1806" s="2732" t="str">
        <f>E1870</f>
        <v>Meseguis</v>
      </c>
      <c r="U1806" s="2733"/>
      <c r="V1806" s="2742"/>
      <c r="W1806" s="2733"/>
      <c r="X1806" s="2733"/>
      <c r="Y1806" s="2734"/>
      <c r="AB1806" s="363"/>
      <c r="AC1806" s="2563"/>
    </row>
    <row r="1807" spans="1:29" ht="12.75" customHeight="1" x14ac:dyDescent="0.2">
      <c r="A1807" s="1916">
        <v>1807</v>
      </c>
      <c r="B1807" s="5148"/>
      <c r="E1807" s="2493" t="s">
        <v>7891</v>
      </c>
      <c r="F1807" s="2485">
        <f>IF(Elan!$C$11=Tablas!$E1807,Elan!$G$11,IF(Elan!$U$11=Tablas!$E1807,Elan!$Y$11,0))</f>
        <v>0</v>
      </c>
      <c r="G1807" s="2486" t="s">
        <v>2149</v>
      </c>
      <c r="H1807" s="2486" t="s">
        <v>10012</v>
      </c>
      <c r="I1807" s="2486" t="s">
        <v>1801</v>
      </c>
      <c r="J1807" s="2486" t="s">
        <v>7897</v>
      </c>
      <c r="K1807" s="2486" t="s">
        <v>8676</v>
      </c>
      <c r="L1807" s="2486" t="s">
        <v>1861</v>
      </c>
      <c r="M1807" s="1730"/>
      <c r="N1807" s="1730"/>
      <c r="O1807" s="1730"/>
      <c r="P1807" s="1730"/>
      <c r="Q1807" s="2491"/>
      <c r="R1807" s="2497">
        <f>IF(OR($J1807=0,$J1807="Aprendida"),0,SUM($J$1702:$J1807))</f>
        <v>0</v>
      </c>
      <c r="T1807" s="2735" t="s">
        <v>8398</v>
      </c>
      <c r="U1807" s="2736">
        <v>8</v>
      </c>
      <c r="V1807" s="2737" t="s">
        <v>8399</v>
      </c>
      <c r="W1807" s="2736">
        <v>2</v>
      </c>
      <c r="X1807" s="2736" t="s">
        <v>8400</v>
      </c>
      <c r="Y1807" s="2738">
        <v>-3</v>
      </c>
      <c r="AB1807" s="363"/>
      <c r="AC1807" s="2563"/>
    </row>
    <row r="1808" spans="1:29" ht="12.75" customHeight="1" x14ac:dyDescent="0.2">
      <c r="A1808" s="1916">
        <v>1808</v>
      </c>
      <c r="B1808" s="5148"/>
      <c r="E1808" s="2494" t="s">
        <v>7989</v>
      </c>
      <c r="F1808" s="1728"/>
      <c r="G1808" s="1728">
        <v>10</v>
      </c>
      <c r="H1808" s="1729">
        <v>1</v>
      </c>
      <c r="I1808" s="1729">
        <v>5</v>
      </c>
      <c r="J1808" s="1729">
        <f>COUNTIF(Elan!$C$13:$F$25,Tablas!E1808)+COUNTIF(Elan!$U$13:$X$25,Tablas!E1808)</f>
        <v>0</v>
      </c>
      <c r="K1808" s="1728">
        <f>F$1807*J1808</f>
        <v>0</v>
      </c>
      <c r="L1808" s="5170" t="s">
        <v>8282</v>
      </c>
      <c r="M1808" s="5170"/>
      <c r="N1808" s="5170"/>
      <c r="O1808" s="5170"/>
      <c r="P1808" s="5170"/>
      <c r="Q1808" s="5171"/>
      <c r="R1808" s="2497">
        <f>IF(OR($J1808=0,$J1808="Aprendida"),0,SUM($J$1702:$J1808))</f>
        <v>0</v>
      </c>
      <c r="T1808" s="2735" t="s">
        <v>8402</v>
      </c>
      <c r="U1808" s="2736">
        <v>8</v>
      </c>
      <c r="V1808" s="2737" t="s">
        <v>8403</v>
      </c>
      <c r="W1808" s="2736">
        <v>1</v>
      </c>
      <c r="X1808" s="2736" t="s">
        <v>8404</v>
      </c>
      <c r="Y1808" s="2738">
        <v>-4</v>
      </c>
      <c r="AB1808" s="363"/>
      <c r="AC1808" s="2563"/>
    </row>
    <row r="1809" spans="1:29" ht="12.75" customHeight="1" x14ac:dyDescent="0.2">
      <c r="A1809" s="1916">
        <v>1809</v>
      </c>
      <c r="B1809" s="5148"/>
      <c r="E1809" s="2494" t="s">
        <v>7990</v>
      </c>
      <c r="F1809" s="1728"/>
      <c r="G1809" s="1728">
        <v>20</v>
      </c>
      <c r="H1809" s="1729">
        <v>1</v>
      </c>
      <c r="I1809" s="1729">
        <v>5</v>
      </c>
      <c r="J1809" s="1729">
        <f>COUNTIF(Elan!$C$13:$F$25,Tablas!E1809)+COUNTIF(Elan!$U$13:$X$25,Tablas!E1809)</f>
        <v>0</v>
      </c>
      <c r="K1809" s="1728">
        <f>F$1807*J1809</f>
        <v>0</v>
      </c>
      <c r="L1809" s="5170" t="s">
        <v>8286</v>
      </c>
      <c r="M1809" s="5170"/>
      <c r="N1809" s="5170"/>
      <c r="O1809" s="5170"/>
      <c r="P1809" s="5170"/>
      <c r="Q1809" s="5171"/>
      <c r="R1809" s="2497">
        <f>IF(OR($J1809=0,$J1809="Aprendida"),0,SUM($J$1702:$J1809))</f>
        <v>0</v>
      </c>
      <c r="T1809" s="2735"/>
      <c r="U1809" s="2736"/>
      <c r="V1809" s="2737" t="s">
        <v>8406</v>
      </c>
      <c r="W1809" s="2736">
        <v>4</v>
      </c>
      <c r="X1809" s="2736"/>
      <c r="Y1809" s="2738"/>
      <c r="AB1809" s="363"/>
      <c r="AC1809" s="2563"/>
    </row>
    <row r="1810" spans="1:29" ht="12.75" customHeight="1" x14ac:dyDescent="0.2">
      <c r="A1810" s="1916">
        <v>1810</v>
      </c>
      <c r="B1810" s="5148"/>
      <c r="E1810" s="2494" t="s">
        <v>7991</v>
      </c>
      <c r="F1810" s="1728"/>
      <c r="G1810" s="1728">
        <v>30</v>
      </c>
      <c r="H1810" s="1729">
        <v>1</v>
      </c>
      <c r="I1810" s="1729">
        <v>10</v>
      </c>
      <c r="J1810" s="1729">
        <f>COUNTIF(Elan!$C$13:$F$25,Tablas!E1810)+COUNTIF(Elan!$U$13:$X$25,Tablas!E1810)</f>
        <v>0</v>
      </c>
      <c r="K1810" s="1728"/>
      <c r="L1810" s="5170" t="s">
        <v>8290</v>
      </c>
      <c r="M1810" s="5170"/>
      <c r="N1810" s="5170"/>
      <c r="O1810" s="5170"/>
      <c r="P1810" s="5170"/>
      <c r="Q1810" s="5171"/>
      <c r="R1810" s="2497">
        <f>IF(OR($J1810=0,$J1810="Aprendida"),0,SUM($J$1702:$J1810))</f>
        <v>0</v>
      </c>
      <c r="T1810" s="2739"/>
      <c r="U1810" s="2740"/>
      <c r="V1810" s="2740"/>
      <c r="W1810" s="2740"/>
      <c r="X1810" s="2740"/>
      <c r="Y1810" s="2741"/>
      <c r="AB1810" s="363"/>
      <c r="AC1810" s="2563"/>
    </row>
    <row r="1811" spans="1:29" ht="12.75" customHeight="1" x14ac:dyDescent="0.2">
      <c r="A1811" s="1916">
        <v>1811</v>
      </c>
      <c r="B1811" s="5148"/>
      <c r="E1811" s="2494" t="s">
        <v>7992</v>
      </c>
      <c r="F1811" s="1728"/>
      <c r="G1811" s="1728">
        <v>40</v>
      </c>
      <c r="H1811" s="1729">
        <v>1</v>
      </c>
      <c r="I1811" s="1729">
        <v>10</v>
      </c>
      <c r="J1811" s="1729">
        <f>COUNTIF(Elan!$C$13:$F$25,Tablas!E1811)+COUNTIF(Elan!$U$13:$X$25,Tablas!E1811)</f>
        <v>0</v>
      </c>
      <c r="K1811" s="1728"/>
      <c r="L1811" s="5170" t="s">
        <v>8294</v>
      </c>
      <c r="M1811" s="5170"/>
      <c r="N1811" s="5170"/>
      <c r="O1811" s="5170"/>
      <c r="P1811" s="5170"/>
      <c r="Q1811" s="5171"/>
      <c r="R1811" s="2497">
        <f>IF(OR($J1811=0,$J1811="Aprendida"),0,SUM($J$1702:$J1811))</f>
        <v>0</v>
      </c>
      <c r="T1811" s="2739"/>
      <c r="U1811" s="2740"/>
      <c r="V1811" s="2740"/>
      <c r="W1811" s="2740"/>
      <c r="X1811" s="2740"/>
      <c r="Y1811" s="2741"/>
      <c r="AB1811" s="363"/>
      <c r="AC1811" s="2563"/>
    </row>
    <row r="1812" spans="1:29" ht="12.75" customHeight="1" x14ac:dyDescent="0.2">
      <c r="A1812" s="1916">
        <v>1812</v>
      </c>
      <c r="B1812" s="5148"/>
      <c r="E1812" s="2494" t="s">
        <v>7993</v>
      </c>
      <c r="F1812" s="1728"/>
      <c r="G1812" s="1728">
        <v>50</v>
      </c>
      <c r="H1812" s="1729">
        <v>1</v>
      </c>
      <c r="I1812" s="1729">
        <v>5</v>
      </c>
      <c r="J1812" s="1729">
        <f>COUNTIF(Elan!$C$13:$F$25,Tablas!E1812)+COUNTIF(Elan!$U$13:$X$25,Tablas!E1812)</f>
        <v>0</v>
      </c>
      <c r="K1812" s="1728"/>
      <c r="L1812" s="5170" t="s">
        <v>8297</v>
      </c>
      <c r="M1812" s="5170"/>
      <c r="N1812" s="5170"/>
      <c r="O1812" s="5170"/>
      <c r="P1812" s="5170"/>
      <c r="Q1812" s="5171"/>
      <c r="R1812" s="2497">
        <f>IF(OR($J1812=0,$J1812="Aprendida"),0,SUM($J$1702:$J1812))</f>
        <v>0</v>
      </c>
      <c r="T1812" s="2739"/>
      <c r="U1812" s="2740"/>
      <c r="V1812" s="2740"/>
      <c r="W1812" s="2740"/>
      <c r="X1812" s="2740"/>
      <c r="Y1812" s="2741"/>
      <c r="AB1812" s="363"/>
      <c r="AC1812" s="2563"/>
    </row>
    <row r="1813" spans="1:29" ht="12.75" customHeight="1" x14ac:dyDescent="0.2">
      <c r="A1813" s="1916">
        <v>1813</v>
      </c>
      <c r="B1813" s="5148"/>
      <c r="E1813" s="2494" t="s">
        <v>7994</v>
      </c>
      <c r="F1813" s="1728"/>
      <c r="G1813" s="1728">
        <v>60</v>
      </c>
      <c r="H1813" s="1729">
        <f>IF(J1812,1,0)</f>
        <v>0</v>
      </c>
      <c r="I1813" s="1729">
        <v>10</v>
      </c>
      <c r="J1813" s="1729">
        <f>COUNTIF(Elan!$C$13:$F$25,Tablas!E1813)+COUNTIF(Elan!$U$13:$X$25,Tablas!E1813)</f>
        <v>0</v>
      </c>
      <c r="K1813" s="1728"/>
      <c r="L1813" s="5170" t="s">
        <v>8299</v>
      </c>
      <c r="M1813" s="5170"/>
      <c r="N1813" s="5170"/>
      <c r="O1813" s="5170"/>
      <c r="P1813" s="5170"/>
      <c r="Q1813" s="5171"/>
      <c r="R1813" s="2497">
        <f>IF(OR($J1813=0,$J1813="Aprendida"),0,SUM($J$1702:$J1813))</f>
        <v>0</v>
      </c>
      <c r="T1813" s="2739"/>
      <c r="U1813" s="2740"/>
      <c r="V1813" s="2740"/>
      <c r="W1813" s="2740"/>
      <c r="X1813" s="2740"/>
      <c r="Y1813" s="2741"/>
      <c r="AB1813" s="363"/>
      <c r="AC1813" s="2563"/>
    </row>
    <row r="1814" spans="1:29" ht="12.75" customHeight="1" x14ac:dyDescent="0.2">
      <c r="A1814" s="1916">
        <v>1814</v>
      </c>
      <c r="B1814" s="5148"/>
      <c r="E1814" s="2494" t="s">
        <v>196</v>
      </c>
      <c r="F1814" s="1728"/>
      <c r="G1814" s="1728">
        <v>60</v>
      </c>
      <c r="H1814" s="1729">
        <v>1</v>
      </c>
      <c r="I1814" s="1729">
        <v>15</v>
      </c>
      <c r="J1814" s="1729">
        <f>COUNTIF(Elan!$C$13:$F$25,Tablas!E1814)+COUNTIF(Elan!$U$13:$X$25,Tablas!E1814)</f>
        <v>0</v>
      </c>
      <c r="K1814" s="1728"/>
      <c r="L1814" s="5170" t="s">
        <v>8301</v>
      </c>
      <c r="M1814" s="5170"/>
      <c r="N1814" s="5170"/>
      <c r="O1814" s="5170"/>
      <c r="P1814" s="5170"/>
      <c r="Q1814" s="5171"/>
      <c r="R1814" s="2497">
        <f>IF(OR($J1814=0,$J1814="Aprendida"),0,SUM($J$1702:$J1814))</f>
        <v>0</v>
      </c>
      <c r="T1814" s="2743" t="str">
        <f>E1884</f>
        <v>ElanPersonalizado</v>
      </c>
      <c r="U1814" s="2733"/>
      <c r="V1814" s="2742"/>
      <c r="W1814" s="2733"/>
      <c r="X1814" s="2733"/>
      <c r="Y1814" s="2734"/>
      <c r="AB1814" s="363"/>
      <c r="AC1814" s="2563"/>
    </row>
    <row r="1815" spans="1:29" ht="12.75" customHeight="1" x14ac:dyDescent="0.2">
      <c r="A1815" s="1916">
        <v>1815</v>
      </c>
      <c r="B1815" s="5148"/>
      <c r="E1815" s="2494" t="s">
        <v>7995</v>
      </c>
      <c r="F1815" s="1728"/>
      <c r="G1815" s="1728">
        <v>70</v>
      </c>
      <c r="H1815" s="1729">
        <v>1</v>
      </c>
      <c r="I1815" s="1729">
        <v>15</v>
      </c>
      <c r="J1815" s="1729">
        <f>COUNTIF(Elan!$C$13:$F$25,Tablas!E1815)+COUNTIF(Elan!$U$13:$X$25,Tablas!E1815)</f>
        <v>0</v>
      </c>
      <c r="K1815" s="1728"/>
      <c r="L1815" s="5170" t="s">
        <v>8303</v>
      </c>
      <c r="M1815" s="5170"/>
      <c r="N1815" s="5170"/>
      <c r="O1815" s="5170"/>
      <c r="P1815" s="5170"/>
      <c r="Q1815" s="5171"/>
      <c r="R1815" s="2497">
        <f>IF(OR($J1815=0,$J1815="Aprendida"),0,SUM($J$1702:$J1815))</f>
        <v>0</v>
      </c>
      <c r="T1815" s="2735">
        <f>Personalización!E56</f>
        <v>0</v>
      </c>
      <c r="U1815" s="2736">
        <f>Personalización!K56</f>
        <v>0</v>
      </c>
      <c r="V1815" s="2737">
        <f>Personalización!E64</f>
        <v>0</v>
      </c>
      <c r="W1815" s="2736">
        <f>Personalización!K64</f>
        <v>0</v>
      </c>
      <c r="X1815" s="2736">
        <f>Personalización!L56</f>
        <v>0</v>
      </c>
      <c r="Y1815" s="2738">
        <f>Personalización!O56</f>
        <v>0</v>
      </c>
      <c r="AB1815" s="363"/>
      <c r="AC1815" s="2563"/>
    </row>
    <row r="1816" spans="1:29" ht="12.75" customHeight="1" x14ac:dyDescent="0.2">
      <c r="A1816" s="1916">
        <v>1816</v>
      </c>
      <c r="B1816" s="5148"/>
      <c r="E1816" s="2494" t="s">
        <v>7996</v>
      </c>
      <c r="F1816" s="1728"/>
      <c r="G1816" s="1728">
        <v>70</v>
      </c>
      <c r="H1816" s="1729">
        <v>1</v>
      </c>
      <c r="I1816" s="1729">
        <v>20</v>
      </c>
      <c r="J1816" s="1729">
        <f>COUNTIF(Elan!$C$13:$F$25,Tablas!E1816)+COUNTIF(Elan!$U$13:$X$25,Tablas!E1816)</f>
        <v>0</v>
      </c>
      <c r="K1816" s="1728"/>
      <c r="L1816" s="5170" t="s">
        <v>8304</v>
      </c>
      <c r="M1816" s="5170"/>
      <c r="N1816" s="5170"/>
      <c r="O1816" s="5170"/>
      <c r="P1816" s="5170"/>
      <c r="Q1816" s="5171"/>
      <c r="R1816" s="2497">
        <f>IF(OR($J1816=0,$J1816="Aprendida"),0,SUM($J$1702:$J1816))</f>
        <v>0</v>
      </c>
      <c r="T1816" s="2735">
        <f>Personalización!E57</f>
        <v>0</v>
      </c>
      <c r="U1816" s="2736">
        <f>Personalización!K57</f>
        <v>0</v>
      </c>
      <c r="V1816" s="2737">
        <f>Personalización!E65</f>
        <v>0</v>
      </c>
      <c r="W1816" s="2736">
        <f>Personalización!K65</f>
        <v>0</v>
      </c>
      <c r="X1816" s="2736">
        <f>Personalización!L59</f>
        <v>0</v>
      </c>
      <c r="Y1816" s="2738">
        <f>Personalización!O59</f>
        <v>0</v>
      </c>
      <c r="AB1816" s="363"/>
      <c r="AC1816" s="2563"/>
    </row>
    <row r="1817" spans="1:29" ht="12.75" customHeight="1" x14ac:dyDescent="0.2">
      <c r="A1817" s="1916">
        <v>1817</v>
      </c>
      <c r="B1817" s="5148"/>
      <c r="E1817" s="2494" t="s">
        <v>7997</v>
      </c>
      <c r="F1817" s="1728"/>
      <c r="G1817" s="1728">
        <v>80</v>
      </c>
      <c r="H1817" s="1729">
        <v>1</v>
      </c>
      <c r="I1817" s="1729">
        <v>10</v>
      </c>
      <c r="J1817" s="1729">
        <f>COUNTIF(Elan!$C$13:$F$25,Tablas!E1817)+COUNTIF(Elan!$U$13:$X$25,Tablas!E1817)</f>
        <v>0</v>
      </c>
      <c r="K1817" s="1728">
        <f>IF(J1817&gt;0,1,0)</f>
        <v>0</v>
      </c>
      <c r="L1817" s="5170" t="s">
        <v>8305</v>
      </c>
      <c r="M1817" s="5170"/>
      <c r="N1817" s="5170"/>
      <c r="O1817" s="5170"/>
      <c r="P1817" s="5170"/>
      <c r="Q1817" s="5171"/>
      <c r="R1817" s="2497">
        <f>IF(OR($J1817=0,$J1817="Aprendida"),0,SUM($J$1702:$J1817))</f>
        <v>0</v>
      </c>
      <c r="T1817" s="2735">
        <f>Personalización!E58</f>
        <v>0</v>
      </c>
      <c r="U1817" s="2736">
        <f>Personalización!K58</f>
        <v>0</v>
      </c>
      <c r="V1817" s="2737">
        <f>Personalización!E66</f>
        <v>0</v>
      </c>
      <c r="W1817" s="2736">
        <f>Personalización!K66</f>
        <v>0</v>
      </c>
      <c r="X1817" s="2736">
        <f>Personalización!L62</f>
        <v>0</v>
      </c>
      <c r="Y1817" s="2738">
        <f>Personalización!O62</f>
        <v>0</v>
      </c>
      <c r="AB1817" s="363"/>
      <c r="AC1817" s="2563"/>
    </row>
    <row r="1818" spans="1:29" ht="12.75" customHeight="1" x14ac:dyDescent="0.2">
      <c r="A1818" s="1916">
        <v>1818</v>
      </c>
      <c r="B1818" s="5148"/>
      <c r="E1818" s="2494" t="s">
        <v>7998</v>
      </c>
      <c r="F1818" s="1728"/>
      <c r="G1818" s="1728">
        <v>90</v>
      </c>
      <c r="H1818" s="1729">
        <f>IF(J1813,1,0)</f>
        <v>0</v>
      </c>
      <c r="I1818" s="1729">
        <v>15</v>
      </c>
      <c r="J1818" s="1729">
        <f>COUNTIF(Elan!$C$13:$F$25,Tablas!E1818)+COUNTIF(Elan!$U$13:$X$25,Tablas!E1818)</f>
        <v>0</v>
      </c>
      <c r="K1818" s="1728"/>
      <c r="L1818" s="5170" t="s">
        <v>8306</v>
      </c>
      <c r="M1818" s="5170"/>
      <c r="N1818" s="5170"/>
      <c r="O1818" s="5170"/>
      <c r="P1818" s="5170"/>
      <c r="Q1818" s="5171"/>
      <c r="R1818" s="2497">
        <f>IF(OR($J1818=0,$J1818="Aprendida"),0,SUM($J$1702:$J1818))</f>
        <v>0</v>
      </c>
      <c r="T1818" s="2735">
        <f>Personalización!E59</f>
        <v>0</v>
      </c>
      <c r="U1818" s="2736">
        <f>Personalización!K59</f>
        <v>0</v>
      </c>
      <c r="V1818" s="2737">
        <f>Personalización!E67</f>
        <v>0</v>
      </c>
      <c r="W1818" s="2736">
        <f>Personalización!K67</f>
        <v>0</v>
      </c>
      <c r="X1818" s="2736">
        <f>Personalización!L65</f>
        <v>0</v>
      </c>
      <c r="Y1818" s="2738">
        <f>Personalización!O65</f>
        <v>0</v>
      </c>
      <c r="AB1818" s="363"/>
      <c r="AC1818" s="2563"/>
    </row>
    <row r="1819" spans="1:29" ht="12.75" customHeight="1" x14ac:dyDescent="0.2">
      <c r="A1819" s="1916">
        <v>1819</v>
      </c>
      <c r="B1819" s="5148"/>
      <c r="E1819" s="2494" t="s">
        <v>7999</v>
      </c>
      <c r="F1819" s="1728"/>
      <c r="G1819" s="1728">
        <v>100</v>
      </c>
      <c r="H1819" s="1729">
        <v>1</v>
      </c>
      <c r="I1819" s="1729">
        <v>10</v>
      </c>
      <c r="J1819" s="1729">
        <f>COUNTIF(Elan!$C$13:$F$25,Tablas!E1819)+COUNTIF(Elan!$U$13:$X$25,Tablas!E1819)</f>
        <v>0</v>
      </c>
      <c r="K1819" s="1728"/>
      <c r="L1819" s="5170" t="s">
        <v>8307</v>
      </c>
      <c r="M1819" s="5170"/>
      <c r="N1819" s="5170"/>
      <c r="O1819" s="5170"/>
      <c r="P1819" s="5170"/>
      <c r="Q1819" s="5171"/>
      <c r="R1819" s="2497">
        <f>IF(OR($J1819=0,$J1819="Aprendida"),0,SUM($J$1702:$J1819))</f>
        <v>0</v>
      </c>
      <c r="T1819" s="2735">
        <f>Personalización!E60</f>
        <v>0</v>
      </c>
      <c r="U1819" s="2736">
        <f>Personalización!K60</f>
        <v>0</v>
      </c>
      <c r="V1819" s="2737">
        <f>Personalización!E68</f>
        <v>0</v>
      </c>
      <c r="W1819" s="2736">
        <f>Personalización!K68</f>
        <v>0</v>
      </c>
      <c r="X1819" s="2736">
        <f>Personalización!L68</f>
        <v>0</v>
      </c>
      <c r="Y1819" s="2738">
        <f>Personalización!O68</f>
        <v>0</v>
      </c>
      <c r="AB1819" s="363"/>
      <c r="AC1819" s="2563"/>
    </row>
    <row r="1820" spans="1:29" ht="12.75" customHeight="1" x14ac:dyDescent="0.2">
      <c r="A1820" s="1916">
        <v>1820</v>
      </c>
      <c r="B1820" s="5148"/>
      <c r="E1820" s="2493" t="s">
        <v>7892</v>
      </c>
      <c r="F1820" s="2485">
        <f>IF(Elan!$C$11=Tablas!$E1820,Elan!$G$11,IF(Elan!$U$11=Tablas!$E1820,Elan!$Y$11,0))</f>
        <v>0</v>
      </c>
      <c r="G1820" s="2486" t="s">
        <v>2149</v>
      </c>
      <c r="H1820" s="2486" t="s">
        <v>10012</v>
      </c>
      <c r="I1820" s="2486" t="s">
        <v>1801</v>
      </c>
      <c r="J1820" s="2486" t="s">
        <v>7897</v>
      </c>
      <c r="K1820" s="2486" t="s">
        <v>8676</v>
      </c>
      <c r="L1820" s="2486" t="s">
        <v>1861</v>
      </c>
      <c r="M1820" s="1730"/>
      <c r="N1820" s="1730"/>
      <c r="O1820" s="1730"/>
      <c r="P1820" s="1730"/>
      <c r="Q1820" s="2491"/>
      <c r="R1820" s="2497">
        <f>IF(OR($J1820=0,$J1820="Aprendida"),0,SUM($J$1702:$J1820))</f>
        <v>0</v>
      </c>
      <c r="T1820" s="2735">
        <f>Personalización!E61</f>
        <v>0</v>
      </c>
      <c r="U1820" s="2736">
        <f>Personalización!K61</f>
        <v>0</v>
      </c>
      <c r="V1820" s="2737">
        <f>Personalización!E69</f>
        <v>0</v>
      </c>
      <c r="W1820" s="2736">
        <f>Personalización!K69</f>
        <v>0</v>
      </c>
      <c r="X1820" s="2736"/>
      <c r="Y1820" s="2738"/>
      <c r="AB1820" s="363"/>
      <c r="AC1820" s="2563"/>
    </row>
    <row r="1821" spans="1:29" ht="12.75" customHeight="1" thickBot="1" x14ac:dyDescent="0.25">
      <c r="A1821" s="1916">
        <v>1821</v>
      </c>
      <c r="B1821" s="5148"/>
      <c r="E1821" s="2494" t="s">
        <v>8000</v>
      </c>
      <c r="F1821" s="1728"/>
      <c r="G1821" s="1728">
        <v>10</v>
      </c>
      <c r="H1821" s="1729">
        <v>1</v>
      </c>
      <c r="I1821" s="1729">
        <v>10</v>
      </c>
      <c r="J1821" s="1729">
        <f>COUNTIF(Elan!$C$13:$F$25,Tablas!E1821)+COUNTIF(Elan!$U$13:$X$25,Tablas!E1821)</f>
        <v>0</v>
      </c>
      <c r="K1821" s="1728"/>
      <c r="L1821" s="5170" t="s">
        <v>8308</v>
      </c>
      <c r="M1821" s="5170"/>
      <c r="N1821" s="5170"/>
      <c r="O1821" s="5170"/>
      <c r="P1821" s="5170"/>
      <c r="Q1821" s="5171"/>
      <c r="R1821" s="2497">
        <f>IF(OR($J1821=0,$J1821="Aprendida"),0,SUM($J$1702:$J1821))</f>
        <v>0</v>
      </c>
      <c r="T1821" s="2744">
        <f>Personalización!E62</f>
        <v>0</v>
      </c>
      <c r="U1821" s="2745">
        <f>Personalización!K62</f>
        <v>0</v>
      </c>
      <c r="V1821" s="2746">
        <f>Personalización!E70</f>
        <v>0</v>
      </c>
      <c r="W1821" s="2745">
        <f>Personalización!K70</f>
        <v>0</v>
      </c>
      <c r="X1821" s="2745"/>
      <c r="Y1821" s="2747"/>
      <c r="AB1821" s="363"/>
      <c r="AC1821" s="2563"/>
    </row>
    <row r="1822" spans="1:29" ht="12.75" customHeight="1" x14ac:dyDescent="0.2">
      <c r="A1822" s="1916">
        <v>1822</v>
      </c>
      <c r="B1822" s="5148"/>
      <c r="E1822" s="2494" t="s">
        <v>8001</v>
      </c>
      <c r="F1822" s="1728"/>
      <c r="G1822" s="1728">
        <v>20</v>
      </c>
      <c r="H1822" s="1729">
        <v>1</v>
      </c>
      <c r="I1822" s="1729">
        <v>5</v>
      </c>
      <c r="J1822" s="1729">
        <f>COUNTIF(Elan!$C$13:$F$25,Tablas!E1822)+COUNTIF(Elan!$U$13:$X$25,Tablas!E1822)</f>
        <v>0</v>
      </c>
      <c r="K1822" s="1728"/>
      <c r="L1822" s="5170" t="s">
        <v>8311</v>
      </c>
      <c r="M1822" s="5170"/>
      <c r="N1822" s="5170"/>
      <c r="O1822" s="5170"/>
      <c r="P1822" s="5170"/>
      <c r="Q1822" s="5171"/>
      <c r="R1822" s="2497">
        <f>IF(OR($J1822=0,$J1822="Aprendida"),0,SUM($J$1702:$J1822))</f>
        <v>0</v>
      </c>
      <c r="AB1822" s="363"/>
      <c r="AC1822" s="2563"/>
    </row>
    <row r="1823" spans="1:29" ht="12.75" customHeight="1" x14ac:dyDescent="0.2">
      <c r="A1823" s="1916">
        <v>1823</v>
      </c>
      <c r="B1823" s="5148"/>
      <c r="E1823" s="2494" t="s">
        <v>8002</v>
      </c>
      <c r="F1823" s="1728"/>
      <c r="G1823" s="1728">
        <v>30</v>
      </c>
      <c r="H1823" s="1729">
        <v>1</v>
      </c>
      <c r="I1823" s="1729">
        <v>10</v>
      </c>
      <c r="J1823" s="1729">
        <f>COUNTIF(Elan!$C$13:$F$25,Tablas!E1823)+COUNTIF(Elan!$U$13:$X$25,Tablas!E1823)</f>
        <v>0</v>
      </c>
      <c r="K1823" s="1728"/>
      <c r="L1823" s="5170" t="s">
        <v>8315</v>
      </c>
      <c r="M1823" s="5170"/>
      <c r="N1823" s="5170"/>
      <c r="O1823" s="5170"/>
      <c r="P1823" s="5170"/>
      <c r="Q1823" s="5171"/>
      <c r="R1823" s="2497">
        <f>IF(OR($J1823=0,$J1823="Aprendida"),0,SUM($J$1702:$J1823))</f>
        <v>0</v>
      </c>
      <c r="AB1823" s="363"/>
      <c r="AC1823" s="2563"/>
    </row>
    <row r="1824" spans="1:29" ht="12.75" customHeight="1" x14ac:dyDescent="0.2">
      <c r="A1824" s="1916">
        <v>1824</v>
      </c>
      <c r="B1824" s="5148"/>
      <c r="E1824" s="2494" t="s">
        <v>8003</v>
      </c>
      <c r="F1824" s="1728"/>
      <c r="G1824" s="1728">
        <v>40</v>
      </c>
      <c r="H1824" s="1729">
        <v>1</v>
      </c>
      <c r="I1824" s="1729">
        <v>5</v>
      </c>
      <c r="J1824" s="1729">
        <f>COUNTIF(Elan!$C$13:$F$25,Tablas!E1824)+COUNTIF(Elan!$U$13:$X$25,Tablas!E1824)</f>
        <v>0</v>
      </c>
      <c r="K1824" s="1728"/>
      <c r="L1824" s="5170" t="s">
        <v>8317</v>
      </c>
      <c r="M1824" s="5170"/>
      <c r="N1824" s="5170"/>
      <c r="O1824" s="5170"/>
      <c r="P1824" s="5170"/>
      <c r="Q1824" s="5171"/>
      <c r="R1824" s="2497">
        <f>IF(OR($J1824=0,$J1824="Aprendida"),0,SUM($J$1702:$J1824))</f>
        <v>0</v>
      </c>
      <c r="AB1824" s="363"/>
      <c r="AC1824" s="2563"/>
    </row>
    <row r="1825" spans="1:29" ht="12.75" customHeight="1" x14ac:dyDescent="0.2">
      <c r="A1825" s="1916">
        <v>1825</v>
      </c>
      <c r="B1825" s="5148"/>
      <c r="E1825" s="2494" t="s">
        <v>8004</v>
      </c>
      <c r="F1825" s="1728"/>
      <c r="G1825" s="1728">
        <v>50</v>
      </c>
      <c r="H1825" s="1729">
        <v>1</v>
      </c>
      <c r="I1825" s="1729">
        <v>15</v>
      </c>
      <c r="J1825" s="1729">
        <f>COUNTIF(Elan!$C$13:$F$25,Tablas!E1825)+COUNTIF(Elan!$U$13:$X$25,Tablas!E1825)</f>
        <v>0</v>
      </c>
      <c r="K1825" s="1728"/>
      <c r="L1825" s="5170" t="s">
        <v>8319</v>
      </c>
      <c r="M1825" s="5170"/>
      <c r="N1825" s="5170"/>
      <c r="O1825" s="5170"/>
      <c r="P1825" s="5170"/>
      <c r="Q1825" s="5171"/>
      <c r="R1825" s="2497">
        <f>IF(OR($J1825=0,$J1825="Aprendida"),0,SUM($J$1702:$J1825))</f>
        <v>0</v>
      </c>
      <c r="AB1825" s="363"/>
      <c r="AC1825" s="2563"/>
    </row>
    <row r="1826" spans="1:29" ht="12.75" customHeight="1" x14ac:dyDescent="0.2">
      <c r="A1826" s="1916">
        <v>1826</v>
      </c>
      <c r="B1826" s="5148"/>
      <c r="E1826" s="2494" t="s">
        <v>8005</v>
      </c>
      <c r="F1826" s="1728"/>
      <c r="G1826" s="1728">
        <v>60</v>
      </c>
      <c r="H1826" s="1729">
        <f>IF(J1824,1,0)</f>
        <v>0</v>
      </c>
      <c r="I1826" s="1729">
        <v>10</v>
      </c>
      <c r="J1826" s="1729">
        <f>COUNTIF(Elan!$C$13:$F$25,Tablas!E1826)+COUNTIF(Elan!$U$13:$X$25,Tablas!E1826)</f>
        <v>0</v>
      </c>
      <c r="K1826" s="1728"/>
      <c r="L1826" s="5170" t="s">
        <v>8321</v>
      </c>
      <c r="M1826" s="5170"/>
      <c r="N1826" s="5170"/>
      <c r="O1826" s="5170"/>
      <c r="P1826" s="5170"/>
      <c r="Q1826" s="5171"/>
      <c r="R1826" s="2497">
        <f>IF(OR($J1826=0,$J1826="Aprendida"),0,SUM($J$1702:$J1826))</f>
        <v>0</v>
      </c>
      <c r="AB1826" s="363"/>
      <c r="AC1826" s="2563"/>
    </row>
    <row r="1827" spans="1:29" ht="12.75" customHeight="1" x14ac:dyDescent="0.2">
      <c r="A1827" s="1916">
        <v>1827</v>
      </c>
      <c r="B1827" s="5148"/>
      <c r="E1827" s="2494" t="s">
        <v>8006</v>
      </c>
      <c r="F1827" s="1728"/>
      <c r="G1827" s="1728">
        <v>70</v>
      </c>
      <c r="H1827" s="1729">
        <v>1</v>
      </c>
      <c r="I1827" s="1729">
        <v>15</v>
      </c>
      <c r="J1827" s="1729">
        <f>COUNTIF(Elan!$C$13:$F$25,Tablas!E1827)+COUNTIF(Elan!$U$13:$X$25,Tablas!E1827)</f>
        <v>0</v>
      </c>
      <c r="K1827" s="1728"/>
      <c r="L1827" s="5170" t="s">
        <v>8322</v>
      </c>
      <c r="M1827" s="5170"/>
      <c r="N1827" s="5170"/>
      <c r="O1827" s="5170"/>
      <c r="P1827" s="5170"/>
      <c r="Q1827" s="5171"/>
      <c r="R1827" s="2497">
        <f>IF(OR($J1827=0,$J1827="Aprendida"),0,SUM($J$1702:$J1827))</f>
        <v>0</v>
      </c>
      <c r="AB1827" s="363"/>
      <c r="AC1827" s="2563"/>
    </row>
    <row r="1828" spans="1:29" ht="12.75" customHeight="1" x14ac:dyDescent="0.2">
      <c r="A1828" s="1916">
        <v>1828</v>
      </c>
      <c r="B1828" s="5148"/>
      <c r="E1828" s="2494" t="s">
        <v>8007</v>
      </c>
      <c r="F1828" s="1728"/>
      <c r="G1828" s="1728">
        <v>80</v>
      </c>
      <c r="H1828" s="1729">
        <f>IF(J1824,1,0)</f>
        <v>0</v>
      </c>
      <c r="I1828" s="1729">
        <v>10</v>
      </c>
      <c r="J1828" s="1729">
        <f>COUNTIF(Elan!$C$13:$F$25,Tablas!E1828)+COUNTIF(Elan!$U$13:$X$25,Tablas!E1828)</f>
        <v>0</v>
      </c>
      <c r="K1828" s="1728"/>
      <c r="L1828" s="5170" t="s">
        <v>8323</v>
      </c>
      <c r="M1828" s="5170"/>
      <c r="N1828" s="5170"/>
      <c r="O1828" s="5170"/>
      <c r="P1828" s="5170"/>
      <c r="Q1828" s="5171"/>
      <c r="R1828" s="2497">
        <f>IF(OR($J1828=0,$J1828="Aprendida"),0,SUM($J$1702:$J1828))</f>
        <v>0</v>
      </c>
      <c r="AB1828" s="363"/>
      <c r="AC1828" s="2563"/>
    </row>
    <row r="1829" spans="1:29" ht="12.75" customHeight="1" x14ac:dyDescent="0.2">
      <c r="A1829" s="1916">
        <v>1829</v>
      </c>
      <c r="B1829" s="5148"/>
      <c r="E1829" s="2494" t="s">
        <v>8008</v>
      </c>
      <c r="F1829" s="1728"/>
      <c r="G1829" s="1728">
        <v>80</v>
      </c>
      <c r="H1829" s="1729">
        <v>1</v>
      </c>
      <c r="I1829" s="1729">
        <v>15</v>
      </c>
      <c r="J1829" s="1729">
        <f>COUNTIF(Elan!$C$13:$F$25,Tablas!E1829)+COUNTIF(Elan!$U$13:$X$25,Tablas!E1829)</f>
        <v>0</v>
      </c>
      <c r="K1829" s="1728"/>
      <c r="L1829" s="5170" t="s">
        <v>8324</v>
      </c>
      <c r="M1829" s="5170"/>
      <c r="N1829" s="5170"/>
      <c r="O1829" s="5170"/>
      <c r="P1829" s="5170"/>
      <c r="Q1829" s="5171"/>
      <c r="R1829" s="2497">
        <f>IF(OR($J1829=0,$J1829="Aprendida"),0,SUM($J$1702:$J1829))</f>
        <v>0</v>
      </c>
      <c r="AB1829" s="363"/>
      <c r="AC1829" s="2563"/>
    </row>
    <row r="1830" spans="1:29" ht="12.75" customHeight="1" x14ac:dyDescent="0.2">
      <c r="A1830" s="1916">
        <v>1830</v>
      </c>
      <c r="B1830" s="5148"/>
      <c r="E1830" s="2494" t="s">
        <v>8009</v>
      </c>
      <c r="F1830" s="1728"/>
      <c r="G1830" s="1728">
        <v>90</v>
      </c>
      <c r="H1830" s="1729">
        <v>1</v>
      </c>
      <c r="I1830" s="1729">
        <v>15</v>
      </c>
      <c r="J1830" s="1729">
        <f>COUNTIF(Elan!$C$13:$F$25,Tablas!E1830)+COUNTIF(Elan!$U$13:$X$25,Tablas!E1830)</f>
        <v>0</v>
      </c>
      <c r="K1830" s="1728"/>
      <c r="L1830" s="5170" t="s">
        <v>8325</v>
      </c>
      <c r="M1830" s="5170"/>
      <c r="N1830" s="5170"/>
      <c r="O1830" s="5170"/>
      <c r="P1830" s="5170"/>
      <c r="Q1830" s="5171"/>
      <c r="R1830" s="2497">
        <f>IF(OR($J1830=0,$J1830="Aprendida"),0,SUM($J$1702:$J1830))</f>
        <v>0</v>
      </c>
      <c r="AB1830" s="363"/>
      <c r="AC1830" s="2563"/>
    </row>
    <row r="1831" spans="1:29" ht="12.75" customHeight="1" x14ac:dyDescent="0.2">
      <c r="A1831" s="1916">
        <v>1831</v>
      </c>
      <c r="B1831" s="5148"/>
      <c r="E1831" s="2494" t="s">
        <v>8010</v>
      </c>
      <c r="F1831" s="1728"/>
      <c r="G1831" s="1728">
        <v>100</v>
      </c>
      <c r="H1831" s="1729">
        <v>1</v>
      </c>
      <c r="I1831" s="1729">
        <v>10</v>
      </c>
      <c r="J1831" s="1729">
        <f>COUNTIF(Elan!$C$13:$F$25,Tablas!E1831)+COUNTIF(Elan!$U$13:$X$25,Tablas!E1831)</f>
        <v>0</v>
      </c>
      <c r="K1831" s="1728"/>
      <c r="L1831" s="5170" t="s">
        <v>8326</v>
      </c>
      <c r="M1831" s="5170"/>
      <c r="N1831" s="5170"/>
      <c r="O1831" s="5170"/>
      <c r="P1831" s="5170"/>
      <c r="Q1831" s="5171"/>
      <c r="R1831" s="2497">
        <f>IF(OR($J1831=0,$J1831="Aprendida"),0,SUM($J$1702:$J1831))</f>
        <v>0</v>
      </c>
      <c r="AB1831" s="363"/>
      <c r="AC1831" s="2563"/>
    </row>
    <row r="1832" spans="1:29" ht="12.75" customHeight="1" x14ac:dyDescent="0.2">
      <c r="A1832" s="1916">
        <v>1832</v>
      </c>
      <c r="B1832" s="5148"/>
      <c r="E1832" s="2493" t="s">
        <v>7893</v>
      </c>
      <c r="F1832" s="2485">
        <f>IF(Elan!$C$11=Tablas!$E1832,Elan!$G$11,IF(Elan!$U$11=Tablas!$E1832,Elan!$Y$11,0))</f>
        <v>0</v>
      </c>
      <c r="G1832" s="2486" t="s">
        <v>2149</v>
      </c>
      <c r="H1832" s="2486" t="s">
        <v>10012</v>
      </c>
      <c r="I1832" s="2486" t="s">
        <v>1801</v>
      </c>
      <c r="J1832" s="2486" t="s">
        <v>7897</v>
      </c>
      <c r="K1832" s="2486" t="s">
        <v>8676</v>
      </c>
      <c r="L1832" s="2486" t="s">
        <v>1861</v>
      </c>
      <c r="M1832" s="1730"/>
      <c r="N1832" s="1730"/>
      <c r="O1832" s="1730"/>
      <c r="P1832" s="1730"/>
      <c r="Q1832" s="2491"/>
      <c r="R1832" s="2497">
        <f>IF(OR($J1832=0,$J1832="Aprendida"),0,SUM($J$1702:$J1832))</f>
        <v>0</v>
      </c>
      <c r="AB1832" s="363"/>
      <c r="AC1832" s="2563"/>
    </row>
    <row r="1833" spans="1:29" ht="12.75" customHeight="1" x14ac:dyDescent="0.2">
      <c r="A1833" s="1916">
        <v>1833</v>
      </c>
      <c r="B1833" s="5148"/>
      <c r="E1833" s="2494" t="s">
        <v>8011</v>
      </c>
      <c r="F1833" s="1728"/>
      <c r="G1833" s="1728">
        <v>10</v>
      </c>
      <c r="H1833" s="1729">
        <v>1</v>
      </c>
      <c r="I1833" s="1729">
        <v>5</v>
      </c>
      <c r="J1833" s="1729">
        <f>COUNTIF(Elan!$C$13:$F$25,Tablas!E1833)+COUNTIF(Elan!$U$13:$X$25,Tablas!E1833)</f>
        <v>0</v>
      </c>
      <c r="K1833" s="1728">
        <f>F$1832*J1833</f>
        <v>0</v>
      </c>
      <c r="L1833" s="5170" t="s">
        <v>8327</v>
      </c>
      <c r="M1833" s="5170"/>
      <c r="N1833" s="5170"/>
      <c r="O1833" s="5170"/>
      <c r="P1833" s="5170"/>
      <c r="Q1833" s="5171"/>
      <c r="R1833" s="2497">
        <f>IF(OR($J1833=0,$J1833="Aprendida"),0,SUM($J$1702:$J1833))</f>
        <v>0</v>
      </c>
      <c r="AB1833" s="363"/>
      <c r="AC1833" s="2563"/>
    </row>
    <row r="1834" spans="1:29" ht="12.75" customHeight="1" x14ac:dyDescent="0.2">
      <c r="A1834" s="1916">
        <v>1834</v>
      </c>
      <c r="B1834" s="5148"/>
      <c r="E1834" s="2494" t="s">
        <v>8012</v>
      </c>
      <c r="F1834" s="1728"/>
      <c r="G1834" s="1728">
        <v>20</v>
      </c>
      <c r="H1834" s="1729">
        <v>1</v>
      </c>
      <c r="I1834" s="1729">
        <v>10</v>
      </c>
      <c r="J1834" s="1729">
        <f>COUNTIF(Elan!$C$13:$F$25,Tablas!E1834)+COUNTIF(Elan!$U$13:$X$25,Tablas!E1834)</f>
        <v>0</v>
      </c>
      <c r="K1834" s="1728"/>
      <c r="L1834" s="5170" t="s">
        <v>8331</v>
      </c>
      <c r="M1834" s="5170"/>
      <c r="N1834" s="5170"/>
      <c r="O1834" s="5170"/>
      <c r="P1834" s="5170"/>
      <c r="Q1834" s="5171"/>
      <c r="R1834" s="2497">
        <f>IF(OR($J1834=0,$J1834="Aprendida"),0,SUM($J$1702:$J1834))</f>
        <v>0</v>
      </c>
      <c r="AB1834" s="363"/>
      <c r="AC1834" s="2563"/>
    </row>
    <row r="1835" spans="1:29" ht="12.75" customHeight="1" x14ac:dyDescent="0.2">
      <c r="A1835" s="1916">
        <v>1835</v>
      </c>
      <c r="B1835" s="5148"/>
      <c r="E1835" s="2494" t="s">
        <v>8013</v>
      </c>
      <c r="F1835" s="1728"/>
      <c r="G1835" s="1728">
        <v>30</v>
      </c>
      <c r="H1835" s="1729">
        <v>1</v>
      </c>
      <c r="I1835" s="1729">
        <v>10</v>
      </c>
      <c r="J1835" s="1729">
        <f>COUNTIF(Elan!$C$13:$F$25,Tablas!E1835)+COUNTIF(Elan!$U$13:$X$25,Tablas!E1835)</f>
        <v>0</v>
      </c>
      <c r="K1835" s="1728">
        <f>F$1832*J1835</f>
        <v>0</v>
      </c>
      <c r="L1835" s="5170" t="s">
        <v>8335</v>
      </c>
      <c r="M1835" s="5170"/>
      <c r="N1835" s="5170"/>
      <c r="O1835" s="5170"/>
      <c r="P1835" s="5170"/>
      <c r="Q1835" s="5171"/>
      <c r="R1835" s="2497">
        <f>IF(OR($J1835=0,$J1835="Aprendida"),0,SUM($J$1702:$J1835))</f>
        <v>0</v>
      </c>
      <c r="AB1835" s="363"/>
      <c r="AC1835" s="2563"/>
    </row>
    <row r="1836" spans="1:29" ht="12.75" customHeight="1" x14ac:dyDescent="0.2">
      <c r="A1836" s="1916">
        <v>1836</v>
      </c>
      <c r="B1836" s="5148"/>
      <c r="E1836" s="2494" t="s">
        <v>8014</v>
      </c>
      <c r="F1836" s="1728"/>
      <c r="G1836" s="1728">
        <v>40</v>
      </c>
      <c r="H1836" s="1729">
        <v>1</v>
      </c>
      <c r="I1836" s="1729">
        <v>10</v>
      </c>
      <c r="J1836" s="1729">
        <f>COUNTIF(Elan!$C$13:$F$25,Tablas!E1836)+COUNTIF(Elan!$U$13:$X$25,Tablas!E1836)</f>
        <v>0</v>
      </c>
      <c r="K1836" s="1728"/>
      <c r="L1836" s="5170" t="s">
        <v>8339</v>
      </c>
      <c r="M1836" s="5170"/>
      <c r="N1836" s="5170"/>
      <c r="O1836" s="5170"/>
      <c r="P1836" s="5170"/>
      <c r="Q1836" s="5171"/>
      <c r="R1836" s="2497">
        <f>IF(OR($J1836=0,$J1836="Aprendida"),0,SUM($J$1702:$J1836))</f>
        <v>0</v>
      </c>
      <c r="AB1836" s="363"/>
      <c r="AC1836" s="2563"/>
    </row>
    <row r="1837" spans="1:29" ht="12.75" customHeight="1" x14ac:dyDescent="0.2">
      <c r="A1837" s="1916">
        <v>1837</v>
      </c>
      <c r="B1837" s="5148"/>
      <c r="E1837" s="2494" t="s">
        <v>8015</v>
      </c>
      <c r="F1837" s="1728"/>
      <c r="G1837" s="1728">
        <v>40</v>
      </c>
      <c r="H1837" s="1729">
        <v>1</v>
      </c>
      <c r="I1837" s="1729">
        <v>5</v>
      </c>
      <c r="J1837" s="1729">
        <f>COUNTIF(Elan!$C$13:$F$25,Tablas!E1837)+COUNTIF(Elan!$U$13:$X$25,Tablas!E1837)</f>
        <v>0</v>
      </c>
      <c r="K1837" s="1728"/>
      <c r="L1837" s="5170" t="s">
        <v>8342</v>
      </c>
      <c r="M1837" s="5170"/>
      <c r="N1837" s="5170"/>
      <c r="O1837" s="5170"/>
      <c r="P1837" s="5170"/>
      <c r="Q1837" s="5171"/>
      <c r="R1837" s="2497">
        <f>IF(OR($J1837=0,$J1837="Aprendida"),0,SUM($J$1702:$J1837))</f>
        <v>0</v>
      </c>
      <c r="AB1837" s="363"/>
      <c r="AC1837" s="2563"/>
    </row>
    <row r="1838" spans="1:29" ht="12.75" customHeight="1" x14ac:dyDescent="0.2">
      <c r="A1838" s="1916">
        <v>1838</v>
      </c>
      <c r="B1838" s="5148"/>
      <c r="D1838" s="2018"/>
      <c r="E1838" s="2494" t="s">
        <v>8016</v>
      </c>
      <c r="F1838" s="1728"/>
      <c r="G1838" s="1728">
        <v>50</v>
      </c>
      <c r="H1838" s="1729">
        <f>IF(J1839,1,0)</f>
        <v>0</v>
      </c>
      <c r="I1838" s="1729">
        <v>15</v>
      </c>
      <c r="J1838" s="1729">
        <f>COUNTIF(Elan!$C$13:$F$25,Tablas!E1838)+COUNTIF(Elan!$U$13:$X$25,Tablas!E1838)</f>
        <v>0</v>
      </c>
      <c r="K1838" s="1728"/>
      <c r="L1838" s="5170" t="s">
        <v>8344</v>
      </c>
      <c r="M1838" s="5170"/>
      <c r="N1838" s="5170"/>
      <c r="O1838" s="5170"/>
      <c r="P1838" s="5170"/>
      <c r="Q1838" s="5171"/>
      <c r="R1838" s="2497">
        <f>IF(OR($J1838=0,$J1838="Aprendida"),0,SUM($J$1702:$J1838))</f>
        <v>0</v>
      </c>
      <c r="AB1838" s="363"/>
      <c r="AC1838" s="2563"/>
    </row>
    <row r="1839" spans="1:29" ht="12.75" customHeight="1" x14ac:dyDescent="0.2">
      <c r="A1839" s="1916">
        <v>1839</v>
      </c>
      <c r="B1839" s="5148"/>
      <c r="E1839" s="2494" t="s">
        <v>8017</v>
      </c>
      <c r="F1839" s="1728"/>
      <c r="G1839" s="1728">
        <v>50</v>
      </c>
      <c r="H1839" s="1729">
        <v>1</v>
      </c>
      <c r="I1839" s="1729">
        <v>5</v>
      </c>
      <c r="J1839" s="1729">
        <f>COUNTIF(Elan!$C$13:$F$25,Tablas!E1839)+COUNTIF(Elan!$U$13:$X$25,Tablas!E1839)</f>
        <v>0</v>
      </c>
      <c r="K1839" s="1728"/>
      <c r="L1839" s="5170" t="s">
        <v>8346</v>
      </c>
      <c r="M1839" s="5170"/>
      <c r="N1839" s="5170"/>
      <c r="O1839" s="5170"/>
      <c r="P1839" s="5170"/>
      <c r="Q1839" s="5171"/>
      <c r="R1839" s="2497">
        <f>IF(OR($J1839=0,$J1839="Aprendida"),0,SUM($J$1702:$J1839))</f>
        <v>0</v>
      </c>
      <c r="AB1839" s="363"/>
      <c r="AC1839" s="2563"/>
    </row>
    <row r="1840" spans="1:29" ht="12.75" customHeight="1" x14ac:dyDescent="0.2">
      <c r="A1840" s="1916">
        <v>1840</v>
      </c>
      <c r="B1840" s="5148"/>
      <c r="E1840" s="2494" t="s">
        <v>8018</v>
      </c>
      <c r="F1840" s="1728"/>
      <c r="G1840" s="1728">
        <v>60</v>
      </c>
      <c r="H1840" s="1729">
        <v>1</v>
      </c>
      <c r="I1840" s="1729">
        <v>10</v>
      </c>
      <c r="J1840" s="1729">
        <f>COUNTIF(Elan!$C$13:$F$25,Tablas!E1840)+COUNTIF(Elan!$U$13:$X$25,Tablas!E1840)</f>
        <v>0</v>
      </c>
      <c r="K1840" s="1728"/>
      <c r="L1840" s="5170" t="s">
        <v>8347</v>
      </c>
      <c r="M1840" s="5170"/>
      <c r="N1840" s="5170"/>
      <c r="O1840" s="5170"/>
      <c r="P1840" s="5170"/>
      <c r="Q1840" s="5171"/>
      <c r="R1840" s="2497">
        <f>IF(OR($J1840=0,$J1840="Aprendida"),0,SUM($J$1702:$J1840))</f>
        <v>0</v>
      </c>
      <c r="AB1840" s="363"/>
      <c r="AC1840" s="2563"/>
    </row>
    <row r="1841" spans="1:29" ht="12.75" customHeight="1" x14ac:dyDescent="0.2">
      <c r="A1841" s="1916">
        <v>1841</v>
      </c>
      <c r="B1841" s="5148"/>
      <c r="E1841" s="2494" t="s">
        <v>8019</v>
      </c>
      <c r="F1841" s="1728"/>
      <c r="G1841" s="1728">
        <v>70</v>
      </c>
      <c r="H1841" s="1729">
        <v>1</v>
      </c>
      <c r="I1841" s="1729">
        <v>20</v>
      </c>
      <c r="J1841" s="1729">
        <f>COUNTIF(Elan!$C$13:$F$25,Tablas!E1841)+COUNTIF(Elan!$U$13:$X$25,Tablas!E1841)</f>
        <v>0</v>
      </c>
      <c r="K1841" s="1728"/>
      <c r="L1841" s="5170" t="s">
        <v>8348</v>
      </c>
      <c r="M1841" s="5170"/>
      <c r="N1841" s="5170"/>
      <c r="O1841" s="5170"/>
      <c r="P1841" s="5170"/>
      <c r="Q1841" s="5171"/>
      <c r="R1841" s="2497">
        <f>IF(OR($J1841=0,$J1841="Aprendida"),0,SUM($J$1702:$J1841))</f>
        <v>0</v>
      </c>
      <c r="AB1841" s="363"/>
      <c r="AC1841" s="2563"/>
    </row>
    <row r="1842" spans="1:29" ht="12.75" customHeight="1" x14ac:dyDescent="0.2">
      <c r="A1842" s="1916">
        <v>1842</v>
      </c>
      <c r="B1842" s="5148"/>
      <c r="E1842" s="2494" t="s">
        <v>8020</v>
      </c>
      <c r="F1842" s="1728"/>
      <c r="G1842" s="1728">
        <v>70</v>
      </c>
      <c r="H1842" s="1729">
        <v>1</v>
      </c>
      <c r="I1842" s="1729">
        <v>10</v>
      </c>
      <c r="J1842" s="1729">
        <f>COUNTIF(Elan!$C$13:$F$25,Tablas!E1842)+COUNTIF(Elan!$U$13:$X$25,Tablas!E1842)</f>
        <v>0</v>
      </c>
      <c r="K1842" s="1728"/>
      <c r="L1842" s="5170" t="s">
        <v>8349</v>
      </c>
      <c r="M1842" s="5170"/>
      <c r="N1842" s="5170"/>
      <c r="O1842" s="5170"/>
      <c r="P1842" s="5170"/>
      <c r="Q1842" s="5171"/>
      <c r="R1842" s="2497">
        <f>IF(OR($J1842=0,$J1842="Aprendida"),0,SUM($J$1702:$J1842))</f>
        <v>0</v>
      </c>
      <c r="AB1842" s="363"/>
      <c r="AC1842" s="2563"/>
    </row>
    <row r="1843" spans="1:29" ht="12.75" customHeight="1" x14ac:dyDescent="0.2">
      <c r="A1843" s="1916">
        <v>1843</v>
      </c>
      <c r="B1843" s="5148"/>
      <c r="E1843" s="2494" t="s">
        <v>8021</v>
      </c>
      <c r="F1843" s="1728"/>
      <c r="G1843" s="1728">
        <v>80</v>
      </c>
      <c r="H1843" s="1729">
        <f>IF(J1838,1,0)</f>
        <v>0</v>
      </c>
      <c r="I1843" s="1729">
        <v>20</v>
      </c>
      <c r="J1843" s="1729">
        <f>COUNTIF(Elan!$C$13:$F$25,Tablas!E1843)+COUNTIF(Elan!$U$13:$X$25,Tablas!E1843)</f>
        <v>0</v>
      </c>
      <c r="K1843" s="1728"/>
      <c r="L1843" s="5170" t="s">
        <v>8350</v>
      </c>
      <c r="M1843" s="5170"/>
      <c r="N1843" s="5170"/>
      <c r="O1843" s="5170"/>
      <c r="P1843" s="5170"/>
      <c r="Q1843" s="5171"/>
      <c r="R1843" s="2497">
        <f>IF(OR($J1843=0,$J1843="Aprendida"),0,SUM($J$1702:$J1843))</f>
        <v>0</v>
      </c>
      <c r="AB1843" s="363"/>
      <c r="AC1843" s="2563"/>
    </row>
    <row r="1844" spans="1:29" ht="12.75" customHeight="1" x14ac:dyDescent="0.2">
      <c r="A1844" s="1916">
        <v>1844</v>
      </c>
      <c r="B1844" s="5148"/>
      <c r="E1844" s="2494" t="s">
        <v>737</v>
      </c>
      <c r="F1844" s="1728"/>
      <c r="G1844" s="1728">
        <v>90</v>
      </c>
      <c r="H1844" s="1729">
        <f>IF(J1838,1,0)</f>
        <v>0</v>
      </c>
      <c r="I1844" s="1729">
        <v>10</v>
      </c>
      <c r="J1844" s="1729">
        <f>COUNTIF(Elan!$C$13:$F$25,Tablas!E1844)+COUNTIF(Elan!$U$13:$X$25,Tablas!E1844)</f>
        <v>0</v>
      </c>
      <c r="K1844" s="1728"/>
      <c r="L1844" s="5170" t="s">
        <v>8351</v>
      </c>
      <c r="M1844" s="5170"/>
      <c r="N1844" s="5170"/>
      <c r="O1844" s="5170"/>
      <c r="P1844" s="5170"/>
      <c r="Q1844" s="5171"/>
      <c r="R1844" s="2497">
        <f>IF(OR($J1844=0,$J1844="Aprendida"),0,SUM($J$1702:$J1844))</f>
        <v>0</v>
      </c>
      <c r="AB1844" s="363"/>
      <c r="AC1844" s="2563"/>
    </row>
    <row r="1845" spans="1:29" ht="12.75" customHeight="1" x14ac:dyDescent="0.2">
      <c r="A1845" s="1916">
        <v>1845</v>
      </c>
      <c r="B1845" s="5148"/>
      <c r="E1845" s="2494" t="s">
        <v>8022</v>
      </c>
      <c r="F1845" s="1728"/>
      <c r="G1845" s="1728">
        <v>100</v>
      </c>
      <c r="H1845" s="1729">
        <v>1</v>
      </c>
      <c r="I1845" s="1729">
        <v>10</v>
      </c>
      <c r="J1845" s="1729">
        <f>COUNTIF(Elan!$C$13:$F$25,Tablas!E1845)+COUNTIF(Elan!$U$13:$X$25,Tablas!E1845)</f>
        <v>0</v>
      </c>
      <c r="K1845" s="1728"/>
      <c r="L1845" s="5170" t="s">
        <v>8352</v>
      </c>
      <c r="M1845" s="5170"/>
      <c r="N1845" s="5170"/>
      <c r="O1845" s="5170"/>
      <c r="P1845" s="5170"/>
      <c r="Q1845" s="5171"/>
      <c r="R1845" s="2497">
        <f>IF(OR($J1845=0,$J1845="Aprendida"),0,SUM($J$1702:$J1845))</f>
        <v>0</v>
      </c>
      <c r="AB1845" s="363"/>
      <c r="AC1845" s="2563"/>
    </row>
    <row r="1846" spans="1:29" ht="12.75" customHeight="1" x14ac:dyDescent="0.2">
      <c r="A1846" s="1916">
        <v>1846</v>
      </c>
      <c r="B1846" s="5148"/>
      <c r="E1846" s="2493" t="s">
        <v>7894</v>
      </c>
      <c r="F1846" s="2485">
        <f>IF(Elan!$C$11=Tablas!$E1846,Elan!$G$11,IF(Elan!$U$11=Tablas!$E1846,Elan!$Y$11,0))</f>
        <v>0</v>
      </c>
      <c r="G1846" s="2486" t="s">
        <v>2149</v>
      </c>
      <c r="H1846" s="2486" t="s">
        <v>10012</v>
      </c>
      <c r="I1846" s="2486" t="s">
        <v>1801</v>
      </c>
      <c r="J1846" s="2486" t="s">
        <v>7897</v>
      </c>
      <c r="K1846" s="2486" t="s">
        <v>8676</v>
      </c>
      <c r="L1846" s="2486" t="s">
        <v>1861</v>
      </c>
      <c r="M1846" s="1730"/>
      <c r="N1846" s="1730"/>
      <c r="O1846" s="1730"/>
      <c r="P1846" s="1730"/>
      <c r="Q1846" s="2491"/>
      <c r="R1846" s="2497">
        <f>IF(OR($J1846=0,$J1846="Aprendida"),0,SUM($J$1702:$J1846))</f>
        <v>0</v>
      </c>
      <c r="AB1846" s="363"/>
      <c r="AC1846" s="2563"/>
    </row>
    <row r="1847" spans="1:29" ht="12.75" customHeight="1" x14ac:dyDescent="0.2">
      <c r="A1847" s="1916">
        <v>1847</v>
      </c>
      <c r="B1847" s="5148"/>
      <c r="E1847" s="2494" t="s">
        <v>8023</v>
      </c>
      <c r="F1847" s="1728"/>
      <c r="G1847" s="1728">
        <v>10</v>
      </c>
      <c r="H1847" s="1729">
        <v>1</v>
      </c>
      <c r="I1847" s="1729">
        <v>10</v>
      </c>
      <c r="J1847" s="1729">
        <f>COUNTIF(Elan!$C$13:$F$25,Tablas!E1847)+COUNTIF(Elan!$U$13:$X$25,Tablas!E1847)</f>
        <v>0</v>
      </c>
      <c r="K1847" s="1728"/>
      <c r="L1847" s="5170" t="s">
        <v>8353</v>
      </c>
      <c r="M1847" s="5170"/>
      <c r="N1847" s="5170"/>
      <c r="O1847" s="5170"/>
      <c r="P1847" s="5170"/>
      <c r="Q1847" s="5171"/>
      <c r="R1847" s="2497">
        <f>IF(OR($J1847=0,$J1847="Aprendida"),0,SUM($J$1702:$J1847))</f>
        <v>0</v>
      </c>
      <c r="AB1847" s="363"/>
      <c r="AC1847" s="2563"/>
    </row>
    <row r="1848" spans="1:29" ht="12.75" customHeight="1" x14ac:dyDescent="0.2">
      <c r="A1848" s="1916">
        <v>1848</v>
      </c>
      <c r="B1848" s="5148"/>
      <c r="E1848" s="2494" t="s">
        <v>8024</v>
      </c>
      <c r="F1848" s="1728"/>
      <c r="G1848" s="1728">
        <v>20</v>
      </c>
      <c r="H1848" s="1729">
        <v>1</v>
      </c>
      <c r="I1848" s="1729">
        <v>5</v>
      </c>
      <c r="J1848" s="1729">
        <f>COUNTIF(Elan!$C$13:$F$25,Tablas!E1848)+COUNTIF(Elan!$U$13:$X$25,Tablas!E1848)</f>
        <v>0</v>
      </c>
      <c r="K1848" s="1728"/>
      <c r="L1848" s="5170" t="s">
        <v>8357</v>
      </c>
      <c r="M1848" s="5170"/>
      <c r="N1848" s="5170"/>
      <c r="O1848" s="5170"/>
      <c r="P1848" s="5170"/>
      <c r="Q1848" s="5171"/>
      <c r="R1848" s="2497">
        <f>IF(OR($J1848=0,$J1848="Aprendida"),0,SUM($J$1702:$J1848))</f>
        <v>0</v>
      </c>
      <c r="AB1848" s="363"/>
      <c r="AC1848" s="2563"/>
    </row>
    <row r="1849" spans="1:29" ht="12.75" customHeight="1" x14ac:dyDescent="0.2">
      <c r="A1849" s="1916">
        <v>1849</v>
      </c>
      <c r="B1849" s="5148"/>
      <c r="E1849" s="2494" t="s">
        <v>8025</v>
      </c>
      <c r="F1849" s="1728"/>
      <c r="G1849" s="1728">
        <v>30</v>
      </c>
      <c r="H1849" s="1729">
        <v>1</v>
      </c>
      <c r="I1849" s="1729">
        <v>5</v>
      </c>
      <c r="J1849" s="1729">
        <f>COUNTIF(Elan!$C$13:$F$25,Tablas!E1849)+COUNTIF(Elan!$U$13:$X$25,Tablas!E1849)</f>
        <v>0</v>
      </c>
      <c r="K1849" s="1728"/>
      <c r="L1849" s="5170" t="s">
        <v>8361</v>
      </c>
      <c r="M1849" s="5170"/>
      <c r="N1849" s="5170"/>
      <c r="O1849" s="5170"/>
      <c r="P1849" s="5170"/>
      <c r="Q1849" s="5171"/>
      <c r="R1849" s="2497">
        <f>IF(OR($J1849=0,$J1849="Aprendida"),0,SUM($J$1702:$J1849))</f>
        <v>0</v>
      </c>
      <c r="AB1849" s="363"/>
      <c r="AC1849" s="2563"/>
    </row>
    <row r="1850" spans="1:29" ht="12.75" customHeight="1" x14ac:dyDescent="0.2">
      <c r="A1850" s="1916">
        <v>1850</v>
      </c>
      <c r="B1850" s="5148"/>
      <c r="E1850" s="2494" t="s">
        <v>8026</v>
      </c>
      <c r="F1850" s="1728"/>
      <c r="G1850" s="1728">
        <v>40</v>
      </c>
      <c r="H1850" s="1729">
        <v>1</v>
      </c>
      <c r="I1850" s="1729">
        <v>10</v>
      </c>
      <c r="J1850" s="1729">
        <f>COUNTIF(Elan!$C$13:$F$25,Tablas!E1850)+COUNTIF(Elan!$U$13:$X$25,Tablas!E1850)</f>
        <v>0</v>
      </c>
      <c r="K1850" s="1728"/>
      <c r="L1850" s="5170" t="s">
        <v>8365</v>
      </c>
      <c r="M1850" s="5170"/>
      <c r="N1850" s="5170"/>
      <c r="O1850" s="5170"/>
      <c r="P1850" s="5170"/>
      <c r="Q1850" s="5171"/>
      <c r="R1850" s="2497">
        <f>IF(OR($J1850=0,$J1850="Aprendida"),0,SUM($J$1702:$J1850))</f>
        <v>0</v>
      </c>
      <c r="AB1850" s="363"/>
      <c r="AC1850" s="2563"/>
    </row>
    <row r="1851" spans="1:29" ht="12.75" customHeight="1" x14ac:dyDescent="0.2">
      <c r="A1851" s="1916">
        <v>1851</v>
      </c>
      <c r="B1851" s="5148"/>
      <c r="E1851" s="2494" t="s">
        <v>8027</v>
      </c>
      <c r="F1851" s="1728"/>
      <c r="G1851" s="1728">
        <v>50</v>
      </c>
      <c r="H1851" s="1729">
        <v>1</v>
      </c>
      <c r="I1851" s="1729">
        <v>10</v>
      </c>
      <c r="J1851" s="1729">
        <f>COUNTIF(Elan!$C$13:$F$25,Tablas!E1851)+COUNTIF(Elan!$U$13:$X$25,Tablas!E1851)</f>
        <v>0</v>
      </c>
      <c r="K1851" s="1728"/>
      <c r="L1851" s="5170" t="s">
        <v>8367</v>
      </c>
      <c r="M1851" s="5170"/>
      <c r="N1851" s="5170"/>
      <c r="O1851" s="5170"/>
      <c r="P1851" s="5170"/>
      <c r="Q1851" s="5171"/>
      <c r="R1851" s="2497">
        <f>IF(OR($J1851=0,$J1851="Aprendida"),0,SUM($J$1702:$J1851))</f>
        <v>0</v>
      </c>
      <c r="AB1851" s="363"/>
      <c r="AC1851" s="2563"/>
    </row>
    <row r="1852" spans="1:29" ht="12.75" customHeight="1" x14ac:dyDescent="0.2">
      <c r="A1852" s="1916">
        <v>1852</v>
      </c>
      <c r="B1852" s="5148"/>
      <c r="E1852" s="2494" t="s">
        <v>8028</v>
      </c>
      <c r="F1852" s="1728"/>
      <c r="G1852" s="1728">
        <v>50</v>
      </c>
      <c r="H1852" s="1729">
        <v>1</v>
      </c>
      <c r="I1852" s="1729">
        <v>15</v>
      </c>
      <c r="J1852" s="1729">
        <f>COUNTIF(Elan!$C$13:$F$25,Tablas!E1852)+COUNTIF(Elan!$U$13:$X$25,Tablas!E1852)</f>
        <v>0</v>
      </c>
      <c r="K1852" s="1728"/>
      <c r="L1852" s="5170" t="s">
        <v>8369</v>
      </c>
      <c r="M1852" s="5170"/>
      <c r="N1852" s="5170"/>
      <c r="O1852" s="5170"/>
      <c r="P1852" s="5170"/>
      <c r="Q1852" s="5171"/>
      <c r="R1852" s="2497">
        <f>IF(OR($J1852=0,$J1852="Aprendida"),0,SUM($J$1702:$J1852))</f>
        <v>0</v>
      </c>
      <c r="AB1852" s="363"/>
      <c r="AC1852" s="2563"/>
    </row>
    <row r="1853" spans="1:29" ht="12.75" customHeight="1" x14ac:dyDescent="0.2">
      <c r="A1853" s="1916">
        <v>1853</v>
      </c>
      <c r="B1853" s="5148"/>
      <c r="E1853" s="2494" t="s">
        <v>762</v>
      </c>
      <c r="F1853" s="1728"/>
      <c r="G1853" s="1728">
        <v>60</v>
      </c>
      <c r="H1853" s="1729">
        <v>1</v>
      </c>
      <c r="I1853" s="1729">
        <v>10</v>
      </c>
      <c r="J1853" s="1729">
        <f>COUNTIF(Elan!$C$13:$F$25,Tablas!E1853)+COUNTIF(Elan!$U$13:$X$25,Tablas!E1853)</f>
        <v>0</v>
      </c>
      <c r="K1853" s="1728"/>
      <c r="L1853" s="5170" t="s">
        <v>8370</v>
      </c>
      <c r="M1853" s="5170"/>
      <c r="N1853" s="5170"/>
      <c r="O1853" s="5170"/>
      <c r="P1853" s="5170"/>
      <c r="Q1853" s="5171"/>
      <c r="R1853" s="2497">
        <f>IF(OR($J1853=0,$J1853="Aprendida"),0,SUM($J$1702:$J1853))</f>
        <v>0</v>
      </c>
      <c r="AB1853" s="363"/>
      <c r="AC1853" s="2563"/>
    </row>
    <row r="1854" spans="1:29" ht="12.75" customHeight="1" x14ac:dyDescent="0.2">
      <c r="A1854" s="1916">
        <v>1854</v>
      </c>
      <c r="B1854" s="5148"/>
      <c r="E1854" s="2494" t="s">
        <v>8029</v>
      </c>
      <c r="F1854" s="1728"/>
      <c r="G1854" s="1728">
        <v>70</v>
      </c>
      <c r="H1854" s="1729">
        <f>IF(J1851,1,0)</f>
        <v>0</v>
      </c>
      <c r="I1854" s="1729">
        <v>15</v>
      </c>
      <c r="J1854" s="1729">
        <f>COUNTIF(Elan!$C$13:$F$25,Tablas!E1854)+COUNTIF(Elan!$U$13:$X$25,Tablas!E1854)</f>
        <v>0</v>
      </c>
      <c r="K1854" s="1728"/>
      <c r="L1854" s="5170" t="s">
        <v>8371</v>
      </c>
      <c r="M1854" s="5170"/>
      <c r="N1854" s="5170"/>
      <c r="O1854" s="5170"/>
      <c r="P1854" s="5170"/>
      <c r="Q1854" s="5171"/>
      <c r="R1854" s="2497">
        <f>IF(OR($J1854=0,$J1854="Aprendida"),0,SUM($J$1702:$J1854))</f>
        <v>0</v>
      </c>
      <c r="AB1854" s="363"/>
      <c r="AC1854" s="2563"/>
    </row>
    <row r="1855" spans="1:29" ht="12.75" customHeight="1" x14ac:dyDescent="0.2">
      <c r="A1855" s="1916">
        <v>1855</v>
      </c>
      <c r="B1855" s="5148"/>
      <c r="E1855" s="2494" t="s">
        <v>8030</v>
      </c>
      <c r="F1855" s="1728"/>
      <c r="G1855" s="1728">
        <v>80</v>
      </c>
      <c r="H1855" s="1729">
        <v>1</v>
      </c>
      <c r="I1855" s="1729">
        <v>15</v>
      </c>
      <c r="J1855" s="1729">
        <f>COUNTIF(Elan!$C$13:$F$25,Tablas!E1855)+COUNTIF(Elan!$U$13:$X$25,Tablas!E1855)</f>
        <v>0</v>
      </c>
      <c r="K1855" s="1728"/>
      <c r="L1855" s="5170" t="s">
        <v>8372</v>
      </c>
      <c r="M1855" s="5170"/>
      <c r="N1855" s="5170"/>
      <c r="O1855" s="5170"/>
      <c r="P1855" s="5170"/>
      <c r="Q1855" s="5171"/>
      <c r="R1855" s="2497">
        <f>IF(OR($J1855=0,$J1855="Aprendida"),0,SUM($J$1702:$J1855))</f>
        <v>0</v>
      </c>
      <c r="AB1855" s="363"/>
      <c r="AC1855" s="2563"/>
    </row>
    <row r="1856" spans="1:29" ht="12.75" customHeight="1" x14ac:dyDescent="0.2">
      <c r="A1856" s="1916">
        <v>1856</v>
      </c>
      <c r="B1856" s="5148"/>
      <c r="E1856" s="2494" t="s">
        <v>8031</v>
      </c>
      <c r="F1856" s="1728"/>
      <c r="G1856" s="1728">
        <v>90</v>
      </c>
      <c r="H1856" s="1729">
        <v>1</v>
      </c>
      <c r="I1856" s="1729">
        <v>15</v>
      </c>
      <c r="J1856" s="1729">
        <f>COUNTIF(Elan!$C$13:$F$25,Tablas!E1856)+COUNTIF(Elan!$U$13:$X$25,Tablas!E1856)</f>
        <v>0</v>
      </c>
      <c r="K1856" s="1728"/>
      <c r="L1856" s="5170" t="s">
        <v>8373</v>
      </c>
      <c r="M1856" s="5170"/>
      <c r="N1856" s="5170"/>
      <c r="O1856" s="5170"/>
      <c r="P1856" s="5170"/>
      <c r="Q1856" s="5171"/>
      <c r="R1856" s="2497">
        <f>IF(OR($J1856=0,$J1856="Aprendida"),0,SUM($J$1702:$J1856))</f>
        <v>0</v>
      </c>
      <c r="AB1856" s="363"/>
      <c r="AC1856" s="2563"/>
    </row>
    <row r="1857" spans="1:29" ht="12.75" customHeight="1" x14ac:dyDescent="0.2">
      <c r="A1857" s="1916">
        <v>1857</v>
      </c>
      <c r="B1857" s="5148"/>
      <c r="E1857" s="2494" t="s">
        <v>8032</v>
      </c>
      <c r="F1857" s="1728"/>
      <c r="G1857" s="1728">
        <v>100</v>
      </c>
      <c r="H1857" s="1729">
        <f>IF(J1853,1,0)</f>
        <v>0</v>
      </c>
      <c r="I1857" s="1729">
        <v>10</v>
      </c>
      <c r="J1857" s="1729">
        <f>COUNTIF(Elan!$C$13:$F$25,Tablas!E1857)+COUNTIF(Elan!$U$13:$X$25,Tablas!E1857)</f>
        <v>0</v>
      </c>
      <c r="K1857" s="1728"/>
      <c r="L1857" s="5170" t="s">
        <v>8374</v>
      </c>
      <c r="M1857" s="5170"/>
      <c r="N1857" s="5170"/>
      <c r="O1857" s="5170"/>
      <c r="P1857" s="5170"/>
      <c r="Q1857" s="5171"/>
      <c r="R1857" s="2497">
        <f>IF(OR($J1857=0,$J1857="Aprendida"),0,SUM($J$1702:$J1857))</f>
        <v>0</v>
      </c>
      <c r="AB1857" s="363"/>
      <c r="AC1857" s="2563"/>
    </row>
    <row r="1858" spans="1:29" ht="12.75" customHeight="1" x14ac:dyDescent="0.2">
      <c r="A1858" s="1916">
        <v>1858</v>
      </c>
      <c r="B1858" s="5148"/>
      <c r="E1858" s="2493" t="s">
        <v>7895</v>
      </c>
      <c r="F1858" s="2485">
        <f>IF(Elan!$C$11=Tablas!$E1858,Elan!$G$11,IF(Elan!$U$11=Tablas!$E1858,Elan!$Y$11,0))</f>
        <v>0</v>
      </c>
      <c r="G1858" s="2486" t="s">
        <v>2149</v>
      </c>
      <c r="H1858" s="2486" t="s">
        <v>10012</v>
      </c>
      <c r="I1858" s="2486" t="s">
        <v>1801</v>
      </c>
      <c r="J1858" s="2486" t="s">
        <v>7897</v>
      </c>
      <c r="K1858" s="2486" t="s">
        <v>8676</v>
      </c>
      <c r="L1858" s="2486" t="s">
        <v>1861</v>
      </c>
      <c r="M1858" s="1730"/>
      <c r="N1858" s="1730"/>
      <c r="O1858" s="1730"/>
      <c r="P1858" s="1730"/>
      <c r="Q1858" s="2491"/>
      <c r="R1858" s="2497">
        <f>IF(OR($J1858=0,$J1858="Aprendida"),0,SUM($J$1702:$J1858))</f>
        <v>0</v>
      </c>
      <c r="AB1858" s="363"/>
      <c r="AC1858" s="2563"/>
    </row>
    <row r="1859" spans="1:29" ht="12.75" customHeight="1" x14ac:dyDescent="0.2">
      <c r="A1859" s="1916">
        <v>1859</v>
      </c>
      <c r="B1859" s="5148"/>
      <c r="E1859" s="2494" t="s">
        <v>8033</v>
      </c>
      <c r="F1859" s="1728"/>
      <c r="G1859" s="1728">
        <v>10</v>
      </c>
      <c r="H1859" s="1729">
        <v>1</v>
      </c>
      <c r="I1859" s="1729">
        <v>5</v>
      </c>
      <c r="J1859" s="1729">
        <f>COUNTIF(Elan!$C$13:$F$25,Tablas!E1859)+COUNTIF(Elan!$U$13:$X$25,Tablas!E1859)</f>
        <v>0</v>
      </c>
      <c r="K1859" s="1728"/>
      <c r="L1859" s="5170" t="s">
        <v>8375</v>
      </c>
      <c r="M1859" s="5170"/>
      <c r="N1859" s="5170"/>
      <c r="O1859" s="5170"/>
      <c r="P1859" s="5170"/>
      <c r="Q1859" s="5171"/>
      <c r="R1859" s="2497">
        <f>IF(OR($J1859=0,$J1859="Aprendida"),0,SUM($J$1702:$J1859))</f>
        <v>0</v>
      </c>
      <c r="AB1859" s="363"/>
      <c r="AC1859" s="2563"/>
    </row>
    <row r="1860" spans="1:29" ht="12.75" customHeight="1" x14ac:dyDescent="0.2">
      <c r="A1860" s="1916">
        <v>1860</v>
      </c>
      <c r="B1860" s="5148"/>
      <c r="E1860" s="2494" t="s">
        <v>8034</v>
      </c>
      <c r="F1860" s="1728"/>
      <c r="G1860" s="1728">
        <v>20</v>
      </c>
      <c r="H1860" s="1729">
        <v>1</v>
      </c>
      <c r="I1860" s="1729">
        <v>5</v>
      </c>
      <c r="J1860" s="1729">
        <f>COUNTIF(Elan!$C$13:$F$25,Tablas!E1860)+COUNTIF(Elan!$U$13:$X$25,Tablas!E1860)</f>
        <v>0</v>
      </c>
      <c r="K1860" s="1728"/>
      <c r="L1860" s="5170" t="s">
        <v>8379</v>
      </c>
      <c r="M1860" s="5170"/>
      <c r="N1860" s="5170"/>
      <c r="O1860" s="5170"/>
      <c r="P1860" s="5170"/>
      <c r="Q1860" s="5171"/>
      <c r="R1860" s="2497">
        <f>IF(OR($J1860=0,$J1860="Aprendida"),0,SUM($J$1702:$J1860))</f>
        <v>0</v>
      </c>
      <c r="AB1860" s="363"/>
      <c r="AC1860" s="2563"/>
    </row>
    <row r="1861" spans="1:29" ht="12.75" customHeight="1" x14ac:dyDescent="0.2">
      <c r="A1861" s="1916">
        <v>1861</v>
      </c>
      <c r="B1861" s="5148"/>
      <c r="E1861" s="2494" t="s">
        <v>8035</v>
      </c>
      <c r="F1861" s="1728"/>
      <c r="G1861" s="1728">
        <v>30</v>
      </c>
      <c r="H1861" s="1729">
        <v>1</v>
      </c>
      <c r="I1861" s="1729">
        <v>5</v>
      </c>
      <c r="J1861" s="1729">
        <f>COUNTIF(Elan!$C$13:$F$25,Tablas!E1861)+COUNTIF(Elan!$U$13:$X$25,Tablas!E1861)</f>
        <v>0</v>
      </c>
      <c r="K1861" s="1728">
        <f>F1858*J1861</f>
        <v>0</v>
      </c>
      <c r="L1861" s="5170" t="s">
        <v>8383</v>
      </c>
      <c r="M1861" s="5170"/>
      <c r="N1861" s="5170"/>
      <c r="O1861" s="5170"/>
      <c r="P1861" s="5170"/>
      <c r="Q1861" s="5171"/>
      <c r="R1861" s="2497">
        <f>IF(OR($J1861=0,$J1861="Aprendida"),0,SUM($J$1702:$J1861))</f>
        <v>0</v>
      </c>
      <c r="AB1861" s="363"/>
      <c r="AC1861" s="2563"/>
    </row>
    <row r="1862" spans="1:29" ht="12.75" customHeight="1" x14ac:dyDescent="0.2">
      <c r="A1862" s="1916">
        <v>1862</v>
      </c>
      <c r="B1862" s="5148"/>
      <c r="E1862" s="2494" t="s">
        <v>8036</v>
      </c>
      <c r="F1862" s="1728"/>
      <c r="G1862" s="1728">
        <v>40</v>
      </c>
      <c r="H1862" s="1729">
        <v>1</v>
      </c>
      <c r="I1862" s="1729">
        <v>10</v>
      </c>
      <c r="J1862" s="1729">
        <f>COUNTIF(Elan!$C$13:$F$25,Tablas!E1862)+COUNTIF(Elan!$U$13:$X$25,Tablas!E1862)</f>
        <v>0</v>
      </c>
      <c r="K1862" s="1728"/>
      <c r="L1862" s="5170" t="s">
        <v>8386</v>
      </c>
      <c r="M1862" s="5170"/>
      <c r="N1862" s="5170"/>
      <c r="O1862" s="5170"/>
      <c r="P1862" s="5170"/>
      <c r="Q1862" s="5171"/>
      <c r="R1862" s="2497">
        <f>IF(OR($J1862=0,$J1862="Aprendida"),0,SUM($J$1702:$J1862))</f>
        <v>0</v>
      </c>
      <c r="AB1862" s="363"/>
      <c r="AC1862" s="2563"/>
    </row>
    <row r="1863" spans="1:29" ht="12.75" customHeight="1" x14ac:dyDescent="0.2">
      <c r="A1863" s="1916">
        <v>1863</v>
      </c>
      <c r="B1863" s="5148"/>
      <c r="E1863" s="2494" t="s">
        <v>10013</v>
      </c>
      <c r="F1863" s="1728"/>
      <c r="G1863" s="1728">
        <v>50</v>
      </c>
      <c r="H1863" s="1729">
        <v>1</v>
      </c>
      <c r="I1863" s="1729">
        <v>10</v>
      </c>
      <c r="J1863" s="1729">
        <f>COUNTIF(Elan!$C$13:$F$25,Tablas!E1863)+COUNTIF(Elan!$U$13:$X$25,Tablas!E1863)</f>
        <v>0</v>
      </c>
      <c r="K1863" s="1728"/>
      <c r="L1863" s="5170" t="s">
        <v>8389</v>
      </c>
      <c r="M1863" s="5170"/>
      <c r="N1863" s="5170"/>
      <c r="O1863" s="5170"/>
      <c r="P1863" s="5170"/>
      <c r="Q1863" s="5171"/>
      <c r="R1863" s="2497">
        <f>IF(OR($J1863=0,$J1863="Aprendida"),0,SUM($J$1702:$J1863))</f>
        <v>0</v>
      </c>
      <c r="AB1863" s="363"/>
      <c r="AC1863" s="2563"/>
    </row>
    <row r="1864" spans="1:29" ht="12.75" customHeight="1" x14ac:dyDescent="0.2">
      <c r="A1864" s="1916">
        <v>1864</v>
      </c>
      <c r="B1864" s="5148"/>
      <c r="E1864" s="2494" t="s">
        <v>8037</v>
      </c>
      <c r="F1864" s="1728"/>
      <c r="G1864" s="1728">
        <v>60</v>
      </c>
      <c r="H1864" s="1729">
        <v>1</v>
      </c>
      <c r="I1864" s="1729">
        <v>10</v>
      </c>
      <c r="J1864" s="1729">
        <f>COUNTIF(Elan!$C$13:$F$25,Tablas!E1864)+COUNTIF(Elan!$U$13:$X$25,Tablas!E1864)</f>
        <v>0</v>
      </c>
      <c r="K1864" s="1728"/>
      <c r="L1864" s="5170" t="s">
        <v>8391</v>
      </c>
      <c r="M1864" s="5170"/>
      <c r="N1864" s="5170"/>
      <c r="O1864" s="5170"/>
      <c r="P1864" s="5170"/>
      <c r="Q1864" s="5171"/>
      <c r="R1864" s="2497">
        <f>IF(OR($J1864=0,$J1864="Aprendida"),0,SUM($J$1702:$J1864))</f>
        <v>0</v>
      </c>
      <c r="AB1864" s="363"/>
      <c r="AC1864" s="2563"/>
    </row>
    <row r="1865" spans="1:29" ht="12.75" customHeight="1" x14ac:dyDescent="0.2">
      <c r="A1865" s="1916">
        <v>1865</v>
      </c>
      <c r="B1865" s="5148"/>
      <c r="E1865" s="2494" t="s">
        <v>8038</v>
      </c>
      <c r="F1865" s="1728"/>
      <c r="G1865" s="1728">
        <v>60</v>
      </c>
      <c r="H1865" s="1729">
        <v>1</v>
      </c>
      <c r="I1865" s="1729">
        <v>15</v>
      </c>
      <c r="J1865" s="1729">
        <f>COUNTIF(Elan!$C$13:$F$25,Tablas!E1865)+COUNTIF(Elan!$U$13:$X$25,Tablas!E1865)</f>
        <v>0</v>
      </c>
      <c r="K1865" s="1728"/>
      <c r="L1865" s="5170" t="s">
        <v>8392</v>
      </c>
      <c r="M1865" s="5170"/>
      <c r="N1865" s="5170"/>
      <c r="O1865" s="5170"/>
      <c r="P1865" s="5170"/>
      <c r="Q1865" s="5171"/>
      <c r="R1865" s="2497">
        <f>IF(OR($J1865=0,$J1865="Aprendida"),0,SUM($J$1702:$J1865))</f>
        <v>0</v>
      </c>
      <c r="AB1865" s="363"/>
      <c r="AC1865" s="2563"/>
    </row>
    <row r="1866" spans="1:29" ht="12.75" customHeight="1" x14ac:dyDescent="0.2">
      <c r="A1866" s="1916">
        <v>1866</v>
      </c>
      <c r="B1866" s="5148"/>
      <c r="E1866" s="2494" t="s">
        <v>8039</v>
      </c>
      <c r="F1866" s="1728"/>
      <c r="G1866" s="1728">
        <v>70</v>
      </c>
      <c r="H1866" s="1729">
        <f>IF(J1864,1,0)</f>
        <v>0</v>
      </c>
      <c r="I1866" s="1729">
        <v>15</v>
      </c>
      <c r="J1866" s="1729">
        <f>COUNTIF(Elan!$C$13:$F$25,Tablas!E1866)+COUNTIF(Elan!$U$13:$X$25,Tablas!E1866)</f>
        <v>0</v>
      </c>
      <c r="K1866" s="1728"/>
      <c r="L1866" s="5170" t="s">
        <v>8393</v>
      </c>
      <c r="M1866" s="5170"/>
      <c r="N1866" s="5170"/>
      <c r="O1866" s="5170"/>
      <c r="P1866" s="5170"/>
      <c r="Q1866" s="5171"/>
      <c r="R1866" s="2497">
        <f>IF(OR($J1866=0,$J1866="Aprendida"),0,SUM($J$1702:$J1866))</f>
        <v>0</v>
      </c>
      <c r="AB1866" s="363"/>
      <c r="AC1866" s="2563"/>
    </row>
    <row r="1867" spans="1:29" ht="12.75" customHeight="1" x14ac:dyDescent="0.2">
      <c r="A1867" s="1916">
        <v>1867</v>
      </c>
      <c r="B1867" s="5148"/>
      <c r="E1867" s="2494" t="s">
        <v>8040</v>
      </c>
      <c r="F1867" s="1728"/>
      <c r="G1867" s="1728">
        <v>80</v>
      </c>
      <c r="H1867" s="1729">
        <v>1</v>
      </c>
      <c r="I1867" s="1729">
        <v>15</v>
      </c>
      <c r="J1867" s="1729">
        <f>COUNTIF(Elan!$C$13:$F$25,Tablas!E1867)+COUNTIF(Elan!$U$13:$X$25,Tablas!E1867)</f>
        <v>0</v>
      </c>
      <c r="K1867" s="1728"/>
      <c r="L1867" s="5170" t="s">
        <v>8394</v>
      </c>
      <c r="M1867" s="5170"/>
      <c r="N1867" s="5170"/>
      <c r="O1867" s="5170"/>
      <c r="P1867" s="5170"/>
      <c r="Q1867" s="5171"/>
      <c r="R1867" s="2497">
        <f>IF(OR($J1867=0,$J1867="Aprendida"),0,SUM($J$1702:$J1867))</f>
        <v>0</v>
      </c>
      <c r="AB1867" s="363"/>
      <c r="AC1867" s="2563"/>
    </row>
    <row r="1868" spans="1:29" ht="12.75" customHeight="1" x14ac:dyDescent="0.2">
      <c r="A1868" s="1916">
        <v>1868</v>
      </c>
      <c r="B1868" s="5148"/>
      <c r="E1868" s="2494" t="s">
        <v>8041</v>
      </c>
      <c r="F1868" s="1728"/>
      <c r="G1868" s="1728">
        <v>90</v>
      </c>
      <c r="H1868" s="1729">
        <v>1</v>
      </c>
      <c r="I1868" s="1729">
        <v>25</v>
      </c>
      <c r="J1868" s="1729">
        <f>COUNTIF(Elan!$C$13:$F$25,Tablas!E1868)+COUNTIF(Elan!$U$13:$X$25,Tablas!E1868)</f>
        <v>0</v>
      </c>
      <c r="K1868" s="1728"/>
      <c r="L1868" s="5170" t="s">
        <v>8395</v>
      </c>
      <c r="M1868" s="5170"/>
      <c r="N1868" s="5170"/>
      <c r="O1868" s="5170"/>
      <c r="P1868" s="5170"/>
      <c r="Q1868" s="5171"/>
      <c r="R1868" s="2497">
        <f>IF(OR($J1868=0,$J1868="Aprendida"),0,SUM($J$1702:$J1868))</f>
        <v>0</v>
      </c>
      <c r="AB1868" s="363"/>
      <c r="AC1868" s="2563"/>
    </row>
    <row r="1869" spans="1:29" ht="12.75" customHeight="1" x14ac:dyDescent="0.2">
      <c r="A1869" s="1916">
        <v>1869</v>
      </c>
      <c r="B1869" s="5148"/>
      <c r="E1869" s="2494" t="s">
        <v>8042</v>
      </c>
      <c r="F1869" s="1728"/>
      <c r="G1869" s="1728">
        <v>100</v>
      </c>
      <c r="H1869" s="1729">
        <v>1</v>
      </c>
      <c r="I1869" s="1729">
        <v>10</v>
      </c>
      <c r="J1869" s="1729">
        <f>COUNTIF(Elan!$C$13:$F$25,Tablas!E1869)+COUNTIF(Elan!$U$13:$X$25,Tablas!E1869)</f>
        <v>0</v>
      </c>
      <c r="K1869" s="1728"/>
      <c r="L1869" s="5170" t="s">
        <v>8396</v>
      </c>
      <c r="M1869" s="5170"/>
      <c r="N1869" s="5170"/>
      <c r="O1869" s="5170"/>
      <c r="P1869" s="5170"/>
      <c r="Q1869" s="5171"/>
      <c r="R1869" s="2497">
        <f>IF(OR($J1869=0,$J1869="Aprendida"),0,SUM($J$1702:$J1869))</f>
        <v>0</v>
      </c>
      <c r="AB1869" s="363"/>
      <c r="AC1869" s="2563"/>
    </row>
    <row r="1870" spans="1:29" ht="12.75" customHeight="1" x14ac:dyDescent="0.2">
      <c r="A1870" s="1916">
        <v>1870</v>
      </c>
      <c r="B1870" s="5148"/>
      <c r="E1870" s="2510" t="s">
        <v>7896</v>
      </c>
      <c r="F1870" s="2485">
        <f>IF(Elan!$C$11=Tablas!$E1870,Elan!$G$11,IF(Elan!$U$11=Tablas!$E1870,Elan!$Y$11,0))</f>
        <v>0</v>
      </c>
      <c r="G1870" s="2486" t="s">
        <v>2149</v>
      </c>
      <c r="H1870" s="2486" t="s">
        <v>10012</v>
      </c>
      <c r="I1870" s="2486" t="s">
        <v>1801</v>
      </c>
      <c r="J1870" s="2486" t="s">
        <v>7897</v>
      </c>
      <c r="K1870" s="2486" t="s">
        <v>8676</v>
      </c>
      <c r="L1870" s="2486" t="s">
        <v>1861</v>
      </c>
      <c r="M1870" s="1730"/>
      <c r="N1870" s="1730"/>
      <c r="O1870" s="1730"/>
      <c r="P1870" s="1730"/>
      <c r="Q1870" s="2491"/>
      <c r="R1870" s="2497">
        <f>IF(OR($J1870=0,$J1870="Aprendida"),0,SUM($J$1702:$J1870))</f>
        <v>0</v>
      </c>
      <c r="AB1870" s="363"/>
      <c r="AC1870" s="2563"/>
    </row>
    <row r="1871" spans="1:29" ht="12.75" customHeight="1" x14ac:dyDescent="0.2">
      <c r="A1871" s="1916">
        <v>1871</v>
      </c>
      <c r="B1871" s="5148"/>
      <c r="E1871" s="2494" t="s">
        <v>8043</v>
      </c>
      <c r="F1871" s="1728"/>
      <c r="G1871" s="1728">
        <v>10</v>
      </c>
      <c r="H1871" s="1729">
        <v>1</v>
      </c>
      <c r="I1871" s="1729">
        <v>5</v>
      </c>
      <c r="J1871" s="1729">
        <f>COUNTIF(Elan!$C$13:$F$25,Tablas!E1871)+COUNTIF(Elan!$U$13:$X$25,Tablas!E1871)</f>
        <v>0</v>
      </c>
      <c r="K1871" s="1728">
        <f>F1870*J1871</f>
        <v>0</v>
      </c>
      <c r="L1871" s="5170" t="s">
        <v>8397</v>
      </c>
      <c r="M1871" s="5170"/>
      <c r="N1871" s="5170"/>
      <c r="O1871" s="5170"/>
      <c r="P1871" s="5170"/>
      <c r="Q1871" s="5171"/>
      <c r="R1871" s="2497">
        <f>IF(OR($J1871=0,$J1871="Aprendida"),0,SUM($J$1702:$J1871))</f>
        <v>0</v>
      </c>
      <c r="AB1871" s="363"/>
      <c r="AC1871" s="2563"/>
    </row>
    <row r="1872" spans="1:29" ht="12.75" customHeight="1" x14ac:dyDescent="0.2">
      <c r="A1872" s="1916">
        <v>1872</v>
      </c>
      <c r="B1872" s="5148"/>
      <c r="E1872" s="2494" t="s">
        <v>8044</v>
      </c>
      <c r="F1872" s="1728"/>
      <c r="G1872" s="1728">
        <v>20</v>
      </c>
      <c r="H1872" s="1729">
        <v>1</v>
      </c>
      <c r="I1872" s="1729">
        <v>5</v>
      </c>
      <c r="J1872" s="1729">
        <f>COUNTIF(Elan!$C$13:$F$25,Tablas!E1872)+COUNTIF(Elan!$U$13:$X$25,Tablas!E1872)</f>
        <v>0</v>
      </c>
      <c r="K1872" s="1728"/>
      <c r="L1872" s="5170" t="s">
        <v>8401</v>
      </c>
      <c r="M1872" s="5170"/>
      <c r="N1872" s="5170"/>
      <c r="O1872" s="5170"/>
      <c r="P1872" s="5170"/>
      <c r="Q1872" s="5171"/>
      <c r="R1872" s="2497">
        <f>IF(OR($J1872=0,$J1872="Aprendida"),0,SUM($J$1702:$J1872))</f>
        <v>0</v>
      </c>
      <c r="AB1872" s="363"/>
      <c r="AC1872" s="2563"/>
    </row>
    <row r="1873" spans="1:29" ht="12.75" customHeight="1" x14ac:dyDescent="0.2">
      <c r="A1873" s="1916">
        <v>1873</v>
      </c>
      <c r="B1873" s="5148"/>
      <c r="E1873" s="2494" t="s">
        <v>8045</v>
      </c>
      <c r="F1873" s="1728"/>
      <c r="G1873" s="1728">
        <v>30</v>
      </c>
      <c r="H1873" s="1729">
        <v>1</v>
      </c>
      <c r="I1873" s="1729">
        <v>10</v>
      </c>
      <c r="J1873" s="1729">
        <f>COUNTIF(Elan!$C$13:$F$25,Tablas!E1873)+COUNTIF(Elan!$U$13:$X$25,Tablas!E1873)</f>
        <v>0</v>
      </c>
      <c r="K1873" s="1728"/>
      <c r="L1873" s="5170" t="s">
        <v>8405</v>
      </c>
      <c r="M1873" s="5170"/>
      <c r="N1873" s="5170"/>
      <c r="O1873" s="5170"/>
      <c r="P1873" s="5170"/>
      <c r="Q1873" s="5171"/>
      <c r="R1873" s="2497">
        <f>IF(OR($J1873=0,$J1873="Aprendida"),0,SUM($J$1702:$J1873))</f>
        <v>0</v>
      </c>
      <c r="AB1873" s="363"/>
      <c r="AC1873" s="2563"/>
    </row>
    <row r="1874" spans="1:29" ht="12.75" customHeight="1" x14ac:dyDescent="0.2">
      <c r="A1874" s="1916">
        <v>1874</v>
      </c>
      <c r="B1874" s="5148"/>
      <c r="E1874" s="2494" t="s">
        <v>8046</v>
      </c>
      <c r="F1874" s="1728"/>
      <c r="G1874" s="1728">
        <v>30</v>
      </c>
      <c r="H1874" s="1729">
        <v>1</v>
      </c>
      <c r="I1874" s="1729">
        <v>5</v>
      </c>
      <c r="J1874" s="1729">
        <f>COUNTIF(Elan!$C$13:$F$25,Tablas!E1874)+COUNTIF(Elan!$U$13:$X$25,Tablas!E1874)</f>
        <v>0</v>
      </c>
      <c r="K1874" s="1728"/>
      <c r="L1874" s="5170" t="s">
        <v>8407</v>
      </c>
      <c r="M1874" s="5170"/>
      <c r="N1874" s="5170"/>
      <c r="O1874" s="5170"/>
      <c r="P1874" s="5170"/>
      <c r="Q1874" s="5171"/>
      <c r="R1874" s="2497">
        <f>IF(OR($J1874=0,$J1874="Aprendida"),0,SUM($J$1702:$J1874))</f>
        <v>0</v>
      </c>
      <c r="AB1874" s="363"/>
      <c r="AC1874" s="2563"/>
    </row>
    <row r="1875" spans="1:29" ht="12.75" customHeight="1" x14ac:dyDescent="0.2">
      <c r="A1875" s="1916">
        <v>1875</v>
      </c>
      <c r="B1875" s="5148"/>
      <c r="E1875" s="2494" t="s">
        <v>8047</v>
      </c>
      <c r="F1875" s="1728"/>
      <c r="G1875" s="1728">
        <v>40</v>
      </c>
      <c r="H1875" s="1729">
        <v>1</v>
      </c>
      <c r="I1875" s="1729">
        <v>10</v>
      </c>
      <c r="J1875" s="1729">
        <f>COUNTIF(Elan!$C$13:$F$25,Tablas!E1875)+COUNTIF(Elan!$U$13:$X$25,Tablas!E1875)</f>
        <v>0</v>
      </c>
      <c r="K1875" s="1728"/>
      <c r="L1875" s="5170" t="s">
        <v>8408</v>
      </c>
      <c r="M1875" s="5170"/>
      <c r="N1875" s="5170"/>
      <c r="O1875" s="5170"/>
      <c r="P1875" s="5170"/>
      <c r="Q1875" s="5171"/>
      <c r="R1875" s="2497">
        <f>IF(OR($J1875=0,$J1875="Aprendida"),0,SUM($J$1702:$J1875))</f>
        <v>0</v>
      </c>
      <c r="AB1875" s="363"/>
      <c r="AC1875" s="2563"/>
    </row>
    <row r="1876" spans="1:29" ht="12.75" customHeight="1" x14ac:dyDescent="0.2">
      <c r="A1876" s="1916">
        <v>1876</v>
      </c>
      <c r="B1876" s="5148"/>
      <c r="E1876" s="2494" t="s">
        <v>8048</v>
      </c>
      <c r="F1876" s="1728"/>
      <c r="G1876" s="1728">
        <v>40</v>
      </c>
      <c r="H1876" s="1729">
        <v>1</v>
      </c>
      <c r="I1876" s="1729">
        <v>10</v>
      </c>
      <c r="J1876" s="1729">
        <f>COUNTIF(Elan!$C$13:$F$25,Tablas!E1876)+COUNTIF(Elan!$U$13:$X$25,Tablas!E1876)</f>
        <v>0</v>
      </c>
      <c r="K1876" s="1728"/>
      <c r="L1876" s="5170" t="s">
        <v>8409</v>
      </c>
      <c r="M1876" s="5170"/>
      <c r="N1876" s="5170"/>
      <c r="O1876" s="5170"/>
      <c r="P1876" s="5170"/>
      <c r="Q1876" s="5171"/>
      <c r="R1876" s="2497">
        <f>IF(OR($J1876=0,$J1876="Aprendida"),0,SUM($J$1702:$J1876))</f>
        <v>0</v>
      </c>
      <c r="AB1876" s="363"/>
      <c r="AC1876" s="2563"/>
    </row>
    <row r="1877" spans="1:29" ht="12.75" customHeight="1" x14ac:dyDescent="0.2">
      <c r="A1877" s="1916">
        <v>1877</v>
      </c>
      <c r="B1877" s="5148"/>
      <c r="E1877" s="2494" t="s">
        <v>8049</v>
      </c>
      <c r="F1877" s="1728"/>
      <c r="G1877" s="1728">
        <v>50</v>
      </c>
      <c r="H1877" s="1729">
        <v>1</v>
      </c>
      <c r="I1877" s="1729">
        <v>10</v>
      </c>
      <c r="J1877" s="1729">
        <f>COUNTIF(Elan!$C$13:$F$25,Tablas!E1877)+COUNTIF(Elan!$U$13:$X$25,Tablas!E1877)</f>
        <v>0</v>
      </c>
      <c r="K1877" s="1728"/>
      <c r="L1877" s="5170" t="s">
        <v>8410</v>
      </c>
      <c r="M1877" s="5170"/>
      <c r="N1877" s="5170"/>
      <c r="O1877" s="5170"/>
      <c r="P1877" s="5170"/>
      <c r="Q1877" s="5171"/>
      <c r="R1877" s="2497">
        <f>IF(OR($J1877=0,$J1877="Aprendida"),0,SUM($J$1702:$J1877))</f>
        <v>0</v>
      </c>
      <c r="AB1877" s="363"/>
      <c r="AC1877" s="2563"/>
    </row>
    <row r="1878" spans="1:29" ht="12.75" customHeight="1" x14ac:dyDescent="0.2">
      <c r="A1878" s="1916">
        <v>1878</v>
      </c>
      <c r="B1878" s="5148"/>
      <c r="E1878" s="2494" t="s">
        <v>8050</v>
      </c>
      <c r="F1878" s="1728"/>
      <c r="G1878" s="1728">
        <v>60</v>
      </c>
      <c r="H1878" s="1729">
        <v>1</v>
      </c>
      <c r="I1878" s="1729">
        <v>10</v>
      </c>
      <c r="J1878" s="1729">
        <f>COUNTIF(Elan!$C$13:$F$25,Tablas!E1878)+COUNTIF(Elan!$U$13:$X$25,Tablas!E1878)</f>
        <v>0</v>
      </c>
      <c r="K1878" s="1728"/>
      <c r="L1878" s="5170" t="s">
        <v>8411</v>
      </c>
      <c r="M1878" s="5170"/>
      <c r="N1878" s="5170"/>
      <c r="O1878" s="5170"/>
      <c r="P1878" s="5170"/>
      <c r="Q1878" s="5171"/>
      <c r="R1878" s="2497">
        <f>IF(OR($J1878=0,$J1878="Aprendida"),0,SUM($J$1702:$J1878))</f>
        <v>0</v>
      </c>
      <c r="AB1878" s="363"/>
      <c r="AC1878" s="2563"/>
    </row>
    <row r="1879" spans="1:29" ht="12.75" customHeight="1" x14ac:dyDescent="0.2">
      <c r="A1879" s="1916">
        <v>1879</v>
      </c>
      <c r="B1879" s="5148"/>
      <c r="E1879" s="2494" t="s">
        <v>8051</v>
      </c>
      <c r="F1879" s="1728"/>
      <c r="G1879" s="1728">
        <v>60</v>
      </c>
      <c r="H1879" s="1729">
        <f>IF(J1875,1,0)</f>
        <v>0</v>
      </c>
      <c r="I1879" s="1729">
        <v>15</v>
      </c>
      <c r="J1879" s="1729">
        <f>COUNTIF(Elan!$C$13:$F$25,Tablas!E1879)+COUNTIF(Elan!$U$13:$X$25,Tablas!E1879)</f>
        <v>0</v>
      </c>
      <c r="K1879" s="1728"/>
      <c r="L1879" s="5170" t="s">
        <v>8412</v>
      </c>
      <c r="M1879" s="5170"/>
      <c r="N1879" s="5170"/>
      <c r="O1879" s="5170"/>
      <c r="P1879" s="5170"/>
      <c r="Q1879" s="5171"/>
      <c r="R1879" s="2497">
        <f>IF(OR($J1879=0,$J1879="Aprendida"),0,SUM($J$1702:$J1879))</f>
        <v>0</v>
      </c>
      <c r="AB1879" s="363"/>
      <c r="AC1879" s="2563"/>
    </row>
    <row r="1880" spans="1:29" ht="12.75" customHeight="1" x14ac:dyDescent="0.2">
      <c r="A1880" s="1916">
        <v>1880</v>
      </c>
      <c r="B1880" s="5148"/>
      <c r="E1880" s="2494" t="s">
        <v>8052</v>
      </c>
      <c r="F1880" s="1728"/>
      <c r="G1880" s="1728">
        <v>70</v>
      </c>
      <c r="H1880" s="1729">
        <v>1</v>
      </c>
      <c r="I1880" s="1729">
        <v>10</v>
      </c>
      <c r="J1880" s="1729">
        <f>COUNTIF(Elan!$C$13:$F$25,Tablas!E1880)+COUNTIF(Elan!$U$13:$X$25,Tablas!E1880)</f>
        <v>0</v>
      </c>
      <c r="K1880" s="1728"/>
      <c r="L1880" s="5170" t="s">
        <v>8413</v>
      </c>
      <c r="M1880" s="5170"/>
      <c r="N1880" s="5170"/>
      <c r="O1880" s="5170"/>
      <c r="P1880" s="5170"/>
      <c r="Q1880" s="5171"/>
      <c r="R1880" s="2497">
        <f>IF(OR($J1880=0,$J1880="Aprendida"),0,SUM($J$1702:$J1880))</f>
        <v>0</v>
      </c>
      <c r="AB1880" s="363"/>
      <c r="AC1880" s="2563"/>
    </row>
    <row r="1881" spans="1:29" ht="12.75" customHeight="1" x14ac:dyDescent="0.2">
      <c r="A1881" s="1916">
        <v>1881</v>
      </c>
      <c r="B1881" s="5148"/>
      <c r="E1881" s="2494" t="s">
        <v>8053</v>
      </c>
      <c r="F1881" s="1728"/>
      <c r="G1881" s="1728">
        <v>80</v>
      </c>
      <c r="H1881" s="1729">
        <f>IF(J1878,1,0)</f>
        <v>0</v>
      </c>
      <c r="I1881" s="1729">
        <v>10</v>
      </c>
      <c r="J1881" s="1729">
        <f>COUNTIF(Elan!$C$13:$F$25,Tablas!E1881)+COUNTIF(Elan!$U$13:$X$25,Tablas!E1881)</f>
        <v>0</v>
      </c>
      <c r="K1881" s="1728"/>
      <c r="L1881" s="5170" t="s">
        <v>8414</v>
      </c>
      <c r="M1881" s="5170"/>
      <c r="N1881" s="5170"/>
      <c r="O1881" s="5170"/>
      <c r="P1881" s="5170"/>
      <c r="Q1881" s="5171"/>
      <c r="R1881" s="2497">
        <f>IF(OR($J1881=0,$J1881="Aprendida"),0,SUM($J$1702:$J1881))</f>
        <v>0</v>
      </c>
      <c r="AB1881" s="363"/>
      <c r="AC1881" s="2563"/>
    </row>
    <row r="1882" spans="1:29" ht="12.75" customHeight="1" x14ac:dyDescent="0.2">
      <c r="A1882" s="1916">
        <v>1882</v>
      </c>
      <c r="B1882" s="5148"/>
      <c r="E1882" s="2494" t="s">
        <v>8054</v>
      </c>
      <c r="F1882" s="1728"/>
      <c r="G1882" s="1728">
        <v>90</v>
      </c>
      <c r="H1882" s="1729">
        <v>1</v>
      </c>
      <c r="I1882" s="1729">
        <v>15</v>
      </c>
      <c r="J1882" s="1729">
        <f>COUNTIF(Elan!$C$13:$F$25,Tablas!E1882)+COUNTIF(Elan!$U$13:$X$25,Tablas!E1882)</f>
        <v>0</v>
      </c>
      <c r="K1882" s="1728"/>
      <c r="L1882" s="5170" t="s">
        <v>8415</v>
      </c>
      <c r="M1882" s="5170"/>
      <c r="N1882" s="5170"/>
      <c r="O1882" s="5170"/>
      <c r="P1882" s="5170"/>
      <c r="Q1882" s="5171"/>
      <c r="R1882" s="2497">
        <f>IF(OR($J1882=0,$J1882="Aprendida"),0,SUM($J$1702:$J1882))</f>
        <v>0</v>
      </c>
      <c r="AB1882" s="363"/>
      <c r="AC1882" s="2563"/>
    </row>
    <row r="1883" spans="1:29" ht="12.75" customHeight="1" thickBot="1" x14ac:dyDescent="0.25">
      <c r="A1883" s="1916">
        <v>1883</v>
      </c>
      <c r="B1883" s="5148"/>
      <c r="E1883" s="2494" t="s">
        <v>8055</v>
      </c>
      <c r="F1883" s="1733"/>
      <c r="G1883" s="1733">
        <v>100</v>
      </c>
      <c r="H1883" s="1734">
        <f>IF(J1877,1,0)</f>
        <v>0</v>
      </c>
      <c r="I1883" s="1734">
        <v>10</v>
      </c>
      <c r="J1883" s="1733">
        <f>COUNTIF(Elan!$C$13:$F$25,Tablas!E1883)+COUNTIF(Elan!$U$13:$X$25,Tablas!E1883)</f>
        <v>0</v>
      </c>
      <c r="K1883" s="1733"/>
      <c r="L1883" s="5170" t="s">
        <v>8416</v>
      </c>
      <c r="M1883" s="5170"/>
      <c r="N1883" s="5170"/>
      <c r="O1883" s="5170"/>
      <c r="P1883" s="5170"/>
      <c r="Q1883" s="5171"/>
      <c r="R1883" s="2497">
        <f>IF(OR($J1883=0,$J1883="Aprendida"),0,SUM($J$1702:$J1883))</f>
        <v>0</v>
      </c>
      <c r="AB1883" s="363"/>
      <c r="AC1883" s="2563"/>
    </row>
    <row r="1884" spans="1:29" ht="12.75" customHeight="1" x14ac:dyDescent="0.2">
      <c r="A1884" s="1916">
        <v>1884</v>
      </c>
      <c r="B1884" s="5148"/>
      <c r="E1884" s="2495" t="str">
        <f>IF(Personalización!$F$43=0,"ElanPersonalizado",Personalización!$F$43)</f>
        <v>ElanPersonalizado</v>
      </c>
      <c r="F1884" s="2485">
        <f>IF(Elan!$C$11=Tablas!$E1884,Elan!$G$11,IF(Elan!$U$11=Tablas!$E1884,Elan!$Y$11,0))</f>
        <v>0</v>
      </c>
      <c r="G1884" s="2486" t="s">
        <v>2149</v>
      </c>
      <c r="H1884" s="2486" t="s">
        <v>10012</v>
      </c>
      <c r="I1884" s="2486" t="s">
        <v>1801</v>
      </c>
      <c r="J1884" s="2486" t="s">
        <v>7897</v>
      </c>
      <c r="K1884" s="2486" t="s">
        <v>8676</v>
      </c>
      <c r="L1884" s="2486" t="s">
        <v>1861</v>
      </c>
      <c r="M1884" s="1730"/>
      <c r="N1884" s="1730"/>
      <c r="O1884" s="1730"/>
      <c r="P1884" s="1730"/>
      <c r="Q1884" s="2491"/>
      <c r="R1884" s="2497">
        <f>IF(OR($J1884=0,$J1884="Aprendida"),0,SUM($J$1702:$J1884))</f>
        <v>0</v>
      </c>
      <c r="AB1884" s="363"/>
      <c r="AC1884" s="2563"/>
    </row>
    <row r="1885" spans="1:29" ht="12.75" customHeight="1" x14ac:dyDescent="0.2">
      <c r="A1885" s="1916">
        <v>1885</v>
      </c>
      <c r="B1885" s="5148"/>
      <c r="E1885" s="2494" t="str">
        <f>IF(Personalización!D45="","Poder no definido",Personalización!D45)</f>
        <v>Poder no definido</v>
      </c>
      <c r="F1885" s="1728"/>
      <c r="G1885" s="1728">
        <f>IF(E1885="Poder no definido",0,VLOOKUP(E1885,Personalización!$D$45:$Q$54,4,FALSE))</f>
        <v>0</v>
      </c>
      <c r="H1885" s="1729" t="s">
        <v>1766</v>
      </c>
      <c r="I1885" s="1729">
        <f>IF(E1885="Poder no definido",0,VLOOKUP(E1885,Personalización!$D$45:$Q$54,5,FALSE))</f>
        <v>0</v>
      </c>
      <c r="J1885" s="1729">
        <f>COUNTIF(Elan!$C$13:$F$25,Tablas!E1885)+COUNTIF(Elan!$U$13:$X$25,Tablas!E1885)</f>
        <v>0</v>
      </c>
      <c r="K1885" s="1728"/>
      <c r="L1885" s="5170">
        <f>IF(E1885="Poder no definido",0,VLOOKUP(E1885,Personalización!$D$45:$Q$54,6,FALSE))</f>
        <v>0</v>
      </c>
      <c r="M1885" s="5170"/>
      <c r="N1885" s="5170"/>
      <c r="O1885" s="5170"/>
      <c r="P1885" s="5170"/>
      <c r="Q1885" s="5171"/>
      <c r="R1885" s="2497">
        <f>IF(OR($J1885=0,$J1885="Aprendida"),0,SUM($J$1702:$J1885))</f>
        <v>0</v>
      </c>
      <c r="AB1885" s="363"/>
      <c r="AC1885" s="2563"/>
    </row>
    <row r="1886" spans="1:29" ht="12.75" customHeight="1" x14ac:dyDescent="0.2">
      <c r="A1886" s="1916">
        <v>1886</v>
      </c>
      <c r="B1886" s="5148"/>
      <c r="E1886" s="2494" t="str">
        <f>IF(Personalización!D46="","Poder no definido",Personalización!D46)</f>
        <v>Poder no definido</v>
      </c>
      <c r="F1886" s="1728"/>
      <c r="G1886" s="1728">
        <f>IF(E1886="Poder no definido",0,VLOOKUP(E1886,Personalización!$D$45:$Q$54,4,FALSE))</f>
        <v>0</v>
      </c>
      <c r="H1886" s="1729" t="s">
        <v>1766</v>
      </c>
      <c r="I1886" s="1729">
        <f>IF(E1886="Poder no definido",0,VLOOKUP(E1886,Personalización!$D$45:$Q$54,5,FALSE))</f>
        <v>0</v>
      </c>
      <c r="J1886" s="1729">
        <f>COUNTIF(Elan!$C$13:$F$25,Tablas!E1886)+COUNTIF(Elan!$U$13:$X$25,Tablas!E1886)</f>
        <v>0</v>
      </c>
      <c r="K1886" s="1728"/>
      <c r="L1886" s="5170">
        <f>IF(E1886="Poder no definido",0,VLOOKUP(E1886,Personalización!$D$45:$Q$54,6,FALSE))</f>
        <v>0</v>
      </c>
      <c r="M1886" s="5170"/>
      <c r="N1886" s="5170"/>
      <c r="O1886" s="5170"/>
      <c r="P1886" s="5170"/>
      <c r="Q1886" s="5171"/>
      <c r="R1886" s="2497">
        <f>IF(OR($J1886=0,$J1886="Aprendida"),0,SUM($J$1702:$J1886))</f>
        <v>0</v>
      </c>
      <c r="AB1886" s="363"/>
      <c r="AC1886" s="2563"/>
    </row>
    <row r="1887" spans="1:29" ht="12.75" customHeight="1" x14ac:dyDescent="0.2">
      <c r="A1887" s="1916">
        <v>1887</v>
      </c>
      <c r="B1887" s="5148"/>
      <c r="E1887" s="2494" t="str">
        <f>IF(Personalización!D47="","Poder no definido",Personalización!D47)</f>
        <v>Poder no definido</v>
      </c>
      <c r="F1887" s="1728"/>
      <c r="G1887" s="1728">
        <f>IF(E1887="Poder no definido",0,VLOOKUP(E1887,Personalización!$D$45:$Q$54,4,FALSE))</f>
        <v>0</v>
      </c>
      <c r="H1887" s="1729" t="s">
        <v>1766</v>
      </c>
      <c r="I1887" s="1729">
        <f>IF(E1887="Poder no definido",0,VLOOKUP(E1887,Personalización!$D$45:$Q$54,5,FALSE))</f>
        <v>0</v>
      </c>
      <c r="J1887" s="1729">
        <f>COUNTIF(Elan!$C$13:$F$25,Tablas!E1887)+COUNTIF(Elan!$U$13:$X$25,Tablas!E1887)</f>
        <v>0</v>
      </c>
      <c r="K1887" s="1728"/>
      <c r="L1887" s="5170">
        <f>IF(E1887="Poder no definido",0,VLOOKUP(E1887,Personalización!$D$45:$Q$54,6,FALSE))</f>
        <v>0</v>
      </c>
      <c r="M1887" s="5170"/>
      <c r="N1887" s="5170"/>
      <c r="O1887" s="5170"/>
      <c r="P1887" s="5170"/>
      <c r="Q1887" s="5171"/>
      <c r="R1887" s="2497">
        <f>IF(OR($J1887=0,$J1887="Aprendida"),0,SUM($J$1702:$J1887))</f>
        <v>0</v>
      </c>
      <c r="AB1887" s="363"/>
      <c r="AC1887" s="2563"/>
    </row>
    <row r="1888" spans="1:29" ht="12.75" customHeight="1" x14ac:dyDescent="0.2">
      <c r="A1888" s="1916">
        <v>1888</v>
      </c>
      <c r="B1888" s="5148"/>
      <c r="E1888" s="2494" t="str">
        <f>IF(Personalización!D48="","Poder no definido",Personalización!D48)</f>
        <v>Poder no definido</v>
      </c>
      <c r="F1888" s="1728"/>
      <c r="G1888" s="1728">
        <f>IF(E1888="Poder no definido",0,VLOOKUP(E1888,Personalización!$D$45:$Q$54,4,FALSE))</f>
        <v>0</v>
      </c>
      <c r="H1888" s="1729" t="s">
        <v>1766</v>
      </c>
      <c r="I1888" s="1729">
        <f>IF(E1888="Poder no definido",0,VLOOKUP(E1888,Personalización!$D$45:$Q$54,5,FALSE))</f>
        <v>0</v>
      </c>
      <c r="J1888" s="1729">
        <f>COUNTIF(Elan!$C$13:$F$25,Tablas!E1888)+COUNTIF(Elan!$U$13:$X$25,Tablas!E1888)</f>
        <v>0</v>
      </c>
      <c r="K1888" s="1728"/>
      <c r="L1888" s="5170">
        <f>IF(E1888="Poder no definido",0,VLOOKUP(E1888,Personalización!$D$45:$Q$54,6,FALSE))</f>
        <v>0</v>
      </c>
      <c r="M1888" s="5170"/>
      <c r="N1888" s="5170"/>
      <c r="O1888" s="5170"/>
      <c r="P1888" s="5170"/>
      <c r="Q1888" s="5171"/>
      <c r="R1888" s="2497">
        <f>IF(OR($J1888=0,$J1888="Aprendida"),0,SUM($J$1702:$J1888))</f>
        <v>0</v>
      </c>
      <c r="AB1888" s="363"/>
      <c r="AC1888" s="2563"/>
    </row>
    <row r="1889" spans="1:31" ht="12.75" customHeight="1" x14ac:dyDescent="0.2">
      <c r="A1889" s="1916">
        <v>1889</v>
      </c>
      <c r="B1889" s="5148"/>
      <c r="E1889" s="2494" t="str">
        <f>IF(Personalización!D49="","Poder no definido",Personalización!D49)</f>
        <v>Poder no definido</v>
      </c>
      <c r="F1889" s="1728"/>
      <c r="G1889" s="1728">
        <f>IF(E1889="Poder no definido",0,VLOOKUP(E1889,Personalización!$D$45:$Q$54,4,FALSE))</f>
        <v>0</v>
      </c>
      <c r="H1889" s="1729" t="s">
        <v>1766</v>
      </c>
      <c r="I1889" s="1729">
        <f>IF(E1889="Poder no definido",0,VLOOKUP(E1889,Personalización!$D$45:$Q$54,5,FALSE))</f>
        <v>0</v>
      </c>
      <c r="J1889" s="1729">
        <f>COUNTIF(Elan!$C$13:$F$25,Tablas!E1889)+COUNTIF(Elan!$U$13:$X$25,Tablas!E1889)</f>
        <v>0</v>
      </c>
      <c r="K1889" s="1728"/>
      <c r="L1889" s="5170">
        <f>IF(E1889="Poder no definido",0,VLOOKUP(E1889,Personalización!$D$45:$Q$54,6,FALSE))</f>
        <v>0</v>
      </c>
      <c r="M1889" s="5170"/>
      <c r="N1889" s="5170"/>
      <c r="O1889" s="5170"/>
      <c r="P1889" s="5170"/>
      <c r="Q1889" s="5171"/>
      <c r="R1889" s="2497">
        <f>IF(OR($J1889=0,$J1889="Aprendida"),0,SUM($J$1702:$J1889))</f>
        <v>0</v>
      </c>
      <c r="AB1889" s="363"/>
      <c r="AC1889" s="2563"/>
    </row>
    <row r="1890" spans="1:31" ht="12.75" customHeight="1" x14ac:dyDescent="0.2">
      <c r="A1890" s="1916">
        <v>1890</v>
      </c>
      <c r="B1890" s="5148"/>
      <c r="E1890" s="2494" t="str">
        <f>IF(Personalización!D50="","Poder no definido",Personalización!D50)</f>
        <v>Poder no definido</v>
      </c>
      <c r="F1890" s="1728"/>
      <c r="G1890" s="1728">
        <f>IF(E1890="Poder no definido",0,VLOOKUP(E1890,Personalización!$D$45:$Q$54,4,FALSE))</f>
        <v>0</v>
      </c>
      <c r="H1890" s="1729" t="s">
        <v>1766</v>
      </c>
      <c r="I1890" s="1729">
        <f>IF(E1890="Poder no definido",0,VLOOKUP(E1890,Personalización!$D$45:$Q$54,5,FALSE))</f>
        <v>0</v>
      </c>
      <c r="J1890" s="1729">
        <f>COUNTIF(Elan!$C$13:$F$25,Tablas!E1890)+COUNTIF(Elan!$U$13:$X$25,Tablas!E1890)</f>
        <v>0</v>
      </c>
      <c r="K1890" s="1728"/>
      <c r="L1890" s="5170">
        <f>IF(E1890="Poder no definido",0,VLOOKUP(E1890,Personalización!$D$45:$Q$54,6,FALSE))</f>
        <v>0</v>
      </c>
      <c r="M1890" s="5170"/>
      <c r="N1890" s="5170"/>
      <c r="O1890" s="5170"/>
      <c r="P1890" s="5170"/>
      <c r="Q1890" s="5171"/>
      <c r="R1890" s="2497">
        <f>IF(OR($J1890=0,$J1890="Aprendida"),0,SUM($J$1702:$J1890))</f>
        <v>0</v>
      </c>
      <c r="AB1890" s="363"/>
      <c r="AC1890" s="2563"/>
    </row>
    <row r="1891" spans="1:31" ht="12.75" customHeight="1" x14ac:dyDescent="0.2">
      <c r="A1891" s="1916">
        <v>1891</v>
      </c>
      <c r="B1891" s="5148"/>
      <c r="E1891" s="2494" t="str">
        <f>IF(Personalización!D51="","Poder no definido",Personalización!D51)</f>
        <v>Poder no definido</v>
      </c>
      <c r="F1891" s="1728"/>
      <c r="G1891" s="1728">
        <f>IF(E1891="Poder no definido",0,VLOOKUP(E1891,Personalización!$D$45:$Q$54,4,FALSE))</f>
        <v>0</v>
      </c>
      <c r="H1891" s="1729" t="s">
        <v>1766</v>
      </c>
      <c r="I1891" s="1729">
        <f>IF(E1891="Poder no definido",0,VLOOKUP(E1891,Personalización!$D$45:$Q$54,5,FALSE))</f>
        <v>0</v>
      </c>
      <c r="J1891" s="1729">
        <f>COUNTIF(Elan!$C$13:$F$25,Tablas!E1891)+COUNTIF(Elan!$U$13:$X$25,Tablas!E1891)</f>
        <v>0</v>
      </c>
      <c r="K1891" s="1728"/>
      <c r="L1891" s="5170">
        <f>IF(E1891="Poder no definido",0,VLOOKUP(E1891,Personalización!$D$45:$Q$54,6,FALSE))</f>
        <v>0</v>
      </c>
      <c r="M1891" s="5170"/>
      <c r="N1891" s="5170"/>
      <c r="O1891" s="5170"/>
      <c r="P1891" s="5170"/>
      <c r="Q1891" s="5171"/>
      <c r="R1891" s="2497">
        <f>IF(OR($J1891=0,$J1891="Aprendida"),0,SUM($J$1702:$J1891))</f>
        <v>0</v>
      </c>
      <c r="AB1891" s="363"/>
      <c r="AC1891" s="2563"/>
    </row>
    <row r="1892" spans="1:31" ht="12.75" customHeight="1" x14ac:dyDescent="0.2">
      <c r="A1892" s="1916">
        <v>1892</v>
      </c>
      <c r="B1892" s="5148"/>
      <c r="E1892" s="2494" t="str">
        <f>IF(Personalización!D52="","Poder no definido",Personalización!D52)</f>
        <v>Poder no definido</v>
      </c>
      <c r="F1892" s="1728"/>
      <c r="G1892" s="1728">
        <f>IF(E1892="Poder no definido",0,VLOOKUP(E1892,Personalización!$D$45:$Q$54,4,FALSE))</f>
        <v>0</v>
      </c>
      <c r="H1892" s="1729" t="s">
        <v>1766</v>
      </c>
      <c r="I1892" s="1729">
        <f>IF(E1892="Poder no definido",0,VLOOKUP(E1892,Personalización!$D$45:$Q$54,5,FALSE))</f>
        <v>0</v>
      </c>
      <c r="J1892" s="1729">
        <f>COUNTIF(Elan!$C$13:$F$25,Tablas!E1892)+COUNTIF(Elan!$U$13:$X$25,Tablas!E1892)</f>
        <v>0</v>
      </c>
      <c r="K1892" s="1728"/>
      <c r="L1892" s="5170">
        <f>IF(E1892="Poder no definido",0,VLOOKUP(E1892,Personalización!$D$45:$Q$54,6,FALSE))</f>
        <v>0</v>
      </c>
      <c r="M1892" s="5170"/>
      <c r="N1892" s="5170"/>
      <c r="O1892" s="5170"/>
      <c r="P1892" s="5170"/>
      <c r="Q1892" s="5171"/>
      <c r="R1892" s="2497">
        <f>IF(OR($J1892=0,$J1892="Aprendida"),0,SUM($J$1702:$J1892))</f>
        <v>0</v>
      </c>
      <c r="AB1892" s="363"/>
      <c r="AC1892" s="2563"/>
    </row>
    <row r="1893" spans="1:31" ht="12.75" customHeight="1" x14ac:dyDescent="0.2">
      <c r="A1893" s="1916">
        <v>1893</v>
      </c>
      <c r="B1893" s="5148"/>
      <c r="E1893" s="2494" t="str">
        <f>IF(Personalización!D53="","Poder no definido",Personalización!D53)</f>
        <v>Poder no definido</v>
      </c>
      <c r="F1893" s="1728"/>
      <c r="G1893" s="1728">
        <f>IF(E1893="Poder no definido",0,VLOOKUP(E1893,Personalización!$D$45:$Q$54,4,FALSE))</f>
        <v>0</v>
      </c>
      <c r="H1893" s="1729" t="s">
        <v>1766</v>
      </c>
      <c r="I1893" s="1729">
        <f>IF(E1893="Poder no definido",0,VLOOKUP(E1893,Personalización!$D$45:$Q$54,5,FALSE))</f>
        <v>0</v>
      </c>
      <c r="J1893" s="1729">
        <f>COUNTIF(Elan!$C$13:$F$25,Tablas!E1893)+COUNTIF(Elan!$U$13:$X$25,Tablas!E1893)</f>
        <v>0</v>
      </c>
      <c r="K1893" s="1728"/>
      <c r="L1893" s="5170">
        <f>IF(E1893="Poder no definido",0,VLOOKUP(E1893,Personalización!$D$45:$Q$54,6,FALSE))</f>
        <v>0</v>
      </c>
      <c r="M1893" s="5170"/>
      <c r="N1893" s="5170"/>
      <c r="O1893" s="5170"/>
      <c r="P1893" s="5170"/>
      <c r="Q1893" s="5171"/>
      <c r="R1893" s="2497">
        <f>IF(OR($J1893=0,$J1893="Aprendida"),0,SUM($J$1702:$J1893))</f>
        <v>0</v>
      </c>
      <c r="AB1893" s="363"/>
      <c r="AC1893" s="2563"/>
    </row>
    <row r="1894" spans="1:31" ht="12.75" customHeight="1" thickBot="1" x14ac:dyDescent="0.25">
      <c r="A1894" s="1916">
        <v>1894</v>
      </c>
      <c r="B1894" s="5148"/>
      <c r="E1894" s="2496" t="str">
        <f>IF(Personalización!D54="","Poder no definido",Personalización!D54)</f>
        <v>Poder no definido</v>
      </c>
      <c r="F1894" s="1733"/>
      <c r="G1894" s="1733">
        <f>IF(E1894="Poder no definido",0,VLOOKUP(E1894,Personalización!$D$45:$Q$54,4,FALSE))</f>
        <v>0</v>
      </c>
      <c r="H1894" s="1734" t="s">
        <v>1766</v>
      </c>
      <c r="I1894" s="1734">
        <f>IF(E1894="Poder no definido",0,VLOOKUP(E1894,Personalización!$D$45:$Q$54,5,FALSE))</f>
        <v>0</v>
      </c>
      <c r="J1894" s="1733">
        <f>COUNTIF(Elan!$C$13:$F$25,Tablas!E1894)+COUNTIF(Elan!$U$13:$X$25,Tablas!E1894)</f>
        <v>0</v>
      </c>
      <c r="K1894" s="1733"/>
      <c r="L1894" s="5177">
        <f>IF(E1894="Poder no definido",0,VLOOKUP(E1894,Personalización!$D$45:$Q$54,6,FALSE))</f>
        <v>0</v>
      </c>
      <c r="M1894" s="5177"/>
      <c r="N1894" s="5177"/>
      <c r="O1894" s="5177"/>
      <c r="P1894" s="5177"/>
      <c r="Q1894" s="5178"/>
      <c r="R1894" s="1735">
        <f>IF(OR($J1894=0,$J1894="Aprendida"),0,SUM($J$1702:$J1894))</f>
        <v>0</v>
      </c>
      <c r="AB1894" s="363"/>
      <c r="AC1894" s="2563"/>
    </row>
    <row r="1895" spans="1:31" ht="12.75" customHeight="1" x14ac:dyDescent="0.2">
      <c r="A1895" s="1916">
        <v>1895</v>
      </c>
      <c r="B1895" s="5148"/>
      <c r="H1895" s="363"/>
      <c r="I1895" s="1653"/>
      <c r="N1895" s="363"/>
      <c r="O1895" s="1999"/>
      <c r="Z1895" s="2563"/>
      <c r="AB1895" s="363"/>
      <c r="AC1895" s="2563"/>
    </row>
    <row r="1896" spans="1:31" ht="12.75" customHeight="1" x14ac:dyDescent="0.2">
      <c r="A1896" s="1916">
        <v>1896</v>
      </c>
      <c r="B1896" s="5148"/>
      <c r="H1896" s="363"/>
      <c r="I1896" s="1653"/>
      <c r="N1896" s="363"/>
      <c r="O1896" s="1999"/>
      <c r="Z1896" s="2563"/>
      <c r="AB1896" s="363"/>
      <c r="AC1896" s="2563"/>
    </row>
    <row r="1897" spans="1:31" ht="12.75" customHeight="1" x14ac:dyDescent="0.2">
      <c r="A1897" s="1916">
        <v>1897</v>
      </c>
      <c r="B1897" s="5148"/>
      <c r="H1897" s="363"/>
      <c r="I1897" s="1653"/>
      <c r="N1897" s="363"/>
      <c r="O1897" s="1999"/>
      <c r="Z1897" s="2563"/>
      <c r="AB1897" s="363"/>
      <c r="AC1897" s="2563"/>
    </row>
    <row r="1898" spans="1:31" ht="12.75" customHeight="1" x14ac:dyDescent="0.2">
      <c r="A1898" s="1916">
        <v>1898</v>
      </c>
      <c r="B1898" s="5148"/>
      <c r="C1898" s="5143" t="s">
        <v>8943</v>
      </c>
      <c r="D1898" s="5143"/>
      <c r="E1898" s="5143"/>
      <c r="F1898" s="5143"/>
      <c r="G1898" s="5143"/>
      <c r="H1898" s="5143"/>
      <c r="I1898" s="5143"/>
      <c r="J1898" s="5143"/>
      <c r="K1898" s="5143"/>
      <c r="L1898" s="5143"/>
      <c r="M1898" s="5143"/>
      <c r="N1898" s="5143"/>
      <c r="O1898" s="5143"/>
      <c r="P1898" s="5143"/>
      <c r="Q1898" s="5143"/>
      <c r="R1898" s="5143"/>
      <c r="S1898" s="5143"/>
      <c r="T1898" s="5143"/>
      <c r="U1898" s="5143"/>
      <c r="V1898" s="5143"/>
      <c r="W1898" s="5143"/>
      <c r="X1898" s="5143"/>
      <c r="Y1898" s="5143"/>
      <c r="Z1898" s="5143"/>
      <c r="AA1898" s="5143"/>
      <c r="AB1898" s="5143"/>
      <c r="AC1898" s="5143"/>
      <c r="AD1898" s="5143"/>
      <c r="AE1898" s="5143"/>
    </row>
    <row r="1899" spans="1:31" ht="12.75" customHeight="1" x14ac:dyDescent="0.2">
      <c r="A1899" s="1916">
        <v>1899</v>
      </c>
      <c r="B1899" s="5148"/>
      <c r="C1899" s="5143"/>
      <c r="D1899" s="5143"/>
      <c r="E1899" s="5143"/>
      <c r="F1899" s="5143"/>
      <c r="G1899" s="5143"/>
      <c r="H1899" s="5143"/>
      <c r="I1899" s="5143"/>
      <c r="J1899" s="5143"/>
      <c r="K1899" s="5143"/>
      <c r="L1899" s="5143"/>
      <c r="M1899" s="5143"/>
      <c r="N1899" s="5143"/>
      <c r="O1899" s="5143"/>
      <c r="P1899" s="5143"/>
      <c r="Q1899" s="5143"/>
      <c r="R1899" s="5143"/>
      <c r="S1899" s="5143"/>
      <c r="T1899" s="5143"/>
      <c r="U1899" s="5143"/>
      <c r="V1899" s="5143"/>
      <c r="W1899" s="5143"/>
      <c r="X1899" s="5143"/>
      <c r="Y1899" s="5143"/>
      <c r="Z1899" s="5143"/>
      <c r="AA1899" s="5143"/>
      <c r="AB1899" s="5143"/>
      <c r="AC1899" s="5143"/>
      <c r="AD1899" s="5143"/>
      <c r="AE1899" s="5143"/>
    </row>
    <row r="1900" spans="1:31" ht="12.75" customHeight="1" x14ac:dyDescent="0.2">
      <c r="A1900" s="1916">
        <v>1900</v>
      </c>
      <c r="B1900" s="5148"/>
      <c r="C1900" s="5143"/>
      <c r="D1900" s="5143"/>
      <c r="E1900" s="5143"/>
      <c r="F1900" s="5143"/>
      <c r="G1900" s="5143"/>
      <c r="H1900" s="5143"/>
      <c r="I1900" s="5143"/>
      <c r="J1900" s="5143"/>
      <c r="K1900" s="5143"/>
      <c r="L1900" s="5143"/>
      <c r="M1900" s="5143"/>
      <c r="N1900" s="5143"/>
      <c r="O1900" s="5143"/>
      <c r="P1900" s="5143"/>
      <c r="Q1900" s="5143"/>
      <c r="R1900" s="5143"/>
      <c r="S1900" s="5143"/>
      <c r="T1900" s="5143"/>
      <c r="U1900" s="5143"/>
      <c r="V1900" s="5143"/>
      <c r="W1900" s="5143"/>
      <c r="X1900" s="5143"/>
      <c r="Y1900" s="5143"/>
      <c r="Z1900" s="5143"/>
      <c r="AA1900" s="5143"/>
      <c r="AB1900" s="5143"/>
      <c r="AC1900" s="5143"/>
      <c r="AD1900" s="5143"/>
      <c r="AE1900" s="5143"/>
    </row>
    <row r="1901" spans="1:31" ht="12.75" customHeight="1" thickBot="1" x14ac:dyDescent="0.25">
      <c r="A1901" s="1916">
        <v>1901</v>
      </c>
      <c r="B1901" s="5148"/>
      <c r="H1901" s="363"/>
      <c r="I1901" s="1653"/>
      <c r="N1901" s="363"/>
      <c r="O1901" s="1999"/>
      <c r="Z1901" s="2563"/>
      <c r="AB1901" s="363"/>
      <c r="AC1901" s="2563"/>
    </row>
    <row r="1902" spans="1:31" ht="12.75" customHeight="1" thickBot="1" x14ac:dyDescent="0.25">
      <c r="A1902" s="1916">
        <v>1902</v>
      </c>
      <c r="B1902" s="5148"/>
      <c r="C1902" s="5258" t="s">
        <v>910</v>
      </c>
      <c r="D1902" s="5258"/>
      <c r="E1902" s="5258"/>
      <c r="F1902" s="525"/>
      <c r="G1902" s="3201" t="s">
        <v>911</v>
      </c>
      <c r="H1902" s="3201"/>
      <c r="I1902" s="1653"/>
      <c r="J1902" s="3201" t="s">
        <v>914</v>
      </c>
      <c r="K1902" s="3201"/>
      <c r="N1902" s="363"/>
      <c r="O1902" s="1999"/>
      <c r="AB1902" s="363"/>
      <c r="AC1902" s="2563"/>
    </row>
    <row r="1903" spans="1:31" ht="12.75" customHeight="1" thickBot="1" x14ac:dyDescent="0.25">
      <c r="A1903" s="1916">
        <v>1903</v>
      </c>
      <c r="B1903" s="5148"/>
      <c r="C1903" s="5258"/>
      <c r="D1903" s="5258"/>
      <c r="E1903" s="5258"/>
      <c r="F1903" s="525"/>
      <c r="G1903" s="3201"/>
      <c r="H1903" s="3201"/>
      <c r="I1903" s="1653"/>
      <c r="J1903" s="3201"/>
      <c r="K1903" s="3201"/>
      <c r="N1903" s="363"/>
      <c r="O1903" s="1999"/>
      <c r="AB1903" s="363"/>
      <c r="AC1903" s="2563"/>
    </row>
    <row r="1904" spans="1:31" ht="12.75" customHeight="1" x14ac:dyDescent="0.2">
      <c r="A1904" s="1916">
        <v>1904</v>
      </c>
      <c r="B1904" s="5148"/>
      <c r="C1904" s="536" t="str">
        <f>IF(UsodelKi,Ki!$K$10,"")</f>
        <v/>
      </c>
      <c r="D1904" s="118"/>
      <c r="E1904" s="209"/>
      <c r="F1904" s="525"/>
      <c r="G1904" s="65" t="str">
        <f>IF(Místicos!H15&gt;0,Místicos!H15&amp;" Luz","")</f>
        <v/>
      </c>
      <c r="H1904" s="68"/>
      <c r="I1904" s="1653"/>
      <c r="J1904" s="65" t="str">
        <f>IF(Combate!AB55="","",IF(SUM(Ki!U23:U63)=0,"Magnus ("&amp;Combate!AB55&amp;")",", Magnus ("&amp;Combate!AB55&amp;")"))</f>
        <v/>
      </c>
      <c r="K1904" s="68"/>
      <c r="N1904" s="363"/>
      <c r="O1904" s="1999"/>
      <c r="AB1904" s="363"/>
      <c r="AC1904" s="2563"/>
    </row>
    <row r="1905" spans="1:29" ht="12.75" customHeight="1" x14ac:dyDescent="0.2">
      <c r="A1905" s="1916">
        <v>1905</v>
      </c>
      <c r="B1905" s="5148"/>
      <c r="C1905" s="537" t="str">
        <f>IF(Ki!$P$12="-",", "&amp;Ki!$K$12,"")</f>
        <v/>
      </c>
      <c r="D1905" s="67"/>
      <c r="E1905" s="68"/>
      <c r="F1905" s="525"/>
      <c r="G1905" s="65" t="str">
        <f>IF(AND(Místicos!G15&gt;0,Místicos!H16&gt;0),", ","")&amp;IF(Místicos!H16&gt;0,Místicos!H16&amp;" Oscuridad","")</f>
        <v/>
      </c>
      <c r="H1905" s="68"/>
      <c r="I1905" s="1653"/>
      <c r="J1905" s="65" t="str">
        <f>IF(Combate!AB57="","",", Magnus ("&amp;Combate!AB57&amp;")")</f>
        <v/>
      </c>
      <c r="K1905" s="68"/>
      <c r="N1905" s="363"/>
      <c r="O1905" s="1999"/>
      <c r="AB1905" s="363"/>
      <c r="AC1905" s="2563"/>
    </row>
    <row r="1906" spans="1:29" ht="12.75" customHeight="1" x14ac:dyDescent="0.2">
      <c r="A1906" s="1916">
        <v>1906</v>
      </c>
      <c r="B1906" s="5148"/>
      <c r="C1906" s="537" t="str">
        <f>IF(Ki!$P$13="-",", "&amp;Ki!$L$13&amp;" "&amp;Ki!$F$35,"")</f>
        <v/>
      </c>
      <c r="D1906" s="67"/>
      <c r="E1906" s="68"/>
      <c r="F1906" s="525"/>
      <c r="G1906" s="65" t="str">
        <f>IF(AND(SUM(Místicos!G15:G16)&gt;0,Místicos!H17&gt;0),", ","")&amp;IF(Místicos!H17&gt;0,Místicos!H17&amp;" Fuego","")</f>
        <v/>
      </c>
      <c r="H1906" s="68"/>
      <c r="I1906" s="1653"/>
      <c r="J1906" s="65" t="str">
        <f>IF(Combate!AB59="","",", Magnus ("&amp;Combate!AB59&amp;")")</f>
        <v/>
      </c>
      <c r="K1906" s="68"/>
      <c r="N1906" s="363"/>
      <c r="O1906" s="1999"/>
      <c r="AB1906" s="363"/>
      <c r="AC1906" s="2563"/>
    </row>
    <row r="1907" spans="1:29" ht="12.75" customHeight="1" x14ac:dyDescent="0.2">
      <c r="A1907" s="1916">
        <v>1907</v>
      </c>
      <c r="B1907" s="5148"/>
      <c r="C1907" s="537" t="str">
        <f>IF(Erudición,", "&amp;Ki!$M$14,"")</f>
        <v/>
      </c>
      <c r="D1907" s="67"/>
      <c r="E1907" s="68"/>
      <c r="F1907" s="525"/>
      <c r="G1907" s="65" t="str">
        <f>IF(AND(SUM(Místicos!G15:G17)&gt;0,Místicos!H18&gt;0),", ","")&amp;IF(Místicos!H18&gt;0,Místicos!H18&amp;" Agua","")</f>
        <v/>
      </c>
      <c r="H1907" s="68"/>
      <c r="I1907" s="1653"/>
      <c r="J1907" s="65" t="str">
        <f>IF(Combate!AB61="","",", Magnus ("&amp;Combate!AB61&amp;")")</f>
        <v/>
      </c>
      <c r="K1907" s="68"/>
      <c r="N1907" s="363"/>
      <c r="O1907" s="1999"/>
      <c r="AB1907" s="363"/>
      <c r="AC1907" s="2563"/>
    </row>
    <row r="1908" spans="1:29" ht="12.75" customHeight="1" thickBot="1" x14ac:dyDescent="0.25">
      <c r="A1908" s="1916">
        <v>1908</v>
      </c>
      <c r="B1908" s="5148"/>
      <c r="C1908" s="537" t="str">
        <f>IF(Ki!$P$15="-",", "&amp;Ki!$L$15,"")</f>
        <v/>
      </c>
      <c r="D1908" s="67"/>
      <c r="E1908" s="68"/>
      <c r="F1908" s="525"/>
      <c r="G1908" s="65" t="str">
        <f>IF(AND(SUM(Místicos!G15:G18)&gt;0,Místicos!H19&gt;0),", ","")&amp;IF(Místicos!H19&gt;0,Místicos!H19&amp;" Aire","")</f>
        <v/>
      </c>
      <c r="H1908" s="68"/>
      <c r="I1908" s="1653"/>
      <c r="J1908" s="178" t="str">
        <f>IF(Combate!AB63="","",", Magnus ("&amp;Combate!AB63&amp;")")</f>
        <v/>
      </c>
      <c r="K1908" s="180"/>
      <c r="N1908" s="363"/>
      <c r="O1908" s="1999"/>
      <c r="AB1908" s="363"/>
      <c r="AC1908" s="2563"/>
    </row>
    <row r="1909" spans="1:29" ht="12.75" customHeight="1" x14ac:dyDescent="0.2">
      <c r="A1909" s="1916">
        <v>1909</v>
      </c>
      <c r="B1909" s="5148"/>
      <c r="C1909" s="537" t="str">
        <f>IF(Ki!$P$16="-",", "&amp;Ki!$L$16,"")</f>
        <v/>
      </c>
      <c r="D1909" s="67"/>
      <c r="E1909" s="68"/>
      <c r="F1909" s="525"/>
      <c r="G1909" s="65" t="str">
        <f>IF(AND(SUM(Místicos!G15:G19)&gt;0,Místicos!H20&gt;0),", ","")&amp;IF(Místicos!H20&gt;0,Místicos!H20&amp;" Tierra","")</f>
        <v/>
      </c>
      <c r="H1909" s="68"/>
      <c r="I1909" s="1653"/>
      <c r="N1909" s="363"/>
      <c r="O1909" s="1999"/>
      <c r="AB1909" s="363"/>
      <c r="AC1909" s="2563"/>
    </row>
    <row r="1910" spans="1:29" ht="12.75" customHeight="1" x14ac:dyDescent="0.2">
      <c r="A1910" s="1916">
        <v>1910</v>
      </c>
      <c r="B1910" s="5148"/>
      <c r="C1910" s="537" t="str">
        <f>IF(Ki!$P$17="-",", "&amp;Ki!$M$17,"")</f>
        <v/>
      </c>
      <c r="D1910" s="67"/>
      <c r="E1910" s="68"/>
      <c r="F1910" s="525"/>
      <c r="G1910" s="65" t="str">
        <f>IF(AND(SUM(Místicos!G15:G20)&gt;0,Místicos!H21&gt;0),", ","")&amp;IF(Místicos!H21&gt;0,Místicos!H21&amp;" Creación","")</f>
        <v/>
      </c>
      <c r="H1910" s="68"/>
      <c r="I1910" s="1653"/>
      <c r="N1910" s="363"/>
      <c r="O1910" s="1999"/>
      <c r="AB1910" s="363"/>
      <c r="AC1910" s="2563"/>
    </row>
    <row r="1911" spans="1:29" ht="12.75" customHeight="1" x14ac:dyDescent="0.2">
      <c r="A1911" s="1916">
        <v>1911</v>
      </c>
      <c r="B1911" s="5148"/>
      <c r="C1911" s="537" t="str">
        <f>IF(Ki!$P$18="-",", "&amp;Ki!$N$18,"")</f>
        <v/>
      </c>
      <c r="D1911" s="67"/>
      <c r="E1911" s="68"/>
      <c r="F1911" s="525"/>
      <c r="G1911" s="65" t="str">
        <f>IF(AND(SUM(Místicos!G15:G21)&gt;0,Místicos!H22&gt;0),", ","")&amp;IF(Místicos!H22&gt;0,Místicos!H22&amp;" Destrucción","")</f>
        <v/>
      </c>
      <c r="H1911" s="68"/>
      <c r="I1911" s="1653"/>
      <c r="N1911" s="363"/>
      <c r="O1911" s="1999"/>
      <c r="AB1911" s="363"/>
      <c r="AC1911" s="2563"/>
    </row>
    <row r="1912" spans="1:29" ht="12.75" customHeight="1" x14ac:dyDescent="0.2">
      <c r="A1912" s="1916">
        <v>1912</v>
      </c>
      <c r="B1912" s="5148"/>
      <c r="C1912" s="537" t="str">
        <f>IF(Ki!$P$19="-",", "&amp;Ki!$M$19,"")</f>
        <v/>
      </c>
      <c r="D1912" s="67"/>
      <c r="E1912" s="68"/>
      <c r="G1912" s="65" t="str">
        <f>IF(AND(SUM(Místicos!G15:G22)&gt;0,Místicos!H23&gt;0),", ","")&amp;IF(Místicos!H23&gt;0,Místicos!H23&amp;" Esencia","")</f>
        <v/>
      </c>
      <c r="H1912" s="68"/>
      <c r="I1912" s="1653"/>
      <c r="N1912" s="363"/>
      <c r="O1912" s="1999"/>
      <c r="AB1912" s="363"/>
      <c r="AC1912" s="2563"/>
    </row>
    <row r="1913" spans="1:29" ht="12.75" customHeight="1" x14ac:dyDescent="0.2">
      <c r="A1913" s="1916">
        <v>1913</v>
      </c>
      <c r="B1913" s="5148"/>
      <c r="C1913" s="537" t="str">
        <f>IF(Ki!$P$20="-",", "&amp;Ki!$N$20,"")</f>
        <v/>
      </c>
      <c r="D1913" s="67"/>
      <c r="E1913" s="68"/>
      <c r="G1913" s="65" t="str">
        <f>IF(AND(SUM(Místicos!G15:G23)&gt;0,Místicos!H24&gt;0),", ","")&amp;IF(Místicos!H24&gt;0,Místicos!H24&amp;" Ilusión","")</f>
        <v/>
      </c>
      <c r="H1913" s="68"/>
      <c r="I1913" s="1653"/>
      <c r="N1913" s="363"/>
      <c r="O1913" s="1999"/>
      <c r="AB1913" s="363"/>
      <c r="AC1913" s="2563"/>
    </row>
    <row r="1914" spans="1:29" ht="12.75" customHeight="1" x14ac:dyDescent="0.2">
      <c r="A1914" s="1916">
        <v>1914</v>
      </c>
      <c r="B1914" s="5148"/>
      <c r="C1914" s="537" t="str">
        <f>IF(Ki!$P$21="-",", "&amp;"Mult. arcana","")</f>
        <v/>
      </c>
      <c r="D1914" s="67"/>
      <c r="E1914" s="68"/>
      <c r="G1914" s="65" t="str">
        <f>IF(AND(SUM(Místicos!G15:G24)&gt;0,Místicos!H25&gt;0),", ","")&amp;IF(Místicos!H25&gt;0,Místicos!H25&amp;" Nigromancia","")</f>
        <v/>
      </c>
      <c r="H1914" s="68"/>
      <c r="I1914" s="1653"/>
      <c r="N1914" s="363"/>
      <c r="O1914" s="1999"/>
      <c r="AB1914" s="363"/>
      <c r="AC1914" s="2563"/>
    </row>
    <row r="1915" spans="1:29" ht="12.75" customHeight="1" thickBot="1" x14ac:dyDescent="0.25">
      <c r="A1915" s="1916">
        <v>1915</v>
      </c>
      <c r="B1915" s="5148"/>
      <c r="C1915" s="537" t="str">
        <f>IF(Ki!$P$22="-",", "&amp;Ki!$N$22,"")</f>
        <v/>
      </c>
      <c r="D1915" s="67"/>
      <c r="E1915" s="68"/>
      <c r="G1915" s="17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1915" s="180"/>
      <c r="I1915" s="1653"/>
      <c r="N1915" s="363"/>
      <c r="O1915" s="1999"/>
      <c r="AB1915" s="363"/>
      <c r="AC1915" s="2563"/>
    </row>
    <row r="1916" spans="1:29" ht="12.75" customHeight="1" thickBot="1" x14ac:dyDescent="0.25">
      <c r="A1916" s="1916">
        <v>1916</v>
      </c>
      <c r="B1916" s="5148"/>
      <c r="C1916" s="537" t="str">
        <f>IF(Ki!$P$23="-",", "&amp;"Mag. arcana","")</f>
        <v/>
      </c>
      <c r="D1916" s="67"/>
      <c r="E1916" s="68"/>
      <c r="H1916" s="363"/>
      <c r="I1916" s="1653"/>
      <c r="N1916" s="363"/>
      <c r="O1916" s="1999"/>
      <c r="AB1916" s="363"/>
      <c r="AC1916" s="2563"/>
    </row>
    <row r="1917" spans="1:29" ht="12.75" customHeight="1" x14ac:dyDescent="0.2">
      <c r="A1917" s="1916">
        <v>1917</v>
      </c>
      <c r="B1917" s="5148"/>
      <c r="C1917" s="537" t="str">
        <f>IF(Ki!$P$24="-",", "&amp;Ki!$M$24,"")</f>
        <v/>
      </c>
      <c r="D1917" s="67"/>
      <c r="E1917" s="68"/>
      <c r="G1917" s="3168" t="s">
        <v>912</v>
      </c>
      <c r="H1917" s="3169"/>
      <c r="I1917" s="3169"/>
      <c r="J1917" s="3170"/>
      <c r="K1917" s="5231" t="s">
        <v>7879</v>
      </c>
      <c r="L1917" s="2767"/>
      <c r="M1917" s="2768" t="s">
        <v>1674</v>
      </c>
      <c r="N1917" s="5228" t="s">
        <v>7861</v>
      </c>
      <c r="O1917" s="5228" t="s">
        <v>7881</v>
      </c>
      <c r="P1917" s="5228" t="s">
        <v>10118</v>
      </c>
      <c r="Q1917" s="5230" t="s">
        <v>7863</v>
      </c>
      <c r="R1917" s="5231"/>
      <c r="S1917" s="5230" t="s">
        <v>7877</v>
      </c>
      <c r="T1917" s="5232"/>
      <c r="U1917" s="5228" t="s">
        <v>7882</v>
      </c>
      <c r="V1917" s="5228" t="s">
        <v>1509</v>
      </c>
      <c r="AB1917" s="363"/>
      <c r="AC1917" s="2563"/>
    </row>
    <row r="1918" spans="1:29" ht="12.75" customHeight="1" x14ac:dyDescent="0.2">
      <c r="A1918" s="1916">
        <v>1918</v>
      </c>
      <c r="B1918" s="5148"/>
      <c r="C1918" s="537" t="str">
        <f>IF(Ki!$P$25="-",", "&amp;Ki!$L$25,"")</f>
        <v/>
      </c>
      <c r="D1918" s="67"/>
      <c r="E1918" s="68"/>
      <c r="G1918" s="5074"/>
      <c r="H1918" s="5252"/>
      <c r="I1918" s="5252"/>
      <c r="J1918" s="5282"/>
      <c r="K1918" s="5333"/>
      <c r="L1918" s="1824"/>
      <c r="M1918" s="1823"/>
      <c r="N1918" s="5229"/>
      <c r="O1918" s="5229"/>
      <c r="P1918" s="5229"/>
      <c r="Q1918" s="2769" t="s">
        <v>7875</v>
      </c>
      <c r="R1918" s="2661" t="s">
        <v>7876</v>
      </c>
      <c r="S1918" s="5233"/>
      <c r="T1918" s="5234"/>
      <c r="U1918" s="5229"/>
      <c r="V1918" s="5229"/>
      <c r="AB1918" s="363"/>
      <c r="AC1918" s="2563"/>
    </row>
    <row r="1919" spans="1:29" ht="12.75" customHeight="1" x14ac:dyDescent="0.2">
      <c r="A1919" s="1916">
        <v>1919</v>
      </c>
      <c r="B1919" s="5148"/>
      <c r="C1919" s="537" t="str">
        <f>IF(Ki!$P$26="-",", "&amp;Ki!$L$26,"")</f>
        <v/>
      </c>
      <c r="D1919" s="67"/>
      <c r="E1919" s="68"/>
      <c r="G1919" s="1691" t="str">
        <f t="shared" ref="G1919:G1950" si="148">IF(AND(T1919&gt;0,NOT(R1919="")),", "&amp;R1919,R1919)</f>
        <v/>
      </c>
      <c r="H1919" s="67"/>
      <c r="I1919" s="67"/>
      <c r="J1919" s="1698"/>
      <c r="K1919" s="2770" t="b">
        <f>AND(NOT(Acrobacias_final="-"),OR(PDs!T126&gt;4,PDs!W126&gt;0,PDs!X126&gt;0,$G$303&gt;0))</f>
        <v>0</v>
      </c>
      <c r="L1919" s="2771" t="s">
        <v>1714</v>
      </c>
      <c r="M1919" s="2772" t="str">
        <f>IF(K1919,IF(N1919="",Acrobacias_final+$V$1919&amp;" "&amp;L1919&amp;IF(P1919="","",", "&amp;Acrobacias_final+$V$1919+O1919&amp;" "&amp;P1919),IF(ISNUMBER(SEARCH(N1919,P1919)),Acrobacias_final+$V$1919-O1919-80&amp;" "&amp;L1919&amp;", "&amp;Acrobacias_final+$V$1919&amp;" "&amp;P1919,Acrobacias_final+$V$1919-80&amp;" "&amp;L1919&amp;", "&amp;Acrobacias_final+$V$1919&amp;" "&amp;L1919&amp;" "&amp;N1919&amp;IF(P1919="","",", "&amp;Acrobacias_final+$V$1919-40+O1919&amp;" "&amp;P1919))),"")</f>
        <v/>
      </c>
      <c r="N1919" s="2773" t="str">
        <f>IF(PDs!I126=0,"","("&amp;PDs!I126&amp;")")</f>
        <v/>
      </c>
      <c r="O1919" s="2774" t="e">
        <f>LEFT(PDs!AG126,2)</f>
        <v>#N/A</v>
      </c>
      <c r="P1919" s="2774" t="str">
        <f>IF(PDs!AI126,MID(PDs!AH126,4,25)&amp;MID(PDs!AG126,4,25),"")</f>
        <v/>
      </c>
      <c r="Q1919" s="2775">
        <f t="shared" ref="Q1919:Q1950" si="149">COUNTIF($L$1919:$L$1969,"&lt;="&amp;L1919)</f>
        <v>1</v>
      </c>
      <c r="R1919" s="2775" t="str">
        <f t="shared" ref="R1919:R1950" si="150">INDEX($M$1919:$M$1974,MATCH($A1,$Q$1919:$Q$1974,0))</f>
        <v/>
      </c>
      <c r="S1919" s="2771">
        <v>0</v>
      </c>
      <c r="T1919" s="1700">
        <v>0</v>
      </c>
      <c r="U1919" s="5336" t="s">
        <v>8723</v>
      </c>
      <c r="V1919" s="2783">
        <f>Principal!O22</f>
        <v>-5</v>
      </c>
      <c r="AB1919" s="363"/>
      <c r="AC1919" s="2563"/>
    </row>
    <row r="1920" spans="1:29" ht="12.75" customHeight="1" x14ac:dyDescent="0.2">
      <c r="A1920" s="1916">
        <v>1920</v>
      </c>
      <c r="B1920" s="5148"/>
      <c r="C1920" s="537" t="str">
        <f>IF(Ki!$P$27="-",", "&amp;Ki!$K$27,"")</f>
        <v/>
      </c>
      <c r="D1920" s="67"/>
      <c r="E1920" s="68"/>
      <c r="G1920" s="1691" t="str">
        <f t="shared" si="148"/>
        <v/>
      </c>
      <c r="H1920" s="67"/>
      <c r="I1920" s="67"/>
      <c r="J1920" s="1698"/>
      <c r="K1920" s="2184" t="b">
        <f>AND(NOT(Atletismo_final="-"),OR(PDs!T127&gt;4,PDs!W127&gt;0,PDs!X127&gt;0,$G$303&gt;0))</f>
        <v>0</v>
      </c>
      <c r="L1920" s="1703" t="s">
        <v>1716</v>
      </c>
      <c r="M1920" s="1702" t="str">
        <f>IF(K1920,IF(N1920="",Atletismo_final+$V$1920&amp;" "&amp;L1920&amp;IF(P1920="","",", "&amp;Atletismo_final+$V$1920+O1920&amp;" "&amp;P1920),IF(ISNUMBER(SEARCH(N1920,P1920)),Atletismo_final+$V$1920-O1920-80&amp;" "&amp;L1920&amp;", "&amp;Atletismo_final+$V$1920&amp;" "&amp;P1920,Atletismo_final+$V$1920-80&amp;" "&amp;L1920&amp;", "&amp;Atletismo_final+$V$1920&amp;" "&amp;L1920&amp;" "&amp;N1920&amp;IF(P1920="","",", "&amp;Atletismo_final+$V$1920-40+O1920&amp;" "&amp;P1920))),"")</f>
        <v/>
      </c>
      <c r="N1920" s="1701" t="str">
        <f>IF(PDs!I127=0,"","("&amp;PDs!I127&amp;")")</f>
        <v/>
      </c>
      <c r="O1920" s="1704" t="e">
        <f>LEFT(PDs!AG127,2)</f>
        <v>#N/A</v>
      </c>
      <c r="P1920" s="1704" t="str">
        <f>IF(PDs!AI127,MID(PDs!AH127,4,25)&amp;MID(PDs!AG127,4,25),"")</f>
        <v/>
      </c>
      <c r="Q1920" s="1705">
        <f t="shared" si="149"/>
        <v>7</v>
      </c>
      <c r="R1920" s="1705" t="str">
        <f t="shared" si="150"/>
        <v/>
      </c>
      <c r="S1920" s="1703">
        <f>IF(R1919="",0,1)</f>
        <v>0</v>
      </c>
      <c r="T1920" s="1706">
        <f>SUM($S$1920:S1920)</f>
        <v>0</v>
      </c>
      <c r="U1920" s="5337"/>
      <c r="V1920" s="2783">
        <f>Principal!O23</f>
        <v>-5</v>
      </c>
      <c r="AB1920" s="363"/>
      <c r="AC1920" s="2563"/>
    </row>
    <row r="1921" spans="1:29" ht="12.75" customHeight="1" x14ac:dyDescent="0.2">
      <c r="A1921" s="1916">
        <v>1921</v>
      </c>
      <c r="B1921" s="5148"/>
      <c r="C1921" s="537" t="str">
        <f>IF(Ki!$P$28="-",", "&amp;Ki!$L$28,"")</f>
        <v/>
      </c>
      <c r="D1921" s="67"/>
      <c r="E1921" s="68"/>
      <c r="G1921" s="1691" t="str">
        <f t="shared" si="148"/>
        <v/>
      </c>
      <c r="H1921" s="67"/>
      <c r="I1921" s="67"/>
      <c r="J1921" s="1698"/>
      <c r="K1921" s="2184" t="b">
        <f>AND(NOT(Montar_final="-"),OR(PDs!T128&gt;4,PDs!W128&gt;0,PDs!X128&gt;0,$G$303&gt;0))</f>
        <v>0</v>
      </c>
      <c r="L1921" s="1703" t="s">
        <v>1719</v>
      </c>
      <c r="M1921" s="1702" t="str">
        <f>IF(K1921,IF(N1921="",Montar_final+$V$1921&amp;" "&amp;L1921&amp;IF(P1921="","",", "&amp;Montar_final+$V$1921+O1921&amp;" "&amp;P1921),IF(ISNUMBER(SEARCH(N1921,P1921)),Montar_final+$V$1921-O1921-80&amp;" "&amp;L1921&amp;", "&amp;Montar_final+$V$1921&amp;" "&amp;P1921,Montar_final+$V$1921-80&amp;" "&amp;L1921&amp;", "&amp;Montar_final+$V$1921&amp;" "&amp;L1921&amp;" "&amp;N1921&amp;IF(P1921="","",", "&amp;Montar_final+$V$1921-40+O1921&amp;" "&amp;P1921))),"")</f>
        <v/>
      </c>
      <c r="N1921" s="1701" t="str">
        <f>IF(PDs!I128=0,"","("&amp;PDs!I128&amp;")")</f>
        <v/>
      </c>
      <c r="O1921" s="1704" t="e">
        <f>LEFT(PDs!AG128,2)</f>
        <v>#N/A</v>
      </c>
      <c r="P1921" s="1704" t="str">
        <f>IF(PDs!AI128,MID(PDs!AH128,4,25)&amp;MID(PDs!AG128,4,25),"")</f>
        <v/>
      </c>
      <c r="Q1921" s="1705">
        <f t="shared" si="149"/>
        <v>29</v>
      </c>
      <c r="R1921" s="1705" t="str">
        <f t="shared" si="150"/>
        <v/>
      </c>
      <c r="S1921" s="1703">
        <f t="shared" ref="S1921:S1974" si="151">IF(R1920="",0,1)</f>
        <v>0</v>
      </c>
      <c r="T1921" s="1706">
        <f>SUM($S$1920:S1921)</f>
        <v>0</v>
      </c>
      <c r="U1921" s="5337"/>
      <c r="V1921" s="2783">
        <f>Principal!O24</f>
        <v>0</v>
      </c>
      <c r="AB1921" s="363"/>
      <c r="AC1921" s="2563"/>
    </row>
    <row r="1922" spans="1:29" ht="12.75" customHeight="1" x14ac:dyDescent="0.2">
      <c r="A1922" s="1916">
        <v>1922</v>
      </c>
      <c r="B1922" s="5148"/>
      <c r="C1922" s="537" t="str">
        <f>IF(Ki!$P$29="-",", "&amp;Ki!$M$29,"")</f>
        <v/>
      </c>
      <c r="D1922" s="67"/>
      <c r="E1922" s="68"/>
      <c r="G1922" s="1691" t="str">
        <f t="shared" si="148"/>
        <v/>
      </c>
      <c r="H1922" s="67"/>
      <c r="I1922" s="67"/>
      <c r="J1922" s="1698"/>
      <c r="K1922" s="2184" t="b">
        <f>AND(NOT(Nadar_final="-"),OR(PDs!T129&gt;4,PDs!W129&gt;0,PDs!X129&gt;0,$G$303&gt;0))</f>
        <v>0</v>
      </c>
      <c r="L1922" s="1703" t="s">
        <v>1723</v>
      </c>
      <c r="M1922" s="1702" t="str">
        <f>IF(K1922,IF(N1922="",Nadar_final+$V$1922&amp;" "&amp;L1922&amp;IF(P1922="","",", "&amp;Nadar_final+$V$1922+O1922&amp;" "&amp;P1922),IF(ISNUMBER(SEARCH(N1922,P1922)),Nadar_final+$V$1922-O1922-80&amp;" "&amp;L1922&amp;", "&amp;Nadar_final+$V$1922&amp;" "&amp;P1922,Nadar_final+$V$1922-80&amp;" "&amp;L1922&amp;", "&amp;Nadar_final+$V$1922&amp;" "&amp;L1922&amp;" "&amp;N1922&amp;IF(P1922="","",", "&amp;Nadar_final+$V$1922-40+O1922&amp;" "&amp;P1922))),"")</f>
        <v/>
      </c>
      <c r="N1922" s="1701" t="str">
        <f>IF(PDs!I129=0,"","("&amp;PDs!I129&amp;")")</f>
        <v/>
      </c>
      <c r="O1922" s="1704" t="e">
        <f>LEFT(PDs!AG129,2)</f>
        <v>#N/A</v>
      </c>
      <c r="P1922" s="1704" t="str">
        <f>IF(PDs!AI129,MID(PDs!AH129,4,25)&amp;MID(PDs!AG129,4,25),"")</f>
        <v/>
      </c>
      <c r="Q1922" s="1705">
        <f t="shared" si="149"/>
        <v>31</v>
      </c>
      <c r="R1922" s="1705" t="str">
        <f t="shared" si="150"/>
        <v/>
      </c>
      <c r="S1922" s="1703">
        <f t="shared" si="151"/>
        <v>0</v>
      </c>
      <c r="T1922" s="1706">
        <f>SUM($S$1920:S1922)</f>
        <v>0</v>
      </c>
      <c r="U1922" s="5337"/>
      <c r="V1922" s="2783">
        <f>Principal!O25</f>
        <v>-5</v>
      </c>
      <c r="AB1922" s="363"/>
      <c r="AC1922" s="2563"/>
    </row>
    <row r="1923" spans="1:29" ht="12.75" customHeight="1" x14ac:dyDescent="0.2">
      <c r="A1923" s="1916">
        <v>1923</v>
      </c>
      <c r="B1923" s="5148"/>
      <c r="C1923" s="537" t="str">
        <f>IF(Ki!$P$30="-",", "&amp;Ki!$N$30,"")</f>
        <v/>
      </c>
      <c r="D1923" s="67"/>
      <c r="E1923" s="68"/>
      <c r="G1923" s="1691" t="str">
        <f t="shared" si="148"/>
        <v/>
      </c>
      <c r="H1923" s="67"/>
      <c r="I1923" s="67"/>
      <c r="J1923" s="1698"/>
      <c r="K1923" s="2184" t="b">
        <f>AND(NOT(Trepar_final="-"),OR(PDs!T130&gt;4,PDs!W130&gt;0,PDs!X130&gt;0,$G$303&gt;0))</f>
        <v>0</v>
      </c>
      <c r="L1923" s="1703" t="s">
        <v>1726</v>
      </c>
      <c r="M1923" s="1702" t="str">
        <f>IF(K1923,IF(N1923="",Trepar_final+$V$1923&amp;" "&amp;L1923&amp;IF(P1923="","",", "&amp;Trepar_final+$V$1923+O1923&amp;" "&amp;P1923),IF(ISNUMBER(SEARCH(N1923,P1923)),Trepar_final+$V$1923-O1923-80&amp;" "&amp;L1923&amp;", "&amp;Trepar_final+$V$1923&amp;" "&amp;P1923,Trepar_final+$V$1923-80&amp;" "&amp;L1923&amp;", "&amp;Trepar_final+$V$1923&amp;" "&amp;L1923&amp;" "&amp;N1923&amp;IF(P1923="","",", "&amp;Trepar_final+$V$1923-40+O1923&amp;" "&amp;P1923))),"")</f>
        <v/>
      </c>
      <c r="N1923" s="1701" t="str">
        <f>IF(PDs!I130=0,"","("&amp;PDs!I130&amp;")")</f>
        <v/>
      </c>
      <c r="O1923" s="1704" t="e">
        <f>LEFT(PDs!AG130,2)</f>
        <v>#N/A</v>
      </c>
      <c r="P1923" s="1704" t="str">
        <f>IF(PDs!AI130,MID(PDs!AH130,4,25)&amp;MID(PDs!AG130,4,25),"")</f>
        <v/>
      </c>
      <c r="Q1923" s="1705">
        <f t="shared" si="149"/>
        <v>49</v>
      </c>
      <c r="R1923" s="1705" t="str">
        <f t="shared" si="150"/>
        <v/>
      </c>
      <c r="S1923" s="1703">
        <f t="shared" si="151"/>
        <v>0</v>
      </c>
      <c r="T1923" s="1706">
        <f>SUM($S$1920:S1923)</f>
        <v>0</v>
      </c>
      <c r="U1923" s="5337"/>
      <c r="V1923" s="2783">
        <f>Principal!O26</f>
        <v>-5</v>
      </c>
      <c r="AB1923" s="363"/>
      <c r="AC1923" s="2563"/>
    </row>
    <row r="1924" spans="1:29" ht="12.75" customHeight="1" x14ac:dyDescent="0.2">
      <c r="A1924" s="1916">
        <v>1924</v>
      </c>
      <c r="B1924" s="5148"/>
      <c r="C1924" s="537" t="str">
        <f>IF(Ki!$P$31="-",", "&amp;Ki!$M$31,"")</f>
        <v/>
      </c>
      <c r="D1924" s="67"/>
      <c r="E1924" s="68"/>
      <c r="G1924" s="1691" t="str">
        <f t="shared" si="148"/>
        <v/>
      </c>
      <c r="H1924" s="67"/>
      <c r="I1924" s="67"/>
      <c r="J1924" s="1698"/>
      <c r="K1924" s="2184" t="b">
        <f>AND(NOT(Saltar_final="-"),OR(PDs!T131&gt;4,PDs!W131&gt;0,PDs!X131&gt;0,$G$303&gt;0))</f>
        <v>0</v>
      </c>
      <c r="L1924" s="1703" t="s">
        <v>1729</v>
      </c>
      <c r="M1924" s="1702" t="str">
        <f>IF(K1924,IF(N1924="",Saltar_final+$V$1924&amp;" "&amp;L1924&amp;IF(P1924="","",", "&amp;Saltar_final+$V$1924+O1924&amp;" "&amp;P1924),IF(ISNUMBER(SEARCH(N1924,P1924)),Saltar_final+$V$1924-O1924-80&amp;" "&amp;L1924&amp;", "&amp;Saltar_final+$V$1924&amp;" "&amp;P1924,Saltar_final+$V$1924-80&amp;" "&amp;L1924&amp;", "&amp;Saltar_final+$V$1924&amp;" "&amp;L1924&amp;" "&amp;N1924&amp;IF(P1924="","",", "&amp;Saltar_final+$V$1924-40+O1924&amp;" "&amp;P1924))),"")</f>
        <v/>
      </c>
      <c r="N1924" s="1701" t="str">
        <f>IF(PDs!I131=0,"","("&amp;PDs!I131&amp;")")</f>
        <v/>
      </c>
      <c r="O1924" s="1704" t="e">
        <f>LEFT(PDs!AG131,2)</f>
        <v>#N/A</v>
      </c>
      <c r="P1924" s="1704" t="str">
        <f>IF(PDs!AI131,MID(PDs!AH131,4,25)&amp;MID(PDs!AG131,4,25),"")</f>
        <v/>
      </c>
      <c r="Q1924" s="1705">
        <f t="shared" si="149"/>
        <v>43</v>
      </c>
      <c r="R1924" s="1705" t="str">
        <f t="shared" si="150"/>
        <v/>
      </c>
      <c r="S1924" s="1703">
        <f t="shared" si="151"/>
        <v>0</v>
      </c>
      <c r="T1924" s="1706">
        <f>SUM($S$1920:S1924)</f>
        <v>0</v>
      </c>
      <c r="U1924" s="5337"/>
      <c r="V1924" s="2783">
        <f>Principal!O27</f>
        <v>-5</v>
      </c>
      <c r="AB1924" s="363"/>
      <c r="AC1924" s="2563"/>
    </row>
    <row r="1925" spans="1:29" ht="12.75" customHeight="1" x14ac:dyDescent="0.2">
      <c r="A1925" s="1916">
        <v>1925</v>
      </c>
      <c r="B1925" s="5148"/>
      <c r="C1925" s="537" t="str">
        <f>IF(Ki!$P$32="-",", "&amp;Ki!$K$32,"")</f>
        <v/>
      </c>
      <c r="D1925" s="67"/>
      <c r="E1925" s="68"/>
      <c r="G1925" s="1691" t="str">
        <f t="shared" si="148"/>
        <v/>
      </c>
      <c r="H1925" s="67"/>
      <c r="I1925" s="67"/>
      <c r="J1925" s="1698"/>
      <c r="K1925" s="2184" t="b">
        <f>AND(NOT(Pilotar_final="-"),OR(PDs!T132&gt;4,PDs!W132&gt;0,PDs!X132&gt;0,$G$303&gt;0))</f>
        <v>0</v>
      </c>
      <c r="L1925" s="1703" t="s">
        <v>7754</v>
      </c>
      <c r="M1925" s="1702" t="str">
        <f>IF(K1925,IF(N1925="",Pilotar_final+$V$1925&amp;" "&amp;L1925&amp;IF(P1925="","",", "&amp;Pilotar_final+$V$1925+O1925&amp;" "&amp;P1925),IF(ISNUMBER(SEARCH(N1925,P1925)),Pilotar_final+$V$1925-O1925-80&amp;" "&amp;L1925&amp;", "&amp;Pilotar_final+$V$1925&amp;" "&amp;P1925,Pilotar_final+$V$1925-80&amp;" "&amp;L1925&amp;", "&amp;Pilotar_final+$V$1925&amp;" "&amp;L1925&amp;" "&amp;N1925&amp;IF(P1925="","",", "&amp;Pilotar_final+$V$1925-40+O1925&amp;" "&amp;P1925))),"")</f>
        <v/>
      </c>
      <c r="N1925" s="1701" t="str">
        <f>IF(PDs!I132=0,"","("&amp;PDs!I132&amp;")")</f>
        <v/>
      </c>
      <c r="O1925" s="1704" t="e">
        <f>LEFT(PDs!AG132,2)</f>
        <v>#N/A</v>
      </c>
      <c r="P1925" s="1704" t="str">
        <f>IF(PDs!AI132,MID(PDs!AH132,4,25)&amp;MID(PDs!AG132,4,25),"")</f>
        <v/>
      </c>
      <c r="Q1925" s="1705">
        <f t="shared" si="149"/>
        <v>38</v>
      </c>
      <c r="R1925" s="1705" t="str">
        <f t="shared" si="150"/>
        <v/>
      </c>
      <c r="S1925" s="1703">
        <f t="shared" si="151"/>
        <v>0</v>
      </c>
      <c r="T1925" s="1706">
        <f>SUM($S$1920:S1925)</f>
        <v>0</v>
      </c>
      <c r="U1925" s="5337"/>
      <c r="V1925" s="2783">
        <f>Principal!O28</f>
        <v>0</v>
      </c>
      <c r="AB1925" s="363"/>
      <c r="AC1925" s="2563"/>
    </row>
    <row r="1926" spans="1:29" ht="12.75" customHeight="1" x14ac:dyDescent="0.2">
      <c r="A1926" s="1916">
        <v>1926</v>
      </c>
      <c r="B1926" s="5148"/>
      <c r="C1926" s="537" t="str">
        <f>IF(Ki!$P$33="-",", "&amp;Ki!$L$33,"")</f>
        <v/>
      </c>
      <c r="D1926" s="67"/>
      <c r="E1926" s="68"/>
      <c r="G1926" s="1691" t="str">
        <f t="shared" si="148"/>
        <v/>
      </c>
      <c r="H1926" s="67"/>
      <c r="I1926" s="67"/>
      <c r="J1926" s="1698"/>
      <c r="K1926" s="2184" t="b">
        <f>AND(NOT(Estilo_final="-"),OR(PDs!T133&gt;4,PDs!W133&gt;0,PDs!X133&gt;0,$G$303&gt;0))</f>
        <v>0</v>
      </c>
      <c r="L1926" s="1703" t="s">
        <v>1733</v>
      </c>
      <c r="M1926" s="1702" t="str">
        <f>IF(K1926,IF(N1926="",Estilo_final+$V$1926&amp;" "&amp;L1926&amp;IF(P1926="","",", "&amp;Estilo_final+$V$1926+O1926&amp;" "&amp;P1926),IF(ISNUMBER(SEARCH(N1926,P1926)),Estilo_final+$V$1926-O1926-80&amp;" "&amp;L1926&amp;", "&amp;Estilo_final+$V$1926&amp;" "&amp;P1926,Estilo_final+$V$1926-80&amp;" "&amp;L1926&amp;", "&amp;Estilo_final+$V$1926&amp;" "&amp;L1926&amp;" "&amp;N1926&amp;IF(P1926="","",", "&amp;Estilo_final+$V$1926-40+O1926&amp;" "&amp;P1926))),"")</f>
        <v/>
      </c>
      <c r="N1926" s="1701" t="str">
        <f>IF(PDs!I133=0,"","("&amp;PDs!I133&amp;")")</f>
        <v/>
      </c>
      <c r="O1926" s="1704" t="e">
        <f>LEFT(PDs!AG133,2)</f>
        <v>#N/A</v>
      </c>
      <c r="P1926" s="1704" t="str">
        <f>IF(PDs!AI133,MID(PDs!AH133,4,25)&amp;MID(PDs!AG133,4,25),"")</f>
        <v/>
      </c>
      <c r="Q1926" s="1705">
        <f t="shared" si="149"/>
        <v>18</v>
      </c>
      <c r="R1926" s="1705" t="str">
        <f t="shared" si="150"/>
        <v/>
      </c>
      <c r="S1926" s="1703">
        <f t="shared" si="151"/>
        <v>0</v>
      </c>
      <c r="T1926" s="1706">
        <f>SUM($S$1920:S1926)</f>
        <v>0</v>
      </c>
      <c r="U1926" s="5337"/>
      <c r="V1926" s="2783">
        <f>Principal!O29</f>
        <v>0</v>
      </c>
      <c r="AB1926" s="363"/>
      <c r="AC1926" s="2563"/>
    </row>
    <row r="1927" spans="1:29" ht="12.75" customHeight="1" x14ac:dyDescent="0.2">
      <c r="A1927" s="1916">
        <v>1927</v>
      </c>
      <c r="B1927" s="5148"/>
      <c r="C1927" s="537" t="str">
        <f>IF(Ki!$P$34="-",", "&amp;Ki!$M$34,"")</f>
        <v/>
      </c>
      <c r="D1927" s="67"/>
      <c r="E1927" s="68"/>
      <c r="G1927" s="1691" t="str">
        <f t="shared" si="148"/>
        <v/>
      </c>
      <c r="H1927" s="67"/>
      <c r="I1927" s="67"/>
      <c r="J1927" s="1698"/>
      <c r="K1927" s="2184" t="b">
        <f>AND(NOT(Intimidar_final="-"),OR(PDs!T134&gt;4,PDs!W134&gt;0,PDs!X134&gt;0,$G$303&gt;0))</f>
        <v>0</v>
      </c>
      <c r="L1927" s="1703" t="s">
        <v>1735</v>
      </c>
      <c r="M1927" s="1702" t="str">
        <f>IF(K1927,IF(N1927="",Intimidar_final+$V$1927&amp;" "&amp;L1927&amp;IF(P1927="","",", "&amp;Intimidar_final+$V$1927+O1927&amp;" "&amp;P1927),IF(ISNUMBER(SEARCH(N1927,P1927)),Intimidar_final+$V$1927-O1927-80&amp;" "&amp;L1927&amp;", "&amp;Intimidar_final+$V$1927&amp;" "&amp;P1927,Intimidar_final+$V$1927-80&amp;" "&amp;L1927&amp;", "&amp;Intimidar_final+$V$1927&amp;" "&amp;L1927&amp;" "&amp;N1927&amp;IF(P1927="","",", "&amp;Intimidar_final+$V$1927-40+O1927&amp;" "&amp;P1927))),"")</f>
        <v/>
      </c>
      <c r="N1927" s="1701" t="str">
        <f>IF(PDs!I134=0,"","("&amp;PDs!I134&amp;")")</f>
        <v/>
      </c>
      <c r="O1927" s="1704" t="e">
        <f>LEFT(PDs!AG134,2)</f>
        <v>#N/A</v>
      </c>
      <c r="P1927" s="1704" t="str">
        <f>IF(PDs!AI134,MID(PDs!AH134,4,25)&amp;MID(PDs!AG134,4,25),"")</f>
        <v/>
      </c>
      <c r="Q1927" s="1705">
        <f t="shared" si="149"/>
        <v>24</v>
      </c>
      <c r="R1927" s="1705" t="str">
        <f t="shared" si="150"/>
        <v/>
      </c>
      <c r="S1927" s="1703">
        <f t="shared" si="151"/>
        <v>0</v>
      </c>
      <c r="T1927" s="1706">
        <f>SUM($S$1920:S1927)</f>
        <v>0</v>
      </c>
      <c r="U1927" s="5337"/>
      <c r="V1927" s="2783">
        <f>Principal!O30</f>
        <v>0</v>
      </c>
      <c r="AB1927" s="363"/>
      <c r="AC1927" s="2563"/>
    </row>
    <row r="1928" spans="1:29" ht="12.75" customHeight="1" x14ac:dyDescent="0.2">
      <c r="A1928" s="1916">
        <v>1928</v>
      </c>
      <c r="B1928" s="5148"/>
      <c r="C1928" s="537" t="str">
        <f>IF(Ki!$P$35="-",", "&amp;Ki!$N$35,"")</f>
        <v/>
      </c>
      <c r="D1928" s="67"/>
      <c r="E1928" s="68"/>
      <c r="G1928" s="1691" t="str">
        <f t="shared" si="148"/>
        <v/>
      </c>
      <c r="H1928" s="67"/>
      <c r="I1928" s="67"/>
      <c r="J1928" s="1698"/>
      <c r="K1928" s="2184" t="b">
        <f>AND(NOT(Liderazgo_final="-"),OR(PDs!T135&gt;4,PDs!W135&gt;0,PDs!X135&gt;0,$G$303&gt;0))</f>
        <v>0</v>
      </c>
      <c r="L1928" s="1703" t="s">
        <v>1738</v>
      </c>
      <c r="M1928" s="1702" t="str">
        <f>IF(K1928,IF(N1928="",Liderazgo_final+$V$1928&amp;" "&amp;L1928&amp;IF(P1928="","",", "&amp;Liderazgo_final+$V$1928+O1928&amp;" "&amp;P1928),IF(ISNUMBER(SEARCH(N1928,P1928)),Liderazgo_final+$V$1928-O1928-80&amp;" "&amp;L1928&amp;", "&amp;Liderazgo_final+$V$1928&amp;" "&amp;P1928,Liderazgo_final+$V$1928-80&amp;" "&amp;L1928&amp;", "&amp;Liderazgo_final+$V$1928&amp;" "&amp;L1928&amp;" "&amp;N1928&amp;IF(P1928="","",", "&amp;Liderazgo_final+$V$1928-40+O1928&amp;" "&amp;P1928))),"")</f>
        <v/>
      </c>
      <c r="N1928" s="1701" t="str">
        <f>IF(PDs!I135=0,"","("&amp;PDs!I135&amp;")")</f>
        <v/>
      </c>
      <c r="O1928" s="1704" t="e">
        <f>LEFT(PDs!AG135,2)</f>
        <v>#N/A</v>
      </c>
      <c r="P1928" s="1704" t="str">
        <f>IF(PDs!AI135,MID(PDs!AH135,4,25)&amp;MID(PDs!AG135,4,25),"")</f>
        <v/>
      </c>
      <c r="Q1928" s="1705">
        <f t="shared" si="149"/>
        <v>26</v>
      </c>
      <c r="R1928" s="1705" t="str">
        <f t="shared" si="150"/>
        <v/>
      </c>
      <c r="S1928" s="1703">
        <f t="shared" si="151"/>
        <v>0</v>
      </c>
      <c r="T1928" s="1706">
        <f>SUM($S$1920:S1928)</f>
        <v>0</v>
      </c>
      <c r="U1928" s="5337"/>
      <c r="V1928" s="2783">
        <f>Principal!O31</f>
        <v>0</v>
      </c>
      <c r="AB1928" s="363"/>
      <c r="AC1928" s="2563"/>
    </row>
    <row r="1929" spans="1:29" ht="12.75" customHeight="1" x14ac:dyDescent="0.2">
      <c r="A1929" s="1916">
        <v>1929</v>
      </c>
      <c r="B1929" s="5148"/>
      <c r="C1929" s="537" t="str">
        <f>IF(Extensióndelauraalarma,", "&amp;Ki!$L$36,"")</f>
        <v/>
      </c>
      <c r="D1929" s="67"/>
      <c r="E1929" s="68"/>
      <c r="G1929" s="1691" t="str">
        <f t="shared" si="148"/>
        <v/>
      </c>
      <c r="H1929" s="67"/>
      <c r="I1929" s="67"/>
      <c r="J1929" s="1698"/>
      <c r="K1929" s="2185" t="b">
        <f>AND(NOT(Persuasión_final="-"),OR(PDs!T136&gt;4,PDs!W136&gt;0,PDs!X136&gt;0,$G$303&gt;0))</f>
        <v>0</v>
      </c>
      <c r="L1929" s="1709" t="s">
        <v>1740</v>
      </c>
      <c r="M1929" s="1708" t="str">
        <f>IF(K1929,IF(N1929="",Persuasión_final+V1929&amp;" "&amp;L1929&amp;", "&amp;Persuasión_final+O1929&amp;" "&amp;P1929,Persuasión_final-80+V1929&amp;" "&amp;L1929&amp;IF(ISNUMBER(SEARCH(N1929,P1929)),", "&amp;Persuasión_final+O1929&amp;" "&amp;P1929,", "&amp;Persuasión_final&amp;" "&amp;L1929&amp;" "&amp;N1929&amp;", "&amp;Persuasión_final-40+O1929&amp;" "&amp;P1929)),"")</f>
        <v/>
      </c>
      <c r="N1929" s="1707" t="str">
        <f>IF(PDs!I136=0,"","("&amp;PDs!I136&amp;")")</f>
        <v/>
      </c>
      <c r="O1929" s="1710">
        <f>IF($G$370&gt;0,60,0)+IF($J$1861&gt;0,$K$1861,0)</f>
        <v>0</v>
      </c>
      <c r="P1929" s="1710" t="str">
        <f>IF(PDs!AI136,MID(PDs!AH136,4,25)&amp;MID(PDs!AG136,4,25),IF(OR($G$370&gt;0,$J$1861&gt;0),"Persuasión (Seducción)",""))</f>
        <v/>
      </c>
      <c r="Q1929" s="1705">
        <f t="shared" si="149"/>
        <v>37</v>
      </c>
      <c r="R1929" s="1705" t="str">
        <f t="shared" si="150"/>
        <v/>
      </c>
      <c r="S1929" s="1703">
        <f t="shared" si="151"/>
        <v>0</v>
      </c>
      <c r="T1929" s="1706">
        <f>SUM($S$1920:S1929)</f>
        <v>0</v>
      </c>
      <c r="U1929" s="5337"/>
      <c r="V1929" s="2783">
        <f>Principal!O32</f>
        <v>0</v>
      </c>
      <c r="AB1929" s="363"/>
      <c r="AC1929" s="2563"/>
    </row>
    <row r="1930" spans="1:29" ht="12.75" customHeight="1" x14ac:dyDescent="0.2">
      <c r="A1930" s="1916">
        <v>1930</v>
      </c>
      <c r="B1930" s="5148"/>
      <c r="C1930" s="537" t="str">
        <f>IF(Ki!$P$37="-",", "&amp;Ki!$M$37,"")</f>
        <v/>
      </c>
      <c r="D1930" s="67"/>
      <c r="E1930" s="68"/>
      <c r="G1930" s="1691" t="str">
        <f t="shared" si="148"/>
        <v/>
      </c>
      <c r="H1930" s="67"/>
      <c r="I1930" s="67"/>
      <c r="J1930" s="1698"/>
      <c r="K1930" s="2184" t="b">
        <f>AND(NOT(Comercio_final="-"),OR(PDs!T137&gt;4,PDs!W137&gt;0,PDs!X137&gt;0,$G$303&gt;0))</f>
        <v>0</v>
      </c>
      <c r="L1930" s="1703" t="s">
        <v>1085</v>
      </c>
      <c r="M1930" s="1702" t="str">
        <f>IF(K1930,IF(N1930="",Comercio_final+$V$1930&amp;" "&amp;L1930&amp;IF(P1930="","",", "&amp;Comercio_final+$V$1930+O1930&amp;" "&amp;P1930),IF(ISNUMBER(SEARCH(N1930,P1930)),Comercio_final+$V$1930-O1930-80&amp;" "&amp;L1930&amp;", "&amp;Comercio_final+$V$1930&amp;" "&amp;P1930,Comercio_final+$V$1930-80&amp;" "&amp;L1930&amp;", "&amp;Comercio_final+$V$1930&amp;" "&amp;L1930&amp;" "&amp;N1930&amp;IF(P1930="","",", "&amp;Comercio_final+$V$1930-40+O1930&amp;" "&amp;P1930))),"")</f>
        <v/>
      </c>
      <c r="N1930" s="1701" t="str">
        <f>IF(PDs!I137=0,"","("&amp;PDs!I137&amp;")")</f>
        <v/>
      </c>
      <c r="O1930" s="1704" t="e">
        <f>LEFT(PDs!AG137,2)</f>
        <v>#N/A</v>
      </c>
      <c r="P1930" s="1704" t="str">
        <f>IF(PDs!AI137,MID(PDs!AH137,4,25)&amp;MID(PDs!AG137,4,25),"")</f>
        <v/>
      </c>
      <c r="Q1930" s="1705">
        <f t="shared" si="149"/>
        <v>14</v>
      </c>
      <c r="R1930" s="1705" t="str">
        <f t="shared" si="150"/>
        <v/>
      </c>
      <c r="S1930" s="1703">
        <f t="shared" si="151"/>
        <v>0</v>
      </c>
      <c r="T1930" s="1706">
        <f>SUM($S$1920:S1930)</f>
        <v>0</v>
      </c>
      <c r="U1930" s="5337"/>
      <c r="V1930" s="2783">
        <f>Principal!O33</f>
        <v>0</v>
      </c>
      <c r="AB1930" s="363"/>
      <c r="AC1930" s="2563"/>
    </row>
    <row r="1931" spans="1:29" ht="12.75" customHeight="1" x14ac:dyDescent="0.2">
      <c r="A1931" s="1916">
        <v>1931</v>
      </c>
      <c r="B1931" s="5148"/>
      <c r="C1931" s="537" t="str">
        <f>IF(Ki!$P$38="-",", "&amp;Ki!$M$38,"")</f>
        <v/>
      </c>
      <c r="D1931" s="67"/>
      <c r="E1931" s="68"/>
      <c r="G1931" s="1691" t="str">
        <f t="shared" si="148"/>
        <v/>
      </c>
      <c r="H1931" s="67"/>
      <c r="I1931" s="67"/>
      <c r="J1931" s="1698"/>
      <c r="K1931" s="2185" t="b">
        <f>AND(NOT(Callejeo_final="-"),OR(PDs!T138&gt;4,PDs!W138&gt;0,PDs!X138&gt;0,$G$303&gt;0))</f>
        <v>0</v>
      </c>
      <c r="L1931" s="1709" t="s">
        <v>1086</v>
      </c>
      <c r="M1931" s="1708" t="str">
        <f>IF(K1931,IF(N1931="",Callejeo_final+V1931&amp;" "&amp;L1931&amp;", "&amp;Callejeo_final+O1931&amp;" "&amp;P1931,Callejeo_final-80+V1931&amp;" "&amp;L1931&amp;IF(ISNUMBER(SEARCH(N1931,P1931)),", "&amp;Callejeo_final+O1931&amp;" "&amp;P1931,", "&amp;Callejeo_final&amp;" "&amp;L1931&amp;" "&amp;N1931&amp;", "&amp;Callejeo_final-40+O1931&amp;" "&amp;P1931)),"")</f>
        <v/>
      </c>
      <c r="N1931" s="1707" t="str">
        <f>IF(PDs!I138=0,"","("&amp;PDs!I138&amp;")")</f>
        <v/>
      </c>
      <c r="O1931" s="1710">
        <v>40</v>
      </c>
      <c r="P1931" s="1710" t="s">
        <v>7880</v>
      </c>
      <c r="Q1931" s="1705">
        <f t="shared" si="149"/>
        <v>11</v>
      </c>
      <c r="R1931" s="1705" t="str">
        <f t="shared" si="150"/>
        <v/>
      </c>
      <c r="S1931" s="1703">
        <f t="shared" si="151"/>
        <v>0</v>
      </c>
      <c r="T1931" s="1706">
        <f>SUM($S$1920:S1931)</f>
        <v>0</v>
      </c>
      <c r="U1931" s="5337"/>
      <c r="V1931" s="2783">
        <f>Principal!O34</f>
        <v>0</v>
      </c>
      <c r="AB1931" s="363"/>
      <c r="AC1931" s="2563"/>
    </row>
    <row r="1932" spans="1:29" ht="12.75" customHeight="1" x14ac:dyDescent="0.2">
      <c r="A1932" s="1916">
        <v>1932</v>
      </c>
      <c r="B1932" s="5148"/>
      <c r="C1932" s="537" t="str">
        <f>IF(Ki!$P$39="-",", "&amp;Ki!$M$39,"")</f>
        <v/>
      </c>
      <c r="D1932" s="67"/>
      <c r="E1932" s="68"/>
      <c r="G1932" s="1691" t="str">
        <f t="shared" si="148"/>
        <v/>
      </c>
      <c r="H1932" s="67"/>
      <c r="I1932" s="67"/>
      <c r="J1932" s="1698"/>
      <c r="K1932" s="2184" t="b">
        <f>AND(NOT(Etiqueta_final="-"),OR(PDs!T139&gt;4,PDs!W139&gt;0,PDs!X139&gt;0,$G$303&gt;0))</f>
        <v>0</v>
      </c>
      <c r="L1932" s="1703" t="s">
        <v>1087</v>
      </c>
      <c r="M1932" s="1702" t="str">
        <f>IF(K1932,IF(N1932="",Etiqueta_final+$V$1932&amp;" "&amp;L1932&amp;IF(P1932="","",", "&amp;Etiqueta_final+$V$1932+O1932&amp;" "&amp;P1932),IF(ISNUMBER(SEARCH(N1932,P1932)),Etiqueta_final+$V$1932-O1932-80&amp;" "&amp;L1932&amp;", "&amp;Etiqueta_final+$V$1932&amp;" "&amp;P1932,Etiqueta_final+$V$1932-80&amp;" "&amp;L1932&amp;", "&amp;Etiqueta_final+$V$1932&amp;" "&amp;L1932&amp;" "&amp;N1932&amp;IF(P1932="","",", "&amp;Etiqueta_final+$V$1932-40+O1932&amp;" "&amp;P1932))),"")</f>
        <v/>
      </c>
      <c r="N1932" s="1701" t="str">
        <f>IF(PDs!I139=0,"","("&amp;PDs!I139&amp;")")</f>
        <v/>
      </c>
      <c r="O1932" s="1704" t="e">
        <f>LEFT(PDs!AG139,2)</f>
        <v>#N/A</v>
      </c>
      <c r="P1932" s="1704" t="str">
        <f>IF(PDs!AI139,MID(PDs!AH139,4,25)&amp;MID(PDs!AG139,4,25),"")</f>
        <v/>
      </c>
      <c r="Q1932" s="1705">
        <f t="shared" si="149"/>
        <v>19</v>
      </c>
      <c r="R1932" s="1705" t="str">
        <f t="shared" si="150"/>
        <v/>
      </c>
      <c r="S1932" s="1703">
        <f t="shared" si="151"/>
        <v>0</v>
      </c>
      <c r="T1932" s="1706">
        <f>SUM($S$1920:S1932)</f>
        <v>0</v>
      </c>
      <c r="U1932" s="5337"/>
      <c r="V1932" s="2783">
        <f>Principal!O35</f>
        <v>0</v>
      </c>
      <c r="AB1932" s="363"/>
      <c r="AC1932" s="2563"/>
    </row>
    <row r="1933" spans="1:29" ht="12.75" customHeight="1" x14ac:dyDescent="0.2">
      <c r="A1933" s="1916">
        <v>1933</v>
      </c>
      <c r="B1933" s="5148"/>
      <c r="C1933" s="537" t="str">
        <f>IF(Ki!$P$40="-",", "&amp;Ki!$M$40,"")</f>
        <v/>
      </c>
      <c r="D1933" s="67"/>
      <c r="E1933" s="68"/>
      <c r="G1933" s="1691" t="str">
        <f t="shared" si="148"/>
        <v/>
      </c>
      <c r="H1933" s="67"/>
      <c r="I1933" s="67"/>
      <c r="J1933" s="1698"/>
      <c r="K1933" s="2184" t="b">
        <f>AND(NOT(Advertir_final="-"),OR(PDs!T140&gt;4,PDs!W140&gt;0,PDs!X140&gt;0,$G$303&gt;0))</f>
        <v>0</v>
      </c>
      <c r="L1933" s="1703" t="s">
        <v>1742</v>
      </c>
      <c r="M1933" s="1702" t="str">
        <f>IF(K1933,IF(N1933="",Advertir_final+$V$1933&amp;" "&amp;L1933&amp;IF(P1933="","",", "&amp;Advertir_final+$V$1933+O1933&amp;" "&amp;P1933),IF(ISNUMBER(SEARCH(N1933,P1933)),Advertir_final+$V$1933-O1933-80&amp;" "&amp;L1933&amp;", "&amp;Advertir_final+$V$1933&amp;" "&amp;P1933,Advertir_final+$V$1933-80&amp;" "&amp;L1933&amp;", "&amp;Advertir_final+$V$1933&amp;" "&amp;L1933&amp;" "&amp;N1933&amp;IF(P1933="","",", "&amp;Advertir_final+$V$1933-40+O1933&amp;" "&amp;P1933))),"")</f>
        <v/>
      </c>
      <c r="N1933" s="1701" t="str">
        <f>IF(PDs!I140=0,"","("&amp;PDs!I140&amp;")")</f>
        <v/>
      </c>
      <c r="O1933" s="1704" t="e">
        <f>LEFT(PDs!AG140,2)</f>
        <v>#N/A</v>
      </c>
      <c r="P1933" s="1704" t="str">
        <f>IF(PDs!AI140,MID(PDs!AH140,4,25)&amp;MID(PDs!AG140,4,25),"")</f>
        <v/>
      </c>
      <c r="Q1933" s="1705">
        <f t="shared" si="149"/>
        <v>2</v>
      </c>
      <c r="R1933" s="1705" t="str">
        <f t="shared" si="150"/>
        <v/>
      </c>
      <c r="S1933" s="1703">
        <f t="shared" si="151"/>
        <v>0</v>
      </c>
      <c r="T1933" s="1706">
        <f>SUM($S$1920:S1933)</f>
        <v>0</v>
      </c>
      <c r="U1933" s="5337"/>
      <c r="V1933" s="2783">
        <f>Principal!O36</f>
        <v>0</v>
      </c>
      <c r="AB1933" s="363"/>
      <c r="AC1933" s="2563"/>
    </row>
    <row r="1934" spans="1:29" ht="12.75" customHeight="1" x14ac:dyDescent="0.2">
      <c r="A1934" s="1916">
        <v>1934</v>
      </c>
      <c r="B1934" s="5148"/>
      <c r="C1934" s="537" t="str">
        <f>IF(Ki!$P$41="-",", "&amp;Ki!$L$41,"")</f>
        <v/>
      </c>
      <c r="D1934" s="67"/>
      <c r="E1934" s="68"/>
      <c r="G1934" s="1691" t="str">
        <f t="shared" si="148"/>
        <v/>
      </c>
      <c r="H1934" s="67"/>
      <c r="I1934" s="67"/>
      <c r="J1934" s="1698"/>
      <c r="K1934" s="2184" t="b">
        <f>AND(NOT(Buscar_final="-"),OR(PDs!T141&gt;4,PDs!W141&gt;0,PDs!X141&gt;0,$G$303&gt;0))</f>
        <v>0</v>
      </c>
      <c r="L1934" s="1703" t="s">
        <v>1743</v>
      </c>
      <c r="M1934" s="1702" t="str">
        <f>IF(K1934,IF(N1934="",Buscar_final+$V$1934&amp;" "&amp;L1934&amp;IF(P1934="","",", "&amp;Buscar_final+$V$1934+O1934&amp;" "&amp;P1934),IF(ISNUMBER(SEARCH(N1934,P1934)),Buscar_final+$V$1934-O1934-80&amp;" "&amp;L1934&amp;", "&amp;Buscar_final+$V$1934&amp;" "&amp;P1934,Buscar_final+$V$1934-80&amp;" "&amp;L1934&amp;", "&amp;Buscar_final+$V$1934&amp;" "&amp;L1934&amp;" "&amp;N1934&amp;IF(P1934="","",", "&amp;Buscar_final+$V$1934-40+O1934&amp;" "&amp;P1934))),"")</f>
        <v/>
      </c>
      <c r="N1934" s="1701" t="str">
        <f>IF(PDs!I141=0,"","("&amp;PDs!I141&amp;")")</f>
        <v/>
      </c>
      <c r="O1934" s="1704" t="e">
        <f>LEFT(PDs!AG141,2)</f>
        <v>#N/A</v>
      </c>
      <c r="P1934" s="1704" t="str">
        <f>IF(PDs!AI141,MID(PDs!AH141,4,25)&amp;MID(PDs!AG141,4,25),"")</f>
        <v/>
      </c>
      <c r="Q1934" s="1705">
        <f t="shared" si="149"/>
        <v>9</v>
      </c>
      <c r="R1934" s="1705" t="str">
        <f t="shared" si="150"/>
        <v/>
      </c>
      <c r="S1934" s="1703">
        <f t="shared" si="151"/>
        <v>0</v>
      </c>
      <c r="T1934" s="1706">
        <f>SUM($S$1920:S1934)</f>
        <v>0</v>
      </c>
      <c r="U1934" s="5337"/>
      <c r="V1934" s="2783">
        <f>Principal!O37</f>
        <v>0</v>
      </c>
      <c r="AB1934" s="363"/>
      <c r="AC1934" s="2563"/>
    </row>
    <row r="1935" spans="1:29" ht="12.75" customHeight="1" x14ac:dyDescent="0.2">
      <c r="A1935" s="1916">
        <v>1935</v>
      </c>
      <c r="B1935" s="5148"/>
      <c r="C1935" s="537" t="str">
        <f>IF(Ki!$P$42="-",", "&amp;Ki!$L$42,"")</f>
        <v/>
      </c>
      <c r="D1935" s="67"/>
      <c r="E1935" s="68"/>
      <c r="G1935" s="1691" t="str">
        <f t="shared" si="148"/>
        <v/>
      </c>
      <c r="H1935" s="67"/>
      <c r="I1935" s="67"/>
      <c r="J1935" s="1698"/>
      <c r="K1935" s="2184" t="b">
        <f>AND(NOT(Rastrear_final="-"),OR(PDs!T142&gt;4,PDs!W142&gt;0,PDs!X142&gt;0,$G$303&gt;0))</f>
        <v>0</v>
      </c>
      <c r="L1935" s="1703" t="s">
        <v>1744</v>
      </c>
      <c r="M1935" s="1702" t="str">
        <f>IF(K1935,IF(N1935="",Rastrear_final+$V$1935&amp;" "&amp;L1935&amp;IF(P1935="","",", "&amp;Rastrear_final+$V$1935+O1935&amp;" "&amp;P1935),IF(ISNUMBER(SEARCH(N1935,P1935)),Rastrear_final+$V$1935-O1935-80&amp;" "&amp;L1935&amp;", "&amp;Rastrear_final+$V$1935&amp;" "&amp;P1935,Rastrear_final+$V$1935-80&amp;" "&amp;L1935&amp;", "&amp;Rastrear_final+$V$1935&amp;" "&amp;L1935&amp;" "&amp;N1935&amp;IF(P1935="","",", "&amp;Rastrear_final+$V$1935-40+O1935&amp;" "&amp;P1935))),"")</f>
        <v/>
      </c>
      <c r="N1935" s="1701" t="str">
        <f>IF(PDs!I142=0,"","("&amp;PDs!I142&amp;")")</f>
        <v/>
      </c>
      <c r="O1935" s="1704" t="e">
        <f>LEFT(PDs!AG142,2)</f>
        <v>#N/A</v>
      </c>
      <c r="P1935" s="1704" t="str">
        <f>IF(PDs!AI142,MID(PDs!AH142,4,25)&amp;MID(PDs!AG142,4,25),"")</f>
        <v/>
      </c>
      <c r="Q1935" s="1705">
        <f t="shared" si="149"/>
        <v>39</v>
      </c>
      <c r="R1935" s="1705" t="str">
        <f t="shared" si="150"/>
        <v/>
      </c>
      <c r="S1935" s="1703">
        <f t="shared" si="151"/>
        <v>0</v>
      </c>
      <c r="T1935" s="1706">
        <f>SUM($S$1920:S1935)</f>
        <v>0</v>
      </c>
      <c r="U1935" s="5337"/>
      <c r="V1935" s="2783">
        <f>Principal!O38</f>
        <v>0</v>
      </c>
      <c r="AB1935" s="363"/>
      <c r="AC1935" s="2563"/>
    </row>
    <row r="1936" spans="1:29" ht="12.75" customHeight="1" x14ac:dyDescent="0.2">
      <c r="A1936" s="1916">
        <v>1936</v>
      </c>
      <c r="B1936" s="5148"/>
      <c r="C1936" s="537" t="str">
        <f>IF(Ki!$P$43="-",", "&amp;Ki!$L$43,"")</f>
        <v/>
      </c>
      <c r="D1936" s="67"/>
      <c r="E1936" s="68"/>
      <c r="G1936" s="1691" t="str">
        <f t="shared" si="148"/>
        <v/>
      </c>
      <c r="H1936" s="67"/>
      <c r="I1936" s="67"/>
      <c r="J1936" s="1698"/>
      <c r="K1936" s="2184" t="b">
        <f>AND(NOT(Animales_final="-"),OR(PDs!T143&gt;4,PDs!W143&gt;0,PDs!X143&gt;0,$G$303&gt;0))</f>
        <v>0</v>
      </c>
      <c r="L1936" s="1703" t="s">
        <v>1746</v>
      </c>
      <c r="M1936" s="1702" t="str">
        <f>IF(K1936,IF(N1936="",Animales_final+$V$1936&amp;" "&amp;L1936&amp;IF(P1936="","",", "&amp;Animales_final+$V$1936+O1936&amp;" "&amp;P1936),IF(ISNUMBER(SEARCH(N1936,P1936)),Animales_final+$V$1936-O1936-80&amp;" "&amp;L1936&amp;", "&amp;Animales_final+$V$1936&amp;" "&amp;P1936,Animales_final+$V$1936-80&amp;" "&amp;L1936&amp;", "&amp;Animales_final+$V$1936&amp;" "&amp;L1936&amp;" "&amp;N1936&amp;IF(P1936="","",", "&amp;Animales_final+$V$1936-40+O1936&amp;" "&amp;P1936))),"")</f>
        <v/>
      </c>
      <c r="N1936" s="1701" t="str">
        <f>IF(PDs!I143=0,"","("&amp;PDs!I143&amp;")")</f>
        <v/>
      </c>
      <c r="O1936" s="1704" t="e">
        <f>LEFT(PDs!AG143,2)</f>
        <v>#N/A</v>
      </c>
      <c r="P1936" s="1704" t="str">
        <f>IF(PDs!AI143,MID(PDs!AH143,4,25)&amp;MID(PDs!AG143,4,25),"")</f>
        <v/>
      </c>
      <c r="Q1936" s="1705">
        <f t="shared" si="149"/>
        <v>4</v>
      </c>
      <c r="R1936" s="1705" t="str">
        <f t="shared" si="150"/>
        <v/>
      </c>
      <c r="S1936" s="1703">
        <f t="shared" si="151"/>
        <v>0</v>
      </c>
      <c r="T1936" s="1706">
        <f>SUM($S$1920:S1936)</f>
        <v>0</v>
      </c>
      <c r="U1936" s="5337"/>
      <c r="V1936" s="2783">
        <f>Principal!O39</f>
        <v>0</v>
      </c>
      <c r="AB1936" s="363"/>
      <c r="AC1936" s="2563"/>
    </row>
    <row r="1937" spans="1:29" ht="12.75" customHeight="1" x14ac:dyDescent="0.2">
      <c r="A1937" s="1916">
        <v>1937</v>
      </c>
      <c r="B1937" s="5148"/>
      <c r="C1937" s="537" t="str">
        <f>IF(Ki!$P$44="-",", "&amp;Ki!$K$44,"")</f>
        <v/>
      </c>
      <c r="D1937" s="67"/>
      <c r="E1937" s="68"/>
      <c r="G1937" s="1691" t="str">
        <f t="shared" si="148"/>
        <v/>
      </c>
      <c r="H1937" s="67"/>
      <c r="I1937" s="67"/>
      <c r="J1937" s="1698"/>
      <c r="K1937" s="2184" t="b">
        <f>AND(NOT(Ciencia_final="-"),OR(PDs!T144&gt;4,PDs!W144&gt;0,PDs!X144&gt;0,$G$303&gt;0))</f>
        <v>0</v>
      </c>
      <c r="L1937" s="1703" t="s">
        <v>1747</v>
      </c>
      <c r="M1937" s="1702" t="str">
        <f>IF(K1937,IF(N1937="",Ciencia_final+$V$1937&amp;" "&amp;L1937&amp;IF(P1937="","",", "&amp;Ciencia_final+$V$1937+O1937&amp;" "&amp;P1937),IF(ISNUMBER(SEARCH(N1937,P1937)),Ciencia_final+$V$1937-O1937-80&amp;" "&amp;L1937&amp;", "&amp;Ciencia_final+$V$1937&amp;" "&amp;P1937,Ciencia_final+$V$1937-80&amp;" "&amp;L1937&amp;", "&amp;Ciencia_final+$V$1937&amp;" "&amp;L1937&amp;" "&amp;N1937&amp;IF(P1937="","",", "&amp;Ciencia_final+$V$1937-40+O1937&amp;" "&amp;P1937))),"")</f>
        <v/>
      </c>
      <c r="N1937" s="1701" t="str">
        <f>IF(PDs!I144=0,"","("&amp;PDs!I144&amp;")")</f>
        <v/>
      </c>
      <c r="O1937" s="1704" t="e">
        <f>LEFT(PDs!AG144,2)</f>
        <v>#N/A</v>
      </c>
      <c r="P1937" s="1704" t="str">
        <f>IF(PDs!AI144,MID(PDs!AH144,4,25)&amp;MID(PDs!AG144,4,25),"")</f>
        <v/>
      </c>
      <c r="Q1937" s="1705">
        <f t="shared" si="149"/>
        <v>13</v>
      </c>
      <c r="R1937" s="1705" t="str">
        <f t="shared" si="150"/>
        <v/>
      </c>
      <c r="S1937" s="1703">
        <f t="shared" si="151"/>
        <v>0</v>
      </c>
      <c r="T1937" s="1706">
        <f>SUM($S$1920:S1937)</f>
        <v>0</v>
      </c>
      <c r="U1937" s="5337"/>
      <c r="V1937" s="2783">
        <f>Principal!O40</f>
        <v>0</v>
      </c>
      <c r="AB1937" s="363"/>
      <c r="AC1937" s="2563"/>
    </row>
    <row r="1938" spans="1:29" ht="12.75" customHeight="1" x14ac:dyDescent="0.2">
      <c r="A1938" s="1916">
        <v>1938</v>
      </c>
      <c r="B1938" s="5148"/>
      <c r="C1938" s="537" t="str">
        <f>IF(Ki!$P$45="-",", "&amp;Ki!$L$45,"")</f>
        <v/>
      </c>
      <c r="D1938" s="67"/>
      <c r="E1938" s="68"/>
      <c r="G1938" s="1691" t="str">
        <f t="shared" si="148"/>
        <v/>
      </c>
      <c r="H1938" s="67"/>
      <c r="I1938" s="67"/>
      <c r="J1938" s="1698"/>
      <c r="K1938" s="2184" t="b">
        <f>AND(NOT(Ley_final="-"),OR(PDs!T145&gt;4,PDs!W145&gt;0,PDs!X145&gt;0,$G$303&gt;0))</f>
        <v>0</v>
      </c>
      <c r="L1938" s="1703" t="s">
        <v>2993</v>
      </c>
      <c r="M1938" s="1702" t="str">
        <f>IF(K1938,IF(N1938="",Ley_final+$V$1938&amp;" "&amp;L1938&amp;IF(P1938="","",", "&amp;Ley_final+$V$1938+O1938&amp;" "&amp;P1938),IF(ISNUMBER(SEARCH(N1938,P1938)),Ley_final+$V$1938-O1938-80&amp;" "&amp;L1938&amp;", "&amp;Ley_final+$V$1938&amp;" "&amp;P1938,Ley_final+$V$1938-80&amp;" "&amp;L1938&amp;", "&amp;Ley_final+$V$1938&amp;" "&amp;L1938&amp;" "&amp;N1938&amp;IF(P1938="","",", "&amp;Ley_final+$V$1938-40+O1938&amp;" "&amp;P1938))),"")</f>
        <v/>
      </c>
      <c r="N1938" s="1701" t="str">
        <f>IF(PDs!I145=0,"","("&amp;PDs!I145&amp;")")</f>
        <v/>
      </c>
      <c r="O1938" s="1704" t="e">
        <f>LEFT(PDs!AG145,2)</f>
        <v>#N/A</v>
      </c>
      <c r="P1938" s="1704" t="str">
        <f>IF(PDs!AI145,MID(PDs!AH145,4,25)&amp;MID(PDs!AG145,4,25),"")</f>
        <v/>
      </c>
      <c r="Q1938" s="1705">
        <f t="shared" si="149"/>
        <v>25</v>
      </c>
      <c r="R1938" s="1705" t="str">
        <f t="shared" si="150"/>
        <v/>
      </c>
      <c r="S1938" s="1703">
        <f t="shared" si="151"/>
        <v>0</v>
      </c>
      <c r="T1938" s="1706">
        <f>SUM($S$1920:S1938)</f>
        <v>0</v>
      </c>
      <c r="U1938" s="5337"/>
      <c r="V1938" s="2783">
        <f>Principal!O41</f>
        <v>0</v>
      </c>
      <c r="AB1938" s="363"/>
      <c r="AC1938" s="2563"/>
    </row>
    <row r="1939" spans="1:29" ht="12.75" customHeight="1" x14ac:dyDescent="0.2">
      <c r="A1939" s="1916">
        <v>1939</v>
      </c>
      <c r="B1939" s="5148"/>
      <c r="C1939" s="537" t="str">
        <f>IF(Ki!$P$46="-",", "&amp;Ki!$M$46,"")</f>
        <v/>
      </c>
      <c r="D1939" s="67"/>
      <c r="E1939" s="68"/>
      <c r="G1939" s="1691" t="str">
        <f t="shared" si="148"/>
        <v/>
      </c>
      <c r="H1939" s="67"/>
      <c r="I1939" s="67"/>
      <c r="J1939" s="1698"/>
      <c r="K1939" s="2184" t="b">
        <f>AND(NOT(Herbolaria_final="-"),OR(PDs!T146&gt;4,PDs!W146&gt;0,PDs!X146&gt;0,$G$303&gt;0))</f>
        <v>0</v>
      </c>
      <c r="L1939" s="1703" t="s">
        <v>1748</v>
      </c>
      <c r="M1939" s="1702" t="str">
        <f>IF(K1939,IF(N1939="",Herbolaria_final+$V$1939&amp;" "&amp;L1939&amp;IF(P1939="","",", "&amp;Herbolaria_final+$V$1939+O1939&amp;" "&amp;P1939),IF(ISNUMBER(SEARCH(N1939,P1939)),Herbolaria_final+$V$1939-O1939-80&amp;" "&amp;L1939&amp;", "&amp;Herbolaria_final+$V$1939&amp;" "&amp;P1939,Herbolaria_final+$V$1939-80&amp;" "&amp;L1939&amp;", "&amp;Herbolaria_final+$V$1939&amp;" "&amp;L1939&amp;" "&amp;N1939&amp;IF(P1939="","",", "&amp;Herbolaria_final+$V$1939-40+O1939&amp;" "&amp;P1939))),"")</f>
        <v/>
      </c>
      <c r="N1939" s="1701" t="str">
        <f>IF(PDs!I146=0,"","("&amp;PDs!I146&amp;")")</f>
        <v/>
      </c>
      <c r="O1939" s="1704" t="e">
        <f>LEFT(PDs!AG146,2)</f>
        <v>#N/A</v>
      </c>
      <c r="P1939" s="1704" t="str">
        <f>IF(PDs!AI146,MID(PDs!AH146,4,25)&amp;MID(PDs!AG146,4,25),"")</f>
        <v/>
      </c>
      <c r="Q1939" s="1705">
        <f t="shared" si="149"/>
        <v>22</v>
      </c>
      <c r="R1939" s="1705" t="str">
        <f t="shared" si="150"/>
        <v/>
      </c>
      <c r="S1939" s="1703">
        <f t="shared" si="151"/>
        <v>0</v>
      </c>
      <c r="T1939" s="1706">
        <f>SUM($S$1920:S1939)</f>
        <v>0</v>
      </c>
      <c r="U1939" s="5337"/>
      <c r="V1939" s="2783">
        <f>Principal!O42</f>
        <v>0</v>
      </c>
      <c r="AB1939" s="363"/>
      <c r="AC1939" s="2563"/>
    </row>
    <row r="1940" spans="1:29" ht="12.75" customHeight="1" x14ac:dyDescent="0.2">
      <c r="A1940" s="1916">
        <v>1940</v>
      </c>
      <c r="B1940" s="5148"/>
      <c r="C1940" s="537" t="str">
        <f>IF(Ki!$P$47="-",", "&amp;Ki!$M$47,"")</f>
        <v/>
      </c>
      <c r="D1940" s="67"/>
      <c r="E1940" s="68"/>
      <c r="G1940" s="1691" t="str">
        <f t="shared" si="148"/>
        <v/>
      </c>
      <c r="H1940" s="67"/>
      <c r="I1940" s="67"/>
      <c r="J1940" s="1698"/>
      <c r="K1940" s="2184" t="b">
        <f>AND(NOT(Historia_final="-"),OR(PDs!T147&gt;4,PDs!W147&gt;0,PDs!X147&gt;0,$G$303&gt;0))</f>
        <v>0</v>
      </c>
      <c r="L1940" s="1703" t="s">
        <v>1750</v>
      </c>
      <c r="M1940" s="1702" t="str">
        <f>IF(K1940,IF(N1940="",Historia_final+$V$1940&amp;" "&amp;L1940&amp;IF(P1940="","",", "&amp;Historia_final+$V$1940+O1940&amp;" "&amp;P1940),IF(ISNUMBER(SEARCH(N1940,P1940)),Historia_final+$V$1940-O1940-80&amp;" "&amp;L1940&amp;", "&amp;Historia_final+$V$1940&amp;" "&amp;P1940,Historia_final+$V$1940-80&amp;" "&amp;L1940&amp;", "&amp;Historia_final+$V$1940&amp;" "&amp;L1940&amp;" "&amp;N1940&amp;IF(P1940="","",", "&amp;Historia_final+$V$1940-40+O1940&amp;" "&amp;P1940))),"")</f>
        <v/>
      </c>
      <c r="N1940" s="1701" t="str">
        <f>IF(PDs!I147=0,"","("&amp;PDs!I147&amp;")")</f>
        <v/>
      </c>
      <c r="O1940" s="1704" t="e">
        <f>LEFT(PDs!AG147,2)</f>
        <v>#N/A</v>
      </c>
      <c r="P1940" s="1704" t="str">
        <f>IF(PDs!AI147,MID(PDs!AH147,4,25)&amp;MID(PDs!AG147,4,25),"")</f>
        <v/>
      </c>
      <c r="Q1940" s="1705">
        <f t="shared" si="149"/>
        <v>23</v>
      </c>
      <c r="R1940" s="1705" t="str">
        <f t="shared" si="150"/>
        <v/>
      </c>
      <c r="S1940" s="1703">
        <f t="shared" si="151"/>
        <v>0</v>
      </c>
      <c r="T1940" s="1706">
        <f>SUM($S$1920:S1940)</f>
        <v>0</v>
      </c>
      <c r="U1940" s="5337"/>
      <c r="V1940" s="2783">
        <f>Principal!O43</f>
        <v>0</v>
      </c>
      <c r="AB1940" s="363"/>
      <c r="AC1940" s="2563"/>
    </row>
    <row r="1941" spans="1:29" ht="12.75" customHeight="1" x14ac:dyDescent="0.2">
      <c r="A1941" s="1916">
        <v>1941</v>
      </c>
      <c r="B1941" s="5148"/>
      <c r="C1941" s="537" t="str">
        <f>IF(Ki!$P$48="-",", "&amp;Ki!$L$48,"")</f>
        <v/>
      </c>
      <c r="D1941" s="67"/>
      <c r="E1941" s="68"/>
      <c r="G1941" s="1691" t="str">
        <f t="shared" si="148"/>
        <v/>
      </c>
      <c r="H1941" s="67"/>
      <c r="I1941" s="67"/>
      <c r="J1941" s="1698"/>
      <c r="K1941" s="2184" t="b">
        <f>AND(NOT(Tactica_final="-"),OR(PDs!T148&gt;4,PDs!W148&gt;0,PDs!X148&gt;0,$G$303&gt;0))</f>
        <v>0</v>
      </c>
      <c r="L1941" s="1703" t="s">
        <v>1088</v>
      </c>
      <c r="M1941" s="1702" t="str">
        <f>IF(K1941,IF(N1941="",Tactica_final+$V$1941&amp;" "&amp;L1941&amp;IF(P1941="","",", "&amp;Tactica_final+$V$1941+O1941&amp;" "&amp;P1941),IF(ISNUMBER(SEARCH(N1941,P1941)),Tactica_final+$V$1941-O1941-80&amp;" "&amp;L1941&amp;", "&amp;Tactica_final+$V$1941&amp;" "&amp;P1941,Tactica_final+$V$1941-80&amp;" "&amp;L1941&amp;", "&amp;Tactica_final+$V$1941&amp;" "&amp;L1941&amp;" "&amp;N1941&amp;IF(P1941="","",", "&amp;Tactica_final+$V$1941-40+O1941&amp;" "&amp;P1941))),"")</f>
        <v/>
      </c>
      <c r="N1941" s="1701" t="str">
        <f>IF(PDs!I148=0,"","("&amp;PDs!I148&amp;")")</f>
        <v/>
      </c>
      <c r="O1941" s="1704" t="e">
        <f>LEFT(PDs!AG148,2)</f>
        <v>#N/A</v>
      </c>
      <c r="P1941" s="1704" t="str">
        <f>IF(PDs!AI148,MID(PDs!AH148,4,25)&amp;MID(PDs!AG148,4,25),"")</f>
        <v/>
      </c>
      <c r="Q1941" s="1705">
        <f t="shared" si="149"/>
        <v>46</v>
      </c>
      <c r="R1941" s="1705" t="str">
        <f t="shared" si="150"/>
        <v/>
      </c>
      <c r="S1941" s="1703">
        <f t="shared" si="151"/>
        <v>0</v>
      </c>
      <c r="T1941" s="1706">
        <f>SUM($S$1920:S1941)</f>
        <v>0</v>
      </c>
      <c r="U1941" s="5337"/>
      <c r="V1941" s="2783">
        <f>Principal!O44</f>
        <v>0</v>
      </c>
      <c r="AB1941" s="363"/>
      <c r="AC1941" s="2563"/>
    </row>
    <row r="1942" spans="1:29" ht="12.75" customHeight="1" x14ac:dyDescent="0.2">
      <c r="A1942" s="1916">
        <v>1942</v>
      </c>
      <c r="B1942" s="5148"/>
      <c r="C1942" s="537" t="str">
        <f>IF(Usodelaenergíanecesaria,", "&amp;Ki!$K$49,"")</f>
        <v/>
      </c>
      <c r="D1942" s="67"/>
      <c r="E1942" s="68"/>
      <c r="G1942" s="1691" t="str">
        <f t="shared" si="148"/>
        <v/>
      </c>
      <c r="H1942" s="67"/>
      <c r="I1942" s="67"/>
      <c r="J1942" s="1698"/>
      <c r="K1942" s="2184" t="b">
        <f>AND(NOT(Medicina_final="-"),OR(PDs!T149&gt;4,PDs!W149&gt;0,PDs!X149&gt;0,$G$303&gt;0))</f>
        <v>0</v>
      </c>
      <c r="L1942" s="1703" t="s">
        <v>1753</v>
      </c>
      <c r="M1942" s="1702" t="str">
        <f>IF(K1942,IF(N1942="",Medicina_final+$V$1942&amp;" "&amp;L1942&amp;IF(P1942="","",", "&amp;Medicina_final+$V$1942+O1942&amp;" "&amp;P1942),IF(ISNUMBER(SEARCH(N1942,P1942)),Medicina_final+$V$1942-O1942-80&amp;" "&amp;L1942&amp;", "&amp;Medicina_final+$V$1942&amp;" "&amp;P1942,Medicina_final+$V$1942-80&amp;" "&amp;L1942&amp;", "&amp;Medicina_final+$V$1942&amp;" "&amp;L1942&amp;" "&amp;N1942&amp;IF(P1942="","",", "&amp;Medicina_final+$V$1942-40+O1942&amp;" "&amp;P1942))),"")</f>
        <v/>
      </c>
      <c r="N1942" s="1701" t="str">
        <f>IF(PDs!I149=0,"","("&amp;PDs!I149&amp;")")</f>
        <v/>
      </c>
      <c r="O1942" s="1704" t="e">
        <f>LEFT(PDs!AG149,2)</f>
        <v>#N/A</v>
      </c>
      <c r="P1942" s="1704" t="str">
        <f>IF(PDs!AI149,MID(PDs!AH149,4,25)&amp;MID(PDs!AG149,4,25),"")</f>
        <v/>
      </c>
      <c r="Q1942" s="1705">
        <f t="shared" si="149"/>
        <v>27</v>
      </c>
      <c r="R1942" s="1705" t="str">
        <f t="shared" si="150"/>
        <v/>
      </c>
      <c r="S1942" s="1703">
        <f t="shared" si="151"/>
        <v>0</v>
      </c>
      <c r="T1942" s="1706">
        <f>SUM($S$1920:S1942)</f>
        <v>0</v>
      </c>
      <c r="U1942" s="5337"/>
      <c r="V1942" s="2783">
        <f>Principal!O45</f>
        <v>0</v>
      </c>
      <c r="AB1942" s="363"/>
      <c r="AC1942" s="2563"/>
    </row>
    <row r="1943" spans="1:29" ht="12.75" customHeight="1" x14ac:dyDescent="0.2">
      <c r="A1943" s="1916">
        <v>1943</v>
      </c>
      <c r="B1943" s="5148"/>
      <c r="C1943" s="537" t="str">
        <f>IF(Ki!$P$50="-",", "&amp;Ki!$L$50&amp;" "&amp;Ki!$F$36,"")</f>
        <v/>
      </c>
      <c r="D1943" s="67"/>
      <c r="E1943" s="68"/>
      <c r="G1943" s="1691" t="str">
        <f t="shared" si="148"/>
        <v/>
      </c>
      <c r="H1943" s="67"/>
      <c r="I1943" s="67"/>
      <c r="J1943" s="1698"/>
      <c r="K1943" s="2184" t="b">
        <f>AND(NOT(Memorizar_final="-"),OR(PDs!T150&gt;4,PDs!W150&gt;0,PDs!X150&gt;0,$G$303&gt;0))</f>
        <v>0</v>
      </c>
      <c r="L1943" s="1703" t="s">
        <v>1754</v>
      </c>
      <c r="M1943" s="1702" t="str">
        <f>IF(K1943,IF(N1943="",Memorizar_final+$V$1943&amp;" "&amp;L1943&amp;IF(P1943="","",", "&amp;Memorizar_final+$V$1943+O1943&amp;" "&amp;P1943),IF(ISNUMBER(SEARCH(N1943,P1943)),Memorizar_final+$V$1943-O1943-80&amp;" "&amp;L1943&amp;", "&amp;Memorizar_final+$V$1943&amp;" "&amp;P1943,Memorizar_final+$V$1943-80&amp;" "&amp;L1943&amp;", "&amp;Memorizar_final+$V$1943&amp;" "&amp;L1943&amp;" "&amp;N1943&amp;IF(P1943="","",", "&amp;Memorizar_final+$V$1943-40+O1943&amp;" "&amp;P1943))),"")</f>
        <v/>
      </c>
      <c r="N1943" s="1701" t="str">
        <f>IF(PDs!I150=0,"","("&amp;PDs!I150&amp;")")</f>
        <v/>
      </c>
      <c r="O1943" s="1704" t="e">
        <f>LEFT(PDs!AG150,2)</f>
        <v>#N/A</v>
      </c>
      <c r="P1943" s="1704" t="str">
        <f>IF(PDs!AI150,MID(PDs!AH150,4,25)&amp;MID(PDs!AG150,4,25),"")</f>
        <v/>
      </c>
      <c r="Q1943" s="1705">
        <f t="shared" si="149"/>
        <v>28</v>
      </c>
      <c r="R1943" s="1705" t="str">
        <f t="shared" si="150"/>
        <v/>
      </c>
      <c r="S1943" s="1703">
        <f t="shared" si="151"/>
        <v>0</v>
      </c>
      <c r="T1943" s="1706">
        <f>SUM($S$1920:S1943)</f>
        <v>0</v>
      </c>
      <c r="U1943" s="5337"/>
      <c r="V1943" s="2783">
        <f>Principal!O46</f>
        <v>0</v>
      </c>
      <c r="AB1943" s="363"/>
      <c r="AC1943" s="2563"/>
    </row>
    <row r="1944" spans="1:29" ht="12.75" customHeight="1" x14ac:dyDescent="0.2">
      <c r="A1944" s="1916">
        <v>1944</v>
      </c>
      <c r="B1944" s="5148"/>
      <c r="C1944" s="537" t="str">
        <f>IF(Ki!$P$51="-",", "&amp;Ki!$M$51,"")</f>
        <v/>
      </c>
      <c r="D1944" s="67"/>
      <c r="E1944" s="68"/>
      <c r="G1944" s="1691" t="str">
        <f t="shared" si="148"/>
        <v/>
      </c>
      <c r="H1944" s="67"/>
      <c r="I1944" s="67"/>
      <c r="J1944" s="1698"/>
      <c r="K1944" s="2184" t="b">
        <f>AND(NOT(Navegación_final="-"),OR(PDs!T151&gt;4,PDs!W151&gt;0,PDs!X151&gt;0,$G$303&gt;0))</f>
        <v>0</v>
      </c>
      <c r="L1944" s="1703" t="s">
        <v>1755</v>
      </c>
      <c r="M1944" s="1702" t="str">
        <f>IF(K1944,IF(N1944="",Navegación_final+$V$1944&amp;" "&amp;L1944&amp;IF(P1944="","",", "&amp;Navegación_final+$V$1944+O1944&amp;" "&amp;P1944),IF(ISNUMBER(SEARCH(N1944,P1944)),Navegación_final+$V$1944-O1944-80&amp;" "&amp;L1944&amp;", "&amp;Navegación_final+$V$1944&amp;" "&amp;P1944,Navegación_final+$V$1944-80&amp;" "&amp;L1944&amp;", "&amp;Navegación_final+$V$1944&amp;" "&amp;L1944&amp;" "&amp;N1944&amp;IF(P1944="","",", "&amp;Navegación_final+$V$1944-40+O1944&amp;" "&amp;P1944))),"")</f>
        <v/>
      </c>
      <c r="N1944" s="1701" t="str">
        <f>IF(PDs!I151=0,"","("&amp;PDs!I151&amp;")")</f>
        <v/>
      </c>
      <c r="O1944" s="1704" t="e">
        <f>LEFT(PDs!AG151,2)</f>
        <v>#N/A</v>
      </c>
      <c r="P1944" s="1704" t="str">
        <f>IF(PDs!AI151,MID(PDs!AH151,4,25)&amp;MID(PDs!AG151,4,25),"")</f>
        <v/>
      </c>
      <c r="Q1944" s="1705">
        <f t="shared" si="149"/>
        <v>32</v>
      </c>
      <c r="R1944" s="1705" t="str">
        <f t="shared" si="150"/>
        <v/>
      </c>
      <c r="S1944" s="1703">
        <f t="shared" si="151"/>
        <v>0</v>
      </c>
      <c r="T1944" s="1706">
        <f>SUM($S$1920:S1944)</f>
        <v>0</v>
      </c>
      <c r="U1944" s="5337"/>
      <c r="V1944" s="2783">
        <f>Principal!O47</f>
        <v>0</v>
      </c>
      <c r="AB1944" s="363"/>
      <c r="AC1944" s="2563"/>
    </row>
    <row r="1945" spans="1:29" ht="12.75" customHeight="1" x14ac:dyDescent="0.2">
      <c r="A1945" s="1916">
        <v>1945</v>
      </c>
      <c r="B1945" s="5148"/>
      <c r="C1945" s="537" t="str">
        <f>IF(Ki!$P$52="-",", "&amp;Ki!$M$52,"")</f>
        <v/>
      </c>
      <c r="D1945" s="67"/>
      <c r="E1945" s="68"/>
      <c r="G1945" s="1691" t="str">
        <f t="shared" si="148"/>
        <v/>
      </c>
      <c r="H1945" s="67"/>
      <c r="I1945" s="67"/>
      <c r="J1945" s="1698"/>
      <c r="K1945" s="2184" t="b">
        <f>AND(NOT(Ocultismo_final="-"),OR(PDs!T152&gt;4,PDs!W152&gt;0,PDs!X152&gt;0,$G$303&gt;0))</f>
        <v>0</v>
      </c>
      <c r="L1945" s="1703" t="s">
        <v>1756</v>
      </c>
      <c r="M1945" s="1702" t="str">
        <f>IF(K1945,IF(N1945="",Ocultismo_final+$V$1945&amp;" "&amp;L1945&amp;IF(P1945="","",", "&amp;Ocultismo_final+$V$1945+O1945&amp;" "&amp;P1945),IF(ISNUMBER(SEARCH(N1945,P1945)),Ocultismo_final+$V$1945-O1945-80&amp;" "&amp;L1945&amp;", "&amp;Ocultismo_final+$V$1945&amp;" "&amp;P1945,Ocultismo_final+$V$1945-80&amp;" "&amp;L1945&amp;", "&amp;Ocultismo_final+$V$1945&amp;" "&amp;L1945&amp;" "&amp;N1945&amp;IF(P1945="","",", "&amp;Ocultismo_final+$V$1945-40+O1945&amp;" "&amp;P1945))),"")</f>
        <v/>
      </c>
      <c r="N1945" s="1701" t="str">
        <f>IF(PDs!I152=0,"","("&amp;PDs!I152&amp;")")</f>
        <v/>
      </c>
      <c r="O1945" s="1704" t="e">
        <f>LEFT(PDs!AG152,2)</f>
        <v>#N/A</v>
      </c>
      <c r="P1945" s="1704" t="str">
        <f>IF(PDs!AI152,MID(PDs!AH152,4,25)&amp;MID(PDs!AG152,4,25),"")</f>
        <v/>
      </c>
      <c r="Q1945" s="1705">
        <f t="shared" si="149"/>
        <v>34</v>
      </c>
      <c r="R1945" s="1705" t="str">
        <f t="shared" si="150"/>
        <v/>
      </c>
      <c r="S1945" s="1703">
        <f t="shared" si="151"/>
        <v>0</v>
      </c>
      <c r="T1945" s="1706">
        <f>SUM($S$1920:S1945)</f>
        <v>0</v>
      </c>
      <c r="U1945" s="5337"/>
      <c r="V1945" s="2783">
        <f>Principal!O48</f>
        <v>0</v>
      </c>
      <c r="AB1945" s="363"/>
      <c r="AC1945" s="2563"/>
    </row>
    <row r="1946" spans="1:29" ht="12.75" customHeight="1" x14ac:dyDescent="0.2">
      <c r="A1946" s="1916">
        <v>1946</v>
      </c>
      <c r="B1946" s="5148"/>
      <c r="C1946" s="537" t="str">
        <f>IF(Ki!$P$53="-",", "&amp;Ki!$L$53,"")</f>
        <v/>
      </c>
      <c r="D1946" s="67"/>
      <c r="E1946" s="68"/>
      <c r="G1946" s="1691" t="str">
        <f t="shared" si="148"/>
        <v/>
      </c>
      <c r="H1946" s="67"/>
      <c r="I1946" s="67"/>
      <c r="J1946" s="1698"/>
      <c r="K1946" s="2184" t="b">
        <f>AND(NOT(Tasación_final="-"),OR(PDs!T153&gt;4,PDs!W153&gt;0,PDs!X153&gt;0,$G$303&gt;0))</f>
        <v>0</v>
      </c>
      <c r="L1946" s="1703" t="s">
        <v>1757</v>
      </c>
      <c r="M1946" s="1702" t="str">
        <f>IF(K1946,IF(N1946="",Tasación_final+$V$1946&amp;" "&amp;L1946&amp;IF(P1946="","",", "&amp;Tasación_final+$V$1946+O1946&amp;" "&amp;P1946),IF(ISNUMBER(SEARCH(N1946,P1946)),Tasación_final+$V$1946-O1946-80&amp;" "&amp;L1946&amp;", "&amp;Tasación_final+$V$1946&amp;" "&amp;P1946,Tasación_final+$V$1946-80&amp;" "&amp;L1946&amp;", "&amp;Tasación_final+$V$1946&amp;" "&amp;L1946&amp;" "&amp;N1946&amp;IF(P1946="","",", "&amp;Tasación_final+$V$1946-40+O1946&amp;" "&amp;P1946))),"")</f>
        <v/>
      </c>
      <c r="N1946" s="1701" t="str">
        <f>IF(PDs!I153=0,"","("&amp;PDs!I153&amp;")")</f>
        <v/>
      </c>
      <c r="O1946" s="1704" t="e">
        <f>LEFT(PDs!AG153,2)</f>
        <v>#N/A</v>
      </c>
      <c r="P1946" s="1704" t="str">
        <f>IF(PDs!AI153,MID(PDs!AH153,4,25)&amp;MID(PDs!AG153,4,25),"")</f>
        <v/>
      </c>
      <c r="Q1946" s="1705">
        <f t="shared" si="149"/>
        <v>47</v>
      </c>
      <c r="R1946" s="1705" t="str">
        <f t="shared" si="150"/>
        <v/>
      </c>
      <c r="S1946" s="1703">
        <f t="shared" si="151"/>
        <v>0</v>
      </c>
      <c r="T1946" s="1706">
        <f>SUM($S$1920:S1946)</f>
        <v>0</v>
      </c>
      <c r="U1946" s="5337"/>
      <c r="V1946" s="2783">
        <f>Principal!O49</f>
        <v>0</v>
      </c>
      <c r="AB1946" s="363"/>
      <c r="AC1946" s="2563"/>
    </row>
    <row r="1947" spans="1:29" ht="12.75" customHeight="1" x14ac:dyDescent="0.2">
      <c r="A1947" s="1916">
        <v>1947</v>
      </c>
      <c r="B1947" s="5148"/>
      <c r="C1947" s="537" t="str">
        <f>IF(Ki!$P$54="-",", "&amp;Ki!$M$54,"")</f>
        <v/>
      </c>
      <c r="D1947" s="67"/>
      <c r="E1947" s="68"/>
      <c r="G1947" s="1691" t="str">
        <f t="shared" si="148"/>
        <v/>
      </c>
      <c r="H1947" s="67"/>
      <c r="I1947" s="67"/>
      <c r="J1947" s="1698"/>
      <c r="K1947" s="2184" t="b">
        <f>AND(NOT(V.Mágica_final="-"),OR(PDs!T154&gt;4,PDs!W154&gt;0,PDs!X154&gt;0,$G$303&gt;0))</f>
        <v>0</v>
      </c>
      <c r="L1947" s="1703" t="s">
        <v>1758</v>
      </c>
      <c r="M1947" s="1702" t="str">
        <f>IF(K1947,IF(N1947="",V.Mágica_final+$V$1947&amp;" "&amp;L1947&amp;IF(P1947="","",", "&amp;V.Mágica_final+$V$1947+O1947&amp;" "&amp;P1947),IF(ISNUMBER(SEARCH(N1947,P1947)),V.Mágica_final+$V$1947-O1947-80&amp;" "&amp;L1947&amp;", "&amp;V.Mágica_final+$V$1947&amp;" "&amp;P1947,V.Mágica_final+$V$1947-80&amp;" "&amp;L1947&amp;", "&amp;V.Mágica_final+$V$1947&amp;" "&amp;L1947&amp;" "&amp;N1947&amp;IF(P1947="","",", "&amp;V.Mágica_final+$V$1947-40+O1947&amp;" "&amp;P1947))),"")</f>
        <v/>
      </c>
      <c r="N1947" s="1701" t="str">
        <f>IF(PDs!I154=0,"","("&amp;PDs!I154&amp;")")</f>
        <v/>
      </c>
      <c r="O1947" s="1704" t="e">
        <f>LEFT(PDs!AG154,2)</f>
        <v>#N/A</v>
      </c>
      <c r="P1947" s="1704" t="str">
        <f>IF(PDs!AI154,MID(PDs!AH154,4,25)&amp;MID(PDs!AG154,4,25),"")</f>
        <v/>
      </c>
      <c r="Q1947" s="1705">
        <f t="shared" si="149"/>
        <v>50</v>
      </c>
      <c r="R1947" s="1705" t="str">
        <f t="shared" si="150"/>
        <v/>
      </c>
      <c r="S1947" s="1703">
        <f t="shared" si="151"/>
        <v>0</v>
      </c>
      <c r="T1947" s="1706">
        <f>SUM($S$1920:S1947)</f>
        <v>0</v>
      </c>
      <c r="U1947" s="5337"/>
      <c r="V1947" s="2783">
        <f>Principal!O50</f>
        <v>0</v>
      </c>
      <c r="AB1947" s="363"/>
      <c r="AC1947" s="2563"/>
    </row>
    <row r="1948" spans="1:29" ht="12.75" customHeight="1" x14ac:dyDescent="0.2">
      <c r="A1948" s="1916">
        <v>1948</v>
      </c>
      <c r="B1948" s="5148"/>
      <c r="C1948" s="537" t="str">
        <f>IF(Ki!$P$55="-",", "&amp;Ki!$M$55,"")</f>
        <v/>
      </c>
      <c r="D1948" s="67"/>
      <c r="E1948" s="68"/>
      <c r="G1948" s="1691" t="str">
        <f t="shared" si="148"/>
        <v/>
      </c>
      <c r="H1948" s="67"/>
      <c r="I1948" s="67"/>
      <c r="J1948" s="1698"/>
      <c r="K1948" s="2184" t="b">
        <f>AND(NOT(Frialdad_final="-"),OR(PDs!T155&gt;4,PDs!W155&gt;0,PDs!X155&gt;0,$G$303&gt;0))</f>
        <v>0</v>
      </c>
      <c r="L1948" s="1703" t="s">
        <v>1760</v>
      </c>
      <c r="M1948" s="1702" t="str">
        <f>IF(K1948,IF(N1948="",Frialdad_final+$V$1948&amp;" "&amp;L1948&amp;IF(P1948="","",", "&amp;Frialdad_final+$V$1948+O1948&amp;" "&amp;P1948),IF(ISNUMBER(SEARCH(N1948,P1948)),Frialdad_final+$V$1948-O1948-80&amp;" "&amp;L1948&amp;", "&amp;Frialdad_final+$V$1948&amp;" "&amp;P1948,Frialdad_final+$V$1948-80&amp;" "&amp;L1948&amp;", "&amp;Frialdad_final+$V$1948&amp;" "&amp;L1948&amp;" "&amp;N1948&amp;IF(P1948="","",", "&amp;Frialdad_final+$V$1948-40+O1948&amp;" "&amp;P1948))),"")</f>
        <v/>
      </c>
      <c r="N1948" s="1701" t="str">
        <f>IF(PDs!I155=0,"","("&amp;PDs!I155&amp;")")</f>
        <v/>
      </c>
      <c r="O1948" s="1704" t="e">
        <f>LEFT(PDs!AG155,2)</f>
        <v>#N/A</v>
      </c>
      <c r="P1948" s="1704" t="str">
        <f>IF(PDs!AI155,MID(PDs!AH155,4,25)&amp;MID(PDs!AG155,4,25),"")</f>
        <v/>
      </c>
      <c r="Q1948" s="1705">
        <f t="shared" si="149"/>
        <v>21</v>
      </c>
      <c r="R1948" s="1705" t="str">
        <f t="shared" si="150"/>
        <v/>
      </c>
      <c r="S1948" s="1703">
        <f t="shared" si="151"/>
        <v>0</v>
      </c>
      <c r="T1948" s="1706">
        <f>SUM($S$1920:S1948)</f>
        <v>0</v>
      </c>
      <c r="U1948" s="5337"/>
      <c r="V1948" s="2783">
        <f>Principal!O51</f>
        <v>0</v>
      </c>
      <c r="AB1948" s="363"/>
      <c r="AC1948" s="2563"/>
    </row>
    <row r="1949" spans="1:29" ht="12.75" customHeight="1" x14ac:dyDescent="0.2">
      <c r="A1949" s="1916">
        <v>1949</v>
      </c>
      <c r="B1949" s="5148"/>
      <c r="C1949" s="537" t="str">
        <f>IF(Ki!$P$56="-",", "&amp;Ki!$M$56,"")</f>
        <v/>
      </c>
      <c r="D1949" s="67"/>
      <c r="E1949" s="68"/>
      <c r="G1949" s="1691" t="str">
        <f t="shared" si="148"/>
        <v/>
      </c>
      <c r="H1949" s="67"/>
      <c r="I1949" s="67"/>
      <c r="J1949" s="1698"/>
      <c r="K1949" s="2184" t="b">
        <f>AND(NOT(P.Fuerza_final="-"),OR(PDs!T156&gt;4,PDs!W156&gt;0,PDs!X156&gt;0,$G$303&gt;0))</f>
        <v>0</v>
      </c>
      <c r="L1949" s="1703" t="s">
        <v>1761</v>
      </c>
      <c r="M1949" s="1702" t="str">
        <f>IF(K1949,IF(N1949="",P.Fuerza_final+$V$1949&amp;" "&amp;L1949&amp;IF(P1949="","",", "&amp;P.Fuerza_final+$V$1949+O1949&amp;" "&amp;P1949),IF(ISNUMBER(SEARCH(N1949,P1949)),P.Fuerza_final+$V$1949-O1949-80&amp;" "&amp;L1949&amp;", "&amp;P.Fuerza_final+$V$1949&amp;" "&amp;P1949,P.Fuerza_final+$V$1949-80&amp;" "&amp;L1949&amp;", "&amp;P.Fuerza_final+$V$1949&amp;" "&amp;L1949&amp;" "&amp;N1949&amp;IF(P1949="","",", "&amp;P.Fuerza_final+$V$1949-40+O1949&amp;" "&amp;P1949))),"")</f>
        <v/>
      </c>
      <c r="N1949" s="1701" t="str">
        <f>IF(PDs!I156=0,"","("&amp;PDs!I156&amp;")")</f>
        <v/>
      </c>
      <c r="O1949" s="1704" t="e">
        <f>LEFT(PDs!AG156,2)</f>
        <v>#N/A</v>
      </c>
      <c r="P1949" s="1704" t="str">
        <f>IF(PDs!AI156,MID(PDs!AH156,4,25)&amp;MID(PDs!AG156,4,25),"")</f>
        <v/>
      </c>
      <c r="Q1949" s="1705">
        <f t="shared" si="149"/>
        <v>36</v>
      </c>
      <c r="R1949" s="1705" t="str">
        <f t="shared" si="150"/>
        <v/>
      </c>
      <c r="S1949" s="1703">
        <f t="shared" si="151"/>
        <v>0</v>
      </c>
      <c r="T1949" s="1706">
        <f>SUM($S$1920:S1949)</f>
        <v>0</v>
      </c>
      <c r="U1949" s="5337"/>
      <c r="V1949" s="2783">
        <f>Principal!O52</f>
        <v>-5</v>
      </c>
      <c r="AB1949" s="363"/>
      <c r="AC1949" s="2563"/>
    </row>
    <row r="1950" spans="1:29" ht="12.75" customHeight="1" x14ac:dyDescent="0.2">
      <c r="A1950" s="1916">
        <v>1950</v>
      </c>
      <c r="B1950" s="5148"/>
      <c r="C1950" s="537" t="str">
        <f>IF(Ki!$P$57="-",", "&amp;Ki!$L$57,"")</f>
        <v/>
      </c>
      <c r="D1950" s="67"/>
      <c r="E1950" s="68"/>
      <c r="G1950" s="1691" t="str">
        <f t="shared" si="148"/>
        <v/>
      </c>
      <c r="H1950" s="67"/>
      <c r="I1950" s="67"/>
      <c r="J1950" s="1698"/>
      <c r="K1950" s="2184" t="b">
        <f>AND(NOT(Res.Dolor_final="-"),OR(PDs!T157&gt;4,PDs!W157&gt;0,PDs!X157&gt;0,$G$303&gt;0))</f>
        <v>0</v>
      </c>
      <c r="L1950" s="1703" t="s">
        <v>1764</v>
      </c>
      <c r="M1950" s="1702" t="str">
        <f>IF(K1950,IF(N1950="",Res.Dolor_final+$V$1950&amp;" "&amp;L1950&amp;IF(P1950="","",", "&amp;Res.Dolor_final+$V$1950+O1950&amp;" "&amp;P1950),IF(ISNUMBER(SEARCH(N1950,P1950)),Res.Dolor_final+$V$1950-O1950-80&amp;" "&amp;L1950&amp;", "&amp;Res.Dolor_final+$V$1950&amp;" "&amp;P1950,Res.Dolor_final+$V$1950-80&amp;" "&amp;L1950&amp;", "&amp;Res.Dolor_final+$V$1950&amp;" "&amp;L1950&amp;" "&amp;N1950&amp;IF(P1950="","",", "&amp;Res.Dolor_final+$V$1950-40+O1950&amp;" "&amp;P1950))),"")</f>
        <v/>
      </c>
      <c r="N1950" s="1701" t="str">
        <f>IF(PDs!I157=0,"","("&amp;PDs!I157&amp;")")</f>
        <v/>
      </c>
      <c r="O1950" s="1704" t="e">
        <f>LEFT(PDs!AG157,2)</f>
        <v>#N/A</v>
      </c>
      <c r="P1950" s="1704" t="str">
        <f>IF(PDs!AI157,MID(PDs!AH157,4,25)&amp;MID(PDs!AG157,4,25),"")</f>
        <v/>
      </c>
      <c r="Q1950" s="1705">
        <f t="shared" si="149"/>
        <v>40</v>
      </c>
      <c r="R1950" s="1705" t="str">
        <f t="shared" si="150"/>
        <v/>
      </c>
      <c r="S1950" s="1703">
        <f t="shared" si="151"/>
        <v>0</v>
      </c>
      <c r="T1950" s="1706">
        <f>SUM($S$1920:S1950)</f>
        <v>0</v>
      </c>
      <c r="U1950" s="5337"/>
      <c r="V1950" s="2783">
        <f>Principal!O53</f>
        <v>0</v>
      </c>
      <c r="AB1950" s="363"/>
      <c r="AC1950" s="2563"/>
    </row>
    <row r="1951" spans="1:29" ht="12.75" customHeight="1" x14ac:dyDescent="0.2">
      <c r="A1951" s="1916">
        <v>1951</v>
      </c>
      <c r="B1951" s="5148"/>
      <c r="C1951" s="537" t="str">
        <f>IF(Ki!$P$58="-",", "&amp;Ki!$M$58,"")</f>
        <v/>
      </c>
      <c r="D1951" s="67"/>
      <c r="E1951" s="68"/>
      <c r="G1951" s="1691" t="str">
        <f t="shared" ref="G1951:G1969" si="152">IF(AND(T1951&gt;0,NOT(R1951="")),", "&amp;R1951,R1951)</f>
        <v/>
      </c>
      <c r="H1951" s="67"/>
      <c r="I1951" s="67"/>
      <c r="J1951" s="1698"/>
      <c r="K1951" s="2184" t="b">
        <f>AND(NOT(Cerrajería_final="-"),OR(PDs!T158&gt;4,PDs!W158&gt;0,PDs!X158&gt;0,$G$303&gt;0))</f>
        <v>0</v>
      </c>
      <c r="L1951" s="1703" t="s">
        <v>1768</v>
      </c>
      <c r="M1951" s="1702" t="str">
        <f>IF(K1951,IF(N1951="",Cerrajería_final+$V$1951&amp;" "&amp;L1951&amp;IF(P1951="","",", "&amp;Cerrajería_final+$V$1951+O1951&amp;" "&amp;P1951),IF(ISNUMBER(SEARCH(N1951,P1951)),Cerrajería_final+$V$1951-O1951-80&amp;" "&amp;L1951&amp;", "&amp;Cerrajería_final+$V$1951&amp;" "&amp;P1951,Cerrajería_final+$V$1951-80&amp;" "&amp;L1951&amp;", "&amp;Cerrajería_final+$V$1951&amp;" "&amp;L1951&amp;" "&amp;N1951&amp;IF(P1951="","",", "&amp;Cerrajería_final+$V$1951-40+O1951&amp;" "&amp;P1951))),"")</f>
        <v/>
      </c>
      <c r="N1951" s="1701" t="str">
        <f>IF(PDs!I158=0,"","("&amp;PDs!I158&amp;")")</f>
        <v/>
      </c>
      <c r="O1951" s="1704" t="e">
        <f>LEFT(PDs!AG158,2)</f>
        <v>#N/A</v>
      </c>
      <c r="P1951" s="1704" t="str">
        <f>IF(PDs!AI158,MID(PDs!AH158,4,25)&amp;MID(PDs!AG158,4,25),"")</f>
        <v/>
      </c>
      <c r="Q1951" s="1705">
        <f t="shared" ref="Q1951:Q1969" si="153">COUNTIF($L$1919:$L$1969,"&lt;="&amp;L1951)</f>
        <v>12</v>
      </c>
      <c r="R1951" s="1705" t="str">
        <f t="shared" ref="R1951:R1974" si="154">INDEX($M$1919:$M$1974,MATCH($A33,$Q$1919:$Q$1974,0))</f>
        <v/>
      </c>
      <c r="S1951" s="1703">
        <f t="shared" si="151"/>
        <v>0</v>
      </c>
      <c r="T1951" s="1706">
        <f>SUM($S$1920:S1951)</f>
        <v>0</v>
      </c>
      <c r="U1951" s="5337"/>
      <c r="V1951" s="2783">
        <f>Principal!O54</f>
        <v>0</v>
      </c>
      <c r="AB1951" s="363"/>
      <c r="AC1951" s="2563"/>
    </row>
    <row r="1952" spans="1:29" ht="12.75" customHeight="1" x14ac:dyDescent="0.2">
      <c r="A1952" s="1916">
        <v>1952</v>
      </c>
      <c r="B1952" s="5148"/>
      <c r="C1952" s="537" t="str">
        <f>IF(Ki!$P$59="-",", "&amp;Ki!$N$59,"")</f>
        <v/>
      </c>
      <c r="D1952" s="67"/>
      <c r="E1952" s="68"/>
      <c r="G1952" s="1691" t="str">
        <f t="shared" si="152"/>
        <v/>
      </c>
      <c r="H1952" s="67"/>
      <c r="I1952" s="67"/>
      <c r="J1952" s="1698"/>
      <c r="K1952" s="2184" t="b">
        <f>AND(NOT(Disfraz_final="-"),OR(PDs!T159&gt;4,PDs!W159&gt;0,PDs!X159&gt;0,$G$303&gt;0))</f>
        <v>0</v>
      </c>
      <c r="L1952" s="1703" t="s">
        <v>1770</v>
      </c>
      <c r="M1952" s="1702" t="str">
        <f>IF(K1952,IF(N1952="",Disfraz_final+$V$1952&amp;" "&amp;L1952&amp;IF(P1952="","",", "&amp;Disfraz_final+$V$1952+O1952&amp;" "&amp;P1952),IF(ISNUMBER(SEARCH(N1952,P1952)),Disfraz_final+$V$1952-O1952-80&amp;" "&amp;L1952&amp;", "&amp;Disfraz_final+$V$1952&amp;" "&amp;P1952,Disfraz_final+$V$1952-80&amp;" "&amp;L1952&amp;", "&amp;Disfraz_final+$V$1952&amp;" "&amp;L1952&amp;" "&amp;N1952&amp;IF(P1952="","",", "&amp;Disfraz_final+$V$1952-40+O1952&amp;" "&amp;P1952))),"")</f>
        <v/>
      </c>
      <c r="N1952" s="1701" t="str">
        <f>IF(PDs!I159=0,"","("&amp;PDs!I159&amp;")")</f>
        <v/>
      </c>
      <c r="O1952" s="1704" t="e">
        <f>LEFT(PDs!AG159,2)</f>
        <v>#N/A</v>
      </c>
      <c r="P1952" s="1704" t="str">
        <f>IF(PDs!AI159,MID(PDs!AH159,4,25)&amp;MID(PDs!AG159,4,25),"")</f>
        <v/>
      </c>
      <c r="Q1952" s="1705">
        <f t="shared" si="153"/>
        <v>17</v>
      </c>
      <c r="R1952" s="1705" t="str">
        <f t="shared" si="154"/>
        <v/>
      </c>
      <c r="S1952" s="1703">
        <f t="shared" si="151"/>
        <v>0</v>
      </c>
      <c r="T1952" s="1706">
        <f>SUM($S$1920:S1952)</f>
        <v>0</v>
      </c>
      <c r="U1952" s="5337"/>
      <c r="V1952" s="2783">
        <f>Principal!O55</f>
        <v>0</v>
      </c>
      <c r="AB1952" s="363"/>
      <c r="AC1952" s="2563"/>
    </row>
    <row r="1953" spans="1:29" ht="12.75" customHeight="1" x14ac:dyDescent="0.2">
      <c r="A1953" s="1916">
        <v>1953</v>
      </c>
      <c r="B1953" s="5148"/>
      <c r="C1953" s="537" t="str">
        <f>IF(Ki!$P$60="-",", "&amp;Ki!$L$60,"")</f>
        <v/>
      </c>
      <c r="D1953" s="67"/>
      <c r="E1953" s="68"/>
      <c r="G1953" s="1691" t="str">
        <f t="shared" si="152"/>
        <v/>
      </c>
      <c r="H1953" s="67"/>
      <c r="I1953" s="67"/>
      <c r="J1953" s="1698"/>
      <c r="K1953" s="2184" t="b">
        <f>AND(NOT(Ocultarse_final="-"),OR(PDs!T160&gt;4,PDs!W160&gt;0,PDs!X160&gt;0,$G$303&gt;0))</f>
        <v>0</v>
      </c>
      <c r="L1953" s="1703" t="s">
        <v>1772</v>
      </c>
      <c r="M1953" s="1702" t="str">
        <f>IF(K1953,IF(N1953="",Ocultarse_final+$V$1953&amp;" "&amp;L1953&amp;IF(P1953="","",", "&amp;Ocultarse_final+$V$1953+O1953&amp;" "&amp;P1953),IF(ISNUMBER(SEARCH(N1953,P1953)),Ocultarse_final+$V$1953-O1953-80&amp;" "&amp;L1953&amp;", "&amp;Ocultarse_final+$V$1953&amp;" "&amp;P1953,Ocultarse_final+$V$1953-80&amp;" "&amp;L1953&amp;", "&amp;Ocultarse_final+$V$1953&amp;" "&amp;L1953&amp;" "&amp;N1953&amp;IF(P1953="","",", "&amp;Ocultarse_final+$V$1953-40+O1953&amp;" "&amp;P1953))),"")</f>
        <v/>
      </c>
      <c r="N1953" s="1701" t="str">
        <f>IF(PDs!I160=0,"","("&amp;PDs!I160&amp;")")</f>
        <v/>
      </c>
      <c r="O1953" s="1704" t="e">
        <f>LEFT(PDs!AG160,2)</f>
        <v>#N/A</v>
      </c>
      <c r="P1953" s="1704" t="str">
        <f>IF(PDs!AI160,MID(PDs!AH160,4,25)&amp;MID(PDs!AG160,4,25),"")</f>
        <v/>
      </c>
      <c r="Q1953" s="1705">
        <f t="shared" si="153"/>
        <v>33</v>
      </c>
      <c r="R1953" s="1705" t="str">
        <f t="shared" si="154"/>
        <v/>
      </c>
      <c r="S1953" s="1703">
        <f t="shared" si="151"/>
        <v>0</v>
      </c>
      <c r="T1953" s="1706">
        <f>SUM($S$1920:S1953)</f>
        <v>0</v>
      </c>
      <c r="U1953" s="5337"/>
      <c r="V1953" s="2783">
        <f>Principal!O56</f>
        <v>-5</v>
      </c>
      <c r="AB1953" s="363"/>
      <c r="AC1953" s="2563"/>
    </row>
    <row r="1954" spans="1:29" ht="12.75" customHeight="1" x14ac:dyDescent="0.2">
      <c r="A1954" s="1916">
        <v>1954</v>
      </c>
      <c r="B1954" s="5148"/>
      <c r="C1954" s="537" t="str">
        <f>IF(Ki!$P$61="-",", "&amp;Ki!$M$61,"")</f>
        <v/>
      </c>
      <c r="D1954" s="67"/>
      <c r="E1954" s="68"/>
      <c r="G1954" s="1691" t="str">
        <f t="shared" si="152"/>
        <v/>
      </c>
      <c r="H1954" s="67"/>
      <c r="I1954" s="67"/>
      <c r="J1954" s="1698"/>
      <c r="K1954" s="2184" t="b">
        <f>AND(NOT(Robo_final="-"),OR(PDs!T161&gt;4,PDs!W161&gt;0,PDs!X161&gt;0,$G$303&gt;0))</f>
        <v>0</v>
      </c>
      <c r="L1954" s="1703" t="s">
        <v>1774</v>
      </c>
      <c r="M1954" s="1702" t="str">
        <f>IF(K1954,IF(N1954="",Robo_final+$V$1954&amp;" "&amp;L1954&amp;IF(P1954="","",", "&amp;Robo_final+$V$1954+O1954&amp;" "&amp;P1954),IF(ISNUMBER(SEARCH(N1954,P1954)),Robo_final+$V$1954-O1954-80&amp;" "&amp;L1954&amp;", "&amp;Robo_final+$V$1954&amp;" "&amp;P1954,Robo_final+$V$1954-80&amp;" "&amp;L1954&amp;", "&amp;Robo_final+$V$1954&amp;" "&amp;L1954&amp;" "&amp;N1954&amp;IF(P1954="","",", "&amp;Robo_final+$V$1954-40+O1954&amp;" "&amp;P1954))),"")</f>
        <v/>
      </c>
      <c r="N1954" s="1701" t="str">
        <f>IF(PDs!I161=0,"","("&amp;PDs!I161&amp;")")</f>
        <v/>
      </c>
      <c r="O1954" s="1704" t="e">
        <f>LEFT(PDs!AG161,2)</f>
        <v>#N/A</v>
      </c>
      <c r="P1954" s="1704" t="str">
        <f>IF(PDs!AI161,MID(PDs!AH161,4,25)&amp;MID(PDs!AG161,4,25),"")</f>
        <v/>
      </c>
      <c r="Q1954" s="1705">
        <f t="shared" si="153"/>
        <v>41</v>
      </c>
      <c r="R1954" s="1705" t="str">
        <f t="shared" si="154"/>
        <v/>
      </c>
      <c r="S1954" s="1703">
        <f t="shared" si="151"/>
        <v>0</v>
      </c>
      <c r="T1954" s="2795">
        <f>SUM($S$1920:S1954)</f>
        <v>0</v>
      </c>
      <c r="U1954" s="5337"/>
      <c r="V1954" s="2783">
        <f>Principal!O57</f>
        <v>0</v>
      </c>
      <c r="AB1954" s="363"/>
      <c r="AC1954" s="2563"/>
    </row>
    <row r="1955" spans="1:29" ht="12.75" customHeight="1" x14ac:dyDescent="0.2">
      <c r="A1955" s="1916">
        <v>1955</v>
      </c>
      <c r="B1955" s="5148"/>
      <c r="C1955" s="537" t="str">
        <f>IF(Ki!$P$62="-",", "&amp;Ki!$K$62,"")</f>
        <v/>
      </c>
      <c r="D1955" s="67"/>
      <c r="E1955" s="68"/>
      <c r="G1955" s="1691" t="str">
        <f>IF(AND(T1955&gt;0,NOT(R1955="")),", "&amp;R1955,R1955)</f>
        <v/>
      </c>
      <c r="H1955" s="67"/>
      <c r="I1955" s="67"/>
      <c r="J1955" s="1698"/>
      <c r="K1955" s="2184" t="b">
        <f>AND(NOT(Sigilo_final="-"),OR(PDs!T162&gt;4,PDs!W162&gt;0,PDs!X162&gt;0,$G$303&gt;0))</f>
        <v>0</v>
      </c>
      <c r="L1955" s="1703" t="s">
        <v>1776</v>
      </c>
      <c r="M1955" s="1702" t="str">
        <f>IF(K1955,IF(N1955="",Sigilo_final+$V$1955&amp;" "&amp;L1955&amp;IF(P1955="","",", "&amp;Sigilo_final+$V$1955+O1955&amp;" "&amp;P1955),IF(ISNUMBER(SEARCH(N1955,P1955)),Sigilo_final+$V$1955-O1955-80&amp;" "&amp;L1955&amp;", "&amp;Sigilo_final+$V$1955&amp;" "&amp;P1955,Sigilo_final+$V$1955-80&amp;" "&amp;L1955&amp;", "&amp;Sigilo_final+$V$1955&amp;" "&amp;L1955&amp;" "&amp;N1955&amp;IF(P1955="","",", "&amp;Sigilo_final+$V$1955-40+O1955&amp;" "&amp;P1955))),"")</f>
        <v/>
      </c>
      <c r="N1955" s="1701" t="str">
        <f>IF(PDs!I162=0,"","("&amp;PDs!I162&amp;")")</f>
        <v/>
      </c>
      <c r="O1955" s="1704" t="e">
        <f>LEFT(PDs!AG162,2)</f>
        <v>#N/A</v>
      </c>
      <c r="P1955" s="1704" t="str">
        <f>IF(PDs!AI162,MID(PDs!AH162,4,25)&amp;MID(PDs!AG162,4,25),"")</f>
        <v/>
      </c>
      <c r="Q1955" s="1705">
        <f t="shared" si="153"/>
        <v>44</v>
      </c>
      <c r="R1955" s="1705" t="str">
        <f t="shared" si="154"/>
        <v/>
      </c>
      <c r="S1955" s="1703">
        <f t="shared" si="151"/>
        <v>0</v>
      </c>
      <c r="T1955" s="2795">
        <f>SUM($S$1920:S1955)</f>
        <v>0</v>
      </c>
      <c r="U1955" s="5337"/>
      <c r="V1955" s="2783">
        <f>Principal!O58</f>
        <v>-5</v>
      </c>
      <c r="AB1955" s="363"/>
      <c r="AC1955" s="2563"/>
    </row>
    <row r="1956" spans="1:29" ht="12.75" customHeight="1" x14ac:dyDescent="0.2">
      <c r="A1956" s="1916">
        <v>1956</v>
      </c>
      <c r="B1956" s="5148"/>
      <c r="C1956" s="537"/>
      <c r="D1956" s="67"/>
      <c r="E1956" s="68"/>
      <c r="G1956" s="1691" t="str">
        <f t="shared" si="152"/>
        <v/>
      </c>
      <c r="H1956" s="67"/>
      <c r="I1956" s="67"/>
      <c r="J1956" s="1698"/>
      <c r="K1956" s="2184" t="b">
        <f>AND(NOT(Trampería_final="-"),OR(PDs!T163&gt;4,PDs!W163&gt;0,PDs!X163&gt;0,$G$303&gt;0))</f>
        <v>0</v>
      </c>
      <c r="L1956" s="1703" t="s">
        <v>1778</v>
      </c>
      <c r="M1956" s="1702" t="str">
        <f>IF(K1956,IF(N1956="",Trampería_final+$V$1956&amp;" "&amp;L1956&amp;IF(P1956="","",", "&amp;Trampería_final+$V$1956+O1956&amp;" "&amp;P1956),IF(ISNUMBER(SEARCH(N1956,P1956)),Trampería_final+$V$1956-O1956-80&amp;" "&amp;L1956&amp;", "&amp;Trampería_final+$V$1956&amp;" "&amp;P1956,Trampería_final+$V$1956-80&amp;" "&amp;L1956&amp;", "&amp;Trampería_final+$V$1956&amp;" "&amp;L1956&amp;" "&amp;N1956&amp;IF(P1956="","",", "&amp;Trampería_final+$V$1956-40+O1956&amp;" "&amp;P1956))),"")</f>
        <v/>
      </c>
      <c r="N1956" s="1701" t="str">
        <f>IF(PDs!I163=0,"","("&amp;PDs!I163&amp;")")</f>
        <v/>
      </c>
      <c r="O1956" s="1704" t="e">
        <f>LEFT(PDs!AG163,2)</f>
        <v>#N/A</v>
      </c>
      <c r="P1956" s="1704" t="str">
        <f>IF(PDs!AI163,MID(PDs!AH163,4,25)&amp;MID(PDs!AG163,4,25),"")</f>
        <v/>
      </c>
      <c r="Q1956" s="1705">
        <f t="shared" si="153"/>
        <v>48</v>
      </c>
      <c r="R1956" s="1705" t="str">
        <f t="shared" si="154"/>
        <v/>
      </c>
      <c r="S1956" s="1703">
        <f t="shared" si="151"/>
        <v>0</v>
      </c>
      <c r="T1956" s="2795">
        <f>SUM($S$1920:S1956)</f>
        <v>0</v>
      </c>
      <c r="U1956" s="5337"/>
      <c r="V1956" s="2783">
        <f>Principal!O59</f>
        <v>0</v>
      </c>
      <c r="AB1956" s="363"/>
      <c r="AC1956" s="2563"/>
    </row>
    <row r="1957" spans="1:29" ht="12.75" customHeight="1" x14ac:dyDescent="0.2">
      <c r="A1957" s="1916">
        <v>1957</v>
      </c>
      <c r="B1957" s="5148"/>
      <c r="C1957" s="537"/>
      <c r="D1957" s="67"/>
      <c r="E1957" s="68"/>
      <c r="G1957" s="1691" t="str">
        <f t="shared" si="152"/>
        <v/>
      </c>
      <c r="H1957" s="67"/>
      <c r="I1957" s="67"/>
      <c r="J1957" s="1698"/>
      <c r="K1957" s="2184" t="b">
        <f>AND(NOT(Venenos_final="-"),OR(PDs!T164&gt;4,PDs!W164&gt;0,PDs!X164&gt;0,$G$303&gt;0))</f>
        <v>0</v>
      </c>
      <c r="L1957" s="1703" t="s">
        <v>1779</v>
      </c>
      <c r="M1957" s="1702" t="str">
        <f>IF(K1957,IF(N1957="",Venenos_final+$V$1957&amp;" "&amp;L1957&amp;IF(P1957="","",", "&amp;Venenos_final+$V$1957+O1957&amp;" "&amp;P1957),IF(ISNUMBER(SEARCH(N1957,P1957)),Venenos_final+$V$1957-O1957-80&amp;" "&amp;L1957&amp;", "&amp;Venenos_final+$V$1957&amp;" "&amp;P1957,Venenos_final+$V$1957-80&amp;" "&amp;L1957&amp;", "&amp;Venenos_final+$V$1957&amp;" "&amp;L1957&amp;" "&amp;N1957&amp;IF(P1957="","",", "&amp;Venenos_final+$V$1957-40+O1957&amp;" "&amp;P1957))),"")</f>
        <v/>
      </c>
      <c r="N1957" s="1701" t="str">
        <f>IF(PDs!I164=0,"","("&amp;PDs!I164&amp;")")</f>
        <v/>
      </c>
      <c r="O1957" s="1704" t="e">
        <f>LEFT(PDs!AG164,2)</f>
        <v>#N/A</v>
      </c>
      <c r="P1957" s="1704" t="str">
        <f>IF(PDs!AI164,MID(PDs!AH164,4,25)&amp;MID(PDs!AG164,4,25),"")</f>
        <v/>
      </c>
      <c r="Q1957" s="1705">
        <f t="shared" si="153"/>
        <v>51</v>
      </c>
      <c r="R1957" s="1705" t="str">
        <f t="shared" si="154"/>
        <v/>
      </c>
      <c r="S1957" s="1703">
        <f t="shared" si="151"/>
        <v>0</v>
      </c>
      <c r="T1957" s="2795">
        <f>SUM($S$1920:S1957)</f>
        <v>0</v>
      </c>
      <c r="U1957" s="5337"/>
      <c r="V1957" s="2783">
        <f>Principal!O60</f>
        <v>0</v>
      </c>
      <c r="AB1957" s="363"/>
      <c r="AC1957" s="2563"/>
    </row>
    <row r="1958" spans="1:29" ht="12.75" customHeight="1" x14ac:dyDescent="0.2">
      <c r="A1958" s="1916">
        <v>1958</v>
      </c>
      <c r="B1958" s="5148"/>
      <c r="C1958" s="537" t="str">
        <f>IF(Ki!$H$43="-",IF(SUM(Ki!$Q$10:$Q$64)=0,Ki!$C$43,", "&amp;Ki!$C$43),"")</f>
        <v/>
      </c>
      <c r="D1958" s="67"/>
      <c r="E1958" s="68"/>
      <c r="G1958" s="1691" t="str">
        <f t="shared" si="152"/>
        <v/>
      </c>
      <c r="H1958" s="67"/>
      <c r="I1958" s="67"/>
      <c r="J1958" s="1698"/>
      <c r="K1958" s="2184" t="b">
        <f>AND(NOT(Arte_final="-"),OR(PDs!T165&gt;4,PDs!W165&gt;0,PDs!X165&gt;0,$G$303&gt;0))</f>
        <v>0</v>
      </c>
      <c r="L1958" s="1703" t="s">
        <v>1781</v>
      </c>
      <c r="M1958" s="1702" t="str">
        <f>IF(K1958,IF(N1958="",Arte_final+$V$1958&amp;" "&amp;L1958&amp;IF(P1958="","",", "&amp;Arte_final+$V$1958+O1958&amp;" "&amp;P1958),IF(ISNUMBER(SEARCH(N1958,P1958)),Arte_final+$V$1958-O1958-80&amp;" "&amp;L1958&amp;", "&amp;Arte_final+$V$1958&amp;" "&amp;P1958,Arte_final+$V$1958-80&amp;" "&amp;L1958&amp;", "&amp;Arte_final+$V$1958&amp;" "&amp;L1958&amp;" "&amp;N1958&amp;IF(P1958="","",", "&amp;Arte_final+$V$1958-40+O1958&amp;" "&amp;P1958))),"")</f>
        <v/>
      </c>
      <c r="N1958" s="1701" t="str">
        <f>IF(PDs!I165=0,"","("&amp;PDs!I165&amp;")")</f>
        <v/>
      </c>
      <c r="O1958" s="1704" t="e">
        <f>LEFT(PDs!AG165,2)</f>
        <v>#N/A</v>
      </c>
      <c r="P1958" s="1704" t="str">
        <f>IF(PDs!AI165,MID(PDs!AH165,4,25)&amp;MID(PDs!AG165,4,25),"")</f>
        <v/>
      </c>
      <c r="Q1958" s="1705">
        <f t="shared" si="153"/>
        <v>6</v>
      </c>
      <c r="R1958" s="1705" t="str">
        <f t="shared" si="154"/>
        <v/>
      </c>
      <c r="S1958" s="1703">
        <f t="shared" si="151"/>
        <v>0</v>
      </c>
      <c r="T1958" s="2795">
        <f>SUM($S$1920:S1958)</f>
        <v>0</v>
      </c>
      <c r="U1958" s="5337"/>
      <c r="V1958" s="2783">
        <f>Principal!O61</f>
        <v>0</v>
      </c>
      <c r="AB1958" s="363"/>
      <c r="AC1958" s="2563"/>
    </row>
    <row r="1959" spans="1:29" ht="12.75" customHeight="1" x14ac:dyDescent="0.2">
      <c r="A1959" s="1916">
        <v>1959</v>
      </c>
      <c r="B1959" s="5148"/>
      <c r="C1959" s="537" t="str">
        <f>IF(Ki!$H$45="-",", "&amp;Ki!$C$45,"")</f>
        <v/>
      </c>
      <c r="D1959" s="67"/>
      <c r="E1959" s="68"/>
      <c r="G1959" s="1691" t="str">
        <f t="shared" si="152"/>
        <v/>
      </c>
      <c r="H1959" s="67"/>
      <c r="I1959" s="67"/>
      <c r="J1959" s="1698"/>
      <c r="K1959" s="2184" t="b">
        <f>AND(NOT(Baile_final="-"),OR(PDs!T166&gt;4,PDs!W166&gt;0,PDs!X166&gt;0,$G$303&gt;0))</f>
        <v>0</v>
      </c>
      <c r="L1959" s="1703" t="s">
        <v>1782</v>
      </c>
      <c r="M1959" s="1702" t="str">
        <f>IF(K1959,IF(N1959="",Baile_final+$V$1959&amp;" "&amp;L1959&amp;IF(P1959="","",", "&amp;Baile_final+$V$1959+O1959&amp;" "&amp;P1959),IF(ISNUMBER(SEARCH(N1959,P1959)),Baile_final+$V$1959-O1959-80&amp;" "&amp;L1959&amp;", "&amp;Baile_final+$V$1959&amp;" "&amp;P1959,Baile_final+$V$1959-80&amp;" "&amp;L1959&amp;", "&amp;Baile_final+$V$1959&amp;" "&amp;L1959&amp;" "&amp;N1959&amp;IF(P1959="","",", "&amp;Baile_final+$V$1959-40+O1959&amp;" "&amp;P1959))),"")</f>
        <v/>
      </c>
      <c r="N1959" s="1701" t="str">
        <f>IF(PDs!I166=0,"","("&amp;PDs!I166&amp;")")</f>
        <v/>
      </c>
      <c r="O1959" s="1704" t="e">
        <f>LEFT(PDs!AG166,2)</f>
        <v>#N/A</v>
      </c>
      <c r="P1959" s="1704" t="str">
        <f>IF(PDs!AI166,MID(PDs!AH166,4,25)&amp;MID(PDs!AG166,4,25),"")</f>
        <v/>
      </c>
      <c r="Q1959" s="1705">
        <f t="shared" si="153"/>
        <v>8</v>
      </c>
      <c r="R1959" s="1705" t="str">
        <f t="shared" si="154"/>
        <v/>
      </c>
      <c r="S1959" s="1703">
        <f t="shared" si="151"/>
        <v>0</v>
      </c>
      <c r="T1959" s="2795">
        <f>SUM($S$1920:S1959)</f>
        <v>0</v>
      </c>
      <c r="U1959" s="5337"/>
      <c r="V1959" s="2783">
        <f>Principal!O62</f>
        <v>-5</v>
      </c>
      <c r="AB1959" s="363"/>
      <c r="AC1959" s="2563"/>
    </row>
    <row r="1960" spans="1:29" ht="12.75" customHeight="1" x14ac:dyDescent="0.2">
      <c r="A1960" s="1916">
        <v>1960</v>
      </c>
      <c r="B1960" s="5148"/>
      <c r="C1960" s="537" t="str">
        <f>IF(Ki!$H$46="-",", "&amp;Ki!$D$46,"")</f>
        <v/>
      </c>
      <c r="D1960" s="67"/>
      <c r="E1960" s="68"/>
      <c r="G1960" s="1691" t="str">
        <f t="shared" si="152"/>
        <v/>
      </c>
      <c r="H1960" s="67"/>
      <c r="I1960" s="67"/>
      <c r="J1960" s="1698"/>
      <c r="K1960" s="2184" t="b">
        <f>AND(NOT(Forja_final="-"),OR(PDs!T167&gt;4,PDs!W167&gt;0,PDs!X167&gt;0,$G$303&gt;0))</f>
        <v>0</v>
      </c>
      <c r="L1960" s="1703" t="s">
        <v>1783</v>
      </c>
      <c r="M1960" s="1702" t="str">
        <f>IF(K1960,IF(N1960="",Forja_final+$V$1960&amp;" "&amp;L1960&amp;IF(P1960="","",", "&amp;Forja_final+$V$1960+O1960&amp;" "&amp;P1960),IF(ISNUMBER(SEARCH(N1960,P1960)),Forja_final+$V$1960-O1960-80&amp;" "&amp;L1960&amp;", "&amp;Forja_final+$V$1960&amp;" "&amp;P1960,Forja_final+$V$1960-80&amp;" "&amp;L1960&amp;", "&amp;Forja_final+$V$1960&amp;" "&amp;L1960&amp;" "&amp;N1960&amp;IF(P1960="","",", "&amp;Forja_final+$V$1960-40+O1960&amp;" "&amp;P1960))),"")</f>
        <v/>
      </c>
      <c r="N1960" s="1701" t="str">
        <f>IF(PDs!I167=0,"","("&amp;PDs!I167&amp;")")</f>
        <v/>
      </c>
      <c r="O1960" s="1704" t="e">
        <f>LEFT(PDs!AG167,2)</f>
        <v>#N/A</v>
      </c>
      <c r="P1960" s="1704" t="str">
        <f>IF(PDs!AI167,MID(PDs!AH167,4,25)&amp;MID(PDs!AG167,4,25),"")</f>
        <v/>
      </c>
      <c r="Q1960" s="1705">
        <f t="shared" si="153"/>
        <v>20</v>
      </c>
      <c r="R1960" s="1705" t="str">
        <f t="shared" si="154"/>
        <v/>
      </c>
      <c r="S1960" s="1703">
        <f t="shared" si="151"/>
        <v>0</v>
      </c>
      <c r="T1960" s="2795">
        <f>SUM($S$1920:S1960)</f>
        <v>0</v>
      </c>
      <c r="U1960" s="5337"/>
      <c r="V1960" s="2783">
        <f>Principal!O63</f>
        <v>0</v>
      </c>
      <c r="AB1960" s="363"/>
      <c r="AC1960" s="2563"/>
    </row>
    <row r="1961" spans="1:29" ht="12.75" customHeight="1" x14ac:dyDescent="0.2">
      <c r="A1961" s="1916">
        <v>1961</v>
      </c>
      <c r="B1961" s="5148"/>
      <c r="C1961" s="537" t="str">
        <f>IF(Ki!$H$47="-",", "&amp;Ki!$C$47,"")</f>
        <v/>
      </c>
      <c r="D1961" s="67"/>
      <c r="E1961" s="68"/>
      <c r="G1961" s="1691" t="str">
        <f t="shared" si="152"/>
        <v/>
      </c>
      <c r="H1961" s="67"/>
      <c r="I1961" s="67"/>
      <c r="J1961" s="1698"/>
      <c r="K1961" s="2184" t="b">
        <f>AND(NOT(Runas_final="-"),OR(PDs!T168&gt;4,PDs!W168&gt;0,PDs!X168&gt;0,$G$303&gt;0))</f>
        <v>0</v>
      </c>
      <c r="L1961" s="1703" t="s">
        <v>1082</v>
      </c>
      <c r="M1961" s="1702" t="str">
        <f>IF(K1961,IF(N1961="",Runas_final+$V$1961&amp;" "&amp;L1961&amp;IF(P1961="","",", "&amp;Runas_final+$V$1961+O1961&amp;" "&amp;P1961),IF(ISNUMBER(SEARCH(N1961,P1961)),Runas_final+$V$1961-O1961-80&amp;" "&amp;L1961&amp;", "&amp;Runas_final+$V$1961&amp;" "&amp;P1961,Runas_final+$V$1961-80&amp;" "&amp;L1961&amp;", "&amp;Runas_final+$V$1961&amp;" "&amp;L1961&amp;" "&amp;N1961&amp;IF(P1961="","",", "&amp;Runas_final+$V$1961-40+O1961&amp;" "&amp;P1961))),"")</f>
        <v/>
      </c>
      <c r="N1961" s="1701" t="str">
        <f>IF(PDs!I168=0,"","("&amp;PDs!I168&amp;")")</f>
        <v/>
      </c>
      <c r="O1961" s="1704" t="e">
        <f>LEFT(PDs!AG168,2)</f>
        <v>#N/A</v>
      </c>
      <c r="P1961" s="1704" t="str">
        <f>IF(PDs!AI168,MID(PDs!AH168,4,25)&amp;MID(PDs!AG168,4,25),"")</f>
        <v/>
      </c>
      <c r="Q1961" s="1705">
        <f t="shared" si="153"/>
        <v>42</v>
      </c>
      <c r="R1961" s="1705" t="str">
        <f t="shared" si="154"/>
        <v/>
      </c>
      <c r="S1961" s="1703">
        <f t="shared" si="151"/>
        <v>0</v>
      </c>
      <c r="T1961" s="2795">
        <f>SUM($S$1920:S1961)</f>
        <v>0</v>
      </c>
      <c r="U1961" s="5337"/>
      <c r="V1961" s="2783">
        <f>Principal!O64</f>
        <v>0</v>
      </c>
      <c r="AB1961" s="363"/>
      <c r="AC1961" s="2563"/>
    </row>
    <row r="1962" spans="1:29" ht="12.75" customHeight="1" x14ac:dyDescent="0.2">
      <c r="A1962" s="1916">
        <v>1962</v>
      </c>
      <c r="B1962" s="5148"/>
      <c r="C1962" s="537" t="str">
        <f>IF(Ki!$H$48="-",", "&amp;Ki!$D$48,"")</f>
        <v/>
      </c>
      <c r="D1962" s="67"/>
      <c r="E1962" s="68"/>
      <c r="G1962" s="1691" t="str">
        <f t="shared" si="152"/>
        <v/>
      </c>
      <c r="H1962" s="67"/>
      <c r="I1962" s="67"/>
      <c r="J1962" s="1698"/>
      <c r="K1962" s="2184" t="b">
        <f>AND(NOT(Alquimia_final="-"),OR(PDs!T169&gt;4,PDs!W169&gt;0,PDs!X169&gt;0,$G$303&gt;0))</f>
        <v>0</v>
      </c>
      <c r="L1962" s="1703" t="s">
        <v>1083</v>
      </c>
      <c r="M1962" s="1702" t="str">
        <f>IF(K1962,IF(N1962="",Alquimia_final+$V$1962&amp;" "&amp;L1962&amp;IF(P1962="","",", "&amp;Alquimia_final+$V$1962+O1962&amp;" "&amp;P1962),IF(ISNUMBER(SEARCH(N1962,P1962)),Alquimia_final+$V$1962-O1962-80&amp;" "&amp;L1962&amp;", "&amp;Alquimia_final+$V$1962&amp;" "&amp;P1962,Alquimia_final+$V$1962-80&amp;" "&amp;L1962&amp;", "&amp;Alquimia_final+$V$1962&amp;" "&amp;L1962&amp;" "&amp;N1962&amp;IF(P1962="","",", "&amp;Alquimia_final+$V$1962-40+O1962&amp;" "&amp;P1962))),"")</f>
        <v/>
      </c>
      <c r="N1962" s="1701" t="str">
        <f>IF(PDs!I169=0,"","("&amp;PDs!I169&amp;")")</f>
        <v/>
      </c>
      <c r="O1962" s="1704" t="e">
        <f>LEFT(PDs!AG169,2)</f>
        <v>#N/A</v>
      </c>
      <c r="P1962" s="1704" t="str">
        <f>IF(PDs!AI169,MID(PDs!AH169,4,25)&amp;MID(PDs!AG169,4,25),"")</f>
        <v/>
      </c>
      <c r="Q1962" s="1705">
        <f t="shared" si="153"/>
        <v>3</v>
      </c>
      <c r="R1962" s="1705" t="str">
        <f t="shared" si="154"/>
        <v/>
      </c>
      <c r="S1962" s="1703">
        <f t="shared" si="151"/>
        <v>0</v>
      </c>
      <c r="T1962" s="2795">
        <f>SUM($S$1920:S1962)</f>
        <v>0</v>
      </c>
      <c r="U1962" s="5337"/>
      <c r="V1962" s="2783">
        <f>Principal!O65</f>
        <v>0</v>
      </c>
      <c r="AB1962" s="363"/>
      <c r="AC1962" s="2563"/>
    </row>
    <row r="1963" spans="1:29" ht="12.75" customHeight="1" x14ac:dyDescent="0.2">
      <c r="A1963" s="1916">
        <v>1963</v>
      </c>
      <c r="B1963" s="5148"/>
      <c r="C1963" s="537" t="str">
        <f>IF(Ki!$H$49="-",", "&amp;Ki!$C$49,"")</f>
        <v/>
      </c>
      <c r="D1963" s="67"/>
      <c r="E1963" s="68"/>
      <c r="G1963" s="1691" t="str">
        <f t="shared" si="152"/>
        <v/>
      </c>
      <c r="H1963" s="67"/>
      <c r="I1963" s="67"/>
      <c r="J1963" s="1698"/>
      <c r="K1963" s="2184" t="b">
        <f>AND(NOT(Animismo_final="-"),OR(PDs!T170&gt;4,PDs!W170&gt;0,PDs!X170&gt;0,$G$303&gt;0))</f>
        <v>0</v>
      </c>
      <c r="L1963" s="1703" t="s">
        <v>1084</v>
      </c>
      <c r="M1963" s="1702" t="str">
        <f>IF(K1963,IF(N1963="",Animismo_final+$V$1963&amp;" "&amp;L1963&amp;IF(P1963="","",", "&amp;Animismo_final+$V$1963+O1963&amp;" "&amp;P1963),IF(ISNUMBER(SEARCH(N1963,P1963)),Animismo_final+$V$1963-O1963-80&amp;" "&amp;L1963&amp;", "&amp;Animismo_final+$V$1963&amp;" "&amp;P1963,Animismo_final+$V$1963-80&amp;" "&amp;L1963&amp;", "&amp;Animismo_final+$V$1963&amp;" "&amp;L1963&amp;" "&amp;N1963&amp;IF(P1963="","",", "&amp;Animismo_final+$V$1963-40+O1963&amp;" "&amp;P1963))),"")</f>
        <v/>
      </c>
      <c r="N1963" s="1701" t="str">
        <f>IF(PDs!I170=0,"","("&amp;PDs!I170&amp;")")</f>
        <v/>
      </c>
      <c r="O1963" s="1704" t="e">
        <f>LEFT(PDs!AG170,2)</f>
        <v>#N/A</v>
      </c>
      <c r="P1963" s="1704" t="str">
        <f>IF(PDs!AI170,MID(PDs!AH170,4,25)&amp;MID(PDs!AG170,4,25),"")</f>
        <v/>
      </c>
      <c r="Q1963" s="1705">
        <f t="shared" si="153"/>
        <v>5</v>
      </c>
      <c r="R1963" s="1705" t="str">
        <f t="shared" si="154"/>
        <v/>
      </c>
      <c r="S1963" s="1703">
        <f t="shared" si="151"/>
        <v>0</v>
      </c>
      <c r="T1963" s="2795">
        <f>SUM($S$1920:S1963)</f>
        <v>0</v>
      </c>
      <c r="U1963" s="5337"/>
      <c r="V1963" s="2783">
        <f>Principal!O66</f>
        <v>0</v>
      </c>
      <c r="AB1963" s="363"/>
      <c r="AC1963" s="2563"/>
    </row>
    <row r="1964" spans="1:29" ht="12.75" customHeight="1" x14ac:dyDescent="0.2">
      <c r="A1964" s="1916">
        <v>1964</v>
      </c>
      <c r="B1964" s="5148"/>
      <c r="C1964" s="537" t="str">
        <f>IF(Ki!$H$50="-",", "&amp;Ki!$D$50,"")</f>
        <v/>
      </c>
      <c r="D1964" s="67"/>
      <c r="E1964" s="68"/>
      <c r="G1964" s="1691" t="str">
        <f t="shared" si="152"/>
        <v/>
      </c>
      <c r="H1964" s="67"/>
      <c r="I1964" s="67"/>
      <c r="J1964" s="1698"/>
      <c r="K1964" s="2184" t="b">
        <f>AND(NOT(Música_final="-"),OR(PDs!T171&gt;4,PDs!W171&gt;0,PDs!X171&gt;0,$G$303&gt;0))</f>
        <v>0</v>
      </c>
      <c r="L1964" s="1703" t="s">
        <v>1784</v>
      </c>
      <c r="M1964" s="1702" t="str">
        <f>IF(K1964,IF(N1964="",Música_final+$V$1964&amp;" "&amp;L1964&amp;IF(P1964="","",", "&amp;Música_final+$V$1964+O1964&amp;" "&amp;P1964),IF(ISNUMBER(SEARCH(N1964,P1964)),Música_final+$V$1964-O1964-80&amp;" "&amp;L1964&amp;", "&amp;Música_final+$V$1964&amp;" "&amp;P1964,Música_final+$V$1964-80&amp;" "&amp;L1964&amp;", "&amp;Música_final+$V$1964&amp;" "&amp;L1964&amp;" "&amp;N1964&amp;IF(P1964="","",", "&amp;Música_final+$V$1964-40+O1964&amp;" "&amp;P1964))),"")</f>
        <v/>
      </c>
      <c r="N1964" s="1701" t="str">
        <f>IF(PDs!I171=0,"","("&amp;PDs!I171&amp;")")</f>
        <v/>
      </c>
      <c r="O1964" s="1704" t="e">
        <f>LEFT(PDs!AG171,2)</f>
        <v>#N/A</v>
      </c>
      <c r="P1964" s="1704" t="str">
        <f>IF(PDs!AI171,MID(PDs!AH171,4,25)&amp;MID(PDs!AG171,4,25),"")</f>
        <v/>
      </c>
      <c r="Q1964" s="1705">
        <f t="shared" si="153"/>
        <v>30</v>
      </c>
      <c r="R1964" s="1705" t="str">
        <f t="shared" si="154"/>
        <v/>
      </c>
      <c r="S1964" s="1703">
        <f t="shared" si="151"/>
        <v>0</v>
      </c>
      <c r="T1964" s="2795">
        <f>SUM($S$1920:S1964)</f>
        <v>0</v>
      </c>
      <c r="U1964" s="5337"/>
      <c r="V1964" s="2783">
        <f>Principal!O67</f>
        <v>0</v>
      </c>
      <c r="AB1964" s="363"/>
      <c r="AC1964" s="2563"/>
    </row>
    <row r="1965" spans="1:29" ht="12.75" customHeight="1" x14ac:dyDescent="0.2">
      <c r="A1965" s="1916">
        <v>1965</v>
      </c>
      <c r="B1965" s="5148"/>
      <c r="C1965" s="537" t="str">
        <f>IF(Ki!$H$51="-",", "&amp;Ki!$C$51,"")</f>
        <v/>
      </c>
      <c r="D1965" s="67"/>
      <c r="E1965" s="68"/>
      <c r="G1965" s="1691" t="str">
        <f t="shared" si="152"/>
        <v/>
      </c>
      <c r="H1965" s="67"/>
      <c r="I1965" s="67"/>
      <c r="J1965" s="1698"/>
      <c r="K1965" s="2184" t="b">
        <f>AND(NOT(T.Manos_final="-"),OR(PDs!T172&gt;4,PDs!W172&gt;0,PDs!X172&gt;0,$G$303&gt;0))</f>
        <v>0</v>
      </c>
      <c r="L1965" s="1703" t="s">
        <v>1787</v>
      </c>
      <c r="M1965" s="1702" t="str">
        <f>IF(K1965,IF(N1965="",T.Manos_final+$V$1965&amp;" "&amp;L1965&amp;IF(P1965="","",", "&amp;T.Manos_final+$V$1965+O1965&amp;" "&amp;P1965),IF(ISNUMBER(SEARCH(N1965,P1965)),T.Manos_final+$V$1965-O1965-80&amp;" "&amp;L1965&amp;", "&amp;T.Manos_final+$V$1965&amp;" "&amp;P1965,T.Manos_final+$V$1965-80&amp;" "&amp;L1965&amp;", "&amp;T.Manos_final+$V$1965&amp;" "&amp;L1965&amp;" "&amp;N1965&amp;IF(P1965="","",", "&amp;T.Manos_final+$V$1965-40+O1965&amp;" "&amp;P1965))),"")</f>
        <v/>
      </c>
      <c r="N1965" s="1701" t="str">
        <f>IF(PDs!I172=0,"","("&amp;PDs!I172&amp;")")</f>
        <v/>
      </c>
      <c r="O1965" s="1704" t="e">
        <f>LEFT(PDs!AG172,2)</f>
        <v>#N/A</v>
      </c>
      <c r="P1965" s="1704" t="str">
        <f>IF(PDs!AI172,MID(PDs!AH172,4,25)&amp;MID(PDs!AG172,4,25),"")</f>
        <v/>
      </c>
      <c r="Q1965" s="1705">
        <f t="shared" si="153"/>
        <v>45</v>
      </c>
      <c r="R1965" s="1705" t="str">
        <f t="shared" si="154"/>
        <v/>
      </c>
      <c r="S1965" s="1703">
        <f t="shared" si="151"/>
        <v>0</v>
      </c>
      <c r="T1965" s="2795">
        <f>SUM($S$1920:S1965)</f>
        <v>0</v>
      </c>
      <c r="U1965" s="5337"/>
      <c r="V1965" s="2783">
        <f>Principal!O68</f>
        <v>0</v>
      </c>
      <c r="AB1965" s="363"/>
      <c r="AC1965" s="2563"/>
    </row>
    <row r="1966" spans="1:29" ht="12.75" customHeight="1" x14ac:dyDescent="0.2">
      <c r="A1966" s="1916">
        <v>1966</v>
      </c>
      <c r="B1966" s="5148"/>
      <c r="C1966" s="537" t="str">
        <f>IF(Ki!$H$52="-",", "&amp;Ki!$D$52,"")</f>
        <v/>
      </c>
      <c r="D1966" s="67"/>
      <c r="E1966" s="68"/>
      <c r="G1966" s="1691" t="str">
        <f t="shared" si="152"/>
        <v/>
      </c>
      <c r="H1966" s="67"/>
      <c r="I1966" s="67"/>
      <c r="J1966" s="1698"/>
      <c r="K1966" s="2184" t="b">
        <f>AND(NOT(Caligrafíaritual_final="-"),OR(PDs!T173&gt;4,PDs!W173&gt;0,PDs!X173&gt;0,$G$303&gt;0))</f>
        <v>0</v>
      </c>
      <c r="L1966" s="1703" t="s">
        <v>7755</v>
      </c>
      <c r="M1966" s="1702" t="str">
        <f>IF(K1966,IF(N1966="",Caligrafíaritual_final+$V$1966&amp;" "&amp;L1966&amp;IF(P1966="","",", "&amp;Caligrafíaritual_final+$V$1966+O1966&amp;" "&amp;P1966),IF(ISNUMBER(SEARCH(N1966,P1966)),Caligrafíaritual_final+$V$1966-O1966-80&amp;" "&amp;L1966&amp;", "&amp;Caligrafíaritual_final+$V$1966&amp;" "&amp;P1966,Caligrafíaritual_final+$V$1966-80&amp;" "&amp;L1966&amp;", "&amp;Caligrafíaritual_final+$V$1966&amp;" "&amp;L1966&amp;" "&amp;N1966&amp;IF(P1966="","",", "&amp;Caligrafíaritual_final+$V$1966-40+O1966&amp;" "&amp;P1966))),"")</f>
        <v/>
      </c>
      <c r="N1966" s="1701" t="str">
        <f>IF(PDs!I173=0,"","("&amp;PDs!I173&amp;")")</f>
        <v/>
      </c>
      <c r="O1966" s="1704" t="e">
        <f>LEFT(PDs!AG173,2)</f>
        <v>#N/A</v>
      </c>
      <c r="P1966" s="1704" t="str">
        <f>IF(PDs!AI173,MID(PDs!AH173,4,25)&amp;MID(PDs!AG173,4,25),"")</f>
        <v/>
      </c>
      <c r="Q1966" s="1705">
        <f t="shared" si="153"/>
        <v>10</v>
      </c>
      <c r="R1966" s="1705" t="str">
        <f t="shared" si="154"/>
        <v/>
      </c>
      <c r="S1966" s="1703">
        <f t="shared" si="151"/>
        <v>0</v>
      </c>
      <c r="T1966" s="2795">
        <f>SUM($S$1920:S1966)</f>
        <v>0</v>
      </c>
      <c r="U1966" s="5337"/>
      <c r="V1966" s="2783">
        <f>Principal!O69</f>
        <v>0</v>
      </c>
      <c r="AB1966" s="363"/>
      <c r="AC1966" s="2563"/>
    </row>
    <row r="1967" spans="1:29" ht="12.75" customHeight="1" x14ac:dyDescent="0.2">
      <c r="A1967" s="1916">
        <v>1967</v>
      </c>
      <c r="B1967" s="5148"/>
      <c r="C1967" s="537" t="str">
        <f>IF(Ki!$H$53="-",", "&amp;Ki!$C$53,"")</f>
        <v/>
      </c>
      <c r="D1967" s="67"/>
      <c r="E1967" s="68"/>
      <c r="G1967" s="1691" t="str">
        <f t="shared" si="152"/>
        <v/>
      </c>
      <c r="H1967" s="67"/>
      <c r="I1967" s="67"/>
      <c r="J1967" s="1698"/>
      <c r="K1967" s="2185" t="b">
        <f>AND(NOT(Orfebrería_final="-"),OR(PDs!T174&gt;4,PDs!W174&gt;0,PDs!X174&gt;0,$G$303&gt;0))</f>
        <v>0</v>
      </c>
      <c r="L1967" s="1709" t="s">
        <v>7756</v>
      </c>
      <c r="M1967" s="1708" t="str">
        <f>IF(K1967,IF(N1967="",Orfebrería_final+$V$1967&amp;" "&amp;L1967&amp;IF(P1967="","",", "&amp;Orfebrería_final+$V$1967+O1967&amp;" "&amp;P1967),IF(ISNUMBER(SEARCH(N1967,P1967)),Orfebrería_final+$V$1967-O1967-80&amp;" "&amp;L1967&amp;", "&amp;Orfebrería_final+$V$1967&amp;" "&amp;P1967,Orfebrería_final+$V$1967-120&amp;" "&amp;L1967&amp;", "&amp;Orfebrería_final+$V$1967&amp;" "&amp;L1967&amp;" "&amp;N1967&amp;IF(P1967="","",", "&amp;Orfebrería_final+$V$1967-40+O1967&amp;" "&amp;P1967))),"")</f>
        <v/>
      </c>
      <c r="N1967" s="1707" t="str">
        <f>IF(PDs!I174=0,"","("&amp;PDs!I174&amp;")")</f>
        <v/>
      </c>
      <c r="O1967" s="1710" t="e">
        <f>LEFT(PDs!AG174,2)</f>
        <v>#N/A</v>
      </c>
      <c r="P1967" s="1710" t="str">
        <f>IF(PDs!AI174,MID(PDs!AH174,4,25)&amp;MID(PDs!AG174,4,25),"")</f>
        <v/>
      </c>
      <c r="Q1967" s="1705">
        <f t="shared" si="153"/>
        <v>35</v>
      </c>
      <c r="R1967" s="1705" t="str">
        <f t="shared" si="154"/>
        <v/>
      </c>
      <c r="S1967" s="1703">
        <f t="shared" si="151"/>
        <v>0</v>
      </c>
      <c r="T1967" s="2795">
        <f>SUM($S$1920:S1967)</f>
        <v>0</v>
      </c>
      <c r="U1967" s="5337"/>
      <c r="V1967" s="2783">
        <f>Principal!O70</f>
        <v>0</v>
      </c>
      <c r="AB1967" s="363"/>
      <c r="AC1967" s="2563"/>
    </row>
    <row r="1968" spans="1:29" ht="12.75" customHeight="1" x14ac:dyDescent="0.2">
      <c r="A1968" s="1916">
        <v>1968</v>
      </c>
      <c r="B1968" s="5148"/>
      <c r="C1968" s="537" t="str">
        <f>IF(Ki!$H$54="-",", "&amp;Ki!$C$54,"")</f>
        <v/>
      </c>
      <c r="D1968" s="67"/>
      <c r="E1968" s="68"/>
      <c r="G1968" s="1691" t="str">
        <f t="shared" si="152"/>
        <v/>
      </c>
      <c r="H1968" s="67"/>
      <c r="I1968" s="67"/>
      <c r="J1968" s="1698"/>
      <c r="K1968" s="2184" t="b">
        <f>AND(NOT(Confección_final="-"),OR(PDs!T175&gt;4,PDs!W175&gt;0,PDs!X175&gt;0,$G$303&gt;0))</f>
        <v>0</v>
      </c>
      <c r="L1968" s="1703" t="s">
        <v>7757</v>
      </c>
      <c r="M1968" s="1702" t="str">
        <f>IF(K1968,IF(N1968="",Confección_final+$V$1968&amp;" "&amp;L1968&amp;IF(P1968="","",", "&amp;Confección_final+$V$1968+O1968&amp;" "&amp;P1968),IF(ISNUMBER(SEARCH(N1968,P1968)),Confección_final+$V$1968-O1968-80&amp;" "&amp;L1968&amp;", "&amp;Confección_final+$V$1968&amp;" "&amp;P1968,Confección_final+$V$1968-80&amp;" "&amp;L1968&amp;", "&amp;Confección_final+$V$1968&amp;" "&amp;L1968&amp;" "&amp;N1968&amp;IF(P1968="","",", "&amp;Confección_final+$V$1968-40+O1968&amp;" "&amp;P1968))),"")</f>
        <v/>
      </c>
      <c r="N1968" s="1701" t="str">
        <f>IF(PDs!I175=0,"","("&amp;PDs!I175&amp;")")</f>
        <v/>
      </c>
      <c r="O1968" s="1704" t="e">
        <f>LEFT(PDs!AG175,2)</f>
        <v>#N/A</v>
      </c>
      <c r="P1968" s="1704" t="str">
        <f>IF(PDs!AI175,MID(PDs!AH175,4,25)&amp;MID(PDs!AG175,4,25),"")</f>
        <v/>
      </c>
      <c r="Q1968" s="1705">
        <f t="shared" si="153"/>
        <v>16</v>
      </c>
      <c r="R1968" s="1705" t="str">
        <f t="shared" si="154"/>
        <v/>
      </c>
      <c r="S1968" s="1703">
        <f t="shared" si="151"/>
        <v>0</v>
      </c>
      <c r="T1968" s="2795">
        <f>SUM($S$1920:S1968)</f>
        <v>0</v>
      </c>
      <c r="U1968" s="5337"/>
      <c r="V1968" s="2783">
        <f>Principal!O71</f>
        <v>0</v>
      </c>
      <c r="AB1968" s="363"/>
      <c r="AC1968" s="2563"/>
    </row>
    <row r="1969" spans="1:29" ht="12.75" customHeight="1" x14ac:dyDescent="0.2">
      <c r="A1969" s="1916">
        <v>1969</v>
      </c>
      <c r="B1969" s="5148"/>
      <c r="C1969" s="537" t="str">
        <f>IF(CuerpodeVacío,", "&amp;Ki!$C$56,"")</f>
        <v/>
      </c>
      <c r="D1969" s="67"/>
      <c r="E1969" s="68"/>
      <c r="G1969" s="1691" t="str">
        <f t="shared" si="152"/>
        <v/>
      </c>
      <c r="H1969" s="67"/>
      <c r="I1969" s="67"/>
      <c r="J1969" s="1698"/>
      <c r="K1969" s="2184" t="b">
        <f>AND(NOT(Conf.marionetas_final="-"),OR(PDs!T176&gt;4,PDs!W176&gt;0,PDs!X176&gt;0,$G$303&gt;0))</f>
        <v>0</v>
      </c>
      <c r="L1969" s="1703" t="s">
        <v>7758</v>
      </c>
      <c r="M1969" s="1702" t="str">
        <f>IF(K1969,IF(N1969="",Conf.marionetas_final+$V$1969&amp;" "&amp;L1969&amp;IF(P1969="","",", "&amp;Conf.marionetas_final+$V$1969+O1969&amp;" "&amp;P1969),IF(ISNUMBER(SEARCH(N1969,P1969)),Conf.marionetas_final+$V$1969-O1969-80&amp;" "&amp;L1969&amp;", "&amp;Conf.marionetas_final+$V$1969&amp;" "&amp;P1969,Conf.marionetas_final+$V$1969-80&amp;" "&amp;L1969&amp;", "&amp;Conf.marionetas_final+$V$1969&amp;" "&amp;L1969&amp;" "&amp;N1969&amp;IF(P1969="","",", "&amp;Conf.marionetas_final+$V$1969-40+O1969&amp;" "&amp;P1969))),"")</f>
        <v/>
      </c>
      <c r="N1969" s="1701" t="str">
        <f>IF(PDs!I176=0,"","("&amp;PDs!I176&amp;")")</f>
        <v/>
      </c>
      <c r="O1969" s="1704" t="e">
        <f>LEFT(PDs!AG176,2)</f>
        <v>#N/A</v>
      </c>
      <c r="P1969" s="1704" t="str">
        <f>IF(PDs!AI176,MID(PDs!AH176,4,25)&amp;MID(PDs!AG176,4,25),"")</f>
        <v/>
      </c>
      <c r="Q1969" s="1705">
        <f t="shared" si="153"/>
        <v>15</v>
      </c>
      <c r="R1969" s="1705" t="str">
        <f t="shared" si="154"/>
        <v/>
      </c>
      <c r="S1969" s="1703">
        <f t="shared" si="151"/>
        <v>0</v>
      </c>
      <c r="T1969" s="2795">
        <f>SUM($S$1920:S1969)</f>
        <v>0</v>
      </c>
      <c r="U1969" s="5337"/>
      <c r="V1969" s="2783">
        <f>Principal!O72</f>
        <v>0</v>
      </c>
      <c r="AB1969" s="363"/>
      <c r="AC1969" s="2563"/>
    </row>
    <row r="1970" spans="1:29" ht="12.75" customHeight="1" x14ac:dyDescent="0.2">
      <c r="A1970" s="1916">
        <v>1970</v>
      </c>
      <c r="B1970" s="5148"/>
      <c r="C1970" s="537" t="str">
        <f>IF(Ki!$H$57="-",", "&amp;Ki!$D$57,"")</f>
        <v/>
      </c>
      <c r="D1970" s="67"/>
      <c r="E1970" s="68"/>
      <c r="G1970" s="1691" t="str">
        <f>IF(ISNA(R1970),"",IF(AND(T1970&gt;0,NOT(R1970="")),", "&amp;R1970&amp;" ",R1970))</f>
        <v/>
      </c>
      <c r="H1970" s="67"/>
      <c r="I1970" s="67"/>
      <c r="J1970" s="1698"/>
      <c r="K1970" s="2184" t="b">
        <f>AND(NOT(PDs!$AA$177="-"),OR(PDs!T177&gt;4,PDs!W177&gt;0,PDs!X177&gt;0,$G$303&gt;0))</f>
        <v>0</v>
      </c>
      <c r="L1970" s="1703">
        <f>PDs!E177</f>
        <v>0</v>
      </c>
      <c r="M1970" s="1702" t="str">
        <f>IF(K1970,IF(N1970="",PDs!$AA$177&amp;" "&amp;L1970&amp;IF(P1970="","",", "&amp;PDs!$AA$177+O1970&amp;" "&amp;P1970),IF(ISNUMBER(SEARCH(N1970,P1970)),PDs!$AA$177-O1970-80&amp;" "&amp;L1970&amp;", "&amp;PDs!$AA$177&amp;" "&amp;P1970,PDs!$AA$177-80&amp;" "&amp;L1970&amp;", "&amp;PDs!$AA$177&amp;" "&amp;L1970&amp;" "&amp;N1970&amp;IF(P1970="","",", "&amp;PDs!$AA$177-40+O1970&amp;" "&amp;P1970))),"")</f>
        <v/>
      </c>
      <c r="N1970" s="1701" t="str">
        <f>IF(PDs!I177=0,"","("&amp;PDs!I177&amp;")")</f>
        <v/>
      </c>
      <c r="O1970" s="1704">
        <f>PDs!AF177</f>
        <v>0</v>
      </c>
      <c r="P1970" s="1710"/>
      <c r="Q1970" s="2796">
        <f>MAX(Q1919:Q1969)+1</f>
        <v>52</v>
      </c>
      <c r="R1970" s="1705" t="str">
        <f t="shared" si="154"/>
        <v/>
      </c>
      <c r="S1970" s="1703">
        <f t="shared" si="151"/>
        <v>0</v>
      </c>
      <c r="T1970" s="2795">
        <f>SUM($S$1920:S1970)</f>
        <v>0</v>
      </c>
      <c r="U1970" s="5337"/>
      <c r="V1970" s="2783">
        <f>Principal!O73</f>
        <v>0</v>
      </c>
      <c r="AB1970" s="363"/>
      <c r="AC1970" s="2563"/>
    </row>
    <row r="1971" spans="1:29" ht="12.75" customHeight="1" x14ac:dyDescent="0.2">
      <c r="A1971" s="1916">
        <v>1971</v>
      </c>
      <c r="B1971" s="5148"/>
      <c r="C1971" s="537" t="str">
        <f>IF(Ki!$H$58="-",", "&amp;Ki!$D$58,"")</f>
        <v/>
      </c>
      <c r="D1971" s="67"/>
      <c r="E1971" s="68"/>
      <c r="G1971" s="1691" t="str">
        <f>IF(ISNA(R1971),"",IF(AND(T1971&gt;0,NOT(R1971="")),", "&amp;R1971,R1971))</f>
        <v/>
      </c>
      <c r="H1971" s="67"/>
      <c r="I1971" s="67"/>
      <c r="J1971" s="1698"/>
      <c r="K1971" s="2184" t="b">
        <f>AND(NOT(PDs!$AA$178="-"),OR(PDs!T178&gt;4,PDs!W178&gt;0,PDs!X178&gt;0,$G$303&gt;0))</f>
        <v>0</v>
      </c>
      <c r="L1971" s="1703">
        <f>PDs!E178</f>
        <v>0</v>
      </c>
      <c r="M1971" s="1702" t="str">
        <f>IF(K1971,IF(N1971="",PDs!$AA$178&amp;" "&amp;L1971&amp;IF(P1971="","",", "&amp;PDs!$AA$178+O1971&amp;" "&amp;P1971),IF(ISNUMBER(SEARCH(N1971,P1971)),PDs!$AA$178-O1971-80&amp;" "&amp;L1971&amp;", "&amp;PDs!$AA$178&amp;" "&amp;P1971,PDs!$AA$178-80&amp;" "&amp;L1971&amp;", "&amp;PDs!$AA$178&amp;" "&amp;L1971&amp;" "&amp;N1971&amp;IF(P1971="","",", "&amp;PDs!$AA$178-40+O1971&amp;" "&amp;P1971))),"")</f>
        <v/>
      </c>
      <c r="N1971" s="1701" t="str">
        <f>IF(PDs!I178=0,"","("&amp;PDs!I178&amp;")")</f>
        <v/>
      </c>
      <c r="O1971" s="1704">
        <f>PDs!AF178</f>
        <v>0</v>
      </c>
      <c r="P1971" s="1710"/>
      <c r="Q1971" s="2796">
        <f>Q1970+1</f>
        <v>53</v>
      </c>
      <c r="R1971" s="1705" t="str">
        <f t="shared" si="154"/>
        <v/>
      </c>
      <c r="S1971" s="1703">
        <f t="shared" si="151"/>
        <v>0</v>
      </c>
      <c r="T1971" s="2795">
        <f>SUM($S$1920:S1971)</f>
        <v>0</v>
      </c>
      <c r="U1971" s="5337"/>
      <c r="V1971" s="2783">
        <f>Principal!O74</f>
        <v>0</v>
      </c>
      <c r="AB1971" s="363"/>
      <c r="AC1971" s="2563"/>
    </row>
    <row r="1972" spans="1:29" ht="12.75" customHeight="1" x14ac:dyDescent="0.2">
      <c r="A1972" s="1916">
        <v>1972</v>
      </c>
      <c r="B1972" s="5148"/>
      <c r="C1972" s="537" t="str">
        <f>IF(Ki!$H$55="-",", "&amp;Ki!$D$55,"")</f>
        <v/>
      </c>
      <c r="D1972" s="67"/>
      <c r="E1972" s="68"/>
      <c r="G1972" s="1691" t="str">
        <f>IF(ISNA(R1972),"",IF(AND(T1972&gt;0,NOT(R1972="")),", "&amp;R1972,R1972))</f>
        <v/>
      </c>
      <c r="H1972" s="67"/>
      <c r="I1972" s="67"/>
      <c r="J1972" s="1698"/>
      <c r="K1972" s="2184" t="b">
        <f>AND(NOT(PDs!$AA$179="-"),OR(PDs!T179&gt;4,PDs!W179&gt;0,PDs!X179&gt;0,$G$303&gt;0))</f>
        <v>0</v>
      </c>
      <c r="L1972" s="1703">
        <f>PDs!E179</f>
        <v>0</v>
      </c>
      <c r="M1972" s="1702" t="str">
        <f>IF(K1972,IF(N1972="",PDs!$AA$179&amp;" "&amp;L1972&amp;IF(P1972="","",", "&amp;PDs!$AA$179+O1972&amp;" "&amp;P1972),IF(ISNUMBER(SEARCH(N1972,P1972)),PDs!$AA$179-O1972-80&amp;" "&amp;L1972&amp;", "&amp;PDs!$AA$179&amp;" "&amp;P1972,PDs!$AA$179-80&amp;" "&amp;L1972&amp;", "&amp;PDs!$AA$179&amp;" "&amp;L1972&amp;" "&amp;N1972&amp;IF(P1972="","",", "&amp;PDs!$AA$179-40+O1972&amp;" "&amp;P1972))),"")</f>
        <v/>
      </c>
      <c r="N1972" s="1701" t="str">
        <f>IF(PDs!I179=0,"","("&amp;PDs!I179&amp;")")</f>
        <v/>
      </c>
      <c r="O1972" s="1704">
        <f>PDs!AF179</f>
        <v>0</v>
      </c>
      <c r="P1972" s="1710"/>
      <c r="Q1972" s="2796">
        <f t="shared" ref="Q1972:Q1974" si="155">Q1971+1</f>
        <v>54</v>
      </c>
      <c r="R1972" s="1705" t="str">
        <f t="shared" si="154"/>
        <v/>
      </c>
      <c r="S1972" s="1703">
        <f t="shared" si="151"/>
        <v>0</v>
      </c>
      <c r="T1972" s="2795">
        <f>SUM($S$1920:S1972)</f>
        <v>0</v>
      </c>
      <c r="U1972" s="5337"/>
      <c r="V1972" s="2783">
        <f>Principal!O75</f>
        <v>0</v>
      </c>
      <c r="AB1972" s="363"/>
      <c r="AC1972" s="2563"/>
    </row>
    <row r="1973" spans="1:29" ht="12.75" customHeight="1" x14ac:dyDescent="0.2">
      <c r="A1973" s="1916">
        <v>1973</v>
      </c>
      <c r="B1973" s="5148"/>
      <c r="C1973" s="537" t="str">
        <f>IF(Ki!$H$59="-",", "&amp;Ki!$D$59,"")</f>
        <v/>
      </c>
      <c r="D1973" s="67"/>
      <c r="E1973" s="68"/>
      <c r="G1973" s="1691" t="str">
        <f>IF(ISNA(R1973),"",IF(AND(T1973&gt;0,NOT(R1973="")),", "&amp;R1973,R1973))</f>
        <v/>
      </c>
      <c r="H1973" s="67"/>
      <c r="I1973" s="67"/>
      <c r="J1973" s="1698"/>
      <c r="K1973" s="2184" t="b">
        <f>AND(NOT(PDs!$AA$180="-"),OR(PDs!T180&gt;4,PDs!W180&gt;0,PDs!X180&gt;0,$G$303&gt;0))</f>
        <v>0</v>
      </c>
      <c r="L1973" s="1703">
        <f>PDs!E180</f>
        <v>0</v>
      </c>
      <c r="M1973" s="1702" t="str">
        <f>IF(K1973,IF(N1973="",PDs!$AA$180&amp;" "&amp;L1973&amp;IF(P1973="","",", "&amp;PDs!$AA$180+O1973&amp;" "&amp;P1973),IF(ISNUMBER(SEARCH(N1973,P1973)),PDs!$AA$180-O1973-80&amp;" "&amp;L1973&amp;", "&amp;PDs!$AA$180&amp;" "&amp;P1973,PDs!$AA$180-80&amp;" "&amp;L1973&amp;", "&amp;PDs!$AA$180&amp;" "&amp;L1973&amp;" "&amp;N1973&amp;IF(P1973="","",", "&amp;PDs!$AA$180-40+O1973&amp;" "&amp;P1973))),"")</f>
        <v/>
      </c>
      <c r="N1973" s="1701" t="str">
        <f>IF(PDs!I180=0,"","("&amp;PDs!I180&amp;")")</f>
        <v/>
      </c>
      <c r="O1973" s="1704">
        <f>PDs!AF180</f>
        <v>0</v>
      </c>
      <c r="P1973" s="1710"/>
      <c r="Q1973" s="2796">
        <f t="shared" si="155"/>
        <v>55</v>
      </c>
      <c r="R1973" s="1705" t="str">
        <f t="shared" si="154"/>
        <v/>
      </c>
      <c r="S1973" s="1703">
        <f t="shared" si="151"/>
        <v>0</v>
      </c>
      <c r="T1973" s="2795">
        <f>SUM($S$1920:S1973)</f>
        <v>0</v>
      </c>
      <c r="U1973" s="5337"/>
      <c r="V1973" s="2783">
        <f>Principal!O76</f>
        <v>0</v>
      </c>
      <c r="AB1973" s="363"/>
      <c r="AC1973" s="2563"/>
    </row>
    <row r="1974" spans="1:29" ht="12.75" customHeight="1" thickBot="1" x14ac:dyDescent="0.25">
      <c r="A1974" s="1916">
        <v>1974</v>
      </c>
      <c r="B1974" s="5148"/>
      <c r="C1974" s="537" t="str">
        <f>IF(Ki!$H$60="-",", "&amp;Ki!$E$60,"")</f>
        <v/>
      </c>
      <c r="D1974" s="67"/>
      <c r="E1974" s="68"/>
      <c r="G1974" s="1692" t="str">
        <f>IF(ISNA(R1974),"",IF(AND(T1974&gt;0,NOT(R1974="")),", "&amp;R1974,R1974))</f>
        <v/>
      </c>
      <c r="H1974" s="1693"/>
      <c r="I1974" s="1693"/>
      <c r="J1974" s="1699"/>
      <c r="K1974" s="2776" t="b">
        <f>AND(NOT(PDs!$AA$181="-"),OR(PDs!T181&gt;4,PDs!W181&gt;0,PDs!X181&gt;0,$G$303&gt;0))</f>
        <v>0</v>
      </c>
      <c r="L1974" s="2777">
        <f>PDs!E181</f>
        <v>0</v>
      </c>
      <c r="M1974" s="2778" t="str">
        <f>IF(K1974,IF(N1974="",PDs!$AA$181&amp;" "&amp;L1974&amp;IF(P1974="","",", "&amp;PDs!$AA$181+O1974&amp;" "&amp;P1974),IF(ISNUMBER(SEARCH(N1974,P1974)),PDs!$AA$181-O1974-80&amp;" "&amp;L1974&amp;", "&amp;PDs!$AA$181&amp;" "&amp;P1974,PDs!$AA$181-80&amp;" "&amp;L1974&amp;", "&amp;PDs!$AA$181&amp;" "&amp;L1974&amp;" "&amp;N1974&amp;IF(P1974="","",", "&amp;PDs!$AA$181-40+O1974&amp;" "&amp;P1974))),"")</f>
        <v/>
      </c>
      <c r="N1974" s="2779" t="str">
        <f>IF(PDs!I181=0,"","("&amp;PDs!I181&amp;")")</f>
        <v/>
      </c>
      <c r="O1974" s="2780">
        <f>PDs!AF181</f>
        <v>0</v>
      </c>
      <c r="P1974" s="2798"/>
      <c r="Q1974" s="2797">
        <f t="shared" si="155"/>
        <v>56</v>
      </c>
      <c r="R1974" s="2781" t="str">
        <f t="shared" si="154"/>
        <v/>
      </c>
      <c r="S1974" s="2777">
        <f t="shared" si="151"/>
        <v>0</v>
      </c>
      <c r="T1974" s="2782">
        <f>SUM($S$1920:S1974)</f>
        <v>0</v>
      </c>
      <c r="U1974" s="5338"/>
      <c r="V1974" s="2784">
        <f>Principal!O77</f>
        <v>0</v>
      </c>
      <c r="AB1974" s="363"/>
      <c r="AC1974" s="2563"/>
    </row>
    <row r="1975" spans="1:29" ht="12.75" customHeight="1" x14ac:dyDescent="0.2">
      <c r="A1975" s="1916">
        <v>1975</v>
      </c>
      <c r="B1975" s="5148"/>
      <c r="C1975" s="537" t="str">
        <f>IF(Ki!$H$61="-",", "&amp;Ki!$C$61,"")</f>
        <v/>
      </c>
      <c r="D1975" s="67"/>
      <c r="E1975" s="68"/>
      <c r="H1975" s="363"/>
      <c r="I1975" s="1653"/>
      <c r="N1975" s="363"/>
      <c r="O1975" s="1999"/>
      <c r="AB1975" s="363"/>
      <c r="AC1975" s="2563"/>
    </row>
    <row r="1976" spans="1:29" ht="12.75" customHeight="1" x14ac:dyDescent="0.2">
      <c r="A1976" s="1916">
        <v>1976</v>
      </c>
      <c r="B1976" s="5148"/>
      <c r="C1976" s="537" t="str">
        <f>IF(Ki!$H$62="-",", "&amp;Ki!$C$62,"")</f>
        <v/>
      </c>
      <c r="D1976" s="67"/>
      <c r="E1976" s="68"/>
      <c r="H1976" s="363"/>
      <c r="I1976" s="1653"/>
      <c r="N1976" s="363"/>
      <c r="O1976" s="1999"/>
      <c r="AB1976" s="363"/>
      <c r="AC1976" s="2563"/>
    </row>
    <row r="1977" spans="1:29" ht="12.75" customHeight="1" x14ac:dyDescent="0.2">
      <c r="A1977" s="1916">
        <v>1977</v>
      </c>
      <c r="B1977" s="5148"/>
      <c r="C1977" s="537" t="str">
        <f>IF(Inhumanidad,", "&amp;"Inhumanidad","")</f>
        <v/>
      </c>
      <c r="D1977" s="67"/>
      <c r="E1977" s="68"/>
      <c r="H1977" s="363"/>
      <c r="I1977" s="1653"/>
      <c r="N1977" s="363"/>
      <c r="O1977" s="1999"/>
      <c r="AB1977" s="363"/>
      <c r="AC1977" s="2563"/>
    </row>
    <row r="1978" spans="1:29" ht="12.75" customHeight="1" thickBot="1" x14ac:dyDescent="0.25">
      <c r="A1978" s="1916">
        <v>1978</v>
      </c>
      <c r="B1978" s="5148"/>
      <c r="C1978" s="538" t="str">
        <f>IF(Zen,", "&amp;"Zen","")</f>
        <v/>
      </c>
      <c r="D1978" s="179"/>
      <c r="E1978" s="180"/>
      <c r="H1978" s="363"/>
      <c r="I1978" s="1653"/>
      <c r="N1978" s="363"/>
      <c r="O1978" s="1999"/>
      <c r="AB1978" s="363"/>
      <c r="AC1978" s="2563"/>
    </row>
    <row r="1979" spans="1:29" ht="12.75" customHeight="1" x14ac:dyDescent="0.2">
      <c r="A1979" s="1916">
        <v>1979</v>
      </c>
      <c r="B1979" s="5148"/>
      <c r="H1979" s="363"/>
      <c r="I1979" s="1653"/>
      <c r="N1979" s="363"/>
      <c r="O1979" s="1999"/>
      <c r="AB1979" s="363"/>
      <c r="AC1979" s="2563"/>
    </row>
    <row r="1980" spans="1:29" ht="12.75" customHeight="1" x14ac:dyDescent="0.2">
      <c r="A1980" s="1916">
        <v>1980</v>
      </c>
      <c r="B1980" s="5148"/>
      <c r="C1980" s="5252" t="s">
        <v>913</v>
      </c>
      <c r="D1980" s="5252"/>
      <c r="E1980" s="5252"/>
      <c r="F1980" s="5282"/>
      <c r="H1980" s="363"/>
      <c r="I1980" s="1653"/>
      <c r="N1980" s="363"/>
      <c r="O1980" s="1999"/>
      <c r="AB1980" s="363"/>
      <c r="AC1980" s="2563"/>
    </row>
    <row r="1981" spans="1:29" ht="12.75" customHeight="1" x14ac:dyDescent="0.2">
      <c r="A1981" s="1916">
        <v>1981</v>
      </c>
      <c r="B1981" s="5148"/>
      <c r="C1981" s="5332"/>
      <c r="D1981" s="5332"/>
      <c r="E1981" s="5332"/>
      <c r="F1981" s="4273"/>
      <c r="H1981" s="363"/>
      <c r="I1981" s="1653"/>
      <c r="N1981" s="363"/>
      <c r="O1981" s="1999"/>
      <c r="AB1981" s="363"/>
      <c r="AC1981" s="2563"/>
    </row>
    <row r="1982" spans="1:29" ht="12.75" customHeight="1" x14ac:dyDescent="0.2">
      <c r="A1982" s="1916">
        <v>1982</v>
      </c>
      <c r="B1982" s="5148"/>
      <c r="C1982" s="2233" t="s">
        <v>3064</v>
      </c>
      <c r="D1982" s="2169" t="s">
        <v>1674</v>
      </c>
      <c r="E1982" s="2168" t="s">
        <v>7876</v>
      </c>
      <c r="F1982" s="2170" t="s">
        <v>8688</v>
      </c>
      <c r="H1982" s="363"/>
      <c r="I1982" s="1653"/>
      <c r="N1982" s="363"/>
      <c r="O1982" s="1999"/>
      <c r="AB1982" s="363"/>
      <c r="AC1982" s="2563"/>
    </row>
    <row r="1983" spans="1:29" ht="12.75" customHeight="1" x14ac:dyDescent="0.2">
      <c r="A1983" s="1916">
        <v>1983</v>
      </c>
      <c r="B1983" s="5148"/>
      <c r="C1983" s="2231" t="str">
        <f t="shared" ref="C1983:C1998" si="156">IF(D1983="","",COUNTIF($D$1983:$D$2025,"&lt;="&amp;D1983)-SUMPRODUCT(--($D$1983:$D$2025="")))</f>
        <v/>
      </c>
      <c r="D1983" s="1691" t="str">
        <f>IF(Combate!AL11=" ","",Combate!AL11)</f>
        <v/>
      </c>
      <c r="E1983" s="2165" t="str">
        <f>IF(ISNA(VLOOKUP(MIN($C$1983:$C$2025)+A1-1,$C$1983:$D$2025,2,0)),"",VLOOKUP(MIN($C$1983:$C$2025)+A1-1,$C$1983:$D$2025,2,0))</f>
        <v/>
      </c>
      <c r="F1983" s="5248"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
      </c>
      <c r="H1983" s="363"/>
      <c r="I1983" s="1653"/>
      <c r="N1983" s="363"/>
      <c r="O1983" s="1999"/>
      <c r="AB1983" s="363"/>
      <c r="AC1983" s="2563"/>
    </row>
    <row r="1984" spans="1:29" ht="12.75" customHeight="1" thickBot="1" x14ac:dyDescent="0.25">
      <c r="A1984" s="1916">
        <v>1984</v>
      </c>
      <c r="B1984" s="5148"/>
      <c r="C1984" s="2230" t="str">
        <f t="shared" si="156"/>
        <v/>
      </c>
      <c r="D1984" s="1691" t="str">
        <f>IF(Combate!AL12=" ","",Combate!AL12)</f>
        <v/>
      </c>
      <c r="E1984" s="2166" t="str">
        <f t="shared" ref="E1984:E2025" si="157">IF(ISNA(VLOOKUP(MIN($C$1983:$C$2025)+A2-1,$C$1983:$D$2025,2,0)),"",", "&amp;VLOOKUP(MIN($C$1983:$C$2025)+A2-1,$C$1983:$D$2025,2,0))</f>
        <v/>
      </c>
      <c r="F1984" s="5248"/>
      <c r="H1984" s="363"/>
      <c r="I1984" s="1653"/>
      <c r="N1984" s="363"/>
      <c r="O1984" s="1999"/>
      <c r="AB1984" s="363"/>
      <c r="AC1984" s="2563"/>
    </row>
    <row r="1985" spans="1:31" ht="12.75" customHeight="1" x14ac:dyDescent="0.2">
      <c r="A1985" s="1916">
        <v>1985</v>
      </c>
      <c r="B1985" s="5148"/>
      <c r="C1985" s="2230" t="str">
        <f t="shared" si="156"/>
        <v/>
      </c>
      <c r="D1985" s="1691" t="str">
        <f>IF(Combate!AL13=" ","",Combate!AL13)</f>
        <v/>
      </c>
      <c r="E1985" s="2166" t="str">
        <f t="shared" si="157"/>
        <v/>
      </c>
      <c r="F1985" s="5248"/>
      <c r="H1985" s="3168" t="s">
        <v>8679</v>
      </c>
      <c r="I1985" s="3169"/>
      <c r="J1985" s="3169"/>
      <c r="K1985" s="3169"/>
      <c r="L1985" s="3169"/>
      <c r="M1985" s="3169"/>
      <c r="N1985" s="3169"/>
      <c r="O1985" s="3169"/>
      <c r="P1985" s="3169"/>
      <c r="Q1985" s="3169"/>
      <c r="R1985" s="3169"/>
      <c r="S1985" s="3169"/>
      <c r="T1985" s="3169"/>
      <c r="U1985" s="3169"/>
      <c r="V1985" s="3169"/>
      <c r="W1985" s="3169"/>
      <c r="X1985" s="3169"/>
      <c r="Y1985" s="3169"/>
      <c r="Z1985" s="3169"/>
      <c r="AA1985" s="3169"/>
      <c r="AB1985" s="3169"/>
      <c r="AC1985" s="3170"/>
    </row>
    <row r="1986" spans="1:31" ht="12.75" customHeight="1" x14ac:dyDescent="0.2">
      <c r="A1986" s="1916">
        <v>1986</v>
      </c>
      <c r="B1986" s="5148"/>
      <c r="C1986" s="2230" t="str">
        <f t="shared" si="156"/>
        <v/>
      </c>
      <c r="D1986" s="1691" t="str">
        <f>IF(Combate!AL14=" ","",Combate!AL14)</f>
        <v/>
      </c>
      <c r="E1986" s="2166" t="str">
        <f t="shared" si="157"/>
        <v/>
      </c>
      <c r="F1986" s="5248"/>
      <c r="H1986" s="5074" t="s">
        <v>8678</v>
      </c>
      <c r="I1986" s="5252"/>
      <c r="J1986" s="4074" t="s">
        <v>8677</v>
      </c>
      <c r="K1986" s="4074"/>
      <c r="L1986" s="4074"/>
      <c r="M1986" s="4074"/>
      <c r="N1986" s="4074"/>
      <c r="O1986" s="4074"/>
      <c r="P1986" s="4074"/>
      <c r="Q1986" s="4074"/>
      <c r="R1986" s="4074"/>
      <c r="S1986" s="4074"/>
      <c r="T1986" s="4074"/>
      <c r="U1986" s="4074"/>
      <c r="V1986" s="4074"/>
      <c r="W1986" s="4074"/>
      <c r="X1986" s="4074"/>
      <c r="Y1986" s="4074"/>
      <c r="Z1986" s="4074"/>
      <c r="AA1986" s="4074"/>
      <c r="AB1986" s="4074"/>
      <c r="AC1986" s="4273"/>
    </row>
    <row r="1987" spans="1:31" ht="12.75" customHeight="1" x14ac:dyDescent="0.2">
      <c r="A1987" s="1916">
        <v>1987</v>
      </c>
      <c r="B1987" s="5148"/>
      <c r="C1987" s="2230" t="str">
        <f t="shared" si="156"/>
        <v/>
      </c>
      <c r="D1987" s="1691" t="str">
        <f>IF(Combate!AL15=" ","",Combate!AL15)</f>
        <v/>
      </c>
      <c r="E1987" s="2166" t="str">
        <f t="shared" si="157"/>
        <v/>
      </c>
      <c r="F1987" s="5248"/>
      <c r="H1987" s="2176" t="s">
        <v>1674</v>
      </c>
      <c r="I1987" s="2659" t="s">
        <v>8687</v>
      </c>
      <c r="J1987" s="5253" t="str">
        <f>IF(ISNA(VLOOKUP(A1,$AD$1990:$AE$2017,2,FALSE)),"",VLOOKUP(A1,$AD$1990:$AE$2017,2,FALSE))</f>
        <v/>
      </c>
      <c r="K1987" s="5254"/>
      <c r="L1987" s="5254" t="str">
        <f>IF(ISNA(VLOOKUP(B1,$AD$1990:$AE$2017,2,FALSE)),"",VLOOKUP(B1,$AD$1990:$AE$2017,2,FALSE))</f>
        <v/>
      </c>
      <c r="M1987" s="5254"/>
      <c r="N1987" s="5254" t="str">
        <f>IF(ISNA(VLOOKUP(C1,$AD$1990:$AE$2017,2,FALSE)),"",VLOOKUP(C1,$AD$1990:$AE$2017,2,FALSE))</f>
        <v/>
      </c>
      <c r="O1987" s="5254"/>
      <c r="P1987" s="5254" t="str">
        <f>IF(ISNA(VLOOKUP(D1,$AD$1990:$AE$2017,2,FALSE)),"",VLOOKUP(D1,$AD$1990:$AE$2017,2,FALSE))</f>
        <v/>
      </c>
      <c r="Q1987" s="5254"/>
      <c r="R1987" s="5254" t="str">
        <f>IF(ISNA(VLOOKUP(E1,$AD$1990:$AE$2017,2,FALSE)),"",VLOOKUP(E1,$AD$1990:$AE$2017,2,FALSE))</f>
        <v/>
      </c>
      <c r="S1987" s="5254"/>
      <c r="T1987" s="5254" t="str">
        <f>IF(ISNA(VLOOKUP(F1,$AD$1990:$AE$2017,2,FALSE)),"",VLOOKUP(F1,$AD$1990:$AE$2017,2,FALSE))</f>
        <v/>
      </c>
      <c r="U1987" s="5254"/>
      <c r="V1987" s="5254" t="str">
        <f>IF(ISNA(VLOOKUP(G1,$AD$1990:$AE$2017,2,FALSE)),"",VLOOKUP(G1,$AD$1990:$AE$2017,2,FALSE))</f>
        <v/>
      </c>
      <c r="W1987" s="5254"/>
      <c r="X1987" s="5254" t="str">
        <f>IF(ISNA(VLOOKUP(H1,$AD$1990:$AE$2017,2,FALSE)),"",VLOOKUP(H1,$AD$1990:$AE$2017,2,FALSE))</f>
        <v/>
      </c>
      <c r="Y1987" s="5254"/>
      <c r="Z1987" s="5254" t="str">
        <f>IF(ISNA(VLOOKUP(I1,$AD$1990:$AE$2017,2,FALSE)),"",VLOOKUP(I1,$AD$1990:$AE$2017,2,FALSE))</f>
        <v/>
      </c>
      <c r="AA1987" s="5254"/>
      <c r="AB1987" s="5254" t="str">
        <f>IF(ISNA(VLOOKUP(J1,$AD$1990:$AE$2017,2,FALSE)),"",VLOOKUP(J1,$AD$1990:$AE$2017,2,FALSE))</f>
        <v/>
      </c>
      <c r="AC1987" s="5255"/>
    </row>
    <row r="1988" spans="1:31" ht="12.75" customHeight="1" x14ac:dyDescent="0.2">
      <c r="A1988" s="1916">
        <v>1988</v>
      </c>
      <c r="B1988" s="5148"/>
      <c r="C1988" s="2230" t="str">
        <f t="shared" si="156"/>
        <v/>
      </c>
      <c r="D1988" s="2154" t="str">
        <f>IF(Combate!AL16=" ","",Combate!AL16)</f>
        <v/>
      </c>
      <c r="E1988" s="2166" t="str">
        <f t="shared" si="157"/>
        <v/>
      </c>
      <c r="F1988" s="5248"/>
      <c r="H1988" s="2142" t="str">
        <f>IF(ISNA(VLOOKUP(A1,Principal!$S$42:$AH$69,10,FALSE)),"",IF(VLOOKUP(A1,Principal!$S$42:$AH$69,10,FALSE)=0,"",INDEX(PoderesDeCriatura_Adquiridos,MATCH(A1,Principal!$S$42:$S$69,0))))</f>
        <v/>
      </c>
      <c r="I1988" s="2288" t="str">
        <f>H1988</f>
        <v/>
      </c>
      <c r="J1988" s="2171" t="s">
        <v>1674</v>
      </c>
      <c r="K1988" s="2171" t="s">
        <v>8687</v>
      </c>
      <c r="L1988" s="2171" t="s">
        <v>1674</v>
      </c>
      <c r="M1988" s="2171" t="s">
        <v>8687</v>
      </c>
      <c r="N1988" s="2171" t="s">
        <v>1674</v>
      </c>
      <c r="O1988" s="2171" t="s">
        <v>8687</v>
      </c>
      <c r="P1988" s="2171" t="s">
        <v>1674</v>
      </c>
      <c r="Q1988" s="2171" t="s">
        <v>8687</v>
      </c>
      <c r="R1988" s="2171" t="s">
        <v>1674</v>
      </c>
      <c r="S1988" s="2171" t="s">
        <v>8687</v>
      </c>
      <c r="T1988" s="2171" t="s">
        <v>1674</v>
      </c>
      <c r="U1988" s="2171" t="s">
        <v>8687</v>
      </c>
      <c r="V1988" s="2171" t="s">
        <v>1674</v>
      </c>
      <c r="W1988" s="2171" t="s">
        <v>8687</v>
      </c>
      <c r="X1988" s="2171" t="s">
        <v>1674</v>
      </c>
      <c r="Y1988" s="2171" t="s">
        <v>8687</v>
      </c>
      <c r="Z1988" s="2171" t="s">
        <v>1674</v>
      </c>
      <c r="AA1988" s="2171" t="s">
        <v>8687</v>
      </c>
      <c r="AB1988" s="2171" t="s">
        <v>1674</v>
      </c>
      <c r="AC1988" s="2177" t="s">
        <v>8687</v>
      </c>
      <c r="AD1988" s="5226" t="s">
        <v>8680</v>
      </c>
      <c r="AE1988" s="5227"/>
    </row>
    <row r="1989" spans="1:31" ht="12.75" customHeight="1" x14ac:dyDescent="0.2">
      <c r="A1989" s="1916">
        <v>1989</v>
      </c>
      <c r="B1989" s="5148"/>
      <c r="C1989" s="2230" t="str">
        <f t="shared" si="156"/>
        <v/>
      </c>
      <c r="D1989" s="1691" t="str">
        <f>Combate!AB19</f>
        <v/>
      </c>
      <c r="E1989" s="2166" t="str">
        <f t="shared" si="157"/>
        <v/>
      </c>
      <c r="F1989" s="5248"/>
      <c r="H1989" s="2142" t="str">
        <f>IF(ISNA(VLOOKUP(A2,Principal!$S$42:$AH$69,10,FALSE)),"",IF(VLOOKUP(A2,Principal!$S$42:$AH$69,10,FALSE)=0,"",INDEX(PoderesDeCriatura_Adquiridos,MATCH(A2,Principal!$S$42:$S$69,0))))</f>
        <v/>
      </c>
      <c r="I1989" s="2288" t="str">
        <f>IF(AND(I1988&lt;&gt;"",H1989&lt;&gt;""),", ","")&amp;H1989</f>
        <v/>
      </c>
      <c r="J1989" s="2173" t="str">
        <f>IF(ISNA(INDEX(PoderesDeCriatura_Adquiridos,MATCH(J$1987&amp;$A1,Principal!$U$42:$U$69,0))),"",IF(INDEX(Principal!$AO$42:$AO$69,MATCH(J$1987&amp;$A1,Principal!$U$42:$U$69,0))&gt;0,INDEX(Principal!$AF$42:$AF$69,MATCH(J$1987&amp;$A1,Principal!$U$42:$U$69,0)),INDEX(PoderesDeCriatura_Adquiridos,MATCH(J$1987&amp;$A1,Principal!$U$42:$U$69,0))))</f>
        <v/>
      </c>
      <c r="K1989" s="2172" t="str">
        <f>J1989</f>
        <v/>
      </c>
      <c r="L1989" s="2173" t="str">
        <f>IF(ISNA(INDEX(PoderesDeCriatura_Adquiridos,MATCH(L$1987&amp;$A1,Principal!$U$42:$U$69,0))),"",IF(INDEX(Principal!$AO$42:$AO$69,MATCH(L$1987&amp;$A1,Principal!$U$42:$U$69,0))&gt;0,INDEX(Principal!$AF$42:$AF$69,MATCH(L$1987&amp;$A1,Principal!$U$42:$U$69,0)),INDEX(PoderesDeCriatura_Adquiridos,MATCH(L$1987&amp;$A1,Principal!$U$42:$U$69,0))))</f>
        <v/>
      </c>
      <c r="M1989" s="2172" t="str">
        <f>L1989</f>
        <v/>
      </c>
      <c r="N1989" s="2173" t="str">
        <f>IF(ISNA(INDEX(PoderesDeCriatura_Adquiridos,MATCH(N$1987&amp;$A1,Principal!$U$42:$U$69,0))),"",IF(INDEX(Principal!$AO$42:$AO$69,MATCH(N$1987&amp;$A1,Principal!$U$42:$U$69,0))&gt;0,INDEX(Principal!$AF$42:$AF$69,MATCH(N$1987&amp;$A1,Principal!$U$42:$U$69,0)),INDEX(PoderesDeCriatura_Adquiridos,MATCH(N$1987&amp;$A1,Principal!$U$42:$U$69,0))))</f>
        <v/>
      </c>
      <c r="O1989" s="2172" t="str">
        <f>N1989</f>
        <v/>
      </c>
      <c r="P1989" s="2173" t="str">
        <f>IF(ISNA(INDEX(PoderesDeCriatura_Adquiridos,MATCH(P$1987&amp;$A1,Principal!$U$42:$U$69,0))),"",IF(INDEX(Principal!$AO$42:$AO$69,MATCH(P$1987&amp;$A1,Principal!$U$42:$U$69,0))&gt;0,INDEX(Principal!$AF$42:$AF$69,MATCH(P$1987&amp;$A1,Principal!$U$42:$U$69,0)),INDEX(PoderesDeCriatura_Adquiridos,MATCH(P$1987&amp;$A1,Principal!$U$42:$U$69,0))))</f>
        <v/>
      </c>
      <c r="Q1989" s="2172" t="str">
        <f>P1989</f>
        <v/>
      </c>
      <c r="R1989" s="2173" t="str">
        <f>IF(ISNA(INDEX(PoderesDeCriatura_Adquiridos,MATCH(R$1987&amp;$A1,Principal!$U$42:$U$69,0))),"",IF(INDEX(Principal!$AO$42:$AO$69,MATCH(R$1987&amp;$A1,Principal!$U$42:$U$69,0))&gt;0,INDEX(Principal!$AF$42:$AF$69,MATCH(R$1987&amp;$A1,Principal!$U$42:$U$69,0)),INDEX(PoderesDeCriatura_Adquiridos,MATCH(R$1987&amp;$A1,Principal!$U$42:$U$69,0))))</f>
        <v/>
      </c>
      <c r="S1989" s="2172" t="str">
        <f>R1989</f>
        <v/>
      </c>
      <c r="T1989" s="2173" t="str">
        <f>IF(ISNA(INDEX(PoderesDeCriatura_Adquiridos,MATCH(T$1987&amp;$A1,Principal!$U$42:$U$69,0))),"",IF(INDEX(Principal!$AO$42:$AO$69,MATCH(T$1987&amp;$A1,Principal!$U$42:$U$69,0))&gt;0,INDEX(Principal!$AF$42:$AF$69,MATCH(T$1987&amp;$A1,Principal!$U$42:$U$69,0)),INDEX(PoderesDeCriatura_Adquiridos,MATCH(T$1987&amp;$A1,Principal!$U$42:$U$69,0))))</f>
        <v/>
      </c>
      <c r="U1989" s="2172" t="str">
        <f>T1989</f>
        <v/>
      </c>
      <c r="V1989" s="2173" t="str">
        <f>IF(ISNA(INDEX(PoderesDeCriatura_Adquiridos,MATCH(V$1987&amp;$A1,Principal!$U$42:$U$69,0))),"",IF(INDEX(Principal!$AO$42:$AO$69,MATCH(V$1987&amp;$A1,Principal!$U$42:$U$69,0))&gt;0,INDEX(Principal!$AF$42:$AF$69,MATCH(V$1987&amp;$A1,Principal!$U$42:$U$69,0)),INDEX(PoderesDeCriatura_Adquiridos,MATCH(V$1987&amp;$A1,Principal!$U$42:$U$69,0))))</f>
        <v/>
      </c>
      <c r="W1989" s="2172" t="str">
        <f>V1989</f>
        <v/>
      </c>
      <c r="X1989" s="2173" t="str">
        <f>IF(ISNA(INDEX(PoderesDeCriatura_Adquiridos,MATCH(X$1987&amp;$A1,Principal!$U$42:$U$69,0))),"",IF(INDEX(Principal!$AO$42:$AO$69,MATCH(X$1987&amp;$A1,Principal!$U$42:$U$69,0))&gt;0,INDEX(Principal!$AF$42:$AF$69,MATCH(X$1987&amp;$A1,Principal!$U$42:$U$69,0)),INDEX(PoderesDeCriatura_Adquiridos,MATCH(X$1987&amp;$A1,Principal!$U$42:$U$69,0))))</f>
        <v/>
      </c>
      <c r="Y1989" s="2172" t="str">
        <f>X1989</f>
        <v/>
      </c>
      <c r="Z1989" s="2173" t="str">
        <f>IF(ISNA(INDEX(PoderesDeCriatura_Adquiridos,MATCH(Z$1987&amp;$A1,Principal!$U$42:$U$69,0))),"",IF(INDEX(Principal!$AO$42:$AO$69,MATCH(Z$1987&amp;$A1,Principal!$U$42:$U$69,0))&gt;0,INDEX(Principal!$AF$42:$AF$69,MATCH(Z$1987&amp;$A1,Principal!$U$42:$U$69,0)),INDEX(PoderesDeCriatura_Adquiridos,MATCH(Z$1987&amp;$A1,Principal!$U$42:$U$69,0))))</f>
        <v/>
      </c>
      <c r="AA1989" s="2172" t="str">
        <f>Z1989</f>
        <v/>
      </c>
      <c r="AB1989" s="2173" t="str">
        <f>IF(ISNA(INDEX(PoderesDeCriatura_Adquiridos,MATCH(AB$1987&amp;$A1,Principal!$U$42:$U$69,0))),"",IF(INDEX(Principal!$AO$42:$AO$69,MATCH(AB$1987&amp;$A1,Principal!$U$42:$U$69,0))&gt;0,INDEX(Principal!$AF$42:$AF$69,MATCH(AB$1987&amp;$A1,Principal!$U$42:$U$69,0)),INDEX(PoderesDeCriatura_Adquiridos,MATCH(AB$1987&amp;$A1,Principal!$U$42:$U$69,0))))</f>
        <v/>
      </c>
      <c r="AC1989" s="2178" t="str">
        <f>AB1989</f>
        <v/>
      </c>
      <c r="AD1989" s="2175" t="s">
        <v>3064</v>
      </c>
      <c r="AE1989" s="2180" t="s">
        <v>8681</v>
      </c>
    </row>
    <row r="1990" spans="1:31" ht="12.75" customHeight="1" x14ac:dyDescent="0.2">
      <c r="A1990" s="1916">
        <v>1990</v>
      </c>
      <c r="B1990" s="5148"/>
      <c r="C1990" s="2230" t="str">
        <f t="shared" si="156"/>
        <v/>
      </c>
      <c r="D1990" s="1691" t="str">
        <f>Combate!AB20</f>
        <v/>
      </c>
      <c r="E1990" s="2166" t="str">
        <f t="shared" si="157"/>
        <v/>
      </c>
      <c r="F1990" s="5248"/>
      <c r="H1990" s="2142" t="str">
        <f>IF(ISNA(VLOOKUP(A3,Principal!$S$42:$AH$69,10,FALSE)),"",IF(VLOOKUP(A3,Principal!$S$42:$AH$69,10,FALSE)=0,"",INDEX(PoderesDeCriatura_Adquiridos,MATCH(A3,Principal!$S$42:$S$69,0))))</f>
        <v/>
      </c>
      <c r="I1990" s="2288" t="str">
        <f t="shared" ref="I1990:I2017" si="158">IF(AND(I1989&lt;&gt;"",H1990&lt;&gt;""),", ","")&amp;H1990</f>
        <v/>
      </c>
      <c r="J1990" s="2173" t="str">
        <f>IF(ISNA(INDEX(PoderesDeCriatura_Adquiridos,MATCH(J$1987&amp;$A2,Principal!$U$42:$U$69,0))),"",IF(INDEX(Principal!$AO$42:$AO$69,MATCH(J$1987&amp;$A2,Principal!$U$42:$U$69,0))&gt;0,INDEX(Principal!$AF$42:$AF$69,MATCH(J$1987&amp;$A2,Principal!$U$42:$U$69,0)),INDEX(PoderesDeCriatura_Adquiridos,MATCH(J$1987&amp;$A2,Principal!$U$42:$U$69,0))))</f>
        <v/>
      </c>
      <c r="K1990" s="447" t="str">
        <f>IF(J1990="","",", "&amp;J1990)</f>
        <v/>
      </c>
      <c r="L1990" s="2173" t="str">
        <f>IF(ISNA(INDEX(PoderesDeCriatura_Adquiridos,MATCH(L$1987&amp;$A2,Principal!$U$42:$U$69,0))),"",IF(INDEX(Principal!$AO$42:$AO$69,MATCH(L$1987&amp;$A2,Principal!$U$42:$U$69,0))&gt;0,INDEX(Principal!$AF$42:$AF$69,MATCH(L$1987&amp;$A2,Principal!$U$42:$U$69,0)),INDEX(PoderesDeCriatura_Adquiridos,MATCH(L$1987&amp;$A2,Principal!$U$42:$U$69,0))))</f>
        <v/>
      </c>
      <c r="M1990" s="447" t="str">
        <f>IF(L1990="","",", "&amp;L1990)</f>
        <v/>
      </c>
      <c r="N1990" s="2173" t="str">
        <f>IF(ISNA(INDEX(PoderesDeCriatura_Adquiridos,MATCH(N$1987&amp;$A2,Principal!$U$42:$U$69,0))),"",IF(INDEX(Principal!$AO$42:$AO$69,MATCH(N$1987&amp;$A2,Principal!$U$42:$U$69,0))&gt;0,INDEX(Principal!$AF$42:$AF$69,MATCH(N$1987&amp;$A2,Principal!$U$42:$U$69,0)),INDEX(PoderesDeCriatura_Adquiridos,MATCH(N$1987&amp;$A2,Principal!$U$42:$U$69,0))))</f>
        <v/>
      </c>
      <c r="O1990" s="447" t="str">
        <f>IF(N1990="","",", "&amp;N1990)</f>
        <v/>
      </c>
      <c r="P1990" s="2173" t="str">
        <f>IF(ISNA(INDEX(PoderesDeCriatura_Adquiridos,MATCH(P$1987&amp;$A2,Principal!$U$42:$U$69,0))),"",IF(INDEX(Principal!$AO$42:$AO$69,MATCH(P$1987&amp;$A2,Principal!$U$42:$U$69,0))&gt;0,INDEX(Principal!$AF$42:$AF$69,MATCH(P$1987&amp;$A2,Principal!$U$42:$U$69,0)),INDEX(PoderesDeCriatura_Adquiridos,MATCH(P$1987&amp;$A2,Principal!$U$42:$U$69,0))))</f>
        <v/>
      </c>
      <c r="Q1990" s="447" t="str">
        <f>IF(P1990="","",", "&amp;P1990)</f>
        <v/>
      </c>
      <c r="R1990" s="2173" t="str">
        <f>IF(ISNA(INDEX(PoderesDeCriatura_Adquiridos,MATCH(R$1987&amp;$A2,Principal!$U$42:$U$69,0))),"",IF(INDEX(Principal!$AO$42:$AO$69,MATCH(R$1987&amp;$A2,Principal!$U$42:$U$69,0))&gt;0,INDEX(Principal!$AF$42:$AF$69,MATCH(R$1987&amp;$A2,Principal!$U$42:$U$69,0)),INDEX(PoderesDeCriatura_Adquiridos,MATCH(R$1987&amp;$A2,Principal!$U$42:$U$69,0))))</f>
        <v/>
      </c>
      <c r="S1990" s="447" t="str">
        <f>IF(R1990="","",", "&amp;R1990)</f>
        <v/>
      </c>
      <c r="T1990" s="2173" t="str">
        <f>IF(ISNA(INDEX(PoderesDeCriatura_Adquiridos,MATCH(T$1987&amp;$A2,Principal!$U$42:$U$69,0))),"",IF(INDEX(Principal!$AO$42:$AO$69,MATCH(T$1987&amp;$A2,Principal!$U$42:$U$69,0))&gt;0,INDEX(Principal!$AF$42:$AF$69,MATCH(T$1987&amp;$A2,Principal!$U$42:$U$69,0)),INDEX(PoderesDeCriatura_Adquiridos,MATCH(T$1987&amp;$A2,Principal!$U$42:$U$69,0))))</f>
        <v/>
      </c>
      <c r="U1990" s="447" t="str">
        <f>IF(T1990="","",", "&amp;T1990)</f>
        <v/>
      </c>
      <c r="V1990" s="2173" t="str">
        <f>IF(ISNA(INDEX(PoderesDeCriatura_Adquiridos,MATCH(V$1987&amp;$A2,Principal!$U$42:$U$69,0))),"",IF(INDEX(Principal!$AO$42:$AO$69,MATCH(V$1987&amp;$A2,Principal!$U$42:$U$69,0))&gt;0,INDEX(Principal!$AF$42:$AF$69,MATCH(V$1987&amp;$A2,Principal!$U$42:$U$69,0)),INDEX(PoderesDeCriatura_Adquiridos,MATCH(V$1987&amp;$A2,Principal!$U$42:$U$69,0))))</f>
        <v/>
      </c>
      <c r="W1990" s="447" t="str">
        <f>IF(V1990="","",", "&amp;V1990)</f>
        <v/>
      </c>
      <c r="X1990" s="2173" t="str">
        <f>IF(ISNA(INDEX(PoderesDeCriatura_Adquiridos,MATCH(X$1987&amp;$A2,Principal!$U$42:$U$69,0))),"",IF(INDEX(Principal!$AO$42:$AO$69,MATCH(X$1987&amp;$A2,Principal!$U$42:$U$69,0))&gt;0,INDEX(Principal!$AF$42:$AF$69,MATCH(X$1987&amp;$A2,Principal!$U$42:$U$69,0)),INDEX(PoderesDeCriatura_Adquiridos,MATCH(X$1987&amp;$A2,Principal!$U$42:$U$69,0))))</f>
        <v/>
      </c>
      <c r="Y1990" s="447" t="str">
        <f>IF(X1990="","",", "&amp;X1990)</f>
        <v/>
      </c>
      <c r="Z1990" s="2173" t="str">
        <f>IF(ISNA(INDEX(PoderesDeCriatura_Adquiridos,MATCH(Z$1987&amp;$A2,Principal!$U$42:$U$69,0))),"",IF(INDEX(Principal!$AO$42:$AO$69,MATCH(Z$1987&amp;$A2,Principal!$U$42:$U$69,0))&gt;0,INDEX(Principal!$AF$42:$AF$69,MATCH(Z$1987&amp;$A2,Principal!$U$42:$U$69,0)),INDEX(PoderesDeCriatura_Adquiridos,MATCH(Z$1987&amp;$A2,Principal!$U$42:$U$69,0))))</f>
        <v/>
      </c>
      <c r="AA1990" s="447" t="str">
        <f>IF(Z1990="","",", "&amp;Z1990)</f>
        <v/>
      </c>
      <c r="AB1990" s="2173" t="str">
        <f>IF(ISNA(INDEX(PoderesDeCriatura_Adquiridos,MATCH(AB$1987&amp;$A2,Principal!$U$42:$U$69,0))),"",IF(INDEX(Principal!$AO$42:$AO$69,MATCH(AB$1987&amp;$A2,Principal!$U$42:$U$69,0))&gt;0,INDEX(Principal!$AF$42:$AF$69,MATCH(AB$1987&amp;$A2,Principal!$U$42:$U$69,0)),INDEX(PoderesDeCriatura_Adquiridos,MATCH(AB$1987&amp;$A2,Principal!$U$42:$U$69,0))))</f>
        <v/>
      </c>
      <c r="AC1990" s="2179" t="str">
        <f>IF(AB1990="","",", "&amp;AB1990)</f>
        <v/>
      </c>
      <c r="AD1990" s="2153" t="str">
        <f>IF(AE1990=0,"",MAX($AD$1989:AD1989)+1)</f>
        <v/>
      </c>
      <c r="AE1990" s="2181">
        <f>Principal!V42</f>
        <v>0</v>
      </c>
    </row>
    <row r="1991" spans="1:31" ht="12.75" customHeight="1" x14ac:dyDescent="0.2">
      <c r="A1991" s="1916">
        <v>1991</v>
      </c>
      <c r="B1991" s="5148"/>
      <c r="C1991" s="2230" t="str">
        <f t="shared" si="156"/>
        <v/>
      </c>
      <c r="D1991" s="1691" t="str">
        <f>Combate!AB21</f>
        <v/>
      </c>
      <c r="E1991" s="2166" t="str">
        <f t="shared" si="157"/>
        <v/>
      </c>
      <c r="F1991" s="5248"/>
      <c r="H1991" s="2142" t="str">
        <f>IF(ISNA(VLOOKUP(A4,Principal!$S$42:$AH$69,10,FALSE)),"",IF(VLOOKUP(A4,Principal!$S$42:$AH$69,10,FALSE)=0,"",INDEX(PoderesDeCriatura_Adquiridos,MATCH(A4,Principal!$S$42:$S$69,0))))</f>
        <v/>
      </c>
      <c r="I1991" s="2288" t="str">
        <f t="shared" si="158"/>
        <v/>
      </c>
      <c r="J1991" s="2173" t="str">
        <f>IF(ISNA(INDEX(PoderesDeCriatura_Adquiridos,MATCH(J$1987&amp;$A3,Principal!$U$42:$U$69,0))),"",IF(INDEX(Principal!$AO$42:$AO$69,MATCH(J$1987&amp;$A3,Principal!$U$42:$U$69,0))&gt;0,INDEX(Principal!$AF$42:$AF$69,MATCH(J$1987&amp;$A3,Principal!$U$42:$U$69,0)),INDEX(PoderesDeCriatura_Adquiridos,MATCH(J$1987&amp;$A3,Principal!$U$42:$U$69,0))))</f>
        <v/>
      </c>
      <c r="K1991" s="447" t="str">
        <f t="shared" ref="K1991:M2017" si="159">IF(J1991="","",", "&amp;J1991)</f>
        <v/>
      </c>
      <c r="L1991" s="2173" t="str">
        <f>IF(ISNA(INDEX(PoderesDeCriatura_Adquiridos,MATCH(L$1987&amp;$A3,Principal!$U$42:$U$69,0))),"",IF(INDEX(Principal!$AO$42:$AO$69,MATCH(L$1987&amp;$A3,Principal!$U$42:$U$69,0))&gt;0,INDEX(Principal!$AF$42:$AF$69,MATCH(L$1987&amp;$A3,Principal!$U$42:$U$69,0)),INDEX(PoderesDeCriatura_Adquiridos,MATCH(L$1987&amp;$A3,Principal!$U$42:$U$69,0))))</f>
        <v/>
      </c>
      <c r="M1991" s="447" t="str">
        <f t="shared" si="159"/>
        <v/>
      </c>
      <c r="N1991" s="2173" t="str">
        <f>IF(ISNA(INDEX(PoderesDeCriatura_Adquiridos,MATCH(N$1987&amp;$A3,Principal!$U$42:$U$69,0))),"",IF(INDEX(Principal!$AO$42:$AO$69,MATCH(N$1987&amp;$A3,Principal!$U$42:$U$69,0))&gt;0,INDEX(Principal!$AF$42:$AF$69,MATCH(N$1987&amp;$A3,Principal!$U$42:$U$69,0)),INDEX(PoderesDeCriatura_Adquiridos,MATCH(N$1987&amp;$A3,Principal!$U$42:$U$69,0))))</f>
        <v/>
      </c>
      <c r="O1991" s="447" t="str">
        <f t="shared" ref="O1991" si="160">IF(N1991="","",", "&amp;N1991)</f>
        <v/>
      </c>
      <c r="P1991" s="2173" t="str">
        <f>IF(ISNA(INDEX(PoderesDeCriatura_Adquiridos,MATCH(P$1987&amp;$A3,Principal!$U$42:$U$69,0))),"",IF(INDEX(Principal!$AO$42:$AO$69,MATCH(P$1987&amp;$A3,Principal!$U$42:$U$69,0))&gt;0,INDEX(Principal!$AF$42:$AF$69,MATCH(P$1987&amp;$A3,Principal!$U$42:$U$69,0)),INDEX(PoderesDeCriatura_Adquiridos,MATCH(P$1987&amp;$A3,Principal!$U$42:$U$69,0))))</f>
        <v/>
      </c>
      <c r="Q1991" s="447" t="str">
        <f t="shared" ref="Q1991" si="161">IF(P1991="","",", "&amp;P1991)</f>
        <v/>
      </c>
      <c r="R1991" s="2173" t="str">
        <f>IF(ISNA(INDEX(PoderesDeCriatura_Adquiridos,MATCH(R$1987&amp;$A3,Principal!$U$42:$U$69,0))),"",IF(INDEX(Principal!$AO$42:$AO$69,MATCH(R$1987&amp;$A3,Principal!$U$42:$U$69,0))&gt;0,INDEX(Principal!$AF$42:$AF$69,MATCH(R$1987&amp;$A3,Principal!$U$42:$U$69,0)),INDEX(PoderesDeCriatura_Adquiridos,MATCH(R$1987&amp;$A3,Principal!$U$42:$U$69,0))))</f>
        <v/>
      </c>
      <c r="S1991" s="447" t="str">
        <f t="shared" ref="S1991" si="162">IF(R1991="","",", "&amp;R1991)</f>
        <v/>
      </c>
      <c r="T1991" s="2173" t="str">
        <f>IF(ISNA(INDEX(PoderesDeCriatura_Adquiridos,MATCH(T$1987&amp;$A3,Principal!$U$42:$U$69,0))),"",IF(INDEX(Principal!$AO$42:$AO$69,MATCH(T$1987&amp;$A3,Principal!$U$42:$U$69,0))&gt;0,INDEX(Principal!$AF$42:$AF$69,MATCH(T$1987&amp;$A3,Principal!$U$42:$U$69,0)),INDEX(PoderesDeCriatura_Adquiridos,MATCH(T$1987&amp;$A3,Principal!$U$42:$U$69,0))))</f>
        <v/>
      </c>
      <c r="U1991" s="447" t="str">
        <f t="shared" ref="U1991" si="163">IF(T1991="","",", "&amp;T1991)</f>
        <v/>
      </c>
      <c r="V1991" s="2173" t="str">
        <f>IF(ISNA(INDEX(PoderesDeCriatura_Adquiridos,MATCH(V$1987&amp;$A3,Principal!$U$42:$U$69,0))),"",IF(INDEX(Principal!$AO$42:$AO$69,MATCH(V$1987&amp;$A3,Principal!$U$42:$U$69,0))&gt;0,INDEX(Principal!$AF$42:$AF$69,MATCH(V$1987&amp;$A3,Principal!$U$42:$U$69,0)),INDEX(PoderesDeCriatura_Adquiridos,MATCH(V$1987&amp;$A3,Principal!$U$42:$U$69,0))))</f>
        <v/>
      </c>
      <c r="W1991" s="447" t="str">
        <f t="shared" ref="W1991" si="164">IF(V1991="","",", "&amp;V1991)</f>
        <v/>
      </c>
      <c r="X1991" s="2173" t="str">
        <f>IF(ISNA(INDEX(PoderesDeCriatura_Adquiridos,MATCH(X$1987&amp;$A3,Principal!$U$42:$U$69,0))),"",IF(INDEX(Principal!$AO$42:$AO$69,MATCH(X$1987&amp;$A3,Principal!$U$42:$U$69,0))&gt;0,INDEX(Principal!$AF$42:$AF$69,MATCH(X$1987&amp;$A3,Principal!$U$42:$U$69,0)),INDEX(PoderesDeCriatura_Adquiridos,MATCH(X$1987&amp;$A3,Principal!$U$42:$U$69,0))))</f>
        <v/>
      </c>
      <c r="Y1991" s="447" t="str">
        <f t="shared" ref="Y1991" si="165">IF(X1991="","",", "&amp;X1991)</f>
        <v/>
      </c>
      <c r="Z1991" s="2173" t="str">
        <f>IF(ISNA(INDEX(PoderesDeCriatura_Adquiridos,MATCH(Z$1987&amp;$A3,Principal!$U$42:$U$69,0))),"",IF(INDEX(Principal!$AO$42:$AO$69,MATCH(Z$1987&amp;$A3,Principal!$U$42:$U$69,0))&gt;0,INDEX(Principal!$AF$42:$AF$69,MATCH(Z$1987&amp;$A3,Principal!$U$42:$U$69,0)),INDEX(PoderesDeCriatura_Adquiridos,MATCH(Z$1987&amp;$A3,Principal!$U$42:$U$69,0))))</f>
        <v/>
      </c>
      <c r="AA1991" s="447" t="str">
        <f t="shared" ref="AA1991" si="166">IF(Z1991="","",", "&amp;Z1991)</f>
        <v/>
      </c>
      <c r="AB1991" s="2173" t="str">
        <f>IF(ISNA(INDEX(PoderesDeCriatura_Adquiridos,MATCH(AB$1987&amp;$A3,Principal!$U$42:$U$69,0))),"",IF(INDEX(Principal!$AO$42:$AO$69,MATCH(AB$1987&amp;$A3,Principal!$U$42:$U$69,0))&gt;0,INDEX(Principal!$AF$42:$AF$69,MATCH(AB$1987&amp;$A3,Principal!$U$42:$U$69,0)),INDEX(PoderesDeCriatura_Adquiridos,MATCH(AB$1987&amp;$A3,Principal!$U$42:$U$69,0))))</f>
        <v/>
      </c>
      <c r="AC1991" s="2179" t="str">
        <f t="shared" ref="AC1991" si="167">IF(AB1991="","",", "&amp;AB1991)</f>
        <v/>
      </c>
      <c r="AD1991" s="2153" t="str">
        <f>IF(OR(AE1991=0,ISNUMBER(MATCH(AE1991,$AE$1990:$AE1990,0))),"",MAX($AD$1989:AD1990)+1)</f>
        <v/>
      </c>
      <c r="AE1991" s="2181">
        <f>Principal!V43</f>
        <v>0</v>
      </c>
    </row>
    <row r="1992" spans="1:31" ht="12.75" customHeight="1" x14ac:dyDescent="0.2">
      <c r="A1992" s="1916">
        <v>1992</v>
      </c>
      <c r="B1992" s="5148"/>
      <c r="C1992" s="2230" t="str">
        <f t="shared" si="156"/>
        <v/>
      </c>
      <c r="D1992" s="1691" t="str">
        <f>Combate!AB22</f>
        <v/>
      </c>
      <c r="E1992" s="2166" t="str">
        <f t="shared" si="157"/>
        <v/>
      </c>
      <c r="F1992" s="5248"/>
      <c r="H1992" s="2142" t="str">
        <f>IF(ISNA(VLOOKUP(A5,Principal!$S$42:$AH$69,10,FALSE)),"",IF(VLOOKUP(A5,Principal!$S$42:$AH$69,10,FALSE)=0,"",INDEX(PoderesDeCriatura_Adquiridos,MATCH(A5,Principal!$S$42:$S$69,0))))</f>
        <v/>
      </c>
      <c r="I1992" s="2288" t="str">
        <f t="shared" si="158"/>
        <v/>
      </c>
      <c r="J1992" s="2173" t="str">
        <f>IF(ISNA(INDEX(PoderesDeCriatura_Adquiridos,MATCH(J$1987&amp;$A4,Principal!$U$42:$U$69,0))),"",IF(INDEX(Principal!$AO$42:$AO$69,MATCH(J$1987&amp;$A4,Principal!$U$42:$U$69,0))&gt;0,INDEX(Principal!$AF$42:$AF$69,MATCH(J$1987&amp;$A4,Principal!$U$42:$U$69,0)),INDEX(PoderesDeCriatura_Adquiridos,MATCH(J$1987&amp;$A4,Principal!$U$42:$U$69,0))))</f>
        <v/>
      </c>
      <c r="K1992" s="447" t="str">
        <f t="shared" si="159"/>
        <v/>
      </c>
      <c r="L1992" s="2173" t="str">
        <f>IF(ISNA(INDEX(PoderesDeCriatura_Adquiridos,MATCH(L$1987&amp;$A4,Principal!$U$42:$U$69,0))),"",IF(INDEX(Principal!$AO$42:$AO$69,MATCH(L$1987&amp;$A4,Principal!$U$42:$U$69,0))&gt;0,INDEX(Principal!$AF$42:$AF$69,MATCH(L$1987&amp;$A4,Principal!$U$42:$U$69,0)),INDEX(PoderesDeCriatura_Adquiridos,MATCH(L$1987&amp;$A4,Principal!$U$42:$U$69,0))))</f>
        <v/>
      </c>
      <c r="M1992" s="447" t="str">
        <f t="shared" si="159"/>
        <v/>
      </c>
      <c r="N1992" s="2173" t="str">
        <f>IF(ISNA(INDEX(PoderesDeCriatura_Adquiridos,MATCH(N$1987&amp;$A4,Principal!$U$42:$U$69,0))),"",IF(INDEX(Principal!$AO$42:$AO$69,MATCH(N$1987&amp;$A4,Principal!$U$42:$U$69,0))&gt;0,INDEX(Principal!$AF$42:$AF$69,MATCH(N$1987&amp;$A4,Principal!$U$42:$U$69,0)),INDEX(PoderesDeCriatura_Adquiridos,MATCH(N$1987&amp;$A4,Principal!$U$42:$U$69,0))))</f>
        <v/>
      </c>
      <c r="O1992" s="447" t="str">
        <f t="shared" ref="O1992" si="168">IF(N1992="","",", "&amp;N1992)</f>
        <v/>
      </c>
      <c r="P1992" s="2173" t="str">
        <f>IF(ISNA(INDEX(PoderesDeCriatura_Adquiridos,MATCH(P$1987&amp;$A4,Principal!$U$42:$U$69,0))),"",IF(INDEX(Principal!$AO$42:$AO$69,MATCH(P$1987&amp;$A4,Principal!$U$42:$U$69,0))&gt;0,INDEX(Principal!$AF$42:$AF$69,MATCH(P$1987&amp;$A4,Principal!$U$42:$U$69,0)),INDEX(PoderesDeCriatura_Adquiridos,MATCH(P$1987&amp;$A4,Principal!$U$42:$U$69,0))))</f>
        <v/>
      </c>
      <c r="Q1992" s="447" t="str">
        <f t="shared" ref="Q1992" si="169">IF(P1992="","",", "&amp;P1992)</f>
        <v/>
      </c>
      <c r="R1992" s="2173" t="str">
        <f>IF(ISNA(INDEX(PoderesDeCriatura_Adquiridos,MATCH(R$1987&amp;$A4,Principal!$U$42:$U$69,0))),"",IF(INDEX(Principal!$AO$42:$AO$69,MATCH(R$1987&amp;$A4,Principal!$U$42:$U$69,0))&gt;0,INDEX(Principal!$AF$42:$AF$69,MATCH(R$1987&amp;$A4,Principal!$U$42:$U$69,0)),INDEX(PoderesDeCriatura_Adquiridos,MATCH(R$1987&amp;$A4,Principal!$U$42:$U$69,0))))</f>
        <v/>
      </c>
      <c r="S1992" s="447" t="str">
        <f t="shared" ref="S1992" si="170">IF(R1992="","",", "&amp;R1992)</f>
        <v/>
      </c>
      <c r="T1992" s="2173" t="str">
        <f>IF(ISNA(INDEX(PoderesDeCriatura_Adquiridos,MATCH(T$1987&amp;$A4,Principal!$U$42:$U$69,0))),"",IF(INDEX(Principal!$AO$42:$AO$69,MATCH(T$1987&amp;$A4,Principal!$U$42:$U$69,0))&gt;0,INDEX(Principal!$AF$42:$AF$69,MATCH(T$1987&amp;$A4,Principal!$U$42:$U$69,0)),INDEX(PoderesDeCriatura_Adquiridos,MATCH(T$1987&amp;$A4,Principal!$U$42:$U$69,0))))</f>
        <v/>
      </c>
      <c r="U1992" s="447" t="str">
        <f t="shared" ref="U1992" si="171">IF(T1992="","",", "&amp;T1992)</f>
        <v/>
      </c>
      <c r="V1992" s="2173" t="str">
        <f>IF(ISNA(INDEX(PoderesDeCriatura_Adquiridos,MATCH(V$1987&amp;$A4,Principal!$U$42:$U$69,0))),"",IF(INDEX(Principal!$AO$42:$AO$69,MATCH(V$1987&amp;$A4,Principal!$U$42:$U$69,0))&gt;0,INDEX(Principal!$AF$42:$AF$69,MATCH(V$1987&amp;$A4,Principal!$U$42:$U$69,0)),INDEX(PoderesDeCriatura_Adquiridos,MATCH(V$1987&amp;$A4,Principal!$U$42:$U$69,0))))</f>
        <v/>
      </c>
      <c r="W1992" s="447" t="str">
        <f t="shared" ref="W1992" si="172">IF(V1992="","",", "&amp;V1992)</f>
        <v/>
      </c>
      <c r="X1992" s="2173" t="str">
        <f>IF(ISNA(INDEX(PoderesDeCriatura_Adquiridos,MATCH(X$1987&amp;$A4,Principal!$U$42:$U$69,0))),"",IF(INDEX(Principal!$AO$42:$AO$69,MATCH(X$1987&amp;$A4,Principal!$U$42:$U$69,0))&gt;0,INDEX(Principal!$AF$42:$AF$69,MATCH(X$1987&amp;$A4,Principal!$U$42:$U$69,0)),INDEX(PoderesDeCriatura_Adquiridos,MATCH(X$1987&amp;$A4,Principal!$U$42:$U$69,0))))</f>
        <v/>
      </c>
      <c r="Y1992" s="447" t="str">
        <f t="shared" ref="Y1992" si="173">IF(X1992="","",", "&amp;X1992)</f>
        <v/>
      </c>
      <c r="Z1992" s="2173" t="str">
        <f>IF(ISNA(INDEX(PoderesDeCriatura_Adquiridos,MATCH(Z$1987&amp;$A4,Principal!$U$42:$U$69,0))),"",IF(INDEX(Principal!$AO$42:$AO$69,MATCH(Z$1987&amp;$A4,Principal!$U$42:$U$69,0))&gt;0,INDEX(Principal!$AF$42:$AF$69,MATCH(Z$1987&amp;$A4,Principal!$U$42:$U$69,0)),INDEX(PoderesDeCriatura_Adquiridos,MATCH(Z$1987&amp;$A4,Principal!$U$42:$U$69,0))))</f>
        <v/>
      </c>
      <c r="AA1992" s="447" t="str">
        <f t="shared" ref="AA1992" si="174">IF(Z1992="","",", "&amp;Z1992)</f>
        <v/>
      </c>
      <c r="AB1992" s="2173" t="str">
        <f>IF(ISNA(INDEX(PoderesDeCriatura_Adquiridos,MATCH(AB$1987&amp;$A4,Principal!$U$42:$U$69,0))),"",IF(INDEX(Principal!$AO$42:$AO$69,MATCH(AB$1987&amp;$A4,Principal!$U$42:$U$69,0))&gt;0,INDEX(Principal!$AF$42:$AF$69,MATCH(AB$1987&amp;$A4,Principal!$U$42:$U$69,0)),INDEX(PoderesDeCriatura_Adquiridos,MATCH(AB$1987&amp;$A4,Principal!$U$42:$U$69,0))))</f>
        <v/>
      </c>
      <c r="AC1992" s="2179" t="str">
        <f t="shared" ref="AC1992" si="175">IF(AB1992="","",", "&amp;AB1992)</f>
        <v/>
      </c>
      <c r="AD1992" s="2153" t="str">
        <f>IF(OR(AE1992=0,ISNUMBER(MATCH(AE1992,$AE$1990:$AE1991,0))),"",MAX($AD$1989:AD1991)+1)</f>
        <v/>
      </c>
      <c r="AE1992" s="2181">
        <f>Principal!V44</f>
        <v>0</v>
      </c>
    </row>
    <row r="1993" spans="1:31" ht="12.75" customHeight="1" x14ac:dyDescent="0.2">
      <c r="A1993" s="1916">
        <v>1993</v>
      </c>
      <c r="B1993" s="5148"/>
      <c r="C1993" s="2230" t="str">
        <f t="shared" si="156"/>
        <v/>
      </c>
      <c r="D1993" s="1691" t="str">
        <f>Combate!AB23</f>
        <v/>
      </c>
      <c r="E1993" s="2166" t="str">
        <f t="shared" si="157"/>
        <v/>
      </c>
      <c r="F1993" s="5248"/>
      <c r="H1993" s="2142" t="str">
        <f>IF(ISNA(VLOOKUP(A6,Principal!$S$42:$AH$69,10,FALSE)),"",IF(VLOOKUP(A6,Principal!$S$42:$AH$69,10,FALSE)=0,"",INDEX(PoderesDeCriatura_Adquiridos,MATCH(A6,Principal!$S$42:$S$69,0))))</f>
        <v/>
      </c>
      <c r="I1993" s="2288" t="str">
        <f t="shared" si="158"/>
        <v/>
      </c>
      <c r="J1993" s="2173" t="str">
        <f>IF(ISNA(INDEX(PoderesDeCriatura_Adquiridos,MATCH(J$1987&amp;$A5,Principal!$U$42:$U$69,0))),"",IF(INDEX(Principal!$AO$42:$AO$69,MATCH(J$1987&amp;$A5,Principal!$U$42:$U$69,0))&gt;0,INDEX(Principal!$AF$42:$AF$69,MATCH(J$1987&amp;$A5,Principal!$U$42:$U$69,0)),INDEX(PoderesDeCriatura_Adquiridos,MATCH(J$1987&amp;$A5,Principal!$U$42:$U$69,0))))</f>
        <v/>
      </c>
      <c r="K1993" s="447" t="str">
        <f t="shared" si="159"/>
        <v/>
      </c>
      <c r="L1993" s="2173" t="str">
        <f>IF(ISNA(INDEX(PoderesDeCriatura_Adquiridos,MATCH(L$1987&amp;$A5,Principal!$U$42:$U$69,0))),"",IF(INDEX(Principal!$AO$42:$AO$69,MATCH(L$1987&amp;$A5,Principal!$U$42:$U$69,0))&gt;0,INDEX(Principal!$AF$42:$AF$69,MATCH(L$1987&amp;$A5,Principal!$U$42:$U$69,0)),INDEX(PoderesDeCriatura_Adquiridos,MATCH(L$1987&amp;$A5,Principal!$U$42:$U$69,0))))</f>
        <v/>
      </c>
      <c r="M1993" s="447" t="str">
        <f t="shared" si="159"/>
        <v/>
      </c>
      <c r="N1993" s="2173" t="str">
        <f>IF(ISNA(INDEX(PoderesDeCriatura_Adquiridos,MATCH(N$1987&amp;$A5,Principal!$U$42:$U$69,0))),"",IF(INDEX(Principal!$AO$42:$AO$69,MATCH(N$1987&amp;$A5,Principal!$U$42:$U$69,0))&gt;0,INDEX(Principal!$AF$42:$AF$69,MATCH(N$1987&amp;$A5,Principal!$U$42:$U$69,0)),INDEX(PoderesDeCriatura_Adquiridos,MATCH(N$1987&amp;$A5,Principal!$U$42:$U$69,0))))</f>
        <v/>
      </c>
      <c r="O1993" s="447" t="str">
        <f t="shared" ref="O1993" si="176">IF(N1993="","",", "&amp;N1993)</f>
        <v/>
      </c>
      <c r="P1993" s="2173" t="str">
        <f>IF(ISNA(INDEX(PoderesDeCriatura_Adquiridos,MATCH(P$1987&amp;$A5,Principal!$U$42:$U$69,0))),"",IF(INDEX(Principal!$AO$42:$AO$69,MATCH(P$1987&amp;$A5,Principal!$U$42:$U$69,0))&gt;0,INDEX(Principal!$AF$42:$AF$69,MATCH(P$1987&amp;$A5,Principal!$U$42:$U$69,0)),INDEX(PoderesDeCriatura_Adquiridos,MATCH(P$1987&amp;$A5,Principal!$U$42:$U$69,0))))</f>
        <v/>
      </c>
      <c r="Q1993" s="447" t="str">
        <f t="shared" ref="Q1993" si="177">IF(P1993="","",", "&amp;P1993)</f>
        <v/>
      </c>
      <c r="R1993" s="2173" t="str">
        <f>IF(ISNA(INDEX(PoderesDeCriatura_Adquiridos,MATCH(R$1987&amp;$A5,Principal!$U$42:$U$69,0))),"",IF(INDEX(Principal!$AO$42:$AO$69,MATCH(R$1987&amp;$A5,Principal!$U$42:$U$69,0))&gt;0,INDEX(Principal!$AF$42:$AF$69,MATCH(R$1987&amp;$A5,Principal!$U$42:$U$69,0)),INDEX(PoderesDeCriatura_Adquiridos,MATCH(R$1987&amp;$A5,Principal!$U$42:$U$69,0))))</f>
        <v/>
      </c>
      <c r="S1993" s="447" t="str">
        <f t="shared" ref="S1993" si="178">IF(R1993="","",", "&amp;R1993)</f>
        <v/>
      </c>
      <c r="T1993" s="2173" t="str">
        <f>IF(ISNA(INDEX(PoderesDeCriatura_Adquiridos,MATCH(T$1987&amp;$A5,Principal!$U$42:$U$69,0))),"",IF(INDEX(Principal!$AO$42:$AO$69,MATCH(T$1987&amp;$A5,Principal!$U$42:$U$69,0))&gt;0,INDEX(Principal!$AF$42:$AF$69,MATCH(T$1987&amp;$A5,Principal!$U$42:$U$69,0)),INDEX(PoderesDeCriatura_Adquiridos,MATCH(T$1987&amp;$A5,Principal!$U$42:$U$69,0))))</f>
        <v/>
      </c>
      <c r="U1993" s="447" t="str">
        <f t="shared" ref="U1993" si="179">IF(T1993="","",", "&amp;T1993)</f>
        <v/>
      </c>
      <c r="V1993" s="2173" t="str">
        <f>IF(ISNA(INDEX(PoderesDeCriatura_Adquiridos,MATCH(V$1987&amp;$A5,Principal!$U$42:$U$69,0))),"",IF(INDEX(Principal!$AO$42:$AO$69,MATCH(V$1987&amp;$A5,Principal!$U$42:$U$69,0))&gt;0,INDEX(Principal!$AF$42:$AF$69,MATCH(V$1987&amp;$A5,Principal!$U$42:$U$69,0)),INDEX(PoderesDeCriatura_Adquiridos,MATCH(V$1987&amp;$A5,Principal!$U$42:$U$69,0))))</f>
        <v/>
      </c>
      <c r="W1993" s="447" t="str">
        <f t="shared" ref="W1993" si="180">IF(V1993="","",", "&amp;V1993)</f>
        <v/>
      </c>
      <c r="X1993" s="2173" t="str">
        <f>IF(ISNA(INDEX(PoderesDeCriatura_Adquiridos,MATCH(X$1987&amp;$A5,Principal!$U$42:$U$69,0))),"",IF(INDEX(Principal!$AO$42:$AO$69,MATCH(X$1987&amp;$A5,Principal!$U$42:$U$69,0))&gt;0,INDEX(Principal!$AF$42:$AF$69,MATCH(X$1987&amp;$A5,Principal!$U$42:$U$69,0)),INDEX(PoderesDeCriatura_Adquiridos,MATCH(X$1987&amp;$A5,Principal!$U$42:$U$69,0))))</f>
        <v/>
      </c>
      <c r="Y1993" s="447" t="str">
        <f t="shared" ref="Y1993" si="181">IF(X1993="","",", "&amp;X1993)</f>
        <v/>
      </c>
      <c r="Z1993" s="2173" t="str">
        <f>IF(ISNA(INDEX(PoderesDeCriatura_Adquiridos,MATCH(Z$1987&amp;$A5,Principal!$U$42:$U$69,0))),"",IF(INDEX(Principal!$AO$42:$AO$69,MATCH(Z$1987&amp;$A5,Principal!$U$42:$U$69,0))&gt;0,INDEX(Principal!$AF$42:$AF$69,MATCH(Z$1987&amp;$A5,Principal!$U$42:$U$69,0)),INDEX(PoderesDeCriatura_Adquiridos,MATCH(Z$1987&amp;$A5,Principal!$U$42:$U$69,0))))</f>
        <v/>
      </c>
      <c r="AA1993" s="447" t="str">
        <f t="shared" ref="AA1993" si="182">IF(Z1993="","",", "&amp;Z1993)</f>
        <v/>
      </c>
      <c r="AB1993" s="2173" t="str">
        <f>IF(ISNA(INDEX(PoderesDeCriatura_Adquiridos,MATCH(AB$1987&amp;$A5,Principal!$U$42:$U$69,0))),"",IF(INDEX(Principal!$AO$42:$AO$69,MATCH(AB$1987&amp;$A5,Principal!$U$42:$U$69,0))&gt;0,INDEX(Principal!$AF$42:$AF$69,MATCH(AB$1987&amp;$A5,Principal!$U$42:$U$69,0)),INDEX(PoderesDeCriatura_Adquiridos,MATCH(AB$1987&amp;$A5,Principal!$U$42:$U$69,0))))</f>
        <v/>
      </c>
      <c r="AC1993" s="2179" t="str">
        <f t="shared" ref="AC1993" si="183">IF(AB1993="","",", "&amp;AB1993)</f>
        <v/>
      </c>
      <c r="AD1993" s="2153" t="str">
        <f>IF(OR(AE1993=0,ISNUMBER(MATCH(AE1993,$AE$1990:$AE1992,0))),"",MAX($AD$1989:AD1992)+1)</f>
        <v/>
      </c>
      <c r="AE1993" s="2181">
        <f>Principal!V45</f>
        <v>0</v>
      </c>
    </row>
    <row r="1994" spans="1:31" ht="12.75" customHeight="1" x14ac:dyDescent="0.2">
      <c r="A1994" s="1916">
        <v>1994</v>
      </c>
      <c r="B1994" s="5148"/>
      <c r="C1994" s="2230" t="str">
        <f t="shared" si="156"/>
        <v/>
      </c>
      <c r="D1994" s="1691" t="str">
        <f>Combate!AB24</f>
        <v/>
      </c>
      <c r="E1994" s="2166" t="str">
        <f t="shared" si="157"/>
        <v/>
      </c>
      <c r="F1994" s="5248"/>
      <c r="H1994" s="2142" t="str">
        <f>IF(ISNA(VLOOKUP(A7,Principal!$S$42:$AH$69,10,FALSE)),"",IF(VLOOKUP(A7,Principal!$S$42:$AH$69,10,FALSE)=0,"",INDEX(PoderesDeCriatura_Adquiridos,MATCH(A7,Principal!$S$42:$S$69,0))))</f>
        <v/>
      </c>
      <c r="I1994" s="2288" t="str">
        <f t="shared" si="158"/>
        <v/>
      </c>
      <c r="J1994" s="2173" t="str">
        <f>IF(ISNA(INDEX(PoderesDeCriatura_Adquiridos,MATCH(J$1987&amp;$A6,Principal!$U$42:$U$69,0))),"",IF(INDEX(Principal!$AO$42:$AO$69,MATCH(J$1987&amp;$A6,Principal!$U$42:$U$69,0))&gt;0,INDEX(Principal!$AF$42:$AF$69,MATCH(J$1987&amp;$A6,Principal!$U$42:$U$69,0)),INDEX(PoderesDeCriatura_Adquiridos,MATCH(J$1987&amp;$A6,Principal!$U$42:$U$69,0))))</f>
        <v/>
      </c>
      <c r="K1994" s="447" t="str">
        <f t="shared" si="159"/>
        <v/>
      </c>
      <c r="L1994" s="2173" t="str">
        <f>IF(ISNA(INDEX(PoderesDeCriatura_Adquiridos,MATCH(L$1987&amp;$A6,Principal!$U$42:$U$69,0))),"",IF(INDEX(Principal!$AO$42:$AO$69,MATCH(L$1987&amp;$A6,Principal!$U$42:$U$69,0))&gt;0,INDEX(Principal!$AF$42:$AF$69,MATCH(L$1987&amp;$A6,Principal!$U$42:$U$69,0)),INDEX(PoderesDeCriatura_Adquiridos,MATCH(L$1987&amp;$A6,Principal!$U$42:$U$69,0))))</f>
        <v/>
      </c>
      <c r="M1994" s="447" t="str">
        <f t="shared" si="159"/>
        <v/>
      </c>
      <c r="N1994" s="2173" t="str">
        <f>IF(ISNA(INDEX(PoderesDeCriatura_Adquiridos,MATCH(N$1987&amp;$A6,Principal!$U$42:$U$69,0))),"",IF(INDEX(Principal!$AO$42:$AO$69,MATCH(N$1987&amp;$A6,Principal!$U$42:$U$69,0))&gt;0,INDEX(Principal!$AF$42:$AF$69,MATCH(N$1987&amp;$A6,Principal!$U$42:$U$69,0)),INDEX(PoderesDeCriatura_Adquiridos,MATCH(N$1987&amp;$A6,Principal!$U$42:$U$69,0))))</f>
        <v/>
      </c>
      <c r="O1994" s="447" t="str">
        <f t="shared" ref="O1994" si="184">IF(N1994="","",", "&amp;N1994)</f>
        <v/>
      </c>
      <c r="P1994" s="2173" t="str">
        <f>IF(ISNA(INDEX(PoderesDeCriatura_Adquiridos,MATCH(P$1987&amp;$A6,Principal!$U$42:$U$69,0))),"",IF(INDEX(Principal!$AO$42:$AO$69,MATCH(P$1987&amp;$A6,Principal!$U$42:$U$69,0))&gt;0,INDEX(Principal!$AF$42:$AF$69,MATCH(P$1987&amp;$A6,Principal!$U$42:$U$69,0)),INDEX(PoderesDeCriatura_Adquiridos,MATCH(P$1987&amp;$A6,Principal!$U$42:$U$69,0))))</f>
        <v/>
      </c>
      <c r="Q1994" s="447" t="str">
        <f t="shared" ref="Q1994" si="185">IF(P1994="","",", "&amp;P1994)</f>
        <v/>
      </c>
      <c r="R1994" s="2173" t="str">
        <f>IF(ISNA(INDEX(PoderesDeCriatura_Adquiridos,MATCH(R$1987&amp;$A6,Principal!$U$42:$U$69,0))),"",IF(INDEX(Principal!$AO$42:$AO$69,MATCH(R$1987&amp;$A6,Principal!$U$42:$U$69,0))&gt;0,INDEX(Principal!$AF$42:$AF$69,MATCH(R$1987&amp;$A6,Principal!$U$42:$U$69,0)),INDEX(PoderesDeCriatura_Adquiridos,MATCH(R$1987&amp;$A6,Principal!$U$42:$U$69,0))))</f>
        <v/>
      </c>
      <c r="S1994" s="447" t="str">
        <f t="shared" ref="S1994" si="186">IF(R1994="","",", "&amp;R1994)</f>
        <v/>
      </c>
      <c r="T1994" s="2173" t="str">
        <f>IF(ISNA(INDEX(PoderesDeCriatura_Adquiridos,MATCH(T$1987&amp;$A6,Principal!$U$42:$U$69,0))),"",IF(INDEX(Principal!$AO$42:$AO$69,MATCH(T$1987&amp;$A6,Principal!$U$42:$U$69,0))&gt;0,INDEX(Principal!$AF$42:$AF$69,MATCH(T$1987&amp;$A6,Principal!$U$42:$U$69,0)),INDEX(PoderesDeCriatura_Adquiridos,MATCH(T$1987&amp;$A6,Principal!$U$42:$U$69,0))))</f>
        <v/>
      </c>
      <c r="U1994" s="447" t="str">
        <f t="shared" ref="U1994" si="187">IF(T1994="","",", "&amp;T1994)</f>
        <v/>
      </c>
      <c r="V1994" s="2173" t="str">
        <f>IF(ISNA(INDEX(PoderesDeCriatura_Adquiridos,MATCH(V$1987&amp;$A6,Principal!$U$42:$U$69,0))),"",IF(INDEX(Principal!$AO$42:$AO$69,MATCH(V$1987&amp;$A6,Principal!$U$42:$U$69,0))&gt;0,INDEX(Principal!$AF$42:$AF$69,MATCH(V$1987&amp;$A6,Principal!$U$42:$U$69,0)),INDEX(PoderesDeCriatura_Adquiridos,MATCH(V$1987&amp;$A6,Principal!$U$42:$U$69,0))))</f>
        <v/>
      </c>
      <c r="W1994" s="447" t="str">
        <f t="shared" ref="W1994" si="188">IF(V1994="","",", "&amp;V1994)</f>
        <v/>
      </c>
      <c r="X1994" s="2173" t="str">
        <f>IF(ISNA(INDEX(PoderesDeCriatura_Adquiridos,MATCH(X$1987&amp;$A6,Principal!$U$42:$U$69,0))),"",IF(INDEX(Principal!$AO$42:$AO$69,MATCH(X$1987&amp;$A6,Principal!$U$42:$U$69,0))&gt;0,INDEX(Principal!$AF$42:$AF$69,MATCH(X$1987&amp;$A6,Principal!$U$42:$U$69,0)),INDEX(PoderesDeCriatura_Adquiridos,MATCH(X$1987&amp;$A6,Principal!$U$42:$U$69,0))))</f>
        <v/>
      </c>
      <c r="Y1994" s="447" t="str">
        <f t="shared" ref="Y1994" si="189">IF(X1994="","",", "&amp;X1994)</f>
        <v/>
      </c>
      <c r="Z1994" s="2173" t="str">
        <f>IF(ISNA(INDEX(PoderesDeCriatura_Adquiridos,MATCH(Z$1987&amp;$A6,Principal!$U$42:$U$69,0))),"",IF(INDEX(Principal!$AO$42:$AO$69,MATCH(Z$1987&amp;$A6,Principal!$U$42:$U$69,0))&gt;0,INDEX(Principal!$AF$42:$AF$69,MATCH(Z$1987&amp;$A6,Principal!$U$42:$U$69,0)),INDEX(PoderesDeCriatura_Adquiridos,MATCH(Z$1987&amp;$A6,Principal!$U$42:$U$69,0))))</f>
        <v/>
      </c>
      <c r="AA1994" s="447" t="str">
        <f t="shared" ref="AA1994" si="190">IF(Z1994="","",", "&amp;Z1994)</f>
        <v/>
      </c>
      <c r="AB1994" s="2173" t="str">
        <f>IF(ISNA(INDEX(PoderesDeCriatura_Adquiridos,MATCH(AB$1987&amp;$A6,Principal!$U$42:$U$69,0))),"",IF(INDEX(Principal!$AO$42:$AO$69,MATCH(AB$1987&amp;$A6,Principal!$U$42:$U$69,0))&gt;0,INDEX(Principal!$AF$42:$AF$69,MATCH(AB$1987&amp;$A6,Principal!$U$42:$U$69,0)),INDEX(PoderesDeCriatura_Adquiridos,MATCH(AB$1987&amp;$A6,Principal!$U$42:$U$69,0))))</f>
        <v/>
      </c>
      <c r="AC1994" s="2179" t="str">
        <f t="shared" ref="AC1994" si="191">IF(AB1994="","",", "&amp;AB1994)</f>
        <v/>
      </c>
      <c r="AD1994" s="2153" t="str">
        <f>IF(OR(AE1994=0,ISNUMBER(MATCH(AE1994,$AE$1990:$AE1993,0))),"",MAX($AD$1989:AD1993)+1)</f>
        <v/>
      </c>
      <c r="AE1994" s="2181">
        <f>Principal!V46</f>
        <v>0</v>
      </c>
    </row>
    <row r="1995" spans="1:31" ht="12.75" customHeight="1" x14ac:dyDescent="0.2">
      <c r="A1995" s="1916">
        <v>1995</v>
      </c>
      <c r="B1995" s="5148"/>
      <c r="C1995" s="2230" t="str">
        <f t="shared" si="156"/>
        <v/>
      </c>
      <c r="D1995" s="1691" t="str">
        <f>Combate!AB25</f>
        <v/>
      </c>
      <c r="E1995" s="2166" t="str">
        <f t="shared" si="157"/>
        <v/>
      </c>
      <c r="F1995" s="5248"/>
      <c r="H1995" s="2142" t="str">
        <f>IF(ISNA(VLOOKUP(A8,Principal!$S$42:$AH$69,10,FALSE)),"",IF(VLOOKUP(A8,Principal!$S$42:$AH$69,10,FALSE)=0,"",INDEX(PoderesDeCriatura_Adquiridos,MATCH(A8,Principal!$S$42:$S$69,0))))</f>
        <v/>
      </c>
      <c r="I1995" s="2288" t="str">
        <f t="shared" si="158"/>
        <v/>
      </c>
      <c r="J1995" s="2173" t="str">
        <f>IF(ISNA(INDEX(PoderesDeCriatura_Adquiridos,MATCH(J$1987&amp;$A7,Principal!$U$42:$U$69,0))),"",IF(INDEX(Principal!$AO$42:$AO$69,MATCH(J$1987&amp;$A7,Principal!$U$42:$U$69,0))&gt;0,INDEX(Principal!$AF$42:$AF$69,MATCH(J$1987&amp;$A7,Principal!$U$42:$U$69,0)),INDEX(PoderesDeCriatura_Adquiridos,MATCH(J$1987&amp;$A7,Principal!$U$42:$U$69,0))))</f>
        <v/>
      </c>
      <c r="K1995" s="447" t="str">
        <f t="shared" si="159"/>
        <v/>
      </c>
      <c r="L1995" s="2173" t="str">
        <f>IF(ISNA(INDEX(PoderesDeCriatura_Adquiridos,MATCH(L$1987&amp;$A7,Principal!$U$42:$U$69,0))),"",IF(INDEX(Principal!$AO$42:$AO$69,MATCH(L$1987&amp;$A7,Principal!$U$42:$U$69,0))&gt;0,INDEX(Principal!$AF$42:$AF$69,MATCH(L$1987&amp;$A7,Principal!$U$42:$U$69,0)),INDEX(PoderesDeCriatura_Adquiridos,MATCH(L$1987&amp;$A7,Principal!$U$42:$U$69,0))))</f>
        <v/>
      </c>
      <c r="M1995" s="447" t="str">
        <f t="shared" si="159"/>
        <v/>
      </c>
      <c r="N1995" s="2173" t="str">
        <f>IF(ISNA(INDEX(PoderesDeCriatura_Adquiridos,MATCH(N$1987&amp;$A7,Principal!$U$42:$U$69,0))),"",IF(INDEX(Principal!$AO$42:$AO$69,MATCH(N$1987&amp;$A7,Principal!$U$42:$U$69,0))&gt;0,INDEX(Principal!$AF$42:$AF$69,MATCH(N$1987&amp;$A7,Principal!$U$42:$U$69,0)),INDEX(PoderesDeCriatura_Adquiridos,MATCH(N$1987&amp;$A7,Principal!$U$42:$U$69,0))))</f>
        <v/>
      </c>
      <c r="O1995" s="447" t="str">
        <f t="shared" ref="O1995" si="192">IF(N1995="","",", "&amp;N1995)</f>
        <v/>
      </c>
      <c r="P1995" s="2173" t="str">
        <f>IF(ISNA(INDEX(PoderesDeCriatura_Adquiridos,MATCH(P$1987&amp;$A7,Principal!$U$42:$U$69,0))),"",IF(INDEX(Principal!$AO$42:$AO$69,MATCH(P$1987&amp;$A7,Principal!$U$42:$U$69,0))&gt;0,INDEX(Principal!$AF$42:$AF$69,MATCH(P$1987&amp;$A7,Principal!$U$42:$U$69,0)),INDEX(PoderesDeCriatura_Adquiridos,MATCH(P$1987&amp;$A7,Principal!$U$42:$U$69,0))))</f>
        <v/>
      </c>
      <c r="Q1995" s="447" t="str">
        <f t="shared" ref="Q1995" si="193">IF(P1995="","",", "&amp;P1995)</f>
        <v/>
      </c>
      <c r="R1995" s="2173" t="str">
        <f>IF(ISNA(INDEX(PoderesDeCriatura_Adquiridos,MATCH(R$1987&amp;$A7,Principal!$U$42:$U$69,0))),"",IF(INDEX(Principal!$AO$42:$AO$69,MATCH(R$1987&amp;$A7,Principal!$U$42:$U$69,0))&gt;0,INDEX(Principal!$AF$42:$AF$69,MATCH(R$1987&amp;$A7,Principal!$U$42:$U$69,0)),INDEX(PoderesDeCriatura_Adquiridos,MATCH(R$1987&amp;$A7,Principal!$U$42:$U$69,0))))</f>
        <v/>
      </c>
      <c r="S1995" s="447" t="str">
        <f t="shared" ref="S1995" si="194">IF(R1995="","",", "&amp;R1995)</f>
        <v/>
      </c>
      <c r="T1995" s="2173" t="str">
        <f>IF(ISNA(INDEX(PoderesDeCriatura_Adquiridos,MATCH(T$1987&amp;$A7,Principal!$U$42:$U$69,0))),"",IF(INDEX(Principal!$AO$42:$AO$69,MATCH(T$1987&amp;$A7,Principal!$U$42:$U$69,0))&gt;0,INDEX(Principal!$AF$42:$AF$69,MATCH(T$1987&amp;$A7,Principal!$U$42:$U$69,0)),INDEX(PoderesDeCriatura_Adquiridos,MATCH(T$1987&amp;$A7,Principal!$U$42:$U$69,0))))</f>
        <v/>
      </c>
      <c r="U1995" s="447" t="str">
        <f t="shared" ref="U1995" si="195">IF(T1995="","",", "&amp;T1995)</f>
        <v/>
      </c>
      <c r="V1995" s="2173" t="str">
        <f>IF(ISNA(INDEX(PoderesDeCriatura_Adquiridos,MATCH(V$1987&amp;$A7,Principal!$U$42:$U$69,0))),"",IF(INDEX(Principal!$AO$42:$AO$69,MATCH(V$1987&amp;$A7,Principal!$U$42:$U$69,0))&gt;0,INDEX(Principal!$AF$42:$AF$69,MATCH(V$1987&amp;$A7,Principal!$U$42:$U$69,0)),INDEX(PoderesDeCriatura_Adquiridos,MATCH(V$1987&amp;$A7,Principal!$U$42:$U$69,0))))</f>
        <v/>
      </c>
      <c r="W1995" s="447" t="str">
        <f t="shared" ref="W1995" si="196">IF(V1995="","",", "&amp;V1995)</f>
        <v/>
      </c>
      <c r="X1995" s="2173" t="str">
        <f>IF(ISNA(INDEX(PoderesDeCriatura_Adquiridos,MATCH(X$1987&amp;$A7,Principal!$U$42:$U$69,0))),"",IF(INDEX(Principal!$AO$42:$AO$69,MATCH(X$1987&amp;$A7,Principal!$U$42:$U$69,0))&gt;0,INDEX(Principal!$AF$42:$AF$69,MATCH(X$1987&amp;$A7,Principal!$U$42:$U$69,0)),INDEX(PoderesDeCriatura_Adquiridos,MATCH(X$1987&amp;$A7,Principal!$U$42:$U$69,0))))</f>
        <v/>
      </c>
      <c r="Y1995" s="447" t="str">
        <f t="shared" ref="Y1995" si="197">IF(X1995="","",", "&amp;X1995)</f>
        <v/>
      </c>
      <c r="Z1995" s="2173" t="str">
        <f>IF(ISNA(INDEX(PoderesDeCriatura_Adquiridos,MATCH(Z$1987&amp;$A7,Principal!$U$42:$U$69,0))),"",IF(INDEX(Principal!$AO$42:$AO$69,MATCH(Z$1987&amp;$A7,Principal!$U$42:$U$69,0))&gt;0,INDEX(Principal!$AF$42:$AF$69,MATCH(Z$1987&amp;$A7,Principal!$U$42:$U$69,0)),INDEX(PoderesDeCriatura_Adquiridos,MATCH(Z$1987&amp;$A7,Principal!$U$42:$U$69,0))))</f>
        <v/>
      </c>
      <c r="AA1995" s="447" t="str">
        <f t="shared" ref="AA1995" si="198">IF(Z1995="","",", "&amp;Z1995)</f>
        <v/>
      </c>
      <c r="AB1995" s="2173" t="str">
        <f>IF(ISNA(INDEX(PoderesDeCriatura_Adquiridos,MATCH(AB$1987&amp;$A7,Principal!$U$42:$U$69,0))),"",IF(INDEX(Principal!$AO$42:$AO$69,MATCH(AB$1987&amp;$A7,Principal!$U$42:$U$69,0))&gt;0,INDEX(Principal!$AF$42:$AF$69,MATCH(AB$1987&amp;$A7,Principal!$U$42:$U$69,0)),INDEX(PoderesDeCriatura_Adquiridos,MATCH(AB$1987&amp;$A7,Principal!$U$42:$U$69,0))))</f>
        <v/>
      </c>
      <c r="AC1995" s="2179" t="str">
        <f t="shared" ref="AC1995" si="199">IF(AB1995="","",", "&amp;AB1995)</f>
        <v/>
      </c>
      <c r="AD1995" s="2153" t="str">
        <f>IF(OR(AE1995=0,ISNUMBER(MATCH(AE1995,$AE$1990:$AE1994,0))),"",MAX($AD$1989:AD1994)+1)</f>
        <v/>
      </c>
      <c r="AE1995" s="2181">
        <f>Principal!V47</f>
        <v>0</v>
      </c>
    </row>
    <row r="1996" spans="1:31" ht="12.75" customHeight="1" x14ac:dyDescent="0.2">
      <c r="A1996" s="1916">
        <v>1996</v>
      </c>
      <c r="B1996" s="5148"/>
      <c r="C1996" s="2230" t="str">
        <f t="shared" si="156"/>
        <v/>
      </c>
      <c r="D1996" s="1691" t="str">
        <f>Combate!AB26</f>
        <v/>
      </c>
      <c r="E1996" s="2166" t="str">
        <f t="shared" si="157"/>
        <v/>
      </c>
      <c r="F1996" s="5248"/>
      <c r="H1996" s="2142" t="str">
        <f>IF(ISNA(VLOOKUP(A9,Principal!$S$42:$AH$69,10,FALSE)),"",IF(VLOOKUP(A9,Principal!$S$42:$AH$69,10,FALSE)=0,"",INDEX(PoderesDeCriatura_Adquiridos,MATCH(A9,Principal!$S$42:$S$69,0))))</f>
        <v/>
      </c>
      <c r="I1996" s="2288" t="str">
        <f t="shared" si="158"/>
        <v/>
      </c>
      <c r="J1996" s="2173" t="str">
        <f>IF(ISNA(INDEX(PoderesDeCriatura_Adquiridos,MATCH(J$1987&amp;$A8,Principal!$U$42:$U$69,0))),"",IF(INDEX(Principal!$AO$42:$AO$69,MATCH(J$1987&amp;$A8,Principal!$U$42:$U$69,0))&gt;0,INDEX(Principal!$AF$42:$AF$69,MATCH(J$1987&amp;$A8,Principal!$U$42:$U$69,0)),INDEX(PoderesDeCriatura_Adquiridos,MATCH(J$1987&amp;$A8,Principal!$U$42:$U$69,0))))</f>
        <v/>
      </c>
      <c r="K1996" s="447" t="str">
        <f t="shared" si="159"/>
        <v/>
      </c>
      <c r="L1996" s="2173" t="str">
        <f>IF(ISNA(INDEX(PoderesDeCriatura_Adquiridos,MATCH(L$1987&amp;$A8,Principal!$U$42:$U$69,0))),"",IF(INDEX(Principal!$AO$42:$AO$69,MATCH(L$1987&amp;$A8,Principal!$U$42:$U$69,0))&gt;0,INDEX(Principal!$AF$42:$AF$69,MATCH(L$1987&amp;$A8,Principal!$U$42:$U$69,0)),INDEX(PoderesDeCriatura_Adquiridos,MATCH(L$1987&amp;$A8,Principal!$U$42:$U$69,0))))</f>
        <v/>
      </c>
      <c r="M1996" s="447" t="str">
        <f t="shared" si="159"/>
        <v/>
      </c>
      <c r="N1996" s="2173" t="str">
        <f>IF(ISNA(INDEX(PoderesDeCriatura_Adquiridos,MATCH(N$1987&amp;$A8,Principal!$U$42:$U$69,0))),"",IF(INDEX(Principal!$AO$42:$AO$69,MATCH(N$1987&amp;$A8,Principal!$U$42:$U$69,0))&gt;0,INDEX(Principal!$AF$42:$AF$69,MATCH(N$1987&amp;$A8,Principal!$U$42:$U$69,0)),INDEX(PoderesDeCriatura_Adquiridos,MATCH(N$1987&amp;$A8,Principal!$U$42:$U$69,0))))</f>
        <v/>
      </c>
      <c r="O1996" s="447" t="str">
        <f t="shared" ref="O1996" si="200">IF(N1996="","",", "&amp;N1996)</f>
        <v/>
      </c>
      <c r="P1996" s="2173" t="str">
        <f>IF(ISNA(INDEX(PoderesDeCriatura_Adquiridos,MATCH(P$1987&amp;$A8,Principal!$U$42:$U$69,0))),"",IF(INDEX(Principal!$AO$42:$AO$69,MATCH(P$1987&amp;$A8,Principal!$U$42:$U$69,0))&gt;0,INDEX(Principal!$AF$42:$AF$69,MATCH(P$1987&amp;$A8,Principal!$U$42:$U$69,0)),INDEX(PoderesDeCriatura_Adquiridos,MATCH(P$1987&amp;$A8,Principal!$U$42:$U$69,0))))</f>
        <v/>
      </c>
      <c r="Q1996" s="447" t="str">
        <f t="shared" ref="Q1996" si="201">IF(P1996="","",", "&amp;P1996)</f>
        <v/>
      </c>
      <c r="R1996" s="2173" t="str">
        <f>IF(ISNA(INDEX(PoderesDeCriatura_Adquiridos,MATCH(R$1987&amp;$A8,Principal!$U$42:$U$69,0))),"",IF(INDEX(Principal!$AO$42:$AO$69,MATCH(R$1987&amp;$A8,Principal!$U$42:$U$69,0))&gt;0,INDEX(Principal!$AF$42:$AF$69,MATCH(R$1987&amp;$A8,Principal!$U$42:$U$69,0)),INDEX(PoderesDeCriatura_Adquiridos,MATCH(R$1987&amp;$A8,Principal!$U$42:$U$69,0))))</f>
        <v/>
      </c>
      <c r="S1996" s="447" t="str">
        <f t="shared" ref="S1996" si="202">IF(R1996="","",", "&amp;R1996)</f>
        <v/>
      </c>
      <c r="T1996" s="2173" t="str">
        <f>IF(ISNA(INDEX(PoderesDeCriatura_Adquiridos,MATCH(T$1987&amp;$A8,Principal!$U$42:$U$69,0))),"",IF(INDEX(Principal!$AO$42:$AO$69,MATCH(T$1987&amp;$A8,Principal!$U$42:$U$69,0))&gt;0,INDEX(Principal!$AF$42:$AF$69,MATCH(T$1987&amp;$A8,Principal!$U$42:$U$69,0)),INDEX(PoderesDeCriatura_Adquiridos,MATCH(T$1987&amp;$A8,Principal!$U$42:$U$69,0))))</f>
        <v/>
      </c>
      <c r="U1996" s="447" t="str">
        <f t="shared" ref="U1996" si="203">IF(T1996="","",", "&amp;T1996)</f>
        <v/>
      </c>
      <c r="V1996" s="2173" t="str">
        <f>IF(ISNA(INDEX(PoderesDeCriatura_Adquiridos,MATCH(V$1987&amp;$A8,Principal!$U$42:$U$69,0))),"",IF(INDEX(Principal!$AO$42:$AO$69,MATCH(V$1987&amp;$A8,Principal!$U$42:$U$69,0))&gt;0,INDEX(Principal!$AF$42:$AF$69,MATCH(V$1987&amp;$A8,Principal!$U$42:$U$69,0)),INDEX(PoderesDeCriatura_Adquiridos,MATCH(V$1987&amp;$A8,Principal!$U$42:$U$69,0))))</f>
        <v/>
      </c>
      <c r="W1996" s="447" t="str">
        <f t="shared" ref="W1996" si="204">IF(V1996="","",", "&amp;V1996)</f>
        <v/>
      </c>
      <c r="X1996" s="2173" t="str">
        <f>IF(ISNA(INDEX(PoderesDeCriatura_Adquiridos,MATCH(X$1987&amp;$A8,Principal!$U$42:$U$69,0))),"",IF(INDEX(Principal!$AO$42:$AO$69,MATCH(X$1987&amp;$A8,Principal!$U$42:$U$69,0))&gt;0,INDEX(Principal!$AF$42:$AF$69,MATCH(X$1987&amp;$A8,Principal!$U$42:$U$69,0)),INDEX(PoderesDeCriatura_Adquiridos,MATCH(X$1987&amp;$A8,Principal!$U$42:$U$69,0))))</f>
        <v/>
      </c>
      <c r="Y1996" s="447" t="str">
        <f t="shared" ref="Y1996" si="205">IF(X1996="","",", "&amp;X1996)</f>
        <v/>
      </c>
      <c r="Z1996" s="2173" t="str">
        <f>IF(ISNA(INDEX(PoderesDeCriatura_Adquiridos,MATCH(Z$1987&amp;$A8,Principal!$U$42:$U$69,0))),"",IF(INDEX(Principal!$AO$42:$AO$69,MATCH(Z$1987&amp;$A8,Principal!$U$42:$U$69,0))&gt;0,INDEX(Principal!$AF$42:$AF$69,MATCH(Z$1987&amp;$A8,Principal!$U$42:$U$69,0)),INDEX(PoderesDeCriatura_Adquiridos,MATCH(Z$1987&amp;$A8,Principal!$U$42:$U$69,0))))</f>
        <v/>
      </c>
      <c r="AA1996" s="447" t="str">
        <f t="shared" ref="AA1996" si="206">IF(Z1996="","",", "&amp;Z1996)</f>
        <v/>
      </c>
      <c r="AB1996" s="2173" t="str">
        <f>IF(ISNA(INDEX(PoderesDeCriatura_Adquiridos,MATCH(AB$1987&amp;$A8,Principal!$U$42:$U$69,0))),"",IF(INDEX(Principal!$AO$42:$AO$69,MATCH(AB$1987&amp;$A8,Principal!$U$42:$U$69,0))&gt;0,INDEX(Principal!$AF$42:$AF$69,MATCH(AB$1987&amp;$A8,Principal!$U$42:$U$69,0)),INDEX(PoderesDeCriatura_Adquiridos,MATCH(AB$1987&amp;$A8,Principal!$U$42:$U$69,0))))</f>
        <v/>
      </c>
      <c r="AC1996" s="2179" t="str">
        <f t="shared" ref="AC1996" si="207">IF(AB1996="","",", "&amp;AB1996)</f>
        <v/>
      </c>
      <c r="AD1996" s="2153" t="str">
        <f>IF(OR(AE1996=0,ISNUMBER(MATCH(AE1996,$AE$1990:$AE1995,0))),"",MAX($AD$1989:AD1995)+1)</f>
        <v/>
      </c>
      <c r="AE1996" s="2181">
        <f>Principal!V48</f>
        <v>0</v>
      </c>
    </row>
    <row r="1997" spans="1:31" ht="12.75" customHeight="1" x14ac:dyDescent="0.2">
      <c r="A1997" s="1916">
        <v>1997</v>
      </c>
      <c r="B1997" s="5148"/>
      <c r="C1997" s="2230" t="str">
        <f t="shared" si="156"/>
        <v/>
      </c>
      <c r="D1997" s="1691" t="str">
        <f>Combate!AB27</f>
        <v/>
      </c>
      <c r="E1997" s="2166" t="str">
        <f t="shared" si="157"/>
        <v/>
      </c>
      <c r="F1997" s="5248"/>
      <c r="H1997" s="2142" t="str">
        <f>IF(ISNA(VLOOKUP(A10,Principal!$S$42:$AH$69,10,FALSE)),"",IF(VLOOKUP(A10,Principal!$S$42:$AH$69,10,FALSE)=0,"",INDEX(PoderesDeCriatura_Adquiridos,MATCH(A10,Principal!$S$42:$S$69,0))))</f>
        <v/>
      </c>
      <c r="I1997" s="2288" t="str">
        <f t="shared" si="158"/>
        <v/>
      </c>
      <c r="J1997" s="2173" t="str">
        <f>IF(ISNA(INDEX(PoderesDeCriatura_Adquiridos,MATCH(J$1987&amp;$A9,Principal!$U$42:$U$69,0))),"",IF(INDEX(Principal!$AO$42:$AO$69,MATCH(J$1987&amp;$A9,Principal!$U$42:$U$69,0))&gt;0,INDEX(Principal!$AF$42:$AF$69,MATCH(J$1987&amp;$A9,Principal!$U$42:$U$69,0)),INDEX(PoderesDeCriatura_Adquiridos,MATCH(J$1987&amp;$A9,Principal!$U$42:$U$69,0))))</f>
        <v/>
      </c>
      <c r="K1997" s="447" t="str">
        <f t="shared" si="159"/>
        <v/>
      </c>
      <c r="L1997" s="2173" t="str">
        <f>IF(ISNA(INDEX(PoderesDeCriatura_Adquiridos,MATCH(L$1987&amp;$A9,Principal!$U$42:$U$69,0))),"",IF(INDEX(Principal!$AO$42:$AO$69,MATCH(L$1987&amp;$A9,Principal!$U$42:$U$69,0))&gt;0,INDEX(Principal!$AF$42:$AF$69,MATCH(L$1987&amp;$A9,Principal!$U$42:$U$69,0)),INDEX(PoderesDeCriatura_Adquiridos,MATCH(L$1987&amp;$A9,Principal!$U$42:$U$69,0))))</f>
        <v/>
      </c>
      <c r="M1997" s="447" t="str">
        <f t="shared" si="159"/>
        <v/>
      </c>
      <c r="N1997" s="2173" t="str">
        <f>IF(ISNA(INDEX(PoderesDeCriatura_Adquiridos,MATCH(N$1987&amp;$A9,Principal!$U$42:$U$69,0))),"",IF(INDEX(Principal!$AO$42:$AO$69,MATCH(N$1987&amp;$A9,Principal!$U$42:$U$69,0))&gt;0,INDEX(Principal!$AF$42:$AF$69,MATCH(N$1987&amp;$A9,Principal!$U$42:$U$69,0)),INDEX(PoderesDeCriatura_Adquiridos,MATCH(N$1987&amp;$A9,Principal!$U$42:$U$69,0))))</f>
        <v/>
      </c>
      <c r="O1997" s="447" t="str">
        <f t="shared" ref="O1997" si="208">IF(N1997="","",", "&amp;N1997)</f>
        <v/>
      </c>
      <c r="P1997" s="2173" t="str">
        <f>IF(ISNA(INDEX(PoderesDeCriatura_Adquiridos,MATCH(P$1987&amp;$A9,Principal!$U$42:$U$69,0))),"",IF(INDEX(Principal!$AO$42:$AO$69,MATCH(P$1987&amp;$A9,Principal!$U$42:$U$69,0))&gt;0,INDEX(Principal!$AF$42:$AF$69,MATCH(P$1987&amp;$A9,Principal!$U$42:$U$69,0)),INDEX(PoderesDeCriatura_Adquiridos,MATCH(P$1987&amp;$A9,Principal!$U$42:$U$69,0))))</f>
        <v/>
      </c>
      <c r="Q1997" s="447" t="str">
        <f t="shared" ref="Q1997" si="209">IF(P1997="","",", "&amp;P1997)</f>
        <v/>
      </c>
      <c r="R1997" s="2173" t="str">
        <f>IF(ISNA(INDEX(PoderesDeCriatura_Adquiridos,MATCH(R$1987&amp;$A9,Principal!$U$42:$U$69,0))),"",IF(INDEX(Principal!$AO$42:$AO$69,MATCH(R$1987&amp;$A9,Principal!$U$42:$U$69,0))&gt;0,INDEX(Principal!$AF$42:$AF$69,MATCH(R$1987&amp;$A9,Principal!$U$42:$U$69,0)),INDEX(PoderesDeCriatura_Adquiridos,MATCH(R$1987&amp;$A9,Principal!$U$42:$U$69,0))))</f>
        <v/>
      </c>
      <c r="S1997" s="447" t="str">
        <f t="shared" ref="S1997" si="210">IF(R1997="","",", "&amp;R1997)</f>
        <v/>
      </c>
      <c r="T1997" s="2173" t="str">
        <f>IF(ISNA(INDEX(PoderesDeCriatura_Adquiridos,MATCH(T$1987&amp;$A9,Principal!$U$42:$U$69,0))),"",IF(INDEX(Principal!$AO$42:$AO$69,MATCH(T$1987&amp;$A9,Principal!$U$42:$U$69,0))&gt;0,INDEX(Principal!$AF$42:$AF$69,MATCH(T$1987&amp;$A9,Principal!$U$42:$U$69,0)),INDEX(PoderesDeCriatura_Adquiridos,MATCH(T$1987&amp;$A9,Principal!$U$42:$U$69,0))))</f>
        <v/>
      </c>
      <c r="U1997" s="447" t="str">
        <f t="shared" ref="U1997" si="211">IF(T1997="","",", "&amp;T1997)</f>
        <v/>
      </c>
      <c r="V1997" s="2173" t="str">
        <f>IF(ISNA(INDEX(PoderesDeCriatura_Adquiridos,MATCH(V$1987&amp;$A9,Principal!$U$42:$U$69,0))),"",IF(INDEX(Principal!$AO$42:$AO$69,MATCH(V$1987&amp;$A9,Principal!$U$42:$U$69,0))&gt;0,INDEX(Principal!$AF$42:$AF$69,MATCH(V$1987&amp;$A9,Principal!$U$42:$U$69,0)),INDEX(PoderesDeCriatura_Adquiridos,MATCH(V$1987&amp;$A9,Principal!$U$42:$U$69,0))))</f>
        <v/>
      </c>
      <c r="W1997" s="447" t="str">
        <f t="shared" ref="W1997" si="212">IF(V1997="","",", "&amp;V1997)</f>
        <v/>
      </c>
      <c r="X1997" s="2173" t="str">
        <f>IF(ISNA(INDEX(PoderesDeCriatura_Adquiridos,MATCH(X$1987&amp;$A9,Principal!$U$42:$U$69,0))),"",IF(INDEX(Principal!$AO$42:$AO$69,MATCH(X$1987&amp;$A9,Principal!$U$42:$U$69,0))&gt;0,INDEX(Principal!$AF$42:$AF$69,MATCH(X$1987&amp;$A9,Principal!$U$42:$U$69,0)),INDEX(PoderesDeCriatura_Adquiridos,MATCH(X$1987&amp;$A9,Principal!$U$42:$U$69,0))))</f>
        <v/>
      </c>
      <c r="Y1997" s="447" t="str">
        <f t="shared" ref="Y1997" si="213">IF(X1997="","",", "&amp;X1997)</f>
        <v/>
      </c>
      <c r="Z1997" s="2173" t="str">
        <f>IF(ISNA(INDEX(PoderesDeCriatura_Adquiridos,MATCH(Z$1987&amp;$A9,Principal!$U$42:$U$69,0))),"",IF(INDEX(Principal!$AO$42:$AO$69,MATCH(Z$1987&amp;$A9,Principal!$U$42:$U$69,0))&gt;0,INDEX(Principal!$AF$42:$AF$69,MATCH(Z$1987&amp;$A9,Principal!$U$42:$U$69,0)),INDEX(PoderesDeCriatura_Adquiridos,MATCH(Z$1987&amp;$A9,Principal!$U$42:$U$69,0))))</f>
        <v/>
      </c>
      <c r="AA1997" s="447" t="str">
        <f t="shared" ref="AA1997" si="214">IF(Z1997="","",", "&amp;Z1997)</f>
        <v/>
      </c>
      <c r="AB1997" s="2173" t="str">
        <f>IF(ISNA(INDEX(PoderesDeCriatura_Adquiridos,MATCH(AB$1987&amp;$A9,Principal!$U$42:$U$69,0))),"",IF(INDEX(Principal!$AO$42:$AO$69,MATCH(AB$1987&amp;$A9,Principal!$U$42:$U$69,0))&gt;0,INDEX(Principal!$AF$42:$AF$69,MATCH(AB$1987&amp;$A9,Principal!$U$42:$U$69,0)),INDEX(PoderesDeCriatura_Adquiridos,MATCH(AB$1987&amp;$A9,Principal!$U$42:$U$69,0))))</f>
        <v/>
      </c>
      <c r="AC1997" s="2179" t="str">
        <f t="shared" ref="AC1997" si="215">IF(AB1997="","",", "&amp;AB1997)</f>
        <v/>
      </c>
      <c r="AD1997" s="2153" t="str">
        <f>IF(OR(AE1997=0,ISNUMBER(MATCH(AE1997,$AE$1990:$AE1996,0))),"",MAX($AD$1989:AD1996)+1)</f>
        <v/>
      </c>
      <c r="AE1997" s="2181">
        <f>Principal!V49</f>
        <v>0</v>
      </c>
    </row>
    <row r="1998" spans="1:31" ht="12.75" customHeight="1" x14ac:dyDescent="0.2">
      <c r="A1998" s="1916">
        <v>1998</v>
      </c>
      <c r="B1998" s="5148"/>
      <c r="C1998" s="2230" t="str">
        <f t="shared" si="156"/>
        <v/>
      </c>
      <c r="D1998" s="2155" t="str">
        <f>Combate!AB28</f>
        <v/>
      </c>
      <c r="E1998" s="2166" t="str">
        <f t="shared" si="157"/>
        <v/>
      </c>
      <c r="F1998" s="5248"/>
      <c r="H1998" s="2142" t="str">
        <f>IF(ISNA(VLOOKUP(A11,Principal!$S$42:$AH$69,10,FALSE)),"",IF(VLOOKUP(A11,Principal!$S$42:$AH$69,10,FALSE)=0,"",INDEX(PoderesDeCriatura_Adquiridos,MATCH(A11,Principal!$S$42:$S$69,0))))</f>
        <v/>
      </c>
      <c r="I1998" s="2288" t="str">
        <f t="shared" si="158"/>
        <v/>
      </c>
      <c r="J1998" s="2173" t="str">
        <f>IF(ISNA(INDEX(PoderesDeCriatura_Adquiridos,MATCH(J$1987&amp;$A10,Principal!$U$42:$U$69,0))),"",IF(INDEX(Principal!$AO$42:$AO$69,MATCH(J$1987&amp;$A10,Principal!$U$42:$U$69,0))&gt;0,INDEX(Principal!$AF$42:$AF$69,MATCH(J$1987&amp;$A10,Principal!$U$42:$U$69,0)),INDEX(PoderesDeCriatura_Adquiridos,MATCH(J$1987&amp;$A10,Principal!$U$42:$U$69,0))))</f>
        <v/>
      </c>
      <c r="K1998" s="447" t="str">
        <f t="shared" si="159"/>
        <v/>
      </c>
      <c r="L1998" s="2173" t="str">
        <f>IF(ISNA(INDEX(PoderesDeCriatura_Adquiridos,MATCH(L$1987&amp;$A10,Principal!$U$42:$U$69,0))),"",IF(INDEX(Principal!$AO$42:$AO$69,MATCH(L$1987&amp;$A10,Principal!$U$42:$U$69,0))&gt;0,INDEX(Principal!$AF$42:$AF$69,MATCH(L$1987&amp;$A10,Principal!$U$42:$U$69,0)),INDEX(PoderesDeCriatura_Adquiridos,MATCH(L$1987&amp;$A10,Principal!$U$42:$U$69,0))))</f>
        <v/>
      </c>
      <c r="M1998" s="447" t="str">
        <f t="shared" si="159"/>
        <v/>
      </c>
      <c r="N1998" s="2173" t="str">
        <f>IF(ISNA(INDEX(PoderesDeCriatura_Adquiridos,MATCH(N$1987&amp;$A10,Principal!$U$42:$U$69,0))),"",IF(INDEX(Principal!$AO$42:$AO$69,MATCH(N$1987&amp;$A10,Principal!$U$42:$U$69,0))&gt;0,INDEX(Principal!$AF$42:$AF$69,MATCH(N$1987&amp;$A10,Principal!$U$42:$U$69,0)),INDEX(PoderesDeCriatura_Adquiridos,MATCH(N$1987&amp;$A10,Principal!$U$42:$U$69,0))))</f>
        <v/>
      </c>
      <c r="O1998" s="447" t="str">
        <f t="shared" ref="O1998" si="216">IF(N1998="","",", "&amp;N1998)</f>
        <v/>
      </c>
      <c r="P1998" s="2173" t="str">
        <f>IF(ISNA(INDEX(PoderesDeCriatura_Adquiridos,MATCH(P$1987&amp;$A10,Principal!$U$42:$U$69,0))),"",IF(INDEX(Principal!$AO$42:$AO$69,MATCH(P$1987&amp;$A10,Principal!$U$42:$U$69,0))&gt;0,INDEX(Principal!$AF$42:$AF$69,MATCH(P$1987&amp;$A10,Principal!$U$42:$U$69,0)),INDEX(PoderesDeCriatura_Adquiridos,MATCH(P$1987&amp;$A10,Principal!$U$42:$U$69,0))))</f>
        <v/>
      </c>
      <c r="Q1998" s="447" t="str">
        <f t="shared" ref="Q1998" si="217">IF(P1998="","",", "&amp;P1998)</f>
        <v/>
      </c>
      <c r="R1998" s="2173" t="str">
        <f>IF(ISNA(INDEX(PoderesDeCriatura_Adquiridos,MATCH(R$1987&amp;$A10,Principal!$U$42:$U$69,0))),"",IF(INDEX(Principal!$AO$42:$AO$69,MATCH(R$1987&amp;$A10,Principal!$U$42:$U$69,0))&gt;0,INDEX(Principal!$AF$42:$AF$69,MATCH(R$1987&amp;$A10,Principal!$U$42:$U$69,0)),INDEX(PoderesDeCriatura_Adquiridos,MATCH(R$1987&amp;$A10,Principal!$U$42:$U$69,0))))</f>
        <v/>
      </c>
      <c r="S1998" s="447" t="str">
        <f t="shared" ref="S1998" si="218">IF(R1998="","",", "&amp;R1998)</f>
        <v/>
      </c>
      <c r="T1998" s="2173" t="str">
        <f>IF(ISNA(INDEX(PoderesDeCriatura_Adquiridos,MATCH(T$1987&amp;$A10,Principal!$U$42:$U$69,0))),"",IF(INDEX(Principal!$AO$42:$AO$69,MATCH(T$1987&amp;$A10,Principal!$U$42:$U$69,0))&gt;0,INDEX(Principal!$AF$42:$AF$69,MATCH(T$1987&amp;$A10,Principal!$U$42:$U$69,0)),INDEX(PoderesDeCriatura_Adquiridos,MATCH(T$1987&amp;$A10,Principal!$U$42:$U$69,0))))</f>
        <v/>
      </c>
      <c r="U1998" s="447" t="str">
        <f t="shared" ref="U1998" si="219">IF(T1998="","",", "&amp;T1998)</f>
        <v/>
      </c>
      <c r="V1998" s="2173" t="str">
        <f>IF(ISNA(INDEX(PoderesDeCriatura_Adquiridos,MATCH(V$1987&amp;$A10,Principal!$U$42:$U$69,0))),"",IF(INDEX(Principal!$AO$42:$AO$69,MATCH(V$1987&amp;$A10,Principal!$U$42:$U$69,0))&gt;0,INDEX(Principal!$AF$42:$AF$69,MATCH(V$1987&amp;$A10,Principal!$U$42:$U$69,0)),INDEX(PoderesDeCriatura_Adquiridos,MATCH(V$1987&amp;$A10,Principal!$U$42:$U$69,0))))</f>
        <v/>
      </c>
      <c r="W1998" s="447" t="str">
        <f t="shared" ref="W1998" si="220">IF(V1998="","",", "&amp;V1998)</f>
        <v/>
      </c>
      <c r="X1998" s="2173" t="str">
        <f>IF(ISNA(INDEX(PoderesDeCriatura_Adquiridos,MATCH(X$1987&amp;$A10,Principal!$U$42:$U$69,0))),"",IF(INDEX(Principal!$AO$42:$AO$69,MATCH(X$1987&amp;$A10,Principal!$U$42:$U$69,0))&gt;0,INDEX(Principal!$AF$42:$AF$69,MATCH(X$1987&amp;$A10,Principal!$U$42:$U$69,0)),INDEX(PoderesDeCriatura_Adquiridos,MATCH(X$1987&amp;$A10,Principal!$U$42:$U$69,0))))</f>
        <v/>
      </c>
      <c r="Y1998" s="447" t="str">
        <f t="shared" ref="Y1998" si="221">IF(X1998="","",", "&amp;X1998)</f>
        <v/>
      </c>
      <c r="Z1998" s="2173" t="str">
        <f>IF(ISNA(INDEX(PoderesDeCriatura_Adquiridos,MATCH(Z$1987&amp;$A10,Principal!$U$42:$U$69,0))),"",IF(INDEX(Principal!$AO$42:$AO$69,MATCH(Z$1987&amp;$A10,Principal!$U$42:$U$69,0))&gt;0,INDEX(Principal!$AF$42:$AF$69,MATCH(Z$1987&amp;$A10,Principal!$U$42:$U$69,0)),INDEX(PoderesDeCriatura_Adquiridos,MATCH(Z$1987&amp;$A10,Principal!$U$42:$U$69,0))))</f>
        <v/>
      </c>
      <c r="AA1998" s="447" t="str">
        <f t="shared" ref="AA1998" si="222">IF(Z1998="","",", "&amp;Z1998)</f>
        <v/>
      </c>
      <c r="AB1998" s="2173" t="str">
        <f>IF(ISNA(INDEX(PoderesDeCriatura_Adquiridos,MATCH(AB$1987&amp;$A10,Principal!$U$42:$U$69,0))),"",IF(INDEX(Principal!$AO$42:$AO$69,MATCH(AB$1987&amp;$A10,Principal!$U$42:$U$69,0))&gt;0,INDEX(Principal!$AF$42:$AF$69,MATCH(AB$1987&amp;$A10,Principal!$U$42:$U$69,0)),INDEX(PoderesDeCriatura_Adquiridos,MATCH(AB$1987&amp;$A10,Principal!$U$42:$U$69,0))))</f>
        <v/>
      </c>
      <c r="AC1998" s="2179" t="str">
        <f t="shared" ref="AC1998" si="223">IF(AB1998="","",", "&amp;AB1998)</f>
        <v/>
      </c>
      <c r="AD1998" s="2153" t="str">
        <f>IF(OR(AE1998=0,ISNUMBER(MATCH(AE1998,$AE$1990:$AE1997,0))),"",MAX($AD$1989:AD1997)+1)</f>
        <v/>
      </c>
      <c r="AE1998" s="2181">
        <f>Principal!V50</f>
        <v>0</v>
      </c>
    </row>
    <row r="1999" spans="1:31" ht="12.75" customHeight="1" x14ac:dyDescent="0.2">
      <c r="A1999" s="1916">
        <v>1999</v>
      </c>
      <c r="B1999" s="5148"/>
      <c r="C1999" s="2234" t="str">
        <f t="shared" ref="C1999:C2017" si="224">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691" t="str">
        <f>Combate!AB31</f>
        <v/>
      </c>
      <c r="E1999" s="2166" t="str">
        <f t="shared" si="157"/>
        <v/>
      </c>
      <c r="F1999" s="5248"/>
      <c r="H1999" s="2142" t="str">
        <f>IF(ISNA(VLOOKUP(A12,Principal!$S$42:$AH$69,10,FALSE)),"",IF(VLOOKUP(A12,Principal!$S$42:$AH$69,10,FALSE)=0,"",INDEX(PoderesDeCriatura_Adquiridos,MATCH(A12,Principal!$S$42:$S$69,0))))</f>
        <v/>
      </c>
      <c r="I1999" s="2288" t="str">
        <f t="shared" si="158"/>
        <v/>
      </c>
      <c r="J1999" s="2173" t="str">
        <f>IF(ISNA(INDEX(PoderesDeCriatura_Adquiridos,MATCH(J$1987&amp;$A11,Principal!$U$42:$U$69,0))),"",IF(INDEX(Principal!$AO$42:$AO$69,MATCH(J$1987&amp;$A11,Principal!$U$42:$U$69,0))&gt;0,INDEX(Principal!$AF$42:$AF$69,MATCH(J$1987&amp;$A11,Principal!$U$42:$U$69,0)),INDEX(PoderesDeCriatura_Adquiridos,MATCH(J$1987&amp;$A11,Principal!$U$42:$U$69,0))))</f>
        <v/>
      </c>
      <c r="K1999" s="447" t="str">
        <f t="shared" si="159"/>
        <v/>
      </c>
      <c r="L1999" s="2173" t="str">
        <f>IF(ISNA(INDEX(PoderesDeCriatura_Adquiridos,MATCH(L$1987&amp;$A11,Principal!$U$42:$U$69,0))),"",IF(INDEX(Principal!$AO$42:$AO$69,MATCH(L$1987&amp;$A11,Principal!$U$42:$U$69,0))&gt;0,INDEX(Principal!$AF$42:$AF$69,MATCH(L$1987&amp;$A11,Principal!$U$42:$U$69,0)),INDEX(PoderesDeCriatura_Adquiridos,MATCH(L$1987&amp;$A11,Principal!$U$42:$U$69,0))))</f>
        <v/>
      </c>
      <c r="M1999" s="447" t="str">
        <f t="shared" si="159"/>
        <v/>
      </c>
      <c r="N1999" s="2173" t="str">
        <f>IF(ISNA(INDEX(PoderesDeCriatura_Adquiridos,MATCH(N$1987&amp;$A11,Principal!$U$42:$U$69,0))),"",IF(INDEX(Principal!$AO$42:$AO$69,MATCH(N$1987&amp;$A11,Principal!$U$42:$U$69,0))&gt;0,INDEX(Principal!$AF$42:$AF$69,MATCH(N$1987&amp;$A11,Principal!$U$42:$U$69,0)),INDEX(PoderesDeCriatura_Adquiridos,MATCH(N$1987&amp;$A11,Principal!$U$42:$U$69,0))))</f>
        <v/>
      </c>
      <c r="O1999" s="447" t="str">
        <f t="shared" ref="O1999" si="225">IF(N1999="","",", "&amp;N1999)</f>
        <v/>
      </c>
      <c r="P1999" s="2173" t="str">
        <f>IF(ISNA(INDEX(PoderesDeCriatura_Adquiridos,MATCH(P$1987&amp;$A11,Principal!$U$42:$U$69,0))),"",IF(INDEX(Principal!$AO$42:$AO$69,MATCH(P$1987&amp;$A11,Principal!$U$42:$U$69,0))&gt;0,INDEX(Principal!$AF$42:$AF$69,MATCH(P$1987&amp;$A11,Principal!$U$42:$U$69,0)),INDEX(PoderesDeCriatura_Adquiridos,MATCH(P$1987&amp;$A11,Principal!$U$42:$U$69,0))))</f>
        <v/>
      </c>
      <c r="Q1999" s="447" t="str">
        <f t="shared" ref="Q1999" si="226">IF(P1999="","",", "&amp;P1999)</f>
        <v/>
      </c>
      <c r="R1999" s="2173" t="str">
        <f>IF(ISNA(INDEX(PoderesDeCriatura_Adquiridos,MATCH(R$1987&amp;$A11,Principal!$U$42:$U$69,0))),"",IF(INDEX(Principal!$AO$42:$AO$69,MATCH(R$1987&amp;$A11,Principal!$U$42:$U$69,0))&gt;0,INDEX(Principal!$AF$42:$AF$69,MATCH(R$1987&amp;$A11,Principal!$U$42:$U$69,0)),INDEX(PoderesDeCriatura_Adquiridos,MATCH(R$1987&amp;$A11,Principal!$U$42:$U$69,0))))</f>
        <v/>
      </c>
      <c r="S1999" s="447" t="str">
        <f t="shared" ref="S1999" si="227">IF(R1999="","",", "&amp;R1999)</f>
        <v/>
      </c>
      <c r="T1999" s="2173" t="str">
        <f>IF(ISNA(INDEX(PoderesDeCriatura_Adquiridos,MATCH(T$1987&amp;$A11,Principal!$U$42:$U$69,0))),"",IF(INDEX(Principal!$AO$42:$AO$69,MATCH(T$1987&amp;$A11,Principal!$U$42:$U$69,0))&gt;0,INDEX(Principal!$AF$42:$AF$69,MATCH(T$1987&amp;$A11,Principal!$U$42:$U$69,0)),INDEX(PoderesDeCriatura_Adquiridos,MATCH(T$1987&amp;$A11,Principal!$U$42:$U$69,0))))</f>
        <v/>
      </c>
      <c r="U1999" s="447" t="str">
        <f t="shared" ref="U1999" si="228">IF(T1999="","",", "&amp;T1999)</f>
        <v/>
      </c>
      <c r="V1999" s="2173" t="str">
        <f>IF(ISNA(INDEX(PoderesDeCriatura_Adquiridos,MATCH(V$1987&amp;$A11,Principal!$U$42:$U$69,0))),"",IF(INDEX(Principal!$AO$42:$AO$69,MATCH(V$1987&amp;$A11,Principal!$U$42:$U$69,0))&gt;0,INDEX(Principal!$AF$42:$AF$69,MATCH(V$1987&amp;$A11,Principal!$U$42:$U$69,0)),INDEX(PoderesDeCriatura_Adquiridos,MATCH(V$1987&amp;$A11,Principal!$U$42:$U$69,0))))</f>
        <v/>
      </c>
      <c r="W1999" s="447" t="str">
        <f t="shared" ref="W1999" si="229">IF(V1999="","",", "&amp;V1999)</f>
        <v/>
      </c>
      <c r="X1999" s="2173" t="str">
        <f>IF(ISNA(INDEX(PoderesDeCriatura_Adquiridos,MATCH(X$1987&amp;$A11,Principal!$U$42:$U$69,0))),"",IF(INDEX(Principal!$AO$42:$AO$69,MATCH(X$1987&amp;$A11,Principal!$U$42:$U$69,0))&gt;0,INDEX(Principal!$AF$42:$AF$69,MATCH(X$1987&amp;$A11,Principal!$U$42:$U$69,0)),INDEX(PoderesDeCriatura_Adquiridos,MATCH(X$1987&amp;$A11,Principal!$U$42:$U$69,0))))</f>
        <v/>
      </c>
      <c r="Y1999" s="447" t="str">
        <f t="shared" ref="Y1999" si="230">IF(X1999="","",", "&amp;X1999)</f>
        <v/>
      </c>
      <c r="Z1999" s="2173" t="str">
        <f>IF(ISNA(INDEX(PoderesDeCriatura_Adquiridos,MATCH(Z$1987&amp;$A11,Principal!$U$42:$U$69,0))),"",IF(INDEX(Principal!$AO$42:$AO$69,MATCH(Z$1987&amp;$A11,Principal!$U$42:$U$69,0))&gt;0,INDEX(Principal!$AF$42:$AF$69,MATCH(Z$1987&amp;$A11,Principal!$U$42:$U$69,0)),INDEX(PoderesDeCriatura_Adquiridos,MATCH(Z$1987&amp;$A11,Principal!$U$42:$U$69,0))))</f>
        <v/>
      </c>
      <c r="AA1999" s="447" t="str">
        <f t="shared" ref="AA1999" si="231">IF(Z1999="","",", "&amp;Z1999)</f>
        <v/>
      </c>
      <c r="AB1999" s="2173" t="str">
        <f>IF(ISNA(INDEX(PoderesDeCriatura_Adquiridos,MATCH(AB$1987&amp;$A11,Principal!$U$42:$U$69,0))),"",IF(INDEX(Principal!$AO$42:$AO$69,MATCH(AB$1987&amp;$A11,Principal!$U$42:$U$69,0))&gt;0,INDEX(Principal!$AF$42:$AF$69,MATCH(AB$1987&amp;$A11,Principal!$U$42:$U$69,0)),INDEX(PoderesDeCriatura_Adquiridos,MATCH(AB$1987&amp;$A11,Principal!$U$42:$U$69,0))))</f>
        <v/>
      </c>
      <c r="AC1999" s="2179" t="str">
        <f t="shared" ref="AC1999" si="232">IF(AB1999="","",", "&amp;AB1999)</f>
        <v/>
      </c>
      <c r="AD1999" s="2153" t="str">
        <f>IF(OR(AE1999=0,ISNUMBER(MATCH(AE1999,$AE$1990:$AE1998,0))),"",MAX($AD$1989:AD1998)+1)</f>
        <v/>
      </c>
      <c r="AE1999" s="2181">
        <f>Principal!V51</f>
        <v>0</v>
      </c>
    </row>
    <row r="2000" spans="1:31" ht="12.75" customHeight="1" x14ac:dyDescent="0.2">
      <c r="A2000" s="1916">
        <v>2000</v>
      </c>
      <c r="B2000" s="5148"/>
      <c r="C2000" s="2234" t="str">
        <f t="shared" si="224"/>
        <v/>
      </c>
      <c r="D2000" s="1691" t="str">
        <f>Combate!AB32</f>
        <v/>
      </c>
      <c r="E2000" s="2166" t="str">
        <f t="shared" si="157"/>
        <v/>
      </c>
      <c r="F2000" s="5248"/>
      <c r="H2000" s="2142" t="str">
        <f>IF(ISNA(VLOOKUP(A13,Principal!$S$42:$AH$69,10,FALSE)),"",IF(VLOOKUP(A13,Principal!$S$42:$AH$69,10,FALSE)=0,"",INDEX(PoderesDeCriatura_Adquiridos,MATCH(A13,Principal!$S$42:$S$69,0))))</f>
        <v/>
      </c>
      <c r="I2000" s="2288" t="str">
        <f t="shared" si="158"/>
        <v/>
      </c>
      <c r="J2000" s="2173" t="str">
        <f>IF(ISNA(INDEX(PoderesDeCriatura_Adquiridos,MATCH(J$1987&amp;$A12,Principal!$U$42:$U$69,0))),"",IF(INDEX(Principal!$AO$42:$AO$69,MATCH(J$1987&amp;$A12,Principal!$U$42:$U$69,0))&gt;0,INDEX(Principal!$AF$42:$AF$69,MATCH(J$1987&amp;$A12,Principal!$U$42:$U$69,0)),INDEX(PoderesDeCriatura_Adquiridos,MATCH(J$1987&amp;$A12,Principal!$U$42:$U$69,0))))</f>
        <v/>
      </c>
      <c r="K2000" s="447" t="str">
        <f t="shared" si="159"/>
        <v/>
      </c>
      <c r="L2000" s="2173" t="str">
        <f>IF(ISNA(INDEX(PoderesDeCriatura_Adquiridos,MATCH(L$1987&amp;$A12,Principal!$U$42:$U$69,0))),"",IF(INDEX(Principal!$AO$42:$AO$69,MATCH(L$1987&amp;$A12,Principal!$U$42:$U$69,0))&gt;0,INDEX(Principal!$AF$42:$AF$69,MATCH(L$1987&amp;$A12,Principal!$U$42:$U$69,0)),INDEX(PoderesDeCriatura_Adquiridos,MATCH(L$1987&amp;$A12,Principal!$U$42:$U$69,0))))</f>
        <v/>
      </c>
      <c r="M2000" s="447" t="str">
        <f t="shared" si="159"/>
        <v/>
      </c>
      <c r="N2000" s="2173" t="str">
        <f>IF(ISNA(INDEX(PoderesDeCriatura_Adquiridos,MATCH(N$1987&amp;$A12,Principal!$U$42:$U$69,0))),"",IF(INDEX(Principal!$AO$42:$AO$69,MATCH(N$1987&amp;$A12,Principal!$U$42:$U$69,0))&gt;0,INDEX(Principal!$AF$42:$AF$69,MATCH(N$1987&amp;$A12,Principal!$U$42:$U$69,0)),INDEX(PoderesDeCriatura_Adquiridos,MATCH(N$1987&amp;$A12,Principal!$U$42:$U$69,0))))</f>
        <v/>
      </c>
      <c r="O2000" s="447" t="str">
        <f t="shared" ref="O2000" si="233">IF(N2000="","",", "&amp;N2000)</f>
        <v/>
      </c>
      <c r="P2000" s="2173" t="str">
        <f>IF(ISNA(INDEX(PoderesDeCriatura_Adquiridos,MATCH(P$1987&amp;$A12,Principal!$U$42:$U$69,0))),"",IF(INDEX(Principal!$AO$42:$AO$69,MATCH(P$1987&amp;$A12,Principal!$U$42:$U$69,0))&gt;0,INDEX(Principal!$AF$42:$AF$69,MATCH(P$1987&amp;$A12,Principal!$U$42:$U$69,0)),INDEX(PoderesDeCriatura_Adquiridos,MATCH(P$1987&amp;$A12,Principal!$U$42:$U$69,0))))</f>
        <v/>
      </c>
      <c r="Q2000" s="447" t="str">
        <f t="shared" ref="Q2000" si="234">IF(P2000="","",", "&amp;P2000)</f>
        <v/>
      </c>
      <c r="R2000" s="2173" t="str">
        <f>IF(ISNA(INDEX(PoderesDeCriatura_Adquiridos,MATCH(R$1987&amp;$A12,Principal!$U$42:$U$69,0))),"",IF(INDEX(Principal!$AO$42:$AO$69,MATCH(R$1987&amp;$A12,Principal!$U$42:$U$69,0))&gt;0,INDEX(Principal!$AF$42:$AF$69,MATCH(R$1987&amp;$A12,Principal!$U$42:$U$69,0)),INDEX(PoderesDeCriatura_Adquiridos,MATCH(R$1987&amp;$A12,Principal!$U$42:$U$69,0))))</f>
        <v/>
      </c>
      <c r="S2000" s="447" t="str">
        <f t="shared" ref="S2000" si="235">IF(R2000="","",", "&amp;R2000)</f>
        <v/>
      </c>
      <c r="T2000" s="2173" t="str">
        <f>IF(ISNA(INDEX(PoderesDeCriatura_Adquiridos,MATCH(T$1987&amp;$A12,Principal!$U$42:$U$69,0))),"",IF(INDEX(Principal!$AO$42:$AO$69,MATCH(T$1987&amp;$A12,Principal!$U$42:$U$69,0))&gt;0,INDEX(Principal!$AF$42:$AF$69,MATCH(T$1987&amp;$A12,Principal!$U$42:$U$69,0)),INDEX(PoderesDeCriatura_Adquiridos,MATCH(T$1987&amp;$A12,Principal!$U$42:$U$69,0))))</f>
        <v/>
      </c>
      <c r="U2000" s="447" t="str">
        <f t="shared" ref="U2000" si="236">IF(T2000="","",", "&amp;T2000)</f>
        <v/>
      </c>
      <c r="V2000" s="2173" t="str">
        <f>IF(ISNA(INDEX(PoderesDeCriatura_Adquiridos,MATCH(V$1987&amp;$A12,Principal!$U$42:$U$69,0))),"",IF(INDEX(Principal!$AO$42:$AO$69,MATCH(V$1987&amp;$A12,Principal!$U$42:$U$69,0))&gt;0,INDEX(Principal!$AF$42:$AF$69,MATCH(V$1987&amp;$A12,Principal!$U$42:$U$69,0)),INDEX(PoderesDeCriatura_Adquiridos,MATCH(V$1987&amp;$A12,Principal!$U$42:$U$69,0))))</f>
        <v/>
      </c>
      <c r="W2000" s="447" t="str">
        <f t="shared" ref="W2000" si="237">IF(V2000="","",", "&amp;V2000)</f>
        <v/>
      </c>
      <c r="X2000" s="2173" t="str">
        <f>IF(ISNA(INDEX(PoderesDeCriatura_Adquiridos,MATCH(X$1987&amp;$A12,Principal!$U$42:$U$69,0))),"",IF(INDEX(Principal!$AO$42:$AO$69,MATCH(X$1987&amp;$A12,Principal!$U$42:$U$69,0))&gt;0,INDEX(Principal!$AF$42:$AF$69,MATCH(X$1987&amp;$A12,Principal!$U$42:$U$69,0)),INDEX(PoderesDeCriatura_Adquiridos,MATCH(X$1987&amp;$A12,Principal!$U$42:$U$69,0))))</f>
        <v/>
      </c>
      <c r="Y2000" s="447" t="str">
        <f t="shared" ref="Y2000" si="238">IF(X2000="","",", "&amp;X2000)</f>
        <v/>
      </c>
      <c r="Z2000" s="2173" t="str">
        <f>IF(ISNA(INDEX(PoderesDeCriatura_Adquiridos,MATCH(Z$1987&amp;$A12,Principal!$U$42:$U$69,0))),"",IF(INDEX(Principal!$AO$42:$AO$69,MATCH(Z$1987&amp;$A12,Principal!$U$42:$U$69,0))&gt;0,INDEX(Principal!$AF$42:$AF$69,MATCH(Z$1987&amp;$A12,Principal!$U$42:$U$69,0)),INDEX(PoderesDeCriatura_Adquiridos,MATCH(Z$1987&amp;$A12,Principal!$U$42:$U$69,0))))</f>
        <v/>
      </c>
      <c r="AA2000" s="447" t="str">
        <f t="shared" ref="AA2000" si="239">IF(Z2000="","",", "&amp;Z2000)</f>
        <v/>
      </c>
      <c r="AB2000" s="2173" t="str">
        <f>IF(ISNA(INDEX(PoderesDeCriatura_Adquiridos,MATCH(AB$1987&amp;$A12,Principal!$U$42:$U$69,0))),"",IF(INDEX(Principal!$AO$42:$AO$69,MATCH(AB$1987&amp;$A12,Principal!$U$42:$U$69,0))&gt;0,INDEX(Principal!$AF$42:$AF$69,MATCH(AB$1987&amp;$A12,Principal!$U$42:$U$69,0)),INDEX(PoderesDeCriatura_Adquiridos,MATCH(AB$1987&amp;$A12,Principal!$U$42:$U$69,0))))</f>
        <v/>
      </c>
      <c r="AC2000" s="2179" t="str">
        <f t="shared" ref="AC2000" si="240">IF(AB2000="","",", "&amp;AB2000)</f>
        <v/>
      </c>
      <c r="AD2000" s="2153" t="str">
        <f>IF(OR(AE2000=0,ISNUMBER(MATCH(AE2000,$AE$1990:$AE1999,0))),"",MAX($AD$1989:AD1999)+1)</f>
        <v/>
      </c>
      <c r="AE2000" s="2181">
        <f>Principal!V52</f>
        <v>0</v>
      </c>
    </row>
    <row r="2001" spans="1:31" ht="12.75" customHeight="1" x14ac:dyDescent="0.2">
      <c r="A2001" s="1916">
        <v>2001</v>
      </c>
      <c r="B2001" s="5148"/>
      <c r="C2001" s="2234" t="str">
        <f t="shared" si="224"/>
        <v/>
      </c>
      <c r="D2001" s="1691" t="str">
        <f>Combate!AB33</f>
        <v/>
      </c>
      <c r="E2001" s="2166" t="str">
        <f t="shared" si="157"/>
        <v/>
      </c>
      <c r="F2001" s="5248"/>
      <c r="H2001" s="2142" t="str">
        <f>IF(ISNA(VLOOKUP(A14,Principal!$S$42:$AH$69,10,FALSE)),"",IF(VLOOKUP(A14,Principal!$S$42:$AH$69,10,FALSE)=0,"",INDEX(PoderesDeCriatura_Adquiridos,MATCH(A14,Principal!$S$42:$S$69,0))))</f>
        <v/>
      </c>
      <c r="I2001" s="2288" t="str">
        <f t="shared" si="158"/>
        <v/>
      </c>
      <c r="J2001" s="2173" t="str">
        <f>IF(ISNA(INDEX(PoderesDeCriatura_Adquiridos,MATCH(J$1987&amp;$A13,Principal!$U$42:$U$69,0))),"",IF(INDEX(Principal!$AO$42:$AO$69,MATCH(J$1987&amp;$A13,Principal!$U$42:$U$69,0))&gt;0,INDEX(Principal!$AF$42:$AF$69,MATCH(J$1987&amp;$A13,Principal!$U$42:$U$69,0)),INDEX(PoderesDeCriatura_Adquiridos,MATCH(J$1987&amp;$A13,Principal!$U$42:$U$69,0))))</f>
        <v/>
      </c>
      <c r="K2001" s="447" t="str">
        <f t="shared" si="159"/>
        <v/>
      </c>
      <c r="L2001" s="2173" t="str">
        <f>IF(ISNA(INDEX(PoderesDeCriatura_Adquiridos,MATCH(L$1987&amp;$A13,Principal!$U$42:$U$69,0))),"",IF(INDEX(Principal!$AO$42:$AO$69,MATCH(L$1987&amp;$A13,Principal!$U$42:$U$69,0))&gt;0,INDEX(Principal!$AF$42:$AF$69,MATCH(L$1987&amp;$A13,Principal!$U$42:$U$69,0)),INDEX(PoderesDeCriatura_Adquiridos,MATCH(L$1987&amp;$A13,Principal!$U$42:$U$69,0))))</f>
        <v/>
      </c>
      <c r="M2001" s="447" t="str">
        <f t="shared" si="159"/>
        <v/>
      </c>
      <c r="N2001" s="2173" t="str">
        <f>IF(ISNA(INDEX(PoderesDeCriatura_Adquiridos,MATCH(N$1987&amp;$A13,Principal!$U$42:$U$69,0))),"",IF(INDEX(Principal!$AO$42:$AO$69,MATCH(N$1987&amp;$A13,Principal!$U$42:$U$69,0))&gt;0,INDEX(Principal!$AF$42:$AF$69,MATCH(N$1987&amp;$A13,Principal!$U$42:$U$69,0)),INDEX(PoderesDeCriatura_Adquiridos,MATCH(N$1987&amp;$A13,Principal!$U$42:$U$69,0))))</f>
        <v/>
      </c>
      <c r="O2001" s="447" t="str">
        <f t="shared" ref="O2001" si="241">IF(N2001="","",", "&amp;N2001)</f>
        <v/>
      </c>
      <c r="P2001" s="2173" t="str">
        <f>IF(ISNA(INDEX(PoderesDeCriatura_Adquiridos,MATCH(P$1987&amp;$A13,Principal!$U$42:$U$69,0))),"",IF(INDEX(Principal!$AO$42:$AO$69,MATCH(P$1987&amp;$A13,Principal!$U$42:$U$69,0))&gt;0,INDEX(Principal!$AF$42:$AF$69,MATCH(P$1987&amp;$A13,Principal!$U$42:$U$69,0)),INDEX(PoderesDeCriatura_Adquiridos,MATCH(P$1987&amp;$A13,Principal!$U$42:$U$69,0))))</f>
        <v/>
      </c>
      <c r="Q2001" s="447" t="str">
        <f t="shared" ref="Q2001" si="242">IF(P2001="","",", "&amp;P2001)</f>
        <v/>
      </c>
      <c r="R2001" s="2173" t="str">
        <f>IF(ISNA(INDEX(PoderesDeCriatura_Adquiridos,MATCH(R$1987&amp;$A13,Principal!$U$42:$U$69,0))),"",IF(INDEX(Principal!$AO$42:$AO$69,MATCH(R$1987&amp;$A13,Principal!$U$42:$U$69,0))&gt;0,INDEX(Principal!$AF$42:$AF$69,MATCH(R$1987&amp;$A13,Principal!$U$42:$U$69,0)),INDEX(PoderesDeCriatura_Adquiridos,MATCH(R$1987&amp;$A13,Principal!$U$42:$U$69,0))))</f>
        <v/>
      </c>
      <c r="S2001" s="447" t="str">
        <f t="shared" ref="S2001" si="243">IF(R2001="","",", "&amp;R2001)</f>
        <v/>
      </c>
      <c r="T2001" s="2173" t="str">
        <f>IF(ISNA(INDEX(PoderesDeCriatura_Adquiridos,MATCH(T$1987&amp;$A13,Principal!$U$42:$U$69,0))),"",IF(INDEX(Principal!$AO$42:$AO$69,MATCH(T$1987&amp;$A13,Principal!$U$42:$U$69,0))&gt;0,INDEX(Principal!$AF$42:$AF$69,MATCH(T$1987&amp;$A13,Principal!$U$42:$U$69,0)),INDEX(PoderesDeCriatura_Adquiridos,MATCH(T$1987&amp;$A13,Principal!$U$42:$U$69,0))))</f>
        <v/>
      </c>
      <c r="U2001" s="447" t="str">
        <f t="shared" ref="U2001" si="244">IF(T2001="","",", "&amp;T2001)</f>
        <v/>
      </c>
      <c r="V2001" s="2173" t="str">
        <f>IF(ISNA(INDEX(PoderesDeCriatura_Adquiridos,MATCH(V$1987&amp;$A13,Principal!$U$42:$U$69,0))),"",IF(INDEX(Principal!$AO$42:$AO$69,MATCH(V$1987&amp;$A13,Principal!$U$42:$U$69,0))&gt;0,INDEX(Principal!$AF$42:$AF$69,MATCH(V$1987&amp;$A13,Principal!$U$42:$U$69,0)),INDEX(PoderesDeCriatura_Adquiridos,MATCH(V$1987&amp;$A13,Principal!$U$42:$U$69,0))))</f>
        <v/>
      </c>
      <c r="W2001" s="447" t="str">
        <f t="shared" ref="W2001" si="245">IF(V2001="","",", "&amp;V2001)</f>
        <v/>
      </c>
      <c r="X2001" s="2173" t="str">
        <f>IF(ISNA(INDEX(PoderesDeCriatura_Adquiridos,MATCH(X$1987&amp;$A13,Principal!$U$42:$U$69,0))),"",IF(INDEX(Principal!$AO$42:$AO$69,MATCH(X$1987&amp;$A13,Principal!$U$42:$U$69,0))&gt;0,INDEX(Principal!$AF$42:$AF$69,MATCH(X$1987&amp;$A13,Principal!$U$42:$U$69,0)),INDEX(PoderesDeCriatura_Adquiridos,MATCH(X$1987&amp;$A13,Principal!$U$42:$U$69,0))))</f>
        <v/>
      </c>
      <c r="Y2001" s="447" t="str">
        <f t="shared" ref="Y2001" si="246">IF(X2001="","",", "&amp;X2001)</f>
        <v/>
      </c>
      <c r="Z2001" s="2173" t="str">
        <f>IF(ISNA(INDEX(PoderesDeCriatura_Adquiridos,MATCH(Z$1987&amp;$A13,Principal!$U$42:$U$69,0))),"",IF(INDEX(Principal!$AO$42:$AO$69,MATCH(Z$1987&amp;$A13,Principal!$U$42:$U$69,0))&gt;0,INDEX(Principal!$AF$42:$AF$69,MATCH(Z$1987&amp;$A13,Principal!$U$42:$U$69,0)),INDEX(PoderesDeCriatura_Adquiridos,MATCH(Z$1987&amp;$A13,Principal!$U$42:$U$69,0))))</f>
        <v/>
      </c>
      <c r="AA2001" s="447" t="str">
        <f t="shared" ref="AA2001" si="247">IF(Z2001="","",", "&amp;Z2001)</f>
        <v/>
      </c>
      <c r="AB2001" s="2173" t="str">
        <f>IF(ISNA(INDEX(PoderesDeCriatura_Adquiridos,MATCH(AB$1987&amp;$A13,Principal!$U$42:$U$69,0))),"",IF(INDEX(Principal!$AO$42:$AO$69,MATCH(AB$1987&amp;$A13,Principal!$U$42:$U$69,0))&gt;0,INDEX(Principal!$AF$42:$AF$69,MATCH(AB$1987&amp;$A13,Principal!$U$42:$U$69,0)),INDEX(PoderesDeCriatura_Adquiridos,MATCH(AB$1987&amp;$A13,Principal!$U$42:$U$69,0))))</f>
        <v/>
      </c>
      <c r="AC2001" s="2179" t="str">
        <f t="shared" ref="AC2001" si="248">IF(AB2001="","",", "&amp;AB2001)</f>
        <v/>
      </c>
      <c r="AD2001" s="2153" t="str">
        <f>IF(OR(AE2001=0,ISNUMBER(MATCH(AE2001,$AE$1990:$AE2000,0))),"",MAX($AD$1989:AD2000)+1)</f>
        <v/>
      </c>
      <c r="AE2001" s="2181">
        <f>Principal!V53</f>
        <v>0</v>
      </c>
    </row>
    <row r="2002" spans="1:31" ht="12.75" customHeight="1" x14ac:dyDescent="0.2">
      <c r="A2002" s="1916">
        <v>2002</v>
      </c>
      <c r="B2002" s="5148"/>
      <c r="C2002" s="2234" t="str">
        <f t="shared" si="224"/>
        <v/>
      </c>
      <c r="D2002" s="1691" t="str">
        <f>Combate!AB34</f>
        <v/>
      </c>
      <c r="E2002" s="2166" t="str">
        <f t="shared" si="157"/>
        <v/>
      </c>
      <c r="F2002" s="5248"/>
      <c r="H2002" s="2142" t="str">
        <f>IF(ISNA(VLOOKUP(A15,Principal!$S$42:$AH$69,10,FALSE)),"",IF(VLOOKUP(A15,Principal!$S$42:$AH$69,10,FALSE)=0,"",INDEX(PoderesDeCriatura_Adquiridos,MATCH(A15,Principal!$S$42:$S$69,0))))</f>
        <v/>
      </c>
      <c r="I2002" s="2288" t="str">
        <f t="shared" si="158"/>
        <v/>
      </c>
      <c r="J2002" s="2173" t="str">
        <f>IF(ISNA(INDEX(PoderesDeCriatura_Adquiridos,MATCH(J$1987&amp;$A14,Principal!$U$42:$U$69,0))),"",IF(INDEX(Principal!$AO$42:$AO$69,MATCH(J$1987&amp;$A14,Principal!$U$42:$U$69,0))&gt;0,INDEX(Principal!$AF$42:$AF$69,MATCH(J$1987&amp;$A14,Principal!$U$42:$U$69,0)),INDEX(PoderesDeCriatura_Adquiridos,MATCH(J$1987&amp;$A14,Principal!$U$42:$U$69,0))))</f>
        <v/>
      </c>
      <c r="K2002" s="447" t="str">
        <f t="shared" si="159"/>
        <v/>
      </c>
      <c r="L2002" s="2173" t="str">
        <f>IF(ISNA(INDEX(PoderesDeCriatura_Adquiridos,MATCH(L$1987&amp;$A14,Principal!$U$42:$U$69,0))),"",IF(INDEX(Principal!$AO$42:$AO$69,MATCH(L$1987&amp;$A14,Principal!$U$42:$U$69,0))&gt;0,INDEX(Principal!$AF$42:$AF$69,MATCH(L$1987&amp;$A14,Principal!$U$42:$U$69,0)),INDEX(PoderesDeCriatura_Adquiridos,MATCH(L$1987&amp;$A14,Principal!$U$42:$U$69,0))))</f>
        <v/>
      </c>
      <c r="M2002" s="447" t="str">
        <f t="shared" si="159"/>
        <v/>
      </c>
      <c r="N2002" s="2173" t="str">
        <f>IF(ISNA(INDEX(PoderesDeCriatura_Adquiridos,MATCH(N$1987&amp;$A14,Principal!$U$42:$U$69,0))),"",IF(INDEX(Principal!$AO$42:$AO$69,MATCH(N$1987&amp;$A14,Principal!$U$42:$U$69,0))&gt;0,INDEX(Principal!$AF$42:$AF$69,MATCH(N$1987&amp;$A14,Principal!$U$42:$U$69,0)),INDEX(PoderesDeCriatura_Adquiridos,MATCH(N$1987&amp;$A14,Principal!$U$42:$U$69,0))))</f>
        <v/>
      </c>
      <c r="O2002" s="447" t="str">
        <f t="shared" ref="O2002" si="249">IF(N2002="","",", "&amp;N2002)</f>
        <v/>
      </c>
      <c r="P2002" s="2173" t="str">
        <f>IF(ISNA(INDEX(PoderesDeCriatura_Adquiridos,MATCH(P$1987&amp;$A14,Principal!$U$42:$U$69,0))),"",IF(INDEX(Principal!$AO$42:$AO$69,MATCH(P$1987&amp;$A14,Principal!$U$42:$U$69,0))&gt;0,INDEX(Principal!$AF$42:$AF$69,MATCH(P$1987&amp;$A14,Principal!$U$42:$U$69,0)),INDEX(PoderesDeCriatura_Adquiridos,MATCH(P$1987&amp;$A14,Principal!$U$42:$U$69,0))))</f>
        <v/>
      </c>
      <c r="Q2002" s="447" t="str">
        <f t="shared" ref="Q2002" si="250">IF(P2002="","",", "&amp;P2002)</f>
        <v/>
      </c>
      <c r="R2002" s="2173" t="str">
        <f>IF(ISNA(INDEX(PoderesDeCriatura_Adquiridos,MATCH(R$1987&amp;$A14,Principal!$U$42:$U$69,0))),"",IF(INDEX(Principal!$AO$42:$AO$69,MATCH(R$1987&amp;$A14,Principal!$U$42:$U$69,0))&gt;0,INDEX(Principal!$AF$42:$AF$69,MATCH(R$1987&amp;$A14,Principal!$U$42:$U$69,0)),INDEX(PoderesDeCriatura_Adquiridos,MATCH(R$1987&amp;$A14,Principal!$U$42:$U$69,0))))</f>
        <v/>
      </c>
      <c r="S2002" s="447" t="str">
        <f t="shared" ref="S2002" si="251">IF(R2002="","",", "&amp;R2002)</f>
        <v/>
      </c>
      <c r="T2002" s="2173" t="str">
        <f>IF(ISNA(INDEX(PoderesDeCriatura_Adquiridos,MATCH(T$1987&amp;$A14,Principal!$U$42:$U$69,0))),"",IF(INDEX(Principal!$AO$42:$AO$69,MATCH(T$1987&amp;$A14,Principal!$U$42:$U$69,0))&gt;0,INDEX(Principal!$AF$42:$AF$69,MATCH(T$1987&amp;$A14,Principal!$U$42:$U$69,0)),INDEX(PoderesDeCriatura_Adquiridos,MATCH(T$1987&amp;$A14,Principal!$U$42:$U$69,0))))</f>
        <v/>
      </c>
      <c r="U2002" s="447" t="str">
        <f t="shared" ref="U2002" si="252">IF(T2002="","",", "&amp;T2002)</f>
        <v/>
      </c>
      <c r="V2002" s="2173" t="str">
        <f>IF(ISNA(INDEX(PoderesDeCriatura_Adquiridos,MATCH(V$1987&amp;$A14,Principal!$U$42:$U$69,0))),"",IF(INDEX(Principal!$AO$42:$AO$69,MATCH(V$1987&amp;$A14,Principal!$U$42:$U$69,0))&gt;0,INDEX(Principal!$AF$42:$AF$69,MATCH(V$1987&amp;$A14,Principal!$U$42:$U$69,0)),INDEX(PoderesDeCriatura_Adquiridos,MATCH(V$1987&amp;$A14,Principal!$U$42:$U$69,0))))</f>
        <v/>
      </c>
      <c r="W2002" s="447" t="str">
        <f t="shared" ref="W2002" si="253">IF(V2002="","",", "&amp;V2002)</f>
        <v/>
      </c>
      <c r="X2002" s="2173" t="str">
        <f>IF(ISNA(INDEX(PoderesDeCriatura_Adquiridos,MATCH(X$1987&amp;$A14,Principal!$U$42:$U$69,0))),"",IF(INDEX(Principal!$AO$42:$AO$69,MATCH(X$1987&amp;$A14,Principal!$U$42:$U$69,0))&gt;0,INDEX(Principal!$AF$42:$AF$69,MATCH(X$1987&amp;$A14,Principal!$U$42:$U$69,0)),INDEX(PoderesDeCriatura_Adquiridos,MATCH(X$1987&amp;$A14,Principal!$U$42:$U$69,0))))</f>
        <v/>
      </c>
      <c r="Y2002" s="447" t="str">
        <f t="shared" ref="Y2002" si="254">IF(X2002="","",", "&amp;X2002)</f>
        <v/>
      </c>
      <c r="Z2002" s="2173" t="str">
        <f>IF(ISNA(INDEX(PoderesDeCriatura_Adquiridos,MATCH(Z$1987&amp;$A14,Principal!$U$42:$U$69,0))),"",IF(INDEX(Principal!$AO$42:$AO$69,MATCH(Z$1987&amp;$A14,Principal!$U$42:$U$69,0))&gt;0,INDEX(Principal!$AF$42:$AF$69,MATCH(Z$1987&amp;$A14,Principal!$U$42:$U$69,0)),INDEX(PoderesDeCriatura_Adquiridos,MATCH(Z$1987&amp;$A14,Principal!$U$42:$U$69,0))))</f>
        <v/>
      </c>
      <c r="AA2002" s="447" t="str">
        <f t="shared" ref="AA2002" si="255">IF(Z2002="","",", "&amp;Z2002)</f>
        <v/>
      </c>
      <c r="AB2002" s="2173" t="str">
        <f>IF(ISNA(INDEX(PoderesDeCriatura_Adquiridos,MATCH(AB$1987&amp;$A14,Principal!$U$42:$U$69,0))),"",IF(INDEX(Principal!$AO$42:$AO$69,MATCH(AB$1987&amp;$A14,Principal!$U$42:$U$69,0))&gt;0,INDEX(Principal!$AF$42:$AF$69,MATCH(AB$1987&amp;$A14,Principal!$U$42:$U$69,0)),INDEX(PoderesDeCriatura_Adquiridos,MATCH(AB$1987&amp;$A14,Principal!$U$42:$U$69,0))))</f>
        <v/>
      </c>
      <c r="AC2002" s="2179" t="str">
        <f t="shared" ref="AC2002" si="256">IF(AB2002="","",", "&amp;AB2002)</f>
        <v/>
      </c>
      <c r="AD2002" s="2153" t="str">
        <f>IF(OR(AE2002=0,ISNUMBER(MATCH(AE2002,$AE$1990:$AE2001,0))),"",MAX($AD$1989:AD2001)+1)</f>
        <v/>
      </c>
      <c r="AE2002" s="2181">
        <f>Principal!V54</f>
        <v>0</v>
      </c>
    </row>
    <row r="2003" spans="1:31" ht="12.75" customHeight="1" x14ac:dyDescent="0.2">
      <c r="A2003" s="1916">
        <v>2003</v>
      </c>
      <c r="B2003" s="5148"/>
      <c r="C2003" s="2234" t="str">
        <f t="shared" si="224"/>
        <v/>
      </c>
      <c r="D2003" s="1691" t="str">
        <f>Combate!AB35</f>
        <v/>
      </c>
      <c r="E2003" s="2166" t="str">
        <f t="shared" si="157"/>
        <v/>
      </c>
      <c r="F2003" s="5248"/>
      <c r="H2003" s="2142" t="str">
        <f>IF(ISNA(VLOOKUP(A16,Principal!$S$42:$AH$69,10,FALSE)),"",IF(VLOOKUP(A16,Principal!$S$42:$AH$69,10,FALSE)=0,"",INDEX(PoderesDeCriatura_Adquiridos,MATCH(A16,Principal!$S$42:$S$69,0))))</f>
        <v/>
      </c>
      <c r="I2003" s="2288" t="str">
        <f t="shared" si="158"/>
        <v/>
      </c>
      <c r="J2003" s="2173" t="str">
        <f>IF(ISNA(INDEX(PoderesDeCriatura_Adquiridos,MATCH(J$1987&amp;$A15,Principal!$U$42:$U$69,0))),"",IF(INDEX(Principal!$AO$42:$AO$69,MATCH(J$1987&amp;$A15,Principal!$U$42:$U$69,0))&gt;0,INDEX(Principal!$AF$42:$AF$69,MATCH(J$1987&amp;$A15,Principal!$U$42:$U$69,0)),INDEX(PoderesDeCriatura_Adquiridos,MATCH(J$1987&amp;$A15,Principal!$U$42:$U$69,0))))</f>
        <v/>
      </c>
      <c r="K2003" s="447" t="str">
        <f t="shared" si="159"/>
        <v/>
      </c>
      <c r="L2003" s="2173" t="str">
        <f>IF(ISNA(INDEX(PoderesDeCriatura_Adquiridos,MATCH(L$1987&amp;$A15,Principal!$U$42:$U$69,0))),"",IF(INDEX(Principal!$AO$42:$AO$69,MATCH(L$1987&amp;$A15,Principal!$U$42:$U$69,0))&gt;0,INDEX(Principal!$AF$42:$AF$69,MATCH(L$1987&amp;$A15,Principal!$U$42:$U$69,0)),INDEX(PoderesDeCriatura_Adquiridos,MATCH(L$1987&amp;$A15,Principal!$U$42:$U$69,0))))</f>
        <v/>
      </c>
      <c r="M2003" s="447" t="str">
        <f t="shared" si="159"/>
        <v/>
      </c>
      <c r="N2003" s="2173" t="str">
        <f>IF(ISNA(INDEX(PoderesDeCriatura_Adquiridos,MATCH(N$1987&amp;$A15,Principal!$U$42:$U$69,0))),"",IF(INDEX(Principal!$AO$42:$AO$69,MATCH(N$1987&amp;$A15,Principal!$U$42:$U$69,0))&gt;0,INDEX(Principal!$AF$42:$AF$69,MATCH(N$1987&amp;$A15,Principal!$U$42:$U$69,0)),INDEX(PoderesDeCriatura_Adquiridos,MATCH(N$1987&amp;$A15,Principal!$U$42:$U$69,0))))</f>
        <v/>
      </c>
      <c r="O2003" s="447" t="str">
        <f t="shared" ref="O2003" si="257">IF(N2003="","",", "&amp;N2003)</f>
        <v/>
      </c>
      <c r="P2003" s="2173" t="str">
        <f>IF(ISNA(INDEX(PoderesDeCriatura_Adquiridos,MATCH(P$1987&amp;$A15,Principal!$U$42:$U$69,0))),"",IF(INDEX(Principal!$AO$42:$AO$69,MATCH(P$1987&amp;$A15,Principal!$U$42:$U$69,0))&gt;0,INDEX(Principal!$AF$42:$AF$69,MATCH(P$1987&amp;$A15,Principal!$U$42:$U$69,0)),INDEX(PoderesDeCriatura_Adquiridos,MATCH(P$1987&amp;$A15,Principal!$U$42:$U$69,0))))</f>
        <v/>
      </c>
      <c r="Q2003" s="447" t="str">
        <f t="shared" ref="Q2003" si="258">IF(P2003="","",", "&amp;P2003)</f>
        <v/>
      </c>
      <c r="R2003" s="2173" t="str">
        <f>IF(ISNA(INDEX(PoderesDeCriatura_Adquiridos,MATCH(R$1987&amp;$A15,Principal!$U$42:$U$69,0))),"",IF(INDEX(Principal!$AO$42:$AO$69,MATCH(R$1987&amp;$A15,Principal!$U$42:$U$69,0))&gt;0,INDEX(Principal!$AF$42:$AF$69,MATCH(R$1987&amp;$A15,Principal!$U$42:$U$69,0)),INDEX(PoderesDeCriatura_Adquiridos,MATCH(R$1987&amp;$A15,Principal!$U$42:$U$69,0))))</f>
        <v/>
      </c>
      <c r="S2003" s="447" t="str">
        <f t="shared" ref="S2003" si="259">IF(R2003="","",", "&amp;R2003)</f>
        <v/>
      </c>
      <c r="T2003" s="2173" t="str">
        <f>IF(ISNA(INDEX(PoderesDeCriatura_Adquiridos,MATCH(T$1987&amp;$A15,Principal!$U$42:$U$69,0))),"",IF(INDEX(Principal!$AO$42:$AO$69,MATCH(T$1987&amp;$A15,Principal!$U$42:$U$69,0))&gt;0,INDEX(Principal!$AF$42:$AF$69,MATCH(T$1987&amp;$A15,Principal!$U$42:$U$69,0)),INDEX(PoderesDeCriatura_Adquiridos,MATCH(T$1987&amp;$A15,Principal!$U$42:$U$69,0))))</f>
        <v/>
      </c>
      <c r="U2003" s="447" t="str">
        <f t="shared" ref="U2003" si="260">IF(T2003="","",", "&amp;T2003)</f>
        <v/>
      </c>
      <c r="V2003" s="2173" t="str">
        <f>IF(ISNA(INDEX(PoderesDeCriatura_Adquiridos,MATCH(V$1987&amp;$A15,Principal!$U$42:$U$69,0))),"",IF(INDEX(Principal!$AO$42:$AO$69,MATCH(V$1987&amp;$A15,Principal!$U$42:$U$69,0))&gt;0,INDEX(Principal!$AF$42:$AF$69,MATCH(V$1987&amp;$A15,Principal!$U$42:$U$69,0)),INDEX(PoderesDeCriatura_Adquiridos,MATCH(V$1987&amp;$A15,Principal!$U$42:$U$69,0))))</f>
        <v/>
      </c>
      <c r="W2003" s="447" t="str">
        <f t="shared" ref="W2003" si="261">IF(V2003="","",", "&amp;V2003)</f>
        <v/>
      </c>
      <c r="X2003" s="2173" t="str">
        <f>IF(ISNA(INDEX(PoderesDeCriatura_Adquiridos,MATCH(X$1987&amp;$A15,Principal!$U$42:$U$69,0))),"",IF(INDEX(Principal!$AO$42:$AO$69,MATCH(X$1987&amp;$A15,Principal!$U$42:$U$69,0))&gt;0,INDEX(Principal!$AF$42:$AF$69,MATCH(X$1987&amp;$A15,Principal!$U$42:$U$69,0)),INDEX(PoderesDeCriatura_Adquiridos,MATCH(X$1987&amp;$A15,Principal!$U$42:$U$69,0))))</f>
        <v/>
      </c>
      <c r="Y2003" s="447" t="str">
        <f t="shared" ref="Y2003" si="262">IF(X2003="","",", "&amp;X2003)</f>
        <v/>
      </c>
      <c r="Z2003" s="2173" t="str">
        <f>IF(ISNA(INDEX(PoderesDeCriatura_Adquiridos,MATCH(Z$1987&amp;$A15,Principal!$U$42:$U$69,0))),"",IF(INDEX(Principal!$AO$42:$AO$69,MATCH(Z$1987&amp;$A15,Principal!$U$42:$U$69,0))&gt;0,INDEX(Principal!$AF$42:$AF$69,MATCH(Z$1987&amp;$A15,Principal!$U$42:$U$69,0)),INDEX(PoderesDeCriatura_Adquiridos,MATCH(Z$1987&amp;$A15,Principal!$U$42:$U$69,0))))</f>
        <v/>
      </c>
      <c r="AA2003" s="447" t="str">
        <f t="shared" ref="AA2003" si="263">IF(Z2003="","",", "&amp;Z2003)</f>
        <v/>
      </c>
      <c r="AB2003" s="2173" t="str">
        <f>IF(ISNA(INDEX(PoderesDeCriatura_Adquiridos,MATCH(AB$1987&amp;$A15,Principal!$U$42:$U$69,0))),"",IF(INDEX(Principal!$AO$42:$AO$69,MATCH(AB$1987&amp;$A15,Principal!$U$42:$U$69,0))&gt;0,INDEX(Principal!$AF$42:$AF$69,MATCH(AB$1987&amp;$A15,Principal!$U$42:$U$69,0)),INDEX(PoderesDeCriatura_Adquiridos,MATCH(AB$1987&amp;$A15,Principal!$U$42:$U$69,0))))</f>
        <v/>
      </c>
      <c r="AC2003" s="2179" t="str">
        <f t="shared" ref="AC2003" si="264">IF(AB2003="","",", "&amp;AB2003)</f>
        <v/>
      </c>
      <c r="AD2003" s="2153" t="str">
        <f>IF(OR(AE2003=0,ISNUMBER(MATCH(AE2003,$AE$1990:$AE2002,0))),"",MAX($AD$1989:AD2002)+1)</f>
        <v/>
      </c>
      <c r="AE2003" s="2181">
        <f>Principal!V55</f>
        <v>0</v>
      </c>
    </row>
    <row r="2004" spans="1:31" ht="12.75" customHeight="1" x14ac:dyDescent="0.2">
      <c r="A2004" s="1916">
        <v>2004</v>
      </c>
      <c r="B2004" s="5148"/>
      <c r="C2004" s="2234" t="str">
        <f t="shared" si="224"/>
        <v/>
      </c>
      <c r="D2004" s="1691" t="str">
        <f>Combate!AB36</f>
        <v/>
      </c>
      <c r="E2004" s="2166" t="str">
        <f t="shared" si="157"/>
        <v/>
      </c>
      <c r="F2004" s="5248"/>
      <c r="H2004" s="2142" t="str">
        <f>IF(ISNA(VLOOKUP(A17,Principal!$S$42:$AH$69,10,FALSE)),"",IF(VLOOKUP(A17,Principal!$S$42:$AH$69,10,FALSE)=0,"",INDEX(PoderesDeCriatura_Adquiridos,MATCH(A17,Principal!$S$42:$S$69,0))))</f>
        <v/>
      </c>
      <c r="I2004" s="2288" t="str">
        <f t="shared" si="158"/>
        <v/>
      </c>
      <c r="J2004" s="2173" t="str">
        <f>IF(ISNA(INDEX(PoderesDeCriatura_Adquiridos,MATCH(J$1987&amp;$A16,Principal!$U$42:$U$69,0))),"",IF(INDEX(Principal!$AO$42:$AO$69,MATCH(J$1987&amp;$A16,Principal!$U$42:$U$69,0))&gt;0,INDEX(Principal!$AF$42:$AF$69,MATCH(J$1987&amp;$A16,Principal!$U$42:$U$69,0)),INDEX(PoderesDeCriatura_Adquiridos,MATCH(J$1987&amp;$A16,Principal!$U$42:$U$69,0))))</f>
        <v/>
      </c>
      <c r="K2004" s="447" t="str">
        <f t="shared" si="159"/>
        <v/>
      </c>
      <c r="L2004" s="2173" t="str">
        <f>IF(ISNA(INDEX(PoderesDeCriatura_Adquiridos,MATCH(L$1987&amp;$A16,Principal!$U$42:$U$69,0))),"",IF(INDEX(Principal!$AO$42:$AO$69,MATCH(L$1987&amp;$A16,Principal!$U$42:$U$69,0))&gt;0,INDEX(Principal!$AF$42:$AF$69,MATCH(L$1987&amp;$A16,Principal!$U$42:$U$69,0)),INDEX(PoderesDeCriatura_Adquiridos,MATCH(L$1987&amp;$A16,Principal!$U$42:$U$69,0))))</f>
        <v/>
      </c>
      <c r="M2004" s="447" t="str">
        <f t="shared" si="159"/>
        <v/>
      </c>
      <c r="N2004" s="2173" t="str">
        <f>IF(ISNA(INDEX(PoderesDeCriatura_Adquiridos,MATCH(N$1987&amp;$A16,Principal!$U$42:$U$69,0))),"",IF(INDEX(Principal!$AO$42:$AO$69,MATCH(N$1987&amp;$A16,Principal!$U$42:$U$69,0))&gt;0,INDEX(Principal!$AF$42:$AF$69,MATCH(N$1987&amp;$A16,Principal!$U$42:$U$69,0)),INDEX(PoderesDeCriatura_Adquiridos,MATCH(N$1987&amp;$A16,Principal!$U$42:$U$69,0))))</f>
        <v/>
      </c>
      <c r="O2004" s="447" t="str">
        <f t="shared" ref="O2004" si="265">IF(N2004="","",", "&amp;N2004)</f>
        <v/>
      </c>
      <c r="P2004" s="2173" t="str">
        <f>IF(ISNA(INDEX(PoderesDeCriatura_Adquiridos,MATCH(P$1987&amp;$A16,Principal!$U$42:$U$69,0))),"",IF(INDEX(Principal!$AO$42:$AO$69,MATCH(P$1987&amp;$A16,Principal!$U$42:$U$69,0))&gt;0,INDEX(Principal!$AF$42:$AF$69,MATCH(P$1987&amp;$A16,Principal!$U$42:$U$69,0)),INDEX(PoderesDeCriatura_Adquiridos,MATCH(P$1987&amp;$A16,Principal!$U$42:$U$69,0))))</f>
        <v/>
      </c>
      <c r="Q2004" s="447" t="str">
        <f t="shared" ref="Q2004" si="266">IF(P2004="","",", "&amp;P2004)</f>
        <v/>
      </c>
      <c r="R2004" s="2173" t="str">
        <f>IF(ISNA(INDEX(PoderesDeCriatura_Adquiridos,MATCH(R$1987&amp;$A16,Principal!$U$42:$U$69,0))),"",IF(INDEX(Principal!$AO$42:$AO$69,MATCH(R$1987&amp;$A16,Principal!$U$42:$U$69,0))&gt;0,INDEX(Principal!$AF$42:$AF$69,MATCH(R$1987&amp;$A16,Principal!$U$42:$U$69,0)),INDEX(PoderesDeCriatura_Adquiridos,MATCH(R$1987&amp;$A16,Principal!$U$42:$U$69,0))))</f>
        <v/>
      </c>
      <c r="S2004" s="447" t="str">
        <f t="shared" ref="S2004" si="267">IF(R2004="","",", "&amp;R2004)</f>
        <v/>
      </c>
      <c r="T2004" s="2173" t="str">
        <f>IF(ISNA(INDEX(PoderesDeCriatura_Adquiridos,MATCH(T$1987&amp;$A16,Principal!$U$42:$U$69,0))),"",IF(INDEX(Principal!$AO$42:$AO$69,MATCH(T$1987&amp;$A16,Principal!$U$42:$U$69,0))&gt;0,INDEX(Principal!$AF$42:$AF$69,MATCH(T$1987&amp;$A16,Principal!$U$42:$U$69,0)),INDEX(PoderesDeCriatura_Adquiridos,MATCH(T$1987&amp;$A16,Principal!$U$42:$U$69,0))))</f>
        <v/>
      </c>
      <c r="U2004" s="447" t="str">
        <f t="shared" ref="U2004" si="268">IF(T2004="","",", "&amp;T2004)</f>
        <v/>
      </c>
      <c r="V2004" s="2173" t="str">
        <f>IF(ISNA(INDEX(PoderesDeCriatura_Adquiridos,MATCH(V$1987&amp;$A16,Principal!$U$42:$U$69,0))),"",IF(INDEX(Principal!$AO$42:$AO$69,MATCH(V$1987&amp;$A16,Principal!$U$42:$U$69,0))&gt;0,INDEX(Principal!$AF$42:$AF$69,MATCH(V$1987&amp;$A16,Principal!$U$42:$U$69,0)),INDEX(PoderesDeCriatura_Adquiridos,MATCH(V$1987&amp;$A16,Principal!$U$42:$U$69,0))))</f>
        <v/>
      </c>
      <c r="W2004" s="447" t="str">
        <f t="shared" ref="W2004" si="269">IF(V2004="","",", "&amp;V2004)</f>
        <v/>
      </c>
      <c r="X2004" s="2173" t="str">
        <f>IF(ISNA(INDEX(PoderesDeCriatura_Adquiridos,MATCH(X$1987&amp;$A16,Principal!$U$42:$U$69,0))),"",IF(INDEX(Principal!$AO$42:$AO$69,MATCH(X$1987&amp;$A16,Principal!$U$42:$U$69,0))&gt;0,INDEX(Principal!$AF$42:$AF$69,MATCH(X$1987&amp;$A16,Principal!$U$42:$U$69,0)),INDEX(PoderesDeCriatura_Adquiridos,MATCH(X$1987&amp;$A16,Principal!$U$42:$U$69,0))))</f>
        <v/>
      </c>
      <c r="Y2004" s="447" t="str">
        <f t="shared" ref="Y2004" si="270">IF(X2004="","",", "&amp;X2004)</f>
        <v/>
      </c>
      <c r="Z2004" s="2173" t="str">
        <f>IF(ISNA(INDEX(PoderesDeCriatura_Adquiridos,MATCH(Z$1987&amp;$A16,Principal!$U$42:$U$69,0))),"",IF(INDEX(Principal!$AO$42:$AO$69,MATCH(Z$1987&amp;$A16,Principal!$U$42:$U$69,0))&gt;0,INDEX(Principal!$AF$42:$AF$69,MATCH(Z$1987&amp;$A16,Principal!$U$42:$U$69,0)),INDEX(PoderesDeCriatura_Adquiridos,MATCH(Z$1987&amp;$A16,Principal!$U$42:$U$69,0))))</f>
        <v/>
      </c>
      <c r="AA2004" s="447" t="str">
        <f t="shared" ref="AA2004" si="271">IF(Z2004="","",", "&amp;Z2004)</f>
        <v/>
      </c>
      <c r="AB2004" s="2173" t="str">
        <f>IF(ISNA(INDEX(PoderesDeCriatura_Adquiridos,MATCH(AB$1987&amp;$A16,Principal!$U$42:$U$69,0))),"",IF(INDEX(Principal!$AO$42:$AO$69,MATCH(AB$1987&amp;$A16,Principal!$U$42:$U$69,0))&gt;0,INDEX(Principal!$AF$42:$AF$69,MATCH(AB$1987&amp;$A16,Principal!$U$42:$U$69,0)),INDEX(PoderesDeCriatura_Adquiridos,MATCH(AB$1987&amp;$A16,Principal!$U$42:$U$69,0))))</f>
        <v/>
      </c>
      <c r="AC2004" s="2179" t="str">
        <f t="shared" ref="AC2004" si="272">IF(AB2004="","",", "&amp;AB2004)</f>
        <v/>
      </c>
      <c r="AD2004" s="2153" t="str">
        <f>IF(OR(AE2004=0,ISNUMBER(MATCH(AE2004,$AE$1990:$AE2003,0))),"",MAX($AD$1989:AD2003)+1)</f>
        <v/>
      </c>
      <c r="AE2004" s="2181">
        <f>Principal!V56</f>
        <v>0</v>
      </c>
    </row>
    <row r="2005" spans="1:31" ht="12.75" customHeight="1" x14ac:dyDescent="0.2">
      <c r="A2005" s="1916">
        <v>2005</v>
      </c>
      <c r="B2005" s="5148"/>
      <c r="C2005" s="2234" t="str">
        <f t="shared" si="224"/>
        <v/>
      </c>
      <c r="D2005" s="1691" t="str">
        <f>Combate!AB37</f>
        <v/>
      </c>
      <c r="E2005" s="2166" t="str">
        <f t="shared" si="157"/>
        <v/>
      </c>
      <c r="F2005" s="5248"/>
      <c r="H2005" s="2142" t="str">
        <f>IF(ISNA(VLOOKUP(A18,Principal!$S$42:$AH$69,10,FALSE)),"",IF(VLOOKUP(A18,Principal!$S$42:$AH$69,10,FALSE)=0,"",INDEX(PoderesDeCriatura_Adquiridos,MATCH(A18,Principal!$S$42:$S$69,0))))</f>
        <v/>
      </c>
      <c r="I2005" s="2288" t="str">
        <f t="shared" si="158"/>
        <v/>
      </c>
      <c r="J2005" s="2173" t="str">
        <f>IF(ISNA(INDEX(PoderesDeCriatura_Adquiridos,MATCH(J$1987&amp;$A17,Principal!$U$42:$U$69,0))),"",IF(INDEX(Principal!$AO$42:$AO$69,MATCH(J$1987&amp;$A17,Principal!$U$42:$U$69,0))&gt;0,INDEX(Principal!$AF$42:$AF$69,MATCH(J$1987&amp;$A17,Principal!$U$42:$U$69,0)),INDEX(PoderesDeCriatura_Adquiridos,MATCH(J$1987&amp;$A17,Principal!$U$42:$U$69,0))))</f>
        <v/>
      </c>
      <c r="K2005" s="447" t="str">
        <f t="shared" si="159"/>
        <v/>
      </c>
      <c r="L2005" s="2173" t="str">
        <f>IF(ISNA(INDEX(PoderesDeCriatura_Adquiridos,MATCH(L$1987&amp;$A17,Principal!$U$42:$U$69,0))),"",IF(INDEX(Principal!$AO$42:$AO$69,MATCH(L$1987&amp;$A17,Principal!$U$42:$U$69,0))&gt;0,INDEX(Principal!$AF$42:$AF$69,MATCH(L$1987&amp;$A17,Principal!$U$42:$U$69,0)),INDEX(PoderesDeCriatura_Adquiridos,MATCH(L$1987&amp;$A17,Principal!$U$42:$U$69,0))))</f>
        <v/>
      </c>
      <c r="M2005" s="447" t="str">
        <f t="shared" si="159"/>
        <v/>
      </c>
      <c r="N2005" s="2173" t="str">
        <f>IF(ISNA(INDEX(PoderesDeCriatura_Adquiridos,MATCH(N$1987&amp;$A17,Principal!$U$42:$U$69,0))),"",IF(INDEX(Principal!$AO$42:$AO$69,MATCH(N$1987&amp;$A17,Principal!$U$42:$U$69,0))&gt;0,INDEX(Principal!$AF$42:$AF$69,MATCH(N$1987&amp;$A17,Principal!$U$42:$U$69,0)),INDEX(PoderesDeCriatura_Adquiridos,MATCH(N$1987&amp;$A17,Principal!$U$42:$U$69,0))))</f>
        <v/>
      </c>
      <c r="O2005" s="447" t="str">
        <f t="shared" ref="O2005" si="273">IF(N2005="","",", "&amp;N2005)</f>
        <v/>
      </c>
      <c r="P2005" s="2173" t="str">
        <f>IF(ISNA(INDEX(PoderesDeCriatura_Adquiridos,MATCH(P$1987&amp;$A17,Principal!$U$42:$U$69,0))),"",IF(INDEX(Principal!$AO$42:$AO$69,MATCH(P$1987&amp;$A17,Principal!$U$42:$U$69,0))&gt;0,INDEX(Principal!$AF$42:$AF$69,MATCH(P$1987&amp;$A17,Principal!$U$42:$U$69,0)),INDEX(PoderesDeCriatura_Adquiridos,MATCH(P$1987&amp;$A17,Principal!$U$42:$U$69,0))))</f>
        <v/>
      </c>
      <c r="Q2005" s="447" t="str">
        <f t="shared" ref="Q2005" si="274">IF(P2005="","",", "&amp;P2005)</f>
        <v/>
      </c>
      <c r="R2005" s="2173" t="str">
        <f>IF(ISNA(INDEX(PoderesDeCriatura_Adquiridos,MATCH(R$1987&amp;$A17,Principal!$U$42:$U$69,0))),"",IF(INDEX(Principal!$AO$42:$AO$69,MATCH(R$1987&amp;$A17,Principal!$U$42:$U$69,0))&gt;0,INDEX(Principal!$AF$42:$AF$69,MATCH(R$1987&amp;$A17,Principal!$U$42:$U$69,0)),INDEX(PoderesDeCriatura_Adquiridos,MATCH(R$1987&amp;$A17,Principal!$U$42:$U$69,0))))</f>
        <v/>
      </c>
      <c r="S2005" s="447" t="str">
        <f t="shared" ref="S2005" si="275">IF(R2005="","",", "&amp;R2005)</f>
        <v/>
      </c>
      <c r="T2005" s="2173" t="str">
        <f>IF(ISNA(INDEX(PoderesDeCriatura_Adquiridos,MATCH(T$1987&amp;$A17,Principal!$U$42:$U$69,0))),"",IF(INDEX(Principal!$AO$42:$AO$69,MATCH(T$1987&amp;$A17,Principal!$U$42:$U$69,0))&gt;0,INDEX(Principal!$AF$42:$AF$69,MATCH(T$1987&amp;$A17,Principal!$U$42:$U$69,0)),INDEX(PoderesDeCriatura_Adquiridos,MATCH(T$1987&amp;$A17,Principal!$U$42:$U$69,0))))</f>
        <v/>
      </c>
      <c r="U2005" s="447" t="str">
        <f t="shared" ref="U2005" si="276">IF(T2005="","",", "&amp;T2005)</f>
        <v/>
      </c>
      <c r="V2005" s="2173" t="str">
        <f>IF(ISNA(INDEX(PoderesDeCriatura_Adquiridos,MATCH(V$1987&amp;$A17,Principal!$U$42:$U$69,0))),"",IF(INDEX(Principal!$AO$42:$AO$69,MATCH(V$1987&amp;$A17,Principal!$U$42:$U$69,0))&gt;0,INDEX(Principal!$AF$42:$AF$69,MATCH(V$1987&amp;$A17,Principal!$U$42:$U$69,0)),INDEX(PoderesDeCriatura_Adquiridos,MATCH(V$1987&amp;$A17,Principal!$U$42:$U$69,0))))</f>
        <v/>
      </c>
      <c r="W2005" s="447" t="str">
        <f t="shared" ref="W2005" si="277">IF(V2005="","",", "&amp;V2005)</f>
        <v/>
      </c>
      <c r="X2005" s="2173" t="str">
        <f>IF(ISNA(INDEX(PoderesDeCriatura_Adquiridos,MATCH(X$1987&amp;$A17,Principal!$U$42:$U$69,0))),"",IF(INDEX(Principal!$AO$42:$AO$69,MATCH(X$1987&amp;$A17,Principal!$U$42:$U$69,0))&gt;0,INDEX(Principal!$AF$42:$AF$69,MATCH(X$1987&amp;$A17,Principal!$U$42:$U$69,0)),INDEX(PoderesDeCriatura_Adquiridos,MATCH(X$1987&amp;$A17,Principal!$U$42:$U$69,0))))</f>
        <v/>
      </c>
      <c r="Y2005" s="447" t="str">
        <f t="shared" ref="Y2005" si="278">IF(X2005="","",", "&amp;X2005)</f>
        <v/>
      </c>
      <c r="Z2005" s="2173" t="str">
        <f>IF(ISNA(INDEX(PoderesDeCriatura_Adquiridos,MATCH(Z$1987&amp;$A17,Principal!$U$42:$U$69,0))),"",IF(INDEX(Principal!$AO$42:$AO$69,MATCH(Z$1987&amp;$A17,Principal!$U$42:$U$69,0))&gt;0,INDEX(Principal!$AF$42:$AF$69,MATCH(Z$1987&amp;$A17,Principal!$U$42:$U$69,0)),INDEX(PoderesDeCriatura_Adquiridos,MATCH(Z$1987&amp;$A17,Principal!$U$42:$U$69,0))))</f>
        <v/>
      </c>
      <c r="AA2005" s="447" t="str">
        <f t="shared" ref="AA2005" si="279">IF(Z2005="","",", "&amp;Z2005)</f>
        <v/>
      </c>
      <c r="AB2005" s="2173" t="str">
        <f>IF(ISNA(INDEX(PoderesDeCriatura_Adquiridos,MATCH(AB$1987&amp;$A17,Principal!$U$42:$U$69,0))),"",IF(INDEX(Principal!$AO$42:$AO$69,MATCH(AB$1987&amp;$A17,Principal!$U$42:$U$69,0))&gt;0,INDEX(Principal!$AF$42:$AF$69,MATCH(AB$1987&amp;$A17,Principal!$U$42:$U$69,0)),INDEX(PoderesDeCriatura_Adquiridos,MATCH(AB$1987&amp;$A17,Principal!$U$42:$U$69,0))))</f>
        <v/>
      </c>
      <c r="AC2005" s="2179" t="str">
        <f t="shared" ref="AC2005" si="280">IF(AB2005="","",", "&amp;AB2005)</f>
        <v/>
      </c>
      <c r="AD2005" s="2153" t="str">
        <f>IF(OR(AE2005=0,ISNUMBER(MATCH(AE2005,$AE$1990:$AE2004,0))),"",MAX($AD$1989:AD2004)+1)</f>
        <v/>
      </c>
      <c r="AE2005" s="2181">
        <f>Principal!V57</f>
        <v>0</v>
      </c>
    </row>
    <row r="2006" spans="1:31" ht="12.75" customHeight="1" x14ac:dyDescent="0.2">
      <c r="A2006" s="1916">
        <v>2006</v>
      </c>
      <c r="B2006" s="5148"/>
      <c r="C2006" s="2234" t="str">
        <f t="shared" si="224"/>
        <v/>
      </c>
      <c r="D2006" s="1691" t="str">
        <f>Combate!AB38</f>
        <v/>
      </c>
      <c r="E2006" s="2166" t="str">
        <f t="shared" si="157"/>
        <v/>
      </c>
      <c r="F2006" s="5248"/>
      <c r="H2006" s="2142" t="str">
        <f>IF(ISNA(VLOOKUP(A19,Principal!$S$42:$AH$69,10,FALSE)),"",IF(VLOOKUP(A19,Principal!$S$42:$AH$69,10,FALSE)=0,"",INDEX(PoderesDeCriatura_Adquiridos,MATCH(A19,Principal!$S$42:$S$69,0))))</f>
        <v/>
      </c>
      <c r="I2006" s="2288" t="str">
        <f t="shared" si="158"/>
        <v/>
      </c>
      <c r="J2006" s="2173" t="str">
        <f>IF(ISNA(INDEX(PoderesDeCriatura_Adquiridos,MATCH(J$1987&amp;$A18,Principal!$U$42:$U$69,0))),"",IF(INDEX(Principal!$AO$42:$AO$69,MATCH(J$1987&amp;$A18,Principal!$U$42:$U$69,0))&gt;0,INDEX(Principal!$AF$42:$AF$69,MATCH(J$1987&amp;$A18,Principal!$U$42:$U$69,0)),INDEX(PoderesDeCriatura_Adquiridos,MATCH(J$1987&amp;$A18,Principal!$U$42:$U$69,0))))</f>
        <v/>
      </c>
      <c r="K2006" s="447" t="str">
        <f t="shared" si="159"/>
        <v/>
      </c>
      <c r="L2006" s="2173" t="str">
        <f>IF(ISNA(INDEX(PoderesDeCriatura_Adquiridos,MATCH(L$1987&amp;$A18,Principal!$U$42:$U$69,0))),"",IF(INDEX(Principal!$AO$42:$AO$69,MATCH(L$1987&amp;$A18,Principal!$U$42:$U$69,0))&gt;0,INDEX(Principal!$AF$42:$AF$69,MATCH(L$1987&amp;$A18,Principal!$U$42:$U$69,0)),INDEX(PoderesDeCriatura_Adquiridos,MATCH(L$1987&amp;$A18,Principal!$U$42:$U$69,0))))</f>
        <v/>
      </c>
      <c r="M2006" s="447" t="str">
        <f t="shared" si="159"/>
        <v/>
      </c>
      <c r="N2006" s="2173" t="str">
        <f>IF(ISNA(INDEX(PoderesDeCriatura_Adquiridos,MATCH(N$1987&amp;$A18,Principal!$U$42:$U$69,0))),"",IF(INDEX(Principal!$AO$42:$AO$69,MATCH(N$1987&amp;$A18,Principal!$U$42:$U$69,0))&gt;0,INDEX(Principal!$AF$42:$AF$69,MATCH(N$1987&amp;$A18,Principal!$U$42:$U$69,0)),INDEX(PoderesDeCriatura_Adquiridos,MATCH(N$1987&amp;$A18,Principal!$U$42:$U$69,0))))</f>
        <v/>
      </c>
      <c r="O2006" s="447" t="str">
        <f t="shared" ref="O2006" si="281">IF(N2006="","",", "&amp;N2006)</f>
        <v/>
      </c>
      <c r="P2006" s="2173" t="str">
        <f>IF(ISNA(INDEX(PoderesDeCriatura_Adquiridos,MATCH(P$1987&amp;$A18,Principal!$U$42:$U$69,0))),"",IF(INDEX(Principal!$AO$42:$AO$69,MATCH(P$1987&amp;$A18,Principal!$U$42:$U$69,0))&gt;0,INDEX(Principal!$AF$42:$AF$69,MATCH(P$1987&amp;$A18,Principal!$U$42:$U$69,0)),INDEX(PoderesDeCriatura_Adquiridos,MATCH(P$1987&amp;$A18,Principal!$U$42:$U$69,0))))</f>
        <v/>
      </c>
      <c r="Q2006" s="447" t="str">
        <f t="shared" ref="Q2006" si="282">IF(P2006="","",", "&amp;P2006)</f>
        <v/>
      </c>
      <c r="R2006" s="2173" t="str">
        <f>IF(ISNA(INDEX(PoderesDeCriatura_Adquiridos,MATCH(R$1987&amp;$A18,Principal!$U$42:$U$69,0))),"",IF(INDEX(Principal!$AO$42:$AO$69,MATCH(R$1987&amp;$A18,Principal!$U$42:$U$69,0))&gt;0,INDEX(Principal!$AF$42:$AF$69,MATCH(R$1987&amp;$A18,Principal!$U$42:$U$69,0)),INDEX(PoderesDeCriatura_Adquiridos,MATCH(R$1987&amp;$A18,Principal!$U$42:$U$69,0))))</f>
        <v/>
      </c>
      <c r="S2006" s="447" t="str">
        <f t="shared" ref="S2006" si="283">IF(R2006="","",", "&amp;R2006)</f>
        <v/>
      </c>
      <c r="T2006" s="2173" t="str">
        <f>IF(ISNA(INDEX(PoderesDeCriatura_Adquiridos,MATCH(T$1987&amp;$A18,Principal!$U$42:$U$69,0))),"",IF(INDEX(Principal!$AO$42:$AO$69,MATCH(T$1987&amp;$A18,Principal!$U$42:$U$69,0))&gt;0,INDEX(Principal!$AF$42:$AF$69,MATCH(T$1987&amp;$A18,Principal!$U$42:$U$69,0)),INDEX(PoderesDeCriatura_Adquiridos,MATCH(T$1987&amp;$A18,Principal!$U$42:$U$69,0))))</f>
        <v/>
      </c>
      <c r="U2006" s="447" t="str">
        <f t="shared" ref="U2006" si="284">IF(T2006="","",", "&amp;T2006)</f>
        <v/>
      </c>
      <c r="V2006" s="2173" t="str">
        <f>IF(ISNA(INDEX(PoderesDeCriatura_Adquiridos,MATCH(V$1987&amp;$A18,Principal!$U$42:$U$69,0))),"",IF(INDEX(Principal!$AO$42:$AO$69,MATCH(V$1987&amp;$A18,Principal!$U$42:$U$69,0))&gt;0,INDEX(Principal!$AF$42:$AF$69,MATCH(V$1987&amp;$A18,Principal!$U$42:$U$69,0)),INDEX(PoderesDeCriatura_Adquiridos,MATCH(V$1987&amp;$A18,Principal!$U$42:$U$69,0))))</f>
        <v/>
      </c>
      <c r="W2006" s="447" t="str">
        <f t="shared" ref="W2006" si="285">IF(V2006="","",", "&amp;V2006)</f>
        <v/>
      </c>
      <c r="X2006" s="2173" t="str">
        <f>IF(ISNA(INDEX(PoderesDeCriatura_Adquiridos,MATCH(X$1987&amp;$A18,Principal!$U$42:$U$69,0))),"",IF(INDEX(Principal!$AO$42:$AO$69,MATCH(X$1987&amp;$A18,Principal!$U$42:$U$69,0))&gt;0,INDEX(Principal!$AF$42:$AF$69,MATCH(X$1987&amp;$A18,Principal!$U$42:$U$69,0)),INDEX(PoderesDeCriatura_Adquiridos,MATCH(X$1987&amp;$A18,Principal!$U$42:$U$69,0))))</f>
        <v/>
      </c>
      <c r="Y2006" s="447" t="str">
        <f t="shared" ref="Y2006" si="286">IF(X2006="","",", "&amp;X2006)</f>
        <v/>
      </c>
      <c r="Z2006" s="2173" t="str">
        <f>IF(ISNA(INDEX(PoderesDeCriatura_Adquiridos,MATCH(Z$1987&amp;$A18,Principal!$U$42:$U$69,0))),"",IF(INDEX(Principal!$AO$42:$AO$69,MATCH(Z$1987&amp;$A18,Principal!$U$42:$U$69,0))&gt;0,INDEX(Principal!$AF$42:$AF$69,MATCH(Z$1987&amp;$A18,Principal!$U$42:$U$69,0)),INDEX(PoderesDeCriatura_Adquiridos,MATCH(Z$1987&amp;$A18,Principal!$U$42:$U$69,0))))</f>
        <v/>
      </c>
      <c r="AA2006" s="447" t="str">
        <f t="shared" ref="AA2006" si="287">IF(Z2006="","",", "&amp;Z2006)</f>
        <v/>
      </c>
      <c r="AB2006" s="2173" t="str">
        <f>IF(ISNA(INDEX(PoderesDeCriatura_Adquiridos,MATCH(AB$1987&amp;$A18,Principal!$U$42:$U$69,0))),"",IF(INDEX(Principal!$AO$42:$AO$69,MATCH(AB$1987&amp;$A18,Principal!$U$42:$U$69,0))&gt;0,INDEX(Principal!$AF$42:$AF$69,MATCH(AB$1987&amp;$A18,Principal!$U$42:$U$69,0)),INDEX(PoderesDeCriatura_Adquiridos,MATCH(AB$1987&amp;$A18,Principal!$U$42:$U$69,0))))</f>
        <v/>
      </c>
      <c r="AC2006" s="2179" t="str">
        <f t="shared" ref="AC2006" si="288">IF(AB2006="","",", "&amp;AB2006)</f>
        <v/>
      </c>
      <c r="AD2006" s="2153" t="str">
        <f>IF(OR(AE2006=0,ISNUMBER(MATCH(AE2006,$AE$1990:$AE2005,0))),"",MAX($AD$1989:AD2005)+1)</f>
        <v/>
      </c>
      <c r="AE2006" s="2181">
        <f>Principal!V58</f>
        <v>0</v>
      </c>
    </row>
    <row r="2007" spans="1:31" ht="12.75" customHeight="1" x14ac:dyDescent="0.2">
      <c r="A2007" s="1916">
        <v>2007</v>
      </c>
      <c r="B2007" s="5148"/>
      <c r="C2007" s="2234" t="str">
        <f t="shared" si="224"/>
        <v/>
      </c>
      <c r="D2007" s="1691" t="str">
        <f>Combate!AB39</f>
        <v/>
      </c>
      <c r="E2007" s="2166" t="str">
        <f t="shared" si="157"/>
        <v/>
      </c>
      <c r="F2007" s="5248"/>
      <c r="H2007" s="2142" t="str">
        <f>IF(ISNA(VLOOKUP(A20,Principal!$S$42:$AH$69,10,FALSE)),"",IF(VLOOKUP(A20,Principal!$S$42:$AH$69,10,FALSE)=0,"",INDEX(PoderesDeCriatura_Adquiridos,MATCH(A20,Principal!$S$42:$S$69,0))))</f>
        <v/>
      </c>
      <c r="I2007" s="2288" t="str">
        <f t="shared" si="158"/>
        <v/>
      </c>
      <c r="J2007" s="2173" t="str">
        <f>IF(ISNA(INDEX(PoderesDeCriatura_Adquiridos,MATCH(J$1987&amp;$A19,Principal!$U$42:$U$69,0))),"",IF(INDEX(Principal!$AO$42:$AO$69,MATCH(J$1987&amp;$A19,Principal!$U$42:$U$69,0))&gt;0,INDEX(Principal!$AF$42:$AF$69,MATCH(J$1987&amp;$A19,Principal!$U$42:$U$69,0)),INDEX(PoderesDeCriatura_Adquiridos,MATCH(J$1987&amp;$A19,Principal!$U$42:$U$69,0))))</f>
        <v/>
      </c>
      <c r="K2007" s="447" t="str">
        <f t="shared" si="159"/>
        <v/>
      </c>
      <c r="L2007" s="2173" t="str">
        <f>IF(ISNA(INDEX(PoderesDeCriatura_Adquiridos,MATCH(L$1987&amp;$A19,Principal!$U$42:$U$69,0))),"",IF(INDEX(Principal!$AO$42:$AO$69,MATCH(L$1987&amp;$A19,Principal!$U$42:$U$69,0))&gt;0,INDEX(Principal!$AF$42:$AF$69,MATCH(L$1987&amp;$A19,Principal!$U$42:$U$69,0)),INDEX(PoderesDeCriatura_Adquiridos,MATCH(L$1987&amp;$A19,Principal!$U$42:$U$69,0))))</f>
        <v/>
      </c>
      <c r="M2007" s="447" t="str">
        <f t="shared" si="159"/>
        <v/>
      </c>
      <c r="N2007" s="2173" t="str">
        <f>IF(ISNA(INDEX(PoderesDeCriatura_Adquiridos,MATCH(N$1987&amp;$A19,Principal!$U$42:$U$69,0))),"",IF(INDEX(Principal!$AO$42:$AO$69,MATCH(N$1987&amp;$A19,Principal!$U$42:$U$69,0))&gt;0,INDEX(Principal!$AF$42:$AF$69,MATCH(N$1987&amp;$A19,Principal!$U$42:$U$69,0)),INDEX(PoderesDeCriatura_Adquiridos,MATCH(N$1987&amp;$A19,Principal!$U$42:$U$69,0))))</f>
        <v/>
      </c>
      <c r="O2007" s="447" t="str">
        <f t="shared" ref="O2007" si="289">IF(N2007="","",", "&amp;N2007)</f>
        <v/>
      </c>
      <c r="P2007" s="2173" t="str">
        <f>IF(ISNA(INDEX(PoderesDeCriatura_Adquiridos,MATCH(P$1987&amp;$A19,Principal!$U$42:$U$69,0))),"",IF(INDEX(Principal!$AO$42:$AO$69,MATCH(P$1987&amp;$A19,Principal!$U$42:$U$69,0))&gt;0,INDEX(Principal!$AF$42:$AF$69,MATCH(P$1987&amp;$A19,Principal!$U$42:$U$69,0)),INDEX(PoderesDeCriatura_Adquiridos,MATCH(P$1987&amp;$A19,Principal!$U$42:$U$69,0))))</f>
        <v/>
      </c>
      <c r="Q2007" s="447" t="str">
        <f t="shared" ref="Q2007" si="290">IF(P2007="","",", "&amp;P2007)</f>
        <v/>
      </c>
      <c r="R2007" s="2173" t="str">
        <f>IF(ISNA(INDEX(PoderesDeCriatura_Adquiridos,MATCH(R$1987&amp;$A19,Principal!$U$42:$U$69,0))),"",IF(INDEX(Principal!$AO$42:$AO$69,MATCH(R$1987&amp;$A19,Principal!$U$42:$U$69,0))&gt;0,INDEX(Principal!$AF$42:$AF$69,MATCH(R$1987&amp;$A19,Principal!$U$42:$U$69,0)),INDEX(PoderesDeCriatura_Adquiridos,MATCH(R$1987&amp;$A19,Principal!$U$42:$U$69,0))))</f>
        <v/>
      </c>
      <c r="S2007" s="447" t="str">
        <f t="shared" ref="S2007" si="291">IF(R2007="","",", "&amp;R2007)</f>
        <v/>
      </c>
      <c r="T2007" s="2173" t="str">
        <f>IF(ISNA(INDEX(PoderesDeCriatura_Adquiridos,MATCH(T$1987&amp;$A19,Principal!$U$42:$U$69,0))),"",IF(INDEX(Principal!$AO$42:$AO$69,MATCH(T$1987&amp;$A19,Principal!$U$42:$U$69,0))&gt;0,INDEX(Principal!$AF$42:$AF$69,MATCH(T$1987&amp;$A19,Principal!$U$42:$U$69,0)),INDEX(PoderesDeCriatura_Adquiridos,MATCH(T$1987&amp;$A19,Principal!$U$42:$U$69,0))))</f>
        <v/>
      </c>
      <c r="U2007" s="447" t="str">
        <f t="shared" ref="U2007" si="292">IF(T2007="","",", "&amp;T2007)</f>
        <v/>
      </c>
      <c r="V2007" s="2173" t="str">
        <f>IF(ISNA(INDEX(PoderesDeCriatura_Adquiridos,MATCH(V$1987&amp;$A19,Principal!$U$42:$U$69,0))),"",IF(INDEX(Principal!$AO$42:$AO$69,MATCH(V$1987&amp;$A19,Principal!$U$42:$U$69,0))&gt;0,INDEX(Principal!$AF$42:$AF$69,MATCH(V$1987&amp;$A19,Principal!$U$42:$U$69,0)),INDEX(PoderesDeCriatura_Adquiridos,MATCH(V$1987&amp;$A19,Principal!$U$42:$U$69,0))))</f>
        <v/>
      </c>
      <c r="W2007" s="447" t="str">
        <f t="shared" ref="W2007" si="293">IF(V2007="","",", "&amp;V2007)</f>
        <v/>
      </c>
      <c r="X2007" s="2173" t="str">
        <f>IF(ISNA(INDEX(PoderesDeCriatura_Adquiridos,MATCH(X$1987&amp;$A19,Principal!$U$42:$U$69,0))),"",IF(INDEX(Principal!$AO$42:$AO$69,MATCH(X$1987&amp;$A19,Principal!$U$42:$U$69,0))&gt;0,INDEX(Principal!$AF$42:$AF$69,MATCH(X$1987&amp;$A19,Principal!$U$42:$U$69,0)),INDEX(PoderesDeCriatura_Adquiridos,MATCH(X$1987&amp;$A19,Principal!$U$42:$U$69,0))))</f>
        <v/>
      </c>
      <c r="Y2007" s="447" t="str">
        <f t="shared" ref="Y2007" si="294">IF(X2007="","",", "&amp;X2007)</f>
        <v/>
      </c>
      <c r="Z2007" s="2173" t="str">
        <f>IF(ISNA(INDEX(PoderesDeCriatura_Adquiridos,MATCH(Z$1987&amp;$A19,Principal!$U$42:$U$69,0))),"",IF(INDEX(Principal!$AO$42:$AO$69,MATCH(Z$1987&amp;$A19,Principal!$U$42:$U$69,0))&gt;0,INDEX(Principal!$AF$42:$AF$69,MATCH(Z$1987&amp;$A19,Principal!$U$42:$U$69,0)),INDEX(PoderesDeCriatura_Adquiridos,MATCH(Z$1987&amp;$A19,Principal!$U$42:$U$69,0))))</f>
        <v/>
      </c>
      <c r="AA2007" s="447" t="str">
        <f t="shared" ref="AA2007" si="295">IF(Z2007="","",", "&amp;Z2007)</f>
        <v/>
      </c>
      <c r="AB2007" s="2173" t="str">
        <f>IF(ISNA(INDEX(PoderesDeCriatura_Adquiridos,MATCH(AB$1987&amp;$A19,Principal!$U$42:$U$69,0))),"",IF(INDEX(Principal!$AO$42:$AO$69,MATCH(AB$1987&amp;$A19,Principal!$U$42:$U$69,0))&gt;0,INDEX(Principal!$AF$42:$AF$69,MATCH(AB$1987&amp;$A19,Principal!$U$42:$U$69,0)),INDEX(PoderesDeCriatura_Adquiridos,MATCH(AB$1987&amp;$A19,Principal!$U$42:$U$69,0))))</f>
        <v/>
      </c>
      <c r="AC2007" s="2179" t="str">
        <f t="shared" ref="AC2007" si="296">IF(AB2007="","",", "&amp;AB2007)</f>
        <v/>
      </c>
      <c r="AD2007" s="2153" t="str">
        <f>IF(OR(AE2007=0,ISNUMBER(MATCH(AE2007,$AE$1990:$AE2006,0))),"",MAX($AD$1989:AD2006)+1)</f>
        <v/>
      </c>
      <c r="AE2007" s="2181">
        <f>Principal!V59</f>
        <v>0</v>
      </c>
    </row>
    <row r="2008" spans="1:31" ht="12.75" customHeight="1" x14ac:dyDescent="0.2">
      <c r="A2008" s="1916">
        <v>2008</v>
      </c>
      <c r="B2008" s="5148"/>
      <c r="C2008" s="2234" t="str">
        <f t="shared" si="224"/>
        <v/>
      </c>
      <c r="D2008" s="1691" t="str">
        <f>Combate!AB40</f>
        <v/>
      </c>
      <c r="E2008" s="2166" t="str">
        <f t="shared" si="157"/>
        <v/>
      </c>
      <c r="F2008" s="5248"/>
      <c r="H2008" s="2142" t="str">
        <f>IF(ISNA(VLOOKUP(A21,Principal!$S$42:$AH$69,10,FALSE)),"",IF(VLOOKUP(A21,Principal!$S$42:$AH$69,10,FALSE)=0,"",INDEX(PoderesDeCriatura_Adquiridos,MATCH(A21,Principal!$S$42:$S$69,0))))</f>
        <v/>
      </c>
      <c r="I2008" s="2288" t="str">
        <f t="shared" si="158"/>
        <v/>
      </c>
      <c r="J2008" s="2173" t="str">
        <f>IF(ISNA(INDEX(PoderesDeCriatura_Adquiridos,MATCH(J$1987&amp;$A20,Principal!$U$42:$U$69,0))),"",IF(INDEX(Principal!$AO$42:$AO$69,MATCH(J$1987&amp;$A20,Principal!$U$42:$U$69,0))&gt;0,INDEX(Principal!$AF$42:$AF$69,MATCH(J$1987&amp;$A20,Principal!$U$42:$U$69,0)),INDEX(PoderesDeCriatura_Adquiridos,MATCH(J$1987&amp;$A20,Principal!$U$42:$U$69,0))))</f>
        <v/>
      </c>
      <c r="K2008" s="447" t="str">
        <f t="shared" si="159"/>
        <v/>
      </c>
      <c r="L2008" s="2173" t="str">
        <f>IF(ISNA(INDEX(PoderesDeCriatura_Adquiridos,MATCH(L$1987&amp;$A20,Principal!$U$42:$U$69,0))),"",IF(INDEX(Principal!$AO$42:$AO$69,MATCH(L$1987&amp;$A20,Principal!$U$42:$U$69,0))&gt;0,INDEX(Principal!$AF$42:$AF$69,MATCH(L$1987&amp;$A20,Principal!$U$42:$U$69,0)),INDEX(PoderesDeCriatura_Adquiridos,MATCH(L$1987&amp;$A20,Principal!$U$42:$U$69,0))))</f>
        <v/>
      </c>
      <c r="M2008" s="447" t="str">
        <f t="shared" si="159"/>
        <v/>
      </c>
      <c r="N2008" s="2173" t="str">
        <f>IF(ISNA(INDEX(PoderesDeCriatura_Adquiridos,MATCH(N$1987&amp;$A20,Principal!$U$42:$U$69,0))),"",IF(INDEX(Principal!$AO$42:$AO$69,MATCH(N$1987&amp;$A20,Principal!$U$42:$U$69,0))&gt;0,INDEX(Principal!$AF$42:$AF$69,MATCH(N$1987&amp;$A20,Principal!$U$42:$U$69,0)),INDEX(PoderesDeCriatura_Adquiridos,MATCH(N$1987&amp;$A20,Principal!$U$42:$U$69,0))))</f>
        <v/>
      </c>
      <c r="O2008" s="447" t="str">
        <f t="shared" ref="O2008" si="297">IF(N2008="","",", "&amp;N2008)</f>
        <v/>
      </c>
      <c r="P2008" s="2173" t="str">
        <f>IF(ISNA(INDEX(PoderesDeCriatura_Adquiridos,MATCH(P$1987&amp;$A20,Principal!$U$42:$U$69,0))),"",IF(INDEX(Principal!$AO$42:$AO$69,MATCH(P$1987&amp;$A20,Principal!$U$42:$U$69,0))&gt;0,INDEX(Principal!$AF$42:$AF$69,MATCH(P$1987&amp;$A20,Principal!$U$42:$U$69,0)),INDEX(PoderesDeCriatura_Adquiridos,MATCH(P$1987&amp;$A20,Principal!$U$42:$U$69,0))))</f>
        <v/>
      </c>
      <c r="Q2008" s="447" t="str">
        <f t="shared" ref="Q2008" si="298">IF(P2008="","",", "&amp;P2008)</f>
        <v/>
      </c>
      <c r="R2008" s="2173" t="str">
        <f>IF(ISNA(INDEX(PoderesDeCriatura_Adquiridos,MATCH(R$1987&amp;$A20,Principal!$U$42:$U$69,0))),"",IF(INDEX(Principal!$AO$42:$AO$69,MATCH(R$1987&amp;$A20,Principal!$U$42:$U$69,0))&gt;0,INDEX(Principal!$AF$42:$AF$69,MATCH(R$1987&amp;$A20,Principal!$U$42:$U$69,0)),INDEX(PoderesDeCriatura_Adquiridos,MATCH(R$1987&amp;$A20,Principal!$U$42:$U$69,0))))</f>
        <v/>
      </c>
      <c r="S2008" s="447" t="str">
        <f t="shared" ref="S2008" si="299">IF(R2008="","",", "&amp;R2008)</f>
        <v/>
      </c>
      <c r="T2008" s="2173" t="str">
        <f>IF(ISNA(INDEX(PoderesDeCriatura_Adquiridos,MATCH(T$1987&amp;$A20,Principal!$U$42:$U$69,0))),"",IF(INDEX(Principal!$AO$42:$AO$69,MATCH(T$1987&amp;$A20,Principal!$U$42:$U$69,0))&gt;0,INDEX(Principal!$AF$42:$AF$69,MATCH(T$1987&amp;$A20,Principal!$U$42:$U$69,0)),INDEX(PoderesDeCriatura_Adquiridos,MATCH(T$1987&amp;$A20,Principal!$U$42:$U$69,0))))</f>
        <v/>
      </c>
      <c r="U2008" s="447" t="str">
        <f t="shared" ref="U2008" si="300">IF(T2008="","",", "&amp;T2008)</f>
        <v/>
      </c>
      <c r="V2008" s="2173" t="str">
        <f>IF(ISNA(INDEX(PoderesDeCriatura_Adquiridos,MATCH(V$1987&amp;$A20,Principal!$U$42:$U$69,0))),"",IF(INDEX(Principal!$AO$42:$AO$69,MATCH(V$1987&amp;$A20,Principal!$U$42:$U$69,0))&gt;0,INDEX(Principal!$AF$42:$AF$69,MATCH(V$1987&amp;$A20,Principal!$U$42:$U$69,0)),INDEX(PoderesDeCriatura_Adquiridos,MATCH(V$1987&amp;$A20,Principal!$U$42:$U$69,0))))</f>
        <v/>
      </c>
      <c r="W2008" s="447" t="str">
        <f t="shared" ref="W2008" si="301">IF(V2008="","",", "&amp;V2008)</f>
        <v/>
      </c>
      <c r="X2008" s="2173" t="str">
        <f>IF(ISNA(INDEX(PoderesDeCriatura_Adquiridos,MATCH(X$1987&amp;$A20,Principal!$U$42:$U$69,0))),"",IF(INDEX(Principal!$AO$42:$AO$69,MATCH(X$1987&amp;$A20,Principal!$U$42:$U$69,0))&gt;0,INDEX(Principal!$AF$42:$AF$69,MATCH(X$1987&amp;$A20,Principal!$U$42:$U$69,0)),INDEX(PoderesDeCriatura_Adquiridos,MATCH(X$1987&amp;$A20,Principal!$U$42:$U$69,0))))</f>
        <v/>
      </c>
      <c r="Y2008" s="447" t="str">
        <f t="shared" ref="Y2008" si="302">IF(X2008="","",", "&amp;X2008)</f>
        <v/>
      </c>
      <c r="Z2008" s="2173" t="str">
        <f>IF(ISNA(INDEX(PoderesDeCriatura_Adquiridos,MATCH(Z$1987&amp;$A20,Principal!$U$42:$U$69,0))),"",IF(INDEX(Principal!$AO$42:$AO$69,MATCH(Z$1987&amp;$A20,Principal!$U$42:$U$69,0))&gt;0,INDEX(Principal!$AF$42:$AF$69,MATCH(Z$1987&amp;$A20,Principal!$U$42:$U$69,0)),INDEX(PoderesDeCriatura_Adquiridos,MATCH(Z$1987&amp;$A20,Principal!$U$42:$U$69,0))))</f>
        <v/>
      </c>
      <c r="AA2008" s="447" t="str">
        <f t="shared" ref="AA2008" si="303">IF(Z2008="","",", "&amp;Z2008)</f>
        <v/>
      </c>
      <c r="AB2008" s="2173" t="str">
        <f>IF(ISNA(INDEX(PoderesDeCriatura_Adquiridos,MATCH(AB$1987&amp;$A20,Principal!$U$42:$U$69,0))),"",IF(INDEX(Principal!$AO$42:$AO$69,MATCH(AB$1987&amp;$A20,Principal!$U$42:$U$69,0))&gt;0,INDEX(Principal!$AF$42:$AF$69,MATCH(AB$1987&amp;$A20,Principal!$U$42:$U$69,0)),INDEX(PoderesDeCriatura_Adquiridos,MATCH(AB$1987&amp;$A20,Principal!$U$42:$U$69,0))))</f>
        <v/>
      </c>
      <c r="AC2008" s="2179" t="str">
        <f t="shared" ref="AC2008" si="304">IF(AB2008="","",", "&amp;AB2008)</f>
        <v/>
      </c>
      <c r="AD2008" s="2153" t="str">
        <f>IF(OR(AE2008=0,ISNUMBER(MATCH(AE2008,$AE$1990:$AE2007,0))),"",MAX($AD$1989:AD2007)+1)</f>
        <v/>
      </c>
      <c r="AE2008" s="2181">
        <f>Principal!V60</f>
        <v>0</v>
      </c>
    </row>
    <row r="2009" spans="1:31" ht="12.75" customHeight="1" x14ac:dyDescent="0.2">
      <c r="A2009" s="1916">
        <v>2009</v>
      </c>
      <c r="B2009" s="5148"/>
      <c r="C2009" s="2234" t="str">
        <f t="shared" si="224"/>
        <v/>
      </c>
      <c r="D2009" s="1691" t="str">
        <f>Combate!AB41</f>
        <v/>
      </c>
      <c r="E2009" s="2166" t="str">
        <f t="shared" si="157"/>
        <v/>
      </c>
      <c r="F2009" s="5248"/>
      <c r="H2009" s="2142" t="str">
        <f>IF(ISNA(VLOOKUP(A22,Principal!$S$42:$AH$69,10,FALSE)),"",IF(VLOOKUP(A22,Principal!$S$42:$AH$69,10,FALSE)=0,"",INDEX(PoderesDeCriatura_Adquiridos,MATCH(A22,Principal!$S$42:$S$69,0))))</f>
        <v/>
      </c>
      <c r="I2009" s="2288" t="str">
        <f t="shared" si="158"/>
        <v/>
      </c>
      <c r="J2009" s="2173" t="str">
        <f>IF(ISNA(INDEX(PoderesDeCriatura_Adquiridos,MATCH(J$1987&amp;$A21,Principal!$U$42:$U$69,0))),"",IF(INDEX(Principal!$AO$42:$AO$69,MATCH(J$1987&amp;$A21,Principal!$U$42:$U$69,0))&gt;0,INDEX(Principal!$AF$42:$AF$69,MATCH(J$1987&amp;$A21,Principal!$U$42:$U$69,0)),INDEX(PoderesDeCriatura_Adquiridos,MATCH(J$1987&amp;$A21,Principal!$U$42:$U$69,0))))</f>
        <v/>
      </c>
      <c r="K2009" s="447" t="str">
        <f t="shared" si="159"/>
        <v/>
      </c>
      <c r="L2009" s="2173" t="str">
        <f>IF(ISNA(INDEX(PoderesDeCriatura_Adquiridos,MATCH(L$1987&amp;$A21,Principal!$U$42:$U$69,0))),"",IF(INDEX(Principal!$AO$42:$AO$69,MATCH(L$1987&amp;$A21,Principal!$U$42:$U$69,0))&gt;0,INDEX(Principal!$AF$42:$AF$69,MATCH(L$1987&amp;$A21,Principal!$U$42:$U$69,0)),INDEX(PoderesDeCriatura_Adquiridos,MATCH(L$1987&amp;$A21,Principal!$U$42:$U$69,0))))</f>
        <v/>
      </c>
      <c r="M2009" s="447" t="str">
        <f t="shared" si="159"/>
        <v/>
      </c>
      <c r="N2009" s="2173" t="str">
        <f>IF(ISNA(INDEX(PoderesDeCriatura_Adquiridos,MATCH(N$1987&amp;$A21,Principal!$U$42:$U$69,0))),"",IF(INDEX(Principal!$AO$42:$AO$69,MATCH(N$1987&amp;$A21,Principal!$U$42:$U$69,0))&gt;0,INDEX(Principal!$AF$42:$AF$69,MATCH(N$1987&amp;$A21,Principal!$U$42:$U$69,0)),INDEX(PoderesDeCriatura_Adquiridos,MATCH(N$1987&amp;$A21,Principal!$U$42:$U$69,0))))</f>
        <v/>
      </c>
      <c r="O2009" s="447" t="str">
        <f t="shared" ref="O2009" si="305">IF(N2009="","",", "&amp;N2009)</f>
        <v/>
      </c>
      <c r="P2009" s="2173" t="str">
        <f>IF(ISNA(INDEX(PoderesDeCriatura_Adquiridos,MATCH(P$1987&amp;$A21,Principal!$U$42:$U$69,0))),"",IF(INDEX(Principal!$AO$42:$AO$69,MATCH(P$1987&amp;$A21,Principal!$U$42:$U$69,0))&gt;0,INDEX(Principal!$AF$42:$AF$69,MATCH(P$1987&amp;$A21,Principal!$U$42:$U$69,0)),INDEX(PoderesDeCriatura_Adquiridos,MATCH(P$1987&amp;$A21,Principal!$U$42:$U$69,0))))</f>
        <v/>
      </c>
      <c r="Q2009" s="447" t="str">
        <f t="shared" ref="Q2009" si="306">IF(P2009="","",", "&amp;P2009)</f>
        <v/>
      </c>
      <c r="R2009" s="2173" t="str">
        <f>IF(ISNA(INDEX(PoderesDeCriatura_Adquiridos,MATCH(R$1987&amp;$A21,Principal!$U$42:$U$69,0))),"",IF(INDEX(Principal!$AO$42:$AO$69,MATCH(R$1987&amp;$A21,Principal!$U$42:$U$69,0))&gt;0,INDEX(Principal!$AF$42:$AF$69,MATCH(R$1987&amp;$A21,Principal!$U$42:$U$69,0)),INDEX(PoderesDeCriatura_Adquiridos,MATCH(R$1987&amp;$A21,Principal!$U$42:$U$69,0))))</f>
        <v/>
      </c>
      <c r="S2009" s="447" t="str">
        <f t="shared" ref="S2009" si="307">IF(R2009="","",", "&amp;R2009)</f>
        <v/>
      </c>
      <c r="T2009" s="2173" t="str">
        <f>IF(ISNA(INDEX(PoderesDeCriatura_Adquiridos,MATCH(T$1987&amp;$A21,Principal!$U$42:$U$69,0))),"",IF(INDEX(Principal!$AO$42:$AO$69,MATCH(T$1987&amp;$A21,Principal!$U$42:$U$69,0))&gt;0,INDEX(Principal!$AF$42:$AF$69,MATCH(T$1987&amp;$A21,Principal!$U$42:$U$69,0)),INDEX(PoderesDeCriatura_Adquiridos,MATCH(T$1987&amp;$A21,Principal!$U$42:$U$69,0))))</f>
        <v/>
      </c>
      <c r="U2009" s="447" t="str">
        <f t="shared" ref="U2009" si="308">IF(T2009="","",", "&amp;T2009)</f>
        <v/>
      </c>
      <c r="V2009" s="2173" t="str">
        <f>IF(ISNA(INDEX(PoderesDeCriatura_Adquiridos,MATCH(V$1987&amp;$A21,Principal!$U$42:$U$69,0))),"",IF(INDEX(Principal!$AO$42:$AO$69,MATCH(V$1987&amp;$A21,Principal!$U$42:$U$69,0))&gt;0,INDEX(Principal!$AF$42:$AF$69,MATCH(V$1987&amp;$A21,Principal!$U$42:$U$69,0)),INDEX(PoderesDeCriatura_Adquiridos,MATCH(V$1987&amp;$A21,Principal!$U$42:$U$69,0))))</f>
        <v/>
      </c>
      <c r="W2009" s="447" t="str">
        <f t="shared" ref="W2009" si="309">IF(V2009="","",", "&amp;V2009)</f>
        <v/>
      </c>
      <c r="X2009" s="2173" t="str">
        <f>IF(ISNA(INDEX(PoderesDeCriatura_Adquiridos,MATCH(X$1987&amp;$A21,Principal!$U$42:$U$69,0))),"",IF(INDEX(Principal!$AO$42:$AO$69,MATCH(X$1987&amp;$A21,Principal!$U$42:$U$69,0))&gt;0,INDEX(Principal!$AF$42:$AF$69,MATCH(X$1987&amp;$A21,Principal!$U$42:$U$69,0)),INDEX(PoderesDeCriatura_Adquiridos,MATCH(X$1987&amp;$A21,Principal!$U$42:$U$69,0))))</f>
        <v/>
      </c>
      <c r="Y2009" s="447" t="str">
        <f t="shared" ref="Y2009" si="310">IF(X2009="","",", "&amp;X2009)</f>
        <v/>
      </c>
      <c r="Z2009" s="2173" t="str">
        <f>IF(ISNA(INDEX(PoderesDeCriatura_Adquiridos,MATCH(Z$1987&amp;$A21,Principal!$U$42:$U$69,0))),"",IF(INDEX(Principal!$AO$42:$AO$69,MATCH(Z$1987&amp;$A21,Principal!$U$42:$U$69,0))&gt;0,INDEX(Principal!$AF$42:$AF$69,MATCH(Z$1987&amp;$A21,Principal!$U$42:$U$69,0)),INDEX(PoderesDeCriatura_Adquiridos,MATCH(Z$1987&amp;$A21,Principal!$U$42:$U$69,0))))</f>
        <v/>
      </c>
      <c r="AA2009" s="447" t="str">
        <f t="shared" ref="AA2009" si="311">IF(Z2009="","",", "&amp;Z2009)</f>
        <v/>
      </c>
      <c r="AB2009" s="2173" t="str">
        <f>IF(ISNA(INDEX(PoderesDeCriatura_Adquiridos,MATCH(AB$1987&amp;$A21,Principal!$U$42:$U$69,0))),"",IF(INDEX(Principal!$AO$42:$AO$69,MATCH(AB$1987&amp;$A21,Principal!$U$42:$U$69,0))&gt;0,INDEX(Principal!$AF$42:$AF$69,MATCH(AB$1987&amp;$A21,Principal!$U$42:$U$69,0)),INDEX(PoderesDeCriatura_Adquiridos,MATCH(AB$1987&amp;$A21,Principal!$U$42:$U$69,0))))</f>
        <v/>
      </c>
      <c r="AC2009" s="2179" t="str">
        <f t="shared" ref="AC2009" si="312">IF(AB2009="","",", "&amp;AB2009)</f>
        <v/>
      </c>
      <c r="AD2009" s="2153" t="str">
        <f>IF(OR(AE2009=0,ISNUMBER(MATCH(AE2009,$AE$1990:$AE2008,0))),"",MAX($AD$1989:AD2008)+1)</f>
        <v/>
      </c>
      <c r="AE2009" s="2181">
        <f>Principal!V61</f>
        <v>0</v>
      </c>
    </row>
    <row r="2010" spans="1:31" ht="12.75" customHeight="1" x14ac:dyDescent="0.2">
      <c r="A2010" s="1916">
        <v>2010</v>
      </c>
      <c r="B2010" s="5148"/>
      <c r="C2010" s="2234" t="str">
        <f t="shared" si="224"/>
        <v/>
      </c>
      <c r="D2010" s="1691" t="str">
        <f>Combate!AB42</f>
        <v/>
      </c>
      <c r="E2010" s="2166" t="str">
        <f t="shared" si="157"/>
        <v/>
      </c>
      <c r="F2010" s="5248"/>
      <c r="H2010" s="2142" t="str">
        <f>IF(ISNA(VLOOKUP(A23,Principal!$S$42:$AH$69,10,FALSE)),"",IF(VLOOKUP(A23,Principal!$S$42:$AH$69,10,FALSE)=0,"",INDEX(PoderesDeCriatura_Adquiridos,MATCH(A23,Principal!$S$42:$S$69,0))))</f>
        <v/>
      </c>
      <c r="I2010" s="2288" t="str">
        <f t="shared" si="158"/>
        <v/>
      </c>
      <c r="J2010" s="2173" t="str">
        <f>IF(ISNA(INDEX(PoderesDeCriatura_Adquiridos,MATCH(J$1987&amp;$A22,Principal!$U$42:$U$69,0))),"",IF(INDEX(Principal!$AO$42:$AO$69,MATCH(J$1987&amp;$A22,Principal!$U$42:$U$69,0))&gt;0,INDEX(Principal!$AF$42:$AF$69,MATCH(J$1987&amp;$A22,Principal!$U$42:$U$69,0)),INDEX(PoderesDeCriatura_Adquiridos,MATCH(J$1987&amp;$A22,Principal!$U$42:$U$69,0))))</f>
        <v/>
      </c>
      <c r="K2010" s="447" t="str">
        <f t="shared" si="159"/>
        <v/>
      </c>
      <c r="L2010" s="2173" t="str">
        <f>IF(ISNA(INDEX(PoderesDeCriatura_Adquiridos,MATCH(L$1987&amp;$A22,Principal!$U$42:$U$69,0))),"",IF(INDEX(Principal!$AO$42:$AO$69,MATCH(L$1987&amp;$A22,Principal!$U$42:$U$69,0))&gt;0,INDEX(Principal!$AF$42:$AF$69,MATCH(L$1987&amp;$A22,Principal!$U$42:$U$69,0)),INDEX(PoderesDeCriatura_Adquiridos,MATCH(L$1987&amp;$A22,Principal!$U$42:$U$69,0))))</f>
        <v/>
      </c>
      <c r="M2010" s="447" t="str">
        <f t="shared" si="159"/>
        <v/>
      </c>
      <c r="N2010" s="2173" t="str">
        <f>IF(ISNA(INDEX(PoderesDeCriatura_Adquiridos,MATCH(N$1987&amp;$A22,Principal!$U$42:$U$69,0))),"",IF(INDEX(Principal!$AO$42:$AO$69,MATCH(N$1987&amp;$A22,Principal!$U$42:$U$69,0))&gt;0,INDEX(Principal!$AF$42:$AF$69,MATCH(N$1987&amp;$A22,Principal!$U$42:$U$69,0)),INDEX(PoderesDeCriatura_Adquiridos,MATCH(N$1987&amp;$A22,Principal!$U$42:$U$69,0))))</f>
        <v/>
      </c>
      <c r="O2010" s="447" t="str">
        <f t="shared" ref="O2010" si="313">IF(N2010="","",", "&amp;N2010)</f>
        <v/>
      </c>
      <c r="P2010" s="2173" t="str">
        <f>IF(ISNA(INDEX(PoderesDeCriatura_Adquiridos,MATCH(P$1987&amp;$A22,Principal!$U$42:$U$69,0))),"",IF(INDEX(Principal!$AO$42:$AO$69,MATCH(P$1987&amp;$A22,Principal!$U$42:$U$69,0))&gt;0,INDEX(Principal!$AF$42:$AF$69,MATCH(P$1987&amp;$A22,Principal!$U$42:$U$69,0)),INDEX(PoderesDeCriatura_Adquiridos,MATCH(P$1987&amp;$A22,Principal!$U$42:$U$69,0))))</f>
        <v/>
      </c>
      <c r="Q2010" s="447" t="str">
        <f t="shared" ref="Q2010" si="314">IF(P2010="","",", "&amp;P2010)</f>
        <v/>
      </c>
      <c r="R2010" s="2173" t="str">
        <f>IF(ISNA(INDEX(PoderesDeCriatura_Adquiridos,MATCH(R$1987&amp;$A22,Principal!$U$42:$U$69,0))),"",IF(INDEX(Principal!$AO$42:$AO$69,MATCH(R$1987&amp;$A22,Principal!$U$42:$U$69,0))&gt;0,INDEX(Principal!$AF$42:$AF$69,MATCH(R$1987&amp;$A22,Principal!$U$42:$U$69,0)),INDEX(PoderesDeCriatura_Adquiridos,MATCH(R$1987&amp;$A22,Principal!$U$42:$U$69,0))))</f>
        <v/>
      </c>
      <c r="S2010" s="447" t="str">
        <f t="shared" ref="S2010" si="315">IF(R2010="","",", "&amp;R2010)</f>
        <v/>
      </c>
      <c r="T2010" s="2173" t="str">
        <f>IF(ISNA(INDEX(PoderesDeCriatura_Adquiridos,MATCH(T$1987&amp;$A22,Principal!$U$42:$U$69,0))),"",IF(INDEX(Principal!$AO$42:$AO$69,MATCH(T$1987&amp;$A22,Principal!$U$42:$U$69,0))&gt;0,INDEX(Principal!$AF$42:$AF$69,MATCH(T$1987&amp;$A22,Principal!$U$42:$U$69,0)),INDEX(PoderesDeCriatura_Adquiridos,MATCH(T$1987&amp;$A22,Principal!$U$42:$U$69,0))))</f>
        <v/>
      </c>
      <c r="U2010" s="447" t="str">
        <f t="shared" ref="U2010" si="316">IF(T2010="","",", "&amp;T2010)</f>
        <v/>
      </c>
      <c r="V2010" s="2173" t="str">
        <f>IF(ISNA(INDEX(PoderesDeCriatura_Adquiridos,MATCH(V$1987&amp;$A22,Principal!$U$42:$U$69,0))),"",IF(INDEX(Principal!$AO$42:$AO$69,MATCH(V$1987&amp;$A22,Principal!$U$42:$U$69,0))&gt;0,INDEX(Principal!$AF$42:$AF$69,MATCH(V$1987&amp;$A22,Principal!$U$42:$U$69,0)),INDEX(PoderesDeCriatura_Adquiridos,MATCH(V$1987&amp;$A22,Principal!$U$42:$U$69,0))))</f>
        <v/>
      </c>
      <c r="W2010" s="447" t="str">
        <f t="shared" ref="W2010" si="317">IF(V2010="","",", "&amp;V2010)</f>
        <v/>
      </c>
      <c r="X2010" s="2173" t="str">
        <f>IF(ISNA(INDEX(PoderesDeCriatura_Adquiridos,MATCH(X$1987&amp;$A22,Principal!$U$42:$U$69,0))),"",IF(INDEX(Principal!$AO$42:$AO$69,MATCH(X$1987&amp;$A22,Principal!$U$42:$U$69,0))&gt;0,INDEX(Principal!$AF$42:$AF$69,MATCH(X$1987&amp;$A22,Principal!$U$42:$U$69,0)),INDEX(PoderesDeCriatura_Adquiridos,MATCH(X$1987&amp;$A22,Principal!$U$42:$U$69,0))))</f>
        <v/>
      </c>
      <c r="Y2010" s="447" t="str">
        <f t="shared" ref="Y2010" si="318">IF(X2010="","",", "&amp;X2010)</f>
        <v/>
      </c>
      <c r="Z2010" s="2173" t="str">
        <f>IF(ISNA(INDEX(PoderesDeCriatura_Adquiridos,MATCH(Z$1987&amp;$A22,Principal!$U$42:$U$69,0))),"",IF(INDEX(Principal!$AO$42:$AO$69,MATCH(Z$1987&amp;$A22,Principal!$U$42:$U$69,0))&gt;0,INDEX(Principal!$AF$42:$AF$69,MATCH(Z$1987&amp;$A22,Principal!$U$42:$U$69,0)),INDEX(PoderesDeCriatura_Adquiridos,MATCH(Z$1987&amp;$A22,Principal!$U$42:$U$69,0))))</f>
        <v/>
      </c>
      <c r="AA2010" s="447" t="str">
        <f t="shared" ref="AA2010" si="319">IF(Z2010="","",", "&amp;Z2010)</f>
        <v/>
      </c>
      <c r="AB2010" s="2173" t="str">
        <f>IF(ISNA(INDEX(PoderesDeCriatura_Adquiridos,MATCH(AB$1987&amp;$A22,Principal!$U$42:$U$69,0))),"",IF(INDEX(Principal!$AO$42:$AO$69,MATCH(AB$1987&amp;$A22,Principal!$U$42:$U$69,0))&gt;0,INDEX(Principal!$AF$42:$AF$69,MATCH(AB$1987&amp;$A22,Principal!$U$42:$U$69,0)),INDEX(PoderesDeCriatura_Adquiridos,MATCH(AB$1987&amp;$A22,Principal!$U$42:$U$69,0))))</f>
        <v/>
      </c>
      <c r="AC2010" s="2179" t="str">
        <f t="shared" ref="AC2010" si="320">IF(AB2010="","",", "&amp;AB2010)</f>
        <v/>
      </c>
      <c r="AD2010" s="2153" t="str">
        <f>IF(OR(AE2010=0,ISNUMBER(MATCH(AE2010,$AE$1990:$AE2009,0))),"",MAX($AD$1989:AD2009)+1)</f>
        <v/>
      </c>
      <c r="AE2010" s="2181">
        <f>Principal!V62</f>
        <v>0</v>
      </c>
    </row>
    <row r="2011" spans="1:31" ht="12.75" customHeight="1" x14ac:dyDescent="0.2">
      <c r="A2011" s="1916">
        <v>2011</v>
      </c>
      <c r="B2011" s="5148"/>
      <c r="C2011" s="2234" t="str">
        <f t="shared" si="224"/>
        <v/>
      </c>
      <c r="D2011" s="1691" t="str">
        <f>Combate!AB43</f>
        <v/>
      </c>
      <c r="E2011" s="2166" t="str">
        <f t="shared" si="157"/>
        <v/>
      </c>
      <c r="F2011" s="5248"/>
      <c r="H2011" s="2142" t="str">
        <f>IF(ISNA(VLOOKUP(A24,Principal!$S$42:$AH$69,10,FALSE)),"",IF(VLOOKUP(A24,Principal!$S$42:$AH$69,10,FALSE)=0,"",INDEX(PoderesDeCriatura_Adquiridos,MATCH(A24,Principal!$S$42:$S$69,0))))</f>
        <v/>
      </c>
      <c r="I2011" s="2288" t="str">
        <f t="shared" si="158"/>
        <v/>
      </c>
      <c r="J2011" s="2173" t="str">
        <f>IF(ISNA(INDEX(PoderesDeCriatura_Adquiridos,MATCH(J$1987&amp;$A23,Principal!$U$42:$U$69,0))),"",IF(INDEX(Principal!$AO$42:$AO$69,MATCH(J$1987&amp;$A23,Principal!$U$42:$U$69,0))&gt;0,INDEX(Principal!$AF$42:$AF$69,MATCH(J$1987&amp;$A23,Principal!$U$42:$U$69,0)),INDEX(PoderesDeCriatura_Adquiridos,MATCH(J$1987&amp;$A23,Principal!$U$42:$U$69,0))))</f>
        <v/>
      </c>
      <c r="K2011" s="447" t="str">
        <f t="shared" si="159"/>
        <v/>
      </c>
      <c r="L2011" s="2173" t="str">
        <f>IF(ISNA(INDEX(PoderesDeCriatura_Adquiridos,MATCH(L$1987&amp;$A23,Principal!$U$42:$U$69,0))),"",IF(INDEX(Principal!$AO$42:$AO$69,MATCH(L$1987&amp;$A23,Principal!$U$42:$U$69,0))&gt;0,INDEX(Principal!$AF$42:$AF$69,MATCH(L$1987&amp;$A23,Principal!$U$42:$U$69,0)),INDEX(PoderesDeCriatura_Adquiridos,MATCH(L$1987&amp;$A23,Principal!$U$42:$U$69,0))))</f>
        <v/>
      </c>
      <c r="M2011" s="447" t="str">
        <f t="shared" si="159"/>
        <v/>
      </c>
      <c r="N2011" s="2173" t="str">
        <f>IF(ISNA(INDEX(PoderesDeCriatura_Adquiridos,MATCH(N$1987&amp;$A23,Principal!$U$42:$U$69,0))),"",IF(INDEX(Principal!$AO$42:$AO$69,MATCH(N$1987&amp;$A23,Principal!$U$42:$U$69,0))&gt;0,INDEX(Principal!$AF$42:$AF$69,MATCH(N$1987&amp;$A23,Principal!$U$42:$U$69,0)),INDEX(PoderesDeCriatura_Adquiridos,MATCH(N$1987&amp;$A23,Principal!$U$42:$U$69,0))))</f>
        <v/>
      </c>
      <c r="O2011" s="447" t="str">
        <f t="shared" ref="O2011" si="321">IF(N2011="","",", "&amp;N2011)</f>
        <v/>
      </c>
      <c r="P2011" s="2173" t="str">
        <f>IF(ISNA(INDEX(PoderesDeCriatura_Adquiridos,MATCH(P$1987&amp;$A23,Principal!$U$42:$U$69,0))),"",IF(INDEX(Principal!$AO$42:$AO$69,MATCH(P$1987&amp;$A23,Principal!$U$42:$U$69,0))&gt;0,INDEX(Principal!$AF$42:$AF$69,MATCH(P$1987&amp;$A23,Principal!$U$42:$U$69,0)),INDEX(PoderesDeCriatura_Adquiridos,MATCH(P$1987&amp;$A23,Principal!$U$42:$U$69,0))))</f>
        <v/>
      </c>
      <c r="Q2011" s="447" t="str">
        <f t="shared" ref="Q2011" si="322">IF(P2011="","",", "&amp;P2011)</f>
        <v/>
      </c>
      <c r="R2011" s="2173" t="str">
        <f>IF(ISNA(INDEX(PoderesDeCriatura_Adquiridos,MATCH(R$1987&amp;$A23,Principal!$U$42:$U$69,0))),"",IF(INDEX(Principal!$AO$42:$AO$69,MATCH(R$1987&amp;$A23,Principal!$U$42:$U$69,0))&gt;0,INDEX(Principal!$AF$42:$AF$69,MATCH(R$1987&amp;$A23,Principal!$U$42:$U$69,0)),INDEX(PoderesDeCriatura_Adquiridos,MATCH(R$1987&amp;$A23,Principal!$U$42:$U$69,0))))</f>
        <v/>
      </c>
      <c r="S2011" s="447" t="str">
        <f t="shared" ref="S2011" si="323">IF(R2011="","",", "&amp;R2011)</f>
        <v/>
      </c>
      <c r="T2011" s="2173" t="str">
        <f>IF(ISNA(INDEX(PoderesDeCriatura_Adquiridos,MATCH(T$1987&amp;$A23,Principal!$U$42:$U$69,0))),"",IF(INDEX(Principal!$AO$42:$AO$69,MATCH(T$1987&amp;$A23,Principal!$U$42:$U$69,0))&gt;0,INDEX(Principal!$AF$42:$AF$69,MATCH(T$1987&amp;$A23,Principal!$U$42:$U$69,0)),INDEX(PoderesDeCriatura_Adquiridos,MATCH(T$1987&amp;$A23,Principal!$U$42:$U$69,0))))</f>
        <v/>
      </c>
      <c r="U2011" s="447" t="str">
        <f t="shared" ref="U2011" si="324">IF(T2011="","",", "&amp;T2011)</f>
        <v/>
      </c>
      <c r="V2011" s="2173" t="str">
        <f>IF(ISNA(INDEX(PoderesDeCriatura_Adquiridos,MATCH(V$1987&amp;$A23,Principal!$U$42:$U$69,0))),"",IF(INDEX(Principal!$AO$42:$AO$69,MATCH(V$1987&amp;$A23,Principal!$U$42:$U$69,0))&gt;0,INDEX(Principal!$AF$42:$AF$69,MATCH(V$1987&amp;$A23,Principal!$U$42:$U$69,0)),INDEX(PoderesDeCriatura_Adquiridos,MATCH(V$1987&amp;$A23,Principal!$U$42:$U$69,0))))</f>
        <v/>
      </c>
      <c r="W2011" s="447" t="str">
        <f t="shared" ref="W2011" si="325">IF(V2011="","",", "&amp;V2011)</f>
        <v/>
      </c>
      <c r="X2011" s="2173" t="str">
        <f>IF(ISNA(INDEX(PoderesDeCriatura_Adquiridos,MATCH(X$1987&amp;$A23,Principal!$U$42:$U$69,0))),"",IF(INDEX(Principal!$AO$42:$AO$69,MATCH(X$1987&amp;$A23,Principal!$U$42:$U$69,0))&gt;0,INDEX(Principal!$AF$42:$AF$69,MATCH(X$1987&amp;$A23,Principal!$U$42:$U$69,0)),INDEX(PoderesDeCriatura_Adquiridos,MATCH(X$1987&amp;$A23,Principal!$U$42:$U$69,0))))</f>
        <v/>
      </c>
      <c r="Y2011" s="447" t="str">
        <f t="shared" ref="Y2011" si="326">IF(X2011="","",", "&amp;X2011)</f>
        <v/>
      </c>
      <c r="Z2011" s="2173" t="str">
        <f>IF(ISNA(INDEX(PoderesDeCriatura_Adquiridos,MATCH(Z$1987&amp;$A23,Principal!$U$42:$U$69,0))),"",IF(INDEX(Principal!$AO$42:$AO$69,MATCH(Z$1987&amp;$A23,Principal!$U$42:$U$69,0))&gt;0,INDEX(Principal!$AF$42:$AF$69,MATCH(Z$1987&amp;$A23,Principal!$U$42:$U$69,0)),INDEX(PoderesDeCriatura_Adquiridos,MATCH(Z$1987&amp;$A23,Principal!$U$42:$U$69,0))))</f>
        <v/>
      </c>
      <c r="AA2011" s="447" t="str">
        <f t="shared" ref="AA2011" si="327">IF(Z2011="","",", "&amp;Z2011)</f>
        <v/>
      </c>
      <c r="AB2011" s="2173" t="str">
        <f>IF(ISNA(INDEX(PoderesDeCriatura_Adquiridos,MATCH(AB$1987&amp;$A23,Principal!$U$42:$U$69,0))),"",IF(INDEX(Principal!$AO$42:$AO$69,MATCH(AB$1987&amp;$A23,Principal!$U$42:$U$69,0))&gt;0,INDEX(Principal!$AF$42:$AF$69,MATCH(AB$1987&amp;$A23,Principal!$U$42:$U$69,0)),INDEX(PoderesDeCriatura_Adquiridos,MATCH(AB$1987&amp;$A23,Principal!$U$42:$U$69,0))))</f>
        <v/>
      </c>
      <c r="AC2011" s="2179" t="str">
        <f t="shared" ref="AC2011" si="328">IF(AB2011="","",", "&amp;AB2011)</f>
        <v/>
      </c>
      <c r="AD2011" s="2153" t="str">
        <f>IF(OR(AE2011=0,ISNUMBER(MATCH(AE2011,$AE$1990:$AE2010,0))),"",MAX($AD$1989:AD2010)+1)</f>
        <v/>
      </c>
      <c r="AE2011" s="2181">
        <f>Principal!V63</f>
        <v>0</v>
      </c>
    </row>
    <row r="2012" spans="1:31" ht="12.75" customHeight="1" x14ac:dyDescent="0.2">
      <c r="A2012" s="1916">
        <v>2012</v>
      </c>
      <c r="B2012" s="5148"/>
      <c r="C2012" s="2234" t="str">
        <f t="shared" si="224"/>
        <v/>
      </c>
      <c r="D2012" s="1691" t="str">
        <f>Combate!AB44</f>
        <v/>
      </c>
      <c r="E2012" s="2166" t="str">
        <f t="shared" si="157"/>
        <v/>
      </c>
      <c r="F2012" s="5248"/>
      <c r="H2012" s="2142" t="str">
        <f>IF(ISNA(VLOOKUP(A25,Principal!$S$42:$AH$69,10,FALSE)),"",IF(VLOOKUP(A25,Principal!$S$42:$AH$69,10,FALSE)=0,"",INDEX(PoderesDeCriatura_Adquiridos,MATCH(A25,Principal!$S$42:$S$69,0))))</f>
        <v/>
      </c>
      <c r="I2012" s="2288" t="str">
        <f t="shared" si="158"/>
        <v/>
      </c>
      <c r="J2012" s="2173" t="str">
        <f>IF(ISNA(INDEX(PoderesDeCriatura_Adquiridos,MATCH(J$1987&amp;$A24,Principal!$U$42:$U$69,0))),"",IF(INDEX(Principal!$AO$42:$AO$69,MATCH(J$1987&amp;$A24,Principal!$U$42:$U$69,0))&gt;0,INDEX(Principal!$AF$42:$AF$69,MATCH(J$1987&amp;$A24,Principal!$U$42:$U$69,0)),INDEX(PoderesDeCriatura_Adquiridos,MATCH(J$1987&amp;$A24,Principal!$U$42:$U$69,0))))</f>
        <v/>
      </c>
      <c r="K2012" s="447" t="str">
        <f t="shared" si="159"/>
        <v/>
      </c>
      <c r="L2012" s="2173" t="str">
        <f>IF(ISNA(INDEX(PoderesDeCriatura_Adquiridos,MATCH(L$1987&amp;$A24,Principal!$U$42:$U$69,0))),"",IF(INDEX(Principal!$AO$42:$AO$69,MATCH(L$1987&amp;$A24,Principal!$U$42:$U$69,0))&gt;0,INDEX(Principal!$AF$42:$AF$69,MATCH(L$1987&amp;$A24,Principal!$U$42:$U$69,0)),INDEX(PoderesDeCriatura_Adquiridos,MATCH(L$1987&amp;$A24,Principal!$U$42:$U$69,0))))</f>
        <v/>
      </c>
      <c r="M2012" s="447" t="str">
        <f t="shared" si="159"/>
        <v/>
      </c>
      <c r="N2012" s="2173" t="str">
        <f>IF(ISNA(INDEX(PoderesDeCriatura_Adquiridos,MATCH(N$1987&amp;$A24,Principal!$U$42:$U$69,0))),"",IF(INDEX(Principal!$AO$42:$AO$69,MATCH(N$1987&amp;$A24,Principal!$U$42:$U$69,0))&gt;0,INDEX(Principal!$AF$42:$AF$69,MATCH(N$1987&amp;$A24,Principal!$U$42:$U$69,0)),INDEX(PoderesDeCriatura_Adquiridos,MATCH(N$1987&amp;$A24,Principal!$U$42:$U$69,0))))</f>
        <v/>
      </c>
      <c r="O2012" s="447" t="str">
        <f t="shared" ref="O2012" si="329">IF(N2012="","",", "&amp;N2012)</f>
        <v/>
      </c>
      <c r="P2012" s="2173" t="str">
        <f>IF(ISNA(INDEX(PoderesDeCriatura_Adquiridos,MATCH(P$1987&amp;$A24,Principal!$U$42:$U$69,0))),"",IF(INDEX(Principal!$AO$42:$AO$69,MATCH(P$1987&amp;$A24,Principal!$U$42:$U$69,0))&gt;0,INDEX(Principal!$AF$42:$AF$69,MATCH(P$1987&amp;$A24,Principal!$U$42:$U$69,0)),INDEX(PoderesDeCriatura_Adquiridos,MATCH(P$1987&amp;$A24,Principal!$U$42:$U$69,0))))</f>
        <v/>
      </c>
      <c r="Q2012" s="447" t="str">
        <f t="shared" ref="Q2012" si="330">IF(P2012="","",", "&amp;P2012)</f>
        <v/>
      </c>
      <c r="R2012" s="2173" t="str">
        <f>IF(ISNA(INDEX(PoderesDeCriatura_Adquiridos,MATCH(R$1987&amp;$A24,Principal!$U$42:$U$69,0))),"",IF(INDEX(Principal!$AO$42:$AO$69,MATCH(R$1987&amp;$A24,Principal!$U$42:$U$69,0))&gt;0,INDEX(Principal!$AF$42:$AF$69,MATCH(R$1987&amp;$A24,Principal!$U$42:$U$69,0)),INDEX(PoderesDeCriatura_Adquiridos,MATCH(R$1987&amp;$A24,Principal!$U$42:$U$69,0))))</f>
        <v/>
      </c>
      <c r="S2012" s="447" t="str">
        <f t="shared" ref="S2012" si="331">IF(R2012="","",", "&amp;R2012)</f>
        <v/>
      </c>
      <c r="T2012" s="2173" t="str">
        <f>IF(ISNA(INDEX(PoderesDeCriatura_Adquiridos,MATCH(T$1987&amp;$A24,Principal!$U$42:$U$69,0))),"",IF(INDEX(Principal!$AO$42:$AO$69,MATCH(T$1987&amp;$A24,Principal!$U$42:$U$69,0))&gt;0,INDEX(Principal!$AF$42:$AF$69,MATCH(T$1987&amp;$A24,Principal!$U$42:$U$69,0)),INDEX(PoderesDeCriatura_Adquiridos,MATCH(T$1987&amp;$A24,Principal!$U$42:$U$69,0))))</f>
        <v/>
      </c>
      <c r="U2012" s="447" t="str">
        <f t="shared" ref="U2012" si="332">IF(T2012="","",", "&amp;T2012)</f>
        <v/>
      </c>
      <c r="V2012" s="2173" t="str">
        <f>IF(ISNA(INDEX(PoderesDeCriatura_Adquiridos,MATCH(V$1987&amp;$A24,Principal!$U$42:$U$69,0))),"",IF(INDEX(Principal!$AO$42:$AO$69,MATCH(V$1987&amp;$A24,Principal!$U$42:$U$69,0))&gt;0,INDEX(Principal!$AF$42:$AF$69,MATCH(V$1987&amp;$A24,Principal!$U$42:$U$69,0)),INDEX(PoderesDeCriatura_Adquiridos,MATCH(V$1987&amp;$A24,Principal!$U$42:$U$69,0))))</f>
        <v/>
      </c>
      <c r="W2012" s="447" t="str">
        <f t="shared" ref="W2012" si="333">IF(V2012="","",", "&amp;V2012)</f>
        <v/>
      </c>
      <c r="X2012" s="2173" t="str">
        <f>IF(ISNA(INDEX(PoderesDeCriatura_Adquiridos,MATCH(X$1987&amp;$A24,Principal!$U$42:$U$69,0))),"",IF(INDEX(Principal!$AO$42:$AO$69,MATCH(X$1987&amp;$A24,Principal!$U$42:$U$69,0))&gt;0,INDEX(Principal!$AF$42:$AF$69,MATCH(X$1987&amp;$A24,Principal!$U$42:$U$69,0)),INDEX(PoderesDeCriatura_Adquiridos,MATCH(X$1987&amp;$A24,Principal!$U$42:$U$69,0))))</f>
        <v/>
      </c>
      <c r="Y2012" s="447" t="str">
        <f t="shared" ref="Y2012" si="334">IF(X2012="","",", "&amp;X2012)</f>
        <v/>
      </c>
      <c r="Z2012" s="2173" t="str">
        <f>IF(ISNA(INDEX(PoderesDeCriatura_Adquiridos,MATCH(Z$1987&amp;$A24,Principal!$U$42:$U$69,0))),"",IF(INDEX(Principal!$AO$42:$AO$69,MATCH(Z$1987&amp;$A24,Principal!$U$42:$U$69,0))&gt;0,INDEX(Principal!$AF$42:$AF$69,MATCH(Z$1987&amp;$A24,Principal!$U$42:$U$69,0)),INDEX(PoderesDeCriatura_Adquiridos,MATCH(Z$1987&amp;$A24,Principal!$U$42:$U$69,0))))</f>
        <v/>
      </c>
      <c r="AA2012" s="447" t="str">
        <f t="shared" ref="AA2012" si="335">IF(Z2012="","",", "&amp;Z2012)</f>
        <v/>
      </c>
      <c r="AB2012" s="2173" t="str">
        <f>IF(ISNA(INDEX(PoderesDeCriatura_Adquiridos,MATCH(AB$1987&amp;$A24,Principal!$U$42:$U$69,0))),"",IF(INDEX(Principal!$AO$42:$AO$69,MATCH(AB$1987&amp;$A24,Principal!$U$42:$U$69,0))&gt;0,INDEX(Principal!$AF$42:$AF$69,MATCH(AB$1987&amp;$A24,Principal!$U$42:$U$69,0)),INDEX(PoderesDeCriatura_Adquiridos,MATCH(AB$1987&amp;$A24,Principal!$U$42:$U$69,0))))</f>
        <v/>
      </c>
      <c r="AC2012" s="2179" t="str">
        <f t="shared" ref="AC2012" si="336">IF(AB2012="","",", "&amp;AB2012)</f>
        <v/>
      </c>
      <c r="AD2012" s="2153" t="str">
        <f>IF(OR(AE2012=0,ISNUMBER(MATCH(AE2012,$AE$1990:$AE2011,0))),"",MAX($AD$1989:AD2011)+1)</f>
        <v/>
      </c>
      <c r="AE2012" s="2181">
        <f>Principal!V64</f>
        <v>0</v>
      </c>
    </row>
    <row r="2013" spans="1:31" ht="12.75" customHeight="1" x14ac:dyDescent="0.2">
      <c r="A2013" s="1916">
        <v>2013</v>
      </c>
      <c r="B2013" s="5148"/>
      <c r="C2013" s="2234" t="str">
        <f t="shared" si="224"/>
        <v/>
      </c>
      <c r="D2013" s="1691" t="str">
        <f>Combate!AB45</f>
        <v/>
      </c>
      <c r="E2013" s="2166" t="str">
        <f t="shared" si="157"/>
        <v/>
      </c>
      <c r="F2013" s="5248"/>
      <c r="H2013" s="2142" t="str">
        <f>IF(ISNA(VLOOKUP(A26,Principal!$S$42:$AH$69,10,FALSE)),"",IF(VLOOKUP(A26,Principal!$S$42:$AH$69,10,FALSE)=0,"",INDEX(PoderesDeCriatura_Adquiridos,MATCH(A26,Principal!$S$42:$S$69,0))))</f>
        <v/>
      </c>
      <c r="I2013" s="2288" t="str">
        <f t="shared" si="158"/>
        <v/>
      </c>
      <c r="J2013" s="2173" t="str">
        <f>IF(ISNA(INDEX(PoderesDeCriatura_Adquiridos,MATCH(J$1987&amp;$A25,Principal!$U$42:$U$69,0))),"",IF(INDEX(Principal!$AO$42:$AO$69,MATCH(J$1987&amp;$A25,Principal!$U$42:$U$69,0))&gt;0,INDEX(Principal!$AF$42:$AF$69,MATCH(J$1987&amp;$A25,Principal!$U$42:$U$69,0)),INDEX(PoderesDeCriatura_Adquiridos,MATCH(J$1987&amp;$A25,Principal!$U$42:$U$69,0))))</f>
        <v/>
      </c>
      <c r="K2013" s="447" t="str">
        <f t="shared" si="159"/>
        <v/>
      </c>
      <c r="L2013" s="2173" t="str">
        <f>IF(ISNA(INDEX(PoderesDeCriatura_Adquiridos,MATCH(L$1987&amp;$A25,Principal!$U$42:$U$69,0))),"",IF(INDEX(Principal!$AO$42:$AO$69,MATCH(L$1987&amp;$A25,Principal!$U$42:$U$69,0))&gt;0,INDEX(Principal!$AF$42:$AF$69,MATCH(L$1987&amp;$A25,Principal!$U$42:$U$69,0)),INDEX(PoderesDeCriatura_Adquiridos,MATCH(L$1987&amp;$A25,Principal!$U$42:$U$69,0))))</f>
        <v/>
      </c>
      <c r="M2013" s="447" t="str">
        <f t="shared" si="159"/>
        <v/>
      </c>
      <c r="N2013" s="2173" t="str">
        <f>IF(ISNA(INDEX(PoderesDeCriatura_Adquiridos,MATCH(N$1987&amp;$A25,Principal!$U$42:$U$69,0))),"",IF(INDEX(Principal!$AO$42:$AO$69,MATCH(N$1987&amp;$A25,Principal!$U$42:$U$69,0))&gt;0,INDEX(Principal!$AF$42:$AF$69,MATCH(N$1987&amp;$A25,Principal!$U$42:$U$69,0)),INDEX(PoderesDeCriatura_Adquiridos,MATCH(N$1987&amp;$A25,Principal!$U$42:$U$69,0))))</f>
        <v/>
      </c>
      <c r="O2013" s="447" t="str">
        <f t="shared" ref="O2013" si="337">IF(N2013="","",", "&amp;N2013)</f>
        <v/>
      </c>
      <c r="P2013" s="2173" t="str">
        <f>IF(ISNA(INDEX(PoderesDeCriatura_Adquiridos,MATCH(P$1987&amp;$A25,Principal!$U$42:$U$69,0))),"",IF(INDEX(Principal!$AO$42:$AO$69,MATCH(P$1987&amp;$A25,Principal!$U$42:$U$69,0))&gt;0,INDEX(Principal!$AF$42:$AF$69,MATCH(P$1987&amp;$A25,Principal!$U$42:$U$69,0)),INDEX(PoderesDeCriatura_Adquiridos,MATCH(P$1987&amp;$A25,Principal!$U$42:$U$69,0))))</f>
        <v/>
      </c>
      <c r="Q2013" s="447" t="str">
        <f t="shared" ref="Q2013" si="338">IF(P2013="","",", "&amp;P2013)</f>
        <v/>
      </c>
      <c r="R2013" s="2173" t="str">
        <f>IF(ISNA(INDEX(PoderesDeCriatura_Adquiridos,MATCH(R$1987&amp;$A25,Principal!$U$42:$U$69,0))),"",IF(INDEX(Principal!$AO$42:$AO$69,MATCH(R$1987&amp;$A25,Principal!$U$42:$U$69,0))&gt;0,INDEX(Principal!$AF$42:$AF$69,MATCH(R$1987&amp;$A25,Principal!$U$42:$U$69,0)),INDEX(PoderesDeCriatura_Adquiridos,MATCH(R$1987&amp;$A25,Principal!$U$42:$U$69,0))))</f>
        <v/>
      </c>
      <c r="S2013" s="447" t="str">
        <f t="shared" ref="S2013" si="339">IF(R2013="","",", "&amp;R2013)</f>
        <v/>
      </c>
      <c r="T2013" s="2173" t="str">
        <f>IF(ISNA(INDEX(PoderesDeCriatura_Adquiridos,MATCH(T$1987&amp;$A25,Principal!$U$42:$U$69,0))),"",IF(INDEX(Principal!$AO$42:$AO$69,MATCH(T$1987&amp;$A25,Principal!$U$42:$U$69,0))&gt;0,INDEX(Principal!$AF$42:$AF$69,MATCH(T$1987&amp;$A25,Principal!$U$42:$U$69,0)),INDEX(PoderesDeCriatura_Adquiridos,MATCH(T$1987&amp;$A25,Principal!$U$42:$U$69,0))))</f>
        <v/>
      </c>
      <c r="U2013" s="447" t="str">
        <f t="shared" ref="U2013" si="340">IF(T2013="","",", "&amp;T2013)</f>
        <v/>
      </c>
      <c r="V2013" s="2173" t="str">
        <f>IF(ISNA(INDEX(PoderesDeCriatura_Adquiridos,MATCH(V$1987&amp;$A25,Principal!$U$42:$U$69,0))),"",IF(INDEX(Principal!$AO$42:$AO$69,MATCH(V$1987&amp;$A25,Principal!$U$42:$U$69,0))&gt;0,INDEX(Principal!$AF$42:$AF$69,MATCH(V$1987&amp;$A25,Principal!$U$42:$U$69,0)),INDEX(PoderesDeCriatura_Adquiridos,MATCH(V$1987&amp;$A25,Principal!$U$42:$U$69,0))))</f>
        <v/>
      </c>
      <c r="W2013" s="447" t="str">
        <f t="shared" ref="W2013" si="341">IF(V2013="","",", "&amp;V2013)</f>
        <v/>
      </c>
      <c r="X2013" s="2173" t="str">
        <f>IF(ISNA(INDEX(PoderesDeCriatura_Adquiridos,MATCH(X$1987&amp;$A25,Principal!$U$42:$U$69,0))),"",IF(INDEX(Principal!$AO$42:$AO$69,MATCH(X$1987&amp;$A25,Principal!$U$42:$U$69,0))&gt;0,INDEX(Principal!$AF$42:$AF$69,MATCH(X$1987&amp;$A25,Principal!$U$42:$U$69,0)),INDEX(PoderesDeCriatura_Adquiridos,MATCH(X$1987&amp;$A25,Principal!$U$42:$U$69,0))))</f>
        <v/>
      </c>
      <c r="Y2013" s="447" t="str">
        <f t="shared" ref="Y2013" si="342">IF(X2013="","",", "&amp;X2013)</f>
        <v/>
      </c>
      <c r="Z2013" s="2173" t="str">
        <f>IF(ISNA(INDEX(PoderesDeCriatura_Adquiridos,MATCH(Z$1987&amp;$A25,Principal!$U$42:$U$69,0))),"",IF(INDEX(Principal!$AO$42:$AO$69,MATCH(Z$1987&amp;$A25,Principal!$U$42:$U$69,0))&gt;0,INDEX(Principal!$AF$42:$AF$69,MATCH(Z$1987&amp;$A25,Principal!$U$42:$U$69,0)),INDEX(PoderesDeCriatura_Adquiridos,MATCH(Z$1987&amp;$A25,Principal!$U$42:$U$69,0))))</f>
        <v/>
      </c>
      <c r="AA2013" s="447" t="str">
        <f t="shared" ref="AA2013" si="343">IF(Z2013="","",", "&amp;Z2013)</f>
        <v/>
      </c>
      <c r="AB2013" s="2173" t="str">
        <f>IF(ISNA(INDEX(PoderesDeCriatura_Adquiridos,MATCH(AB$1987&amp;$A25,Principal!$U$42:$U$69,0))),"",IF(INDEX(Principal!$AO$42:$AO$69,MATCH(AB$1987&amp;$A25,Principal!$U$42:$U$69,0))&gt;0,INDEX(Principal!$AF$42:$AF$69,MATCH(AB$1987&amp;$A25,Principal!$U$42:$U$69,0)),INDEX(PoderesDeCriatura_Adquiridos,MATCH(AB$1987&amp;$A25,Principal!$U$42:$U$69,0))))</f>
        <v/>
      </c>
      <c r="AC2013" s="2179" t="str">
        <f t="shared" ref="AC2013" si="344">IF(AB2013="","",", "&amp;AB2013)</f>
        <v/>
      </c>
      <c r="AD2013" s="2153" t="str">
        <f>IF(OR(AE2013=0,ISNUMBER(MATCH(AE2013,$AE$1990:$AE2012,0))),"",MAX($AD$1989:AD2012)+1)</f>
        <v/>
      </c>
      <c r="AE2013" s="2181">
        <f>Principal!V65</f>
        <v>0</v>
      </c>
    </row>
    <row r="2014" spans="1:31" ht="12.75" customHeight="1" x14ac:dyDescent="0.2">
      <c r="A2014" s="1916">
        <v>2014</v>
      </c>
      <c r="B2014" s="5148"/>
      <c r="C2014" s="2234" t="str">
        <f t="shared" si="224"/>
        <v/>
      </c>
      <c r="D2014" s="1691" t="str">
        <f>Combate!AB46</f>
        <v/>
      </c>
      <c r="E2014" s="2166" t="str">
        <f t="shared" si="157"/>
        <v/>
      </c>
      <c r="F2014" s="5248"/>
      <c r="H2014" s="2142" t="str">
        <f>IF(ISNA(VLOOKUP(A27,Principal!$S$42:$AH$69,10,FALSE)),"",IF(VLOOKUP(A27,Principal!$S$42:$AH$69,10,FALSE)=0,"",INDEX(PoderesDeCriatura_Adquiridos,MATCH(A27,Principal!$S$42:$S$69,0))))</f>
        <v/>
      </c>
      <c r="I2014" s="2288" t="str">
        <f t="shared" si="158"/>
        <v/>
      </c>
      <c r="J2014" s="2173" t="str">
        <f>IF(ISNA(INDEX(PoderesDeCriatura_Adquiridos,MATCH(J$1987&amp;$A26,Principal!$U$42:$U$69,0))),"",IF(INDEX(Principal!$AO$42:$AO$69,MATCH(J$1987&amp;$A26,Principal!$U$42:$U$69,0))&gt;0,INDEX(Principal!$AF$42:$AF$69,MATCH(J$1987&amp;$A26,Principal!$U$42:$U$69,0)),INDEX(PoderesDeCriatura_Adquiridos,MATCH(J$1987&amp;$A26,Principal!$U$42:$U$69,0))))</f>
        <v/>
      </c>
      <c r="K2014" s="447" t="str">
        <f t="shared" si="159"/>
        <v/>
      </c>
      <c r="L2014" s="2173" t="str">
        <f>IF(ISNA(INDEX(PoderesDeCriatura_Adquiridos,MATCH(L$1987&amp;$A26,Principal!$U$42:$U$69,0))),"",IF(INDEX(Principal!$AO$42:$AO$69,MATCH(L$1987&amp;$A26,Principal!$U$42:$U$69,0))&gt;0,INDEX(Principal!$AF$42:$AF$69,MATCH(L$1987&amp;$A26,Principal!$U$42:$U$69,0)),INDEX(PoderesDeCriatura_Adquiridos,MATCH(L$1987&amp;$A26,Principal!$U$42:$U$69,0))))</f>
        <v/>
      </c>
      <c r="M2014" s="447" t="str">
        <f t="shared" si="159"/>
        <v/>
      </c>
      <c r="N2014" s="2173" t="str">
        <f>IF(ISNA(INDEX(PoderesDeCriatura_Adquiridos,MATCH(N$1987&amp;$A26,Principal!$U$42:$U$69,0))),"",IF(INDEX(Principal!$AO$42:$AO$69,MATCH(N$1987&amp;$A26,Principal!$U$42:$U$69,0))&gt;0,INDEX(Principal!$AF$42:$AF$69,MATCH(N$1987&amp;$A26,Principal!$U$42:$U$69,0)),INDEX(PoderesDeCriatura_Adquiridos,MATCH(N$1987&amp;$A26,Principal!$U$42:$U$69,0))))</f>
        <v/>
      </c>
      <c r="O2014" s="447" t="str">
        <f t="shared" ref="O2014" si="345">IF(N2014="","",", "&amp;N2014)</f>
        <v/>
      </c>
      <c r="P2014" s="2173" t="str">
        <f>IF(ISNA(INDEX(PoderesDeCriatura_Adquiridos,MATCH(P$1987&amp;$A26,Principal!$U$42:$U$69,0))),"",IF(INDEX(Principal!$AO$42:$AO$69,MATCH(P$1987&amp;$A26,Principal!$U$42:$U$69,0))&gt;0,INDEX(Principal!$AF$42:$AF$69,MATCH(P$1987&amp;$A26,Principal!$U$42:$U$69,0)),INDEX(PoderesDeCriatura_Adquiridos,MATCH(P$1987&amp;$A26,Principal!$U$42:$U$69,0))))</f>
        <v/>
      </c>
      <c r="Q2014" s="447" t="str">
        <f t="shared" ref="Q2014" si="346">IF(P2014="","",", "&amp;P2014)</f>
        <v/>
      </c>
      <c r="R2014" s="2173" t="str">
        <f>IF(ISNA(INDEX(PoderesDeCriatura_Adquiridos,MATCH(R$1987&amp;$A26,Principal!$U$42:$U$69,0))),"",IF(INDEX(Principal!$AO$42:$AO$69,MATCH(R$1987&amp;$A26,Principal!$U$42:$U$69,0))&gt;0,INDEX(Principal!$AF$42:$AF$69,MATCH(R$1987&amp;$A26,Principal!$U$42:$U$69,0)),INDEX(PoderesDeCriatura_Adquiridos,MATCH(R$1987&amp;$A26,Principal!$U$42:$U$69,0))))</f>
        <v/>
      </c>
      <c r="S2014" s="447" t="str">
        <f t="shared" ref="S2014" si="347">IF(R2014="","",", "&amp;R2014)</f>
        <v/>
      </c>
      <c r="T2014" s="2173" t="str">
        <f>IF(ISNA(INDEX(PoderesDeCriatura_Adquiridos,MATCH(T$1987&amp;$A26,Principal!$U$42:$U$69,0))),"",IF(INDEX(Principal!$AO$42:$AO$69,MATCH(T$1987&amp;$A26,Principal!$U$42:$U$69,0))&gt;0,INDEX(Principal!$AF$42:$AF$69,MATCH(T$1987&amp;$A26,Principal!$U$42:$U$69,0)),INDEX(PoderesDeCriatura_Adquiridos,MATCH(T$1987&amp;$A26,Principal!$U$42:$U$69,0))))</f>
        <v/>
      </c>
      <c r="U2014" s="447" t="str">
        <f t="shared" ref="U2014" si="348">IF(T2014="","",", "&amp;T2014)</f>
        <v/>
      </c>
      <c r="V2014" s="2173" t="str">
        <f>IF(ISNA(INDEX(PoderesDeCriatura_Adquiridos,MATCH(V$1987&amp;$A26,Principal!$U$42:$U$69,0))),"",IF(INDEX(Principal!$AO$42:$AO$69,MATCH(V$1987&amp;$A26,Principal!$U$42:$U$69,0))&gt;0,INDEX(Principal!$AF$42:$AF$69,MATCH(V$1987&amp;$A26,Principal!$U$42:$U$69,0)),INDEX(PoderesDeCriatura_Adquiridos,MATCH(V$1987&amp;$A26,Principal!$U$42:$U$69,0))))</f>
        <v/>
      </c>
      <c r="W2014" s="447" t="str">
        <f t="shared" ref="W2014" si="349">IF(V2014="","",", "&amp;V2014)</f>
        <v/>
      </c>
      <c r="X2014" s="2173" t="str">
        <f>IF(ISNA(INDEX(PoderesDeCriatura_Adquiridos,MATCH(X$1987&amp;$A26,Principal!$U$42:$U$69,0))),"",IF(INDEX(Principal!$AO$42:$AO$69,MATCH(X$1987&amp;$A26,Principal!$U$42:$U$69,0))&gt;0,INDEX(Principal!$AF$42:$AF$69,MATCH(X$1987&amp;$A26,Principal!$U$42:$U$69,0)),INDEX(PoderesDeCriatura_Adquiridos,MATCH(X$1987&amp;$A26,Principal!$U$42:$U$69,0))))</f>
        <v/>
      </c>
      <c r="Y2014" s="447" t="str">
        <f t="shared" ref="Y2014" si="350">IF(X2014="","",", "&amp;X2014)</f>
        <v/>
      </c>
      <c r="Z2014" s="2173" t="str">
        <f>IF(ISNA(INDEX(PoderesDeCriatura_Adquiridos,MATCH(Z$1987&amp;$A26,Principal!$U$42:$U$69,0))),"",IF(INDEX(Principal!$AO$42:$AO$69,MATCH(Z$1987&amp;$A26,Principal!$U$42:$U$69,0))&gt;0,INDEX(Principal!$AF$42:$AF$69,MATCH(Z$1987&amp;$A26,Principal!$U$42:$U$69,0)),INDEX(PoderesDeCriatura_Adquiridos,MATCH(Z$1987&amp;$A26,Principal!$U$42:$U$69,0))))</f>
        <v/>
      </c>
      <c r="AA2014" s="447" t="str">
        <f t="shared" ref="AA2014" si="351">IF(Z2014="","",", "&amp;Z2014)</f>
        <v/>
      </c>
      <c r="AB2014" s="2173" t="str">
        <f>IF(ISNA(INDEX(PoderesDeCriatura_Adquiridos,MATCH(AB$1987&amp;$A26,Principal!$U$42:$U$69,0))),"",IF(INDEX(Principal!$AO$42:$AO$69,MATCH(AB$1987&amp;$A26,Principal!$U$42:$U$69,0))&gt;0,INDEX(Principal!$AF$42:$AF$69,MATCH(AB$1987&amp;$A26,Principal!$U$42:$U$69,0)),INDEX(PoderesDeCriatura_Adquiridos,MATCH(AB$1987&amp;$A26,Principal!$U$42:$U$69,0))))</f>
        <v/>
      </c>
      <c r="AC2014" s="2179" t="str">
        <f t="shared" ref="AC2014" si="352">IF(AB2014="","",", "&amp;AB2014)</f>
        <v/>
      </c>
      <c r="AD2014" s="2153" t="str">
        <f>IF(OR(AE2014=0,ISNUMBER(MATCH(AE2014,$AE$1990:$AE2013,0))),"",MAX($AD$1989:AD2013)+1)</f>
        <v/>
      </c>
      <c r="AE2014" s="2181">
        <f>Principal!V66</f>
        <v>0</v>
      </c>
    </row>
    <row r="2015" spans="1:31" ht="12.75" customHeight="1" x14ac:dyDescent="0.2">
      <c r="A2015" s="1916">
        <v>2015</v>
      </c>
      <c r="B2015" s="5148"/>
      <c r="C2015" s="2234" t="str">
        <f t="shared" si="224"/>
        <v/>
      </c>
      <c r="D2015" s="1691" t="str">
        <f>Combate!AB47</f>
        <v/>
      </c>
      <c r="E2015" s="2166" t="str">
        <f t="shared" si="157"/>
        <v/>
      </c>
      <c r="F2015" s="5248"/>
      <c r="H2015" s="2142" t="str">
        <f>IF(ISNA(VLOOKUP(A28,Principal!$S$42:$AH$69,10,FALSE)),"",IF(VLOOKUP(A28,Principal!$S$42:$AH$69,10,FALSE)=0,"",INDEX(PoderesDeCriatura_Adquiridos,MATCH(A28,Principal!$S$42:$S$69,0))))</f>
        <v/>
      </c>
      <c r="I2015" s="2288" t="str">
        <f t="shared" si="158"/>
        <v/>
      </c>
      <c r="J2015" s="2173" t="str">
        <f>IF(ISNA(INDEX(PoderesDeCriatura_Adquiridos,MATCH(J$1987&amp;$A27,Principal!$U$42:$U$69,0))),"",IF(INDEX(Principal!$AO$42:$AO$69,MATCH(J$1987&amp;$A27,Principal!$U$42:$U$69,0))&gt;0,INDEX(Principal!$AF$42:$AF$69,MATCH(J$1987&amp;$A27,Principal!$U$42:$U$69,0)),INDEX(PoderesDeCriatura_Adquiridos,MATCH(J$1987&amp;$A27,Principal!$U$42:$U$69,0))))</f>
        <v/>
      </c>
      <c r="K2015" s="447" t="str">
        <f t="shared" si="159"/>
        <v/>
      </c>
      <c r="L2015" s="2173" t="str">
        <f>IF(ISNA(INDEX(PoderesDeCriatura_Adquiridos,MATCH(L$1987&amp;$A27,Principal!$U$42:$U$69,0))),"",IF(INDEX(Principal!$AO$42:$AO$69,MATCH(L$1987&amp;$A27,Principal!$U$42:$U$69,0))&gt;0,INDEX(Principal!$AF$42:$AF$69,MATCH(L$1987&amp;$A27,Principal!$U$42:$U$69,0)),INDEX(PoderesDeCriatura_Adquiridos,MATCH(L$1987&amp;$A27,Principal!$U$42:$U$69,0))))</f>
        <v/>
      </c>
      <c r="M2015" s="447" t="str">
        <f t="shared" si="159"/>
        <v/>
      </c>
      <c r="N2015" s="2173" t="str">
        <f>IF(ISNA(INDEX(PoderesDeCriatura_Adquiridos,MATCH(N$1987&amp;$A27,Principal!$U$42:$U$69,0))),"",IF(INDEX(Principal!$AO$42:$AO$69,MATCH(N$1987&amp;$A27,Principal!$U$42:$U$69,0))&gt;0,INDEX(Principal!$AF$42:$AF$69,MATCH(N$1987&amp;$A27,Principal!$U$42:$U$69,0)),INDEX(PoderesDeCriatura_Adquiridos,MATCH(N$1987&amp;$A27,Principal!$U$42:$U$69,0))))</f>
        <v/>
      </c>
      <c r="O2015" s="447" t="str">
        <f t="shared" ref="O2015" si="353">IF(N2015="","",", "&amp;N2015)</f>
        <v/>
      </c>
      <c r="P2015" s="2173" t="str">
        <f>IF(ISNA(INDEX(PoderesDeCriatura_Adquiridos,MATCH(P$1987&amp;$A27,Principal!$U$42:$U$69,0))),"",IF(INDEX(Principal!$AO$42:$AO$69,MATCH(P$1987&amp;$A27,Principal!$U$42:$U$69,0))&gt;0,INDEX(Principal!$AF$42:$AF$69,MATCH(P$1987&amp;$A27,Principal!$U$42:$U$69,0)),INDEX(PoderesDeCriatura_Adquiridos,MATCH(P$1987&amp;$A27,Principal!$U$42:$U$69,0))))</f>
        <v/>
      </c>
      <c r="Q2015" s="447" t="str">
        <f t="shared" ref="Q2015" si="354">IF(P2015="","",", "&amp;P2015)</f>
        <v/>
      </c>
      <c r="R2015" s="2173" t="str">
        <f>IF(ISNA(INDEX(PoderesDeCriatura_Adquiridos,MATCH(R$1987&amp;$A27,Principal!$U$42:$U$69,0))),"",IF(INDEX(Principal!$AO$42:$AO$69,MATCH(R$1987&amp;$A27,Principal!$U$42:$U$69,0))&gt;0,INDEX(Principal!$AF$42:$AF$69,MATCH(R$1987&amp;$A27,Principal!$U$42:$U$69,0)),INDEX(PoderesDeCriatura_Adquiridos,MATCH(R$1987&amp;$A27,Principal!$U$42:$U$69,0))))</f>
        <v/>
      </c>
      <c r="S2015" s="447" t="str">
        <f t="shared" ref="S2015" si="355">IF(R2015="","",", "&amp;R2015)</f>
        <v/>
      </c>
      <c r="T2015" s="2173" t="str">
        <f>IF(ISNA(INDEX(PoderesDeCriatura_Adquiridos,MATCH(T$1987&amp;$A27,Principal!$U$42:$U$69,0))),"",IF(INDEX(Principal!$AO$42:$AO$69,MATCH(T$1987&amp;$A27,Principal!$U$42:$U$69,0))&gt;0,INDEX(Principal!$AF$42:$AF$69,MATCH(T$1987&amp;$A27,Principal!$U$42:$U$69,0)),INDEX(PoderesDeCriatura_Adquiridos,MATCH(T$1987&amp;$A27,Principal!$U$42:$U$69,0))))</f>
        <v/>
      </c>
      <c r="U2015" s="447" t="str">
        <f t="shared" ref="U2015" si="356">IF(T2015="","",", "&amp;T2015)</f>
        <v/>
      </c>
      <c r="V2015" s="2173" t="str">
        <f>IF(ISNA(INDEX(PoderesDeCriatura_Adquiridos,MATCH(V$1987&amp;$A27,Principal!$U$42:$U$69,0))),"",IF(INDEX(Principal!$AO$42:$AO$69,MATCH(V$1987&amp;$A27,Principal!$U$42:$U$69,0))&gt;0,INDEX(Principal!$AF$42:$AF$69,MATCH(V$1987&amp;$A27,Principal!$U$42:$U$69,0)),INDEX(PoderesDeCriatura_Adquiridos,MATCH(V$1987&amp;$A27,Principal!$U$42:$U$69,0))))</f>
        <v/>
      </c>
      <c r="W2015" s="447" t="str">
        <f t="shared" ref="W2015" si="357">IF(V2015="","",", "&amp;V2015)</f>
        <v/>
      </c>
      <c r="X2015" s="2173" t="str">
        <f>IF(ISNA(INDEX(PoderesDeCriatura_Adquiridos,MATCH(X$1987&amp;$A27,Principal!$U$42:$U$69,0))),"",IF(INDEX(Principal!$AO$42:$AO$69,MATCH(X$1987&amp;$A27,Principal!$U$42:$U$69,0))&gt;0,INDEX(Principal!$AF$42:$AF$69,MATCH(X$1987&amp;$A27,Principal!$U$42:$U$69,0)),INDEX(PoderesDeCriatura_Adquiridos,MATCH(X$1987&amp;$A27,Principal!$U$42:$U$69,0))))</f>
        <v/>
      </c>
      <c r="Y2015" s="447" t="str">
        <f t="shared" ref="Y2015" si="358">IF(X2015="","",", "&amp;X2015)</f>
        <v/>
      </c>
      <c r="Z2015" s="2173" t="str">
        <f>IF(ISNA(INDEX(PoderesDeCriatura_Adquiridos,MATCH(Z$1987&amp;$A27,Principal!$U$42:$U$69,0))),"",IF(INDEX(Principal!$AO$42:$AO$69,MATCH(Z$1987&amp;$A27,Principal!$U$42:$U$69,0))&gt;0,INDEX(Principal!$AF$42:$AF$69,MATCH(Z$1987&amp;$A27,Principal!$U$42:$U$69,0)),INDEX(PoderesDeCriatura_Adquiridos,MATCH(Z$1987&amp;$A27,Principal!$U$42:$U$69,0))))</f>
        <v/>
      </c>
      <c r="AA2015" s="447" t="str">
        <f t="shared" ref="AA2015" si="359">IF(Z2015="","",", "&amp;Z2015)</f>
        <v/>
      </c>
      <c r="AB2015" s="2173" t="str">
        <f>IF(ISNA(INDEX(PoderesDeCriatura_Adquiridos,MATCH(AB$1987&amp;$A27,Principal!$U$42:$U$69,0))),"",IF(INDEX(Principal!$AO$42:$AO$69,MATCH(AB$1987&amp;$A27,Principal!$U$42:$U$69,0))&gt;0,INDEX(Principal!$AF$42:$AF$69,MATCH(AB$1987&amp;$A27,Principal!$U$42:$U$69,0)),INDEX(PoderesDeCriatura_Adquiridos,MATCH(AB$1987&amp;$A27,Principal!$U$42:$U$69,0))))</f>
        <v/>
      </c>
      <c r="AC2015" s="2179" t="str">
        <f t="shared" ref="AC2015" si="360">IF(AB2015="","",", "&amp;AB2015)</f>
        <v/>
      </c>
      <c r="AD2015" s="2153" t="str">
        <f>IF(OR(AE2015=0,ISNUMBER(MATCH(AE2015,$AE$1990:$AE2014,0))),"",MAX($AD$1989:AD2014)+1)</f>
        <v/>
      </c>
      <c r="AE2015" s="2181">
        <f>Principal!V67</f>
        <v>0</v>
      </c>
    </row>
    <row r="2016" spans="1:31" ht="12.75" customHeight="1" x14ac:dyDescent="0.2">
      <c r="A2016" s="1916">
        <v>2016</v>
      </c>
      <c r="B2016" s="5148"/>
      <c r="C2016" s="2234" t="str">
        <f t="shared" si="224"/>
        <v/>
      </c>
      <c r="D2016" s="1691" t="str">
        <f>Combate!AB48</f>
        <v/>
      </c>
      <c r="E2016" s="2166" t="str">
        <f t="shared" si="157"/>
        <v/>
      </c>
      <c r="F2016" s="5248"/>
      <c r="H2016" s="2142" t="str">
        <f>IF(ISNA(VLOOKUP(A29,Principal!$S$42:$AH$69,10,FALSE)),"",IF(VLOOKUP(A29,Principal!$S$42:$AH$69,10,FALSE)=0,"",INDEX(PoderesDeCriatura_Adquiridos,MATCH(A29,Principal!$S$42:$S$69,0))))</f>
        <v/>
      </c>
      <c r="I2016" s="2288" t="str">
        <f t="shared" si="158"/>
        <v/>
      </c>
      <c r="J2016" s="2173" t="str">
        <f>IF(ISNA(INDEX(PoderesDeCriatura_Adquiridos,MATCH(J$1987&amp;$A28,Principal!$U$42:$U$69,0))),"",IF(INDEX(Principal!$AO$42:$AO$69,MATCH(J$1987&amp;$A28,Principal!$U$42:$U$69,0))&gt;0,INDEX(Principal!$AF$42:$AF$69,MATCH(J$1987&amp;$A28,Principal!$U$42:$U$69,0)),INDEX(PoderesDeCriatura_Adquiridos,MATCH(J$1987&amp;$A28,Principal!$U$42:$U$69,0))))</f>
        <v/>
      </c>
      <c r="K2016" s="447" t="str">
        <f t="shared" si="159"/>
        <v/>
      </c>
      <c r="L2016" s="2173" t="str">
        <f>IF(ISNA(INDEX(PoderesDeCriatura_Adquiridos,MATCH(L$1987&amp;$A28,Principal!$U$42:$U$69,0))),"",IF(INDEX(Principal!$AO$42:$AO$69,MATCH(L$1987&amp;$A28,Principal!$U$42:$U$69,0))&gt;0,INDEX(Principal!$AF$42:$AF$69,MATCH(L$1987&amp;$A28,Principal!$U$42:$U$69,0)),INDEX(PoderesDeCriatura_Adquiridos,MATCH(L$1987&amp;$A28,Principal!$U$42:$U$69,0))))</f>
        <v/>
      </c>
      <c r="M2016" s="447" t="str">
        <f t="shared" si="159"/>
        <v/>
      </c>
      <c r="N2016" s="2173" t="str">
        <f>IF(ISNA(INDEX(PoderesDeCriatura_Adquiridos,MATCH(N$1987&amp;$A28,Principal!$U$42:$U$69,0))),"",IF(INDEX(Principal!$AO$42:$AO$69,MATCH(N$1987&amp;$A28,Principal!$U$42:$U$69,0))&gt;0,INDEX(Principal!$AF$42:$AF$69,MATCH(N$1987&amp;$A28,Principal!$U$42:$U$69,0)),INDEX(PoderesDeCriatura_Adquiridos,MATCH(N$1987&amp;$A28,Principal!$U$42:$U$69,0))))</f>
        <v/>
      </c>
      <c r="O2016" s="447" t="str">
        <f t="shared" ref="O2016" si="361">IF(N2016="","",", "&amp;N2016)</f>
        <v/>
      </c>
      <c r="P2016" s="2173" t="str">
        <f>IF(ISNA(INDEX(PoderesDeCriatura_Adquiridos,MATCH(P$1987&amp;$A28,Principal!$U$42:$U$69,0))),"",IF(INDEX(Principal!$AO$42:$AO$69,MATCH(P$1987&amp;$A28,Principal!$U$42:$U$69,0))&gt;0,INDEX(Principal!$AF$42:$AF$69,MATCH(P$1987&amp;$A28,Principal!$U$42:$U$69,0)),INDEX(PoderesDeCriatura_Adquiridos,MATCH(P$1987&amp;$A28,Principal!$U$42:$U$69,0))))</f>
        <v/>
      </c>
      <c r="Q2016" s="447" t="str">
        <f t="shared" ref="Q2016" si="362">IF(P2016="","",", "&amp;P2016)</f>
        <v/>
      </c>
      <c r="R2016" s="2173" t="str">
        <f>IF(ISNA(INDEX(PoderesDeCriatura_Adquiridos,MATCH(R$1987&amp;$A28,Principal!$U$42:$U$69,0))),"",IF(INDEX(Principal!$AO$42:$AO$69,MATCH(R$1987&amp;$A28,Principal!$U$42:$U$69,0))&gt;0,INDEX(Principal!$AF$42:$AF$69,MATCH(R$1987&amp;$A28,Principal!$U$42:$U$69,0)),INDEX(PoderesDeCriatura_Adquiridos,MATCH(R$1987&amp;$A28,Principal!$U$42:$U$69,0))))</f>
        <v/>
      </c>
      <c r="S2016" s="447" t="str">
        <f t="shared" ref="S2016" si="363">IF(R2016="","",", "&amp;R2016)</f>
        <v/>
      </c>
      <c r="T2016" s="2173" t="str">
        <f>IF(ISNA(INDEX(PoderesDeCriatura_Adquiridos,MATCH(T$1987&amp;$A28,Principal!$U$42:$U$69,0))),"",IF(INDEX(Principal!$AO$42:$AO$69,MATCH(T$1987&amp;$A28,Principal!$U$42:$U$69,0))&gt;0,INDEX(Principal!$AF$42:$AF$69,MATCH(T$1987&amp;$A28,Principal!$U$42:$U$69,0)),INDEX(PoderesDeCriatura_Adquiridos,MATCH(T$1987&amp;$A28,Principal!$U$42:$U$69,0))))</f>
        <v/>
      </c>
      <c r="U2016" s="447" t="str">
        <f t="shared" ref="U2016" si="364">IF(T2016="","",", "&amp;T2016)</f>
        <v/>
      </c>
      <c r="V2016" s="2173" t="str">
        <f>IF(ISNA(INDEX(PoderesDeCriatura_Adquiridos,MATCH(V$1987&amp;$A28,Principal!$U$42:$U$69,0))),"",IF(INDEX(Principal!$AO$42:$AO$69,MATCH(V$1987&amp;$A28,Principal!$U$42:$U$69,0))&gt;0,INDEX(Principal!$AF$42:$AF$69,MATCH(V$1987&amp;$A28,Principal!$U$42:$U$69,0)),INDEX(PoderesDeCriatura_Adquiridos,MATCH(V$1987&amp;$A28,Principal!$U$42:$U$69,0))))</f>
        <v/>
      </c>
      <c r="W2016" s="447" t="str">
        <f t="shared" ref="W2016" si="365">IF(V2016="","",", "&amp;V2016)</f>
        <v/>
      </c>
      <c r="X2016" s="2173" t="str">
        <f>IF(ISNA(INDEX(PoderesDeCriatura_Adquiridos,MATCH(X$1987&amp;$A28,Principal!$U$42:$U$69,0))),"",IF(INDEX(Principal!$AO$42:$AO$69,MATCH(X$1987&amp;$A28,Principal!$U$42:$U$69,0))&gt;0,INDEX(Principal!$AF$42:$AF$69,MATCH(X$1987&amp;$A28,Principal!$U$42:$U$69,0)),INDEX(PoderesDeCriatura_Adquiridos,MATCH(X$1987&amp;$A28,Principal!$U$42:$U$69,0))))</f>
        <v/>
      </c>
      <c r="Y2016" s="447" t="str">
        <f t="shared" ref="Y2016" si="366">IF(X2016="","",", "&amp;X2016)</f>
        <v/>
      </c>
      <c r="Z2016" s="2173" t="str">
        <f>IF(ISNA(INDEX(PoderesDeCriatura_Adquiridos,MATCH(Z$1987&amp;$A28,Principal!$U$42:$U$69,0))),"",IF(INDEX(Principal!$AO$42:$AO$69,MATCH(Z$1987&amp;$A28,Principal!$U$42:$U$69,0))&gt;0,INDEX(Principal!$AF$42:$AF$69,MATCH(Z$1987&amp;$A28,Principal!$U$42:$U$69,0)),INDEX(PoderesDeCriatura_Adquiridos,MATCH(Z$1987&amp;$A28,Principal!$U$42:$U$69,0))))</f>
        <v/>
      </c>
      <c r="AA2016" s="447" t="str">
        <f t="shared" ref="AA2016" si="367">IF(Z2016="","",", "&amp;Z2016)</f>
        <v/>
      </c>
      <c r="AB2016" s="2173" t="str">
        <f>IF(ISNA(INDEX(PoderesDeCriatura_Adquiridos,MATCH(AB$1987&amp;$A28,Principal!$U$42:$U$69,0))),"",IF(INDEX(Principal!$AO$42:$AO$69,MATCH(AB$1987&amp;$A28,Principal!$U$42:$U$69,0))&gt;0,INDEX(Principal!$AF$42:$AF$69,MATCH(AB$1987&amp;$A28,Principal!$U$42:$U$69,0)),INDEX(PoderesDeCriatura_Adquiridos,MATCH(AB$1987&amp;$A28,Principal!$U$42:$U$69,0))))</f>
        <v/>
      </c>
      <c r="AC2016" s="2179" t="str">
        <f t="shared" ref="AC2016" si="368">IF(AB2016="","",", "&amp;AB2016)</f>
        <v/>
      </c>
      <c r="AD2016" s="2153" t="str">
        <f>IF(OR(AE2016=0,ISNUMBER(MATCH(AE2016,$AE$1990:$AE2015,0))),"",MAX($AD$1989:AD2015)+1)</f>
        <v/>
      </c>
      <c r="AE2016" s="2181">
        <f>Principal!V68</f>
        <v>0</v>
      </c>
    </row>
    <row r="2017" spans="1:31" ht="12.75" customHeight="1" x14ac:dyDescent="0.2">
      <c r="A2017" s="1916">
        <v>2017</v>
      </c>
      <c r="B2017" s="5148"/>
      <c r="C2017" s="2234" t="str">
        <f t="shared" si="224"/>
        <v/>
      </c>
      <c r="D2017" s="1691" t="str">
        <f>Combate!AB49</f>
        <v/>
      </c>
      <c r="E2017" s="2166" t="str">
        <f t="shared" si="157"/>
        <v/>
      </c>
      <c r="F2017" s="5248"/>
      <c r="H2017" s="2142" t="str">
        <f>IF(ISNA(VLOOKUP(A30,Principal!$S$42:$AH$69,10,FALSE)),"",IF(VLOOKUP(A30,Principal!$S$42:$AH$69,10,FALSE)=0,"",INDEX(PoderesDeCriatura_Adquiridos,MATCH(A30,Principal!$S$42:$S$69,0))))</f>
        <v/>
      </c>
      <c r="I2017" s="2660" t="str">
        <f t="shared" si="158"/>
        <v/>
      </c>
      <c r="J2017" s="2173" t="str">
        <f>IF(ISNA(INDEX(PoderesDeCriatura_Adquiridos,MATCH(J$1987&amp;$A29,Principal!$U$42:$U$69,0))),"",IF(INDEX(Principal!$AO$42:$AO$69,MATCH(J$1987&amp;$A29,Principal!$U$42:$U$69,0))&gt;0,INDEX(Principal!$AF$42:$AF$69,MATCH(J$1987&amp;$A29,Principal!$U$42:$U$69,0)),INDEX(PoderesDeCriatura_Adquiridos,MATCH(J$1987&amp;$A29,Principal!$U$42:$U$69,0))))</f>
        <v/>
      </c>
      <c r="K2017" s="447" t="str">
        <f t="shared" si="159"/>
        <v/>
      </c>
      <c r="L2017" s="2173" t="str">
        <f>IF(ISNA(INDEX(PoderesDeCriatura_Adquiridos,MATCH(L$1987&amp;$A29,Principal!$U$42:$U$69,0))),"",IF(INDEX(Principal!$AO$42:$AO$69,MATCH(L$1987&amp;$A29,Principal!$U$42:$U$69,0))&gt;0,INDEX(Principal!$AF$42:$AF$69,MATCH(L$1987&amp;$A29,Principal!$U$42:$U$69,0)),INDEX(PoderesDeCriatura_Adquiridos,MATCH(L$1987&amp;$A29,Principal!$U$42:$U$69,0))))</f>
        <v/>
      </c>
      <c r="M2017" s="447" t="str">
        <f t="shared" si="159"/>
        <v/>
      </c>
      <c r="N2017" s="2173" t="str">
        <f>IF(ISNA(INDEX(PoderesDeCriatura_Adquiridos,MATCH(N$1987&amp;$A29,Principal!$U$42:$U$69,0))),"",IF(INDEX(Principal!$AO$42:$AO$69,MATCH(N$1987&amp;$A29,Principal!$U$42:$U$69,0))&gt;0,INDEX(Principal!$AF$42:$AF$69,MATCH(N$1987&amp;$A29,Principal!$U$42:$U$69,0)),INDEX(PoderesDeCriatura_Adquiridos,MATCH(N$1987&amp;$A29,Principal!$U$42:$U$69,0))))</f>
        <v/>
      </c>
      <c r="O2017" s="447" t="str">
        <f t="shared" ref="O2017" si="369">IF(N2017="","",", "&amp;N2017)</f>
        <v/>
      </c>
      <c r="P2017" s="2173" t="str">
        <f>IF(ISNA(INDEX(PoderesDeCriatura_Adquiridos,MATCH(P$1987&amp;$A29,Principal!$U$42:$U$69,0))),"",IF(INDEX(Principal!$AO$42:$AO$69,MATCH(P$1987&amp;$A29,Principal!$U$42:$U$69,0))&gt;0,INDEX(Principal!$AF$42:$AF$69,MATCH(P$1987&amp;$A29,Principal!$U$42:$U$69,0)),INDEX(PoderesDeCriatura_Adquiridos,MATCH(P$1987&amp;$A29,Principal!$U$42:$U$69,0))))</f>
        <v/>
      </c>
      <c r="Q2017" s="447" t="str">
        <f t="shared" ref="Q2017" si="370">IF(P2017="","",", "&amp;P2017)</f>
        <v/>
      </c>
      <c r="R2017" s="2173" t="str">
        <f>IF(ISNA(INDEX(PoderesDeCriatura_Adquiridos,MATCH(R$1987&amp;$A29,Principal!$U$42:$U$69,0))),"",IF(INDEX(Principal!$AO$42:$AO$69,MATCH(R$1987&amp;$A29,Principal!$U$42:$U$69,0))&gt;0,INDEX(Principal!$AF$42:$AF$69,MATCH(R$1987&amp;$A29,Principal!$U$42:$U$69,0)),INDEX(PoderesDeCriatura_Adquiridos,MATCH(R$1987&amp;$A29,Principal!$U$42:$U$69,0))))</f>
        <v/>
      </c>
      <c r="S2017" s="447" t="str">
        <f t="shared" ref="S2017" si="371">IF(R2017="","",", "&amp;R2017)</f>
        <v/>
      </c>
      <c r="T2017" s="2173" t="str">
        <f>IF(ISNA(INDEX(PoderesDeCriatura_Adquiridos,MATCH(T$1987&amp;$A29,Principal!$U$42:$U$69,0))),"",IF(INDEX(Principal!$AO$42:$AO$69,MATCH(T$1987&amp;$A29,Principal!$U$42:$U$69,0))&gt;0,INDEX(Principal!$AF$42:$AF$69,MATCH(T$1987&amp;$A29,Principal!$U$42:$U$69,0)),INDEX(PoderesDeCriatura_Adquiridos,MATCH(T$1987&amp;$A29,Principal!$U$42:$U$69,0))))</f>
        <v/>
      </c>
      <c r="U2017" s="447" t="str">
        <f t="shared" ref="U2017" si="372">IF(T2017="","",", "&amp;T2017)</f>
        <v/>
      </c>
      <c r="V2017" s="2173" t="str">
        <f>IF(ISNA(INDEX(PoderesDeCriatura_Adquiridos,MATCH(V$1987&amp;$A29,Principal!$U$42:$U$69,0))),"",IF(INDEX(Principal!$AO$42:$AO$69,MATCH(V$1987&amp;$A29,Principal!$U$42:$U$69,0))&gt;0,INDEX(Principal!$AF$42:$AF$69,MATCH(V$1987&amp;$A29,Principal!$U$42:$U$69,0)),INDEX(PoderesDeCriatura_Adquiridos,MATCH(V$1987&amp;$A29,Principal!$U$42:$U$69,0))))</f>
        <v/>
      </c>
      <c r="W2017" s="447" t="str">
        <f t="shared" ref="W2017" si="373">IF(V2017="","",", "&amp;V2017)</f>
        <v/>
      </c>
      <c r="X2017" s="2173" t="str">
        <f>IF(ISNA(INDEX(PoderesDeCriatura_Adquiridos,MATCH(X$1987&amp;$A29,Principal!$U$42:$U$69,0))),"",IF(INDEX(Principal!$AO$42:$AO$69,MATCH(X$1987&amp;$A29,Principal!$U$42:$U$69,0))&gt;0,INDEX(Principal!$AF$42:$AF$69,MATCH(X$1987&amp;$A29,Principal!$U$42:$U$69,0)),INDEX(PoderesDeCriatura_Adquiridos,MATCH(X$1987&amp;$A29,Principal!$U$42:$U$69,0))))</f>
        <v/>
      </c>
      <c r="Y2017" s="447" t="str">
        <f t="shared" ref="Y2017" si="374">IF(X2017="","",", "&amp;X2017)</f>
        <v/>
      </c>
      <c r="Z2017" s="2173" t="str">
        <f>IF(ISNA(INDEX(PoderesDeCriatura_Adquiridos,MATCH(Z$1987&amp;$A29,Principal!$U$42:$U$69,0))),"",IF(INDEX(Principal!$AO$42:$AO$69,MATCH(Z$1987&amp;$A29,Principal!$U$42:$U$69,0))&gt;0,INDEX(Principal!$AF$42:$AF$69,MATCH(Z$1987&amp;$A29,Principal!$U$42:$U$69,0)),INDEX(PoderesDeCriatura_Adquiridos,MATCH(Z$1987&amp;$A29,Principal!$U$42:$U$69,0))))</f>
        <v/>
      </c>
      <c r="AA2017" s="447" t="str">
        <f t="shared" ref="AA2017" si="375">IF(Z2017="","",", "&amp;Z2017)</f>
        <v/>
      </c>
      <c r="AB2017" s="2173" t="str">
        <f>IF(ISNA(INDEX(PoderesDeCriatura_Adquiridos,MATCH(AB$1987&amp;$A29,Principal!$U$42:$U$69,0))),"",IF(INDEX(Principal!$AO$42:$AO$69,MATCH(AB$1987&amp;$A29,Principal!$U$42:$U$69,0))&gt;0,INDEX(Principal!$AF$42:$AF$69,MATCH(AB$1987&amp;$A29,Principal!$U$42:$U$69,0)),INDEX(PoderesDeCriatura_Adquiridos,MATCH(AB$1987&amp;$A29,Principal!$U$42:$U$69,0))))</f>
        <v/>
      </c>
      <c r="AC2017" s="2179" t="str">
        <f t="shared" ref="AC2017" si="376">IF(AB2017="","",", "&amp;AB2017)</f>
        <v/>
      </c>
      <c r="AD2017" s="2183" t="str">
        <f>IF(OR(AE2017=0,ISNUMBER(MATCH(AE2017,$AE$1990:$AE2016,0))),"",MAX($AD$1989:AD2016)+1)</f>
        <v/>
      </c>
      <c r="AE2017" s="2182">
        <f>Principal!V69</f>
        <v>0</v>
      </c>
    </row>
    <row r="2018" spans="1:31" ht="12.75" customHeight="1" x14ac:dyDescent="0.2">
      <c r="A2018" s="1916">
        <v>2018</v>
      </c>
      <c r="B2018" s="5148"/>
      <c r="C2018" s="2230" t="str">
        <f t="shared" ref="C2018:C2025" si="377">IF(D2018="","",COUNTIF($D$1983:$D$2025,"&lt;="&amp;D2018)-SUMPRODUCT(--($D$1983:$D$2025="")))</f>
        <v/>
      </c>
      <c r="D2018" s="1691" t="str">
        <f>Combate!AB50</f>
        <v/>
      </c>
      <c r="E2018" s="2166" t="str">
        <f t="shared" si="157"/>
        <v/>
      </c>
      <c r="F2018" s="5248"/>
      <c r="H2018" s="5250" t="str">
        <f>I1988&amp;I1989&amp;I1990&amp;I1991&amp;I1992&amp;I1993&amp;I1994&amp;I1995&amp;I1996&amp;I1997&amp;I1998&amp;I1999&amp;I2000&amp;I2001&amp;I2002&amp;I2003&amp;I2004&amp;I2005&amp;I2006&amp;I2007&amp;I2008&amp;I2009&amp;I2010&amp;I2012&amp;I2011&amp;I2013&amp;I2014&amp;I2016&amp;I2015&amp;I2017</f>
        <v/>
      </c>
      <c r="I2018" s="5251"/>
      <c r="J2018" s="5225" t="str">
        <f>IF(J1987="","",J1987&amp;" ("&amp;K1989&amp;K1990&amp;K1991&amp;K1992&amp;K1993&amp;K1994&amp;K1995&amp;K1996&amp;K1997&amp;K1998&amp;K1999&amp;K2000&amp;K2001&amp;K2002&amp;K2003&amp;K2004&amp;K2005&amp;K2006&amp;K2007&amp;K2008&amp;K2009&amp;K2010&amp;K2011&amp;K2012&amp;K2013&amp;K2014&amp;K2015&amp;K2016&amp;K2017&amp;")")</f>
        <v/>
      </c>
      <c r="K2018" s="5225"/>
      <c r="L2018" s="5225" t="str">
        <f>IF(L1987="","",L1987&amp;" ("&amp;M1989&amp;M1990&amp;M1991&amp;M1992&amp;M1993&amp;M1994&amp;M1995&amp;M1996&amp;M1997&amp;M1998&amp;M1999&amp;M2000&amp;M2001&amp;M2002&amp;M2003&amp;M2004&amp;M2005&amp;M2006&amp;M2007&amp;M2008&amp;M2009&amp;M2010&amp;M2011&amp;M2012&amp;M2013&amp;M2014&amp;M2015&amp;M2016&amp;M2017&amp;")")</f>
        <v/>
      </c>
      <c r="M2018" s="5225"/>
      <c r="N2018" s="5225" t="str">
        <f>IF(N1987="","",N1987&amp;" ("&amp;O1989&amp;O1990&amp;O1991&amp;O1992&amp;O1993&amp;O1994&amp;O1995&amp;O1996&amp;O1997&amp;O1998&amp;O1999&amp;O2000&amp;O2001&amp;O2002&amp;O2003&amp;O2004&amp;O2005&amp;O2006&amp;O2007&amp;O2008&amp;O2009&amp;O2010&amp;O2011&amp;O2012&amp;O2013&amp;O2014&amp;O2015&amp;O2016&amp;O2017&amp;")")</f>
        <v/>
      </c>
      <c r="O2018" s="5225"/>
      <c r="P2018" s="5225" t="str">
        <f>IF(P1987="","",P1987&amp;" ("&amp;Q1989&amp;Q1990&amp;Q1991&amp;Q1992&amp;Q1993&amp;Q1994&amp;Q1995&amp;Q1996&amp;Q1997&amp;Q1998&amp;Q1999&amp;Q2000&amp;Q2001&amp;Q2002&amp;Q2003&amp;Q2004&amp;Q2005&amp;Q2006&amp;Q2007&amp;Q2008&amp;Q2009&amp;Q2010&amp;Q2011&amp;Q2012&amp;Q2013&amp;Q2014&amp;Q2015&amp;Q2016&amp;Q2017&amp;")")</f>
        <v/>
      </c>
      <c r="Q2018" s="5225"/>
      <c r="R2018" s="5225" t="str">
        <f>IF(R1987="","",R1987&amp;" ("&amp;S1989&amp;S1990&amp;S1991&amp;S1992&amp;S1993&amp;S1994&amp;S1995&amp;S1996&amp;S1997&amp;S1998&amp;S1999&amp;S2000&amp;S2001&amp;S2002&amp;S2003&amp;S2004&amp;S2005&amp;S2006&amp;S2007&amp;S2008&amp;S2009&amp;S2010&amp;S2011&amp;S2012&amp;S2013&amp;S2014&amp;S2015&amp;S2016&amp;S2017&amp;")")</f>
        <v/>
      </c>
      <c r="S2018" s="5225"/>
      <c r="T2018" s="5225" t="str">
        <f>IF(T1987="","",T1987&amp;" ("&amp;U1989&amp;U1990&amp;U1991&amp;U1992&amp;U1993&amp;U1994&amp;U1995&amp;U1996&amp;U1997&amp;U1998&amp;U1999&amp;U2000&amp;U2001&amp;U2002&amp;U2003&amp;U2004&amp;U2005&amp;U2006&amp;U2007&amp;U2008&amp;U2009&amp;U2010&amp;U2011&amp;U2012&amp;U2013&amp;U2014&amp;U2015&amp;U2016&amp;U2017&amp;")")</f>
        <v/>
      </c>
      <c r="U2018" s="5225"/>
      <c r="V2018" s="5225" t="str">
        <f>IF(V1987="","",V1987&amp;" ("&amp;W1989&amp;W1990&amp;W1991&amp;W1992&amp;W1993&amp;W1994&amp;W1995&amp;W1996&amp;W1997&amp;W1998&amp;W1999&amp;W2000&amp;W2001&amp;W2002&amp;W2003&amp;W2004&amp;W2005&amp;W2006&amp;W2007&amp;W2008&amp;W2009&amp;W2010&amp;W2011&amp;W2012&amp;W2013&amp;W2014&amp;W2015&amp;W2016&amp;W2017&amp;")")</f>
        <v/>
      </c>
      <c r="W2018" s="5225"/>
      <c r="X2018" s="5225" t="str">
        <f>IF(X1987="","",X1987&amp;" ("&amp;Y1989&amp;Y1990&amp;Y1991&amp;Y1992&amp;Y1993&amp;Y1994&amp;Y1995&amp;Y1996&amp;Y1997&amp;Y1998&amp;Y1999&amp;Y2000&amp;Y2001&amp;Y2002&amp;Y2003&amp;Y2004&amp;Y2005&amp;Y2006&amp;Y2007&amp;Y2008&amp;Y2009&amp;Y2010&amp;Y2011&amp;Y2012&amp;Y2013&amp;Y2014&amp;Y2015&amp;Y2016&amp;Y2017&amp;")")</f>
        <v/>
      </c>
      <c r="Y2018" s="5225"/>
      <c r="Z2018" s="5225"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225"/>
      <c r="AB2018" s="5225"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225"/>
    </row>
    <row r="2019" spans="1:31" ht="12.75" customHeight="1" x14ac:dyDescent="0.2">
      <c r="A2019" s="1916">
        <v>2019</v>
      </c>
      <c r="B2019" s="5148"/>
      <c r="C2019" s="2230" t="str">
        <f t="shared" si="377"/>
        <v/>
      </c>
      <c r="D2019" s="1691" t="str">
        <f>Combate!AB51</f>
        <v/>
      </c>
      <c r="E2019" s="2166" t="str">
        <f t="shared" si="157"/>
        <v/>
      </c>
      <c r="F2019" s="5248"/>
      <c r="H2019" s="5250"/>
      <c r="I2019" s="5251"/>
      <c r="J2019" s="5256" t="str">
        <f>J2018&amp;IF(L2018="","",", "&amp;L2018)&amp;IF(N2018="","",", "&amp;N2018)&amp;IF(P2018="","",", "&amp;P2018)&amp;IF(R2018="","",", "&amp;R2018)&amp;IF(T2018="","",", "&amp;T2018)&amp;IF(V2018="","",", "&amp;V2018)&amp;IF(X2018="","",", "&amp;X2018)&amp;IF(Z2018="","",", "&amp;Z2018)&amp;IF(AB2018="","",", "&amp;AB2018)</f>
        <v/>
      </c>
      <c r="K2019" s="5256"/>
      <c r="L2019" s="5256"/>
      <c r="M2019" s="5256"/>
      <c r="N2019" s="5256"/>
      <c r="O2019" s="5256"/>
      <c r="P2019" s="5256"/>
      <c r="Q2019" s="5256"/>
      <c r="R2019" s="5256"/>
      <c r="S2019" s="5256"/>
      <c r="T2019" s="5256"/>
      <c r="U2019" s="5256"/>
      <c r="V2019" s="5256"/>
      <c r="W2019" s="5256"/>
      <c r="X2019" s="5256"/>
      <c r="Y2019" s="5256"/>
      <c r="Z2019" s="5256"/>
      <c r="AA2019" s="5256"/>
      <c r="AB2019" s="5256"/>
      <c r="AC2019" s="5257"/>
    </row>
    <row r="2020" spans="1:31" ht="12.75" customHeight="1" x14ac:dyDescent="0.2">
      <c r="A2020" s="1916">
        <v>2020</v>
      </c>
      <c r="B2020" s="5148"/>
      <c r="C2020" s="2230" t="str">
        <f t="shared" si="377"/>
        <v/>
      </c>
      <c r="D2020" s="1691" t="str">
        <f>Combate!AB52</f>
        <v/>
      </c>
      <c r="E2020" s="2166" t="str">
        <f t="shared" si="157"/>
        <v/>
      </c>
      <c r="F2020" s="5248"/>
      <c r="H2020" s="5242" t="str">
        <f>J2019&amp;IF(J2019="",H2018,", "&amp;H2018)</f>
        <v/>
      </c>
      <c r="I2020" s="5243"/>
      <c r="J2020" s="5243"/>
      <c r="K2020" s="5243"/>
      <c r="L2020" s="5243"/>
      <c r="M2020" s="5243"/>
      <c r="N2020" s="5243"/>
      <c r="O2020" s="5243"/>
      <c r="P2020" s="5243"/>
      <c r="Q2020" s="5243"/>
      <c r="R2020" s="5243"/>
      <c r="S2020" s="5243"/>
      <c r="T2020" s="5243"/>
      <c r="U2020" s="5243"/>
      <c r="V2020" s="5243"/>
      <c r="W2020" s="5243"/>
      <c r="X2020" s="5243"/>
      <c r="Y2020" s="5243"/>
      <c r="Z2020" s="5243"/>
      <c r="AA2020" s="5243"/>
      <c r="AB2020" s="5243"/>
      <c r="AC2020" s="5244"/>
    </row>
    <row r="2021" spans="1:31" ht="12.75" customHeight="1" thickBot="1" x14ac:dyDescent="0.25">
      <c r="A2021" s="1916">
        <v>2021</v>
      </c>
      <c r="B2021" s="5148"/>
      <c r="C2021" s="2230" t="str">
        <f t="shared" si="377"/>
        <v/>
      </c>
      <c r="D2021" s="1988" t="str">
        <f>Combate!AB55</f>
        <v/>
      </c>
      <c r="E2021" s="2166" t="str">
        <f t="shared" si="157"/>
        <v/>
      </c>
      <c r="F2021" s="5248"/>
      <c r="H2021" s="5245"/>
      <c r="I2021" s="5246"/>
      <c r="J2021" s="5246"/>
      <c r="K2021" s="5246"/>
      <c r="L2021" s="5246"/>
      <c r="M2021" s="5246"/>
      <c r="N2021" s="5246"/>
      <c r="O2021" s="5246"/>
      <c r="P2021" s="5246"/>
      <c r="Q2021" s="5246"/>
      <c r="R2021" s="5246"/>
      <c r="S2021" s="5246"/>
      <c r="T2021" s="5246"/>
      <c r="U2021" s="5246"/>
      <c r="V2021" s="5246"/>
      <c r="W2021" s="5246"/>
      <c r="X2021" s="5246"/>
      <c r="Y2021" s="5246"/>
      <c r="Z2021" s="5246"/>
      <c r="AA2021" s="5246"/>
      <c r="AB2021" s="5246"/>
      <c r="AC2021" s="5247"/>
    </row>
    <row r="2022" spans="1:31" ht="12.75" customHeight="1" x14ac:dyDescent="0.2">
      <c r="A2022" s="1916">
        <v>2022</v>
      </c>
      <c r="B2022" s="5148"/>
      <c r="C2022" s="2230" t="str">
        <f t="shared" si="377"/>
        <v/>
      </c>
      <c r="D2022" s="1691" t="str">
        <f>Combate!AB57</f>
        <v/>
      </c>
      <c r="E2022" s="2166" t="str">
        <f t="shared" si="157"/>
        <v/>
      </c>
      <c r="F2022" s="5248"/>
      <c r="H2022" s="2174"/>
      <c r="I2022" s="2174"/>
      <c r="J2022" s="2174"/>
      <c r="K2022" s="2174"/>
      <c r="L2022" s="2174"/>
      <c r="M2022" s="2174"/>
      <c r="N2022" s="2174"/>
      <c r="O2022" s="2174"/>
      <c r="P2022" s="2174"/>
      <c r="Q2022" s="2174"/>
      <c r="R2022" s="2174"/>
      <c r="S2022" s="2174"/>
      <c r="T2022" s="2174"/>
      <c r="AB2022" s="363"/>
      <c r="AC2022" s="2563"/>
    </row>
    <row r="2023" spans="1:31" ht="12.75" customHeight="1" x14ac:dyDescent="0.2">
      <c r="A2023" s="1916">
        <v>2023</v>
      </c>
      <c r="B2023" s="5148"/>
      <c r="C2023" s="2230" t="str">
        <f t="shared" si="377"/>
        <v/>
      </c>
      <c r="D2023" s="1691" t="str">
        <f>Combate!AB59</f>
        <v/>
      </c>
      <c r="E2023" s="2166" t="str">
        <f t="shared" si="157"/>
        <v/>
      </c>
      <c r="F2023" s="5248"/>
      <c r="H2023" s="2174"/>
      <c r="I2023" s="2174"/>
      <c r="J2023" s="2174"/>
      <c r="K2023" s="2174"/>
      <c r="L2023" s="2174"/>
      <c r="M2023" s="2174"/>
      <c r="N2023" s="2174"/>
      <c r="O2023" s="2174"/>
      <c r="P2023" s="2174"/>
      <c r="Q2023" s="2174"/>
      <c r="R2023" s="2174"/>
      <c r="S2023" s="2174"/>
      <c r="T2023" s="2174"/>
      <c r="AB2023" s="363"/>
      <c r="AC2023" s="2563"/>
    </row>
    <row r="2024" spans="1:31" ht="12.75" customHeight="1" x14ac:dyDescent="0.2">
      <c r="A2024" s="1916">
        <v>2024</v>
      </c>
      <c r="B2024" s="5148"/>
      <c r="C2024" s="2230" t="str">
        <f t="shared" si="377"/>
        <v/>
      </c>
      <c r="D2024" s="1691" t="str">
        <f>Combate!AB61</f>
        <v/>
      </c>
      <c r="E2024" s="2166" t="str">
        <f t="shared" si="157"/>
        <v/>
      </c>
      <c r="F2024" s="5248"/>
      <c r="H2024" s="363"/>
      <c r="I2024" s="1653"/>
      <c r="N2024" s="363"/>
      <c r="O2024" s="1999"/>
      <c r="AB2024" s="363"/>
      <c r="AC2024" s="2563"/>
    </row>
    <row r="2025" spans="1:31" ht="12.75" customHeight="1" thickBot="1" x14ac:dyDescent="0.25">
      <c r="A2025" s="1916">
        <v>2025</v>
      </c>
      <c r="B2025" s="5148"/>
      <c r="C2025" s="2232" t="str">
        <f t="shared" si="377"/>
        <v/>
      </c>
      <c r="D2025" s="1692" t="str">
        <f>Combate!AB63</f>
        <v/>
      </c>
      <c r="E2025" s="2167" t="str">
        <f t="shared" si="157"/>
        <v/>
      </c>
      <c r="F2025" s="5249"/>
      <c r="H2025" s="363"/>
      <c r="I2025" s="1653"/>
      <c r="N2025" s="363"/>
      <c r="O2025" s="1999"/>
      <c r="AB2025" s="363"/>
      <c r="AC2025" s="2563"/>
    </row>
    <row r="2026" spans="1:31" ht="12.75" customHeight="1" x14ac:dyDescent="0.2">
      <c r="A2026" s="1916"/>
    </row>
    <row r="2027" spans="1:31" ht="12.75" customHeight="1" x14ac:dyDescent="0.2">
      <c r="A2027" s="1916"/>
    </row>
    <row r="2028" spans="1:31" ht="12.75" customHeight="1" x14ac:dyDescent="0.2">
      <c r="A2028" s="1916"/>
    </row>
    <row r="2029" spans="1:31" ht="12.75" customHeight="1" x14ac:dyDescent="0.2">
      <c r="A2029" s="1916"/>
    </row>
    <row r="2030" spans="1:31" ht="12.75" customHeight="1" x14ac:dyDescent="0.2">
      <c r="A2030" s="1916"/>
    </row>
    <row r="2031" spans="1:31" ht="12.75" customHeight="1" x14ac:dyDescent="0.2">
      <c r="A2031" s="1916"/>
    </row>
    <row r="2032" spans="1:31" ht="12.75" customHeight="1" x14ac:dyDescent="0.2">
      <c r="A2032" s="1916"/>
    </row>
    <row r="2033" spans="1:1" ht="12.75" customHeight="1" x14ac:dyDescent="0.2">
      <c r="A2033" s="1916"/>
    </row>
    <row r="2034" spans="1:1" ht="12.75" customHeight="1" x14ac:dyDescent="0.2">
      <c r="A2034" s="1916"/>
    </row>
    <row r="2035" spans="1:1" ht="12.75" customHeight="1" x14ac:dyDescent="0.2">
      <c r="A2035" s="1916"/>
    </row>
    <row r="2036" spans="1:1" ht="12.75" customHeight="1" x14ac:dyDescent="0.2">
      <c r="A2036" s="1916"/>
    </row>
    <row r="2037" spans="1:1" ht="12.75" customHeight="1" x14ac:dyDescent="0.2">
      <c r="A2037" s="1916"/>
    </row>
    <row r="2038" spans="1:1" ht="12.75" customHeight="1" x14ac:dyDescent="0.2">
      <c r="A2038" s="1916"/>
    </row>
    <row r="2039" spans="1:1" ht="12.75" customHeight="1" x14ac:dyDescent="0.2">
      <c r="A2039" s="1916"/>
    </row>
    <row r="2040" spans="1:1" ht="12.75" customHeight="1" x14ac:dyDescent="0.2">
      <c r="A2040" s="1916"/>
    </row>
    <row r="2041" spans="1:1" ht="12.75" customHeight="1" x14ac:dyDescent="0.2">
      <c r="A2041" s="1916"/>
    </row>
    <row r="2042" spans="1:1" ht="12.75" customHeight="1" x14ac:dyDescent="0.2">
      <c r="A2042" s="1916"/>
    </row>
    <row r="2043" spans="1:1" ht="12.75" customHeight="1" x14ac:dyDescent="0.2">
      <c r="A2043" s="1916"/>
    </row>
    <row r="2044" spans="1:1" ht="12.75" customHeight="1" x14ac:dyDescent="0.2">
      <c r="A2044" s="1916"/>
    </row>
    <row r="2045" spans="1:1" ht="12.75" customHeight="1" x14ac:dyDescent="0.2">
      <c r="A2045" s="1916"/>
    </row>
    <row r="2046" spans="1:1" ht="12.75" customHeight="1" x14ac:dyDescent="0.2">
      <c r="A2046" s="1916"/>
    </row>
    <row r="2047" spans="1:1" ht="12.75" customHeight="1" x14ac:dyDescent="0.2">
      <c r="A2047" s="1916"/>
    </row>
    <row r="2048" spans="1:1" ht="12.75" customHeight="1" x14ac:dyDescent="0.2">
      <c r="A2048" s="1916"/>
    </row>
    <row r="2049" spans="1:1" ht="12.75" customHeight="1" x14ac:dyDescent="0.2">
      <c r="A2049" s="1916"/>
    </row>
    <row r="2050" spans="1:1" ht="12.75" customHeight="1" x14ac:dyDescent="0.2">
      <c r="A2050" s="1916"/>
    </row>
    <row r="2051" spans="1:1" ht="12.75" customHeight="1" x14ac:dyDescent="0.2">
      <c r="A2051" s="1916"/>
    </row>
    <row r="2052" spans="1:1" ht="12.75" customHeight="1" x14ac:dyDescent="0.2">
      <c r="A2052" s="1916"/>
    </row>
    <row r="2053" spans="1:1" ht="12.75" customHeight="1" x14ac:dyDescent="0.2">
      <c r="A2053" s="1916"/>
    </row>
    <row r="2054" spans="1:1" ht="12.75" customHeight="1" x14ac:dyDescent="0.2">
      <c r="A2054" s="1916"/>
    </row>
    <row r="2055" spans="1:1" ht="12.75" customHeight="1" x14ac:dyDescent="0.2">
      <c r="A2055" s="1916"/>
    </row>
    <row r="2056" spans="1:1" ht="12.75" customHeight="1" x14ac:dyDescent="0.2">
      <c r="A2056" s="1916"/>
    </row>
    <row r="2057" spans="1:1" ht="12.75" customHeight="1" x14ac:dyDescent="0.2">
      <c r="A2057" s="1916"/>
    </row>
    <row r="2058" spans="1:1" ht="12.75" customHeight="1" x14ac:dyDescent="0.2">
      <c r="A2058" s="1916"/>
    </row>
    <row r="2059" spans="1:1" ht="12.75" customHeight="1" x14ac:dyDescent="0.2">
      <c r="A2059" s="1916"/>
    </row>
    <row r="2060" spans="1:1" ht="12.75" customHeight="1" x14ac:dyDescent="0.2">
      <c r="A2060" s="1916"/>
    </row>
    <row r="2061" spans="1:1" ht="12.75" customHeight="1" x14ac:dyDescent="0.2">
      <c r="A2061" s="1916"/>
    </row>
    <row r="2062" spans="1:1" ht="12.75" customHeight="1" x14ac:dyDescent="0.2">
      <c r="A2062" s="1916"/>
    </row>
    <row r="2063" spans="1:1" ht="12.75" customHeight="1" x14ac:dyDescent="0.2">
      <c r="A2063" s="1916"/>
    </row>
    <row r="2064" spans="1:1" ht="12.75" customHeight="1" x14ac:dyDescent="0.2">
      <c r="A2064" s="1916"/>
    </row>
    <row r="2065" spans="1:1" ht="12.75" customHeight="1" x14ac:dyDescent="0.2">
      <c r="A2065" s="1916"/>
    </row>
    <row r="2066" spans="1:1" ht="12.75" customHeight="1" x14ac:dyDescent="0.2">
      <c r="A2066" s="1916"/>
    </row>
    <row r="2067" spans="1:1" ht="12.75" customHeight="1" x14ac:dyDescent="0.2">
      <c r="A2067" s="1916"/>
    </row>
    <row r="2068" spans="1:1" ht="12.75" customHeight="1" x14ac:dyDescent="0.2">
      <c r="A2068" s="1916"/>
    </row>
    <row r="2069" spans="1:1" ht="12.75" customHeight="1" x14ac:dyDescent="0.2">
      <c r="A2069" s="1916"/>
    </row>
    <row r="2070" spans="1:1" ht="12.75" customHeight="1" x14ac:dyDescent="0.2">
      <c r="A2070" s="1916"/>
    </row>
    <row r="2071" spans="1:1" ht="12.75" customHeight="1" x14ac:dyDescent="0.2">
      <c r="A2071" s="1916"/>
    </row>
    <row r="2072" spans="1:1" ht="12.75" customHeight="1" x14ac:dyDescent="0.2">
      <c r="A2072" s="1916"/>
    </row>
    <row r="2073" spans="1:1" ht="12.75" customHeight="1" x14ac:dyDescent="0.2">
      <c r="A2073" s="1916"/>
    </row>
    <row r="2074" spans="1:1" ht="12.75" customHeight="1" x14ac:dyDescent="0.2">
      <c r="A2074" s="1916"/>
    </row>
    <row r="2075" spans="1:1" ht="12.75" customHeight="1" x14ac:dyDescent="0.2">
      <c r="A2075" s="1916"/>
    </row>
    <row r="2076" spans="1:1" ht="12.75" customHeight="1" x14ac:dyDescent="0.2">
      <c r="A2076" s="1916"/>
    </row>
    <row r="2077" spans="1:1" ht="12.75" customHeight="1" x14ac:dyDescent="0.2">
      <c r="A2077" s="1916"/>
    </row>
    <row r="2078" spans="1:1" ht="12.75" customHeight="1" x14ac:dyDescent="0.2">
      <c r="A2078" s="1916"/>
    </row>
    <row r="2079" spans="1:1" ht="12.75" customHeight="1" x14ac:dyDescent="0.2">
      <c r="A2079" s="1916"/>
    </row>
    <row r="2080" spans="1:1" ht="12.75" customHeight="1" x14ac:dyDescent="0.2">
      <c r="A2080" s="1916"/>
    </row>
    <row r="2081" spans="1:1" ht="12.75" customHeight="1" x14ac:dyDescent="0.2">
      <c r="A2081" s="1916"/>
    </row>
    <row r="2082" spans="1:1" ht="12.75" customHeight="1" x14ac:dyDescent="0.2">
      <c r="A2082" s="1916"/>
    </row>
    <row r="2083" spans="1:1" ht="12.75" customHeight="1" x14ac:dyDescent="0.2">
      <c r="A2083" s="1916"/>
    </row>
    <row r="2084" spans="1:1" ht="12.75" customHeight="1" x14ac:dyDescent="0.2">
      <c r="A2084" s="1916"/>
    </row>
    <row r="2085" spans="1:1" ht="12.75" customHeight="1" x14ac:dyDescent="0.2">
      <c r="A2085" s="1916"/>
    </row>
    <row r="2086" spans="1:1" ht="12.75" customHeight="1" x14ac:dyDescent="0.2">
      <c r="A2086" s="1916"/>
    </row>
    <row r="2087" spans="1:1" ht="12.75" customHeight="1" x14ac:dyDescent="0.2">
      <c r="A2087" s="1916"/>
    </row>
    <row r="2088" spans="1:1" ht="12.75" customHeight="1" x14ac:dyDescent="0.2">
      <c r="A2088" s="1916"/>
    </row>
    <row r="2089" spans="1:1" ht="12.75" customHeight="1" x14ac:dyDescent="0.2">
      <c r="A2089" s="1916"/>
    </row>
    <row r="2090" spans="1:1" ht="12.75" customHeight="1" x14ac:dyDescent="0.2">
      <c r="A2090" s="1916"/>
    </row>
    <row r="2091" spans="1:1" ht="12.75" customHeight="1" x14ac:dyDescent="0.2">
      <c r="A2091" s="1916"/>
    </row>
    <row r="2092" spans="1:1" ht="12.75" customHeight="1" x14ac:dyDescent="0.2">
      <c r="A2092" s="1916"/>
    </row>
    <row r="2093" spans="1:1" ht="12.75" customHeight="1" x14ac:dyDescent="0.2">
      <c r="A2093" s="1916"/>
    </row>
    <row r="2094" spans="1:1" ht="12.75" customHeight="1" x14ac:dyDescent="0.2">
      <c r="A2094" s="1916"/>
    </row>
    <row r="2095" spans="1:1" ht="12.75" customHeight="1" x14ac:dyDescent="0.2">
      <c r="A2095" s="1916"/>
    </row>
    <row r="2096" spans="1:1" ht="12.75" customHeight="1" x14ac:dyDescent="0.2">
      <c r="A2096" s="1916"/>
    </row>
    <row r="2097" spans="1:1" ht="12.75" customHeight="1" x14ac:dyDescent="0.2">
      <c r="A2097" s="1916"/>
    </row>
    <row r="2098" spans="1:1" ht="12.75" customHeight="1" x14ac:dyDescent="0.2">
      <c r="A2098" s="1916"/>
    </row>
    <row r="2099" spans="1:1" ht="12.75" customHeight="1" x14ac:dyDescent="0.2">
      <c r="A2099" s="1916"/>
    </row>
    <row r="2100" spans="1:1" ht="12.75" customHeight="1" x14ac:dyDescent="0.2">
      <c r="A2100" s="1916"/>
    </row>
    <row r="2101" spans="1:1" ht="12.75" customHeight="1" x14ac:dyDescent="0.2">
      <c r="A2101" s="1916"/>
    </row>
    <row r="2102" spans="1:1" ht="12.75" customHeight="1" x14ac:dyDescent="0.2">
      <c r="A2102" s="1916"/>
    </row>
    <row r="2103" spans="1:1" ht="12.75" customHeight="1" x14ac:dyDescent="0.2">
      <c r="A2103" s="1916"/>
    </row>
    <row r="2104" spans="1:1" ht="12.75" customHeight="1" x14ac:dyDescent="0.2">
      <c r="A2104" s="1916"/>
    </row>
    <row r="2105" spans="1:1" ht="12.75" customHeight="1" x14ac:dyDescent="0.2">
      <c r="A2105" s="1916"/>
    </row>
    <row r="2106" spans="1:1" ht="12.75" customHeight="1" x14ac:dyDescent="0.2">
      <c r="A2106" s="1916"/>
    </row>
    <row r="2107" spans="1:1" ht="12.75" customHeight="1" x14ac:dyDescent="0.2">
      <c r="A2107" s="1916"/>
    </row>
    <row r="2108" spans="1:1" ht="12.75" customHeight="1" x14ac:dyDescent="0.2">
      <c r="A2108" s="1916"/>
    </row>
    <row r="2109" spans="1:1" ht="12.75" customHeight="1" x14ac:dyDescent="0.2">
      <c r="A2109" s="1916"/>
    </row>
    <row r="2110" spans="1:1" ht="12.75" customHeight="1" x14ac:dyDescent="0.2">
      <c r="A2110" s="1916"/>
    </row>
    <row r="2111" spans="1:1" ht="12.75" customHeight="1" x14ac:dyDescent="0.2">
      <c r="A2111" s="1916"/>
    </row>
    <row r="2112" spans="1:1" ht="12.75" customHeight="1" x14ac:dyDescent="0.2">
      <c r="A2112" s="1916"/>
    </row>
    <row r="2113" spans="1:1" ht="12.75" customHeight="1" x14ac:dyDescent="0.2">
      <c r="A2113" s="1916"/>
    </row>
    <row r="2114" spans="1:1" ht="12.75" customHeight="1" x14ac:dyDescent="0.2">
      <c r="A2114" s="1916"/>
    </row>
    <row r="2115" spans="1:1" ht="12.75" customHeight="1" x14ac:dyDescent="0.2">
      <c r="A2115" s="1916"/>
    </row>
    <row r="2116" spans="1:1" ht="12.75" customHeight="1" x14ac:dyDescent="0.2">
      <c r="A2116" s="1916"/>
    </row>
    <row r="2117" spans="1:1" ht="12.75" customHeight="1" x14ac:dyDescent="0.2">
      <c r="A2117" s="1916"/>
    </row>
    <row r="2118" spans="1:1" ht="12.75" customHeight="1" x14ac:dyDescent="0.2">
      <c r="A2118" s="1916"/>
    </row>
    <row r="2119" spans="1:1" ht="12.75" customHeight="1" x14ac:dyDescent="0.2">
      <c r="A2119" s="1916"/>
    </row>
    <row r="2120" spans="1:1" ht="12.75" customHeight="1" x14ac:dyDescent="0.2">
      <c r="A2120" s="1916"/>
    </row>
    <row r="2121" spans="1:1" ht="12.75" customHeight="1" x14ac:dyDescent="0.2">
      <c r="A2121" s="1916"/>
    </row>
    <row r="2122" spans="1:1" ht="12.75" customHeight="1" x14ac:dyDescent="0.2">
      <c r="A2122" s="1916"/>
    </row>
    <row r="2123" spans="1:1" ht="12.75" customHeight="1" x14ac:dyDescent="0.2">
      <c r="A2123" s="1916"/>
    </row>
    <row r="2124" spans="1:1" ht="12.75" customHeight="1" x14ac:dyDescent="0.2">
      <c r="A2124" s="1916"/>
    </row>
    <row r="2125" spans="1:1" ht="12.75" customHeight="1" x14ac:dyDescent="0.2">
      <c r="A2125" s="1916"/>
    </row>
    <row r="2126" spans="1:1" ht="12.75" customHeight="1" x14ac:dyDescent="0.2">
      <c r="A2126" s="1916"/>
    </row>
    <row r="2127" spans="1:1" ht="12.75" customHeight="1" x14ac:dyDescent="0.2">
      <c r="A2127" s="1916"/>
    </row>
    <row r="2128" spans="1:1" ht="12.75" customHeight="1" x14ac:dyDescent="0.2">
      <c r="A2128" s="1916"/>
    </row>
    <row r="2129" spans="1:1" ht="12.75" customHeight="1" x14ac:dyDescent="0.2">
      <c r="A2129" s="1916"/>
    </row>
    <row r="2130" spans="1:1" ht="12.75" customHeight="1" x14ac:dyDescent="0.2">
      <c r="A2130" s="1916"/>
    </row>
    <row r="2131" spans="1:1" ht="12.75" customHeight="1" x14ac:dyDescent="0.2">
      <c r="A2131" s="1916"/>
    </row>
    <row r="2132" spans="1:1" ht="12.75" customHeight="1" x14ac:dyDescent="0.2">
      <c r="A2132" s="1916"/>
    </row>
    <row r="2133" spans="1:1" ht="12.75" customHeight="1" x14ac:dyDescent="0.2">
      <c r="A2133" s="1916"/>
    </row>
    <row r="2134" spans="1:1" ht="12.75" customHeight="1" x14ac:dyDescent="0.2">
      <c r="A2134" s="1916"/>
    </row>
    <row r="2135" spans="1:1" ht="12.75" customHeight="1" x14ac:dyDescent="0.2">
      <c r="A2135" s="1916"/>
    </row>
    <row r="2136" spans="1:1" ht="12.75" customHeight="1" x14ac:dyDescent="0.2">
      <c r="A2136" s="1916"/>
    </row>
    <row r="2137" spans="1:1" ht="12.75" customHeight="1" x14ac:dyDescent="0.2">
      <c r="A2137" s="1916"/>
    </row>
    <row r="2138" spans="1:1" ht="12.75" customHeight="1" x14ac:dyDescent="0.2">
      <c r="A2138" s="1916"/>
    </row>
    <row r="2139" spans="1:1" ht="12.75" customHeight="1" x14ac:dyDescent="0.2">
      <c r="A2139" s="1916"/>
    </row>
    <row r="2140" spans="1:1" ht="12.75" customHeight="1" x14ac:dyDescent="0.2">
      <c r="A2140" s="1916"/>
    </row>
    <row r="2141" spans="1:1" ht="12.75" customHeight="1" x14ac:dyDescent="0.2">
      <c r="A2141" s="1916"/>
    </row>
    <row r="2142" spans="1:1" ht="12.75" customHeight="1" x14ac:dyDescent="0.2">
      <c r="A2142" s="1916"/>
    </row>
    <row r="2143" spans="1:1" ht="12.75" customHeight="1" x14ac:dyDescent="0.2">
      <c r="A2143" s="1916"/>
    </row>
    <row r="2144" spans="1:1" ht="12.75" customHeight="1" x14ac:dyDescent="0.2">
      <c r="A2144" s="1916"/>
    </row>
    <row r="2145" spans="1:1" ht="12.75" customHeight="1" x14ac:dyDescent="0.2">
      <c r="A2145" s="1916"/>
    </row>
    <row r="2146" spans="1:1" ht="12.75" customHeight="1" x14ac:dyDescent="0.2">
      <c r="A2146" s="1916"/>
    </row>
    <row r="2147" spans="1:1" ht="12.75" customHeight="1" x14ac:dyDescent="0.2">
      <c r="A2147" s="1916"/>
    </row>
    <row r="2148" spans="1:1" ht="12.75" customHeight="1" x14ac:dyDescent="0.2">
      <c r="A2148" s="1916"/>
    </row>
    <row r="2149" spans="1:1" ht="12.75" customHeight="1" x14ac:dyDescent="0.2">
      <c r="A2149" s="1916"/>
    </row>
    <row r="2150" spans="1:1" ht="12.75" customHeight="1" x14ac:dyDescent="0.2">
      <c r="A2150" s="1916"/>
    </row>
    <row r="2151" spans="1:1" ht="12.75" customHeight="1" x14ac:dyDescent="0.2">
      <c r="A2151" s="1916"/>
    </row>
    <row r="2152" spans="1:1" ht="12.75" customHeight="1" x14ac:dyDescent="0.2">
      <c r="A2152" s="1916"/>
    </row>
    <row r="2153" spans="1:1" ht="12.75" customHeight="1" x14ac:dyDescent="0.2">
      <c r="A2153" s="1916"/>
    </row>
    <row r="2154" spans="1:1" ht="12.75" customHeight="1" x14ac:dyDescent="0.2">
      <c r="A2154" s="1916"/>
    </row>
    <row r="2155" spans="1:1" ht="12.75" customHeight="1" x14ac:dyDescent="0.2">
      <c r="A2155" s="1916"/>
    </row>
    <row r="2156" spans="1:1" ht="12.75" customHeight="1" x14ac:dyDescent="0.2">
      <c r="A2156" s="1916"/>
    </row>
    <row r="2157" spans="1:1" ht="12.75" customHeight="1" x14ac:dyDescent="0.2">
      <c r="A2157" s="1916"/>
    </row>
    <row r="2158" spans="1:1" ht="12.75" customHeight="1" x14ac:dyDescent="0.2">
      <c r="A2158" s="1916"/>
    </row>
    <row r="2159" spans="1:1" ht="12.75" customHeight="1" x14ac:dyDescent="0.2">
      <c r="A2159" s="1916"/>
    </row>
    <row r="2160" spans="1:1" ht="12.75" customHeight="1" x14ac:dyDescent="0.2">
      <c r="A2160" s="1916"/>
    </row>
    <row r="2161" spans="1:1" ht="12.75" customHeight="1" x14ac:dyDescent="0.2">
      <c r="A2161" s="1916"/>
    </row>
    <row r="2162" spans="1:1" ht="12.75" customHeight="1" x14ac:dyDescent="0.2">
      <c r="A2162" s="1916"/>
    </row>
    <row r="2163" spans="1:1" ht="12.75" customHeight="1" x14ac:dyDescent="0.2">
      <c r="A2163" s="1916"/>
    </row>
    <row r="2164" spans="1:1" ht="12.75" customHeight="1" x14ac:dyDescent="0.2">
      <c r="A2164" s="1916"/>
    </row>
    <row r="2165" spans="1:1" ht="12.75" customHeight="1" x14ac:dyDescent="0.2">
      <c r="A2165" s="1916"/>
    </row>
    <row r="2166" spans="1:1" ht="12.75" customHeight="1" x14ac:dyDescent="0.2">
      <c r="A2166" s="1916"/>
    </row>
    <row r="2167" spans="1:1" ht="12.75" customHeight="1" x14ac:dyDescent="0.2">
      <c r="A2167" s="1916"/>
    </row>
    <row r="2168" spans="1:1" ht="12.75" customHeight="1" x14ac:dyDescent="0.2">
      <c r="A2168" s="1916"/>
    </row>
    <row r="2169" spans="1:1" ht="12.75" customHeight="1" x14ac:dyDescent="0.2">
      <c r="A2169" s="1916"/>
    </row>
    <row r="2170" spans="1:1" ht="12.75" customHeight="1" x14ac:dyDescent="0.2">
      <c r="A2170" s="1916"/>
    </row>
    <row r="2171" spans="1:1" ht="12.75" customHeight="1" x14ac:dyDescent="0.2">
      <c r="A2171" s="1916"/>
    </row>
    <row r="2172" spans="1:1" ht="12.75" customHeight="1" x14ac:dyDescent="0.2">
      <c r="A2172" s="1916"/>
    </row>
    <row r="2173" spans="1:1" ht="12.75" customHeight="1" x14ac:dyDescent="0.2">
      <c r="A2173" s="1916"/>
    </row>
    <row r="2174" spans="1:1" ht="12.75" customHeight="1" x14ac:dyDescent="0.2">
      <c r="A2174" s="1916"/>
    </row>
    <row r="2175" spans="1:1" ht="12.75" customHeight="1" x14ac:dyDescent="0.2">
      <c r="A2175" s="1916"/>
    </row>
    <row r="2176" spans="1:1" ht="12.75" customHeight="1" x14ac:dyDescent="0.2">
      <c r="A2176" s="1916"/>
    </row>
    <row r="2177" spans="1:1" ht="12.75" customHeight="1" x14ac:dyDescent="0.2">
      <c r="A2177" s="1916"/>
    </row>
    <row r="2178" spans="1:1" ht="12.75" customHeight="1" x14ac:dyDescent="0.2">
      <c r="A2178" s="1916"/>
    </row>
    <row r="2179" spans="1:1" ht="12.75" customHeight="1" x14ac:dyDescent="0.2">
      <c r="A2179" s="1916"/>
    </row>
    <row r="2180" spans="1:1" ht="12.75" customHeight="1" x14ac:dyDescent="0.2">
      <c r="A2180" s="1916"/>
    </row>
    <row r="2181" spans="1:1" ht="12.75" customHeight="1" x14ac:dyDescent="0.2">
      <c r="A2181" s="1916"/>
    </row>
    <row r="2182" spans="1:1" ht="12.75" customHeight="1" x14ac:dyDescent="0.2">
      <c r="A2182" s="1916"/>
    </row>
    <row r="2183" spans="1:1" ht="12.75" customHeight="1" x14ac:dyDescent="0.2">
      <c r="A2183" s="1916"/>
    </row>
    <row r="2184" spans="1:1" ht="12.75" customHeight="1" x14ac:dyDescent="0.2">
      <c r="A2184" s="1916"/>
    </row>
    <row r="2185" spans="1:1" ht="12.75" customHeight="1" x14ac:dyDescent="0.2">
      <c r="A2185" s="1916"/>
    </row>
    <row r="2186" spans="1:1" ht="12.75" customHeight="1" x14ac:dyDescent="0.2">
      <c r="A2186" s="1916"/>
    </row>
    <row r="2187" spans="1:1" ht="12.75" customHeight="1" x14ac:dyDescent="0.2">
      <c r="A2187" s="1916"/>
    </row>
    <row r="2188" spans="1:1" ht="12.75" customHeight="1" x14ac:dyDescent="0.2">
      <c r="A2188" s="1916"/>
    </row>
    <row r="2189" spans="1:1" ht="12.75" customHeight="1" x14ac:dyDescent="0.2">
      <c r="A2189" s="1916"/>
    </row>
    <row r="2190" spans="1:1" ht="12.75" customHeight="1" x14ac:dyDescent="0.2">
      <c r="A2190" s="1916"/>
    </row>
    <row r="2191" spans="1:1" ht="12.75" customHeight="1" x14ac:dyDescent="0.2">
      <c r="A2191" s="1916"/>
    </row>
    <row r="2192" spans="1:1" ht="12.75" customHeight="1" x14ac:dyDescent="0.2">
      <c r="A2192" s="1916"/>
    </row>
    <row r="2193" spans="1:1" ht="12.75" customHeight="1" x14ac:dyDescent="0.2">
      <c r="A2193" s="1916"/>
    </row>
    <row r="2194" spans="1:1" ht="12.75" customHeight="1" x14ac:dyDescent="0.2">
      <c r="A2194" s="1916"/>
    </row>
    <row r="2195" spans="1:1" ht="12.75" customHeight="1" x14ac:dyDescent="0.2">
      <c r="A2195" s="1916"/>
    </row>
    <row r="2196" spans="1:1" ht="12.75" customHeight="1" x14ac:dyDescent="0.2">
      <c r="A2196" s="1916"/>
    </row>
    <row r="2197" spans="1:1" ht="12.75" customHeight="1" x14ac:dyDescent="0.2">
      <c r="A2197" s="1916"/>
    </row>
    <row r="2198" spans="1:1" ht="12.75" customHeight="1" x14ac:dyDescent="0.2">
      <c r="A2198" s="1916"/>
    </row>
    <row r="2199" spans="1:1" ht="12.75" customHeight="1" x14ac:dyDescent="0.2">
      <c r="A2199" s="1916"/>
    </row>
    <row r="2200" spans="1:1" ht="12.75" customHeight="1" x14ac:dyDescent="0.2">
      <c r="A2200" s="1916"/>
    </row>
    <row r="2201" spans="1:1" ht="12.75" customHeight="1" x14ac:dyDescent="0.2">
      <c r="A2201" s="1916"/>
    </row>
    <row r="2202" spans="1:1" ht="12.75" customHeight="1" x14ac:dyDescent="0.2">
      <c r="A2202" s="1916"/>
    </row>
    <row r="2203" spans="1:1" ht="12.75" customHeight="1" x14ac:dyDescent="0.2">
      <c r="A2203" s="1916"/>
    </row>
    <row r="2204" spans="1:1" ht="12.75" customHeight="1" x14ac:dyDescent="0.2">
      <c r="A2204" s="1916"/>
    </row>
    <row r="2205" spans="1:1" ht="12.75" customHeight="1" x14ac:dyDescent="0.2">
      <c r="A2205" s="1916"/>
    </row>
    <row r="2206" spans="1:1" ht="12.75" customHeight="1" x14ac:dyDescent="0.2">
      <c r="A2206" s="1916"/>
    </row>
    <row r="2207" spans="1:1" ht="12.75" customHeight="1" x14ac:dyDescent="0.2">
      <c r="A2207" s="1916"/>
    </row>
    <row r="2208" spans="1:1" ht="12.75" customHeight="1" x14ac:dyDescent="0.2">
      <c r="A2208" s="1916"/>
    </row>
    <row r="2209" spans="1:1" ht="12.75" customHeight="1" x14ac:dyDescent="0.2">
      <c r="A2209" s="1916"/>
    </row>
    <row r="2210" spans="1:1" ht="12.75" customHeight="1" x14ac:dyDescent="0.2">
      <c r="A2210" s="1916"/>
    </row>
    <row r="2211" spans="1:1" ht="12.75" customHeight="1" x14ac:dyDescent="0.2">
      <c r="A2211" s="1916"/>
    </row>
    <row r="2212" spans="1:1" ht="12.75" customHeight="1" x14ac:dyDescent="0.2">
      <c r="A2212" s="1916"/>
    </row>
    <row r="2213" spans="1:1" ht="12.75" customHeight="1" x14ac:dyDescent="0.2">
      <c r="A2213" s="1916"/>
    </row>
    <row r="2214" spans="1:1" ht="12.75" customHeight="1" x14ac:dyDescent="0.2">
      <c r="A2214" s="1916"/>
    </row>
    <row r="2215" spans="1:1" ht="12.75" customHeight="1" x14ac:dyDescent="0.2">
      <c r="A2215" s="1916"/>
    </row>
    <row r="2216" spans="1:1" ht="12.75" customHeight="1" x14ac:dyDescent="0.2">
      <c r="A2216" s="1916"/>
    </row>
    <row r="2217" spans="1:1" ht="12.75" customHeight="1" x14ac:dyDescent="0.2">
      <c r="A2217" s="1916"/>
    </row>
    <row r="2218" spans="1:1" ht="12.75" customHeight="1" x14ac:dyDescent="0.2">
      <c r="A2218" s="1916"/>
    </row>
    <row r="2219" spans="1:1" ht="12.75" customHeight="1" x14ac:dyDescent="0.2">
      <c r="A2219" s="1916"/>
    </row>
    <row r="2220" spans="1:1" ht="12.75" customHeight="1" x14ac:dyDescent="0.2">
      <c r="A2220" s="1916"/>
    </row>
    <row r="2221" spans="1:1" ht="12.75" customHeight="1" x14ac:dyDescent="0.2">
      <c r="A2221" s="1916"/>
    </row>
    <row r="2222" spans="1:1" ht="12.75" customHeight="1" x14ac:dyDescent="0.2">
      <c r="A2222" s="1916"/>
    </row>
    <row r="2223" spans="1:1" ht="12.75" customHeight="1" x14ac:dyDescent="0.2">
      <c r="A2223" s="1916"/>
    </row>
    <row r="2224" spans="1:1" ht="12.75" customHeight="1" x14ac:dyDescent="0.2">
      <c r="A2224" s="1916"/>
    </row>
    <row r="2225" spans="1:1" ht="12.75" customHeight="1" x14ac:dyDescent="0.2">
      <c r="A2225" s="1916"/>
    </row>
    <row r="2226" spans="1:1" ht="12.75" customHeight="1" x14ac:dyDescent="0.2">
      <c r="A2226" s="1916"/>
    </row>
    <row r="2227" spans="1:1" ht="12.75" customHeight="1" x14ac:dyDescent="0.2">
      <c r="A2227" s="1916"/>
    </row>
    <row r="2228" spans="1:1" ht="12.75" customHeight="1" x14ac:dyDescent="0.2">
      <c r="A2228" s="1916"/>
    </row>
    <row r="2229" spans="1:1" ht="12.75" customHeight="1" x14ac:dyDescent="0.2">
      <c r="A2229" s="1916"/>
    </row>
    <row r="2230" spans="1:1" ht="12.75" customHeight="1" x14ac:dyDescent="0.2">
      <c r="A2230" s="1916"/>
    </row>
    <row r="2231" spans="1:1" ht="12.75" customHeight="1" x14ac:dyDescent="0.2">
      <c r="A2231" s="1916"/>
    </row>
    <row r="2232" spans="1:1" ht="12.75" customHeight="1" x14ac:dyDescent="0.2">
      <c r="A2232" s="1916"/>
    </row>
    <row r="2233" spans="1:1" ht="12.75" customHeight="1" x14ac:dyDescent="0.2">
      <c r="A2233" s="1916"/>
    </row>
    <row r="2234" spans="1:1" ht="12.75" customHeight="1" x14ac:dyDescent="0.2">
      <c r="A2234" s="1916"/>
    </row>
    <row r="2235" spans="1:1" ht="12.75" customHeight="1" x14ac:dyDescent="0.2">
      <c r="A2235" s="1916"/>
    </row>
    <row r="2236" spans="1:1" ht="12.75" customHeight="1" x14ac:dyDescent="0.2">
      <c r="A2236" s="1916"/>
    </row>
    <row r="2237" spans="1:1" ht="12.75" customHeight="1" x14ac:dyDescent="0.2">
      <c r="A2237" s="1916"/>
    </row>
    <row r="2238" spans="1:1" ht="12.75" customHeight="1" x14ac:dyDescent="0.2">
      <c r="A2238" s="1916"/>
    </row>
    <row r="2239" spans="1:1" ht="12.75" customHeight="1" x14ac:dyDescent="0.2">
      <c r="A2239" s="1916"/>
    </row>
    <row r="2240" spans="1:1" ht="12.75" customHeight="1" x14ac:dyDescent="0.2">
      <c r="A2240" s="1916"/>
    </row>
    <row r="2241" spans="1:1" ht="12.75" customHeight="1" x14ac:dyDescent="0.2">
      <c r="A2241" s="1916"/>
    </row>
    <row r="2242" spans="1:1" ht="12.75" customHeight="1" x14ac:dyDescent="0.2">
      <c r="A2242" s="1916"/>
    </row>
    <row r="2243" spans="1:1" ht="12.75" customHeight="1" x14ac:dyDescent="0.2">
      <c r="A2243" s="1916"/>
    </row>
    <row r="2244" spans="1:1" ht="12.75" customHeight="1" x14ac:dyDescent="0.2">
      <c r="A2244" s="1916"/>
    </row>
    <row r="2245" spans="1:1" ht="12.75" customHeight="1" x14ac:dyDescent="0.2">
      <c r="A2245" s="1916"/>
    </row>
    <row r="2246" spans="1:1" ht="12.75" customHeight="1" x14ac:dyDescent="0.2">
      <c r="A2246" s="1916"/>
    </row>
    <row r="2247" spans="1:1" ht="12.75" customHeight="1" x14ac:dyDescent="0.2">
      <c r="A2247" s="1916"/>
    </row>
    <row r="2248" spans="1:1" ht="12.75" customHeight="1" x14ac:dyDescent="0.2">
      <c r="A2248" s="1916"/>
    </row>
    <row r="2249" spans="1:1" ht="12.75" customHeight="1" x14ac:dyDescent="0.2">
      <c r="A2249" s="1916"/>
    </row>
    <row r="2250" spans="1:1" ht="12.75" customHeight="1" x14ac:dyDescent="0.2">
      <c r="A2250" s="1916"/>
    </row>
    <row r="2251" spans="1:1" ht="12.75" customHeight="1" x14ac:dyDescent="0.2">
      <c r="A2251" s="1916"/>
    </row>
    <row r="2252" spans="1:1" ht="12.75" customHeight="1" x14ac:dyDescent="0.2">
      <c r="A2252" s="1916"/>
    </row>
    <row r="2253" spans="1:1" ht="12.75" customHeight="1" x14ac:dyDescent="0.2">
      <c r="A2253" s="1916"/>
    </row>
    <row r="2254" spans="1:1" ht="12.75" customHeight="1" x14ac:dyDescent="0.2">
      <c r="A2254" s="1916"/>
    </row>
    <row r="2255" spans="1:1" ht="12.75" customHeight="1" x14ac:dyDescent="0.2">
      <c r="A2255" s="1916"/>
    </row>
    <row r="2256" spans="1:1" ht="12.75" customHeight="1" x14ac:dyDescent="0.2">
      <c r="A2256" s="1916"/>
    </row>
    <row r="2257" spans="1:1" ht="12.75" customHeight="1" x14ac:dyDescent="0.2">
      <c r="A2257" s="1916"/>
    </row>
    <row r="2258" spans="1:1" ht="12.75" customHeight="1" x14ac:dyDescent="0.2">
      <c r="A2258" s="1916"/>
    </row>
    <row r="2259" spans="1:1" ht="12.75" customHeight="1" x14ac:dyDescent="0.2">
      <c r="A2259" s="1916"/>
    </row>
    <row r="2260" spans="1:1" ht="12.75" customHeight="1" x14ac:dyDescent="0.2">
      <c r="A2260" s="1916"/>
    </row>
    <row r="2261" spans="1:1" ht="12.75" customHeight="1" x14ac:dyDescent="0.2">
      <c r="A2261" s="1916"/>
    </row>
    <row r="2262" spans="1:1" ht="12.75" customHeight="1" x14ac:dyDescent="0.2">
      <c r="A2262" s="1916"/>
    </row>
    <row r="2263" spans="1:1" ht="12.75" customHeight="1" x14ac:dyDescent="0.2">
      <c r="A2263" s="1916"/>
    </row>
    <row r="2264" spans="1:1" ht="12.75" customHeight="1" x14ac:dyDescent="0.2">
      <c r="A2264" s="1916"/>
    </row>
    <row r="2265" spans="1:1" ht="12.75" customHeight="1" x14ac:dyDescent="0.2">
      <c r="A2265" s="1916"/>
    </row>
    <row r="2266" spans="1:1" ht="12.75" customHeight="1" x14ac:dyDescent="0.2">
      <c r="A2266" s="1916"/>
    </row>
    <row r="2267" spans="1:1" ht="12.75" customHeight="1" x14ac:dyDescent="0.2">
      <c r="A2267" s="1916"/>
    </row>
    <row r="2268" spans="1:1" ht="12.75" customHeight="1" x14ac:dyDescent="0.2">
      <c r="A2268" s="1916"/>
    </row>
    <row r="2269" spans="1:1" ht="12.75" customHeight="1" x14ac:dyDescent="0.2">
      <c r="A2269" s="1916"/>
    </row>
    <row r="2270" spans="1:1" ht="12.75" customHeight="1" x14ac:dyDescent="0.2">
      <c r="A2270" s="1916"/>
    </row>
    <row r="2271" spans="1:1" ht="12.75" customHeight="1" x14ac:dyDescent="0.2">
      <c r="A2271" s="1916"/>
    </row>
    <row r="2272" spans="1:1" ht="12.75" customHeight="1" x14ac:dyDescent="0.2">
      <c r="A2272" s="1916"/>
    </row>
    <row r="2273" spans="1:1" ht="12.75" customHeight="1" x14ac:dyDescent="0.2">
      <c r="A2273" s="1916"/>
    </row>
    <row r="2274" spans="1:1" ht="12.75" customHeight="1" x14ac:dyDescent="0.2">
      <c r="A2274" s="1916"/>
    </row>
    <row r="2275" spans="1:1" ht="12.75" customHeight="1" x14ac:dyDescent="0.2">
      <c r="A2275" s="1916"/>
    </row>
    <row r="2276" spans="1:1" ht="12.75" customHeight="1" x14ac:dyDescent="0.2">
      <c r="A2276" s="1916"/>
    </row>
    <row r="2277" spans="1:1" ht="12.75" customHeight="1" x14ac:dyDescent="0.2">
      <c r="A2277" s="1916"/>
    </row>
    <row r="2278" spans="1:1" ht="12.75" customHeight="1" x14ac:dyDescent="0.2">
      <c r="A2278" s="1916"/>
    </row>
    <row r="2279" spans="1:1" ht="12.75" customHeight="1" x14ac:dyDescent="0.2">
      <c r="A2279" s="1916"/>
    </row>
    <row r="2280" spans="1:1" ht="12.75" customHeight="1" x14ac:dyDescent="0.2">
      <c r="A2280" s="1916"/>
    </row>
    <row r="2281" spans="1:1" ht="12.75" customHeight="1" x14ac:dyDescent="0.2">
      <c r="A2281" s="1916"/>
    </row>
    <row r="2282" spans="1:1" ht="12.75" customHeight="1" x14ac:dyDescent="0.2">
      <c r="A2282" s="1916"/>
    </row>
    <row r="2283" spans="1:1" ht="12.75" customHeight="1" x14ac:dyDescent="0.2">
      <c r="A2283" s="1916"/>
    </row>
    <row r="2284" spans="1:1" ht="12.75" customHeight="1" x14ac:dyDescent="0.2">
      <c r="A2284" s="1916"/>
    </row>
    <row r="2285" spans="1:1" ht="12.75" customHeight="1" x14ac:dyDescent="0.2">
      <c r="A2285" s="1916"/>
    </row>
    <row r="2286" spans="1:1" ht="12.75" customHeight="1" x14ac:dyDescent="0.2">
      <c r="A2286" s="1916"/>
    </row>
    <row r="2287" spans="1:1" ht="12.75" customHeight="1" x14ac:dyDescent="0.2">
      <c r="A2287" s="1916"/>
    </row>
    <row r="2288" spans="1:1" ht="12.75" customHeight="1" x14ac:dyDescent="0.2">
      <c r="A2288" s="1916"/>
    </row>
    <row r="2289" spans="1:1" ht="12.75" customHeight="1" x14ac:dyDescent="0.2">
      <c r="A2289" s="1916"/>
    </row>
    <row r="2290" spans="1:1" ht="12.75" customHeight="1" x14ac:dyDescent="0.2">
      <c r="A2290" s="1916"/>
    </row>
    <row r="2291" spans="1:1" ht="12.75" customHeight="1" x14ac:dyDescent="0.2">
      <c r="A2291" s="1916"/>
    </row>
    <row r="2292" spans="1:1" ht="12.75" customHeight="1" x14ac:dyDescent="0.2">
      <c r="A2292" s="1916"/>
    </row>
    <row r="2293" spans="1:1" ht="12.75" customHeight="1" x14ac:dyDescent="0.2">
      <c r="A2293" s="1916"/>
    </row>
    <row r="2294" spans="1:1" ht="12.75" customHeight="1" x14ac:dyDescent="0.2">
      <c r="A2294" s="1916"/>
    </row>
    <row r="2295" spans="1:1" ht="12.75" customHeight="1" x14ac:dyDescent="0.2">
      <c r="A2295" s="1916"/>
    </row>
    <row r="2296" spans="1:1" ht="12.75" customHeight="1" x14ac:dyDescent="0.2">
      <c r="A2296" s="1916"/>
    </row>
    <row r="2297" spans="1:1" ht="12.75" customHeight="1" x14ac:dyDescent="0.2">
      <c r="A2297" s="1916"/>
    </row>
    <row r="2298" spans="1:1" ht="12.75" customHeight="1" x14ac:dyDescent="0.2">
      <c r="A2298" s="1916"/>
    </row>
    <row r="2299" spans="1:1" ht="12.75" customHeight="1" x14ac:dyDescent="0.2">
      <c r="A2299" s="1916"/>
    </row>
    <row r="2300" spans="1:1" ht="12.75" customHeight="1" x14ac:dyDescent="0.2">
      <c r="A2300" s="1916"/>
    </row>
    <row r="2301" spans="1:1" ht="12.75" customHeight="1" x14ac:dyDescent="0.2">
      <c r="A2301" s="1916"/>
    </row>
    <row r="2302" spans="1:1" ht="12.75" customHeight="1" x14ac:dyDescent="0.2">
      <c r="A2302" s="1916"/>
    </row>
    <row r="2303" spans="1:1" ht="12.75" customHeight="1" x14ac:dyDescent="0.2">
      <c r="A2303" s="1916"/>
    </row>
    <row r="2304" spans="1:1" ht="12.75" customHeight="1" x14ac:dyDescent="0.2">
      <c r="A2304" s="1916"/>
    </row>
    <row r="2305" spans="1:1" ht="12.75" customHeight="1" x14ac:dyDescent="0.2">
      <c r="A2305" s="1916"/>
    </row>
    <row r="2306" spans="1:1" ht="12.75" customHeight="1" x14ac:dyDescent="0.2">
      <c r="A2306" s="1916"/>
    </row>
    <row r="2307" spans="1:1" ht="12.75" customHeight="1" x14ac:dyDescent="0.2">
      <c r="A2307" s="1916"/>
    </row>
    <row r="2308" spans="1:1" ht="12.75" customHeight="1" x14ac:dyDescent="0.2">
      <c r="A2308" s="1916"/>
    </row>
    <row r="2309" spans="1:1" ht="12.75" customHeight="1" x14ac:dyDescent="0.2">
      <c r="A2309" s="1916"/>
    </row>
    <row r="2310" spans="1:1" ht="12.75" customHeight="1" x14ac:dyDescent="0.2">
      <c r="A2310" s="1916"/>
    </row>
    <row r="2311" spans="1:1" ht="12.75" customHeight="1" x14ac:dyDescent="0.2">
      <c r="A2311" s="1916"/>
    </row>
    <row r="2312" spans="1:1" ht="12.75" customHeight="1" x14ac:dyDescent="0.2">
      <c r="A2312" s="1916"/>
    </row>
    <row r="2313" spans="1:1" ht="12.75" customHeight="1" x14ac:dyDescent="0.2">
      <c r="A2313" s="1916"/>
    </row>
    <row r="2314" spans="1:1" ht="12.75" customHeight="1" x14ac:dyDescent="0.2">
      <c r="A2314" s="1916"/>
    </row>
    <row r="2315" spans="1:1" ht="12.75" customHeight="1" x14ac:dyDescent="0.2">
      <c r="A2315" s="1916"/>
    </row>
    <row r="2316" spans="1:1" ht="12.75" customHeight="1" x14ac:dyDescent="0.2">
      <c r="A2316" s="1916"/>
    </row>
    <row r="2317" spans="1:1" ht="12.75" customHeight="1" x14ac:dyDescent="0.2">
      <c r="A2317" s="1916"/>
    </row>
    <row r="2318" spans="1:1" ht="12.75" customHeight="1" x14ac:dyDescent="0.2">
      <c r="A2318" s="1916"/>
    </row>
    <row r="2319" spans="1:1" ht="12.75" customHeight="1" x14ac:dyDescent="0.2">
      <c r="A2319" s="1916"/>
    </row>
    <row r="2320" spans="1:1" ht="12.75" customHeight="1" x14ac:dyDescent="0.2">
      <c r="A2320" s="1916"/>
    </row>
    <row r="2321" spans="1:1" ht="12.75" customHeight="1" x14ac:dyDescent="0.2">
      <c r="A2321" s="1916"/>
    </row>
    <row r="2322" spans="1:1" ht="12.75" customHeight="1" x14ac:dyDescent="0.2">
      <c r="A2322" s="1916"/>
    </row>
    <row r="2323" spans="1:1" ht="12.75" customHeight="1" x14ac:dyDescent="0.2">
      <c r="A2323" s="1916"/>
    </row>
    <row r="2324" spans="1:1" ht="12.75" customHeight="1" x14ac:dyDescent="0.2">
      <c r="A2324" s="1916"/>
    </row>
    <row r="2325" spans="1:1" ht="12.75" customHeight="1" x14ac:dyDescent="0.2">
      <c r="A2325" s="1916"/>
    </row>
    <row r="2326" spans="1:1" ht="12.75" customHeight="1" x14ac:dyDescent="0.2">
      <c r="A2326" s="1916"/>
    </row>
    <row r="2327" spans="1:1" ht="12.75" customHeight="1" x14ac:dyDescent="0.2">
      <c r="A2327" s="1916"/>
    </row>
    <row r="2328" spans="1:1" ht="12.75" customHeight="1" x14ac:dyDescent="0.2">
      <c r="A2328" s="1916"/>
    </row>
    <row r="2329" spans="1:1" ht="12.75" customHeight="1" x14ac:dyDescent="0.2">
      <c r="A2329" s="1916"/>
    </row>
    <row r="2330" spans="1:1" ht="12.75" customHeight="1" x14ac:dyDescent="0.2">
      <c r="A2330" s="1916"/>
    </row>
    <row r="2331" spans="1:1" ht="12.75" customHeight="1" x14ac:dyDescent="0.2">
      <c r="A2331" s="1916"/>
    </row>
    <row r="2332" spans="1:1" ht="12.75" customHeight="1" x14ac:dyDescent="0.2">
      <c r="A2332" s="1916"/>
    </row>
    <row r="2333" spans="1:1" ht="12.75" customHeight="1" x14ac:dyDescent="0.2">
      <c r="A2333" s="1916"/>
    </row>
    <row r="2334" spans="1:1" ht="12.75" customHeight="1" x14ac:dyDescent="0.2">
      <c r="A2334" s="1916"/>
    </row>
    <row r="2335" spans="1:1" ht="12.75" customHeight="1" x14ac:dyDescent="0.2">
      <c r="A2335" s="1916"/>
    </row>
    <row r="2336" spans="1:1" ht="12.75" customHeight="1" x14ac:dyDescent="0.2">
      <c r="A2336" s="1916"/>
    </row>
    <row r="2337" spans="1:1" ht="12.75" customHeight="1" x14ac:dyDescent="0.2">
      <c r="A2337" s="1916"/>
    </row>
    <row r="2338" spans="1:1" ht="12.75" customHeight="1" x14ac:dyDescent="0.2">
      <c r="A2338" s="1916"/>
    </row>
    <row r="2339" spans="1:1" ht="12.75" customHeight="1" x14ac:dyDescent="0.2">
      <c r="A2339" s="1916"/>
    </row>
    <row r="2340" spans="1:1" ht="12.75" customHeight="1" x14ac:dyDescent="0.2">
      <c r="A2340" s="1916"/>
    </row>
    <row r="2341" spans="1:1" ht="12.75" customHeight="1" x14ac:dyDescent="0.2">
      <c r="A2341" s="1916"/>
    </row>
    <row r="2342" spans="1:1" ht="12.75" customHeight="1" x14ac:dyDescent="0.2">
      <c r="A2342" s="1916"/>
    </row>
    <row r="2343" spans="1:1" ht="12.75" customHeight="1" x14ac:dyDescent="0.2">
      <c r="A2343" s="1916"/>
    </row>
    <row r="2344" spans="1:1" ht="12.75" customHeight="1" x14ac:dyDescent="0.2">
      <c r="A2344" s="1916"/>
    </row>
    <row r="2345" spans="1:1" ht="12.75" customHeight="1" x14ac:dyDescent="0.2">
      <c r="A2345" s="1916"/>
    </row>
    <row r="2346" spans="1:1" ht="12.75" customHeight="1" x14ac:dyDescent="0.2">
      <c r="A2346" s="1916"/>
    </row>
    <row r="2347" spans="1:1" ht="12.75" customHeight="1" x14ac:dyDescent="0.2">
      <c r="A2347" s="1916"/>
    </row>
    <row r="2348" spans="1:1" ht="12.75" customHeight="1" x14ac:dyDescent="0.2">
      <c r="A2348" s="1916"/>
    </row>
    <row r="2349" spans="1:1" ht="12.75" customHeight="1" x14ac:dyDescent="0.2">
      <c r="A2349" s="1916"/>
    </row>
    <row r="2350" spans="1:1" ht="12.75" customHeight="1" x14ac:dyDescent="0.2">
      <c r="A2350" s="1916"/>
    </row>
    <row r="2351" spans="1:1" ht="12.75" customHeight="1" x14ac:dyDescent="0.2">
      <c r="A2351" s="1916"/>
    </row>
    <row r="2352" spans="1:1" ht="12.75" customHeight="1" x14ac:dyDescent="0.2">
      <c r="A2352" s="1916"/>
    </row>
    <row r="2353" spans="1:1" ht="12.75" customHeight="1" x14ac:dyDescent="0.2">
      <c r="A2353" s="1916"/>
    </row>
    <row r="2354" spans="1:1" ht="12.75" customHeight="1" x14ac:dyDescent="0.2">
      <c r="A2354" s="1916"/>
    </row>
    <row r="2355" spans="1:1" ht="12.75" customHeight="1" x14ac:dyDescent="0.2">
      <c r="A2355" s="1916"/>
    </row>
    <row r="2356" spans="1:1" ht="12.75" customHeight="1" x14ac:dyDescent="0.2">
      <c r="A2356" s="1916"/>
    </row>
    <row r="2357" spans="1:1" ht="12.75" customHeight="1" x14ac:dyDescent="0.2">
      <c r="A2357" s="1916"/>
    </row>
    <row r="2358" spans="1:1" ht="12.75" customHeight="1" x14ac:dyDescent="0.2">
      <c r="A2358" s="1916"/>
    </row>
    <row r="2359" spans="1:1" ht="12.75" customHeight="1" x14ac:dyDescent="0.2">
      <c r="A2359" s="1916"/>
    </row>
    <row r="2360" spans="1:1" ht="12.75" customHeight="1" x14ac:dyDescent="0.2">
      <c r="A2360" s="1916"/>
    </row>
    <row r="2361" spans="1:1" ht="12.75" customHeight="1" x14ac:dyDescent="0.2">
      <c r="A2361" s="1916"/>
    </row>
    <row r="2362" spans="1:1" ht="12.75" customHeight="1" x14ac:dyDescent="0.2">
      <c r="A2362" s="1916"/>
    </row>
    <row r="2363" spans="1:1" ht="12.75" customHeight="1" x14ac:dyDescent="0.2">
      <c r="A2363" s="1916"/>
    </row>
    <row r="2364" spans="1:1" ht="12.75" customHeight="1" x14ac:dyDescent="0.2">
      <c r="A2364" s="1916"/>
    </row>
    <row r="2365" spans="1:1" ht="12.75" customHeight="1" x14ac:dyDescent="0.2">
      <c r="A2365" s="1916"/>
    </row>
    <row r="2366" spans="1:1" ht="12.75" customHeight="1" x14ac:dyDescent="0.2">
      <c r="A2366" s="1916"/>
    </row>
    <row r="2367" spans="1:1" ht="12.75" customHeight="1" x14ac:dyDescent="0.2">
      <c r="A2367" s="1916"/>
    </row>
    <row r="2368" spans="1:1" ht="12.75" customHeight="1" x14ac:dyDescent="0.2">
      <c r="A2368" s="1916"/>
    </row>
    <row r="2369" spans="1:1" ht="12.75" customHeight="1" x14ac:dyDescent="0.2">
      <c r="A2369" s="1916"/>
    </row>
    <row r="2370" spans="1:1" ht="12.75" customHeight="1" x14ac:dyDescent="0.2">
      <c r="A2370" s="1916"/>
    </row>
    <row r="2371" spans="1:1" ht="12.75" customHeight="1" x14ac:dyDescent="0.2">
      <c r="A2371" s="1916"/>
    </row>
    <row r="2372" spans="1:1" ht="12.75" customHeight="1" x14ac:dyDescent="0.2">
      <c r="A2372" s="1916"/>
    </row>
    <row r="2373" spans="1:1" ht="12.75" customHeight="1" x14ac:dyDescent="0.2">
      <c r="A2373" s="1916"/>
    </row>
    <row r="2374" spans="1:1" ht="12.75" customHeight="1" x14ac:dyDescent="0.2">
      <c r="A2374" s="1916"/>
    </row>
    <row r="2375" spans="1:1" ht="12.75" customHeight="1" x14ac:dyDescent="0.2">
      <c r="A2375" s="1916"/>
    </row>
    <row r="2376" spans="1:1" ht="12.75" customHeight="1" x14ac:dyDescent="0.2">
      <c r="A2376" s="1916"/>
    </row>
    <row r="2377" spans="1:1" ht="12.75" customHeight="1" x14ac:dyDescent="0.2">
      <c r="A2377" s="1916"/>
    </row>
    <row r="2378" spans="1:1" ht="12.75" customHeight="1" x14ac:dyDescent="0.2">
      <c r="A2378" s="1916"/>
    </row>
    <row r="2379" spans="1:1" ht="12.75" customHeight="1" x14ac:dyDescent="0.2">
      <c r="A2379" s="1916"/>
    </row>
    <row r="2380" spans="1:1" ht="12.75" customHeight="1" x14ac:dyDescent="0.2">
      <c r="A2380" s="1916"/>
    </row>
    <row r="2381" spans="1:1" ht="12.75" customHeight="1" x14ac:dyDescent="0.2">
      <c r="A2381" s="1916"/>
    </row>
    <row r="2382" spans="1:1" ht="12.75" customHeight="1" x14ac:dyDescent="0.2">
      <c r="A2382" s="1916"/>
    </row>
    <row r="2383" spans="1:1" ht="12.75" customHeight="1" x14ac:dyDescent="0.2">
      <c r="A2383" s="1916"/>
    </row>
    <row r="2384" spans="1:1" ht="12.75" customHeight="1" x14ac:dyDescent="0.2">
      <c r="A2384" s="1916"/>
    </row>
    <row r="2385" spans="1:1" ht="12.75" customHeight="1" x14ac:dyDescent="0.2">
      <c r="A2385" s="1916"/>
    </row>
    <row r="2386" spans="1:1" ht="12.75" customHeight="1" x14ac:dyDescent="0.2">
      <c r="A2386" s="1916"/>
    </row>
    <row r="2387" spans="1:1" ht="12.75" customHeight="1" x14ac:dyDescent="0.2">
      <c r="A2387" s="1916"/>
    </row>
    <row r="2388" spans="1:1" ht="12.75" customHeight="1" x14ac:dyDescent="0.2">
      <c r="A2388" s="1916"/>
    </row>
    <row r="2389" spans="1:1" ht="12.75" customHeight="1" x14ac:dyDescent="0.2">
      <c r="A2389" s="1916"/>
    </row>
    <row r="2390" spans="1:1" ht="12.75" customHeight="1" x14ac:dyDescent="0.2">
      <c r="A2390" s="1916"/>
    </row>
    <row r="2391" spans="1:1" ht="12.75" customHeight="1" x14ac:dyDescent="0.2">
      <c r="A2391" s="1916"/>
    </row>
    <row r="2392" spans="1:1" ht="12.75" customHeight="1" x14ac:dyDescent="0.2">
      <c r="A2392" s="1916"/>
    </row>
    <row r="2393" spans="1:1" ht="12.75" customHeight="1" x14ac:dyDescent="0.2">
      <c r="A2393" s="1916"/>
    </row>
    <row r="2394" spans="1:1" ht="12.75" customHeight="1" x14ac:dyDescent="0.2">
      <c r="A2394" s="1916"/>
    </row>
    <row r="2395" spans="1:1" ht="12.75" customHeight="1" x14ac:dyDescent="0.2">
      <c r="A2395" s="1916"/>
    </row>
    <row r="2396" spans="1:1" ht="12.75" customHeight="1" x14ac:dyDescent="0.2">
      <c r="A2396" s="1916"/>
    </row>
    <row r="2397" spans="1:1" ht="12.75" customHeight="1" x14ac:dyDescent="0.2">
      <c r="A2397" s="1916"/>
    </row>
    <row r="2398" spans="1:1" ht="12.75" customHeight="1" x14ac:dyDescent="0.2">
      <c r="A2398" s="1916"/>
    </row>
    <row r="2399" spans="1:1" ht="12.75" customHeight="1" x14ac:dyDescent="0.2">
      <c r="A2399" s="1916"/>
    </row>
    <row r="2400" spans="1:1" ht="12.75" customHeight="1" x14ac:dyDescent="0.2">
      <c r="A2400" s="1916"/>
    </row>
    <row r="2401" spans="1:1" ht="12.75" customHeight="1" x14ac:dyDescent="0.2">
      <c r="A2401" s="1916"/>
    </row>
    <row r="2402" spans="1:1" ht="12.75" customHeight="1" x14ac:dyDescent="0.2">
      <c r="A2402" s="1916"/>
    </row>
    <row r="2403" spans="1:1" ht="12.75" customHeight="1" x14ac:dyDescent="0.2">
      <c r="A2403" s="1916"/>
    </row>
    <row r="2404" spans="1:1" ht="12.75" customHeight="1" x14ac:dyDescent="0.2">
      <c r="A2404" s="1916"/>
    </row>
    <row r="2405" spans="1:1" ht="12.75" customHeight="1" x14ac:dyDescent="0.2">
      <c r="A2405" s="1916"/>
    </row>
    <row r="2406" spans="1:1" ht="12.75" customHeight="1" x14ac:dyDescent="0.2">
      <c r="A2406" s="1916"/>
    </row>
    <row r="2407" spans="1:1" ht="12.75" customHeight="1" x14ac:dyDescent="0.2">
      <c r="A2407" s="1916"/>
    </row>
    <row r="2408" spans="1:1" ht="12.75" customHeight="1" x14ac:dyDescent="0.2">
      <c r="A2408" s="1916"/>
    </row>
    <row r="2409" spans="1:1" ht="12.75" customHeight="1" x14ac:dyDescent="0.2">
      <c r="A2409" s="1916"/>
    </row>
    <row r="2410" spans="1:1" ht="12.75" customHeight="1" x14ac:dyDescent="0.2">
      <c r="A2410" s="1916"/>
    </row>
    <row r="2411" spans="1:1" ht="12.75" customHeight="1" x14ac:dyDescent="0.2">
      <c r="A2411" s="1916"/>
    </row>
    <row r="2412" spans="1:1" ht="12.75" customHeight="1" x14ac:dyDescent="0.2">
      <c r="A2412" s="1916"/>
    </row>
    <row r="2413" spans="1:1" ht="12.75" customHeight="1" x14ac:dyDescent="0.2">
      <c r="A2413" s="1916"/>
    </row>
    <row r="2414" spans="1:1" ht="12.75" customHeight="1" x14ac:dyDescent="0.2">
      <c r="A2414" s="1916"/>
    </row>
    <row r="2415" spans="1:1" ht="12.75" customHeight="1" x14ac:dyDescent="0.2">
      <c r="A2415" s="1916"/>
    </row>
    <row r="2416" spans="1:1" ht="12.75" customHeight="1" x14ac:dyDescent="0.2">
      <c r="A2416" s="1916"/>
    </row>
    <row r="2417" spans="1:1" ht="12.75" customHeight="1" x14ac:dyDescent="0.2">
      <c r="A2417" s="1916"/>
    </row>
    <row r="2418" spans="1:1" ht="12.75" customHeight="1" x14ac:dyDescent="0.2">
      <c r="A2418" s="1916"/>
    </row>
    <row r="2419" spans="1:1" ht="12.75" customHeight="1" x14ac:dyDescent="0.2">
      <c r="A2419" s="1916"/>
    </row>
    <row r="2420" spans="1:1" ht="12.75" customHeight="1" x14ac:dyDescent="0.2">
      <c r="A2420" s="1916"/>
    </row>
    <row r="2421" spans="1:1" ht="12.75" customHeight="1" x14ac:dyDescent="0.2">
      <c r="A2421" s="1916"/>
    </row>
    <row r="2422" spans="1:1" ht="12.75" customHeight="1" x14ac:dyDescent="0.2">
      <c r="A2422" s="1916"/>
    </row>
    <row r="2423" spans="1:1" ht="12.75" customHeight="1" x14ac:dyDescent="0.2">
      <c r="A2423" s="1916"/>
    </row>
    <row r="2424" spans="1:1" ht="12.75" customHeight="1" x14ac:dyDescent="0.2">
      <c r="A2424" s="1916"/>
    </row>
    <row r="2425" spans="1:1" ht="12.75" customHeight="1" x14ac:dyDescent="0.2">
      <c r="A2425" s="1916"/>
    </row>
    <row r="2426" spans="1:1" ht="12.75" customHeight="1" x14ac:dyDescent="0.2">
      <c r="A2426" s="1916"/>
    </row>
    <row r="2427" spans="1:1" ht="12.75" customHeight="1" x14ac:dyDescent="0.2">
      <c r="A2427" s="1916"/>
    </row>
    <row r="2428" spans="1:1" ht="12.75" customHeight="1" x14ac:dyDescent="0.2">
      <c r="A2428" s="1916"/>
    </row>
    <row r="2429" spans="1:1" ht="12.75" customHeight="1" x14ac:dyDescent="0.2">
      <c r="A2429" s="1916"/>
    </row>
    <row r="2430" spans="1:1" ht="12.75" customHeight="1" x14ac:dyDescent="0.2">
      <c r="A2430" s="1916"/>
    </row>
    <row r="2431" spans="1:1" ht="12.75" customHeight="1" x14ac:dyDescent="0.2">
      <c r="A2431" s="1916"/>
    </row>
    <row r="2432" spans="1:1" ht="12.75" customHeight="1" x14ac:dyDescent="0.2">
      <c r="A2432" s="1916"/>
    </row>
    <row r="2433" spans="1:1" ht="12.75" customHeight="1" x14ac:dyDescent="0.2">
      <c r="A2433" s="1916"/>
    </row>
    <row r="2434" spans="1:1" ht="12.75" customHeight="1" x14ac:dyDescent="0.2">
      <c r="A2434" s="1916"/>
    </row>
    <row r="2435" spans="1:1" ht="12.75" customHeight="1" x14ac:dyDescent="0.2">
      <c r="A2435" s="1916"/>
    </row>
    <row r="2436" spans="1:1" ht="12.75" customHeight="1" x14ac:dyDescent="0.2">
      <c r="A2436" s="1916"/>
    </row>
    <row r="2437" spans="1:1" ht="12.75" customHeight="1" x14ac:dyDescent="0.2">
      <c r="A2437" s="1916"/>
    </row>
    <row r="2438" spans="1:1" ht="12.75" customHeight="1" x14ac:dyDescent="0.2">
      <c r="A2438" s="1916"/>
    </row>
    <row r="2439" spans="1:1" ht="12.75" customHeight="1" x14ac:dyDescent="0.2">
      <c r="A2439" s="1916"/>
    </row>
    <row r="2440" spans="1:1" ht="12.75" customHeight="1" x14ac:dyDescent="0.2">
      <c r="A2440" s="1916"/>
    </row>
    <row r="2441" spans="1:1" ht="12.75" customHeight="1" x14ac:dyDescent="0.2">
      <c r="A2441" s="1916"/>
    </row>
    <row r="2442" spans="1:1" ht="12.75" customHeight="1" x14ac:dyDescent="0.2">
      <c r="A2442" s="1916"/>
    </row>
    <row r="2443" spans="1:1" ht="12.75" customHeight="1" x14ac:dyDescent="0.2">
      <c r="A2443" s="1916"/>
    </row>
    <row r="2444" spans="1:1" ht="12.75" customHeight="1" x14ac:dyDescent="0.2">
      <c r="A2444" s="1916"/>
    </row>
    <row r="2445" spans="1:1" ht="12.75" customHeight="1" x14ac:dyDescent="0.2">
      <c r="A2445" s="1916"/>
    </row>
    <row r="2446" spans="1:1" ht="12.75" customHeight="1" x14ac:dyDescent="0.2">
      <c r="A2446" s="1916"/>
    </row>
    <row r="2447" spans="1:1" ht="12.75" customHeight="1" x14ac:dyDescent="0.2">
      <c r="A2447" s="1916"/>
    </row>
    <row r="2448" spans="1:1" ht="12.75" customHeight="1" x14ac:dyDescent="0.2">
      <c r="A2448" s="1916"/>
    </row>
    <row r="2449" spans="1:1" ht="12.75" customHeight="1" x14ac:dyDescent="0.2">
      <c r="A2449" s="1916"/>
    </row>
    <row r="2450" spans="1:1" ht="12.75" customHeight="1" x14ac:dyDescent="0.2">
      <c r="A2450" s="1916"/>
    </row>
    <row r="2451" spans="1:1" ht="12.75" customHeight="1" x14ac:dyDescent="0.2">
      <c r="A2451" s="1916"/>
    </row>
    <row r="2452" spans="1:1" ht="12.75" customHeight="1" x14ac:dyDescent="0.2">
      <c r="A2452" s="1916"/>
    </row>
    <row r="2453" spans="1:1" ht="12.75" customHeight="1" x14ac:dyDescent="0.2">
      <c r="A2453" s="1916"/>
    </row>
    <row r="2454" spans="1:1" ht="12.75" customHeight="1" x14ac:dyDescent="0.2">
      <c r="A2454" s="1916"/>
    </row>
    <row r="2455" spans="1:1" ht="12.75" customHeight="1" x14ac:dyDescent="0.2">
      <c r="A2455" s="1916"/>
    </row>
    <row r="2456" spans="1:1" ht="12.75" customHeight="1" x14ac:dyDescent="0.2">
      <c r="A2456" s="1916"/>
    </row>
    <row r="2457" spans="1:1" ht="12.75" customHeight="1" x14ac:dyDescent="0.2">
      <c r="A2457" s="1916"/>
    </row>
    <row r="2458" spans="1:1" ht="12.75" customHeight="1" x14ac:dyDescent="0.2">
      <c r="A2458" s="1916"/>
    </row>
    <row r="2459" spans="1:1" ht="12.75" customHeight="1" x14ac:dyDescent="0.2">
      <c r="A2459" s="1916"/>
    </row>
    <row r="2460" spans="1:1" ht="12.75" customHeight="1" x14ac:dyDescent="0.2">
      <c r="A2460" s="1916"/>
    </row>
    <row r="2461" spans="1:1" ht="12.75" customHeight="1" x14ac:dyDescent="0.2">
      <c r="A2461" s="1916"/>
    </row>
    <row r="2462" spans="1:1" ht="12.75" customHeight="1" x14ac:dyDescent="0.2">
      <c r="A2462" s="1916"/>
    </row>
    <row r="2463" spans="1:1" ht="12.75" customHeight="1" x14ac:dyDescent="0.2">
      <c r="A2463" s="1916"/>
    </row>
    <row r="2464" spans="1:1" ht="12.75" customHeight="1" x14ac:dyDescent="0.2">
      <c r="A2464" s="1916"/>
    </row>
    <row r="2465" spans="1:1" ht="12.75" customHeight="1" x14ac:dyDescent="0.2">
      <c r="A2465" s="1916"/>
    </row>
    <row r="2466" spans="1:1" ht="12.75" customHeight="1" x14ac:dyDescent="0.2">
      <c r="A2466" s="1916"/>
    </row>
    <row r="2467" spans="1:1" ht="12.75" customHeight="1" x14ac:dyDescent="0.2">
      <c r="A2467" s="1916"/>
    </row>
    <row r="2468" spans="1:1" ht="12.75" customHeight="1" x14ac:dyDescent="0.2">
      <c r="A2468" s="1916"/>
    </row>
    <row r="2469" spans="1:1" ht="12.75" customHeight="1" x14ac:dyDescent="0.2">
      <c r="A2469" s="1916"/>
    </row>
    <row r="2470" spans="1:1" ht="12.75" customHeight="1" x14ac:dyDescent="0.2">
      <c r="A2470" s="1916"/>
    </row>
    <row r="2471" spans="1:1" ht="12.75" customHeight="1" x14ac:dyDescent="0.2">
      <c r="A2471" s="1916"/>
    </row>
    <row r="2472" spans="1:1" ht="12.75" customHeight="1" x14ac:dyDescent="0.2">
      <c r="A2472" s="1916"/>
    </row>
    <row r="2473" spans="1:1" ht="12.75" customHeight="1" x14ac:dyDescent="0.2">
      <c r="A2473" s="1916"/>
    </row>
    <row r="2474" spans="1:1" ht="12.75" customHeight="1" x14ac:dyDescent="0.2">
      <c r="A2474" s="1916"/>
    </row>
    <row r="2475" spans="1:1" ht="12.75" customHeight="1" x14ac:dyDescent="0.2">
      <c r="A2475" s="1916"/>
    </row>
    <row r="2476" spans="1:1" ht="12.75" customHeight="1" x14ac:dyDescent="0.2">
      <c r="A2476" s="1916"/>
    </row>
    <row r="2477" spans="1:1" ht="12.75" customHeight="1" x14ac:dyDescent="0.2">
      <c r="A2477" s="1916"/>
    </row>
    <row r="2478" spans="1:1" ht="12.75" customHeight="1" x14ac:dyDescent="0.2">
      <c r="A2478" s="1916"/>
    </row>
    <row r="2479" spans="1:1" ht="12.75" customHeight="1" x14ac:dyDescent="0.2">
      <c r="A2479" s="1916"/>
    </row>
    <row r="2480" spans="1:1" ht="12.75" customHeight="1" x14ac:dyDescent="0.2">
      <c r="A2480" s="1916"/>
    </row>
    <row r="2481" spans="1:1" ht="12.75" customHeight="1" x14ac:dyDescent="0.2">
      <c r="A2481" s="1916"/>
    </row>
    <row r="2482" spans="1:1" ht="12.75" customHeight="1" x14ac:dyDescent="0.2">
      <c r="A2482" s="1916"/>
    </row>
    <row r="2483" spans="1:1" ht="12.75" customHeight="1" x14ac:dyDescent="0.2">
      <c r="A2483" s="1916"/>
    </row>
    <row r="2484" spans="1:1" ht="12.75" customHeight="1" x14ac:dyDescent="0.2">
      <c r="A2484" s="1916"/>
    </row>
    <row r="2485" spans="1:1" ht="12.75" customHeight="1" x14ac:dyDescent="0.2">
      <c r="A2485" s="1916"/>
    </row>
    <row r="2486" spans="1:1" ht="12.75" customHeight="1" x14ac:dyDescent="0.2">
      <c r="A2486" s="1916"/>
    </row>
    <row r="2487" spans="1:1" ht="12.75" customHeight="1" x14ac:dyDescent="0.2">
      <c r="A2487" s="1916"/>
    </row>
    <row r="2488" spans="1:1" ht="12.75" customHeight="1" x14ac:dyDescent="0.2">
      <c r="A2488" s="1916"/>
    </row>
    <row r="2489" spans="1:1" ht="12.75" customHeight="1" x14ac:dyDescent="0.2">
      <c r="A2489" s="1916"/>
    </row>
    <row r="2490" spans="1:1" ht="12.75" customHeight="1" x14ac:dyDescent="0.2">
      <c r="A2490" s="1916"/>
    </row>
    <row r="2491" spans="1:1" ht="12.75" customHeight="1" x14ac:dyDescent="0.2">
      <c r="A2491" s="1916"/>
    </row>
    <row r="2492" spans="1:1" ht="12.75" customHeight="1" x14ac:dyDescent="0.2">
      <c r="A2492" s="1916"/>
    </row>
    <row r="2493" spans="1:1" ht="12.75" customHeight="1" x14ac:dyDescent="0.2">
      <c r="A2493" s="1916"/>
    </row>
    <row r="2494" spans="1:1" ht="12.75" customHeight="1" x14ac:dyDescent="0.2">
      <c r="A2494" s="1916"/>
    </row>
    <row r="2495" spans="1:1" ht="12.75" customHeight="1" x14ac:dyDescent="0.2">
      <c r="A2495" s="1916"/>
    </row>
    <row r="2496" spans="1:1" ht="12.75" customHeight="1" x14ac:dyDescent="0.2">
      <c r="A2496" s="1916"/>
    </row>
    <row r="2497" spans="1:1" ht="12.75" customHeight="1" x14ac:dyDescent="0.2">
      <c r="A2497" s="1916"/>
    </row>
    <row r="2498" spans="1:1" ht="12.75" customHeight="1" x14ac:dyDescent="0.2">
      <c r="A2498" s="1916"/>
    </row>
    <row r="2499" spans="1:1" ht="12.75" customHeight="1" x14ac:dyDescent="0.2">
      <c r="A2499" s="1916"/>
    </row>
    <row r="2500" spans="1:1" ht="12.75" customHeight="1" x14ac:dyDescent="0.2">
      <c r="A2500" s="1916"/>
    </row>
    <row r="2501" spans="1:1" ht="12.75" customHeight="1" x14ac:dyDescent="0.2">
      <c r="A2501" s="1916"/>
    </row>
    <row r="2502" spans="1:1" ht="12.75" customHeight="1" x14ac:dyDescent="0.2">
      <c r="A2502" s="1916"/>
    </row>
    <row r="2503" spans="1:1" ht="12.75" customHeight="1" x14ac:dyDescent="0.2">
      <c r="A2503" s="1916"/>
    </row>
    <row r="2504" spans="1:1" ht="12.75" customHeight="1" x14ac:dyDescent="0.2">
      <c r="A2504" s="1916"/>
    </row>
    <row r="2505" spans="1:1" ht="12.75" customHeight="1" x14ac:dyDescent="0.2">
      <c r="A2505" s="1916"/>
    </row>
    <row r="2506" spans="1:1" ht="12.75" customHeight="1" x14ac:dyDescent="0.2">
      <c r="A2506" s="1916"/>
    </row>
    <row r="2507" spans="1:1" ht="12.75" customHeight="1" x14ac:dyDescent="0.2">
      <c r="A2507" s="1916"/>
    </row>
    <row r="2508" spans="1:1" ht="12.75" customHeight="1" x14ac:dyDescent="0.2">
      <c r="A2508" s="1916"/>
    </row>
    <row r="2509" spans="1:1" ht="12.75" customHeight="1" x14ac:dyDescent="0.2">
      <c r="A2509" s="1916"/>
    </row>
    <row r="2510" spans="1:1" ht="12.75" customHeight="1" x14ac:dyDescent="0.2">
      <c r="A2510" s="1916"/>
    </row>
    <row r="2511" spans="1:1" ht="12.75" customHeight="1" x14ac:dyDescent="0.2">
      <c r="A2511" s="1916"/>
    </row>
    <row r="2512" spans="1:1" ht="12.75" customHeight="1" x14ac:dyDescent="0.2">
      <c r="A2512" s="1916"/>
    </row>
    <row r="2513" spans="1:1" ht="12.75" customHeight="1" x14ac:dyDescent="0.2">
      <c r="A2513" s="1916"/>
    </row>
    <row r="2514" spans="1:1" ht="12.75" customHeight="1" x14ac:dyDescent="0.2">
      <c r="A2514" s="1916"/>
    </row>
    <row r="2515" spans="1:1" ht="12.75" customHeight="1" x14ac:dyDescent="0.2">
      <c r="A2515" s="1916"/>
    </row>
    <row r="2516" spans="1:1" ht="12.75" customHeight="1" x14ac:dyDescent="0.2">
      <c r="A2516" s="1916"/>
    </row>
    <row r="2517" spans="1:1" ht="12.75" customHeight="1" x14ac:dyDescent="0.2">
      <c r="A2517" s="1916"/>
    </row>
    <row r="2518" spans="1:1" ht="12.75" customHeight="1" x14ac:dyDescent="0.2">
      <c r="A2518" s="1916"/>
    </row>
    <row r="2519" spans="1:1" ht="12.75" customHeight="1" x14ac:dyDescent="0.2">
      <c r="A2519" s="1916"/>
    </row>
    <row r="2520" spans="1:1" ht="12.75" customHeight="1" x14ac:dyDescent="0.2">
      <c r="A2520" s="1916"/>
    </row>
    <row r="2521" spans="1:1" ht="12.75" customHeight="1" x14ac:dyDescent="0.2">
      <c r="A2521" s="1916"/>
    </row>
    <row r="2522" spans="1:1" ht="12.75" customHeight="1" x14ac:dyDescent="0.2">
      <c r="A2522" s="1916"/>
    </row>
    <row r="2523" spans="1:1" ht="12.75" customHeight="1" x14ac:dyDescent="0.2">
      <c r="A2523" s="1916"/>
    </row>
    <row r="2524" spans="1:1" ht="12.75" customHeight="1" x14ac:dyDescent="0.2">
      <c r="A2524" s="1916"/>
    </row>
    <row r="2525" spans="1:1" ht="12.75" customHeight="1" x14ac:dyDescent="0.2">
      <c r="A2525" s="1916"/>
    </row>
    <row r="2526" spans="1:1" ht="12.75" customHeight="1" x14ac:dyDescent="0.2">
      <c r="A2526" s="1916"/>
    </row>
    <row r="2527" spans="1:1" ht="12.75" customHeight="1" x14ac:dyDescent="0.2">
      <c r="A2527" s="1916"/>
    </row>
    <row r="2528" spans="1:1" ht="12.75" customHeight="1" x14ac:dyDescent="0.2">
      <c r="A2528" s="1916"/>
    </row>
    <row r="2529" spans="1:1" ht="12.75" customHeight="1" x14ac:dyDescent="0.2">
      <c r="A2529" s="1916"/>
    </row>
    <row r="2530" spans="1:1" ht="12.75" customHeight="1" x14ac:dyDescent="0.2">
      <c r="A2530" s="1916"/>
    </row>
    <row r="2531" spans="1:1" ht="12.75" customHeight="1" x14ac:dyDescent="0.2">
      <c r="A2531" s="1916"/>
    </row>
    <row r="2532" spans="1:1" ht="12.75" customHeight="1" x14ac:dyDescent="0.2">
      <c r="A2532" s="1916"/>
    </row>
    <row r="2533" spans="1:1" ht="12.75" customHeight="1" x14ac:dyDescent="0.2">
      <c r="A2533" s="1916"/>
    </row>
    <row r="2534" spans="1:1" ht="12.75" customHeight="1" x14ac:dyDescent="0.2">
      <c r="A2534" s="1916"/>
    </row>
    <row r="2535" spans="1:1" ht="12.75" customHeight="1" x14ac:dyDescent="0.2">
      <c r="A2535" s="1916"/>
    </row>
    <row r="2536" spans="1:1" ht="12.75" customHeight="1" x14ac:dyDescent="0.2">
      <c r="A2536" s="1916"/>
    </row>
    <row r="2537" spans="1:1" ht="12.75" customHeight="1" x14ac:dyDescent="0.2">
      <c r="A2537" s="1916"/>
    </row>
    <row r="2538" spans="1:1" ht="12.75" customHeight="1" x14ac:dyDescent="0.2">
      <c r="A2538" s="1916"/>
    </row>
    <row r="2539" spans="1:1" ht="12.75" customHeight="1" x14ac:dyDescent="0.2">
      <c r="A2539" s="1916"/>
    </row>
    <row r="2540" spans="1:1" ht="12.75" customHeight="1" x14ac:dyDescent="0.2">
      <c r="A2540" s="1916"/>
    </row>
    <row r="2541" spans="1:1" ht="12.75" customHeight="1" x14ac:dyDescent="0.2">
      <c r="A2541" s="1916"/>
    </row>
    <row r="2542" spans="1:1" ht="12.75" customHeight="1" x14ac:dyDescent="0.2">
      <c r="A2542" s="1916"/>
    </row>
    <row r="2543" spans="1:1" ht="12.75" customHeight="1" x14ac:dyDescent="0.2">
      <c r="A2543" s="1916"/>
    </row>
    <row r="2544" spans="1:1" ht="12.75" customHeight="1" x14ac:dyDescent="0.2">
      <c r="A2544" s="1916"/>
    </row>
    <row r="2545" spans="1:1" ht="12.75" customHeight="1" x14ac:dyDescent="0.2">
      <c r="A2545" s="1916"/>
    </row>
    <row r="2546" spans="1:1" ht="12.75" customHeight="1" x14ac:dyDescent="0.2">
      <c r="A2546" s="1916"/>
    </row>
    <row r="2547" spans="1:1" ht="12.75" customHeight="1" x14ac:dyDescent="0.2">
      <c r="A2547" s="1916"/>
    </row>
    <row r="2548" spans="1:1" ht="12.75" customHeight="1" x14ac:dyDescent="0.2">
      <c r="A2548" s="1916"/>
    </row>
    <row r="2549" spans="1:1" ht="12.75" customHeight="1" x14ac:dyDescent="0.2">
      <c r="A2549" s="1916"/>
    </row>
    <row r="2550" spans="1:1" ht="12.75" customHeight="1" x14ac:dyDescent="0.2">
      <c r="A2550" s="1916"/>
    </row>
    <row r="2551" spans="1:1" ht="12.75" customHeight="1" x14ac:dyDescent="0.2">
      <c r="A2551" s="1916"/>
    </row>
    <row r="2552" spans="1:1" ht="12.75" customHeight="1" x14ac:dyDescent="0.2">
      <c r="A2552" s="1916"/>
    </row>
    <row r="2553" spans="1:1" ht="12.75" customHeight="1" x14ac:dyDescent="0.2">
      <c r="A2553" s="1916"/>
    </row>
    <row r="2554" spans="1:1" ht="12.75" customHeight="1" x14ac:dyDescent="0.2">
      <c r="A2554" s="1916"/>
    </row>
    <row r="2555" spans="1:1" ht="12.75" customHeight="1" x14ac:dyDescent="0.2">
      <c r="A2555" s="1916"/>
    </row>
    <row r="2556" spans="1:1" ht="12.75" customHeight="1" x14ac:dyDescent="0.2">
      <c r="A2556" s="1916"/>
    </row>
    <row r="2557" spans="1:1" ht="12.75" customHeight="1" x14ac:dyDescent="0.2">
      <c r="A2557" s="1916"/>
    </row>
    <row r="2558" spans="1:1" ht="12.75" customHeight="1" x14ac:dyDescent="0.2">
      <c r="A2558" s="1916"/>
    </row>
    <row r="2559" spans="1:1" ht="12.75" customHeight="1" x14ac:dyDescent="0.2">
      <c r="A2559" s="1916"/>
    </row>
    <row r="2560" spans="1:1" ht="12.75" customHeight="1" x14ac:dyDescent="0.2">
      <c r="A2560" s="1916"/>
    </row>
    <row r="2561" spans="1:1" ht="12.75" customHeight="1" x14ac:dyDescent="0.2">
      <c r="A2561" s="1916"/>
    </row>
    <row r="2562" spans="1:1" ht="12.75" customHeight="1" x14ac:dyDescent="0.2">
      <c r="A2562" s="1916"/>
    </row>
    <row r="2563" spans="1:1" ht="12.75" customHeight="1" x14ac:dyDescent="0.2">
      <c r="A2563" s="1916"/>
    </row>
    <row r="2564" spans="1:1" ht="12.75" customHeight="1" x14ac:dyDescent="0.2">
      <c r="A2564" s="1916"/>
    </row>
    <row r="2565" spans="1:1" ht="12.75" customHeight="1" x14ac:dyDescent="0.2">
      <c r="A2565" s="1916"/>
    </row>
    <row r="2566" spans="1:1" ht="12.75" customHeight="1" x14ac:dyDescent="0.2">
      <c r="A2566" s="1916"/>
    </row>
    <row r="2567" spans="1:1" ht="12.75" customHeight="1" x14ac:dyDescent="0.2">
      <c r="A2567" s="1916"/>
    </row>
    <row r="2568" spans="1:1" ht="12.75" customHeight="1" x14ac:dyDescent="0.2">
      <c r="A2568" s="1916"/>
    </row>
    <row r="2569" spans="1:1" ht="12.75" customHeight="1" x14ac:dyDescent="0.2">
      <c r="A2569" s="1916"/>
    </row>
    <row r="2570" spans="1:1" ht="12.75" customHeight="1" x14ac:dyDescent="0.2">
      <c r="A2570" s="1916"/>
    </row>
    <row r="2571" spans="1:1" ht="12.75" customHeight="1" x14ac:dyDescent="0.2">
      <c r="A2571" s="1916"/>
    </row>
    <row r="2572" spans="1:1" ht="12.75" customHeight="1" x14ac:dyDescent="0.2">
      <c r="A2572" s="1916"/>
    </row>
    <row r="2573" spans="1:1" ht="12.75" customHeight="1" x14ac:dyDescent="0.2">
      <c r="A2573" s="1916"/>
    </row>
    <row r="2574" spans="1:1" ht="12.75" customHeight="1" x14ac:dyDescent="0.2">
      <c r="A2574" s="1916"/>
    </row>
    <row r="2575" spans="1:1" ht="12.75" customHeight="1" x14ac:dyDescent="0.2">
      <c r="A2575" s="1916"/>
    </row>
    <row r="2576" spans="1:1" ht="12.75" customHeight="1" x14ac:dyDescent="0.2">
      <c r="A2576" s="1916"/>
    </row>
    <row r="2577" spans="1:1" ht="12.75" customHeight="1" x14ac:dyDescent="0.2">
      <c r="A2577" s="1916"/>
    </row>
    <row r="2578" spans="1:1" ht="12.75" customHeight="1" x14ac:dyDescent="0.2">
      <c r="A2578" s="1916"/>
    </row>
    <row r="2579" spans="1:1" ht="12.75" customHeight="1" x14ac:dyDescent="0.2">
      <c r="A2579" s="1916"/>
    </row>
    <row r="2580" spans="1:1" ht="12.75" customHeight="1" x14ac:dyDescent="0.2">
      <c r="A2580" s="1916"/>
    </row>
    <row r="2581" spans="1:1" ht="12.75" customHeight="1" x14ac:dyDescent="0.2">
      <c r="A2581" s="1916"/>
    </row>
    <row r="2582" spans="1:1" ht="12.75" customHeight="1" x14ac:dyDescent="0.2">
      <c r="A2582" s="1916"/>
    </row>
    <row r="2583" spans="1:1" ht="12.75" customHeight="1" x14ac:dyDescent="0.2">
      <c r="A2583" s="1916"/>
    </row>
    <row r="2584" spans="1:1" ht="12.75" customHeight="1" x14ac:dyDescent="0.2">
      <c r="A2584" s="1916"/>
    </row>
    <row r="2585" spans="1:1" ht="12.75" customHeight="1" x14ac:dyDescent="0.2">
      <c r="A2585" s="1916"/>
    </row>
    <row r="2586" spans="1:1" ht="12.75" customHeight="1" x14ac:dyDescent="0.2">
      <c r="A2586" s="1916"/>
    </row>
    <row r="2587" spans="1:1" ht="12.75" customHeight="1" x14ac:dyDescent="0.2">
      <c r="A2587" s="1916"/>
    </row>
    <row r="2588" spans="1:1" ht="12.75" customHeight="1" x14ac:dyDescent="0.2">
      <c r="A2588" s="1916"/>
    </row>
    <row r="2589" spans="1:1" ht="12.75" customHeight="1" x14ac:dyDescent="0.2">
      <c r="A2589" s="1916"/>
    </row>
    <row r="2590" spans="1:1" ht="12.75" customHeight="1" x14ac:dyDescent="0.2">
      <c r="A2590" s="1916"/>
    </row>
    <row r="2591" spans="1:1" ht="12.75" customHeight="1" x14ac:dyDescent="0.2">
      <c r="A2591" s="1916"/>
    </row>
    <row r="2592" spans="1:1" ht="12.75" customHeight="1" x14ac:dyDescent="0.2">
      <c r="A2592" s="1916"/>
    </row>
    <row r="2593" spans="1:1" ht="12.75" customHeight="1" x14ac:dyDescent="0.2">
      <c r="A2593" s="1916"/>
    </row>
    <row r="2594" spans="1:1" ht="12.75" customHeight="1" x14ac:dyDescent="0.2">
      <c r="A2594" s="1916"/>
    </row>
    <row r="2595" spans="1:1" ht="12.75" customHeight="1" x14ac:dyDescent="0.2">
      <c r="A2595" s="1916"/>
    </row>
    <row r="2596" spans="1:1" ht="12.75" customHeight="1" x14ac:dyDescent="0.2">
      <c r="A2596" s="1916"/>
    </row>
    <row r="2597" spans="1:1" ht="12.75" customHeight="1" x14ac:dyDescent="0.2">
      <c r="A2597" s="1916"/>
    </row>
    <row r="2598" spans="1:1" ht="12.75" customHeight="1" x14ac:dyDescent="0.2">
      <c r="A2598" s="1916"/>
    </row>
    <row r="2599" spans="1:1" ht="12.75" customHeight="1" x14ac:dyDescent="0.2">
      <c r="A2599" s="1916"/>
    </row>
    <row r="2600" spans="1:1" ht="12.75" customHeight="1" x14ac:dyDescent="0.2">
      <c r="A2600" s="1916"/>
    </row>
    <row r="2601" spans="1:1" ht="12.75" customHeight="1" x14ac:dyDescent="0.2">
      <c r="A2601" s="1916"/>
    </row>
    <row r="2602" spans="1:1" ht="12.75" customHeight="1" x14ac:dyDescent="0.2">
      <c r="A2602" s="1916"/>
    </row>
    <row r="2603" spans="1:1" ht="12.75" customHeight="1" x14ac:dyDescent="0.2">
      <c r="A2603" s="1916"/>
    </row>
    <row r="2604" spans="1:1" ht="12.75" customHeight="1" x14ac:dyDescent="0.2">
      <c r="A2604" s="1916"/>
    </row>
    <row r="2605" spans="1:1" ht="12.75" customHeight="1" x14ac:dyDescent="0.2">
      <c r="A2605" s="1916"/>
    </row>
    <row r="2606" spans="1:1" ht="12.75" customHeight="1" x14ac:dyDescent="0.2">
      <c r="A2606" s="1916"/>
    </row>
    <row r="2607" spans="1:1" ht="12.75" customHeight="1" x14ac:dyDescent="0.2">
      <c r="A2607" s="1916"/>
    </row>
    <row r="2608" spans="1:1" ht="12.75" customHeight="1" x14ac:dyDescent="0.2">
      <c r="A2608" s="1916"/>
    </row>
    <row r="2609" spans="1:1" ht="12.75" customHeight="1" x14ac:dyDescent="0.2">
      <c r="A2609" s="1916"/>
    </row>
    <row r="2610" spans="1:1" ht="12.75" customHeight="1" x14ac:dyDescent="0.2">
      <c r="A2610" s="1916"/>
    </row>
    <row r="2611" spans="1:1" ht="12.75" customHeight="1" x14ac:dyDescent="0.2">
      <c r="A2611" s="1916"/>
    </row>
    <row r="2612" spans="1:1" ht="12.75" customHeight="1" x14ac:dyDescent="0.2">
      <c r="A2612" s="1916"/>
    </row>
    <row r="2613" spans="1:1" ht="12.75" customHeight="1" x14ac:dyDescent="0.2">
      <c r="A2613" s="1916"/>
    </row>
    <row r="2614" spans="1:1" ht="12.75" customHeight="1" x14ac:dyDescent="0.2">
      <c r="A2614" s="1916"/>
    </row>
    <row r="2615" spans="1:1" ht="12.75" customHeight="1" x14ac:dyDescent="0.2">
      <c r="A2615" s="1916"/>
    </row>
    <row r="2616" spans="1:1" ht="12.75" customHeight="1" x14ac:dyDescent="0.2">
      <c r="A2616" s="1916"/>
    </row>
    <row r="2617" spans="1:1" ht="12.75" customHeight="1" x14ac:dyDescent="0.2">
      <c r="A2617" s="1916"/>
    </row>
    <row r="2618" spans="1:1" ht="12.75" customHeight="1" x14ac:dyDescent="0.2">
      <c r="A2618" s="1916"/>
    </row>
    <row r="2619" spans="1:1" ht="12.75" customHeight="1" x14ac:dyDescent="0.2">
      <c r="A2619" s="1916"/>
    </row>
    <row r="2620" spans="1:1" ht="12.75" customHeight="1" x14ac:dyDescent="0.2">
      <c r="A2620" s="1916"/>
    </row>
    <row r="2621" spans="1:1" ht="12.75" customHeight="1" x14ac:dyDescent="0.2">
      <c r="A2621" s="1916"/>
    </row>
    <row r="2622" spans="1:1" ht="12.75" customHeight="1" x14ac:dyDescent="0.2">
      <c r="A2622" s="1916"/>
    </row>
    <row r="2623" spans="1:1" ht="12.75" customHeight="1" x14ac:dyDescent="0.2">
      <c r="A2623" s="1916"/>
    </row>
    <row r="2624" spans="1:1" ht="12.75" customHeight="1" x14ac:dyDescent="0.2">
      <c r="A2624" s="1916"/>
    </row>
    <row r="2625" spans="1:1" ht="12.75" customHeight="1" x14ac:dyDescent="0.2">
      <c r="A2625" s="1916"/>
    </row>
    <row r="2626" spans="1:1" ht="12.75" customHeight="1" x14ac:dyDescent="0.2">
      <c r="A2626" s="1916"/>
    </row>
    <row r="2627" spans="1:1" ht="12.75" customHeight="1" x14ac:dyDescent="0.2">
      <c r="A2627" s="1916"/>
    </row>
    <row r="2628" spans="1:1" ht="12.75" customHeight="1" x14ac:dyDescent="0.2">
      <c r="A2628" s="1916"/>
    </row>
    <row r="2629" spans="1:1" ht="12.75" customHeight="1" x14ac:dyDescent="0.2">
      <c r="A2629" s="1916"/>
    </row>
    <row r="2630" spans="1:1" ht="12.75" customHeight="1" x14ac:dyDescent="0.2">
      <c r="A2630" s="1916"/>
    </row>
    <row r="2631" spans="1:1" ht="12.75" customHeight="1" x14ac:dyDescent="0.2">
      <c r="A2631" s="1916"/>
    </row>
    <row r="2632" spans="1:1" ht="12.75" customHeight="1" x14ac:dyDescent="0.2">
      <c r="A2632" s="1916"/>
    </row>
    <row r="2633" spans="1:1" ht="12.75" customHeight="1" x14ac:dyDescent="0.2">
      <c r="A2633" s="1916"/>
    </row>
    <row r="2634" spans="1:1" ht="12.75" customHeight="1" x14ac:dyDescent="0.2">
      <c r="A2634" s="1916"/>
    </row>
    <row r="2635" spans="1:1" ht="12.75" customHeight="1" x14ac:dyDescent="0.2">
      <c r="A2635" s="1916"/>
    </row>
    <row r="2636" spans="1:1" ht="12.75" customHeight="1" x14ac:dyDescent="0.2">
      <c r="A2636" s="1916"/>
    </row>
    <row r="2637" spans="1:1" ht="12.75" customHeight="1" x14ac:dyDescent="0.2">
      <c r="A2637" s="1916"/>
    </row>
    <row r="2638" spans="1:1" ht="12.75" customHeight="1" x14ac:dyDescent="0.2">
      <c r="A2638" s="1916"/>
    </row>
    <row r="2639" spans="1:1" ht="12.75" customHeight="1" x14ac:dyDescent="0.2">
      <c r="A2639" s="1916"/>
    </row>
    <row r="2640" spans="1:1" ht="12.75" customHeight="1" x14ac:dyDescent="0.2">
      <c r="A2640" s="1916"/>
    </row>
    <row r="2641" spans="1:29" ht="12.75" customHeight="1" x14ac:dyDescent="0.2">
      <c r="A2641" s="1916"/>
    </row>
    <row r="2642" spans="1:29" ht="12.75" customHeight="1" x14ac:dyDescent="0.2">
      <c r="A2642" s="1916"/>
    </row>
    <row r="2643" spans="1:29" ht="12.75" customHeight="1" x14ac:dyDescent="0.2">
      <c r="A2643" s="1916"/>
    </row>
    <row r="2644" spans="1:29" ht="12.75" customHeight="1" x14ac:dyDescent="0.2">
      <c r="A2644" s="1916"/>
    </row>
    <row r="2645" spans="1:29" ht="12.75" customHeight="1" x14ac:dyDescent="0.2">
      <c r="A2645" s="1916"/>
    </row>
    <row r="2646" spans="1:29" ht="12.75" customHeight="1" x14ac:dyDescent="0.2">
      <c r="A2646" s="1916"/>
    </row>
    <row r="2647" spans="1:29" ht="12.75" customHeight="1" x14ac:dyDescent="0.2">
      <c r="A2647" s="1916"/>
    </row>
    <row r="2648" spans="1:29" ht="12.75" customHeight="1" x14ac:dyDescent="0.2">
      <c r="A2648" s="1916"/>
    </row>
    <row r="2649" spans="1:29" ht="12.75" customHeight="1" x14ac:dyDescent="0.2">
      <c r="A2649" s="1916"/>
    </row>
    <row r="2650" spans="1:29" ht="12.75" customHeight="1" x14ac:dyDescent="0.2">
      <c r="B2650" s="1915"/>
      <c r="H2650" s="363"/>
      <c r="I2650" s="1653"/>
      <c r="N2650" s="363"/>
      <c r="O2650" s="1999"/>
      <c r="Z2650" s="2563"/>
      <c r="AB2650" s="363"/>
      <c r="AC2650" s="2563"/>
    </row>
    <row r="2651" spans="1:29" ht="12.75" customHeight="1" x14ac:dyDescent="0.2">
      <c r="H2651" s="363"/>
      <c r="I2651" s="1653"/>
      <c r="N2651" s="363"/>
      <c r="O2651" s="1999"/>
      <c r="AB2651" s="363"/>
      <c r="AC2651" s="2563"/>
    </row>
    <row r="2652" spans="1:29" ht="12.75" customHeight="1" x14ac:dyDescent="0.2">
      <c r="H2652" s="363"/>
      <c r="I2652" s="1653"/>
      <c r="N2652" s="363"/>
      <c r="O2652" s="1999"/>
      <c r="AB2652" s="363"/>
      <c r="AC2652" s="2563"/>
    </row>
    <row r="2653" spans="1:29" ht="12.75" customHeight="1" x14ac:dyDescent="0.2">
      <c r="A2653" s="363"/>
      <c r="B2653" s="1915"/>
      <c r="H2653" s="363"/>
      <c r="I2653" s="1653"/>
      <c r="N2653" s="363"/>
      <c r="O2653" s="1999"/>
      <c r="Z2653" s="2563"/>
    </row>
    <row r="2654" spans="1:29" ht="12.75" customHeight="1" x14ac:dyDescent="0.2">
      <c r="A2654" s="363"/>
      <c r="B2654" s="1915"/>
      <c r="H2654" s="363"/>
      <c r="I2654" s="1653"/>
      <c r="N2654" s="363"/>
      <c r="O2654" s="1999"/>
      <c r="Z2654" s="2563"/>
    </row>
    <row r="2655" spans="1:29" ht="12.75" customHeight="1" x14ac:dyDescent="0.2">
      <c r="A2655" s="363"/>
      <c r="B2655" s="1915"/>
      <c r="H2655" s="363"/>
      <c r="I2655" s="1653"/>
      <c r="N2655" s="363"/>
      <c r="O2655" s="1999"/>
      <c r="Z2655" s="2563"/>
    </row>
    <row r="2656" spans="1:29" ht="12.75" customHeight="1" x14ac:dyDescent="0.2">
      <c r="A2656" s="363"/>
      <c r="B2656" s="1915"/>
      <c r="H2656" s="363"/>
      <c r="I2656" s="1653"/>
      <c r="N2656" s="363"/>
      <c r="O2656" s="1999"/>
      <c r="Z2656" s="2563"/>
    </row>
    <row r="2657" spans="1:25" ht="12.75" customHeight="1" x14ac:dyDescent="0.2">
      <c r="A2657" s="363"/>
      <c r="H2657" s="363"/>
      <c r="N2657" s="363"/>
    </row>
    <row r="2658" spans="1:25" ht="12.75" customHeight="1" x14ac:dyDescent="0.2">
      <c r="A2658" s="363"/>
      <c r="H2658" s="363"/>
      <c r="N2658" s="363"/>
    </row>
    <row r="2659" spans="1:25" ht="12.75" customHeight="1" x14ac:dyDescent="0.2">
      <c r="A2659" s="363"/>
      <c r="H2659" s="363"/>
      <c r="N2659" s="363"/>
    </row>
    <row r="2660" spans="1:25" ht="12.75" customHeight="1" x14ac:dyDescent="0.2">
      <c r="A2660" s="363"/>
      <c r="H2660" s="363"/>
      <c r="N2660" s="363"/>
    </row>
    <row r="2661" spans="1:25" ht="12.75" customHeight="1" x14ac:dyDescent="0.2">
      <c r="A2661" s="363"/>
      <c r="H2661" s="363"/>
      <c r="N2661" s="363"/>
    </row>
    <row r="2662" spans="1:25" ht="12.75" customHeight="1" x14ac:dyDescent="0.2">
      <c r="A2662" s="363"/>
      <c r="H2662" s="363"/>
      <c r="N2662" s="363"/>
    </row>
    <row r="2663" spans="1:25" ht="12.75" customHeight="1" x14ac:dyDescent="0.2">
      <c r="Y2663" s="2563"/>
    </row>
    <row r="2664" spans="1:25" ht="12.75" customHeight="1" x14ac:dyDescent="0.2">
      <c r="Y2664" s="2563"/>
    </row>
    <row r="2665" spans="1:25" ht="12.75" customHeight="1" x14ac:dyDescent="0.2">
      <c r="Y2665" s="2563"/>
    </row>
    <row r="2666" spans="1:25" ht="12.75" customHeight="1" x14ac:dyDescent="0.2">
      <c r="Y2666" s="2563"/>
    </row>
    <row r="2667" spans="1:25" ht="12.75" customHeight="1" x14ac:dyDescent="0.2">
      <c r="Y2667" s="2563"/>
    </row>
    <row r="2668" spans="1:25" ht="12.75" customHeight="1" x14ac:dyDescent="0.2">
      <c r="Y2668" s="2563"/>
    </row>
    <row r="2669" spans="1:25" ht="12.75" customHeight="1" x14ac:dyDescent="0.2">
      <c r="Y2669" s="2563"/>
    </row>
    <row r="2670" spans="1:25" ht="12.75" customHeight="1" x14ac:dyDescent="0.2">
      <c r="Y2670" s="2563"/>
    </row>
    <row r="2671" spans="1:25" ht="12.75" customHeight="1" x14ac:dyDescent="0.2">
      <c r="Y2671" s="2563"/>
    </row>
    <row r="2672" spans="1:25" ht="12.75" customHeight="1" x14ac:dyDescent="0.2">
      <c r="Y2672" s="2563"/>
    </row>
    <row r="2673" spans="25:25" ht="12.75" customHeight="1" x14ac:dyDescent="0.2">
      <c r="Y2673" s="2563"/>
    </row>
    <row r="2674" spans="25:25" ht="12.75" customHeight="1" x14ac:dyDescent="0.2">
      <c r="Y2674" s="2563"/>
    </row>
    <row r="2675" spans="25:25" ht="12.75" customHeight="1" x14ac:dyDescent="0.2">
      <c r="Y2675" s="2563"/>
    </row>
    <row r="2676" spans="25:25" ht="12.75" customHeight="1" x14ac:dyDescent="0.2">
      <c r="Y2676" s="2563"/>
    </row>
    <row r="2677" spans="25:25" ht="12.75" customHeight="1" x14ac:dyDescent="0.2">
      <c r="Y2677" s="2563"/>
    </row>
    <row r="2678" spans="25:25" ht="12.75" customHeight="1" x14ac:dyDescent="0.2">
      <c r="Y2678" s="2563"/>
    </row>
    <row r="2679" spans="25:25" ht="12.75" customHeight="1" x14ac:dyDescent="0.2">
      <c r="Y2679" s="2563"/>
    </row>
    <row r="2680" spans="25:25" ht="12.75" customHeight="1" x14ac:dyDescent="0.2">
      <c r="Y2680" s="2563"/>
    </row>
    <row r="2681" spans="25:25" ht="12.75" customHeight="1" x14ac:dyDescent="0.2">
      <c r="Y2681" s="2563"/>
    </row>
    <row r="2682" spans="25:25" ht="12.75" customHeight="1" x14ac:dyDescent="0.2">
      <c r="Y2682" s="2563"/>
    </row>
    <row r="2683" spans="25:25" ht="12.75" customHeight="1" x14ac:dyDescent="0.2">
      <c r="Y2683" s="2563"/>
    </row>
    <row r="2684" spans="25:25" ht="12.75" customHeight="1" x14ac:dyDescent="0.2">
      <c r="Y2684" s="2563"/>
    </row>
    <row r="2685" spans="25:25" ht="12.75" customHeight="1" x14ac:dyDescent="0.2">
      <c r="Y2685" s="2563"/>
    </row>
    <row r="2686" spans="25:25" ht="12.75" customHeight="1" x14ac:dyDescent="0.2">
      <c r="Y2686" s="2563"/>
    </row>
    <row r="2687" spans="25:25" ht="12.75" customHeight="1" x14ac:dyDescent="0.2">
      <c r="Y2687" s="2563"/>
    </row>
    <row r="2688" spans="25:25" ht="12.75" customHeight="1" x14ac:dyDescent="0.2">
      <c r="Y2688" s="2563"/>
    </row>
    <row r="2689" spans="25:25" ht="12.75" customHeight="1" x14ac:dyDescent="0.2">
      <c r="Y2689" s="2563"/>
    </row>
    <row r="2690" spans="25:25" ht="12.75" customHeight="1" x14ac:dyDescent="0.2">
      <c r="Y2690" s="2563"/>
    </row>
    <row r="2691" spans="25:25" ht="12.75" customHeight="1" x14ac:dyDescent="0.2">
      <c r="Y2691" s="2563"/>
    </row>
    <row r="2692" spans="25:25" ht="12.75" customHeight="1" x14ac:dyDescent="0.2">
      <c r="Y2692" s="2563"/>
    </row>
    <row r="2693" spans="25:25" ht="12.75" customHeight="1" x14ac:dyDescent="0.2">
      <c r="Y2693" s="2563"/>
    </row>
    <row r="2694" spans="25:25" ht="12.75" customHeight="1" x14ac:dyDescent="0.2">
      <c r="Y2694" s="2563"/>
    </row>
    <row r="2695" spans="25:25" ht="12.75" customHeight="1" x14ac:dyDescent="0.2">
      <c r="Y2695" s="2563"/>
    </row>
    <row r="2696" spans="25:25" ht="12.75" customHeight="1" x14ac:dyDescent="0.2">
      <c r="Y2696" s="2563"/>
    </row>
    <row r="2697" spans="25:25" ht="12.75" customHeight="1" x14ac:dyDescent="0.2">
      <c r="Y2697" s="2563"/>
    </row>
    <row r="2698" spans="25:25" ht="12.75" customHeight="1" x14ac:dyDescent="0.2">
      <c r="Y2698" s="2563"/>
    </row>
    <row r="2699" spans="25:25" ht="12.75" customHeight="1" x14ac:dyDescent="0.2">
      <c r="Y2699" s="2563"/>
    </row>
    <row r="2700" spans="25:25" ht="12.75" customHeight="1" x14ac:dyDescent="0.2">
      <c r="Y2700" s="2563"/>
    </row>
    <row r="2701" spans="25:25" ht="12.75" customHeight="1" x14ac:dyDescent="0.2">
      <c r="Y2701" s="2563"/>
    </row>
    <row r="2702" spans="25:25" ht="12.75" customHeight="1" x14ac:dyDescent="0.2">
      <c r="Y2702" s="2563"/>
    </row>
    <row r="2703" spans="25:25" ht="12.75" customHeight="1" x14ac:dyDescent="0.2">
      <c r="Y2703" s="2563"/>
    </row>
    <row r="2704" spans="25:25" ht="12.75" customHeight="1" x14ac:dyDescent="0.2">
      <c r="Y2704" s="2563"/>
    </row>
    <row r="2705" spans="25:25" ht="12.75" customHeight="1" x14ac:dyDescent="0.2">
      <c r="Y2705" s="2563"/>
    </row>
    <row r="2706" spans="25:25" ht="12.75" customHeight="1" x14ac:dyDescent="0.2">
      <c r="Y2706" s="2563"/>
    </row>
    <row r="2707" spans="25:25" ht="12.75" customHeight="1" x14ac:dyDescent="0.2">
      <c r="Y2707" s="2563"/>
    </row>
    <row r="2708" spans="25:25" ht="12.75" customHeight="1" x14ac:dyDescent="0.2">
      <c r="Y2708" s="2563"/>
    </row>
    <row r="2709" spans="25:25" ht="12.75" customHeight="1" x14ac:dyDescent="0.2">
      <c r="Y2709" s="2563"/>
    </row>
    <row r="2710" spans="25:25" ht="12.75" customHeight="1" x14ac:dyDescent="0.2">
      <c r="Y2710" s="2563"/>
    </row>
    <row r="2711" spans="25:25" ht="12.75" customHeight="1" x14ac:dyDescent="0.2">
      <c r="Y2711" s="2563"/>
    </row>
    <row r="2712" spans="25:25" ht="12.75" customHeight="1" x14ac:dyDescent="0.2">
      <c r="Y2712" s="2563"/>
    </row>
    <row r="2713" spans="25:25" ht="12.75" customHeight="1" x14ac:dyDescent="0.2">
      <c r="Y2713" s="2563"/>
    </row>
    <row r="2714" spans="25:25" ht="12.75" customHeight="1" x14ac:dyDescent="0.2">
      <c r="Y2714" s="2563"/>
    </row>
    <row r="2715" spans="25:25" ht="12.75" customHeight="1" x14ac:dyDescent="0.2">
      <c r="Y2715" s="2563"/>
    </row>
    <row r="2716" spans="25:25" ht="12.75" customHeight="1" x14ac:dyDescent="0.2">
      <c r="Y2716" s="2563"/>
    </row>
    <row r="2717" spans="25:25" ht="12.75" customHeight="1" x14ac:dyDescent="0.2">
      <c r="Y2717" s="2563"/>
    </row>
    <row r="2718" spans="25:25" ht="12.75" customHeight="1" x14ac:dyDescent="0.2">
      <c r="Y2718" s="2563"/>
    </row>
    <row r="2719" spans="25:25" ht="12.75" customHeight="1" x14ac:dyDescent="0.2">
      <c r="Y2719" s="2563"/>
    </row>
    <row r="2720" spans="25:25" ht="12.75" customHeight="1" x14ac:dyDescent="0.2">
      <c r="Y2720" s="2563"/>
    </row>
    <row r="2721" spans="25:25" ht="12.75" customHeight="1" x14ac:dyDescent="0.2">
      <c r="Y2721" s="2563"/>
    </row>
    <row r="2722" spans="25:25" ht="12.75" customHeight="1" x14ac:dyDescent="0.2">
      <c r="Y2722" s="2563"/>
    </row>
    <row r="2723" spans="25:25" ht="12.75" customHeight="1" x14ac:dyDescent="0.2">
      <c r="Y2723" s="2563"/>
    </row>
    <row r="2724" spans="25:25" ht="12.75" customHeight="1" x14ac:dyDescent="0.2">
      <c r="Y2724" s="2563"/>
    </row>
    <row r="2725" spans="25:25" ht="12.75" customHeight="1" x14ac:dyDescent="0.2">
      <c r="Y2725" s="2563"/>
    </row>
    <row r="2726" spans="25:25" ht="12.75" customHeight="1" x14ac:dyDescent="0.2">
      <c r="Y2726" s="2563"/>
    </row>
    <row r="2727" spans="25:25" ht="12.75" customHeight="1" x14ac:dyDescent="0.2">
      <c r="Y2727" s="2563"/>
    </row>
    <row r="2728" spans="25:25" ht="12.75" customHeight="1" x14ac:dyDescent="0.2">
      <c r="Y2728" s="2563"/>
    </row>
    <row r="2729" spans="25:25" ht="12.75" customHeight="1" x14ac:dyDescent="0.2">
      <c r="Y2729" s="2563"/>
    </row>
    <row r="2730" spans="25:25" ht="12.75" customHeight="1" x14ac:dyDescent="0.2">
      <c r="Y2730" s="2563"/>
    </row>
    <row r="2731" spans="25:25" ht="12.75" customHeight="1" x14ac:dyDescent="0.2">
      <c r="Y2731" s="2563"/>
    </row>
    <row r="2732" spans="25:25" ht="12.75" customHeight="1" x14ac:dyDescent="0.2">
      <c r="Y2732" s="2563"/>
    </row>
    <row r="2733" spans="25:25" ht="12.75" customHeight="1" x14ac:dyDescent="0.2">
      <c r="Y2733" s="2563"/>
    </row>
    <row r="2734" spans="25:25" ht="12.75" customHeight="1" x14ac:dyDescent="0.2">
      <c r="Y2734" s="2563"/>
    </row>
    <row r="2735" spans="25:25" ht="12.75" customHeight="1" x14ac:dyDescent="0.2">
      <c r="Y2735" s="2563"/>
    </row>
    <row r="2736" spans="25:25" ht="12.75" customHeight="1" x14ac:dyDescent="0.2">
      <c r="Y2736" s="2563"/>
    </row>
    <row r="2737" spans="25:25" ht="12.75" customHeight="1" x14ac:dyDescent="0.2">
      <c r="Y2737" s="2563"/>
    </row>
    <row r="2738" spans="25:25" ht="12.75" customHeight="1" x14ac:dyDescent="0.2">
      <c r="Y2738" s="2563"/>
    </row>
    <row r="2739" spans="25:25" ht="12.75" customHeight="1" x14ac:dyDescent="0.2">
      <c r="Y2739" s="2563"/>
    </row>
    <row r="2740" spans="25:25" ht="12.75" customHeight="1" x14ac:dyDescent="0.2">
      <c r="Y2740" s="2563"/>
    </row>
    <row r="2741" spans="25:25" ht="12.75" customHeight="1" x14ac:dyDescent="0.2">
      <c r="Y2741" s="2563"/>
    </row>
    <row r="2742" spans="25:25" ht="12.75" customHeight="1" x14ac:dyDescent="0.2">
      <c r="Y2742" s="2563"/>
    </row>
    <row r="2743" spans="25:25" ht="12.75" customHeight="1" x14ac:dyDescent="0.2">
      <c r="Y2743" s="2563"/>
    </row>
    <row r="2744" spans="25:25" ht="12.75" customHeight="1" x14ac:dyDescent="0.2">
      <c r="Y2744" s="2563"/>
    </row>
    <row r="2745" spans="25:25" ht="12.75" customHeight="1" x14ac:dyDescent="0.2">
      <c r="Y2745" s="2563"/>
    </row>
    <row r="2746" spans="25:25" ht="12.75" customHeight="1" x14ac:dyDescent="0.2">
      <c r="Y2746" s="2563"/>
    </row>
    <row r="2747" spans="25:25" ht="12.75" customHeight="1" x14ac:dyDescent="0.2">
      <c r="Y2747" s="2563"/>
    </row>
    <row r="2748" spans="25:25" ht="12.75" customHeight="1" x14ac:dyDescent="0.2">
      <c r="Y2748" s="2563"/>
    </row>
    <row r="2749" spans="25:25" ht="12.75" customHeight="1" x14ac:dyDescent="0.2">
      <c r="Y2749" s="2563"/>
    </row>
    <row r="2750" spans="25:25" ht="12.75" customHeight="1" x14ac:dyDescent="0.2">
      <c r="Y2750" s="2563"/>
    </row>
    <row r="2751" spans="25:25" ht="12.75" customHeight="1" x14ac:dyDescent="0.2">
      <c r="Y2751" s="2563"/>
    </row>
    <row r="2752" spans="25:25" ht="12.75" customHeight="1" x14ac:dyDescent="0.2">
      <c r="Y2752" s="2563"/>
    </row>
    <row r="2753" spans="25:25" ht="12.75" customHeight="1" x14ac:dyDescent="0.2">
      <c r="Y2753" s="2563"/>
    </row>
    <row r="2754" spans="25:25" ht="12.75" customHeight="1" x14ac:dyDescent="0.2">
      <c r="Y2754" s="2563"/>
    </row>
    <row r="2755" spans="25:25" ht="12.75" customHeight="1" x14ac:dyDescent="0.2">
      <c r="Y2755" s="2563"/>
    </row>
    <row r="2756" spans="25:25" ht="12.75" customHeight="1" x14ac:dyDescent="0.2">
      <c r="Y2756" s="2563"/>
    </row>
    <row r="2757" spans="25:25" ht="12.75" customHeight="1" x14ac:dyDescent="0.2">
      <c r="Y2757" s="2563"/>
    </row>
    <row r="2758" spans="25:25" ht="12.75" customHeight="1" x14ac:dyDescent="0.2">
      <c r="Y2758" s="2563"/>
    </row>
    <row r="2759" spans="25:25" ht="12.75" customHeight="1" x14ac:dyDescent="0.2">
      <c r="Y2759" s="2563"/>
    </row>
    <row r="2760" spans="25:25" ht="12.75" customHeight="1" x14ac:dyDescent="0.2">
      <c r="Y2760" s="2563"/>
    </row>
    <row r="2761" spans="25:25" ht="12.75" customHeight="1" x14ac:dyDescent="0.2">
      <c r="Y2761" s="2563"/>
    </row>
    <row r="2762" spans="25:25" ht="12.75" customHeight="1" x14ac:dyDescent="0.2">
      <c r="Y2762" s="2563"/>
    </row>
    <row r="2763" spans="25:25" ht="12.75" customHeight="1" x14ac:dyDescent="0.2">
      <c r="Y2763" s="2563"/>
    </row>
    <row r="2764" spans="25:25" ht="12.75" customHeight="1" x14ac:dyDescent="0.2">
      <c r="Y2764" s="2563"/>
    </row>
    <row r="2765" spans="25:25" ht="12.75" customHeight="1" x14ac:dyDescent="0.2">
      <c r="Y2765" s="2563"/>
    </row>
    <row r="2766" spans="25:25" ht="12.75" customHeight="1" x14ac:dyDescent="0.2">
      <c r="Y2766" s="2563"/>
    </row>
    <row r="2767" spans="25:25" ht="12.75" customHeight="1" x14ac:dyDescent="0.2">
      <c r="Y2767" s="2563"/>
    </row>
    <row r="2768" spans="25:25" ht="12.75" customHeight="1" x14ac:dyDescent="0.2">
      <c r="Y2768" s="2563"/>
    </row>
    <row r="2769" spans="25:25" ht="12.75" customHeight="1" x14ac:dyDescent="0.2">
      <c r="Y2769" s="2563"/>
    </row>
    <row r="2770" spans="25:25" ht="12.75" customHeight="1" x14ac:dyDescent="0.2">
      <c r="Y2770" s="2563"/>
    </row>
    <row r="2771" spans="25:25" ht="12.75" customHeight="1" x14ac:dyDescent="0.2">
      <c r="Y2771" s="2563"/>
    </row>
    <row r="2772" spans="25:25" ht="12.75" customHeight="1" x14ac:dyDescent="0.2">
      <c r="Y2772" s="2563"/>
    </row>
    <row r="2773" spans="25:25" ht="12.75" customHeight="1" x14ac:dyDescent="0.2">
      <c r="Y2773" s="2563"/>
    </row>
    <row r="2774" spans="25:25" ht="12.75" customHeight="1" x14ac:dyDescent="0.2">
      <c r="Y2774" s="2563"/>
    </row>
    <row r="2775" spans="25:25" ht="12.75" customHeight="1" x14ac:dyDescent="0.2">
      <c r="Y2775" s="2563"/>
    </row>
    <row r="2776" spans="25:25" ht="12.75" customHeight="1" x14ac:dyDescent="0.2">
      <c r="Y2776" s="2563"/>
    </row>
    <row r="2777" spans="25:25" ht="12.75" customHeight="1" x14ac:dyDescent="0.2">
      <c r="Y2777" s="2563"/>
    </row>
    <row r="2778" spans="25:25" ht="12.75" customHeight="1" x14ac:dyDescent="0.2">
      <c r="Y2778" s="2563"/>
    </row>
    <row r="2779" spans="25:25" ht="12.75" customHeight="1" x14ac:dyDescent="0.2">
      <c r="Y2779" s="2563"/>
    </row>
    <row r="2780" spans="25:25" ht="12.75" customHeight="1" x14ac:dyDescent="0.2">
      <c r="Y2780" s="2563"/>
    </row>
    <row r="2781" spans="25:25" ht="12.75" customHeight="1" x14ac:dyDescent="0.2">
      <c r="Y2781" s="2563"/>
    </row>
    <row r="2782" spans="25:25" ht="12.75" customHeight="1" x14ac:dyDescent="0.2">
      <c r="Y2782" s="2563"/>
    </row>
    <row r="2783" spans="25:25" ht="12.75" customHeight="1" x14ac:dyDescent="0.2">
      <c r="Y2783" s="2563"/>
    </row>
    <row r="2784" spans="25:25" ht="12.75" customHeight="1" x14ac:dyDescent="0.2">
      <c r="Y2784" s="2563"/>
    </row>
    <row r="2785" spans="25:25" ht="12.75" customHeight="1" x14ac:dyDescent="0.2">
      <c r="Y2785" s="2563"/>
    </row>
    <row r="2786" spans="25:25" ht="12.75" customHeight="1" x14ac:dyDescent="0.2">
      <c r="Y2786" s="2563"/>
    </row>
    <row r="2787" spans="25:25" ht="12.75" customHeight="1" x14ac:dyDescent="0.2">
      <c r="Y2787" s="2563"/>
    </row>
    <row r="2788" spans="25:25" ht="12.75" customHeight="1" x14ac:dyDescent="0.2">
      <c r="Y2788" s="2563"/>
    </row>
    <row r="2789" spans="25:25" ht="12.75" customHeight="1" x14ac:dyDescent="0.2">
      <c r="Y2789" s="2563"/>
    </row>
    <row r="2790" spans="25:25" ht="12.75" customHeight="1" x14ac:dyDescent="0.2">
      <c r="Y2790" s="2563"/>
    </row>
    <row r="2791" spans="25:25" ht="12.75" customHeight="1" x14ac:dyDescent="0.2">
      <c r="Y2791" s="2563"/>
    </row>
    <row r="2792" spans="25:25" ht="12.75" customHeight="1" x14ac:dyDescent="0.2">
      <c r="Y2792" s="2563"/>
    </row>
    <row r="2793" spans="25:25" ht="12.75" customHeight="1" x14ac:dyDescent="0.2">
      <c r="Y2793" s="2563"/>
    </row>
    <row r="2794" spans="25:25" ht="12.75" customHeight="1" x14ac:dyDescent="0.2">
      <c r="Y2794" s="2563"/>
    </row>
    <row r="2795" spans="25:25" ht="12.75" customHeight="1" x14ac:dyDescent="0.2">
      <c r="Y2795" s="2563"/>
    </row>
    <row r="2796" spans="25:25" ht="12.75" customHeight="1" x14ac:dyDescent="0.2">
      <c r="Y2796" s="2563"/>
    </row>
    <row r="2797" spans="25:25" ht="12.75" customHeight="1" x14ac:dyDescent="0.2">
      <c r="Y2797" s="2563"/>
    </row>
    <row r="2798" spans="25:25" ht="12.75" customHeight="1" x14ac:dyDescent="0.2">
      <c r="Y2798" s="2563"/>
    </row>
    <row r="2799" spans="25:25" ht="12.75" customHeight="1" x14ac:dyDescent="0.2">
      <c r="Y2799" s="2563"/>
    </row>
    <row r="2800" spans="25:25" ht="12.75" customHeight="1" x14ac:dyDescent="0.2">
      <c r="Y2800" s="2563"/>
    </row>
    <row r="2801" spans="25:25" ht="12.75" customHeight="1" x14ac:dyDescent="0.2">
      <c r="Y2801" s="2563"/>
    </row>
    <row r="2802" spans="25:25" ht="12.75" customHeight="1" x14ac:dyDescent="0.2">
      <c r="Y2802" s="2563"/>
    </row>
    <row r="2803" spans="25:25" ht="12.75" customHeight="1" x14ac:dyDescent="0.2">
      <c r="Y2803" s="2563"/>
    </row>
    <row r="2804" spans="25:25" ht="12.75" customHeight="1" x14ac:dyDescent="0.2">
      <c r="Y2804" s="2563"/>
    </row>
    <row r="2805" spans="25:25" ht="12.75" customHeight="1" x14ac:dyDescent="0.2">
      <c r="Y2805" s="2563"/>
    </row>
    <row r="2806" spans="25:25" ht="12.75" customHeight="1" x14ac:dyDescent="0.2">
      <c r="Y2806" s="2563"/>
    </row>
    <row r="2807" spans="25:25" ht="12.75" customHeight="1" x14ac:dyDescent="0.2">
      <c r="Y2807" s="2563"/>
    </row>
    <row r="2808" spans="25:25" ht="12.75" customHeight="1" x14ac:dyDescent="0.2">
      <c r="Y2808" s="2563"/>
    </row>
    <row r="2809" spans="25:25" ht="12.75" customHeight="1" x14ac:dyDescent="0.2">
      <c r="Y2809" s="2563"/>
    </row>
    <row r="2810" spans="25:25" ht="12.75" customHeight="1" x14ac:dyDescent="0.2">
      <c r="Y2810" s="2563"/>
    </row>
    <row r="2811" spans="25:25" ht="12.75" customHeight="1" x14ac:dyDescent="0.2">
      <c r="Y2811" s="2563"/>
    </row>
    <row r="2812" spans="25:25" ht="12.75" customHeight="1" x14ac:dyDescent="0.2">
      <c r="Y2812" s="2563"/>
    </row>
    <row r="2813" spans="25:25" ht="12.75" customHeight="1" x14ac:dyDescent="0.2">
      <c r="Y2813" s="2563"/>
    </row>
    <row r="3208" spans="2:6" ht="12.75" customHeight="1" x14ac:dyDescent="0.2">
      <c r="B3208" s="422"/>
      <c r="C3208" s="422"/>
      <c r="D3208" s="522"/>
      <c r="E3208" s="525"/>
      <c r="F3208" s="523"/>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3"/>
    </row>
    <row r="3410" spans="10:13" ht="12.75" customHeight="1" x14ac:dyDescent="0.2">
      <c r="M3410" s="1653"/>
    </row>
    <row r="3411" spans="10:13" ht="12.75" customHeight="1" x14ac:dyDescent="0.2">
      <c r="J3411" s="1725"/>
      <c r="M3411" s="1653"/>
    </row>
    <row r="3412" spans="10:13" ht="12.75" customHeight="1" x14ac:dyDescent="0.2">
      <c r="J3412" s="1725"/>
      <c r="M3412" s="1653"/>
    </row>
    <row r="3413" spans="10:13" ht="12.75" customHeight="1" x14ac:dyDescent="0.2">
      <c r="J3413" s="1725"/>
      <c r="M3413" s="1653"/>
    </row>
    <row r="3414" spans="10:13" ht="12.75" customHeight="1" x14ac:dyDescent="0.2">
      <c r="J3414" s="1725"/>
      <c r="M3414" s="1653"/>
    </row>
    <row r="3415" spans="10:13" ht="12.75" customHeight="1" x14ac:dyDescent="0.2">
      <c r="J3415" s="1725"/>
      <c r="M3415" s="1653"/>
    </row>
    <row r="3416" spans="10:13" ht="12.75" customHeight="1" x14ac:dyDescent="0.2">
      <c r="J3416" s="1725"/>
      <c r="M3416" s="1653"/>
    </row>
    <row r="3417" spans="10:13" ht="12.75" customHeight="1" x14ac:dyDescent="0.2">
      <c r="J3417" s="1725"/>
      <c r="M3417" s="1653"/>
    </row>
    <row r="3418" spans="10:13" ht="12.75" customHeight="1" x14ac:dyDescent="0.2">
      <c r="J3418" s="1725"/>
    </row>
    <row r="3419" spans="10:13" ht="12.75" customHeight="1" x14ac:dyDescent="0.2">
      <c r="J3419" s="1725"/>
    </row>
    <row r="3420" spans="10:13" ht="12.75" customHeight="1" x14ac:dyDescent="0.2">
      <c r="J3420" s="1725"/>
    </row>
    <row r="3421" spans="10:13" ht="12.75" customHeight="1" x14ac:dyDescent="0.2">
      <c r="J3421" s="1725"/>
    </row>
    <row r="3422" spans="10:13" ht="12.75" customHeight="1" x14ac:dyDescent="0.2">
      <c r="J3422" s="1725"/>
    </row>
    <row r="3423" spans="10:13" ht="12.75" customHeight="1" x14ac:dyDescent="0.2">
      <c r="J3423" s="1725"/>
    </row>
    <row r="3424" spans="10:13" ht="12.75" customHeight="1" x14ac:dyDescent="0.2">
      <c r="J3424" s="1725"/>
    </row>
    <row r="3425" spans="8:12" ht="12.75" customHeight="1" x14ac:dyDescent="0.2">
      <c r="J3425" s="1725"/>
    </row>
    <row r="3426" spans="8:12" ht="12.75" customHeight="1" x14ac:dyDescent="0.2">
      <c r="H3426" s="1731"/>
      <c r="I3426" s="1725"/>
      <c r="J3426" s="1725"/>
      <c r="K3426" s="599"/>
      <c r="L3426" s="599"/>
    </row>
    <row r="3624" spans="14:15" ht="12.75" customHeight="1" x14ac:dyDescent="0.2">
      <c r="N3624" s="363"/>
      <c r="O3624" s="1999"/>
    </row>
    <row r="3625" spans="14:15" ht="12.75" customHeight="1" x14ac:dyDescent="0.2">
      <c r="N3625" s="363"/>
    </row>
    <row r="3626" spans="14:15" ht="12.75" customHeight="1" x14ac:dyDescent="0.2">
      <c r="N3626" s="363"/>
    </row>
  </sheetData>
  <sheetProtection selectLockedCells="1"/>
  <dataConsolidate/>
  <mergeCells count="538">
    <mergeCell ref="AI24:AJ25"/>
    <mergeCell ref="AE24:AG25"/>
    <mergeCell ref="AA24:AC25"/>
    <mergeCell ref="W24:Y25"/>
    <mergeCell ref="T24:U25"/>
    <mergeCell ref="W39:X40"/>
    <mergeCell ref="T40:U41"/>
    <mergeCell ref="W44:AF45"/>
    <mergeCell ref="F112:G112"/>
    <mergeCell ref="E48:F48"/>
    <mergeCell ref="E49:F49"/>
    <mergeCell ref="E50:F50"/>
    <mergeCell ref="E43:F43"/>
    <mergeCell ref="E44:F44"/>
    <mergeCell ref="E37:F37"/>
    <mergeCell ref="E38:F38"/>
    <mergeCell ref="E53:F53"/>
    <mergeCell ref="F117:G117"/>
    <mergeCell ref="T587:U587"/>
    <mergeCell ref="T588:U588"/>
    <mergeCell ref="C2:AI4"/>
    <mergeCell ref="B1898:B2025"/>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V1917:V1918"/>
    <mergeCell ref="E6:E7"/>
    <mergeCell ref="C1089:W1090"/>
    <mergeCell ref="P1034:Q1034"/>
    <mergeCell ref="V710:X710"/>
    <mergeCell ref="C568:AD570"/>
    <mergeCell ref="Z267:Z268"/>
    <mergeCell ref="T580:V580"/>
    <mergeCell ref="T581:U581"/>
    <mergeCell ref="T582:U582"/>
    <mergeCell ref="T583:U583"/>
    <mergeCell ref="Y138:AA138"/>
    <mergeCell ref="M138:O138"/>
    <mergeCell ref="P138:Q138"/>
    <mergeCell ref="R138:S138"/>
    <mergeCell ref="U138:V138"/>
    <mergeCell ref="V708:X708"/>
    <mergeCell ref="T597:U597"/>
    <mergeCell ref="E45:F45"/>
    <mergeCell ref="E46:F46"/>
    <mergeCell ref="F114:G114"/>
    <mergeCell ref="T596:U596"/>
    <mergeCell ref="AC612:AI612"/>
    <mergeCell ref="AB628:AE629"/>
    <mergeCell ref="X598:AA598"/>
    <mergeCell ref="C626:X627"/>
    <mergeCell ref="AG626:AL626"/>
    <mergeCell ref="L232:T233"/>
    <mergeCell ref="T595:U595"/>
    <mergeCell ref="W138:X138"/>
    <mergeCell ref="AG625:AL625"/>
    <mergeCell ref="S617:T617"/>
    <mergeCell ref="J130:J131"/>
    <mergeCell ref="S619:T619"/>
    <mergeCell ref="S612:AA613"/>
    <mergeCell ref="F119:G120"/>
    <mergeCell ref="S616:T616"/>
    <mergeCell ref="E52:F52"/>
    <mergeCell ref="E54:F54"/>
    <mergeCell ref="E47:F47"/>
    <mergeCell ref="C1980:F1981"/>
    <mergeCell ref="C1694:Y1696"/>
    <mergeCell ref="K1917:K1918"/>
    <mergeCell ref="G1917:J1918"/>
    <mergeCell ref="N1917:N1918"/>
    <mergeCell ref="V713:X713"/>
    <mergeCell ref="V770:X770"/>
    <mergeCell ref="V771:X771"/>
    <mergeCell ref="V772:X772"/>
    <mergeCell ref="G1021:H1022"/>
    <mergeCell ref="R1091:W1091"/>
    <mergeCell ref="U1919:U1974"/>
    <mergeCell ref="C1066:J1066"/>
    <mergeCell ref="K1021:K1022"/>
    <mergeCell ref="E1050:F1050"/>
    <mergeCell ref="H1050:I1050"/>
    <mergeCell ref="C804:D804"/>
    <mergeCell ref="V777:X777"/>
    <mergeCell ref="F896:F897"/>
    <mergeCell ref="L805:P805"/>
    <mergeCell ref="V721:X721"/>
    <mergeCell ref="L1718:Q1718"/>
    <mergeCell ref="V722:X722"/>
    <mergeCell ref="V723:X723"/>
    <mergeCell ref="V724:X724"/>
    <mergeCell ref="V718:X718"/>
    <mergeCell ref="C1091:D1091"/>
    <mergeCell ref="T598:U598"/>
    <mergeCell ref="G6:H7"/>
    <mergeCell ref="V774:X774"/>
    <mergeCell ref="V775:X775"/>
    <mergeCell ref="V776:X776"/>
    <mergeCell ref="K896:K897"/>
    <mergeCell ref="T896:T897"/>
    <mergeCell ref="U896:U897"/>
    <mergeCell ref="V896:V897"/>
    <mergeCell ref="G896:G897"/>
    <mergeCell ref="H896:H897"/>
    <mergeCell ref="I896:I897"/>
    <mergeCell ref="J896:J897"/>
    <mergeCell ref="T589:U589"/>
    <mergeCell ref="T590:U590"/>
    <mergeCell ref="V769:X769"/>
    <mergeCell ref="C805:D805"/>
    <mergeCell ref="V726:X726"/>
    <mergeCell ref="V725:X725"/>
    <mergeCell ref="C572:R573"/>
    <mergeCell ref="V716:X716"/>
    <mergeCell ref="V717:X717"/>
    <mergeCell ref="C609:Q609"/>
    <mergeCell ref="X19:X20"/>
    <mergeCell ref="X21:X22"/>
    <mergeCell ref="E39:F39"/>
    <mergeCell ref="Q47:Q48"/>
    <mergeCell ref="E55:F55"/>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V714:X714"/>
    <mergeCell ref="T572:U572"/>
    <mergeCell ref="T584:U584"/>
    <mergeCell ref="S618:T618"/>
    <mergeCell ref="E51:F51"/>
    <mergeCell ref="C11:E12"/>
    <mergeCell ref="S6:X7"/>
    <mergeCell ref="C6:C7"/>
    <mergeCell ref="C110:D111"/>
    <mergeCell ref="F115:G115"/>
    <mergeCell ref="F116:G116"/>
    <mergeCell ref="E65:F65"/>
    <mergeCell ref="E56:F56"/>
    <mergeCell ref="E57:F57"/>
    <mergeCell ref="E58:F58"/>
    <mergeCell ref="E59:F59"/>
    <mergeCell ref="E60:F60"/>
    <mergeCell ref="E61:F61"/>
    <mergeCell ref="E62:F62"/>
    <mergeCell ref="F105:G106"/>
    <mergeCell ref="F113:G113"/>
    <mergeCell ref="C35:H36"/>
    <mergeCell ref="J35:K36"/>
    <mergeCell ref="M35:O35"/>
    <mergeCell ref="Q35:R36"/>
    <mergeCell ref="E63:F63"/>
    <mergeCell ref="E40:F40"/>
    <mergeCell ref="E41:F41"/>
    <mergeCell ref="E42:F42"/>
    <mergeCell ref="C1902:E1903"/>
    <mergeCell ref="G1902:H1903"/>
    <mergeCell ref="J1902:K1903"/>
    <mergeCell ref="Y1010:AC1011"/>
    <mergeCell ref="Y1012:AA1012"/>
    <mergeCell ref="C1031:C1032"/>
    <mergeCell ref="L11:M12"/>
    <mergeCell ref="M1021:N1022"/>
    <mergeCell ref="E1021:E1022"/>
    <mergeCell ref="G1023:H1024"/>
    <mergeCell ref="C1012:D1012"/>
    <mergeCell ref="F1012:M1012"/>
    <mergeCell ref="C1010:M1011"/>
    <mergeCell ref="I1021:I1022"/>
    <mergeCell ref="T600:U600"/>
    <mergeCell ref="K1065:K1066"/>
    <mergeCell ref="C105:D106"/>
    <mergeCell ref="C136:D137"/>
    <mergeCell ref="G11:J12"/>
    <mergeCell ref="F110:G111"/>
    <mergeCell ref="C938:R939"/>
    <mergeCell ref="C996:L997"/>
    <mergeCell ref="J1091:Q1091"/>
    <mergeCell ref="V712:X712"/>
    <mergeCell ref="O1917:O1918"/>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J2019:AC2019"/>
    <mergeCell ref="J1986:AC1986"/>
    <mergeCell ref="Z2018:AA2018"/>
    <mergeCell ref="N1987:O1987"/>
    <mergeCell ref="L1987:M1987"/>
    <mergeCell ref="J2018:K2018"/>
    <mergeCell ref="L2018:M2018"/>
    <mergeCell ref="N2018:O2018"/>
    <mergeCell ref="P2018:Q2018"/>
    <mergeCell ref="R2018:S2018"/>
    <mergeCell ref="T2018:U2018"/>
    <mergeCell ref="V2018:W2018"/>
    <mergeCell ref="X2018:Y2018"/>
    <mergeCell ref="AC108:AD108"/>
    <mergeCell ref="AF108:AG108"/>
    <mergeCell ref="AI108:AJ108"/>
    <mergeCell ref="AL108:AM108"/>
    <mergeCell ref="P67:AA67"/>
    <mergeCell ref="AD1988:AE1988"/>
    <mergeCell ref="U1917:U1918"/>
    <mergeCell ref="AB2018:AC2018"/>
    <mergeCell ref="Q1917:R1917"/>
    <mergeCell ref="S1917:T1918"/>
    <mergeCell ref="P1917:P1918"/>
    <mergeCell ref="C1898:AE1900"/>
    <mergeCell ref="C1184:CA1186"/>
    <mergeCell ref="Z627:Z628"/>
    <mergeCell ref="AC572:AC573"/>
    <mergeCell ref="P900:W901"/>
    <mergeCell ref="C802:X803"/>
    <mergeCell ref="V727:X727"/>
    <mergeCell ref="V728:X728"/>
    <mergeCell ref="P1010:Q1011"/>
    <mergeCell ref="V773:X773"/>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O108:AP108"/>
    <mergeCell ref="AR108:AS108"/>
    <mergeCell ref="AU108:AV108"/>
    <mergeCell ref="AX108:AY108"/>
    <mergeCell ref="CG138:CI138"/>
    <mergeCell ref="CJ138:CM138"/>
    <mergeCell ref="BI138:BJ138"/>
    <mergeCell ref="BY138:CA138"/>
    <mergeCell ref="BS138:BT138"/>
    <mergeCell ref="BU138:BX138"/>
    <mergeCell ref="AB138:AC138"/>
    <mergeCell ref="AD138:AE138"/>
    <mergeCell ref="AF138:AH138"/>
    <mergeCell ref="AL138:AO138"/>
    <mergeCell ref="AP138:AR138"/>
    <mergeCell ref="BF138:BG138"/>
    <mergeCell ref="CN138:CO138"/>
    <mergeCell ref="CP138:CQ138"/>
    <mergeCell ref="CR138:CT138"/>
    <mergeCell ref="CU138:CV138"/>
    <mergeCell ref="CW138:CY138"/>
    <mergeCell ref="AS138:AT138"/>
    <mergeCell ref="AU138:AW138"/>
    <mergeCell ref="AC584:AC585"/>
    <mergeCell ref="C198:CI199"/>
    <mergeCell ref="BN138:BO138"/>
    <mergeCell ref="BP138:BR138"/>
    <mergeCell ref="Q262:Q263"/>
    <mergeCell ref="X267:Y267"/>
    <mergeCell ref="X572:AA573"/>
    <mergeCell ref="X581:AA581"/>
    <mergeCell ref="C238:I239"/>
    <mergeCell ref="H250:H251"/>
    <mergeCell ref="C255:D255"/>
    <mergeCell ref="T267:U267"/>
    <mergeCell ref="AI138:AK138"/>
    <mergeCell ref="BD138:BE138"/>
    <mergeCell ref="AX138:AY138"/>
    <mergeCell ref="AZ138:BA138"/>
    <mergeCell ref="BB138:BC138"/>
    <mergeCell ref="L1719:Q1719"/>
    <mergeCell ref="L1724:Q1724"/>
    <mergeCell ref="L1725:Q1725"/>
    <mergeCell ref="I1036:J1036"/>
    <mergeCell ref="I1037:J1037"/>
    <mergeCell ref="L1712:Q1712"/>
    <mergeCell ref="L1713:Q1713"/>
    <mergeCell ref="L1715:Q1715"/>
    <mergeCell ref="L1716:Q1716"/>
    <mergeCell ref="L1717:Q1717"/>
    <mergeCell ref="L1708:Q1708"/>
    <mergeCell ref="L1709:Q1709"/>
    <mergeCell ref="L1710:Q1710"/>
    <mergeCell ref="L1711:Q1711"/>
    <mergeCell ref="L1702:Q1702"/>
    <mergeCell ref="L1703:Q1703"/>
    <mergeCell ref="L1704:Q1704"/>
    <mergeCell ref="L1705:Q1705"/>
    <mergeCell ref="L1706:Q1706"/>
    <mergeCell ref="L1707:Q1707"/>
    <mergeCell ref="M1065:W1065"/>
    <mergeCell ref="S1010:U1011"/>
    <mergeCell ref="C1698:D1699"/>
    <mergeCell ref="C1065:J1065"/>
    <mergeCell ref="P1109:W1110"/>
    <mergeCell ref="V1700:W1700"/>
    <mergeCell ref="T1700:U1700"/>
    <mergeCell ref="T1698:Y1699"/>
    <mergeCell ref="P1699:P1700"/>
    <mergeCell ref="O1699:O1700"/>
    <mergeCell ref="X1700:Y1700"/>
    <mergeCell ref="Y803:AA804"/>
    <mergeCell ref="C998:E998"/>
    <mergeCell ref="G998:L998"/>
    <mergeCell ref="V709:X709"/>
    <mergeCell ref="V719:X719"/>
    <mergeCell ref="V720:X720"/>
    <mergeCell ref="V715:X715"/>
    <mergeCell ref="V768:X768"/>
    <mergeCell ref="L1868:Q1868"/>
    <mergeCell ref="L1834:Q1834"/>
    <mergeCell ref="L1835:Q1835"/>
    <mergeCell ref="L1836:Q1836"/>
    <mergeCell ref="L1837:Q1837"/>
    <mergeCell ref="L1838:Q1838"/>
    <mergeCell ref="L1839:Q1839"/>
    <mergeCell ref="L1840:Q1840"/>
    <mergeCell ref="L1841:Q1841"/>
    <mergeCell ref="L1842:Q1842"/>
    <mergeCell ref="L1843:Q1843"/>
    <mergeCell ref="L1844:Q1844"/>
    <mergeCell ref="L1845:Q1845"/>
    <mergeCell ref="L1851:Q1851"/>
    <mergeCell ref="L1823:Q1823"/>
    <mergeCell ref="L1824:Q1824"/>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89:Q1889"/>
    <mergeCell ref="L1890:Q1890"/>
    <mergeCell ref="L1891:Q1891"/>
    <mergeCell ref="L1854:Q1854"/>
    <mergeCell ref="L1855:Q1855"/>
    <mergeCell ref="L1856:Q1856"/>
    <mergeCell ref="L1797:Q1797"/>
    <mergeCell ref="L1798:Q1798"/>
    <mergeCell ref="L1799:Q1799"/>
    <mergeCell ref="L1800:Q1800"/>
    <mergeCell ref="L1892:Q1892"/>
    <mergeCell ref="L1893:Q1893"/>
    <mergeCell ref="L1869:Q1869"/>
    <mergeCell ref="L1847:Q1847"/>
    <mergeCell ref="L1848:Q1848"/>
    <mergeCell ref="L1849:Q1849"/>
    <mergeCell ref="L1850:Q1850"/>
    <mergeCell ref="L1859:Q1859"/>
    <mergeCell ref="L1860:Q1860"/>
    <mergeCell ref="L1861:Q1861"/>
    <mergeCell ref="L1862:Q1862"/>
    <mergeCell ref="L1863:Q1863"/>
    <mergeCell ref="L1864:Q1864"/>
    <mergeCell ref="L1865:Q1865"/>
    <mergeCell ref="L1829:Q1829"/>
    <mergeCell ref="L1857:Q1857"/>
    <mergeCell ref="L1833:Q1833"/>
    <mergeCell ref="L1866:Q1866"/>
    <mergeCell ref="L1867:Q1867"/>
    <mergeCell ref="L1803:Q1803"/>
    <mergeCell ref="L1804:Q1804"/>
    <mergeCell ref="L1830:Q1830"/>
    <mergeCell ref="L1831:Q1831"/>
    <mergeCell ref="L1808:Q1808"/>
    <mergeCell ref="L1809:Q1809"/>
    <mergeCell ref="L1810:Q1810"/>
    <mergeCell ref="L1811:Q1811"/>
    <mergeCell ref="L1812:Q1812"/>
    <mergeCell ref="L1813:Q1813"/>
    <mergeCell ref="L1814:Q1814"/>
    <mergeCell ref="L1815:Q1815"/>
    <mergeCell ref="L1816:Q1816"/>
    <mergeCell ref="L1817:Q1817"/>
    <mergeCell ref="L1818:Q1818"/>
    <mergeCell ref="L1819:Q1819"/>
    <mergeCell ref="L1821:Q1821"/>
    <mergeCell ref="L1822:Q1822"/>
    <mergeCell ref="L1825:Q1825"/>
    <mergeCell ref="L1826:Q1826"/>
    <mergeCell ref="L1852:Q1852"/>
    <mergeCell ref="L1853:Q1853"/>
    <mergeCell ref="L1770:Q1770"/>
    <mergeCell ref="L1771:Q1771"/>
    <mergeCell ref="L1772:Q1772"/>
    <mergeCell ref="L1773:Q1773"/>
    <mergeCell ref="L1827:Q1827"/>
    <mergeCell ref="L1828:Q1828"/>
    <mergeCell ref="L1776:Q1776"/>
    <mergeCell ref="L1777:Q1777"/>
    <mergeCell ref="L1805:Q1805"/>
    <mergeCell ref="L1806:Q1806"/>
    <mergeCell ref="L1782:Q1782"/>
    <mergeCell ref="L1783:Q1783"/>
    <mergeCell ref="L1784:Q1784"/>
    <mergeCell ref="L1785:Q1785"/>
    <mergeCell ref="L1786:Q1786"/>
    <mergeCell ref="L1787:Q1787"/>
    <mergeCell ref="L1788:Q1788"/>
    <mergeCell ref="L1789:Q1789"/>
    <mergeCell ref="L1790:Q1790"/>
    <mergeCell ref="L1791:Q1791"/>
    <mergeCell ref="L1792:Q1792"/>
    <mergeCell ref="L1793:Q1793"/>
    <mergeCell ref="L1794:Q1794"/>
    <mergeCell ref="L1796:Q1796"/>
    <mergeCell ref="L1760:Q1760"/>
    <mergeCell ref="L1761:Q1761"/>
    <mergeCell ref="L1762:Q1762"/>
    <mergeCell ref="L1763:Q1763"/>
    <mergeCell ref="L1764:Q1764"/>
    <mergeCell ref="L1765:Q1765"/>
    <mergeCell ref="L1766:Q1766"/>
    <mergeCell ref="L1767:Q1767"/>
    <mergeCell ref="L1769:Q1769"/>
    <mergeCell ref="L1774:Q1774"/>
    <mergeCell ref="L1775:Q1775"/>
    <mergeCell ref="B1694:B1897"/>
    <mergeCell ref="P10:Q11"/>
    <mergeCell ref="L1751:Q1751"/>
    <mergeCell ref="L1752:Q1752"/>
    <mergeCell ref="L1753:Q1753"/>
    <mergeCell ref="L1754:Q1754"/>
    <mergeCell ref="E1698:N1699"/>
    <mergeCell ref="L1747:Q1747"/>
    <mergeCell ref="L1748:Q1748"/>
    <mergeCell ref="L1749:Q1749"/>
    <mergeCell ref="L1750:Q1750"/>
    <mergeCell ref="L1801:Q1801"/>
    <mergeCell ref="L1802:Q1802"/>
    <mergeCell ref="L1722:Q1722"/>
    <mergeCell ref="L1723:Q1723"/>
    <mergeCell ref="L1778:Q1778"/>
    <mergeCell ref="L1779:Q1779"/>
    <mergeCell ref="L1780:Q1780"/>
    <mergeCell ref="L1756:Q1756"/>
    <mergeCell ref="L1757:Q1757"/>
    <mergeCell ref="L1758:Q1758"/>
    <mergeCell ref="L1759:Q1759"/>
    <mergeCell ref="L1742:Q1742"/>
    <mergeCell ref="L1743:Q1743"/>
    <mergeCell ref="L1744:Q1744"/>
    <mergeCell ref="L1745:Q1745"/>
    <mergeCell ref="L1746:Q1746"/>
    <mergeCell ref="L1739:Q1739"/>
    <mergeCell ref="L1740:Q1740"/>
    <mergeCell ref="L1720:Q1720"/>
    <mergeCell ref="L1721:Q1721"/>
    <mergeCell ref="L1726:Q1726"/>
    <mergeCell ref="L1728:Q1728"/>
    <mergeCell ref="L1729:Q1729"/>
    <mergeCell ref="L1730:Q1730"/>
    <mergeCell ref="L1731:Q1731"/>
    <mergeCell ref="L1732:Q1732"/>
    <mergeCell ref="L1733:Q1733"/>
    <mergeCell ref="L1734:Q1734"/>
    <mergeCell ref="L1735:Q1735"/>
    <mergeCell ref="L1736:Q1736"/>
    <mergeCell ref="L1737:Q1737"/>
    <mergeCell ref="L1738:Q1738"/>
    <mergeCell ref="B1184:B1693"/>
    <mergeCell ref="I1038:J1038"/>
    <mergeCell ref="I1039:J1039"/>
    <mergeCell ref="I1040:J1040"/>
    <mergeCell ref="I1041:J1041"/>
    <mergeCell ref="I1042:J1042"/>
    <mergeCell ref="I1043:J1043"/>
    <mergeCell ref="I1044:J1044"/>
    <mergeCell ref="I1045:J1045"/>
    <mergeCell ref="I1046:J1046"/>
    <mergeCell ref="I1047:J1047"/>
    <mergeCell ref="C1109:N1110"/>
    <mergeCell ref="K1050:L1050"/>
    <mergeCell ref="C900:N900"/>
    <mergeCell ref="E64:F64"/>
    <mergeCell ref="C1021:C1022"/>
    <mergeCell ref="C1006:AC1008"/>
    <mergeCell ref="B1006:B1183"/>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N267:O267"/>
    <mergeCell ref="P267:Q267"/>
    <mergeCell ref="C607:H607"/>
    <mergeCell ref="R267:S267"/>
    <mergeCell ref="E1035:E1036"/>
    <mergeCell ref="V267:W267"/>
  </mergeCells>
  <phoneticPr fontId="9" type="noConversion"/>
  <conditionalFormatting sqref="W1190:X1191 W1194 W1247 W1240 W1242:W1244 W1269:X1279 W1250:W1263 W1266:W1267 W1192 W1282:X1368 W1196:W1197 W1199:W1238 X1192:X1197 X1199:X1268">
    <cfRule type="expression" dxfId="219" priority="3">
      <formula>"No"</formula>
    </cfRule>
  </conditionalFormatting>
  <conditionalFormatting sqref="W1198:X1198">
    <cfRule type="expression" dxfId="218" priority="1">
      <formula>"No"</formula>
    </cfRule>
  </conditionalFormatting>
  <dataValidations disablePrompts="1" count="2">
    <dataValidation operator="equal" allowBlank="1" showErrorMessage="1" sqref="AE642:AE644 AE635:AE637 D768:D770" xr:uid="{00000000-0002-0000-0D00-000000000000}">
      <formula1>0</formula1>
      <formula2>0</formula2>
    </dataValidation>
    <dataValidation type="list" allowBlank="1" showInputMessage="1" showErrorMessage="1" sqref="AF629" xr:uid="{00000000-0002-0000-0D00-000001000000}">
      <formula1>Lista_ArmaSimilar</formula1>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BK680"/>
  <sheetViews>
    <sheetView topLeftCell="A390" zoomScaleNormal="100" workbookViewId="0">
      <selection activeCell="F404" sqref="F404"/>
    </sheetView>
  </sheetViews>
  <sheetFormatPr defaultColWidth="11.42578125" defaultRowHeight="12.75" x14ac:dyDescent="0.2"/>
  <cols>
    <col min="1" max="1" width="17.5703125" style="2093" customWidth="1"/>
    <col min="2" max="2" width="9.42578125" style="2092" customWidth="1"/>
    <col min="3" max="3" width="9.42578125" style="1075" customWidth="1"/>
    <col min="4" max="4" width="17.85546875" style="1075" customWidth="1"/>
    <col min="5" max="5" width="9.42578125" style="1075" customWidth="1"/>
    <col min="6" max="6" width="9.42578125" style="1077" customWidth="1"/>
    <col min="7" max="9" width="9.42578125" style="1078" customWidth="1"/>
    <col min="10" max="32" width="9.42578125" style="1075" customWidth="1"/>
    <col min="33" max="33" width="9.42578125" style="1079" customWidth="1"/>
    <col min="34" max="256" width="9.42578125" style="1075" customWidth="1"/>
    <col min="257" max="16384" width="11.42578125" style="1075"/>
  </cols>
  <sheetData>
    <row r="1" spans="2:63" ht="12.75" customHeight="1" thickBot="1" x14ac:dyDescent="0.25">
      <c r="B1" s="2090"/>
      <c r="C1" s="1076"/>
    </row>
    <row r="2" spans="2:63" ht="12.75" customHeight="1" x14ac:dyDescent="0.2">
      <c r="B2" s="2091"/>
      <c r="C2" s="5381" t="s">
        <v>4558</v>
      </c>
      <c r="D2" s="5382"/>
      <c r="E2" s="5382"/>
      <c r="F2" s="5382"/>
      <c r="G2" s="5382"/>
      <c r="H2" s="5382"/>
      <c r="I2" s="5382"/>
      <c r="J2" s="5382"/>
      <c r="K2" s="5382"/>
      <c r="L2" s="5382"/>
      <c r="M2" s="5382"/>
      <c r="N2" s="5382"/>
      <c r="O2" s="5382"/>
      <c r="P2" s="5382"/>
      <c r="Q2" s="5382"/>
      <c r="R2" s="5382"/>
      <c r="S2" s="5382"/>
      <c r="T2" s="5382"/>
      <c r="U2" s="5382"/>
      <c r="V2" s="5382"/>
      <c r="W2" s="5382"/>
      <c r="X2" s="5382"/>
      <c r="Y2" s="5382"/>
      <c r="Z2" s="5383"/>
      <c r="AA2" s="1081"/>
      <c r="AB2" s="1081"/>
      <c r="AC2" s="1081"/>
      <c r="AD2" s="1081"/>
      <c r="AE2" s="1081"/>
      <c r="AF2" s="1081"/>
      <c r="AG2" s="1082"/>
      <c r="AH2" s="1081"/>
      <c r="AI2" s="1081"/>
      <c r="AJ2" s="1081"/>
      <c r="AK2" s="1081"/>
      <c r="AL2" s="1081"/>
      <c r="AM2" s="1081"/>
      <c r="AN2" s="1081"/>
      <c r="AO2" s="1081"/>
      <c r="AP2" s="1081"/>
      <c r="AQ2" s="1081"/>
      <c r="AR2" s="1081"/>
      <c r="AS2" s="1081"/>
      <c r="AT2" s="1081"/>
      <c r="AU2" s="1081"/>
      <c r="AV2" s="1081"/>
      <c r="AW2" s="1081"/>
      <c r="AX2" s="1081"/>
      <c r="AY2" s="1081"/>
      <c r="AZ2" s="1081"/>
      <c r="BA2" s="1081"/>
      <c r="BB2" s="1081"/>
      <c r="BC2" s="1081"/>
      <c r="BD2" s="1081"/>
      <c r="BE2" s="1081"/>
      <c r="BF2" s="1081"/>
      <c r="BG2" s="1081"/>
      <c r="BH2" s="1076"/>
      <c r="BI2" s="1076"/>
      <c r="BJ2" s="1076"/>
      <c r="BK2" s="1076"/>
    </row>
    <row r="3" spans="2:63" ht="12.75" customHeight="1" x14ac:dyDescent="0.2">
      <c r="B3" s="2091"/>
      <c r="C3" s="5384"/>
      <c r="D3" s="5385"/>
      <c r="E3" s="5385"/>
      <c r="F3" s="5385"/>
      <c r="G3" s="5385"/>
      <c r="H3" s="5385"/>
      <c r="I3" s="5385"/>
      <c r="J3" s="5385"/>
      <c r="K3" s="5385"/>
      <c r="L3" s="5385"/>
      <c r="M3" s="5385"/>
      <c r="N3" s="5385"/>
      <c r="O3" s="5385"/>
      <c r="P3" s="5385"/>
      <c r="Q3" s="5385"/>
      <c r="R3" s="5385"/>
      <c r="S3" s="5385"/>
      <c r="T3" s="5385"/>
      <c r="U3" s="5385"/>
      <c r="V3" s="5385"/>
      <c r="W3" s="5385"/>
      <c r="X3" s="5385"/>
      <c r="Y3" s="5385"/>
      <c r="Z3" s="5386"/>
      <c r="AA3" s="1081"/>
      <c r="AB3" s="1081"/>
      <c r="AC3" s="1081"/>
      <c r="AD3" s="1081"/>
      <c r="AE3" s="1081"/>
      <c r="AF3" s="1081"/>
      <c r="AG3" s="1082"/>
      <c r="AH3" s="1081"/>
      <c r="AI3" s="1081"/>
      <c r="AJ3" s="1081"/>
      <c r="AK3" s="1081"/>
      <c r="AL3" s="1081"/>
      <c r="AM3" s="1081"/>
      <c r="AN3" s="1081"/>
      <c r="AO3" s="1081"/>
      <c r="AP3" s="1081"/>
      <c r="AQ3" s="1081"/>
      <c r="AR3" s="1081"/>
      <c r="AS3" s="1081"/>
      <c r="AT3" s="1081"/>
      <c r="AU3" s="1081"/>
      <c r="AV3" s="1081"/>
      <c r="AW3" s="1081"/>
      <c r="AX3" s="1081"/>
      <c r="AY3" s="1081"/>
      <c r="AZ3" s="1081"/>
      <c r="BA3" s="1081"/>
      <c r="BB3" s="1081"/>
      <c r="BC3" s="1081"/>
      <c r="BD3" s="1081"/>
      <c r="BE3" s="1081"/>
      <c r="BF3" s="1081"/>
      <c r="BG3" s="1081"/>
      <c r="BH3" s="1076"/>
      <c r="BI3" s="1076"/>
      <c r="BJ3" s="1076"/>
      <c r="BK3" s="1076"/>
    </row>
    <row r="4" spans="2:63" ht="12.75" customHeight="1" x14ac:dyDescent="0.2">
      <c r="B4" s="2091"/>
      <c r="C4" s="1083"/>
      <c r="D4" s="706">
        <v>1</v>
      </c>
      <c r="E4" s="706">
        <v>2</v>
      </c>
      <c r="F4" s="706">
        <v>3</v>
      </c>
      <c r="G4" s="706">
        <v>4</v>
      </c>
      <c r="H4" s="706">
        <v>5</v>
      </c>
      <c r="I4" s="706">
        <v>6</v>
      </c>
      <c r="J4" s="706">
        <v>7</v>
      </c>
      <c r="K4" s="706">
        <v>8</v>
      </c>
      <c r="L4" s="706">
        <v>9</v>
      </c>
      <c r="M4" s="1084">
        <v>10</v>
      </c>
      <c r="N4" s="1084">
        <v>11</v>
      </c>
      <c r="O4" s="1084">
        <v>12</v>
      </c>
      <c r="P4" s="1084">
        <v>13</v>
      </c>
      <c r="Q4" s="1084">
        <v>14</v>
      </c>
      <c r="R4" s="1084">
        <v>15</v>
      </c>
      <c r="S4" s="1084">
        <v>16</v>
      </c>
      <c r="T4" s="1084">
        <v>17</v>
      </c>
      <c r="U4" s="1084">
        <v>18</v>
      </c>
      <c r="V4" s="1084">
        <v>19</v>
      </c>
      <c r="W4" s="1084">
        <v>20</v>
      </c>
      <c r="X4" s="1084">
        <v>21</v>
      </c>
      <c r="Y4" s="1084">
        <v>22</v>
      </c>
      <c r="Z4" s="1085">
        <v>23</v>
      </c>
      <c r="AA4" s="5380"/>
      <c r="AB4" s="5380"/>
      <c r="AC4" s="1086"/>
      <c r="AD4" s="5380"/>
      <c r="AE4" s="5380"/>
      <c r="AF4" s="1086"/>
      <c r="AG4" s="1087"/>
      <c r="AH4" s="1088"/>
      <c r="AI4" s="1086"/>
      <c r="AJ4" s="5380"/>
      <c r="AK4" s="5380"/>
      <c r="AL4" s="1086"/>
      <c r="AM4" s="5380"/>
      <c r="AN4" s="5380"/>
      <c r="AO4" s="1086"/>
      <c r="AP4" s="5380"/>
      <c r="AQ4" s="5380"/>
      <c r="AR4" s="1086"/>
      <c r="AS4" s="5380"/>
      <c r="AT4" s="5380"/>
      <c r="AU4" s="1086"/>
      <c r="AV4" s="5380"/>
      <c r="AW4" s="5380"/>
      <c r="AX4" s="1086"/>
      <c r="AY4" s="5380"/>
      <c r="AZ4" s="5380"/>
      <c r="BA4" s="1086"/>
      <c r="BB4" s="5380"/>
      <c r="BC4" s="5380"/>
      <c r="BD4" s="1086"/>
      <c r="BE4" s="5380"/>
      <c r="BF4" s="5380"/>
      <c r="BG4" s="1086"/>
      <c r="BH4" s="1076"/>
      <c r="BI4" s="1076"/>
      <c r="BJ4" s="1076"/>
      <c r="BK4" s="1076"/>
    </row>
    <row r="5" spans="2:63" ht="12.75" customHeight="1" thickBot="1" x14ac:dyDescent="0.25">
      <c r="B5" s="483"/>
      <c r="C5" s="1089"/>
      <c r="D5" s="1090" t="s">
        <v>2013</v>
      </c>
      <c r="E5" s="1090" t="s">
        <v>2014</v>
      </c>
      <c r="F5" s="1090" t="s">
        <v>1712</v>
      </c>
      <c r="G5" s="1090" t="s">
        <v>4559</v>
      </c>
      <c r="H5" s="1090" t="s">
        <v>1708</v>
      </c>
      <c r="I5" s="1090" t="s">
        <v>3303</v>
      </c>
      <c r="J5" s="1090" t="s">
        <v>4560</v>
      </c>
      <c r="K5" s="1090" t="s">
        <v>4561</v>
      </c>
      <c r="L5" s="1090" t="s">
        <v>4562</v>
      </c>
      <c r="M5" s="1090" t="s">
        <v>4563</v>
      </c>
      <c r="N5" s="1090" t="s">
        <v>4564</v>
      </c>
      <c r="O5" s="1090" t="s">
        <v>4565</v>
      </c>
      <c r="P5" s="1090" t="s">
        <v>4566</v>
      </c>
      <c r="Q5" s="1090" t="s">
        <v>4567</v>
      </c>
      <c r="R5" s="1090" t="s">
        <v>4568</v>
      </c>
      <c r="S5" s="1090" t="s">
        <v>4569</v>
      </c>
      <c r="T5" s="1090" t="s">
        <v>4570</v>
      </c>
      <c r="U5" s="1090" t="s">
        <v>4571</v>
      </c>
      <c r="V5" s="553" t="s">
        <v>1674</v>
      </c>
      <c r="W5" s="553" t="s">
        <v>4572</v>
      </c>
      <c r="X5" s="553" t="s">
        <v>4573</v>
      </c>
      <c r="Y5" s="553" t="s">
        <v>4574</v>
      </c>
      <c r="Z5" s="554" t="s">
        <v>1536</v>
      </c>
      <c r="AA5" s="5387"/>
      <c r="AB5" s="5387"/>
      <c r="AC5" s="1091"/>
      <c r="AD5" s="5387"/>
      <c r="AE5" s="5387"/>
      <c r="AF5" s="1091"/>
      <c r="AG5" s="1092"/>
      <c r="AH5" s="1093"/>
      <c r="AI5" s="1091"/>
      <c r="AJ5" s="5387"/>
      <c r="AK5" s="5387"/>
      <c r="AL5" s="1091"/>
      <c r="AM5" s="5387"/>
      <c r="AN5" s="5387"/>
      <c r="AO5" s="1091"/>
      <c r="AP5" s="5387"/>
      <c r="AQ5" s="5387"/>
      <c r="AR5" s="1091"/>
      <c r="AS5" s="5387"/>
      <c r="AT5" s="5387"/>
      <c r="AU5" s="1091"/>
      <c r="AV5" s="5387"/>
      <c r="AW5" s="5387"/>
      <c r="AX5" s="1091"/>
      <c r="AY5" s="5387"/>
      <c r="AZ5" s="5387"/>
      <c r="BA5" s="1091"/>
      <c r="BB5" s="5387"/>
      <c r="BC5" s="5387"/>
      <c r="BD5" s="1091"/>
      <c r="BE5" s="5387"/>
      <c r="BF5" s="5387"/>
      <c r="BG5" s="1091"/>
      <c r="BH5" s="1076"/>
      <c r="BI5" s="1076"/>
      <c r="BJ5" s="1076"/>
      <c r="BK5" s="1076"/>
    </row>
    <row r="6" spans="2:63" ht="12.75" customHeight="1" x14ac:dyDescent="0.2">
      <c r="B6" s="2090"/>
      <c r="C6" s="1094"/>
      <c r="D6" s="521" t="s">
        <v>239</v>
      </c>
      <c r="E6" s="1095"/>
      <c r="F6" s="1095"/>
      <c r="G6" s="1096"/>
      <c r="H6" s="1096"/>
      <c r="I6" s="1097"/>
      <c r="J6" s="1095"/>
      <c r="K6" s="1095"/>
      <c r="L6" s="1095"/>
      <c r="M6" s="1098"/>
      <c r="N6" s="1095"/>
      <c r="O6" s="1095"/>
      <c r="P6" s="1095"/>
      <c r="Q6" s="1098"/>
      <c r="R6" s="1095"/>
      <c r="S6" s="1095"/>
      <c r="T6" s="1099"/>
      <c r="U6" s="1100"/>
      <c r="V6" s="1101"/>
      <c r="W6" s="1101"/>
      <c r="X6" s="1101"/>
      <c r="Y6" s="1101"/>
      <c r="Z6" s="1102"/>
    </row>
    <row r="7" spans="2:63" ht="12.75" customHeight="1" x14ac:dyDescent="0.2">
      <c r="B7" s="2090" t="str">
        <f>E7&amp;F7</f>
        <v>Luz2</v>
      </c>
      <c r="C7" s="1103"/>
      <c r="D7" s="521" t="s">
        <v>241</v>
      </c>
      <c r="E7" s="1095" t="s">
        <v>2019</v>
      </c>
      <c r="F7" s="1095">
        <v>2</v>
      </c>
      <c r="G7" s="1096" t="s">
        <v>2446</v>
      </c>
      <c r="H7" s="1096" t="s">
        <v>1536</v>
      </c>
      <c r="I7" s="1097" t="s">
        <v>1606</v>
      </c>
      <c r="J7" s="1095">
        <v>5</v>
      </c>
      <c r="K7" s="1095">
        <v>8</v>
      </c>
      <c r="L7" s="1095">
        <v>10</v>
      </c>
      <c r="M7" s="1098">
        <v>12</v>
      </c>
      <c r="N7" s="1095">
        <v>20</v>
      </c>
      <c r="O7" s="1095">
        <v>50</v>
      </c>
      <c r="P7" s="1095">
        <v>100</v>
      </c>
      <c r="Q7" s="1098">
        <v>200</v>
      </c>
      <c r="R7" s="1095">
        <v>5</v>
      </c>
      <c r="S7" s="1095">
        <v>5</v>
      </c>
      <c r="T7" s="1099">
        <v>10</v>
      </c>
      <c r="U7" s="1104">
        <v>15</v>
      </c>
      <c r="V7" s="1101" t="s">
        <v>4575</v>
      </c>
      <c r="W7" s="1101" t="s">
        <v>4576</v>
      </c>
      <c r="X7" s="1101" t="s">
        <v>4577</v>
      </c>
      <c r="Y7" s="1101" t="s">
        <v>4578</v>
      </c>
      <c r="Z7" s="1102" t="s">
        <v>4579</v>
      </c>
    </row>
    <row r="8" spans="2:63" ht="12.75" customHeight="1" x14ac:dyDescent="0.2">
      <c r="B8" s="2090" t="str">
        <f t="shared" ref="B8:B71" si="0">E8&amp;F8</f>
        <v>Luz6</v>
      </c>
      <c r="C8" s="1103"/>
      <c r="D8" s="521" t="s">
        <v>256</v>
      </c>
      <c r="E8" s="1095" t="s">
        <v>2019</v>
      </c>
      <c r="F8" s="1095">
        <v>6</v>
      </c>
      <c r="G8" s="1096" t="s">
        <v>1690</v>
      </c>
      <c r="H8" s="1096" t="s">
        <v>1535</v>
      </c>
      <c r="I8" s="1097" t="s">
        <v>1606</v>
      </c>
      <c r="J8" s="1095">
        <v>5</v>
      </c>
      <c r="K8" s="1095">
        <v>8</v>
      </c>
      <c r="L8" s="1095">
        <v>11</v>
      </c>
      <c r="M8" s="1098">
        <v>14</v>
      </c>
      <c r="N8" s="1095">
        <v>40</v>
      </c>
      <c r="O8" s="1095">
        <v>80</v>
      </c>
      <c r="P8" s="1095">
        <v>120</v>
      </c>
      <c r="Q8" s="1098">
        <v>160</v>
      </c>
      <c r="R8" s="1095" t="s">
        <v>1690</v>
      </c>
      <c r="S8" s="1095" t="s">
        <v>1690</v>
      </c>
      <c r="T8" s="1099" t="s">
        <v>1690</v>
      </c>
      <c r="U8" s="1104" t="s">
        <v>1690</v>
      </c>
      <c r="V8" s="1101" t="s">
        <v>4580</v>
      </c>
      <c r="W8" s="1101" t="s">
        <v>4581</v>
      </c>
      <c r="X8" s="1101" t="s">
        <v>4582</v>
      </c>
      <c r="Y8" s="1101" t="s">
        <v>4583</v>
      </c>
      <c r="Z8" s="1102" t="s">
        <v>4584</v>
      </c>
    </row>
    <row r="9" spans="2:63" ht="12.75" customHeight="1" x14ac:dyDescent="0.2">
      <c r="B9" s="2090" t="str">
        <f t="shared" si="0"/>
        <v>Luz8</v>
      </c>
      <c r="C9" s="1103"/>
      <c r="D9" s="521" t="s">
        <v>257</v>
      </c>
      <c r="E9" s="1095" t="s">
        <v>2019</v>
      </c>
      <c r="F9" s="1095">
        <v>8</v>
      </c>
      <c r="G9" s="1096" t="s">
        <v>1690</v>
      </c>
      <c r="H9" s="1096" t="s">
        <v>4585</v>
      </c>
      <c r="I9" s="1097" t="s">
        <v>1606</v>
      </c>
      <c r="J9" s="1095">
        <v>6</v>
      </c>
      <c r="K9" s="1095">
        <v>9</v>
      </c>
      <c r="L9" s="1095">
        <v>11</v>
      </c>
      <c r="M9" s="1098">
        <v>14</v>
      </c>
      <c r="N9" s="1095">
        <v>50</v>
      </c>
      <c r="O9" s="1095">
        <v>100</v>
      </c>
      <c r="P9" s="1095">
        <v>150</v>
      </c>
      <c r="Q9" s="1098">
        <v>200</v>
      </c>
      <c r="R9" s="1095" t="s">
        <v>1690</v>
      </c>
      <c r="S9" s="1095" t="s">
        <v>1690</v>
      </c>
      <c r="T9" s="1099" t="s">
        <v>1690</v>
      </c>
      <c r="U9" s="1104" t="s">
        <v>1690</v>
      </c>
      <c r="V9" s="1101" t="s">
        <v>4586</v>
      </c>
      <c r="W9" s="1101" t="s">
        <v>4587</v>
      </c>
      <c r="X9" s="1101" t="s">
        <v>4588</v>
      </c>
      <c r="Y9" s="1101" t="s">
        <v>4589</v>
      </c>
      <c r="Z9" s="1102" t="s">
        <v>4590</v>
      </c>
    </row>
    <row r="10" spans="2:63" ht="12.75" customHeight="1" x14ac:dyDescent="0.2">
      <c r="B10" s="2090" t="str">
        <f t="shared" si="0"/>
        <v>Luz10</v>
      </c>
      <c r="C10" s="1103"/>
      <c r="D10" s="521" t="s">
        <v>258</v>
      </c>
      <c r="E10" s="1095" t="s">
        <v>2019</v>
      </c>
      <c r="F10" s="1095">
        <v>10</v>
      </c>
      <c r="G10" s="1096" t="s">
        <v>1690</v>
      </c>
      <c r="H10" s="1096" t="s">
        <v>1881</v>
      </c>
      <c r="I10" s="1097" t="s">
        <v>1607</v>
      </c>
      <c r="J10" s="1095">
        <v>6</v>
      </c>
      <c r="K10" s="1095">
        <v>8</v>
      </c>
      <c r="L10" s="1095">
        <v>10</v>
      </c>
      <c r="M10" s="1098">
        <v>14</v>
      </c>
      <c r="N10" s="1095">
        <v>50</v>
      </c>
      <c r="O10" s="1095">
        <v>120</v>
      </c>
      <c r="P10" s="1095">
        <v>180</v>
      </c>
      <c r="Q10" s="1098">
        <v>250</v>
      </c>
      <c r="R10" s="1095">
        <v>5</v>
      </c>
      <c r="S10" s="1095">
        <v>15</v>
      </c>
      <c r="T10" s="1099">
        <v>20</v>
      </c>
      <c r="U10" s="1104">
        <v>25</v>
      </c>
      <c r="V10" s="1101" t="s">
        <v>4591</v>
      </c>
      <c r="W10" s="1101" t="s">
        <v>4592</v>
      </c>
      <c r="X10" s="1101" t="s">
        <v>4593</v>
      </c>
      <c r="Y10" s="1101" t="s">
        <v>4594</v>
      </c>
      <c r="Z10" s="1102" t="s">
        <v>4595</v>
      </c>
    </row>
    <row r="11" spans="2:63" ht="12.75" customHeight="1" x14ac:dyDescent="0.2">
      <c r="B11" s="2090" t="str">
        <f t="shared" si="0"/>
        <v>Luz12</v>
      </c>
      <c r="C11" s="1103"/>
      <c r="D11" s="521" t="s">
        <v>259</v>
      </c>
      <c r="E11" s="1095" t="s">
        <v>2019</v>
      </c>
      <c r="F11" s="1095">
        <v>12</v>
      </c>
      <c r="G11" s="1096" t="s">
        <v>1690</v>
      </c>
      <c r="H11" s="1096" t="s">
        <v>1536</v>
      </c>
      <c r="I11" s="1097" t="s">
        <v>1606</v>
      </c>
      <c r="J11" s="1095">
        <v>6</v>
      </c>
      <c r="K11" s="1095">
        <v>9</v>
      </c>
      <c r="L11" s="1095">
        <v>12</v>
      </c>
      <c r="M11" s="1098">
        <v>14</v>
      </c>
      <c r="N11" s="1095">
        <v>50</v>
      </c>
      <c r="O11" s="1095">
        <v>150</v>
      </c>
      <c r="P11" s="1095">
        <v>200</v>
      </c>
      <c r="Q11" s="1098">
        <v>250</v>
      </c>
      <c r="R11" s="1095">
        <v>5</v>
      </c>
      <c r="S11" s="1095">
        <v>15</v>
      </c>
      <c r="T11" s="1099">
        <v>20</v>
      </c>
      <c r="U11" s="1104">
        <v>25</v>
      </c>
      <c r="V11" s="1101" t="s">
        <v>4596</v>
      </c>
      <c r="W11" s="1101" t="s">
        <v>4597</v>
      </c>
      <c r="X11" s="1101" t="s">
        <v>4598</v>
      </c>
      <c r="Y11" s="1101" t="s">
        <v>4599</v>
      </c>
      <c r="Z11" s="1102" t="s">
        <v>4600</v>
      </c>
    </row>
    <row r="12" spans="2:63" ht="12.75" customHeight="1" x14ac:dyDescent="0.2">
      <c r="B12" s="2090" t="str">
        <f t="shared" si="0"/>
        <v>Luz16</v>
      </c>
      <c r="C12" s="1103"/>
      <c r="D12" s="521" t="s">
        <v>260</v>
      </c>
      <c r="E12" s="1095" t="s">
        <v>2019</v>
      </c>
      <c r="F12" s="1095">
        <v>16</v>
      </c>
      <c r="G12" s="1096" t="s">
        <v>1690</v>
      </c>
      <c r="H12" s="1096" t="s">
        <v>1536</v>
      </c>
      <c r="I12" s="1097" t="s">
        <v>1606</v>
      </c>
      <c r="J12" s="1095">
        <v>6</v>
      </c>
      <c r="K12" s="1095">
        <v>9</v>
      </c>
      <c r="L12" s="1095">
        <v>12</v>
      </c>
      <c r="M12" s="1098">
        <v>15</v>
      </c>
      <c r="N12" s="1095">
        <v>60</v>
      </c>
      <c r="O12" s="1095">
        <v>90</v>
      </c>
      <c r="P12" s="1095">
        <v>120</v>
      </c>
      <c r="Q12" s="1098">
        <v>150</v>
      </c>
      <c r="R12" s="1095">
        <v>5</v>
      </c>
      <c r="S12" s="1095">
        <v>10</v>
      </c>
      <c r="T12" s="1099">
        <v>15</v>
      </c>
      <c r="U12" s="1104">
        <v>20</v>
      </c>
      <c r="V12" s="1101" t="s">
        <v>4601</v>
      </c>
      <c r="W12" s="1101" t="s">
        <v>4602</v>
      </c>
      <c r="X12" s="1101" t="s">
        <v>4603</v>
      </c>
      <c r="Y12" s="1101" t="s">
        <v>4604</v>
      </c>
      <c r="Z12" s="1102" t="s">
        <v>4605</v>
      </c>
    </row>
    <row r="13" spans="2:63" ht="12.75" customHeight="1" x14ac:dyDescent="0.2">
      <c r="B13" s="2090" t="str">
        <f t="shared" si="0"/>
        <v>Luz18</v>
      </c>
      <c r="C13" s="1103"/>
      <c r="D13" s="521" t="s">
        <v>261</v>
      </c>
      <c r="E13" s="1095" t="s">
        <v>2019</v>
      </c>
      <c r="F13" s="1095">
        <v>18</v>
      </c>
      <c r="G13" s="1096" t="s">
        <v>1690</v>
      </c>
      <c r="H13" s="1096" t="s">
        <v>1536</v>
      </c>
      <c r="I13" s="1097" t="s">
        <v>1606</v>
      </c>
      <c r="J13" s="1095">
        <v>6</v>
      </c>
      <c r="K13" s="1095">
        <v>9</v>
      </c>
      <c r="L13" s="1095">
        <v>12</v>
      </c>
      <c r="M13" s="1098">
        <v>15</v>
      </c>
      <c r="N13" s="1095">
        <v>60</v>
      </c>
      <c r="O13" s="1095">
        <v>100</v>
      </c>
      <c r="P13" s="1095">
        <v>150</v>
      </c>
      <c r="Q13" s="1098">
        <v>250</v>
      </c>
      <c r="R13" s="1095">
        <v>10</v>
      </c>
      <c r="S13" s="1095">
        <v>10</v>
      </c>
      <c r="T13" s="1099">
        <v>15</v>
      </c>
      <c r="U13" s="1104">
        <v>25</v>
      </c>
      <c r="V13" s="1101" t="s">
        <v>4606</v>
      </c>
      <c r="W13" s="1101" t="s">
        <v>4607</v>
      </c>
      <c r="X13" s="1101" t="s">
        <v>4608</v>
      </c>
      <c r="Y13" s="1101" t="s">
        <v>4609</v>
      </c>
      <c r="Z13" s="1102" t="s">
        <v>4610</v>
      </c>
    </row>
    <row r="14" spans="2:63" ht="12.75" customHeight="1" x14ac:dyDescent="0.2">
      <c r="B14" s="2090" t="str">
        <f t="shared" si="0"/>
        <v>Luz20</v>
      </c>
      <c r="C14" s="1103"/>
      <c r="D14" s="521" t="s">
        <v>262</v>
      </c>
      <c r="E14" s="1095" t="s">
        <v>2019</v>
      </c>
      <c r="F14" s="1095">
        <v>20</v>
      </c>
      <c r="G14" s="1096" t="s">
        <v>1690</v>
      </c>
      <c r="H14" s="1096" t="s">
        <v>1538</v>
      </c>
      <c r="I14" s="1097" t="s">
        <v>1606</v>
      </c>
      <c r="J14" s="1095">
        <v>6</v>
      </c>
      <c r="K14" s="1095">
        <v>9</v>
      </c>
      <c r="L14" s="1095">
        <v>12</v>
      </c>
      <c r="M14" s="1098">
        <v>15</v>
      </c>
      <c r="N14" s="1095">
        <v>50</v>
      </c>
      <c r="O14" s="1095">
        <v>100</v>
      </c>
      <c r="P14" s="1095">
        <v>160</v>
      </c>
      <c r="Q14" s="1098">
        <v>280</v>
      </c>
      <c r="R14" s="1095">
        <v>5</v>
      </c>
      <c r="S14" s="1095">
        <v>10</v>
      </c>
      <c r="T14" s="1099">
        <v>20</v>
      </c>
      <c r="U14" s="1104">
        <v>30</v>
      </c>
      <c r="V14" s="1101" t="s">
        <v>4611</v>
      </c>
      <c r="W14" s="1101" t="s">
        <v>4612</v>
      </c>
      <c r="X14" s="1101" t="s">
        <v>4613</v>
      </c>
      <c r="Y14" s="1101" t="s">
        <v>4614</v>
      </c>
      <c r="Z14" s="1102" t="s">
        <v>4615</v>
      </c>
    </row>
    <row r="15" spans="2:63" ht="12.75" customHeight="1" x14ac:dyDescent="0.2">
      <c r="B15" s="2090" t="str">
        <f t="shared" si="0"/>
        <v>Luz22</v>
      </c>
      <c r="C15" s="1103"/>
      <c r="D15" s="521" t="s">
        <v>263</v>
      </c>
      <c r="E15" s="1095" t="s">
        <v>2019</v>
      </c>
      <c r="F15" s="1095">
        <v>22</v>
      </c>
      <c r="G15" s="1096" t="s">
        <v>1690</v>
      </c>
      <c r="H15" s="1096" t="s">
        <v>1534</v>
      </c>
      <c r="I15" s="1097" t="s">
        <v>1606</v>
      </c>
      <c r="J15" s="1095">
        <v>6</v>
      </c>
      <c r="K15" s="1095">
        <v>9</v>
      </c>
      <c r="L15" s="1095">
        <v>12</v>
      </c>
      <c r="M15" s="1098">
        <v>15</v>
      </c>
      <c r="N15" s="1095">
        <v>50</v>
      </c>
      <c r="O15" s="1095">
        <v>90</v>
      </c>
      <c r="P15" s="1095">
        <v>120</v>
      </c>
      <c r="Q15" s="1098">
        <v>150</v>
      </c>
      <c r="R15" s="1095" t="s">
        <v>1690</v>
      </c>
      <c r="S15" s="1095" t="s">
        <v>1690</v>
      </c>
      <c r="T15" s="1099" t="s">
        <v>1690</v>
      </c>
      <c r="U15" s="1104" t="s">
        <v>1690</v>
      </c>
      <c r="V15" s="1101" t="s">
        <v>4616</v>
      </c>
      <c r="W15" s="1101" t="s">
        <v>4617</v>
      </c>
      <c r="X15" s="1101" t="s">
        <v>4618</v>
      </c>
      <c r="Y15" s="1101" t="s">
        <v>4619</v>
      </c>
      <c r="Z15" s="1102" t="s">
        <v>4620</v>
      </c>
    </row>
    <row r="16" spans="2:63" ht="12.75" customHeight="1" x14ac:dyDescent="0.2">
      <c r="B16" s="2090" t="str">
        <f t="shared" si="0"/>
        <v>Luz26</v>
      </c>
      <c r="C16" s="1103"/>
      <c r="D16" s="521" t="s">
        <v>244</v>
      </c>
      <c r="E16" s="1095" t="s">
        <v>2019</v>
      </c>
      <c r="F16" s="1095">
        <v>26</v>
      </c>
      <c r="G16" s="1096" t="s">
        <v>1690</v>
      </c>
      <c r="H16" s="1096" t="s">
        <v>1536</v>
      </c>
      <c r="I16" s="1097" t="s">
        <v>1606</v>
      </c>
      <c r="J16" s="1095">
        <v>6</v>
      </c>
      <c r="K16" s="1095">
        <v>9</v>
      </c>
      <c r="L16" s="1095">
        <v>12</v>
      </c>
      <c r="M16" s="1098">
        <v>15</v>
      </c>
      <c r="N16" s="1095">
        <v>40</v>
      </c>
      <c r="O16" s="1095">
        <v>150</v>
      </c>
      <c r="P16" s="1095">
        <v>250</v>
      </c>
      <c r="Q16" s="1098">
        <v>350</v>
      </c>
      <c r="R16" s="1095">
        <v>5</v>
      </c>
      <c r="S16" s="1095">
        <v>20</v>
      </c>
      <c r="T16" s="1099">
        <v>25</v>
      </c>
      <c r="U16" s="1104">
        <v>30</v>
      </c>
      <c r="V16" s="1101" t="s">
        <v>4621</v>
      </c>
      <c r="W16" s="1101" t="s">
        <v>4622</v>
      </c>
      <c r="X16" s="1101" t="s">
        <v>4623</v>
      </c>
      <c r="Y16" s="1101" t="s">
        <v>4624</v>
      </c>
      <c r="Z16" s="1102" t="s">
        <v>4625</v>
      </c>
    </row>
    <row r="17" spans="2:26" ht="12.75" customHeight="1" x14ac:dyDescent="0.2">
      <c r="B17" s="2090" t="str">
        <f t="shared" si="0"/>
        <v>Luz28</v>
      </c>
      <c r="C17" s="1103"/>
      <c r="D17" s="521" t="s">
        <v>264</v>
      </c>
      <c r="E17" s="1095" t="s">
        <v>2019</v>
      </c>
      <c r="F17" s="1095">
        <v>28</v>
      </c>
      <c r="G17" s="1096" t="s">
        <v>1690</v>
      </c>
      <c r="H17" s="1096" t="s">
        <v>1534</v>
      </c>
      <c r="I17" s="1097" t="s">
        <v>1606</v>
      </c>
      <c r="J17" s="1095">
        <v>6</v>
      </c>
      <c r="K17" s="1095">
        <v>9</v>
      </c>
      <c r="L17" s="1095">
        <v>12</v>
      </c>
      <c r="M17" s="1098">
        <v>15</v>
      </c>
      <c r="N17" s="1095">
        <v>60</v>
      </c>
      <c r="O17" s="1095">
        <v>100</v>
      </c>
      <c r="P17" s="1095">
        <v>140</v>
      </c>
      <c r="Q17" s="1098">
        <v>180</v>
      </c>
      <c r="R17" s="1095">
        <v>10</v>
      </c>
      <c r="S17" s="1095">
        <v>10</v>
      </c>
      <c r="T17" s="1099">
        <v>15</v>
      </c>
      <c r="U17" s="1104">
        <v>15</v>
      </c>
      <c r="V17" s="1101" t="s">
        <v>4626</v>
      </c>
      <c r="W17" s="1101" t="s">
        <v>4627</v>
      </c>
      <c r="X17" s="1101" t="s">
        <v>4628</v>
      </c>
      <c r="Y17" s="1101" t="s">
        <v>4629</v>
      </c>
      <c r="Z17" s="1102" t="s">
        <v>4630</v>
      </c>
    </row>
    <row r="18" spans="2:26" ht="12.75" customHeight="1" x14ac:dyDescent="0.2">
      <c r="B18" s="2090" t="str">
        <f t="shared" si="0"/>
        <v>Luz30</v>
      </c>
      <c r="C18" s="1103"/>
      <c r="D18" s="521" t="s">
        <v>265</v>
      </c>
      <c r="E18" s="1095" t="s">
        <v>2019</v>
      </c>
      <c r="F18" s="1095">
        <v>30</v>
      </c>
      <c r="G18" s="1096" t="s">
        <v>1690</v>
      </c>
      <c r="H18" s="1096" t="s">
        <v>1536</v>
      </c>
      <c r="I18" s="1097" t="s">
        <v>1606</v>
      </c>
      <c r="J18" s="1095">
        <v>6</v>
      </c>
      <c r="K18" s="1095">
        <v>9</v>
      </c>
      <c r="L18" s="1095">
        <v>12</v>
      </c>
      <c r="M18" s="1098">
        <v>15</v>
      </c>
      <c r="N18" s="1095">
        <v>50</v>
      </c>
      <c r="O18" s="1095">
        <v>150</v>
      </c>
      <c r="P18" s="1095">
        <v>250</v>
      </c>
      <c r="Q18" s="1098">
        <v>250</v>
      </c>
      <c r="R18" s="1095">
        <v>5</v>
      </c>
      <c r="S18" s="1095">
        <v>20</v>
      </c>
      <c r="T18" s="1099">
        <v>25</v>
      </c>
      <c r="U18" s="1104">
        <v>30</v>
      </c>
      <c r="V18" s="1101" t="s">
        <v>4631</v>
      </c>
      <c r="W18" s="1101" t="s">
        <v>4632</v>
      </c>
      <c r="X18" s="1101" t="s">
        <v>4633</v>
      </c>
      <c r="Y18" s="1101" t="s">
        <v>4634</v>
      </c>
      <c r="Z18" s="1102" t="s">
        <v>4635</v>
      </c>
    </row>
    <row r="19" spans="2:26" ht="12.75" customHeight="1" x14ac:dyDescent="0.2">
      <c r="B19" s="2090" t="str">
        <f t="shared" si="0"/>
        <v>Luz32</v>
      </c>
      <c r="C19" s="1103"/>
      <c r="D19" s="521" t="s">
        <v>266</v>
      </c>
      <c r="E19" s="1095" t="s">
        <v>2019</v>
      </c>
      <c r="F19" s="1095">
        <v>32</v>
      </c>
      <c r="G19" s="1096" t="s">
        <v>1690</v>
      </c>
      <c r="H19" s="1096" t="s">
        <v>1538</v>
      </c>
      <c r="I19" s="1097" t="s">
        <v>1606</v>
      </c>
      <c r="J19" s="1095">
        <v>6</v>
      </c>
      <c r="K19" s="1095">
        <v>9</v>
      </c>
      <c r="L19" s="1095">
        <v>12</v>
      </c>
      <c r="M19" s="1098">
        <v>15</v>
      </c>
      <c r="N19" s="1095">
        <v>60</v>
      </c>
      <c r="O19" s="1095">
        <v>100</v>
      </c>
      <c r="P19" s="1095">
        <v>150</v>
      </c>
      <c r="Q19" s="1098">
        <v>300</v>
      </c>
      <c r="R19" s="1095">
        <v>5</v>
      </c>
      <c r="S19" s="1095">
        <v>10</v>
      </c>
      <c r="T19" s="1099">
        <v>15</v>
      </c>
      <c r="U19" s="1104">
        <v>30</v>
      </c>
      <c r="V19" s="1101" t="s">
        <v>4636</v>
      </c>
      <c r="W19" s="1101" t="s">
        <v>4637</v>
      </c>
      <c r="X19" s="1101" t="s">
        <v>4638</v>
      </c>
      <c r="Y19" s="1101" t="s">
        <v>4639</v>
      </c>
      <c r="Z19" s="1102" t="s">
        <v>4640</v>
      </c>
    </row>
    <row r="20" spans="2:26" ht="12.75" customHeight="1" x14ac:dyDescent="0.2">
      <c r="B20" s="2090" t="str">
        <f t="shared" si="0"/>
        <v>Luz36</v>
      </c>
      <c r="C20" s="1103"/>
      <c r="D20" s="521" t="s">
        <v>267</v>
      </c>
      <c r="E20" s="1095" t="s">
        <v>2019</v>
      </c>
      <c r="F20" s="1095">
        <v>36</v>
      </c>
      <c r="G20" s="1096" t="s">
        <v>2446</v>
      </c>
      <c r="H20" s="1096" t="s">
        <v>1536</v>
      </c>
      <c r="I20" s="1097" t="s">
        <v>1606</v>
      </c>
      <c r="J20" s="1095">
        <v>6</v>
      </c>
      <c r="K20" s="1095">
        <v>9</v>
      </c>
      <c r="L20" s="1095">
        <v>12</v>
      </c>
      <c r="M20" s="1098">
        <v>15</v>
      </c>
      <c r="N20" s="1095">
        <v>100</v>
      </c>
      <c r="O20" s="1095">
        <v>200</v>
      </c>
      <c r="P20" s="1095">
        <v>300</v>
      </c>
      <c r="Q20" s="1098">
        <v>400</v>
      </c>
      <c r="R20" s="1095">
        <v>20</v>
      </c>
      <c r="S20" s="1095">
        <v>40</v>
      </c>
      <c r="T20" s="1099">
        <v>60</v>
      </c>
      <c r="U20" s="1104">
        <v>80</v>
      </c>
      <c r="V20" s="1101" t="s">
        <v>4641</v>
      </c>
      <c r="W20" s="1101" t="s">
        <v>4642</v>
      </c>
      <c r="X20" s="1101" t="s">
        <v>4643</v>
      </c>
      <c r="Y20" s="1101" t="s">
        <v>4644</v>
      </c>
      <c r="Z20" s="1102" t="s">
        <v>4645</v>
      </c>
    </row>
    <row r="21" spans="2:26" ht="12.75" customHeight="1" x14ac:dyDescent="0.2">
      <c r="B21" s="2090" t="str">
        <f t="shared" si="0"/>
        <v>Luz38</v>
      </c>
      <c r="C21" s="1103"/>
      <c r="D21" s="521" t="s">
        <v>268</v>
      </c>
      <c r="E21" s="1095" t="s">
        <v>2019</v>
      </c>
      <c r="F21" s="1095">
        <v>38</v>
      </c>
      <c r="G21" s="1096" t="s">
        <v>1690</v>
      </c>
      <c r="H21" s="1096" t="s">
        <v>1535</v>
      </c>
      <c r="I21" s="1097" t="s">
        <v>1606</v>
      </c>
      <c r="J21" s="1095">
        <v>6</v>
      </c>
      <c r="K21" s="1095">
        <v>9</v>
      </c>
      <c r="L21" s="1095">
        <v>12</v>
      </c>
      <c r="M21" s="1098">
        <v>15</v>
      </c>
      <c r="N21" s="1095">
        <v>60</v>
      </c>
      <c r="O21" s="1095">
        <v>90</v>
      </c>
      <c r="P21" s="1095">
        <v>120</v>
      </c>
      <c r="Q21" s="1098">
        <v>150</v>
      </c>
      <c r="R21" s="1095">
        <v>10</v>
      </c>
      <c r="S21" s="1095">
        <v>10</v>
      </c>
      <c r="T21" s="1099">
        <v>15</v>
      </c>
      <c r="U21" s="1104">
        <v>15</v>
      </c>
      <c r="V21" s="1101" t="s">
        <v>4646</v>
      </c>
      <c r="W21" s="1101" t="s">
        <v>4647</v>
      </c>
      <c r="X21" s="1101" t="s">
        <v>4648</v>
      </c>
      <c r="Y21" s="1101" t="s">
        <v>4649</v>
      </c>
      <c r="Z21" s="1102" t="s">
        <v>4650</v>
      </c>
    </row>
    <row r="22" spans="2:26" ht="12.75" customHeight="1" x14ac:dyDescent="0.2">
      <c r="B22" s="2090" t="str">
        <f t="shared" si="0"/>
        <v>Luz40</v>
      </c>
      <c r="C22" s="1103"/>
      <c r="D22" s="521" t="s">
        <v>269</v>
      </c>
      <c r="E22" s="1095" t="s">
        <v>2019</v>
      </c>
      <c r="F22" s="1095">
        <v>40</v>
      </c>
      <c r="G22" s="1096" t="s">
        <v>1690</v>
      </c>
      <c r="H22" s="1096" t="s">
        <v>1535</v>
      </c>
      <c r="I22" s="1097" t="s">
        <v>1606</v>
      </c>
      <c r="J22" s="1095">
        <v>6</v>
      </c>
      <c r="K22" s="1095">
        <v>9</v>
      </c>
      <c r="L22" s="1095">
        <v>12</v>
      </c>
      <c r="M22" s="1098">
        <v>15</v>
      </c>
      <c r="N22" s="1095">
        <v>80</v>
      </c>
      <c r="O22" s="1095">
        <v>180</v>
      </c>
      <c r="P22" s="1095">
        <v>240</v>
      </c>
      <c r="Q22" s="1098">
        <v>350</v>
      </c>
      <c r="R22" s="1095" t="s">
        <v>1690</v>
      </c>
      <c r="S22" s="1095" t="s">
        <v>1690</v>
      </c>
      <c r="T22" s="1099" t="s">
        <v>1690</v>
      </c>
      <c r="U22" s="1104" t="s">
        <v>1690</v>
      </c>
      <c r="V22" s="1101" t="s">
        <v>4651</v>
      </c>
      <c r="W22" s="1101" t="s">
        <v>4652</v>
      </c>
      <c r="X22" s="1101" t="s">
        <v>4653</v>
      </c>
      <c r="Y22" s="1101" t="s">
        <v>4654</v>
      </c>
      <c r="Z22" s="1102" t="s">
        <v>4655</v>
      </c>
    </row>
    <row r="23" spans="2:26" ht="12.75" customHeight="1" x14ac:dyDescent="0.2">
      <c r="B23" s="2090" t="str">
        <f t="shared" si="0"/>
        <v>Luz42</v>
      </c>
      <c r="C23" s="1103"/>
      <c r="D23" s="521" t="s">
        <v>270</v>
      </c>
      <c r="E23" s="1095" t="s">
        <v>2019</v>
      </c>
      <c r="F23" s="1095">
        <v>42</v>
      </c>
      <c r="G23" s="1096" t="s">
        <v>1690</v>
      </c>
      <c r="H23" s="1096" t="s">
        <v>1536</v>
      </c>
      <c r="I23" s="1097" t="s">
        <v>1606</v>
      </c>
      <c r="J23" s="1095">
        <v>7</v>
      </c>
      <c r="K23" s="1095">
        <v>10</v>
      </c>
      <c r="L23" s="1095">
        <v>13</v>
      </c>
      <c r="M23" s="1098">
        <v>15</v>
      </c>
      <c r="N23" s="1095">
        <v>70</v>
      </c>
      <c r="O23" s="1095">
        <v>100</v>
      </c>
      <c r="P23" s="1095">
        <v>150</v>
      </c>
      <c r="Q23" s="1098">
        <v>200</v>
      </c>
      <c r="R23" s="1095" t="s">
        <v>1690</v>
      </c>
      <c r="S23" s="1095" t="s">
        <v>1690</v>
      </c>
      <c r="T23" s="1099" t="s">
        <v>1690</v>
      </c>
      <c r="U23" s="1104" t="s">
        <v>1690</v>
      </c>
      <c r="V23" s="1101" t="s">
        <v>4656</v>
      </c>
      <c r="W23" s="1101" t="s">
        <v>4657</v>
      </c>
      <c r="X23" s="1101" t="s">
        <v>4658</v>
      </c>
      <c r="Y23" s="1101" t="s">
        <v>4659</v>
      </c>
      <c r="Z23" s="1102" t="s">
        <v>4660</v>
      </c>
    </row>
    <row r="24" spans="2:26" ht="12.75" customHeight="1" x14ac:dyDescent="0.2">
      <c r="B24" s="2090" t="str">
        <f t="shared" si="0"/>
        <v>Luz46</v>
      </c>
      <c r="C24" s="1103"/>
      <c r="D24" s="521" t="s">
        <v>271</v>
      </c>
      <c r="E24" s="1095" t="s">
        <v>2019</v>
      </c>
      <c r="F24" s="1095">
        <v>46</v>
      </c>
      <c r="G24" s="1096" t="s">
        <v>1690</v>
      </c>
      <c r="H24" s="1096" t="s">
        <v>1534</v>
      </c>
      <c r="I24" s="1097" t="s">
        <v>1606</v>
      </c>
      <c r="J24" s="1095">
        <v>6</v>
      </c>
      <c r="K24" s="1095">
        <v>9</v>
      </c>
      <c r="L24" s="1095">
        <v>12</v>
      </c>
      <c r="M24" s="1098">
        <v>15</v>
      </c>
      <c r="N24" s="1095">
        <v>120</v>
      </c>
      <c r="O24" s="1095">
        <v>180</v>
      </c>
      <c r="P24" s="1095">
        <v>240</v>
      </c>
      <c r="Q24" s="1098">
        <v>300</v>
      </c>
      <c r="R24" s="1095">
        <v>15</v>
      </c>
      <c r="S24" s="1095">
        <v>20</v>
      </c>
      <c r="T24" s="1099">
        <v>25</v>
      </c>
      <c r="U24" s="1104">
        <v>30</v>
      </c>
      <c r="V24" s="1101" t="s">
        <v>4661</v>
      </c>
      <c r="W24" s="1101" t="s">
        <v>4662</v>
      </c>
      <c r="X24" s="1101" t="s">
        <v>4663</v>
      </c>
      <c r="Y24" s="1101" t="s">
        <v>4664</v>
      </c>
      <c r="Z24" s="1102" t="s">
        <v>4665</v>
      </c>
    </row>
    <row r="25" spans="2:26" ht="12.75" customHeight="1" x14ac:dyDescent="0.2">
      <c r="B25" s="2090" t="str">
        <f t="shared" si="0"/>
        <v>Luz48</v>
      </c>
      <c r="C25" s="1103"/>
      <c r="D25" s="521" t="s">
        <v>272</v>
      </c>
      <c r="E25" s="1095" t="s">
        <v>2019</v>
      </c>
      <c r="F25" s="1095">
        <v>48</v>
      </c>
      <c r="G25" s="1096" t="s">
        <v>2446</v>
      </c>
      <c r="H25" s="1096" t="s">
        <v>1538</v>
      </c>
      <c r="I25" s="1097" t="s">
        <v>1606</v>
      </c>
      <c r="J25" s="1095">
        <v>7</v>
      </c>
      <c r="K25" s="1095">
        <v>10</v>
      </c>
      <c r="L25" s="1095">
        <v>12</v>
      </c>
      <c r="M25" s="1098">
        <v>15</v>
      </c>
      <c r="N25" s="1095">
        <v>140</v>
      </c>
      <c r="O25" s="1095">
        <v>200</v>
      </c>
      <c r="P25" s="1095">
        <v>280</v>
      </c>
      <c r="Q25" s="1098">
        <v>360</v>
      </c>
      <c r="R25" s="1095">
        <v>10</v>
      </c>
      <c r="S25" s="1095">
        <v>10</v>
      </c>
      <c r="T25" s="1099">
        <v>15</v>
      </c>
      <c r="U25" s="1104">
        <v>15</v>
      </c>
      <c r="V25" s="1101" t="s">
        <v>4666</v>
      </c>
      <c r="W25" s="1101" t="s">
        <v>4667</v>
      </c>
      <c r="X25" s="1101" t="s">
        <v>4668</v>
      </c>
      <c r="Y25" s="1101" t="s">
        <v>4669</v>
      </c>
      <c r="Z25" s="1102" t="s">
        <v>4670</v>
      </c>
    </row>
    <row r="26" spans="2:26" ht="12.75" customHeight="1" x14ac:dyDescent="0.2">
      <c r="B26" s="2090" t="str">
        <f t="shared" si="0"/>
        <v>Luz50</v>
      </c>
      <c r="C26" s="1103"/>
      <c r="D26" s="521" t="s">
        <v>273</v>
      </c>
      <c r="E26" s="1095" t="s">
        <v>2019</v>
      </c>
      <c r="F26" s="1095">
        <v>50</v>
      </c>
      <c r="G26" s="1096" t="s">
        <v>2446</v>
      </c>
      <c r="H26" s="1096" t="s">
        <v>1535</v>
      </c>
      <c r="I26" s="1097" t="s">
        <v>1606</v>
      </c>
      <c r="J26" s="1095">
        <v>6</v>
      </c>
      <c r="K26" s="1095">
        <v>9</v>
      </c>
      <c r="L26" s="1095">
        <v>12</v>
      </c>
      <c r="M26" s="1098">
        <v>15</v>
      </c>
      <c r="N26" s="1095">
        <v>120</v>
      </c>
      <c r="O26" s="1095">
        <v>180</v>
      </c>
      <c r="P26" s="1095">
        <v>240</v>
      </c>
      <c r="Q26" s="1098">
        <v>300</v>
      </c>
      <c r="R26" s="1095">
        <v>10</v>
      </c>
      <c r="S26" s="1095">
        <v>10</v>
      </c>
      <c r="T26" s="1099">
        <v>15</v>
      </c>
      <c r="U26" s="1104">
        <v>15</v>
      </c>
      <c r="V26" s="1101" t="s">
        <v>4671</v>
      </c>
      <c r="W26" s="1101" t="s">
        <v>4672</v>
      </c>
      <c r="X26" s="1101" t="s">
        <v>4673</v>
      </c>
      <c r="Y26" s="1101" t="s">
        <v>4674</v>
      </c>
      <c r="Z26" s="1102" t="s">
        <v>8644</v>
      </c>
    </row>
    <row r="27" spans="2:26" ht="12.75" customHeight="1" x14ac:dyDescent="0.2">
      <c r="B27" s="2090" t="str">
        <f t="shared" si="0"/>
        <v>Luz52</v>
      </c>
      <c r="C27" s="1103"/>
      <c r="D27" s="521" t="s">
        <v>274</v>
      </c>
      <c r="E27" s="1095" t="s">
        <v>2019</v>
      </c>
      <c r="F27" s="1095">
        <v>52</v>
      </c>
      <c r="G27" s="1096" t="s">
        <v>1690</v>
      </c>
      <c r="H27" s="1096" t="s">
        <v>1536</v>
      </c>
      <c r="I27" s="1097" t="s">
        <v>1606</v>
      </c>
      <c r="J27" s="1095">
        <v>8</v>
      </c>
      <c r="K27" s="1095">
        <v>11</v>
      </c>
      <c r="L27" s="1095">
        <v>13</v>
      </c>
      <c r="M27" s="1098">
        <v>16</v>
      </c>
      <c r="N27" s="1095">
        <v>100</v>
      </c>
      <c r="O27" s="1095">
        <v>120</v>
      </c>
      <c r="P27" s="1095">
        <v>140</v>
      </c>
      <c r="Q27" s="1098">
        <v>160</v>
      </c>
      <c r="R27" s="1095">
        <v>10</v>
      </c>
      <c r="S27" s="1095">
        <v>15</v>
      </c>
      <c r="T27" s="1099">
        <v>15</v>
      </c>
      <c r="U27" s="1104">
        <v>20</v>
      </c>
      <c r="V27" s="1101" t="s">
        <v>4675</v>
      </c>
      <c r="W27" s="1101" t="s">
        <v>4676</v>
      </c>
      <c r="X27" s="1101" t="s">
        <v>4677</v>
      </c>
      <c r="Y27" s="1101" t="s">
        <v>4678</v>
      </c>
      <c r="Z27" s="1102" t="s">
        <v>4679</v>
      </c>
    </row>
    <row r="28" spans="2:26" ht="12.75" customHeight="1" x14ac:dyDescent="0.2">
      <c r="B28" s="2090" t="str">
        <f t="shared" si="0"/>
        <v>Luz56</v>
      </c>
      <c r="C28" s="1103"/>
      <c r="D28" s="521" t="s">
        <v>275</v>
      </c>
      <c r="E28" s="1095" t="s">
        <v>2019</v>
      </c>
      <c r="F28" s="1095">
        <v>56</v>
      </c>
      <c r="G28" s="1096" t="s">
        <v>1690</v>
      </c>
      <c r="H28" s="1096" t="s">
        <v>1536</v>
      </c>
      <c r="I28" s="1097" t="s">
        <v>1606</v>
      </c>
      <c r="J28" s="1095">
        <v>8</v>
      </c>
      <c r="K28" s="1095">
        <v>10</v>
      </c>
      <c r="L28" s="1095">
        <v>12</v>
      </c>
      <c r="M28" s="1098">
        <v>15</v>
      </c>
      <c r="N28" s="1095">
        <v>100</v>
      </c>
      <c r="O28" s="1095">
        <v>180</v>
      </c>
      <c r="P28" s="1095">
        <v>240</v>
      </c>
      <c r="Q28" s="1098">
        <v>300</v>
      </c>
      <c r="R28" s="1095">
        <v>5</v>
      </c>
      <c r="S28" s="1095">
        <v>10</v>
      </c>
      <c r="T28" s="1099">
        <v>15</v>
      </c>
      <c r="U28" s="1104">
        <v>15</v>
      </c>
      <c r="V28" s="1101" t="s">
        <v>4680</v>
      </c>
      <c r="W28" s="1101" t="s">
        <v>4681</v>
      </c>
      <c r="X28" s="1101" t="s">
        <v>4682</v>
      </c>
      <c r="Y28" s="1101" t="s">
        <v>4683</v>
      </c>
      <c r="Z28" s="1102" t="s">
        <v>4684</v>
      </c>
    </row>
    <row r="29" spans="2:26" ht="12.75" customHeight="1" x14ac:dyDescent="0.2">
      <c r="B29" s="2090" t="str">
        <f t="shared" si="0"/>
        <v>Luz58</v>
      </c>
      <c r="C29" s="1103"/>
      <c r="D29" s="521" t="s">
        <v>276</v>
      </c>
      <c r="E29" s="1095" t="s">
        <v>2019</v>
      </c>
      <c r="F29" s="1095">
        <v>58</v>
      </c>
      <c r="G29" s="1096" t="s">
        <v>2446</v>
      </c>
      <c r="H29" s="1096" t="s">
        <v>1535</v>
      </c>
      <c r="I29" s="1097" t="s">
        <v>1606</v>
      </c>
      <c r="J29" s="1095">
        <v>8</v>
      </c>
      <c r="K29" s="1095">
        <v>10</v>
      </c>
      <c r="L29" s="1095">
        <v>12</v>
      </c>
      <c r="M29" s="1098">
        <v>15</v>
      </c>
      <c r="N29" s="1095">
        <v>100</v>
      </c>
      <c r="O29" s="1095">
        <v>180</v>
      </c>
      <c r="P29" s="1095">
        <v>240</v>
      </c>
      <c r="Q29" s="1098">
        <v>300</v>
      </c>
      <c r="R29" s="1095">
        <v>10</v>
      </c>
      <c r="S29" s="1095">
        <v>20</v>
      </c>
      <c r="T29" s="1099">
        <v>25</v>
      </c>
      <c r="U29" s="1104">
        <v>30</v>
      </c>
      <c r="V29" s="1101" t="s">
        <v>4685</v>
      </c>
      <c r="W29" s="1101" t="s">
        <v>4686</v>
      </c>
      <c r="X29" s="1101" t="s">
        <v>4687</v>
      </c>
      <c r="Y29" s="1101" t="s">
        <v>4688</v>
      </c>
      <c r="Z29" s="1102" t="s">
        <v>4689</v>
      </c>
    </row>
    <row r="30" spans="2:26" ht="12.75" customHeight="1" x14ac:dyDescent="0.2">
      <c r="B30" s="2090" t="str">
        <f t="shared" si="0"/>
        <v>Luz60</v>
      </c>
      <c r="C30" s="1103"/>
      <c r="D30" s="521" t="s">
        <v>277</v>
      </c>
      <c r="E30" s="1095" t="s">
        <v>2019</v>
      </c>
      <c r="F30" s="1095">
        <v>60</v>
      </c>
      <c r="G30" s="1096" t="s">
        <v>2446</v>
      </c>
      <c r="H30" s="1096" t="s">
        <v>1536</v>
      </c>
      <c r="I30" s="1097" t="s">
        <v>1606</v>
      </c>
      <c r="J30" s="1095">
        <v>8</v>
      </c>
      <c r="K30" s="1095">
        <v>12</v>
      </c>
      <c r="L30" s="1095">
        <v>14</v>
      </c>
      <c r="M30" s="1098">
        <v>16</v>
      </c>
      <c r="N30" s="1095">
        <v>100</v>
      </c>
      <c r="O30" s="1095">
        <v>120</v>
      </c>
      <c r="P30" s="1095">
        <v>180</v>
      </c>
      <c r="Q30" s="1098">
        <v>250</v>
      </c>
      <c r="R30" s="1095">
        <v>10</v>
      </c>
      <c r="S30" s="1095">
        <v>15</v>
      </c>
      <c r="T30" s="1099">
        <v>15</v>
      </c>
      <c r="U30" s="1104">
        <v>25</v>
      </c>
      <c r="V30" s="1101" t="s">
        <v>8632</v>
      </c>
      <c r="W30" s="1101" t="s">
        <v>4690</v>
      </c>
      <c r="X30" s="1101" t="s">
        <v>8633</v>
      </c>
      <c r="Y30" s="1101" t="s">
        <v>8634</v>
      </c>
      <c r="Z30" s="1102" t="s">
        <v>8635</v>
      </c>
    </row>
    <row r="31" spans="2:26" ht="12.75" customHeight="1" x14ac:dyDescent="0.2">
      <c r="B31" s="2090" t="str">
        <f t="shared" si="0"/>
        <v>Luz62</v>
      </c>
      <c r="C31" s="1103"/>
      <c r="D31" s="521" t="s">
        <v>278</v>
      </c>
      <c r="E31" s="1095" t="s">
        <v>2019</v>
      </c>
      <c r="F31" s="1095">
        <v>62</v>
      </c>
      <c r="G31" s="1096" t="s">
        <v>2446</v>
      </c>
      <c r="H31" s="1096" t="s">
        <v>4585</v>
      </c>
      <c r="I31" s="1097" t="s">
        <v>1606</v>
      </c>
      <c r="J31" s="1095">
        <v>7</v>
      </c>
      <c r="K31" s="1095">
        <v>9</v>
      </c>
      <c r="L31" s="1095">
        <v>12</v>
      </c>
      <c r="M31" s="1098">
        <v>15</v>
      </c>
      <c r="N31" s="1095">
        <v>140</v>
      </c>
      <c r="O31" s="1095">
        <v>180</v>
      </c>
      <c r="P31" s="1095">
        <v>240</v>
      </c>
      <c r="Q31" s="1098">
        <v>300</v>
      </c>
      <c r="R31" s="1095">
        <v>15</v>
      </c>
      <c r="S31" s="1095">
        <v>20</v>
      </c>
      <c r="T31" s="1099">
        <v>25</v>
      </c>
      <c r="U31" s="1104">
        <v>30</v>
      </c>
      <c r="V31" s="1101" t="s">
        <v>4691</v>
      </c>
      <c r="W31" s="1101" t="s">
        <v>4692</v>
      </c>
      <c r="X31" s="1101" t="s">
        <v>4693</v>
      </c>
      <c r="Y31" s="1101" t="s">
        <v>4694</v>
      </c>
      <c r="Z31" s="1102" t="s">
        <v>4695</v>
      </c>
    </row>
    <row r="32" spans="2:26" ht="12.75" customHeight="1" x14ac:dyDescent="0.2">
      <c r="B32" s="2090" t="str">
        <f t="shared" si="0"/>
        <v>Luz66</v>
      </c>
      <c r="C32" s="1103"/>
      <c r="D32" s="521" t="s">
        <v>279</v>
      </c>
      <c r="E32" s="1095" t="s">
        <v>2019</v>
      </c>
      <c r="F32" s="1095">
        <v>66</v>
      </c>
      <c r="G32" s="1096" t="s">
        <v>1690</v>
      </c>
      <c r="H32" s="1096" t="s">
        <v>1538</v>
      </c>
      <c r="I32" s="1097" t="s">
        <v>1606</v>
      </c>
      <c r="J32" s="1095">
        <v>8</v>
      </c>
      <c r="K32" s="1095">
        <v>10</v>
      </c>
      <c r="L32" s="1095">
        <v>13</v>
      </c>
      <c r="M32" s="1098">
        <v>16</v>
      </c>
      <c r="N32" s="1095">
        <v>160</v>
      </c>
      <c r="O32" s="1095">
        <v>200</v>
      </c>
      <c r="P32" s="1095">
        <v>260</v>
      </c>
      <c r="Q32" s="1098">
        <v>320</v>
      </c>
      <c r="R32" s="1095" t="s">
        <v>1690</v>
      </c>
      <c r="S32" s="1095" t="s">
        <v>1690</v>
      </c>
      <c r="T32" s="1099" t="s">
        <v>1690</v>
      </c>
      <c r="U32" s="1104" t="s">
        <v>1690</v>
      </c>
      <c r="V32" s="1101" t="s">
        <v>4696</v>
      </c>
      <c r="W32" s="1101" t="s">
        <v>4697</v>
      </c>
      <c r="X32" s="1101" t="s">
        <v>4698</v>
      </c>
      <c r="Y32" s="1101" t="s">
        <v>4699</v>
      </c>
      <c r="Z32" s="1102" t="s">
        <v>4700</v>
      </c>
    </row>
    <row r="33" spans="2:26" ht="12.75" customHeight="1" x14ac:dyDescent="0.2">
      <c r="B33" s="2090" t="str">
        <f t="shared" si="0"/>
        <v>Luz68</v>
      </c>
      <c r="C33" s="1103"/>
      <c r="D33" s="521" t="s">
        <v>280</v>
      </c>
      <c r="E33" s="1095" t="s">
        <v>2019</v>
      </c>
      <c r="F33" s="1095">
        <v>68</v>
      </c>
      <c r="G33" s="1096" t="s">
        <v>1690</v>
      </c>
      <c r="H33" s="1096" t="s">
        <v>1536</v>
      </c>
      <c r="I33" s="1097" t="s">
        <v>1606</v>
      </c>
      <c r="J33" s="1095">
        <v>8</v>
      </c>
      <c r="K33" s="1095">
        <v>10</v>
      </c>
      <c r="L33" s="1095">
        <v>12</v>
      </c>
      <c r="M33" s="1098">
        <v>15</v>
      </c>
      <c r="N33" s="1095">
        <v>150</v>
      </c>
      <c r="O33" s="1095">
        <v>200</v>
      </c>
      <c r="P33" s="1095">
        <v>250</v>
      </c>
      <c r="Q33" s="1098">
        <v>300</v>
      </c>
      <c r="R33" s="1095" t="s">
        <v>1690</v>
      </c>
      <c r="S33" s="1095" t="s">
        <v>1690</v>
      </c>
      <c r="T33" s="1099" t="s">
        <v>1690</v>
      </c>
      <c r="U33" s="1104" t="s">
        <v>1690</v>
      </c>
      <c r="V33" s="1101" t="s">
        <v>4701</v>
      </c>
      <c r="W33" s="1101" t="s">
        <v>4702</v>
      </c>
      <c r="X33" s="1101" t="s">
        <v>4703</v>
      </c>
      <c r="Y33" s="1101" t="s">
        <v>4704</v>
      </c>
      <c r="Z33" s="1102" t="s">
        <v>4705</v>
      </c>
    </row>
    <row r="34" spans="2:26" ht="12.75" customHeight="1" x14ac:dyDescent="0.2">
      <c r="B34" s="2090" t="str">
        <f t="shared" si="0"/>
        <v>Luz70</v>
      </c>
      <c r="C34" s="1103"/>
      <c r="D34" s="521" t="s">
        <v>281</v>
      </c>
      <c r="E34" s="1095" t="s">
        <v>2019</v>
      </c>
      <c r="F34" s="1095">
        <v>70</v>
      </c>
      <c r="G34" s="1096" t="s">
        <v>1690</v>
      </c>
      <c r="H34" s="1096" t="s">
        <v>4585</v>
      </c>
      <c r="I34" s="1097" t="s">
        <v>1606</v>
      </c>
      <c r="J34" s="1095">
        <v>10</v>
      </c>
      <c r="K34" s="1095">
        <v>12</v>
      </c>
      <c r="L34" s="1095">
        <v>14</v>
      </c>
      <c r="M34" s="1098">
        <v>16</v>
      </c>
      <c r="N34" s="1095">
        <v>140</v>
      </c>
      <c r="O34" s="1095">
        <v>200</v>
      </c>
      <c r="P34" s="1095">
        <v>2880</v>
      </c>
      <c r="Q34" s="1098">
        <v>360</v>
      </c>
      <c r="R34" s="1095">
        <v>5</v>
      </c>
      <c r="S34" s="1095">
        <v>10</v>
      </c>
      <c r="T34" s="1099">
        <v>10</v>
      </c>
      <c r="U34" s="1104">
        <v>15</v>
      </c>
      <c r="V34" s="1101" t="s">
        <v>4706</v>
      </c>
      <c r="W34" s="1101" t="s">
        <v>4707</v>
      </c>
      <c r="X34" s="1101" t="s">
        <v>4708</v>
      </c>
      <c r="Y34" s="1101" t="s">
        <v>4709</v>
      </c>
      <c r="Z34" s="1102" t="s">
        <v>4710</v>
      </c>
    </row>
    <row r="35" spans="2:26" ht="12.75" customHeight="1" x14ac:dyDescent="0.2">
      <c r="B35" s="2090" t="str">
        <f t="shared" si="0"/>
        <v>Luz72</v>
      </c>
      <c r="C35" s="1103"/>
      <c r="D35" s="521" t="s">
        <v>282</v>
      </c>
      <c r="E35" s="1095" t="s">
        <v>2019</v>
      </c>
      <c r="F35" s="1095">
        <v>72</v>
      </c>
      <c r="G35" s="1096" t="s">
        <v>1690</v>
      </c>
      <c r="H35" s="1096" t="s">
        <v>1534</v>
      </c>
      <c r="I35" s="1097" t="s">
        <v>1606</v>
      </c>
      <c r="J35" s="1095">
        <v>10</v>
      </c>
      <c r="K35" s="1095">
        <v>12</v>
      </c>
      <c r="L35" s="1095">
        <v>14</v>
      </c>
      <c r="M35" s="1098">
        <v>16</v>
      </c>
      <c r="N35" s="1095">
        <v>140</v>
      </c>
      <c r="O35" s="1095">
        <v>180</v>
      </c>
      <c r="P35" s="1095">
        <v>240</v>
      </c>
      <c r="Q35" s="1098">
        <v>350</v>
      </c>
      <c r="R35" s="1095" t="s">
        <v>1690</v>
      </c>
      <c r="S35" s="1095" t="s">
        <v>1690</v>
      </c>
      <c r="T35" s="1099" t="s">
        <v>1690</v>
      </c>
      <c r="U35" s="1104" t="s">
        <v>1690</v>
      </c>
      <c r="V35" s="1101" t="s">
        <v>4711</v>
      </c>
      <c r="W35" s="1101" t="s">
        <v>4712</v>
      </c>
      <c r="X35" s="1101" t="s">
        <v>4713</v>
      </c>
      <c r="Y35" s="1101" t="s">
        <v>4714</v>
      </c>
      <c r="Z35" s="1102" t="s">
        <v>4715</v>
      </c>
    </row>
    <row r="36" spans="2:26" ht="12.75" customHeight="1" x14ac:dyDescent="0.2">
      <c r="B36" s="2090" t="str">
        <f t="shared" si="0"/>
        <v>Luz76</v>
      </c>
      <c r="C36" s="1103"/>
      <c r="D36" s="521" t="s">
        <v>283</v>
      </c>
      <c r="E36" s="1095" t="s">
        <v>2019</v>
      </c>
      <c r="F36" s="1095">
        <v>76</v>
      </c>
      <c r="G36" s="1096" t="s">
        <v>1690</v>
      </c>
      <c r="H36" s="1096" t="s">
        <v>1536</v>
      </c>
      <c r="I36" s="1097" t="s">
        <v>1606</v>
      </c>
      <c r="J36" s="1095">
        <v>10</v>
      </c>
      <c r="K36" s="1095">
        <v>12</v>
      </c>
      <c r="L36" s="1095">
        <v>14</v>
      </c>
      <c r="M36" s="1098">
        <v>16</v>
      </c>
      <c r="N36" s="1095">
        <v>150</v>
      </c>
      <c r="O36" s="1095">
        <v>200</v>
      </c>
      <c r="P36" s="1095">
        <v>240</v>
      </c>
      <c r="Q36" s="1098">
        <v>300</v>
      </c>
      <c r="R36" s="1095">
        <v>15</v>
      </c>
      <c r="S36" s="1095">
        <v>20</v>
      </c>
      <c r="T36" s="1099">
        <v>25</v>
      </c>
      <c r="U36" s="1104">
        <v>30</v>
      </c>
      <c r="V36" s="1101" t="s">
        <v>4716</v>
      </c>
      <c r="W36" s="1101" t="s">
        <v>4717</v>
      </c>
      <c r="X36" s="1101" t="s">
        <v>4718</v>
      </c>
      <c r="Y36" s="1101" t="s">
        <v>4719</v>
      </c>
      <c r="Z36" s="1102" t="s">
        <v>4720</v>
      </c>
    </row>
    <row r="37" spans="2:26" ht="12.75" customHeight="1" x14ac:dyDescent="0.2">
      <c r="B37" s="2090" t="str">
        <f t="shared" si="0"/>
        <v>Luz78</v>
      </c>
      <c r="C37" s="1103"/>
      <c r="D37" s="521" t="s">
        <v>284</v>
      </c>
      <c r="E37" s="1095" t="s">
        <v>2019</v>
      </c>
      <c r="F37" s="1095">
        <v>78</v>
      </c>
      <c r="G37" s="1096" t="s">
        <v>1690</v>
      </c>
      <c r="H37" s="1096" t="s">
        <v>1536</v>
      </c>
      <c r="I37" s="1097" t="s">
        <v>1606</v>
      </c>
      <c r="J37" s="1095">
        <v>10</v>
      </c>
      <c r="K37" s="1095">
        <v>12</v>
      </c>
      <c r="L37" s="1095">
        <v>14</v>
      </c>
      <c r="M37" s="1098">
        <v>16</v>
      </c>
      <c r="N37" s="1095">
        <v>250</v>
      </c>
      <c r="O37" s="1095">
        <v>360</v>
      </c>
      <c r="P37" s="1095">
        <v>450</v>
      </c>
      <c r="Q37" s="1098">
        <v>600</v>
      </c>
      <c r="R37" s="1095" t="s">
        <v>1690</v>
      </c>
      <c r="S37" s="1095" t="s">
        <v>1690</v>
      </c>
      <c r="T37" s="1099" t="s">
        <v>1690</v>
      </c>
      <c r="U37" s="1104" t="s">
        <v>1690</v>
      </c>
      <c r="V37" s="1101" t="s">
        <v>4721</v>
      </c>
      <c r="W37" s="1101" t="s">
        <v>4722</v>
      </c>
      <c r="X37" s="1101" t="s">
        <v>4723</v>
      </c>
      <c r="Y37" s="1101" t="s">
        <v>4724</v>
      </c>
      <c r="Z37" s="1102" t="s">
        <v>4725</v>
      </c>
    </row>
    <row r="38" spans="2:26" ht="12.75" customHeight="1" x14ac:dyDescent="0.2">
      <c r="B38" s="2090" t="str">
        <f t="shared" si="0"/>
        <v>Luz80</v>
      </c>
      <c r="C38" s="1103"/>
      <c r="D38" s="521" t="s">
        <v>285</v>
      </c>
      <c r="E38" s="1095" t="s">
        <v>2019</v>
      </c>
      <c r="F38" s="1095">
        <v>80</v>
      </c>
      <c r="G38" s="1096" t="s">
        <v>2446</v>
      </c>
      <c r="H38" s="1096" t="s">
        <v>4726</v>
      </c>
      <c r="I38" s="1097" t="s">
        <v>1606</v>
      </c>
      <c r="J38" s="1095">
        <v>12</v>
      </c>
      <c r="K38" s="1095">
        <v>14</v>
      </c>
      <c r="L38" s="1095">
        <v>16</v>
      </c>
      <c r="M38" s="1098">
        <v>18</v>
      </c>
      <c r="N38" s="1095">
        <v>300</v>
      </c>
      <c r="O38" s="1095">
        <v>400</v>
      </c>
      <c r="P38" s="1095">
        <v>500</v>
      </c>
      <c r="Q38" s="1098">
        <v>750</v>
      </c>
      <c r="R38" s="1095">
        <v>60</v>
      </c>
      <c r="S38" s="1095">
        <v>65</v>
      </c>
      <c r="T38" s="1099">
        <v>70</v>
      </c>
      <c r="U38" s="1104">
        <v>80</v>
      </c>
      <c r="V38" s="1101" t="s">
        <v>4696</v>
      </c>
      <c r="W38" s="1101" t="s">
        <v>4727</v>
      </c>
      <c r="X38" s="1101" t="s">
        <v>4728</v>
      </c>
      <c r="Y38" s="1101" t="s">
        <v>4729</v>
      </c>
      <c r="Z38" s="1102" t="s">
        <v>8645</v>
      </c>
    </row>
    <row r="39" spans="2:26" ht="12.75" customHeight="1" x14ac:dyDescent="0.2">
      <c r="B39" s="2090" t="str">
        <f t="shared" si="0"/>
        <v>Luz82</v>
      </c>
      <c r="C39" s="1103"/>
      <c r="D39" s="521" t="s">
        <v>286</v>
      </c>
      <c r="E39" s="1095" t="s">
        <v>2019</v>
      </c>
      <c r="F39" s="1095">
        <v>82</v>
      </c>
      <c r="G39" s="1096" t="s">
        <v>2446</v>
      </c>
      <c r="H39" s="1096" t="s">
        <v>1536</v>
      </c>
      <c r="I39" s="1097" t="s">
        <v>1606</v>
      </c>
      <c r="J39" s="1095">
        <v>10</v>
      </c>
      <c r="K39" s="1095">
        <v>12</v>
      </c>
      <c r="L39" s="1095">
        <v>14</v>
      </c>
      <c r="M39" s="1098">
        <v>16</v>
      </c>
      <c r="N39" s="1095">
        <v>250</v>
      </c>
      <c r="O39" s="1095">
        <v>350</v>
      </c>
      <c r="P39" s="1095">
        <v>500</v>
      </c>
      <c r="Q39" s="1098">
        <v>700</v>
      </c>
      <c r="R39" s="1095">
        <v>50</v>
      </c>
      <c r="S39" s="1095">
        <v>70</v>
      </c>
      <c r="T39" s="1099">
        <v>100</v>
      </c>
      <c r="U39" s="1104">
        <v>140</v>
      </c>
      <c r="V39" s="1101" t="s">
        <v>4730</v>
      </c>
      <c r="W39" s="1101" t="s">
        <v>4731</v>
      </c>
      <c r="X39" s="1101" t="s">
        <v>4732</v>
      </c>
      <c r="Y39" s="1101" t="s">
        <v>4733</v>
      </c>
      <c r="Z39" s="1102" t="s">
        <v>4734</v>
      </c>
    </row>
    <row r="40" spans="2:26" ht="12.75" customHeight="1" x14ac:dyDescent="0.2">
      <c r="B40" s="2090" t="str">
        <f t="shared" si="0"/>
        <v>Luz86</v>
      </c>
      <c r="C40" s="1103"/>
      <c r="D40" s="521" t="s">
        <v>287</v>
      </c>
      <c r="E40" s="1095" t="s">
        <v>2019</v>
      </c>
      <c r="F40" s="1095">
        <v>86</v>
      </c>
      <c r="G40" s="1096" t="s">
        <v>2446</v>
      </c>
      <c r="H40" s="1096" t="s">
        <v>1881</v>
      </c>
      <c r="I40" s="1097" t="s">
        <v>1607</v>
      </c>
      <c r="J40" s="1095">
        <v>10</v>
      </c>
      <c r="K40" s="1095">
        <v>13</v>
      </c>
      <c r="L40" s="1095">
        <v>15</v>
      </c>
      <c r="M40" s="1098">
        <v>17</v>
      </c>
      <c r="N40" s="1095">
        <v>160</v>
      </c>
      <c r="O40" s="1095">
        <v>250</v>
      </c>
      <c r="P40" s="1095">
        <v>300</v>
      </c>
      <c r="Q40" s="1098">
        <v>400</v>
      </c>
      <c r="R40" s="1095">
        <v>20</v>
      </c>
      <c r="S40" s="1095">
        <v>25</v>
      </c>
      <c r="T40" s="1099">
        <v>30</v>
      </c>
      <c r="U40" s="1104">
        <v>40</v>
      </c>
      <c r="V40" s="1101" t="s">
        <v>4735</v>
      </c>
      <c r="W40" s="1101" t="s">
        <v>4736</v>
      </c>
      <c r="X40" s="1101" t="s">
        <v>4737</v>
      </c>
      <c r="Y40" s="1101" t="s">
        <v>4738</v>
      </c>
      <c r="Z40" s="1102" t="s">
        <v>4739</v>
      </c>
    </row>
    <row r="41" spans="2:26" ht="12.75" customHeight="1" x14ac:dyDescent="0.2">
      <c r="B41" s="2090" t="str">
        <f t="shared" si="0"/>
        <v>Luz88</v>
      </c>
      <c r="C41" s="1103"/>
      <c r="D41" s="521" t="s">
        <v>288</v>
      </c>
      <c r="E41" s="1095" t="s">
        <v>2019</v>
      </c>
      <c r="F41" s="1095">
        <v>88</v>
      </c>
      <c r="G41" s="1096" t="s">
        <v>1690</v>
      </c>
      <c r="H41" s="1096" t="s">
        <v>1536</v>
      </c>
      <c r="I41" s="1097" t="s">
        <v>1606</v>
      </c>
      <c r="J41" s="1095">
        <v>10</v>
      </c>
      <c r="K41" s="1095">
        <v>12</v>
      </c>
      <c r="L41" s="1095">
        <v>15</v>
      </c>
      <c r="M41" s="1098">
        <v>18</v>
      </c>
      <c r="N41" s="1095">
        <v>200</v>
      </c>
      <c r="O41" s="1095">
        <v>250</v>
      </c>
      <c r="P41" s="1095">
        <v>400</v>
      </c>
      <c r="Q41" s="1098">
        <v>800</v>
      </c>
      <c r="R41" s="1095">
        <v>40</v>
      </c>
      <c r="S41" s="1095">
        <v>50</v>
      </c>
      <c r="T41" s="1099">
        <v>60</v>
      </c>
      <c r="U41" s="1104">
        <v>65</v>
      </c>
      <c r="V41" s="1101" t="s">
        <v>4740</v>
      </c>
      <c r="W41" s="1101" t="s">
        <v>4741</v>
      </c>
      <c r="X41" s="1101" t="s">
        <v>4742</v>
      </c>
      <c r="Y41" s="1101" t="s">
        <v>4743</v>
      </c>
      <c r="Z41" s="1102" t="s">
        <v>4744</v>
      </c>
    </row>
    <row r="42" spans="2:26" ht="12.75" customHeight="1" x14ac:dyDescent="0.2">
      <c r="B42" s="2090" t="str">
        <f t="shared" si="0"/>
        <v>Luz90</v>
      </c>
      <c r="C42" s="1103"/>
      <c r="D42" s="521" t="s">
        <v>289</v>
      </c>
      <c r="E42" s="1095" t="s">
        <v>2019</v>
      </c>
      <c r="F42" s="1095">
        <v>90</v>
      </c>
      <c r="G42" s="1096" t="s">
        <v>1690</v>
      </c>
      <c r="H42" s="1096" t="s">
        <v>1535</v>
      </c>
      <c r="I42" s="1097" t="s">
        <v>1606</v>
      </c>
      <c r="J42" s="1095">
        <v>10</v>
      </c>
      <c r="K42" s="1095">
        <v>12</v>
      </c>
      <c r="L42" s="1095">
        <v>14</v>
      </c>
      <c r="M42" s="1098">
        <v>16</v>
      </c>
      <c r="N42" s="1095">
        <v>200</v>
      </c>
      <c r="O42" s="1095">
        <v>300</v>
      </c>
      <c r="P42" s="1095">
        <v>450</v>
      </c>
      <c r="Q42" s="1098">
        <v>600</v>
      </c>
      <c r="R42" s="1095" t="s">
        <v>1690</v>
      </c>
      <c r="S42" s="1095" t="s">
        <v>1690</v>
      </c>
      <c r="T42" s="1099" t="s">
        <v>1690</v>
      </c>
      <c r="U42" s="1104" t="s">
        <v>1690</v>
      </c>
      <c r="V42" s="1101" t="s">
        <v>4745</v>
      </c>
      <c r="W42" s="1101" t="s">
        <v>4746</v>
      </c>
      <c r="X42" s="1101" t="s">
        <v>4747</v>
      </c>
      <c r="Y42" s="1101" t="s">
        <v>4748</v>
      </c>
      <c r="Z42" s="1102" t="s">
        <v>4749</v>
      </c>
    </row>
    <row r="43" spans="2:26" ht="12.75" customHeight="1" x14ac:dyDescent="0.2">
      <c r="B43" s="2090" t="str">
        <f t="shared" si="0"/>
        <v>Luz92</v>
      </c>
      <c r="C43" s="1103"/>
      <c r="D43" s="521" t="s">
        <v>290</v>
      </c>
      <c r="E43" s="1095" t="s">
        <v>2019</v>
      </c>
      <c r="F43" s="1095">
        <v>92</v>
      </c>
      <c r="G43" s="1096" t="s">
        <v>2446</v>
      </c>
      <c r="H43" s="1096" t="s">
        <v>1535</v>
      </c>
      <c r="I43" s="1097" t="s">
        <v>1606</v>
      </c>
      <c r="J43" s="1095">
        <v>14</v>
      </c>
      <c r="K43" s="1095">
        <v>16</v>
      </c>
      <c r="L43" s="1095">
        <v>18</v>
      </c>
      <c r="M43" s="1098">
        <v>20</v>
      </c>
      <c r="N43" s="1095">
        <v>200</v>
      </c>
      <c r="O43" s="1095">
        <v>350</v>
      </c>
      <c r="P43" s="1095">
        <v>500</v>
      </c>
      <c r="Q43" s="1098">
        <v>800</v>
      </c>
      <c r="R43" s="1095">
        <v>40</v>
      </c>
      <c r="S43" s="1095">
        <v>70</v>
      </c>
      <c r="T43" s="1099">
        <v>100</v>
      </c>
      <c r="U43" s="1104">
        <v>160</v>
      </c>
      <c r="V43" s="1101" t="s">
        <v>4750</v>
      </c>
      <c r="W43" s="1101" t="s">
        <v>4751</v>
      </c>
      <c r="X43" s="1101" t="s">
        <v>4752</v>
      </c>
      <c r="Y43" s="1101" t="s">
        <v>4753</v>
      </c>
      <c r="Z43" s="1102" t="s">
        <v>4754</v>
      </c>
    </row>
    <row r="44" spans="2:26" ht="12.75" customHeight="1" x14ac:dyDescent="0.2">
      <c r="B44" s="2090" t="str">
        <f t="shared" si="0"/>
        <v>Luz96</v>
      </c>
      <c r="C44" s="1103"/>
      <c r="D44" s="521" t="s">
        <v>291</v>
      </c>
      <c r="E44" s="1095" t="s">
        <v>2019</v>
      </c>
      <c r="F44" s="1095">
        <v>96</v>
      </c>
      <c r="G44" s="1096" t="s">
        <v>1690</v>
      </c>
      <c r="H44" s="1096" t="s">
        <v>1536</v>
      </c>
      <c r="I44" s="1097" t="s">
        <v>1606</v>
      </c>
      <c r="J44" s="1095">
        <v>12</v>
      </c>
      <c r="K44" s="1095">
        <v>14</v>
      </c>
      <c r="L44" s="1095">
        <v>16</v>
      </c>
      <c r="M44" s="1098">
        <v>18</v>
      </c>
      <c r="N44" s="1095">
        <v>200</v>
      </c>
      <c r="O44" s="1095">
        <v>400</v>
      </c>
      <c r="P44" s="1095">
        <v>600</v>
      </c>
      <c r="Q44" s="1098">
        <v>800</v>
      </c>
      <c r="R44" s="1095" t="s">
        <v>1690</v>
      </c>
      <c r="S44" s="1095" t="s">
        <v>1690</v>
      </c>
      <c r="T44" s="1099" t="s">
        <v>1690</v>
      </c>
      <c r="U44" s="1104" t="s">
        <v>1690</v>
      </c>
      <c r="V44" s="1101" t="s">
        <v>4755</v>
      </c>
      <c r="W44" s="1101" t="s">
        <v>4756</v>
      </c>
      <c r="X44" s="1101" t="s">
        <v>4757</v>
      </c>
      <c r="Y44" s="1101" t="s">
        <v>4745</v>
      </c>
      <c r="Z44" s="1105" t="s">
        <v>4758</v>
      </c>
    </row>
    <row r="45" spans="2:26" ht="12.75" customHeight="1" x14ac:dyDescent="0.2">
      <c r="B45" s="2090" t="str">
        <f t="shared" si="0"/>
        <v>Luz98</v>
      </c>
      <c r="C45" s="1103"/>
      <c r="D45" s="521" t="s">
        <v>292</v>
      </c>
      <c r="E45" s="1095" t="s">
        <v>2019</v>
      </c>
      <c r="F45" s="1095">
        <v>98</v>
      </c>
      <c r="G45" s="1096" t="s">
        <v>2446</v>
      </c>
      <c r="H45" s="1096" t="s">
        <v>1536</v>
      </c>
      <c r="I45" s="1097" t="s">
        <v>1606</v>
      </c>
      <c r="J45" s="1095">
        <v>14</v>
      </c>
      <c r="K45" s="1095">
        <v>16</v>
      </c>
      <c r="L45" s="1095">
        <v>18</v>
      </c>
      <c r="M45" s="1098">
        <v>20</v>
      </c>
      <c r="N45" s="1095">
        <v>500</v>
      </c>
      <c r="O45" s="1095">
        <v>1000</v>
      </c>
      <c r="P45" s="1095">
        <v>2000</v>
      </c>
      <c r="Q45" s="1098">
        <v>5000</v>
      </c>
      <c r="R45" s="1095">
        <v>30</v>
      </c>
      <c r="S45" s="1095">
        <v>40</v>
      </c>
      <c r="T45" s="1099">
        <v>45</v>
      </c>
      <c r="U45" s="1104">
        <v>50</v>
      </c>
      <c r="V45" s="1101" t="s">
        <v>4759</v>
      </c>
      <c r="W45" s="1101" t="s">
        <v>4760</v>
      </c>
      <c r="X45" s="1101" t="s">
        <v>4761</v>
      </c>
      <c r="Y45" s="1101" t="s">
        <v>4762</v>
      </c>
      <c r="Z45" s="1102" t="s">
        <v>4763</v>
      </c>
    </row>
    <row r="46" spans="2:26" ht="12.75" customHeight="1" x14ac:dyDescent="0.2">
      <c r="B46" s="2090" t="str">
        <f t="shared" si="0"/>
        <v>Luz100</v>
      </c>
      <c r="C46" s="1103"/>
      <c r="D46" s="521" t="s">
        <v>293</v>
      </c>
      <c r="E46" s="1095" t="s">
        <v>2019</v>
      </c>
      <c r="F46" s="1095">
        <v>100</v>
      </c>
      <c r="G46" s="1096" t="s">
        <v>1690</v>
      </c>
      <c r="H46" s="1096" t="s">
        <v>1534</v>
      </c>
      <c r="I46" s="1097" t="s">
        <v>1606</v>
      </c>
      <c r="J46" s="1095">
        <v>14</v>
      </c>
      <c r="K46" s="1095">
        <v>16</v>
      </c>
      <c r="L46" s="1095">
        <v>18</v>
      </c>
      <c r="M46" s="1098">
        <v>20</v>
      </c>
      <c r="N46" s="1095">
        <v>600</v>
      </c>
      <c r="O46" s="1095">
        <v>1000</v>
      </c>
      <c r="P46" s="1095">
        <v>2500</v>
      </c>
      <c r="Q46" s="1098">
        <v>10000</v>
      </c>
      <c r="R46" s="1095" t="s">
        <v>1690</v>
      </c>
      <c r="S46" s="1095" t="s">
        <v>1690</v>
      </c>
      <c r="T46" s="1099" t="s">
        <v>1690</v>
      </c>
      <c r="U46" s="1104" t="s">
        <v>1690</v>
      </c>
      <c r="V46" s="1101" t="s">
        <v>4764</v>
      </c>
      <c r="W46" s="1101" t="s">
        <v>4765</v>
      </c>
      <c r="X46" s="1101" t="s">
        <v>4766</v>
      </c>
      <c r="Y46" s="1101" t="s">
        <v>4767</v>
      </c>
      <c r="Z46" s="1102" t="s">
        <v>4768</v>
      </c>
    </row>
    <row r="47" spans="2:26" ht="12.75" customHeight="1" x14ac:dyDescent="0.2">
      <c r="B47" s="2090" t="str">
        <f t="shared" si="0"/>
        <v/>
      </c>
      <c r="C47" s="1103"/>
      <c r="D47" s="521" t="s">
        <v>294</v>
      </c>
      <c r="E47" s="1095"/>
      <c r="F47" s="1095"/>
      <c r="G47" s="1096"/>
      <c r="H47" s="1096"/>
      <c r="I47" s="1097"/>
      <c r="J47" s="1095"/>
      <c r="K47" s="1095"/>
      <c r="L47" s="1095"/>
      <c r="M47" s="1098"/>
      <c r="N47" s="1095"/>
      <c r="O47" s="1095"/>
      <c r="P47" s="1095"/>
      <c r="Q47" s="1098"/>
      <c r="R47" s="1095"/>
      <c r="S47" s="1095"/>
      <c r="T47" s="1099"/>
      <c r="U47" s="1104"/>
      <c r="V47" s="1101"/>
      <c r="W47" s="1101"/>
      <c r="X47" s="1101"/>
      <c r="Y47" s="1101"/>
      <c r="Z47" s="1102"/>
    </row>
    <row r="48" spans="2:26" ht="12.75" customHeight="1" x14ac:dyDescent="0.2">
      <c r="B48" s="2090" t="str">
        <f t="shared" si="0"/>
        <v>Oscuridad2</v>
      </c>
      <c r="C48" s="1103"/>
      <c r="D48" s="521" t="s">
        <v>295</v>
      </c>
      <c r="E48" s="1095" t="s">
        <v>2020</v>
      </c>
      <c r="F48" s="1095">
        <v>2</v>
      </c>
      <c r="G48" s="1096" t="s">
        <v>2446</v>
      </c>
      <c r="H48" s="1096" t="s">
        <v>1536</v>
      </c>
      <c r="I48" s="1097" t="s">
        <v>1606</v>
      </c>
      <c r="J48" s="1095">
        <v>5</v>
      </c>
      <c r="K48" s="1095">
        <v>8</v>
      </c>
      <c r="L48" s="1095">
        <v>10</v>
      </c>
      <c r="M48" s="1098">
        <v>12</v>
      </c>
      <c r="N48" s="1095">
        <v>20</v>
      </c>
      <c r="O48" s="1095">
        <v>50</v>
      </c>
      <c r="P48" s="1095">
        <v>100</v>
      </c>
      <c r="Q48" s="1098">
        <v>200</v>
      </c>
      <c r="R48" s="1095">
        <v>5</v>
      </c>
      <c r="S48" s="1095">
        <v>5</v>
      </c>
      <c r="T48" s="1099">
        <v>10</v>
      </c>
      <c r="U48" s="1104">
        <v>15</v>
      </c>
      <c r="V48" s="1101" t="s">
        <v>4769</v>
      </c>
      <c r="W48" s="1101" t="s">
        <v>4770</v>
      </c>
      <c r="X48" s="1101" t="s">
        <v>4771</v>
      </c>
      <c r="Y48" s="1101" t="s">
        <v>4772</v>
      </c>
      <c r="Z48" s="1102" t="s">
        <v>4773</v>
      </c>
    </row>
    <row r="49" spans="2:26" ht="12.75" customHeight="1" x14ac:dyDescent="0.2">
      <c r="B49" s="2090" t="str">
        <f t="shared" si="0"/>
        <v>Oscuridad6</v>
      </c>
      <c r="C49" s="1103"/>
      <c r="D49" s="521" t="s">
        <v>296</v>
      </c>
      <c r="E49" s="1095" t="s">
        <v>2020</v>
      </c>
      <c r="F49" s="1095">
        <v>6</v>
      </c>
      <c r="G49" s="1096" t="s">
        <v>1690</v>
      </c>
      <c r="H49" s="1096" t="s">
        <v>1535</v>
      </c>
      <c r="I49" s="1097" t="s">
        <v>1606</v>
      </c>
      <c r="J49" s="1095">
        <v>5</v>
      </c>
      <c r="K49" s="1095">
        <v>8</v>
      </c>
      <c r="L49" s="1095">
        <v>10</v>
      </c>
      <c r="M49" s="1098">
        <v>12</v>
      </c>
      <c r="N49" s="1095">
        <v>40</v>
      </c>
      <c r="O49" s="1095">
        <v>80</v>
      </c>
      <c r="P49" s="1095">
        <v>140</v>
      </c>
      <c r="Q49" s="1098">
        <v>180</v>
      </c>
      <c r="R49" s="1095" t="s">
        <v>1690</v>
      </c>
      <c r="S49" s="1095" t="s">
        <v>1690</v>
      </c>
      <c r="T49" s="1099" t="s">
        <v>1690</v>
      </c>
      <c r="U49" s="1104" t="s">
        <v>1690</v>
      </c>
      <c r="V49" s="1101" t="s">
        <v>4774</v>
      </c>
      <c r="W49" s="1101" t="s">
        <v>4775</v>
      </c>
      <c r="X49" s="1101" t="s">
        <v>4776</v>
      </c>
      <c r="Y49" s="1101" t="s">
        <v>4777</v>
      </c>
      <c r="Z49" s="1102" t="s">
        <v>4778</v>
      </c>
    </row>
    <row r="50" spans="2:26" ht="12.75" customHeight="1" x14ac:dyDescent="0.2">
      <c r="B50" s="2090" t="str">
        <f t="shared" si="0"/>
        <v>Oscuridad8</v>
      </c>
      <c r="C50" s="1103"/>
      <c r="D50" s="521" t="s">
        <v>297</v>
      </c>
      <c r="E50" s="1095" t="s">
        <v>2020</v>
      </c>
      <c r="F50" s="1095">
        <v>8</v>
      </c>
      <c r="G50" s="1096" t="s">
        <v>2446</v>
      </c>
      <c r="H50" s="1096" t="s">
        <v>1535</v>
      </c>
      <c r="I50" s="1097" t="s">
        <v>1606</v>
      </c>
      <c r="J50" s="1095">
        <v>5</v>
      </c>
      <c r="K50" s="1095">
        <v>8</v>
      </c>
      <c r="L50" s="1095">
        <v>10</v>
      </c>
      <c r="M50" s="1098">
        <v>12</v>
      </c>
      <c r="N50" s="1095">
        <v>40</v>
      </c>
      <c r="O50" s="1095">
        <v>80</v>
      </c>
      <c r="P50" s="1095">
        <v>100</v>
      </c>
      <c r="Q50" s="1098">
        <v>120</v>
      </c>
      <c r="R50" s="1095">
        <v>5</v>
      </c>
      <c r="S50" s="1095">
        <v>10</v>
      </c>
      <c r="T50" s="1099">
        <v>10</v>
      </c>
      <c r="U50" s="1104">
        <v>15</v>
      </c>
      <c r="V50" s="1101" t="s">
        <v>4779</v>
      </c>
      <c r="W50" s="1101" t="s">
        <v>4780</v>
      </c>
      <c r="X50" s="1101" t="s">
        <v>4781</v>
      </c>
      <c r="Y50" s="1101" t="s">
        <v>4782</v>
      </c>
      <c r="Z50" s="1102" t="s">
        <v>4783</v>
      </c>
    </row>
    <row r="51" spans="2:26" ht="12.75" customHeight="1" x14ac:dyDescent="0.2">
      <c r="B51" s="2090" t="str">
        <f t="shared" si="0"/>
        <v>Oscuridad10</v>
      </c>
      <c r="C51" s="1103"/>
      <c r="D51" s="521" t="s">
        <v>298</v>
      </c>
      <c r="E51" s="1095" t="s">
        <v>2020</v>
      </c>
      <c r="F51" s="1095">
        <v>10</v>
      </c>
      <c r="G51" s="1096" t="s">
        <v>1690</v>
      </c>
      <c r="H51" s="1096" t="s">
        <v>1881</v>
      </c>
      <c r="I51" s="1097" t="s">
        <v>1607</v>
      </c>
      <c r="J51" s="1095">
        <v>6</v>
      </c>
      <c r="K51" s="1095">
        <v>8</v>
      </c>
      <c r="L51" s="1095">
        <v>10</v>
      </c>
      <c r="M51" s="1098">
        <v>14</v>
      </c>
      <c r="N51" s="1095">
        <v>50</v>
      </c>
      <c r="O51" s="1095">
        <v>120</v>
      </c>
      <c r="P51" s="1095">
        <v>180</v>
      </c>
      <c r="Q51" s="1098">
        <v>250</v>
      </c>
      <c r="R51" s="1095">
        <v>5</v>
      </c>
      <c r="S51" s="1095">
        <v>15</v>
      </c>
      <c r="T51" s="1099">
        <v>20</v>
      </c>
      <c r="U51" s="1104">
        <v>25</v>
      </c>
      <c r="V51" s="1101" t="s">
        <v>4591</v>
      </c>
      <c r="W51" s="1101" t="s">
        <v>4592</v>
      </c>
      <c r="X51" s="1101" t="s">
        <v>4593</v>
      </c>
      <c r="Y51" s="1101" t="s">
        <v>4594</v>
      </c>
      <c r="Z51" s="1102" t="s">
        <v>4784</v>
      </c>
    </row>
    <row r="52" spans="2:26" ht="12.75" customHeight="1" x14ac:dyDescent="0.2">
      <c r="B52" s="2090" t="str">
        <f t="shared" si="0"/>
        <v>Oscuridad12</v>
      </c>
      <c r="C52" s="1103"/>
      <c r="D52" s="521" t="s">
        <v>299</v>
      </c>
      <c r="E52" s="1095" t="s">
        <v>2020</v>
      </c>
      <c r="F52" s="1095">
        <v>12</v>
      </c>
      <c r="G52" s="1096" t="s">
        <v>1690</v>
      </c>
      <c r="H52" s="1096" t="s">
        <v>1536</v>
      </c>
      <c r="I52" s="1097" t="s">
        <v>1607</v>
      </c>
      <c r="J52" s="1095">
        <v>5</v>
      </c>
      <c r="K52" s="1095">
        <v>9</v>
      </c>
      <c r="L52" s="1095">
        <v>12</v>
      </c>
      <c r="M52" s="1098">
        <v>14</v>
      </c>
      <c r="N52" s="1095">
        <v>50</v>
      </c>
      <c r="O52" s="1095">
        <v>150</v>
      </c>
      <c r="P52" s="1095">
        <v>200</v>
      </c>
      <c r="Q52" s="1098">
        <v>240</v>
      </c>
      <c r="R52" s="1095">
        <v>5</v>
      </c>
      <c r="S52" s="1095">
        <v>15</v>
      </c>
      <c r="T52" s="1099">
        <v>20</v>
      </c>
      <c r="U52" s="1104">
        <v>25</v>
      </c>
      <c r="V52" s="1101" t="s">
        <v>4785</v>
      </c>
      <c r="W52" s="1101" t="s">
        <v>4786</v>
      </c>
      <c r="X52" s="1101" t="s">
        <v>4787</v>
      </c>
      <c r="Y52" s="1101" t="s">
        <v>4788</v>
      </c>
      <c r="Z52" s="1102" t="s">
        <v>4789</v>
      </c>
    </row>
    <row r="53" spans="2:26" ht="12.75" customHeight="1" x14ac:dyDescent="0.2">
      <c r="B53" s="2090" t="str">
        <f t="shared" si="0"/>
        <v>Oscuridad16</v>
      </c>
      <c r="C53" s="1103"/>
      <c r="D53" s="521" t="s">
        <v>300</v>
      </c>
      <c r="E53" s="1095" t="s">
        <v>2020</v>
      </c>
      <c r="F53" s="1095">
        <v>16</v>
      </c>
      <c r="G53" s="1096" t="s">
        <v>1690</v>
      </c>
      <c r="H53" s="1096" t="s">
        <v>1536</v>
      </c>
      <c r="I53" s="1097" t="s">
        <v>1606</v>
      </c>
      <c r="J53" s="1095">
        <v>6</v>
      </c>
      <c r="K53" s="1095">
        <v>9</v>
      </c>
      <c r="L53" s="1095">
        <v>12</v>
      </c>
      <c r="M53" s="1098">
        <v>15</v>
      </c>
      <c r="N53" s="1095">
        <v>60</v>
      </c>
      <c r="O53" s="1095">
        <v>90</v>
      </c>
      <c r="P53" s="1095">
        <v>120</v>
      </c>
      <c r="Q53" s="1098">
        <v>150</v>
      </c>
      <c r="R53" s="1095">
        <v>5</v>
      </c>
      <c r="S53" s="1095">
        <v>10</v>
      </c>
      <c r="T53" s="1099">
        <v>15</v>
      </c>
      <c r="U53" s="1104">
        <v>20</v>
      </c>
      <c r="V53" s="1101" t="s">
        <v>4601</v>
      </c>
      <c r="W53" s="1101" t="s">
        <v>4602</v>
      </c>
      <c r="X53" s="1101" t="s">
        <v>4790</v>
      </c>
      <c r="Y53" s="1101" t="s">
        <v>4791</v>
      </c>
      <c r="Z53" s="1102" t="s">
        <v>4792</v>
      </c>
    </row>
    <row r="54" spans="2:26" ht="12.75" customHeight="1" x14ac:dyDescent="0.2">
      <c r="B54" s="2090" t="str">
        <f t="shared" si="0"/>
        <v>Oscuridad18</v>
      </c>
      <c r="C54" s="1103"/>
      <c r="D54" s="521" t="s">
        <v>301</v>
      </c>
      <c r="E54" s="1095" t="s">
        <v>2020</v>
      </c>
      <c r="F54" s="1095">
        <v>18</v>
      </c>
      <c r="G54" s="1096" t="s">
        <v>1690</v>
      </c>
      <c r="H54" s="1096" t="s">
        <v>4793</v>
      </c>
      <c r="I54" s="1097" t="s">
        <v>1606</v>
      </c>
      <c r="J54" s="1095">
        <v>6</v>
      </c>
      <c r="K54" s="1095">
        <v>9</v>
      </c>
      <c r="L54" s="1095">
        <v>12</v>
      </c>
      <c r="M54" s="1098">
        <v>15</v>
      </c>
      <c r="N54" s="1095">
        <v>60</v>
      </c>
      <c r="O54" s="1095">
        <v>100</v>
      </c>
      <c r="P54" s="1095">
        <v>150</v>
      </c>
      <c r="Q54" s="1098">
        <v>250</v>
      </c>
      <c r="R54" s="1095">
        <v>10</v>
      </c>
      <c r="S54" s="1095">
        <v>10</v>
      </c>
      <c r="T54" s="1099">
        <v>15</v>
      </c>
      <c r="U54" s="1104">
        <v>15</v>
      </c>
      <c r="V54" s="1101" t="s">
        <v>4606</v>
      </c>
      <c r="W54" s="1101" t="s">
        <v>4794</v>
      </c>
      <c r="X54" s="1101" t="s">
        <v>4795</v>
      </c>
      <c r="Y54" s="1101" t="s">
        <v>4609</v>
      </c>
      <c r="Z54" s="1102" t="s">
        <v>4796</v>
      </c>
    </row>
    <row r="55" spans="2:26" ht="12.75" customHeight="1" x14ac:dyDescent="0.2">
      <c r="B55" s="2090" t="str">
        <f t="shared" si="0"/>
        <v>Oscuridad20</v>
      </c>
      <c r="C55" s="1103"/>
      <c r="D55" s="521" t="s">
        <v>302</v>
      </c>
      <c r="E55" s="1095" t="s">
        <v>2020</v>
      </c>
      <c r="F55" s="1095">
        <v>20</v>
      </c>
      <c r="G55" s="1096" t="s">
        <v>2446</v>
      </c>
      <c r="H55" s="1096" t="s">
        <v>1536</v>
      </c>
      <c r="I55" s="1097" t="s">
        <v>1607</v>
      </c>
      <c r="J55" s="1095">
        <v>6</v>
      </c>
      <c r="K55" s="1095">
        <v>9</v>
      </c>
      <c r="L55" s="1095">
        <v>12</v>
      </c>
      <c r="M55" s="1098">
        <v>15</v>
      </c>
      <c r="N55" s="1095">
        <v>50</v>
      </c>
      <c r="O55" s="1095">
        <v>180</v>
      </c>
      <c r="P55" s="1095">
        <v>240</v>
      </c>
      <c r="Q55" s="1098">
        <v>300</v>
      </c>
      <c r="R55" s="1095">
        <v>5</v>
      </c>
      <c r="S55" s="1095">
        <v>20</v>
      </c>
      <c r="T55" s="1099">
        <v>25</v>
      </c>
      <c r="U55" s="1104">
        <v>30</v>
      </c>
      <c r="V55" s="1101" t="s">
        <v>4797</v>
      </c>
      <c r="W55" s="1101" t="s">
        <v>4798</v>
      </c>
      <c r="X55" s="1101" t="s">
        <v>4799</v>
      </c>
      <c r="Y55" s="1101" t="s">
        <v>4800</v>
      </c>
      <c r="Z55" s="1102" t="s">
        <v>4801</v>
      </c>
    </row>
    <row r="56" spans="2:26" ht="12.75" customHeight="1" x14ac:dyDescent="0.2">
      <c r="B56" s="2090" t="str">
        <f t="shared" si="0"/>
        <v>Oscuridad22</v>
      </c>
      <c r="C56" s="1103"/>
      <c r="D56" s="521" t="s">
        <v>303</v>
      </c>
      <c r="E56" s="1095" t="s">
        <v>2020</v>
      </c>
      <c r="F56" s="1095">
        <v>22</v>
      </c>
      <c r="G56" s="1096" t="s">
        <v>1690</v>
      </c>
      <c r="H56" s="1096" t="s">
        <v>1534</v>
      </c>
      <c r="I56" s="1097" t="s">
        <v>1606</v>
      </c>
      <c r="J56" s="1095">
        <v>6</v>
      </c>
      <c r="K56" s="1095">
        <v>9</v>
      </c>
      <c r="L56" s="1095">
        <v>12</v>
      </c>
      <c r="M56" s="1098">
        <v>15</v>
      </c>
      <c r="N56" s="1095">
        <v>50</v>
      </c>
      <c r="O56" s="1095">
        <v>90</v>
      </c>
      <c r="P56" s="1095">
        <v>120</v>
      </c>
      <c r="Q56" s="1098">
        <v>150</v>
      </c>
      <c r="R56" s="1095" t="s">
        <v>1690</v>
      </c>
      <c r="S56" s="1095" t="s">
        <v>1690</v>
      </c>
      <c r="T56" s="1099" t="s">
        <v>1690</v>
      </c>
      <c r="U56" s="1104" t="s">
        <v>1690</v>
      </c>
      <c r="V56" s="1101" t="s">
        <v>4616</v>
      </c>
      <c r="W56" s="1101" t="s">
        <v>4617</v>
      </c>
      <c r="X56" s="1101" t="s">
        <v>4802</v>
      </c>
      <c r="Y56" s="1101" t="s">
        <v>4803</v>
      </c>
      <c r="Z56" s="1102" t="s">
        <v>4804</v>
      </c>
    </row>
    <row r="57" spans="2:26" ht="12.75" customHeight="1" x14ac:dyDescent="0.2">
      <c r="B57" s="2090" t="str">
        <f t="shared" si="0"/>
        <v>Oscuridad26</v>
      </c>
      <c r="C57" s="1103"/>
      <c r="D57" s="521" t="s">
        <v>304</v>
      </c>
      <c r="E57" s="1095" t="s">
        <v>2020</v>
      </c>
      <c r="F57" s="1095">
        <v>26</v>
      </c>
      <c r="G57" s="1096" t="s">
        <v>1690</v>
      </c>
      <c r="H57" s="1096" t="s">
        <v>1536</v>
      </c>
      <c r="I57" s="1097" t="s">
        <v>1606</v>
      </c>
      <c r="J57" s="1095">
        <v>6</v>
      </c>
      <c r="K57" s="1095">
        <v>9</v>
      </c>
      <c r="L57" s="1095">
        <v>12</v>
      </c>
      <c r="M57" s="1098">
        <v>15</v>
      </c>
      <c r="N57" s="1095">
        <v>60</v>
      </c>
      <c r="O57" s="1095">
        <v>180</v>
      </c>
      <c r="P57" s="1095">
        <v>240</v>
      </c>
      <c r="Q57" s="1098">
        <v>300</v>
      </c>
      <c r="R57" s="1095">
        <v>5</v>
      </c>
      <c r="S57" s="1095">
        <v>10</v>
      </c>
      <c r="T57" s="1099">
        <v>15</v>
      </c>
      <c r="U57" s="1104">
        <v>15</v>
      </c>
      <c r="V57" s="1101" t="s">
        <v>4805</v>
      </c>
      <c r="W57" s="1101" t="s">
        <v>4806</v>
      </c>
      <c r="X57" s="1101" t="s">
        <v>4807</v>
      </c>
      <c r="Y57" s="1101" t="s">
        <v>4808</v>
      </c>
      <c r="Z57" s="1102" t="s">
        <v>4809</v>
      </c>
    </row>
    <row r="58" spans="2:26" ht="12.75" customHeight="1" x14ac:dyDescent="0.2">
      <c r="B58" s="2090" t="str">
        <f t="shared" si="0"/>
        <v>Oscuridad28</v>
      </c>
      <c r="C58" s="1103"/>
      <c r="D58" s="521" t="s">
        <v>305</v>
      </c>
      <c r="E58" s="1095" t="s">
        <v>2020</v>
      </c>
      <c r="F58" s="1095">
        <v>28</v>
      </c>
      <c r="G58" s="1096" t="s">
        <v>1690</v>
      </c>
      <c r="H58" s="1096" t="s">
        <v>1534</v>
      </c>
      <c r="I58" s="1097" t="s">
        <v>1606</v>
      </c>
      <c r="J58" s="1095">
        <v>6</v>
      </c>
      <c r="K58" s="1095">
        <v>9</v>
      </c>
      <c r="L58" s="1095">
        <v>12</v>
      </c>
      <c r="M58" s="1098">
        <v>15</v>
      </c>
      <c r="N58" s="1095">
        <v>60</v>
      </c>
      <c r="O58" s="1095">
        <v>100</v>
      </c>
      <c r="P58" s="1095">
        <v>140</v>
      </c>
      <c r="Q58" s="1098">
        <v>180</v>
      </c>
      <c r="R58" s="1095">
        <v>10</v>
      </c>
      <c r="S58" s="1095">
        <v>10</v>
      </c>
      <c r="T58" s="1099">
        <v>15</v>
      </c>
      <c r="U58" s="1104">
        <v>15</v>
      </c>
      <c r="V58" s="1101" t="s">
        <v>4626</v>
      </c>
      <c r="W58" s="1101" t="s">
        <v>4627</v>
      </c>
      <c r="X58" s="1101" t="s">
        <v>4628</v>
      </c>
      <c r="Y58" s="1101" t="s">
        <v>4629</v>
      </c>
      <c r="Z58" s="1102" t="s">
        <v>4810</v>
      </c>
    </row>
    <row r="59" spans="2:26" ht="12.75" customHeight="1" x14ac:dyDescent="0.2">
      <c r="B59" s="2090" t="str">
        <f t="shared" si="0"/>
        <v>Oscuridad30</v>
      </c>
      <c r="C59" s="1103"/>
      <c r="D59" s="521" t="s">
        <v>306</v>
      </c>
      <c r="E59" s="1095" t="s">
        <v>2020</v>
      </c>
      <c r="F59" s="1095">
        <v>30</v>
      </c>
      <c r="G59" s="1096" t="s">
        <v>1690</v>
      </c>
      <c r="H59" s="1096" t="s">
        <v>4793</v>
      </c>
      <c r="I59" s="1097" t="s">
        <v>1606</v>
      </c>
      <c r="J59" s="1095">
        <v>6</v>
      </c>
      <c r="K59" s="1095">
        <v>9</v>
      </c>
      <c r="L59" s="1095">
        <v>12</v>
      </c>
      <c r="M59" s="1098">
        <v>16</v>
      </c>
      <c r="N59" s="1095">
        <v>50</v>
      </c>
      <c r="O59" s="1095">
        <v>150</v>
      </c>
      <c r="P59" s="1095">
        <v>250</v>
      </c>
      <c r="Q59" s="1098">
        <v>350</v>
      </c>
      <c r="R59" s="1095">
        <v>5</v>
      </c>
      <c r="S59" s="1095">
        <v>20</v>
      </c>
      <c r="T59" s="1099">
        <v>25</v>
      </c>
      <c r="U59" s="1104">
        <v>30</v>
      </c>
      <c r="V59" s="1101" t="s">
        <v>4631</v>
      </c>
      <c r="W59" s="1101" t="s">
        <v>4632</v>
      </c>
      <c r="X59" s="1101" t="s">
        <v>4811</v>
      </c>
      <c r="Y59" s="1101" t="s">
        <v>4634</v>
      </c>
      <c r="Z59" s="1102" t="s">
        <v>4812</v>
      </c>
    </row>
    <row r="60" spans="2:26" ht="12.75" customHeight="1" x14ac:dyDescent="0.2">
      <c r="B60" s="2090" t="str">
        <f t="shared" si="0"/>
        <v>Oscuridad32</v>
      </c>
      <c r="C60" s="1103"/>
      <c r="D60" s="521" t="s">
        <v>307</v>
      </c>
      <c r="E60" s="1095" t="s">
        <v>2020</v>
      </c>
      <c r="F60" s="1095">
        <v>32</v>
      </c>
      <c r="G60" s="1096" t="s">
        <v>2446</v>
      </c>
      <c r="H60" s="1096" t="s">
        <v>1536</v>
      </c>
      <c r="I60" s="1097" t="s">
        <v>1607</v>
      </c>
      <c r="J60" s="1095">
        <v>6</v>
      </c>
      <c r="K60" s="1095">
        <v>9</v>
      </c>
      <c r="L60" s="1095">
        <v>12</v>
      </c>
      <c r="M60" s="1098">
        <v>15</v>
      </c>
      <c r="N60" s="1095">
        <v>60</v>
      </c>
      <c r="O60" s="1095">
        <v>180</v>
      </c>
      <c r="P60" s="1095">
        <v>240</v>
      </c>
      <c r="Q60" s="1098">
        <v>300</v>
      </c>
      <c r="R60" s="1095">
        <v>10</v>
      </c>
      <c r="S60" s="1095">
        <v>20</v>
      </c>
      <c r="T60" s="1099">
        <v>25</v>
      </c>
      <c r="U60" s="1104">
        <v>30</v>
      </c>
      <c r="V60" s="1101" t="s">
        <v>4813</v>
      </c>
      <c r="W60" s="1101" t="s">
        <v>4814</v>
      </c>
      <c r="X60" s="1101" t="s">
        <v>4815</v>
      </c>
      <c r="Y60" s="1101" t="s">
        <v>4816</v>
      </c>
      <c r="Z60" s="1102" t="s">
        <v>4817</v>
      </c>
    </row>
    <row r="61" spans="2:26" ht="12.75" customHeight="1" x14ac:dyDescent="0.2">
      <c r="B61" s="2090" t="str">
        <f t="shared" si="0"/>
        <v>Oscuridad36</v>
      </c>
      <c r="C61" s="1103"/>
      <c r="D61" s="521" t="s">
        <v>308</v>
      </c>
      <c r="E61" s="1095" t="s">
        <v>2020</v>
      </c>
      <c r="F61" s="1095">
        <v>36</v>
      </c>
      <c r="G61" s="1096" t="s">
        <v>2446</v>
      </c>
      <c r="H61" s="1096" t="s">
        <v>1536</v>
      </c>
      <c r="I61" s="1097" t="s">
        <v>1606</v>
      </c>
      <c r="J61" s="1095">
        <v>6</v>
      </c>
      <c r="K61" s="1095">
        <v>9</v>
      </c>
      <c r="L61" s="1095">
        <v>12</v>
      </c>
      <c r="M61" s="1098">
        <v>15</v>
      </c>
      <c r="N61" s="1095">
        <v>100</v>
      </c>
      <c r="O61" s="1095">
        <v>180</v>
      </c>
      <c r="P61" s="1095">
        <v>240</v>
      </c>
      <c r="Q61" s="1098">
        <v>300</v>
      </c>
      <c r="R61" s="1095">
        <v>20</v>
      </c>
      <c r="S61" s="1095">
        <v>40</v>
      </c>
      <c r="T61" s="1099">
        <v>50</v>
      </c>
      <c r="U61" s="1104">
        <v>60</v>
      </c>
      <c r="V61" s="1101" t="s">
        <v>4818</v>
      </c>
      <c r="W61" s="1101" t="s">
        <v>4819</v>
      </c>
      <c r="X61" s="1101" t="s">
        <v>4820</v>
      </c>
      <c r="Y61" s="1101" t="s">
        <v>4821</v>
      </c>
      <c r="Z61" s="1102" t="s">
        <v>4822</v>
      </c>
    </row>
    <row r="62" spans="2:26" ht="12.75" customHeight="1" x14ac:dyDescent="0.2">
      <c r="B62" s="2090" t="str">
        <f t="shared" si="0"/>
        <v>Oscuridad38</v>
      </c>
      <c r="C62" s="1103"/>
      <c r="D62" s="521" t="s">
        <v>309</v>
      </c>
      <c r="E62" s="1095" t="s">
        <v>2020</v>
      </c>
      <c r="F62" s="1095">
        <v>38</v>
      </c>
      <c r="G62" s="1096" t="s">
        <v>1690</v>
      </c>
      <c r="H62" s="1096" t="s">
        <v>1535</v>
      </c>
      <c r="I62" s="1097" t="s">
        <v>1606</v>
      </c>
      <c r="J62" s="1095">
        <v>6</v>
      </c>
      <c r="K62" s="1095">
        <v>9</v>
      </c>
      <c r="L62" s="1095">
        <v>12</v>
      </c>
      <c r="M62" s="1098">
        <v>15</v>
      </c>
      <c r="N62" s="1095">
        <v>60</v>
      </c>
      <c r="O62" s="1095">
        <v>90</v>
      </c>
      <c r="P62" s="1095">
        <v>150</v>
      </c>
      <c r="Q62" s="1098">
        <v>200</v>
      </c>
      <c r="R62" s="1095">
        <v>10</v>
      </c>
      <c r="S62" s="1095">
        <v>10</v>
      </c>
      <c r="T62" s="1099">
        <v>15</v>
      </c>
      <c r="U62" s="1104">
        <v>15</v>
      </c>
      <c r="V62" s="1101" t="s">
        <v>4823</v>
      </c>
      <c r="W62" s="1101" t="s">
        <v>4824</v>
      </c>
      <c r="X62" s="1101" t="s">
        <v>4825</v>
      </c>
      <c r="Y62" s="1101" t="s">
        <v>4826</v>
      </c>
      <c r="Z62" s="1102" t="s">
        <v>4827</v>
      </c>
    </row>
    <row r="63" spans="2:26" ht="12.75" customHeight="1" x14ac:dyDescent="0.2">
      <c r="B63" s="2090" t="str">
        <f t="shared" si="0"/>
        <v>Oscuridad40</v>
      </c>
      <c r="C63" s="1103"/>
      <c r="D63" s="521" t="s">
        <v>310</v>
      </c>
      <c r="E63" s="1095" t="s">
        <v>2020</v>
      </c>
      <c r="F63" s="1095">
        <v>40</v>
      </c>
      <c r="G63" s="1096" t="s">
        <v>1690</v>
      </c>
      <c r="H63" s="1096" t="s">
        <v>1535</v>
      </c>
      <c r="I63" s="1097" t="s">
        <v>1606</v>
      </c>
      <c r="J63" s="1095">
        <v>6</v>
      </c>
      <c r="K63" s="1095">
        <v>9</v>
      </c>
      <c r="L63" s="1095">
        <v>12</v>
      </c>
      <c r="M63" s="1098">
        <v>15</v>
      </c>
      <c r="N63" s="1095">
        <v>80</v>
      </c>
      <c r="O63" s="1095">
        <v>180</v>
      </c>
      <c r="P63" s="1095">
        <v>240</v>
      </c>
      <c r="Q63" s="1098">
        <v>350</v>
      </c>
      <c r="R63" s="1095" t="s">
        <v>1690</v>
      </c>
      <c r="S63" s="1095" t="s">
        <v>1690</v>
      </c>
      <c r="T63" s="1099" t="s">
        <v>1690</v>
      </c>
      <c r="U63" s="1104" t="s">
        <v>1690</v>
      </c>
      <c r="V63" s="1101" t="s">
        <v>4651</v>
      </c>
      <c r="W63" s="1101" t="s">
        <v>4652</v>
      </c>
      <c r="X63" s="1101" t="s">
        <v>4653</v>
      </c>
      <c r="Y63" s="1101" t="s">
        <v>4654</v>
      </c>
      <c r="Z63" s="1102" t="s">
        <v>4828</v>
      </c>
    </row>
    <row r="64" spans="2:26" ht="12.75" customHeight="1" x14ac:dyDescent="0.2">
      <c r="B64" s="2090" t="str">
        <f t="shared" si="0"/>
        <v>Oscuridad42</v>
      </c>
      <c r="C64" s="1103"/>
      <c r="D64" s="521" t="s">
        <v>311</v>
      </c>
      <c r="E64" s="1095" t="s">
        <v>2020</v>
      </c>
      <c r="F64" s="1095">
        <v>42</v>
      </c>
      <c r="G64" s="1096" t="s">
        <v>1690</v>
      </c>
      <c r="H64" s="1096" t="s">
        <v>1536</v>
      </c>
      <c r="I64" s="1097" t="s">
        <v>1606</v>
      </c>
      <c r="J64" s="1095">
        <v>6</v>
      </c>
      <c r="K64" s="1095">
        <v>9</v>
      </c>
      <c r="L64" s="1095">
        <v>12</v>
      </c>
      <c r="M64" s="1098">
        <v>15</v>
      </c>
      <c r="N64" s="1095">
        <v>80</v>
      </c>
      <c r="O64" s="1095">
        <v>180</v>
      </c>
      <c r="P64" s="1095">
        <v>240</v>
      </c>
      <c r="Q64" s="1098">
        <v>300</v>
      </c>
      <c r="R64" s="1095">
        <v>10</v>
      </c>
      <c r="S64" s="1095">
        <v>20</v>
      </c>
      <c r="T64" s="1099">
        <v>25</v>
      </c>
      <c r="U64" s="1104">
        <v>30</v>
      </c>
      <c r="V64" s="1101" t="s">
        <v>4829</v>
      </c>
      <c r="W64" s="1101" t="s">
        <v>4830</v>
      </c>
      <c r="X64" s="1101" t="s">
        <v>4831</v>
      </c>
      <c r="Y64" s="1101" t="s">
        <v>4832</v>
      </c>
      <c r="Z64" s="1102" t="s">
        <v>4833</v>
      </c>
    </row>
    <row r="65" spans="2:26" ht="12.75" customHeight="1" x14ac:dyDescent="0.2">
      <c r="B65" s="2090" t="str">
        <f t="shared" si="0"/>
        <v>Oscuridad46</v>
      </c>
      <c r="C65" s="1103"/>
      <c r="D65" s="521" t="s">
        <v>312</v>
      </c>
      <c r="E65" s="1095" t="s">
        <v>2020</v>
      </c>
      <c r="F65" s="1095">
        <v>46</v>
      </c>
      <c r="G65" s="1096" t="s">
        <v>1690</v>
      </c>
      <c r="H65" s="1096" t="s">
        <v>1534</v>
      </c>
      <c r="I65" s="1097" t="s">
        <v>1606</v>
      </c>
      <c r="J65" s="1095">
        <v>6</v>
      </c>
      <c r="K65" s="1095">
        <v>9</v>
      </c>
      <c r="L65" s="1095">
        <v>12</v>
      </c>
      <c r="M65" s="1098">
        <v>15</v>
      </c>
      <c r="N65" s="1095">
        <v>120</v>
      </c>
      <c r="O65" s="1095">
        <v>180</v>
      </c>
      <c r="P65" s="1095">
        <v>240</v>
      </c>
      <c r="Q65" s="1098">
        <v>300</v>
      </c>
      <c r="R65" s="1095">
        <v>15</v>
      </c>
      <c r="S65" s="1095">
        <v>20</v>
      </c>
      <c r="T65" s="1099">
        <v>25</v>
      </c>
      <c r="U65" s="1104">
        <v>30</v>
      </c>
      <c r="V65" s="1101" t="s">
        <v>4834</v>
      </c>
      <c r="W65" s="1101" t="s">
        <v>4662</v>
      </c>
      <c r="X65" s="1101" t="s">
        <v>4663</v>
      </c>
      <c r="Y65" s="1101" t="s">
        <v>4664</v>
      </c>
      <c r="Z65" s="1102" t="s">
        <v>4835</v>
      </c>
    </row>
    <row r="66" spans="2:26" ht="12.75" customHeight="1" x14ac:dyDescent="0.2">
      <c r="B66" s="2090" t="str">
        <f t="shared" si="0"/>
        <v>Oscuridad48</v>
      </c>
      <c r="C66" s="1103"/>
      <c r="D66" s="521" t="s">
        <v>313</v>
      </c>
      <c r="E66" s="1095" t="s">
        <v>2020</v>
      </c>
      <c r="F66" s="1095">
        <v>48</v>
      </c>
      <c r="G66" s="1096" t="s">
        <v>2446</v>
      </c>
      <c r="H66" s="1096" t="s">
        <v>1538</v>
      </c>
      <c r="I66" s="1097" t="s">
        <v>1606</v>
      </c>
      <c r="J66" s="1095">
        <v>6</v>
      </c>
      <c r="K66" s="1095">
        <v>9</v>
      </c>
      <c r="L66" s="1095">
        <v>12</v>
      </c>
      <c r="M66" s="1098">
        <v>15</v>
      </c>
      <c r="N66" s="1095">
        <v>140</v>
      </c>
      <c r="O66" s="1095">
        <v>180</v>
      </c>
      <c r="P66" s="1095">
        <v>240</v>
      </c>
      <c r="Q66" s="1098">
        <v>300</v>
      </c>
      <c r="R66" s="1095">
        <v>10</v>
      </c>
      <c r="S66" s="1095">
        <v>10</v>
      </c>
      <c r="T66" s="1099">
        <v>15</v>
      </c>
      <c r="U66" s="1104">
        <v>15</v>
      </c>
      <c r="V66" s="1101" t="s">
        <v>4836</v>
      </c>
      <c r="W66" s="1101" t="s">
        <v>4837</v>
      </c>
      <c r="X66" s="1101" t="s">
        <v>4838</v>
      </c>
      <c r="Y66" s="1101" t="s">
        <v>4839</v>
      </c>
      <c r="Z66" s="1102" t="s">
        <v>4840</v>
      </c>
    </row>
    <row r="67" spans="2:26" ht="12.75" customHeight="1" x14ac:dyDescent="0.2">
      <c r="B67" s="2090" t="str">
        <f t="shared" si="0"/>
        <v>Oscuridad50</v>
      </c>
      <c r="C67" s="1103"/>
      <c r="D67" s="521" t="s">
        <v>314</v>
      </c>
      <c r="E67" s="1095" t="s">
        <v>2020</v>
      </c>
      <c r="F67" s="1095">
        <v>50</v>
      </c>
      <c r="G67" s="1096" t="s">
        <v>2446</v>
      </c>
      <c r="H67" s="1096" t="s">
        <v>1535</v>
      </c>
      <c r="I67" s="1097" t="s">
        <v>1606</v>
      </c>
      <c r="J67" s="1095">
        <v>6</v>
      </c>
      <c r="K67" s="1095">
        <v>9</v>
      </c>
      <c r="L67" s="1095">
        <v>12</v>
      </c>
      <c r="M67" s="1098">
        <v>15</v>
      </c>
      <c r="N67" s="1095">
        <v>120</v>
      </c>
      <c r="O67" s="1095">
        <v>180</v>
      </c>
      <c r="P67" s="1095">
        <v>240</v>
      </c>
      <c r="Q67" s="1098">
        <v>300</v>
      </c>
      <c r="R67" s="1095">
        <v>10</v>
      </c>
      <c r="S67" s="1095">
        <v>10</v>
      </c>
      <c r="T67" s="1099">
        <v>15</v>
      </c>
      <c r="U67" s="1104">
        <v>15</v>
      </c>
      <c r="V67" s="1101" t="s">
        <v>4671</v>
      </c>
      <c r="W67" s="1101" t="s">
        <v>4672</v>
      </c>
      <c r="X67" s="1101" t="s">
        <v>4673</v>
      </c>
      <c r="Y67" s="1101" t="s">
        <v>4674</v>
      </c>
      <c r="Z67" s="1102" t="s">
        <v>8646</v>
      </c>
    </row>
    <row r="68" spans="2:26" ht="12.75" customHeight="1" x14ac:dyDescent="0.2">
      <c r="B68" s="2090" t="str">
        <f t="shared" si="0"/>
        <v>Oscuridad52</v>
      </c>
      <c r="C68" s="1103"/>
      <c r="D68" s="521" t="s">
        <v>315</v>
      </c>
      <c r="E68" s="1095" t="s">
        <v>2020</v>
      </c>
      <c r="F68" s="1095">
        <v>52</v>
      </c>
      <c r="G68" s="1096" t="s">
        <v>1690</v>
      </c>
      <c r="H68" s="1096" t="s">
        <v>1536</v>
      </c>
      <c r="I68" s="1097" t="s">
        <v>1606</v>
      </c>
      <c r="J68" s="1095">
        <v>8</v>
      </c>
      <c r="K68" s="1095">
        <v>11</v>
      </c>
      <c r="L68" s="1095">
        <v>13</v>
      </c>
      <c r="M68" s="1098">
        <v>16</v>
      </c>
      <c r="N68" s="1095">
        <v>100</v>
      </c>
      <c r="O68" s="1095">
        <v>120</v>
      </c>
      <c r="P68" s="1095">
        <v>140</v>
      </c>
      <c r="Q68" s="1098">
        <v>160</v>
      </c>
      <c r="R68" s="1095">
        <v>10</v>
      </c>
      <c r="S68" s="1095">
        <v>15</v>
      </c>
      <c r="T68" s="1099">
        <v>15</v>
      </c>
      <c r="U68" s="1104">
        <v>20</v>
      </c>
      <c r="V68" s="1101" t="s">
        <v>4675</v>
      </c>
      <c r="W68" s="1101" t="s">
        <v>4676</v>
      </c>
      <c r="X68" s="1101" t="s">
        <v>4841</v>
      </c>
      <c r="Y68" s="1101" t="s">
        <v>4842</v>
      </c>
      <c r="Z68" s="1102" t="s">
        <v>4843</v>
      </c>
    </row>
    <row r="69" spans="2:26" ht="12.75" customHeight="1" x14ac:dyDescent="0.2">
      <c r="B69" s="2090" t="str">
        <f t="shared" si="0"/>
        <v>Oscuridad56</v>
      </c>
      <c r="C69" s="1103"/>
      <c r="D69" s="521" t="s">
        <v>316</v>
      </c>
      <c r="E69" s="1095" t="s">
        <v>2020</v>
      </c>
      <c r="F69" s="1095">
        <v>56</v>
      </c>
      <c r="G69" s="1096" t="s">
        <v>1690</v>
      </c>
      <c r="H69" s="1096" t="s">
        <v>1537</v>
      </c>
      <c r="I69" s="1097" t="s">
        <v>1606</v>
      </c>
      <c r="J69" s="1095">
        <v>6</v>
      </c>
      <c r="K69" s="1095">
        <v>9</v>
      </c>
      <c r="L69" s="1095">
        <v>12</v>
      </c>
      <c r="M69" s="1098">
        <v>15</v>
      </c>
      <c r="N69" s="1095">
        <v>100</v>
      </c>
      <c r="O69" s="1095">
        <v>180</v>
      </c>
      <c r="P69" s="1095">
        <v>240</v>
      </c>
      <c r="Q69" s="1098">
        <v>300</v>
      </c>
      <c r="R69" s="1095">
        <v>5</v>
      </c>
      <c r="S69" s="1095">
        <v>10</v>
      </c>
      <c r="T69" s="1099">
        <v>15</v>
      </c>
      <c r="U69" s="1104">
        <v>15</v>
      </c>
      <c r="V69" s="1101" t="s">
        <v>4844</v>
      </c>
      <c r="W69" s="1101" t="s">
        <v>4845</v>
      </c>
      <c r="X69" s="1101" t="s">
        <v>4846</v>
      </c>
      <c r="Y69" s="1101" t="s">
        <v>4847</v>
      </c>
      <c r="Z69" s="1102" t="s">
        <v>4848</v>
      </c>
    </row>
    <row r="70" spans="2:26" ht="12.75" customHeight="1" x14ac:dyDescent="0.2">
      <c r="B70" s="2090" t="str">
        <f t="shared" si="0"/>
        <v>Oscuridad58</v>
      </c>
      <c r="C70" s="1103"/>
      <c r="D70" s="521" t="s">
        <v>317</v>
      </c>
      <c r="E70" s="1095" t="s">
        <v>2020</v>
      </c>
      <c r="F70" s="1095">
        <v>58</v>
      </c>
      <c r="G70" s="1096" t="s">
        <v>2446</v>
      </c>
      <c r="H70" s="1096" t="s">
        <v>1535</v>
      </c>
      <c r="I70" s="1097" t="s">
        <v>1606</v>
      </c>
      <c r="J70" s="1095">
        <v>6</v>
      </c>
      <c r="K70" s="1095">
        <v>9</v>
      </c>
      <c r="L70" s="1095">
        <v>12</v>
      </c>
      <c r="M70" s="1098">
        <v>15</v>
      </c>
      <c r="N70" s="1095">
        <v>100</v>
      </c>
      <c r="O70" s="1095">
        <v>180</v>
      </c>
      <c r="P70" s="1095">
        <v>240</v>
      </c>
      <c r="Q70" s="1098">
        <v>300</v>
      </c>
      <c r="R70" s="1095">
        <v>10</v>
      </c>
      <c r="S70" s="1095">
        <v>20</v>
      </c>
      <c r="T70" s="1099">
        <v>25</v>
      </c>
      <c r="U70" s="1104">
        <v>30</v>
      </c>
      <c r="V70" s="1101" t="s">
        <v>4849</v>
      </c>
      <c r="W70" s="1101" t="s">
        <v>4686</v>
      </c>
      <c r="X70" s="1101" t="s">
        <v>4850</v>
      </c>
      <c r="Y70" s="1101" t="s">
        <v>4688</v>
      </c>
      <c r="Z70" s="1102" t="s">
        <v>4851</v>
      </c>
    </row>
    <row r="71" spans="2:26" ht="12.75" customHeight="1" x14ac:dyDescent="0.2">
      <c r="B71" s="2090" t="str">
        <f t="shared" si="0"/>
        <v>Oscuridad60</v>
      </c>
      <c r="C71" s="1103"/>
      <c r="D71" s="521" t="s">
        <v>318</v>
      </c>
      <c r="E71" s="1095" t="s">
        <v>2020</v>
      </c>
      <c r="F71" s="1095">
        <v>60</v>
      </c>
      <c r="G71" s="1096" t="s">
        <v>2446</v>
      </c>
      <c r="H71" s="1096" t="s">
        <v>1536</v>
      </c>
      <c r="I71" s="1097" t="s">
        <v>1606</v>
      </c>
      <c r="J71" s="1095">
        <v>8</v>
      </c>
      <c r="K71" s="1095">
        <v>10</v>
      </c>
      <c r="L71" s="1095">
        <v>13</v>
      </c>
      <c r="M71" s="1098">
        <v>16</v>
      </c>
      <c r="N71" s="1095">
        <v>100</v>
      </c>
      <c r="O71" s="1095">
        <v>200</v>
      </c>
      <c r="P71" s="1095">
        <v>300</v>
      </c>
      <c r="Q71" s="1098">
        <v>400</v>
      </c>
      <c r="R71" s="1095" t="s">
        <v>1690</v>
      </c>
      <c r="S71" s="1095" t="s">
        <v>1690</v>
      </c>
      <c r="T71" s="1099" t="s">
        <v>1690</v>
      </c>
      <c r="U71" s="1104" t="s">
        <v>1690</v>
      </c>
      <c r="V71" s="1101" t="s">
        <v>4852</v>
      </c>
      <c r="W71" s="1101" t="s">
        <v>4853</v>
      </c>
      <c r="X71" s="1101" t="s">
        <v>4854</v>
      </c>
      <c r="Y71" s="1101" t="s">
        <v>4855</v>
      </c>
      <c r="Z71" s="1102" t="s">
        <v>4856</v>
      </c>
    </row>
    <row r="72" spans="2:26" ht="12.75" customHeight="1" x14ac:dyDescent="0.2">
      <c r="B72" s="2090" t="str">
        <f t="shared" ref="B72:B135" si="1">E72&amp;F72</f>
        <v>Oscuridad62</v>
      </c>
      <c r="C72" s="1103"/>
      <c r="D72" s="521" t="s">
        <v>319</v>
      </c>
      <c r="E72" s="1095" t="s">
        <v>2020</v>
      </c>
      <c r="F72" s="1095">
        <v>62</v>
      </c>
      <c r="G72" s="1096" t="s">
        <v>2446</v>
      </c>
      <c r="H72" s="1096" t="s">
        <v>1537</v>
      </c>
      <c r="I72" s="1097" t="s">
        <v>1606</v>
      </c>
      <c r="J72" s="1095">
        <v>7</v>
      </c>
      <c r="K72" s="1095">
        <v>9</v>
      </c>
      <c r="L72" s="1095">
        <v>12</v>
      </c>
      <c r="M72" s="1098">
        <v>15</v>
      </c>
      <c r="N72" s="1095">
        <v>140</v>
      </c>
      <c r="O72" s="1095">
        <v>180</v>
      </c>
      <c r="P72" s="1095">
        <v>240</v>
      </c>
      <c r="Q72" s="1098">
        <v>300</v>
      </c>
      <c r="R72" s="1095">
        <v>15</v>
      </c>
      <c r="S72" s="1095">
        <v>20</v>
      </c>
      <c r="T72" s="1099">
        <v>25</v>
      </c>
      <c r="U72" s="1104">
        <v>30</v>
      </c>
      <c r="V72" s="1101" t="s">
        <v>4691</v>
      </c>
      <c r="W72" s="1101" t="s">
        <v>4692</v>
      </c>
      <c r="X72" s="1101" t="s">
        <v>4693</v>
      </c>
      <c r="Y72" s="1101" t="s">
        <v>4694</v>
      </c>
      <c r="Z72" s="1102" t="s">
        <v>4857</v>
      </c>
    </row>
    <row r="73" spans="2:26" ht="12.75" customHeight="1" x14ac:dyDescent="0.2">
      <c r="B73" s="2090" t="str">
        <f t="shared" si="1"/>
        <v>Oscuridad66</v>
      </c>
      <c r="C73" s="1103"/>
      <c r="D73" s="521" t="s">
        <v>320</v>
      </c>
      <c r="E73" s="1095" t="s">
        <v>2020</v>
      </c>
      <c r="F73" s="1095">
        <v>66</v>
      </c>
      <c r="G73" s="1096" t="s">
        <v>1690</v>
      </c>
      <c r="H73" s="1096" t="s">
        <v>1881</v>
      </c>
      <c r="I73" s="1097" t="s">
        <v>1607</v>
      </c>
      <c r="J73" s="1095">
        <v>6</v>
      </c>
      <c r="K73" s="1095">
        <v>9</v>
      </c>
      <c r="L73" s="1095">
        <v>12</v>
      </c>
      <c r="M73" s="1098">
        <v>15</v>
      </c>
      <c r="N73" s="1095">
        <v>120</v>
      </c>
      <c r="O73" s="1095">
        <v>180</v>
      </c>
      <c r="P73" s="1095">
        <v>240</v>
      </c>
      <c r="Q73" s="1098">
        <v>300</v>
      </c>
      <c r="R73" s="1095">
        <v>10</v>
      </c>
      <c r="S73" s="1095">
        <v>10</v>
      </c>
      <c r="T73" s="1099">
        <v>15</v>
      </c>
      <c r="U73" s="1104">
        <v>15</v>
      </c>
      <c r="V73" s="1101" t="s">
        <v>4858</v>
      </c>
      <c r="W73" s="1101" t="s">
        <v>4859</v>
      </c>
      <c r="X73" s="1101" t="s">
        <v>4860</v>
      </c>
      <c r="Y73" s="1101" t="s">
        <v>4861</v>
      </c>
      <c r="Z73" s="1102" t="s">
        <v>4862</v>
      </c>
    </row>
    <row r="74" spans="2:26" ht="12.75" customHeight="1" x14ac:dyDescent="0.2">
      <c r="B74" s="2090" t="str">
        <f t="shared" si="1"/>
        <v>Oscuridad68</v>
      </c>
      <c r="C74" s="1103"/>
      <c r="D74" s="521" t="s">
        <v>321</v>
      </c>
      <c r="E74" s="1095" t="s">
        <v>2020</v>
      </c>
      <c r="F74" s="1095">
        <v>68</v>
      </c>
      <c r="G74" s="1096" t="s">
        <v>1690</v>
      </c>
      <c r="H74" s="1096" t="s">
        <v>1535</v>
      </c>
      <c r="I74" s="1097" t="s">
        <v>1606</v>
      </c>
      <c r="J74" s="1095">
        <v>6</v>
      </c>
      <c r="K74" s="1095">
        <v>9</v>
      </c>
      <c r="L74" s="1095">
        <v>12</v>
      </c>
      <c r="M74" s="1098">
        <v>15</v>
      </c>
      <c r="N74" s="1095">
        <v>100</v>
      </c>
      <c r="O74" s="1095">
        <v>180</v>
      </c>
      <c r="P74" s="1095">
        <v>240</v>
      </c>
      <c r="Q74" s="1098">
        <v>300</v>
      </c>
      <c r="R74" s="1095">
        <v>10</v>
      </c>
      <c r="S74" s="1095">
        <v>20</v>
      </c>
      <c r="T74" s="1099">
        <v>25</v>
      </c>
      <c r="U74" s="1104">
        <v>30</v>
      </c>
      <c r="V74" s="1101" t="s">
        <v>4863</v>
      </c>
      <c r="W74" s="1101" t="s">
        <v>4864</v>
      </c>
      <c r="X74" s="1101" t="s">
        <v>4865</v>
      </c>
      <c r="Y74" s="1101" t="s">
        <v>4866</v>
      </c>
      <c r="Z74" s="1102" t="s">
        <v>4867</v>
      </c>
    </row>
    <row r="75" spans="2:26" ht="12.75" customHeight="1" x14ac:dyDescent="0.2">
      <c r="B75" s="2090" t="str">
        <f t="shared" si="1"/>
        <v>Oscuridad70</v>
      </c>
      <c r="C75" s="1103"/>
      <c r="D75" s="521" t="s">
        <v>322</v>
      </c>
      <c r="E75" s="1095" t="s">
        <v>2020</v>
      </c>
      <c r="F75" s="1095">
        <v>70</v>
      </c>
      <c r="G75" s="1096" t="s">
        <v>1690</v>
      </c>
      <c r="H75" s="1096" t="s">
        <v>1537</v>
      </c>
      <c r="I75" s="1097" t="s">
        <v>1606</v>
      </c>
      <c r="J75" s="1095">
        <v>10</v>
      </c>
      <c r="K75" s="1095">
        <v>12</v>
      </c>
      <c r="L75" s="1095">
        <v>14</v>
      </c>
      <c r="M75" s="1098">
        <v>16</v>
      </c>
      <c r="N75" s="1095">
        <v>140</v>
      </c>
      <c r="O75" s="1095">
        <v>200</v>
      </c>
      <c r="P75" s="1095">
        <v>280</v>
      </c>
      <c r="Q75" s="1098">
        <v>360</v>
      </c>
      <c r="R75" s="1095">
        <v>5</v>
      </c>
      <c r="S75" s="1095">
        <v>10</v>
      </c>
      <c r="T75" s="1099">
        <v>10</v>
      </c>
      <c r="U75" s="1104">
        <v>15</v>
      </c>
      <c r="V75" s="1101" t="s">
        <v>4706</v>
      </c>
      <c r="W75" s="1101" t="s">
        <v>4707</v>
      </c>
      <c r="X75" s="1101" t="s">
        <v>4868</v>
      </c>
      <c r="Y75" s="1101" t="s">
        <v>4709</v>
      </c>
      <c r="Z75" s="1102" t="s">
        <v>4869</v>
      </c>
    </row>
    <row r="76" spans="2:26" ht="12.75" customHeight="1" x14ac:dyDescent="0.2">
      <c r="B76" s="2090" t="str">
        <f t="shared" si="1"/>
        <v>Oscuridad72</v>
      </c>
      <c r="C76" s="1103"/>
      <c r="D76" s="521" t="s">
        <v>323</v>
      </c>
      <c r="E76" s="1095" t="s">
        <v>2020</v>
      </c>
      <c r="F76" s="1095">
        <v>72</v>
      </c>
      <c r="G76" s="1096" t="s">
        <v>1690</v>
      </c>
      <c r="H76" s="1096" t="s">
        <v>1534</v>
      </c>
      <c r="I76" s="1097" t="s">
        <v>1606</v>
      </c>
      <c r="J76" s="1095">
        <v>10</v>
      </c>
      <c r="K76" s="1095">
        <v>12</v>
      </c>
      <c r="L76" s="1095">
        <v>14</v>
      </c>
      <c r="M76" s="1098">
        <v>16</v>
      </c>
      <c r="N76" s="1095">
        <v>140</v>
      </c>
      <c r="O76" s="1095">
        <v>180</v>
      </c>
      <c r="P76" s="1095">
        <v>240</v>
      </c>
      <c r="Q76" s="1098">
        <v>350</v>
      </c>
      <c r="R76" s="1095" t="s">
        <v>1690</v>
      </c>
      <c r="S76" s="1095" t="s">
        <v>1690</v>
      </c>
      <c r="T76" s="1099" t="s">
        <v>1690</v>
      </c>
      <c r="U76" s="1104" t="s">
        <v>1690</v>
      </c>
      <c r="V76" s="1101" t="s">
        <v>4711</v>
      </c>
      <c r="W76" s="1101" t="s">
        <v>4712</v>
      </c>
      <c r="X76" s="1101" t="s">
        <v>4713</v>
      </c>
      <c r="Y76" s="1101" t="s">
        <v>4870</v>
      </c>
      <c r="Z76" s="1102" t="s">
        <v>4871</v>
      </c>
    </row>
    <row r="77" spans="2:26" ht="12.75" customHeight="1" x14ac:dyDescent="0.2">
      <c r="B77" s="2090" t="str">
        <f t="shared" si="1"/>
        <v>Oscuridad76</v>
      </c>
      <c r="C77" s="1103"/>
      <c r="D77" s="521" t="s">
        <v>324</v>
      </c>
      <c r="E77" s="1095" t="s">
        <v>2020</v>
      </c>
      <c r="F77" s="1095">
        <v>76</v>
      </c>
      <c r="G77" s="1096" t="s">
        <v>1690</v>
      </c>
      <c r="H77" s="1096" t="s">
        <v>1536</v>
      </c>
      <c r="I77" s="1097" t="s">
        <v>1606</v>
      </c>
      <c r="J77" s="1095">
        <v>10</v>
      </c>
      <c r="K77" s="1095">
        <v>12</v>
      </c>
      <c r="L77" s="1095">
        <v>14</v>
      </c>
      <c r="M77" s="1098">
        <v>16</v>
      </c>
      <c r="N77" s="1095">
        <v>150</v>
      </c>
      <c r="O77" s="1095">
        <v>200</v>
      </c>
      <c r="P77" s="1095">
        <v>240</v>
      </c>
      <c r="Q77" s="1098">
        <v>300</v>
      </c>
      <c r="R77" s="1095">
        <v>15</v>
      </c>
      <c r="S77" s="1095">
        <v>20</v>
      </c>
      <c r="T77" s="1099">
        <v>25</v>
      </c>
      <c r="U77" s="1104">
        <v>30</v>
      </c>
      <c r="V77" s="1101" t="s">
        <v>4872</v>
      </c>
      <c r="W77" s="1101" t="s">
        <v>4717</v>
      </c>
      <c r="X77" s="1101" t="s">
        <v>4718</v>
      </c>
      <c r="Y77" s="1101" t="s">
        <v>4719</v>
      </c>
      <c r="Z77" s="1102" t="s">
        <v>4873</v>
      </c>
    </row>
    <row r="78" spans="2:26" ht="12.75" customHeight="1" x14ac:dyDescent="0.2">
      <c r="B78" s="2090" t="str">
        <f t="shared" si="1"/>
        <v>Oscuridad78</v>
      </c>
      <c r="C78" s="1103"/>
      <c r="D78" s="521" t="s">
        <v>325</v>
      </c>
      <c r="E78" s="1095" t="s">
        <v>2020</v>
      </c>
      <c r="F78" s="1095">
        <v>78</v>
      </c>
      <c r="G78" s="1096" t="s">
        <v>1690</v>
      </c>
      <c r="H78" s="1096" t="s">
        <v>4793</v>
      </c>
      <c r="I78" s="1097" t="s">
        <v>1606</v>
      </c>
      <c r="J78" s="1095">
        <v>10</v>
      </c>
      <c r="K78" s="1095">
        <v>12</v>
      </c>
      <c r="L78" s="1095">
        <v>14</v>
      </c>
      <c r="M78" s="1098">
        <v>16</v>
      </c>
      <c r="N78" s="1095">
        <v>250</v>
      </c>
      <c r="O78" s="1095">
        <v>360</v>
      </c>
      <c r="P78" s="1095">
        <v>450</v>
      </c>
      <c r="Q78" s="1098">
        <v>600</v>
      </c>
      <c r="R78" s="1095" t="s">
        <v>1690</v>
      </c>
      <c r="S78" s="1095" t="s">
        <v>1690</v>
      </c>
      <c r="T78" s="1099" t="s">
        <v>1690</v>
      </c>
      <c r="U78" s="1104" t="s">
        <v>1690</v>
      </c>
      <c r="V78" s="1101" t="s">
        <v>4721</v>
      </c>
      <c r="W78" s="1101" t="s">
        <v>4722</v>
      </c>
      <c r="X78" s="1101" t="s">
        <v>4723</v>
      </c>
      <c r="Y78" s="1101" t="s">
        <v>4724</v>
      </c>
      <c r="Z78" s="1102" t="s">
        <v>4874</v>
      </c>
    </row>
    <row r="79" spans="2:26" ht="12.75" customHeight="1" x14ac:dyDescent="0.2">
      <c r="B79" s="2090" t="str">
        <f t="shared" si="1"/>
        <v>Oscuridad80</v>
      </c>
      <c r="C79" s="1103"/>
      <c r="D79" s="521" t="s">
        <v>326</v>
      </c>
      <c r="E79" s="1095" t="s">
        <v>2020</v>
      </c>
      <c r="F79" s="1095">
        <v>80</v>
      </c>
      <c r="G79" s="1096" t="s">
        <v>2446</v>
      </c>
      <c r="H79" s="1096" t="s">
        <v>4793</v>
      </c>
      <c r="I79" s="1097" t="s">
        <v>1606</v>
      </c>
      <c r="J79" s="1095">
        <v>12</v>
      </c>
      <c r="K79" s="1095">
        <v>14</v>
      </c>
      <c r="L79" s="1095">
        <v>16</v>
      </c>
      <c r="M79" s="1098">
        <v>18</v>
      </c>
      <c r="N79" s="1095">
        <v>300</v>
      </c>
      <c r="O79" s="1095">
        <v>400</v>
      </c>
      <c r="P79" s="1095">
        <v>500</v>
      </c>
      <c r="Q79" s="1098">
        <v>750</v>
      </c>
      <c r="R79" s="1095">
        <v>60</v>
      </c>
      <c r="S79" s="1095">
        <v>65</v>
      </c>
      <c r="T79" s="1099">
        <v>70</v>
      </c>
      <c r="U79" s="1104">
        <v>80</v>
      </c>
      <c r="V79" s="1101" t="s">
        <v>4696</v>
      </c>
      <c r="W79" s="1101" t="s">
        <v>4875</v>
      </c>
      <c r="X79" s="1101" t="s">
        <v>4876</v>
      </c>
      <c r="Y79" s="1101" t="s">
        <v>4729</v>
      </c>
      <c r="Z79" s="1102" t="s">
        <v>8647</v>
      </c>
    </row>
    <row r="80" spans="2:26" ht="12.75" customHeight="1" x14ac:dyDescent="0.2">
      <c r="B80" s="2090" t="str">
        <f t="shared" si="1"/>
        <v>Oscuridad82</v>
      </c>
      <c r="C80" s="1103"/>
      <c r="D80" s="521" t="s">
        <v>327</v>
      </c>
      <c r="E80" s="1095" t="s">
        <v>2020</v>
      </c>
      <c r="F80" s="1095">
        <v>82</v>
      </c>
      <c r="G80" s="1096" t="s">
        <v>2446</v>
      </c>
      <c r="H80" s="1096" t="s">
        <v>1536</v>
      </c>
      <c r="I80" s="1097" t="s">
        <v>1606</v>
      </c>
      <c r="J80" s="1095">
        <v>10</v>
      </c>
      <c r="K80" s="1095">
        <v>12</v>
      </c>
      <c r="L80" s="1095">
        <v>14</v>
      </c>
      <c r="M80" s="1098">
        <v>16</v>
      </c>
      <c r="N80" s="1095">
        <v>250</v>
      </c>
      <c r="O80" s="1095">
        <v>350</v>
      </c>
      <c r="P80" s="1095">
        <v>500</v>
      </c>
      <c r="Q80" s="1098">
        <v>700</v>
      </c>
      <c r="R80" s="1095">
        <v>50</v>
      </c>
      <c r="S80" s="1095">
        <v>70</v>
      </c>
      <c r="T80" s="1099">
        <v>100</v>
      </c>
      <c r="U80" s="1104">
        <v>140</v>
      </c>
      <c r="V80" s="1101" t="s">
        <v>4730</v>
      </c>
      <c r="W80" s="1101" t="s">
        <v>4877</v>
      </c>
      <c r="X80" s="1101" t="s">
        <v>4732</v>
      </c>
      <c r="Y80" s="1101" t="s">
        <v>4733</v>
      </c>
      <c r="Z80" s="1102" t="s">
        <v>4878</v>
      </c>
    </row>
    <row r="81" spans="2:26" ht="12.75" customHeight="1" x14ac:dyDescent="0.2">
      <c r="B81" s="2090" t="str">
        <f t="shared" si="1"/>
        <v>Oscuridad86</v>
      </c>
      <c r="C81" s="1103"/>
      <c r="D81" s="521" t="s">
        <v>328</v>
      </c>
      <c r="E81" s="1095" t="s">
        <v>2020</v>
      </c>
      <c r="F81" s="1095">
        <v>86</v>
      </c>
      <c r="G81" s="1096" t="s">
        <v>2446</v>
      </c>
      <c r="H81" s="1096" t="s">
        <v>1536</v>
      </c>
      <c r="I81" s="1097" t="s">
        <v>1607</v>
      </c>
      <c r="J81" s="1095">
        <v>10</v>
      </c>
      <c r="K81" s="1095">
        <v>12</v>
      </c>
      <c r="L81" s="1095">
        <v>14</v>
      </c>
      <c r="M81" s="1098">
        <v>16</v>
      </c>
      <c r="N81" s="1095">
        <v>200</v>
      </c>
      <c r="O81" s="1095">
        <v>240</v>
      </c>
      <c r="P81" s="1095">
        <v>280</v>
      </c>
      <c r="Q81" s="1098">
        <v>320</v>
      </c>
      <c r="R81" s="1095">
        <v>10</v>
      </c>
      <c r="S81" s="1095">
        <v>12</v>
      </c>
      <c r="T81" s="1099">
        <v>14</v>
      </c>
      <c r="U81" s="1104">
        <v>16</v>
      </c>
      <c r="V81" s="1101" t="s">
        <v>4879</v>
      </c>
      <c r="W81" s="1101" t="s">
        <v>4880</v>
      </c>
      <c r="X81" s="1101" t="s">
        <v>4881</v>
      </c>
      <c r="Y81" s="1101" t="s">
        <v>4882</v>
      </c>
      <c r="Z81" s="1102" t="s">
        <v>4883</v>
      </c>
    </row>
    <row r="82" spans="2:26" ht="12.75" customHeight="1" x14ac:dyDescent="0.2">
      <c r="B82" s="2090" t="str">
        <f t="shared" si="1"/>
        <v>Oscuridad88</v>
      </c>
      <c r="C82" s="1103"/>
      <c r="D82" s="521" t="s">
        <v>329</v>
      </c>
      <c r="E82" s="1095" t="s">
        <v>2020</v>
      </c>
      <c r="F82" s="1095">
        <v>88</v>
      </c>
      <c r="G82" s="1096" t="s">
        <v>1690</v>
      </c>
      <c r="H82" s="1096" t="s">
        <v>1537</v>
      </c>
      <c r="I82" s="1097" t="s">
        <v>1606</v>
      </c>
      <c r="J82" s="1095">
        <v>10</v>
      </c>
      <c r="K82" s="1095">
        <v>12</v>
      </c>
      <c r="L82" s="1095">
        <v>14</v>
      </c>
      <c r="M82" s="1098">
        <v>16</v>
      </c>
      <c r="N82" s="1095">
        <v>200</v>
      </c>
      <c r="O82" s="1095">
        <v>360</v>
      </c>
      <c r="P82" s="1095">
        <v>430</v>
      </c>
      <c r="Q82" s="1098">
        <v>480</v>
      </c>
      <c r="R82" s="1095">
        <v>10</v>
      </c>
      <c r="S82" s="1095">
        <v>20</v>
      </c>
      <c r="T82" s="1099">
        <v>25</v>
      </c>
      <c r="U82" s="1104">
        <v>25</v>
      </c>
      <c r="V82" s="1101" t="s">
        <v>4884</v>
      </c>
      <c r="W82" s="1101" t="s">
        <v>4772</v>
      </c>
      <c r="X82" s="1101" t="s">
        <v>4885</v>
      </c>
      <c r="Y82" s="1101" t="s">
        <v>4886</v>
      </c>
      <c r="Z82" s="1102" t="s">
        <v>4887</v>
      </c>
    </row>
    <row r="83" spans="2:26" ht="12.75" customHeight="1" x14ac:dyDescent="0.2">
      <c r="B83" s="2090" t="str">
        <f t="shared" si="1"/>
        <v>Oscuridad90</v>
      </c>
      <c r="C83" s="1103"/>
      <c r="D83" s="521" t="s">
        <v>330</v>
      </c>
      <c r="E83" s="1095" t="s">
        <v>2020</v>
      </c>
      <c r="F83" s="1095">
        <v>90</v>
      </c>
      <c r="G83" s="1096" t="s">
        <v>2446</v>
      </c>
      <c r="H83" s="1096" t="s">
        <v>1536</v>
      </c>
      <c r="I83" s="1097" t="s">
        <v>1606</v>
      </c>
      <c r="J83" s="1095">
        <v>12</v>
      </c>
      <c r="K83" s="1095">
        <v>14</v>
      </c>
      <c r="L83" s="1095">
        <v>16</v>
      </c>
      <c r="M83" s="1098">
        <v>18</v>
      </c>
      <c r="N83" s="1095">
        <v>350</v>
      </c>
      <c r="O83" s="1095">
        <v>450</v>
      </c>
      <c r="P83" s="1095">
        <v>600</v>
      </c>
      <c r="Q83" s="1098">
        <v>800</v>
      </c>
      <c r="R83" s="1095">
        <v>80</v>
      </c>
      <c r="S83" s="1095">
        <v>90</v>
      </c>
      <c r="T83" s="1099">
        <v>105</v>
      </c>
      <c r="U83" s="1104">
        <v>115</v>
      </c>
      <c r="V83" s="1101" t="s">
        <v>4888</v>
      </c>
      <c r="W83" s="1101" t="s">
        <v>4889</v>
      </c>
      <c r="X83" s="1101" t="s">
        <v>4890</v>
      </c>
      <c r="Y83" s="1101" t="s">
        <v>4891</v>
      </c>
      <c r="Z83" s="1102" t="s">
        <v>4892</v>
      </c>
    </row>
    <row r="84" spans="2:26" ht="12.75" customHeight="1" x14ac:dyDescent="0.2">
      <c r="B84" s="2090" t="str">
        <f t="shared" si="1"/>
        <v>Oscuridad92</v>
      </c>
      <c r="C84" s="1103"/>
      <c r="D84" s="521" t="s">
        <v>331</v>
      </c>
      <c r="E84" s="1095" t="s">
        <v>2020</v>
      </c>
      <c r="F84" s="1095">
        <v>92</v>
      </c>
      <c r="G84" s="1096" t="s">
        <v>2446</v>
      </c>
      <c r="H84" s="1096" t="s">
        <v>1535</v>
      </c>
      <c r="I84" s="1097" t="s">
        <v>1606</v>
      </c>
      <c r="J84" s="1095">
        <v>14</v>
      </c>
      <c r="K84" s="1095">
        <v>16</v>
      </c>
      <c r="L84" s="1095">
        <v>18</v>
      </c>
      <c r="M84" s="1098">
        <v>20</v>
      </c>
      <c r="N84" s="1095">
        <v>200</v>
      </c>
      <c r="O84" s="1095">
        <v>350</v>
      </c>
      <c r="P84" s="1095">
        <v>500</v>
      </c>
      <c r="Q84" s="1098">
        <v>800</v>
      </c>
      <c r="R84" s="1095">
        <v>40</v>
      </c>
      <c r="S84" s="1095">
        <v>70</v>
      </c>
      <c r="T84" s="1099">
        <v>100</v>
      </c>
      <c r="U84" s="1104">
        <v>160</v>
      </c>
      <c r="V84" s="1101" t="s">
        <v>4750</v>
      </c>
      <c r="W84" s="1101" t="s">
        <v>4751</v>
      </c>
      <c r="X84" s="1101" t="s">
        <v>4752</v>
      </c>
      <c r="Y84" s="1101" t="s">
        <v>4893</v>
      </c>
      <c r="Z84" s="1102" t="s">
        <v>4894</v>
      </c>
    </row>
    <row r="85" spans="2:26" ht="12.75" customHeight="1" x14ac:dyDescent="0.2">
      <c r="B85" s="2090" t="str">
        <f t="shared" si="1"/>
        <v>Oscuridad96</v>
      </c>
      <c r="C85" s="1103"/>
      <c r="D85" s="521" t="s">
        <v>332</v>
      </c>
      <c r="E85" s="1095" t="s">
        <v>2020</v>
      </c>
      <c r="F85" s="1095">
        <v>96</v>
      </c>
      <c r="G85" s="1096" t="s">
        <v>1690</v>
      </c>
      <c r="H85" s="1096" t="s">
        <v>1536</v>
      </c>
      <c r="I85" s="1097" t="s">
        <v>1606</v>
      </c>
      <c r="J85" s="1095">
        <v>12</v>
      </c>
      <c r="K85" s="1095">
        <v>14</v>
      </c>
      <c r="L85" s="1095">
        <v>16</v>
      </c>
      <c r="M85" s="1098">
        <v>18</v>
      </c>
      <c r="N85" s="1095">
        <v>200</v>
      </c>
      <c r="O85" s="1095">
        <v>400</v>
      </c>
      <c r="P85" s="1095">
        <v>600</v>
      </c>
      <c r="Q85" s="1098">
        <v>800</v>
      </c>
      <c r="R85" s="1095" t="s">
        <v>1690</v>
      </c>
      <c r="S85" s="1095" t="s">
        <v>1690</v>
      </c>
      <c r="T85" s="1099" t="s">
        <v>1690</v>
      </c>
      <c r="U85" s="1104" t="s">
        <v>1690</v>
      </c>
      <c r="V85" s="1101" t="s">
        <v>4755</v>
      </c>
      <c r="W85" s="1101" t="s">
        <v>4756</v>
      </c>
      <c r="X85" s="1101" t="s">
        <v>4757</v>
      </c>
      <c r="Y85" s="1101" t="s">
        <v>4745</v>
      </c>
      <c r="Z85" s="1102" t="s">
        <v>4895</v>
      </c>
    </row>
    <row r="86" spans="2:26" ht="12.75" customHeight="1" x14ac:dyDescent="0.2">
      <c r="B86" s="2090" t="str">
        <f t="shared" si="1"/>
        <v>Oscuridad98</v>
      </c>
      <c r="C86" s="1103"/>
      <c r="D86" s="521" t="s">
        <v>333</v>
      </c>
      <c r="E86" s="1095" t="s">
        <v>2020</v>
      </c>
      <c r="F86" s="1095">
        <v>98</v>
      </c>
      <c r="G86" s="1096" t="s">
        <v>2446</v>
      </c>
      <c r="H86" s="1096" t="s">
        <v>1536</v>
      </c>
      <c r="I86" s="1097" t="s">
        <v>1606</v>
      </c>
      <c r="J86" s="1095">
        <v>14</v>
      </c>
      <c r="K86" s="1095">
        <v>16</v>
      </c>
      <c r="L86" s="1095">
        <v>18</v>
      </c>
      <c r="M86" s="1098">
        <v>20</v>
      </c>
      <c r="N86" s="1095">
        <v>500</v>
      </c>
      <c r="O86" s="1095">
        <v>1000</v>
      </c>
      <c r="P86" s="1095">
        <v>2000</v>
      </c>
      <c r="Q86" s="1098">
        <v>5000</v>
      </c>
      <c r="R86" s="1095">
        <v>30</v>
      </c>
      <c r="S86" s="1095">
        <v>40</v>
      </c>
      <c r="T86" s="1099">
        <v>45</v>
      </c>
      <c r="U86" s="1104">
        <v>50</v>
      </c>
      <c r="V86" s="1101" t="s">
        <v>4759</v>
      </c>
      <c r="W86" s="1101" t="s">
        <v>4760</v>
      </c>
      <c r="X86" s="1101" t="s">
        <v>4761</v>
      </c>
      <c r="Y86" s="1101" t="s">
        <v>4762</v>
      </c>
      <c r="Z86" s="1102" t="s">
        <v>4763</v>
      </c>
    </row>
    <row r="87" spans="2:26" ht="12.75" customHeight="1" x14ac:dyDescent="0.2">
      <c r="B87" s="2090" t="str">
        <f t="shared" si="1"/>
        <v>Oscuridad100</v>
      </c>
      <c r="C87" s="1103"/>
      <c r="D87" s="521" t="s">
        <v>334</v>
      </c>
      <c r="E87" s="1095" t="s">
        <v>2020</v>
      </c>
      <c r="F87" s="1095">
        <v>100</v>
      </c>
      <c r="G87" s="1096" t="s">
        <v>1690</v>
      </c>
      <c r="H87" s="1096" t="s">
        <v>4896</v>
      </c>
      <c r="I87" s="1097" t="s">
        <v>1606</v>
      </c>
      <c r="J87" s="1095">
        <v>14</v>
      </c>
      <c r="K87" s="1095">
        <v>16</v>
      </c>
      <c r="L87" s="1095">
        <v>18</v>
      </c>
      <c r="M87" s="1098">
        <v>20</v>
      </c>
      <c r="N87" s="1095">
        <v>600</v>
      </c>
      <c r="O87" s="1095">
        <v>1000</v>
      </c>
      <c r="P87" s="1095">
        <v>2500</v>
      </c>
      <c r="Q87" s="1098">
        <v>10000</v>
      </c>
      <c r="R87" s="1095" t="s">
        <v>1690</v>
      </c>
      <c r="S87" s="1095" t="s">
        <v>1690</v>
      </c>
      <c r="T87" s="1099" t="s">
        <v>1690</v>
      </c>
      <c r="U87" s="1104" t="s">
        <v>1690</v>
      </c>
      <c r="V87" s="1101" t="s">
        <v>4764</v>
      </c>
      <c r="W87" s="1101" t="s">
        <v>4765</v>
      </c>
      <c r="X87" s="1101" t="s">
        <v>4766</v>
      </c>
      <c r="Y87" s="1101" t="s">
        <v>4767</v>
      </c>
      <c r="Z87" s="1102" t="s">
        <v>4897</v>
      </c>
    </row>
    <row r="88" spans="2:26" ht="12.75" customHeight="1" x14ac:dyDescent="0.2">
      <c r="B88" s="2090" t="str">
        <f t="shared" si="1"/>
        <v/>
      </c>
      <c r="C88" s="1103"/>
      <c r="D88" s="521" t="s">
        <v>335</v>
      </c>
      <c r="E88" s="1095"/>
      <c r="F88" s="1095"/>
      <c r="G88" s="1096"/>
      <c r="H88" s="1096"/>
      <c r="I88" s="1097"/>
      <c r="J88" s="1095"/>
      <c r="K88" s="1095"/>
      <c r="L88" s="1095"/>
      <c r="M88" s="1098"/>
      <c r="N88" s="1095"/>
      <c r="O88" s="1095"/>
      <c r="P88" s="1095"/>
      <c r="Q88" s="1098"/>
      <c r="R88" s="1095"/>
      <c r="S88" s="1095"/>
      <c r="T88" s="1099"/>
      <c r="U88" s="1104"/>
      <c r="V88" s="1101"/>
      <c r="W88" s="1101"/>
      <c r="X88" s="1101"/>
      <c r="Y88" s="1101"/>
      <c r="Z88" s="1102"/>
    </row>
    <row r="89" spans="2:26" ht="12.75" customHeight="1" x14ac:dyDescent="0.2">
      <c r="B89" s="2090" t="str">
        <f t="shared" si="1"/>
        <v>Creación2</v>
      </c>
      <c r="C89" s="1103"/>
      <c r="D89" s="521" t="s">
        <v>336</v>
      </c>
      <c r="E89" s="1095" t="s">
        <v>2026</v>
      </c>
      <c r="F89" s="1095">
        <v>2</v>
      </c>
      <c r="G89" s="1096" t="s">
        <v>1690</v>
      </c>
      <c r="H89" s="1096" t="s">
        <v>1536</v>
      </c>
      <c r="I89" s="1097" t="s">
        <v>1606</v>
      </c>
      <c r="J89" s="1095">
        <v>5</v>
      </c>
      <c r="K89" s="1095">
        <v>8</v>
      </c>
      <c r="L89" s="1095">
        <v>10</v>
      </c>
      <c r="M89" s="1098">
        <v>12</v>
      </c>
      <c r="N89" s="1095">
        <v>30</v>
      </c>
      <c r="O89" s="1095">
        <v>80</v>
      </c>
      <c r="P89" s="1095">
        <v>100</v>
      </c>
      <c r="Q89" s="1098">
        <v>120</v>
      </c>
      <c r="R89" s="1095">
        <v>5</v>
      </c>
      <c r="S89" s="1095">
        <v>10</v>
      </c>
      <c r="T89" s="1099">
        <v>10</v>
      </c>
      <c r="U89" s="1104">
        <v>15</v>
      </c>
      <c r="V89" s="1101" t="s">
        <v>4898</v>
      </c>
      <c r="W89" s="1101" t="s">
        <v>4899</v>
      </c>
      <c r="X89" s="1101" t="s">
        <v>4900</v>
      </c>
      <c r="Y89" s="1101" t="s">
        <v>4901</v>
      </c>
      <c r="Z89" s="1102" t="s">
        <v>4902</v>
      </c>
    </row>
    <row r="90" spans="2:26" ht="12.75" customHeight="1" x14ac:dyDescent="0.2">
      <c r="B90" s="2090" t="str">
        <f t="shared" si="1"/>
        <v>Creación6</v>
      </c>
      <c r="C90" s="1103"/>
      <c r="D90" s="521" t="s">
        <v>337</v>
      </c>
      <c r="E90" s="1095" t="s">
        <v>2026</v>
      </c>
      <c r="F90" s="1095">
        <v>6</v>
      </c>
      <c r="G90" s="1096" t="s">
        <v>1690</v>
      </c>
      <c r="H90" s="1096" t="s">
        <v>1536</v>
      </c>
      <c r="I90" s="1097" t="s">
        <v>1606</v>
      </c>
      <c r="J90" s="1095">
        <v>5</v>
      </c>
      <c r="K90" s="1095">
        <v>8</v>
      </c>
      <c r="L90" s="1095">
        <v>10</v>
      </c>
      <c r="M90" s="1098">
        <v>12</v>
      </c>
      <c r="N90" s="1095">
        <v>40</v>
      </c>
      <c r="O90" s="1095">
        <v>140</v>
      </c>
      <c r="P90" s="1095">
        <v>200</v>
      </c>
      <c r="Q90" s="1098">
        <v>280</v>
      </c>
      <c r="R90" s="1095"/>
      <c r="S90" s="1095"/>
      <c r="T90" s="1099"/>
      <c r="U90" s="1104"/>
      <c r="V90" s="1101" t="s">
        <v>4903</v>
      </c>
      <c r="W90" s="1101" t="s">
        <v>4904</v>
      </c>
      <c r="X90" s="1101" t="s">
        <v>4905</v>
      </c>
      <c r="Y90" s="1101" t="s">
        <v>4906</v>
      </c>
      <c r="Z90" s="1102" t="s">
        <v>4907</v>
      </c>
    </row>
    <row r="91" spans="2:26" ht="12.75" customHeight="1" x14ac:dyDescent="0.2">
      <c r="B91" s="2090" t="str">
        <f t="shared" si="1"/>
        <v>Creación8</v>
      </c>
      <c r="C91" s="1103"/>
      <c r="D91" s="521" t="s">
        <v>338</v>
      </c>
      <c r="E91" s="1095" t="s">
        <v>2026</v>
      </c>
      <c r="F91" s="1095">
        <v>8</v>
      </c>
      <c r="G91" s="1096" t="s">
        <v>1690</v>
      </c>
      <c r="H91" s="1096" t="s">
        <v>1536</v>
      </c>
      <c r="I91" s="1097" t="s">
        <v>1606</v>
      </c>
      <c r="J91" s="1095">
        <v>5</v>
      </c>
      <c r="K91" s="1095">
        <v>8</v>
      </c>
      <c r="L91" s="1095">
        <v>10</v>
      </c>
      <c r="M91" s="1098">
        <v>12</v>
      </c>
      <c r="N91" s="1095">
        <v>40</v>
      </c>
      <c r="O91" s="1095">
        <v>150</v>
      </c>
      <c r="P91" s="1095">
        <v>200</v>
      </c>
      <c r="Q91" s="1098">
        <v>250</v>
      </c>
      <c r="R91" s="1095">
        <v>5</v>
      </c>
      <c r="S91" s="1095">
        <v>15</v>
      </c>
      <c r="T91" s="1099">
        <v>20</v>
      </c>
      <c r="U91" s="1104">
        <v>25</v>
      </c>
      <c r="V91" s="1101" t="s">
        <v>4908</v>
      </c>
      <c r="W91" s="1101" t="s">
        <v>4909</v>
      </c>
      <c r="X91" s="1101" t="s">
        <v>4910</v>
      </c>
      <c r="Y91" s="1101" t="s">
        <v>4911</v>
      </c>
      <c r="Z91" s="1102" t="s">
        <v>4912</v>
      </c>
    </row>
    <row r="92" spans="2:26" ht="12.75" customHeight="1" x14ac:dyDescent="0.2">
      <c r="B92" s="2090" t="str">
        <f t="shared" si="1"/>
        <v>Creación10</v>
      </c>
      <c r="C92" s="1103"/>
      <c r="D92" s="521" t="s">
        <v>339</v>
      </c>
      <c r="E92" s="1095" t="s">
        <v>2026</v>
      </c>
      <c r="F92" s="1095">
        <v>10</v>
      </c>
      <c r="G92" s="1096" t="s">
        <v>2446</v>
      </c>
      <c r="H92" s="1096" t="s">
        <v>1536</v>
      </c>
      <c r="I92" s="1097" t="s">
        <v>1606</v>
      </c>
      <c r="J92" s="1095">
        <v>6</v>
      </c>
      <c r="K92" s="1095">
        <v>8</v>
      </c>
      <c r="L92" s="1095">
        <v>10</v>
      </c>
      <c r="M92" s="1098">
        <v>12</v>
      </c>
      <c r="N92" s="1095">
        <v>60</v>
      </c>
      <c r="O92" s="1095">
        <v>100</v>
      </c>
      <c r="P92" s="1095">
        <v>150</v>
      </c>
      <c r="Q92" s="1098">
        <v>250</v>
      </c>
      <c r="R92" s="1095">
        <v>10</v>
      </c>
      <c r="S92" s="1095">
        <v>10</v>
      </c>
      <c r="T92" s="1099">
        <v>15</v>
      </c>
      <c r="U92" s="1104">
        <v>25</v>
      </c>
      <c r="V92" s="1101" t="s">
        <v>4913</v>
      </c>
      <c r="W92" s="1101" t="s">
        <v>4914</v>
      </c>
      <c r="X92" s="1101" t="s">
        <v>4915</v>
      </c>
      <c r="Y92" s="1101" t="s">
        <v>4916</v>
      </c>
      <c r="Z92" s="1102" t="s">
        <v>4917</v>
      </c>
    </row>
    <row r="93" spans="2:26" ht="12.75" customHeight="1" x14ac:dyDescent="0.2">
      <c r="B93" s="2090" t="str">
        <f t="shared" si="1"/>
        <v>Creación12</v>
      </c>
      <c r="C93" s="1103"/>
      <c r="D93" s="521" t="s">
        <v>340</v>
      </c>
      <c r="E93" s="1095" t="s">
        <v>2026</v>
      </c>
      <c r="F93" s="1095">
        <v>12</v>
      </c>
      <c r="G93" s="1096" t="s">
        <v>1690</v>
      </c>
      <c r="H93" s="1096" t="s">
        <v>1536</v>
      </c>
      <c r="I93" s="1097" t="s">
        <v>1606</v>
      </c>
      <c r="J93" s="1095">
        <v>6</v>
      </c>
      <c r="K93" s="1095">
        <v>8</v>
      </c>
      <c r="L93" s="1095">
        <v>10</v>
      </c>
      <c r="M93" s="1098">
        <v>12</v>
      </c>
      <c r="N93" s="1095">
        <v>60</v>
      </c>
      <c r="O93" s="1095">
        <v>90</v>
      </c>
      <c r="P93" s="1095">
        <v>120</v>
      </c>
      <c r="Q93" s="1098">
        <v>150</v>
      </c>
      <c r="R93" s="1095">
        <v>5</v>
      </c>
      <c r="S93" s="1095">
        <v>5</v>
      </c>
      <c r="T93" s="1099">
        <v>5</v>
      </c>
      <c r="U93" s="1104">
        <v>10</v>
      </c>
      <c r="V93" s="1101" t="s">
        <v>4918</v>
      </c>
      <c r="W93" s="1101" t="s">
        <v>4919</v>
      </c>
      <c r="X93" s="1101" t="s">
        <v>4920</v>
      </c>
      <c r="Y93" s="1101" t="s">
        <v>4921</v>
      </c>
      <c r="Z93" s="1102" t="s">
        <v>4922</v>
      </c>
    </row>
    <row r="94" spans="2:26" ht="12.75" customHeight="1" x14ac:dyDescent="0.2">
      <c r="B94" s="2090" t="str">
        <f t="shared" si="1"/>
        <v>Creación16</v>
      </c>
      <c r="C94" s="1103"/>
      <c r="D94" s="521" t="s">
        <v>341</v>
      </c>
      <c r="E94" s="1095" t="s">
        <v>2026</v>
      </c>
      <c r="F94" s="1095">
        <v>16</v>
      </c>
      <c r="G94" s="1096" t="s">
        <v>2446</v>
      </c>
      <c r="H94" s="1096" t="s">
        <v>1536</v>
      </c>
      <c r="I94" s="1097" t="s">
        <v>1607</v>
      </c>
      <c r="J94" s="1095">
        <v>8</v>
      </c>
      <c r="K94" s="1095">
        <v>10</v>
      </c>
      <c r="L94" s="1095">
        <v>12</v>
      </c>
      <c r="M94" s="1098">
        <v>14</v>
      </c>
      <c r="N94" s="1095">
        <v>80</v>
      </c>
      <c r="O94" s="1095">
        <v>120</v>
      </c>
      <c r="P94" s="1095">
        <v>150</v>
      </c>
      <c r="Q94" s="1098">
        <v>200</v>
      </c>
      <c r="R94" s="1095">
        <v>15</v>
      </c>
      <c r="S94" s="1095">
        <v>20</v>
      </c>
      <c r="T94" s="1099">
        <v>30</v>
      </c>
      <c r="U94" s="1104">
        <v>40</v>
      </c>
      <c r="V94" s="1101" t="s">
        <v>4923</v>
      </c>
      <c r="W94" s="1101" t="s">
        <v>4924</v>
      </c>
      <c r="X94" s="1101" t="s">
        <v>4925</v>
      </c>
      <c r="Y94" s="1101" t="s">
        <v>4926</v>
      </c>
      <c r="Z94" s="1102" t="s">
        <v>4927</v>
      </c>
    </row>
    <row r="95" spans="2:26" ht="12.75" customHeight="1" x14ac:dyDescent="0.2">
      <c r="B95" s="2090" t="str">
        <f t="shared" si="1"/>
        <v>Creación18</v>
      </c>
      <c r="C95" s="1103"/>
      <c r="D95" s="521" t="s">
        <v>342</v>
      </c>
      <c r="E95" s="1095" t="s">
        <v>2026</v>
      </c>
      <c r="F95" s="1095">
        <v>18</v>
      </c>
      <c r="G95" s="1096" t="s">
        <v>1690</v>
      </c>
      <c r="H95" s="1096" t="s">
        <v>1881</v>
      </c>
      <c r="I95" s="1097" t="s">
        <v>1607</v>
      </c>
      <c r="J95" s="1095">
        <v>6</v>
      </c>
      <c r="K95" s="1095">
        <v>8</v>
      </c>
      <c r="L95" s="1095">
        <v>10</v>
      </c>
      <c r="M95" s="1098">
        <v>12</v>
      </c>
      <c r="N95" s="1095">
        <v>40</v>
      </c>
      <c r="O95" s="1095">
        <v>150</v>
      </c>
      <c r="P95" s="1095">
        <v>260</v>
      </c>
      <c r="Q95" s="1098">
        <v>400</v>
      </c>
      <c r="R95" s="1095">
        <v>5</v>
      </c>
      <c r="S95" s="1095">
        <v>15</v>
      </c>
      <c r="T95" s="1099">
        <v>15</v>
      </c>
      <c r="U95" s="1104">
        <v>20</v>
      </c>
      <c r="V95" s="1101" t="s">
        <v>4928</v>
      </c>
      <c r="W95" s="1101" t="s">
        <v>4929</v>
      </c>
      <c r="X95" s="1101" t="s">
        <v>4930</v>
      </c>
      <c r="Y95" s="1101" t="s">
        <v>4931</v>
      </c>
      <c r="Z95" s="1102" t="s">
        <v>4932</v>
      </c>
    </row>
    <row r="96" spans="2:26" ht="12.75" customHeight="1" x14ac:dyDescent="0.2">
      <c r="B96" s="2090" t="str">
        <f t="shared" si="1"/>
        <v>Creación20</v>
      </c>
      <c r="C96" s="1103"/>
      <c r="D96" s="521" t="s">
        <v>343</v>
      </c>
      <c r="E96" s="1095" t="s">
        <v>2026</v>
      </c>
      <c r="F96" s="1095">
        <v>20</v>
      </c>
      <c r="G96" s="1096" t="s">
        <v>1690</v>
      </c>
      <c r="H96" s="1096" t="s">
        <v>1536</v>
      </c>
      <c r="I96" s="1097" t="s">
        <v>1606</v>
      </c>
      <c r="J96" s="1095">
        <v>8</v>
      </c>
      <c r="K96" s="1095">
        <v>10</v>
      </c>
      <c r="L96" s="1095">
        <v>12</v>
      </c>
      <c r="M96" s="1098">
        <v>14</v>
      </c>
      <c r="N96" s="1095">
        <v>80</v>
      </c>
      <c r="O96" s="1095">
        <v>120</v>
      </c>
      <c r="P96" s="1095">
        <v>150</v>
      </c>
      <c r="Q96" s="1098">
        <v>200</v>
      </c>
      <c r="R96" s="1095"/>
      <c r="S96" s="1095"/>
      <c r="T96" s="1099"/>
      <c r="U96" s="1104"/>
      <c r="V96" s="1101" t="s">
        <v>4933</v>
      </c>
      <c r="W96" s="1101" t="s">
        <v>4934</v>
      </c>
      <c r="X96" s="1101" t="s">
        <v>4935</v>
      </c>
      <c r="Y96" s="1101" t="s">
        <v>4936</v>
      </c>
      <c r="Z96" s="1102" t="s">
        <v>4937</v>
      </c>
    </row>
    <row r="97" spans="2:26" ht="12.75" customHeight="1" x14ac:dyDescent="0.2">
      <c r="B97" s="2090" t="str">
        <f t="shared" si="1"/>
        <v>Creación22</v>
      </c>
      <c r="C97" s="1103"/>
      <c r="D97" s="521" t="s">
        <v>344</v>
      </c>
      <c r="E97" s="1095" t="s">
        <v>2026</v>
      </c>
      <c r="F97" s="1095">
        <v>22</v>
      </c>
      <c r="G97" s="1096" t="s">
        <v>2446</v>
      </c>
      <c r="H97" s="1096" t="s">
        <v>1536</v>
      </c>
      <c r="I97" s="1097" t="s">
        <v>1606</v>
      </c>
      <c r="J97" s="1095">
        <v>6</v>
      </c>
      <c r="K97" s="1095">
        <v>9</v>
      </c>
      <c r="L97" s="1095">
        <v>12</v>
      </c>
      <c r="M97" s="1098">
        <v>15</v>
      </c>
      <c r="N97" s="1095">
        <v>60</v>
      </c>
      <c r="O97" s="1095">
        <v>90</v>
      </c>
      <c r="P97" s="1095">
        <v>120</v>
      </c>
      <c r="Q97" s="1098">
        <v>150</v>
      </c>
      <c r="R97" s="1095">
        <v>10</v>
      </c>
      <c r="S97" s="1095">
        <v>10</v>
      </c>
      <c r="T97" s="1099">
        <v>15</v>
      </c>
      <c r="U97" s="1104">
        <v>15</v>
      </c>
      <c r="V97" s="1101" t="s">
        <v>4938</v>
      </c>
      <c r="W97" s="1101" t="s">
        <v>4939</v>
      </c>
      <c r="X97" s="1101" t="s">
        <v>4940</v>
      </c>
      <c r="Y97" s="1101" t="s">
        <v>4941</v>
      </c>
      <c r="Z97" s="1102" t="s">
        <v>4942</v>
      </c>
    </row>
    <row r="98" spans="2:26" ht="12.75" customHeight="1" x14ac:dyDescent="0.2">
      <c r="B98" s="2090" t="str">
        <f t="shared" si="1"/>
        <v>Creación26</v>
      </c>
      <c r="C98" s="1103"/>
      <c r="D98" s="521" t="s">
        <v>345</v>
      </c>
      <c r="E98" s="1095" t="s">
        <v>2026</v>
      </c>
      <c r="F98" s="1095">
        <v>26</v>
      </c>
      <c r="G98" s="1096" t="s">
        <v>2446</v>
      </c>
      <c r="H98" s="1096" t="s">
        <v>1536</v>
      </c>
      <c r="I98" s="1097" t="s">
        <v>1606</v>
      </c>
      <c r="J98" s="1095">
        <v>6</v>
      </c>
      <c r="K98" s="1095">
        <v>9</v>
      </c>
      <c r="L98" s="1095">
        <v>12</v>
      </c>
      <c r="M98" s="1098">
        <v>15</v>
      </c>
      <c r="N98" s="1095">
        <v>60</v>
      </c>
      <c r="O98" s="1095">
        <v>180</v>
      </c>
      <c r="P98" s="1095">
        <v>250</v>
      </c>
      <c r="Q98" s="1098">
        <v>350</v>
      </c>
      <c r="R98" s="1095">
        <v>10</v>
      </c>
      <c r="S98" s="1095">
        <v>20</v>
      </c>
      <c r="T98" s="1099">
        <v>25</v>
      </c>
      <c r="U98" s="1104">
        <v>35</v>
      </c>
      <c r="V98" s="1101" t="s">
        <v>4943</v>
      </c>
      <c r="W98" s="1101" t="s">
        <v>4944</v>
      </c>
      <c r="X98" s="1101" t="s">
        <v>4945</v>
      </c>
      <c r="Y98" s="1101" t="s">
        <v>4946</v>
      </c>
      <c r="Z98" s="1102" t="s">
        <v>4947</v>
      </c>
    </row>
    <row r="99" spans="2:26" ht="12.75" customHeight="1" x14ac:dyDescent="0.2">
      <c r="B99" s="2090" t="str">
        <f t="shared" si="1"/>
        <v>Creación28</v>
      </c>
      <c r="C99" s="1103"/>
      <c r="D99" s="521" t="s">
        <v>346</v>
      </c>
      <c r="E99" s="1095" t="s">
        <v>2026</v>
      </c>
      <c r="F99" s="1095">
        <v>28</v>
      </c>
      <c r="G99" s="1096" t="s">
        <v>2446</v>
      </c>
      <c r="H99" s="1096" t="s">
        <v>1535</v>
      </c>
      <c r="I99" s="1097" t="s">
        <v>1606</v>
      </c>
      <c r="J99" s="1095">
        <v>6</v>
      </c>
      <c r="K99" s="1095">
        <v>9</v>
      </c>
      <c r="L99" s="1095">
        <v>12</v>
      </c>
      <c r="M99" s="1098">
        <v>15</v>
      </c>
      <c r="N99" s="1095">
        <v>60</v>
      </c>
      <c r="O99" s="1095">
        <v>90</v>
      </c>
      <c r="P99" s="1095">
        <v>150</v>
      </c>
      <c r="Q99" s="1098">
        <v>250</v>
      </c>
      <c r="R99" s="1095">
        <v>10</v>
      </c>
      <c r="S99" s="1095">
        <v>10</v>
      </c>
      <c r="T99" s="1099">
        <v>15</v>
      </c>
      <c r="U99" s="1104">
        <v>25</v>
      </c>
      <c r="V99" s="1101" t="s">
        <v>4948</v>
      </c>
      <c r="W99" s="1101" t="s">
        <v>4949</v>
      </c>
      <c r="X99" s="1101" t="s">
        <v>4950</v>
      </c>
      <c r="Y99" s="1101" t="s">
        <v>4951</v>
      </c>
      <c r="Z99" s="1102" t="s">
        <v>4952</v>
      </c>
    </row>
    <row r="100" spans="2:26" ht="12.75" customHeight="1" x14ac:dyDescent="0.2">
      <c r="B100" s="2090" t="str">
        <f t="shared" si="1"/>
        <v>Creación30</v>
      </c>
      <c r="C100" s="1103"/>
      <c r="D100" s="521" t="s">
        <v>347</v>
      </c>
      <c r="E100" s="1095" t="s">
        <v>2026</v>
      </c>
      <c r="F100" s="1095">
        <v>30</v>
      </c>
      <c r="G100" s="1096" t="s">
        <v>2446</v>
      </c>
      <c r="H100" s="1096" t="s">
        <v>1536</v>
      </c>
      <c r="I100" s="1097" t="s">
        <v>1606</v>
      </c>
      <c r="J100" s="1095">
        <v>6</v>
      </c>
      <c r="K100" s="1095">
        <v>9</v>
      </c>
      <c r="L100" s="1095">
        <v>12</v>
      </c>
      <c r="M100" s="1098">
        <v>15</v>
      </c>
      <c r="N100" s="1095">
        <v>100</v>
      </c>
      <c r="O100" s="1095">
        <v>200</v>
      </c>
      <c r="P100" s="1095">
        <v>300</v>
      </c>
      <c r="Q100" s="1098">
        <v>400</v>
      </c>
      <c r="R100" s="1095">
        <v>5</v>
      </c>
      <c r="S100" s="1095">
        <v>10</v>
      </c>
      <c r="T100" s="1099">
        <v>15</v>
      </c>
      <c r="U100" s="1104">
        <v>20</v>
      </c>
      <c r="V100" s="1101" t="s">
        <v>4919</v>
      </c>
      <c r="W100" s="1101" t="s">
        <v>4779</v>
      </c>
      <c r="X100" s="1101" t="s">
        <v>4953</v>
      </c>
      <c r="Y100" s="1101" t="s">
        <v>4954</v>
      </c>
      <c r="Z100" s="1102" t="s">
        <v>4955</v>
      </c>
    </row>
    <row r="101" spans="2:26" ht="12.75" customHeight="1" x14ac:dyDescent="0.2">
      <c r="B101" s="2090" t="str">
        <f t="shared" si="1"/>
        <v>Creación32</v>
      </c>
      <c r="C101" s="1103"/>
      <c r="D101" s="521" t="s">
        <v>348</v>
      </c>
      <c r="E101" s="1095" t="s">
        <v>2026</v>
      </c>
      <c r="F101" s="1095">
        <v>32</v>
      </c>
      <c r="G101" s="1096" t="s">
        <v>2446</v>
      </c>
      <c r="H101" s="1096" t="s">
        <v>1536</v>
      </c>
      <c r="I101" s="1097" t="s">
        <v>1606</v>
      </c>
      <c r="J101" s="1095">
        <v>6</v>
      </c>
      <c r="K101" s="1095">
        <v>9</v>
      </c>
      <c r="L101" s="1095">
        <v>12</v>
      </c>
      <c r="M101" s="1098">
        <v>15</v>
      </c>
      <c r="N101" s="1095">
        <v>80</v>
      </c>
      <c r="O101" s="1095">
        <v>180</v>
      </c>
      <c r="P101" s="1095">
        <v>240</v>
      </c>
      <c r="Q101" s="1098">
        <v>300</v>
      </c>
      <c r="R101" s="1095">
        <v>10</v>
      </c>
      <c r="S101" s="1095">
        <v>20</v>
      </c>
      <c r="T101" s="1099">
        <v>25</v>
      </c>
      <c r="U101" s="1104">
        <v>30</v>
      </c>
      <c r="V101" s="1101" t="s">
        <v>4956</v>
      </c>
      <c r="W101" s="1101" t="s">
        <v>4957</v>
      </c>
      <c r="X101" s="1101" t="s">
        <v>4958</v>
      </c>
      <c r="Y101" s="1101" t="s">
        <v>4959</v>
      </c>
      <c r="Z101" s="1102" t="s">
        <v>4960</v>
      </c>
    </row>
    <row r="102" spans="2:26" ht="12.75" customHeight="1" x14ac:dyDescent="0.2">
      <c r="B102" s="2090" t="str">
        <f t="shared" si="1"/>
        <v>Creación36</v>
      </c>
      <c r="C102" s="1103"/>
      <c r="D102" s="521" t="s">
        <v>349</v>
      </c>
      <c r="E102" s="1095" t="s">
        <v>2026</v>
      </c>
      <c r="F102" s="1095">
        <v>36</v>
      </c>
      <c r="G102" s="1096"/>
      <c r="H102" s="1096" t="s">
        <v>4585</v>
      </c>
      <c r="I102" s="1097" t="s">
        <v>1607</v>
      </c>
      <c r="J102" s="1095">
        <v>8</v>
      </c>
      <c r="K102" s="1095">
        <v>10</v>
      </c>
      <c r="L102" s="1095">
        <v>12</v>
      </c>
      <c r="M102" s="1098">
        <v>14</v>
      </c>
      <c r="N102" s="1095">
        <v>80</v>
      </c>
      <c r="O102" s="1095">
        <v>120</v>
      </c>
      <c r="P102" s="1095">
        <v>160</v>
      </c>
      <c r="Q102" s="1098">
        <v>240</v>
      </c>
      <c r="R102" s="1095"/>
      <c r="S102" s="1095"/>
      <c r="T102" s="1099"/>
      <c r="U102" s="1104" t="s">
        <v>4961</v>
      </c>
      <c r="V102" s="1101" t="s">
        <v>4962</v>
      </c>
      <c r="W102" s="1101" t="s">
        <v>4963</v>
      </c>
      <c r="X102" s="1101" t="s">
        <v>4964</v>
      </c>
      <c r="Y102" s="1101" t="s">
        <v>4965</v>
      </c>
      <c r="Z102" s="1102" t="s">
        <v>4966</v>
      </c>
    </row>
    <row r="103" spans="2:26" ht="12.75" customHeight="1" x14ac:dyDescent="0.2">
      <c r="B103" s="2090" t="str">
        <f t="shared" si="1"/>
        <v>Creación38</v>
      </c>
      <c r="C103" s="1103"/>
      <c r="D103" s="521" t="s">
        <v>350</v>
      </c>
      <c r="E103" s="1095" t="s">
        <v>2026</v>
      </c>
      <c r="F103" s="1095">
        <v>38</v>
      </c>
      <c r="G103" s="1096" t="s">
        <v>2446</v>
      </c>
      <c r="H103" s="1096" t="s">
        <v>1535</v>
      </c>
      <c r="I103" s="1097" t="s">
        <v>1606</v>
      </c>
      <c r="J103" s="1095">
        <v>6</v>
      </c>
      <c r="K103" s="1095">
        <v>9</v>
      </c>
      <c r="L103" s="1095">
        <v>12</v>
      </c>
      <c r="M103" s="1098">
        <v>15</v>
      </c>
      <c r="N103" s="1095">
        <v>120</v>
      </c>
      <c r="O103" s="1095">
        <v>180</v>
      </c>
      <c r="P103" s="1095">
        <v>240</v>
      </c>
      <c r="Q103" s="1098">
        <v>300</v>
      </c>
      <c r="R103" s="1095">
        <v>24</v>
      </c>
      <c r="S103" s="1095">
        <v>40</v>
      </c>
      <c r="T103" s="1099">
        <v>50</v>
      </c>
      <c r="U103" s="1104">
        <v>60</v>
      </c>
      <c r="V103" s="1101" t="s">
        <v>4967</v>
      </c>
      <c r="W103" s="1101" t="s">
        <v>4968</v>
      </c>
      <c r="X103" s="1101" t="s">
        <v>4969</v>
      </c>
      <c r="Y103" s="1101" t="s">
        <v>4697</v>
      </c>
      <c r="Z103" s="1102" t="s">
        <v>4970</v>
      </c>
    </row>
    <row r="104" spans="2:26" ht="12.75" customHeight="1" x14ac:dyDescent="0.2">
      <c r="B104" s="2090" t="str">
        <f t="shared" si="1"/>
        <v>Creación40</v>
      </c>
      <c r="C104" s="1103"/>
      <c r="D104" s="521" t="s">
        <v>351</v>
      </c>
      <c r="E104" s="1095" t="s">
        <v>2026</v>
      </c>
      <c r="F104" s="1095">
        <v>40</v>
      </c>
      <c r="G104" s="1096"/>
      <c r="H104" s="1096" t="s">
        <v>1536</v>
      </c>
      <c r="I104" s="1097" t="s">
        <v>1606</v>
      </c>
      <c r="J104" s="1095">
        <v>6</v>
      </c>
      <c r="K104" s="1095">
        <v>9</v>
      </c>
      <c r="L104" s="1095">
        <v>12</v>
      </c>
      <c r="M104" s="1098">
        <v>15</v>
      </c>
      <c r="N104" s="1095">
        <v>80</v>
      </c>
      <c r="O104" s="1095">
        <v>180</v>
      </c>
      <c r="P104" s="1095">
        <v>280</v>
      </c>
      <c r="Q104" s="1098">
        <v>350</v>
      </c>
      <c r="R104" s="1095">
        <v>5</v>
      </c>
      <c r="S104" s="1095">
        <v>10</v>
      </c>
      <c r="T104" s="1099">
        <v>15</v>
      </c>
      <c r="U104" s="1104">
        <v>20</v>
      </c>
      <c r="V104" s="1101" t="s">
        <v>4971</v>
      </c>
      <c r="W104" s="1101" t="s">
        <v>4972</v>
      </c>
      <c r="X104" s="1101" t="s">
        <v>4973</v>
      </c>
      <c r="Y104" s="1101" t="s">
        <v>4974</v>
      </c>
      <c r="Z104" s="1102" t="s">
        <v>4975</v>
      </c>
    </row>
    <row r="105" spans="2:26" ht="12.75" customHeight="1" x14ac:dyDescent="0.2">
      <c r="B105" s="2090" t="str">
        <f t="shared" si="1"/>
        <v>Creación42</v>
      </c>
      <c r="C105" s="1103"/>
      <c r="D105" s="521" t="s">
        <v>352</v>
      </c>
      <c r="E105" s="1095" t="s">
        <v>2026</v>
      </c>
      <c r="F105" s="1095">
        <v>42</v>
      </c>
      <c r="G105" s="1096"/>
      <c r="H105" s="1096" t="s">
        <v>1536</v>
      </c>
      <c r="I105" s="1097" t="s">
        <v>1606</v>
      </c>
      <c r="J105" s="1095">
        <v>7</v>
      </c>
      <c r="K105" s="1095">
        <v>9</v>
      </c>
      <c r="L105" s="1095">
        <v>12</v>
      </c>
      <c r="M105" s="1098">
        <v>15</v>
      </c>
      <c r="N105" s="1095">
        <v>140</v>
      </c>
      <c r="O105" s="1095">
        <v>180</v>
      </c>
      <c r="P105" s="1095">
        <v>240</v>
      </c>
      <c r="Q105" s="1098">
        <v>350</v>
      </c>
      <c r="R105" s="1095">
        <v>15</v>
      </c>
      <c r="S105" s="1095">
        <v>20</v>
      </c>
      <c r="T105" s="1099">
        <v>25</v>
      </c>
      <c r="U105" s="1104">
        <v>30</v>
      </c>
      <c r="V105" s="1101" t="s">
        <v>4976</v>
      </c>
      <c r="W105" s="1101" t="s">
        <v>4977</v>
      </c>
      <c r="X105" s="1101" t="s">
        <v>4978</v>
      </c>
      <c r="Y105" s="1101" t="s">
        <v>4979</v>
      </c>
      <c r="Z105" s="1102" t="s">
        <v>4980</v>
      </c>
    </row>
    <row r="106" spans="2:26" ht="12.75" customHeight="1" x14ac:dyDescent="0.2">
      <c r="B106" s="2090" t="str">
        <f t="shared" si="1"/>
        <v>Creación46</v>
      </c>
      <c r="C106" s="1103"/>
      <c r="D106" s="521" t="s">
        <v>353</v>
      </c>
      <c r="E106" s="1095" t="s">
        <v>2026</v>
      </c>
      <c r="F106" s="1095">
        <v>46</v>
      </c>
      <c r="G106" s="1096" t="s">
        <v>1690</v>
      </c>
      <c r="H106" s="1096" t="s">
        <v>1535</v>
      </c>
      <c r="I106" s="1097" t="s">
        <v>1606</v>
      </c>
      <c r="J106" s="1095">
        <v>7</v>
      </c>
      <c r="K106" s="1095">
        <v>9</v>
      </c>
      <c r="L106" s="1095">
        <v>12</v>
      </c>
      <c r="M106" s="1098">
        <v>15</v>
      </c>
      <c r="N106" s="1095">
        <v>140</v>
      </c>
      <c r="O106" s="1095">
        <v>180</v>
      </c>
      <c r="P106" s="1095">
        <v>240</v>
      </c>
      <c r="Q106" s="1098">
        <v>350</v>
      </c>
      <c r="R106" s="1095"/>
      <c r="S106" s="1095"/>
      <c r="T106" s="1099"/>
      <c r="U106" s="1104"/>
      <c r="V106" s="1101" t="s">
        <v>4981</v>
      </c>
      <c r="W106" s="1101" t="s">
        <v>4982</v>
      </c>
      <c r="X106" s="1101" t="s">
        <v>4983</v>
      </c>
      <c r="Y106" s="1101" t="s">
        <v>4984</v>
      </c>
      <c r="Z106" s="1102" t="s">
        <v>4985</v>
      </c>
    </row>
    <row r="107" spans="2:26" ht="12.75" customHeight="1" x14ac:dyDescent="0.2">
      <c r="B107" s="2090" t="str">
        <f t="shared" si="1"/>
        <v>Creación48</v>
      </c>
      <c r="C107" s="1103"/>
      <c r="D107" s="521" t="s">
        <v>354</v>
      </c>
      <c r="E107" s="1095" t="s">
        <v>2026</v>
      </c>
      <c r="F107" s="1095">
        <v>48</v>
      </c>
      <c r="G107" s="1096" t="s">
        <v>1690</v>
      </c>
      <c r="H107" s="1096" t="s">
        <v>1536</v>
      </c>
      <c r="I107" s="1097" t="s">
        <v>1606</v>
      </c>
      <c r="J107" s="1095">
        <v>8</v>
      </c>
      <c r="K107" s="1095">
        <v>10</v>
      </c>
      <c r="L107" s="1095">
        <v>12</v>
      </c>
      <c r="M107" s="1098">
        <v>14</v>
      </c>
      <c r="N107" s="1095">
        <v>250</v>
      </c>
      <c r="O107" s="1095">
        <v>300</v>
      </c>
      <c r="P107" s="1095">
        <v>350</v>
      </c>
      <c r="Q107" s="1098">
        <v>400</v>
      </c>
      <c r="R107" s="1095"/>
      <c r="S107" s="1095"/>
      <c r="T107" s="1099"/>
      <c r="U107" s="1104"/>
      <c r="V107" s="1101" t="s">
        <v>4986</v>
      </c>
      <c r="W107" s="1101" t="s">
        <v>4987</v>
      </c>
      <c r="X107" s="1101" t="s">
        <v>4988</v>
      </c>
      <c r="Y107" s="1101" t="s">
        <v>4989</v>
      </c>
      <c r="Z107" s="1102" t="s">
        <v>4990</v>
      </c>
    </row>
    <row r="108" spans="2:26" ht="12.75" customHeight="1" x14ac:dyDescent="0.2">
      <c r="B108" s="2090" t="str">
        <f t="shared" si="1"/>
        <v>Creación50</v>
      </c>
      <c r="C108" s="1103"/>
      <c r="D108" s="521" t="s">
        <v>355</v>
      </c>
      <c r="E108" s="1095" t="s">
        <v>2026</v>
      </c>
      <c r="F108" s="1095">
        <v>50</v>
      </c>
      <c r="G108" s="1096"/>
      <c r="H108" s="1096" t="s">
        <v>1536</v>
      </c>
      <c r="I108" s="1097" t="s">
        <v>1606</v>
      </c>
      <c r="J108" s="1095">
        <v>7</v>
      </c>
      <c r="K108" s="1095">
        <v>10</v>
      </c>
      <c r="L108" s="1095">
        <v>13</v>
      </c>
      <c r="M108" s="1098">
        <v>16</v>
      </c>
      <c r="N108" s="1095">
        <v>100</v>
      </c>
      <c r="O108" s="1095">
        <v>200</v>
      </c>
      <c r="P108" s="1095">
        <v>300</v>
      </c>
      <c r="Q108" s="1098">
        <v>400</v>
      </c>
      <c r="R108" s="1095">
        <v>20</v>
      </c>
      <c r="S108" s="1095">
        <v>40</v>
      </c>
      <c r="T108" s="1099">
        <v>50</v>
      </c>
      <c r="U108" s="1104">
        <v>60</v>
      </c>
      <c r="V108" s="1101" t="s">
        <v>4991</v>
      </c>
      <c r="W108" s="1101" t="s">
        <v>4992</v>
      </c>
      <c r="X108" s="1101" t="s">
        <v>4993</v>
      </c>
      <c r="Y108" s="1101" t="s">
        <v>4994</v>
      </c>
      <c r="Z108" s="1102" t="s">
        <v>4995</v>
      </c>
    </row>
    <row r="109" spans="2:26" ht="12.75" customHeight="1" x14ac:dyDescent="0.2">
      <c r="B109" s="2090" t="str">
        <f t="shared" si="1"/>
        <v>Creación52</v>
      </c>
      <c r="C109" s="1103"/>
      <c r="D109" s="521" t="s">
        <v>356</v>
      </c>
      <c r="E109" s="1095" t="s">
        <v>2026</v>
      </c>
      <c r="F109" s="1095">
        <v>52</v>
      </c>
      <c r="G109" s="1096"/>
      <c r="H109" s="1096" t="s">
        <v>1536</v>
      </c>
      <c r="I109" s="1097" t="s">
        <v>1606</v>
      </c>
      <c r="J109" s="1095">
        <v>8</v>
      </c>
      <c r="K109" s="1095">
        <v>10</v>
      </c>
      <c r="L109" s="1095">
        <v>12</v>
      </c>
      <c r="M109" s="1098">
        <v>15</v>
      </c>
      <c r="N109" s="1095">
        <v>80</v>
      </c>
      <c r="O109" s="1095">
        <v>120</v>
      </c>
      <c r="P109" s="1095">
        <v>250</v>
      </c>
      <c r="Q109" s="1098">
        <v>500</v>
      </c>
      <c r="R109" s="1095">
        <v>10</v>
      </c>
      <c r="S109" s="1095">
        <v>15</v>
      </c>
      <c r="T109" s="1099">
        <v>25</v>
      </c>
      <c r="U109" s="1104">
        <v>50</v>
      </c>
      <c r="V109" s="1101" t="s">
        <v>4996</v>
      </c>
      <c r="W109" s="1101" t="s">
        <v>4997</v>
      </c>
      <c r="X109" s="1101" t="s">
        <v>4998</v>
      </c>
      <c r="Y109" s="1101" t="s">
        <v>4999</v>
      </c>
      <c r="Z109" s="1102" t="s">
        <v>5000</v>
      </c>
    </row>
    <row r="110" spans="2:26" ht="12.75" customHeight="1" x14ac:dyDescent="0.2">
      <c r="B110" s="2090" t="str">
        <f t="shared" si="1"/>
        <v>Creación56</v>
      </c>
      <c r="C110" s="1103"/>
      <c r="D110" s="521" t="s">
        <v>357</v>
      </c>
      <c r="E110" s="1095" t="s">
        <v>2026</v>
      </c>
      <c r="F110" s="1095">
        <v>56</v>
      </c>
      <c r="G110" s="1096"/>
      <c r="H110" s="1096" t="s">
        <v>1536</v>
      </c>
      <c r="I110" s="1097" t="s">
        <v>1607</v>
      </c>
      <c r="J110" s="1095">
        <v>6</v>
      </c>
      <c r="K110" s="1095">
        <v>9</v>
      </c>
      <c r="L110" s="1095">
        <v>12</v>
      </c>
      <c r="M110" s="1098">
        <v>15</v>
      </c>
      <c r="N110" s="1095">
        <v>120</v>
      </c>
      <c r="O110" s="1095">
        <v>180</v>
      </c>
      <c r="P110" s="1095">
        <v>240</v>
      </c>
      <c r="Q110" s="1098">
        <v>350</v>
      </c>
      <c r="R110" s="1095">
        <v>10</v>
      </c>
      <c r="S110" s="1095">
        <v>15</v>
      </c>
      <c r="T110" s="1099">
        <v>25</v>
      </c>
      <c r="U110" s="1104">
        <v>35</v>
      </c>
      <c r="V110" s="1101" t="s">
        <v>5001</v>
      </c>
      <c r="W110" s="1101" t="s">
        <v>5002</v>
      </c>
      <c r="X110" s="1101" t="s">
        <v>5003</v>
      </c>
      <c r="Y110" s="1101" t="s">
        <v>5004</v>
      </c>
      <c r="Z110" s="1102" t="s">
        <v>5005</v>
      </c>
    </row>
    <row r="111" spans="2:26" ht="12.75" customHeight="1" x14ac:dyDescent="0.2">
      <c r="B111" s="2090" t="str">
        <f t="shared" si="1"/>
        <v>Creación58</v>
      </c>
      <c r="C111" s="1103"/>
      <c r="D111" s="521" t="s">
        <v>358</v>
      </c>
      <c r="E111" s="1095" t="s">
        <v>2026</v>
      </c>
      <c r="F111" s="1095">
        <v>58</v>
      </c>
      <c r="G111" s="1096"/>
      <c r="H111" s="1096" t="s">
        <v>1535</v>
      </c>
      <c r="I111" s="1097" t="s">
        <v>1606</v>
      </c>
      <c r="J111" s="1095">
        <v>8</v>
      </c>
      <c r="K111" s="1095">
        <v>10</v>
      </c>
      <c r="L111" s="1095">
        <v>12</v>
      </c>
      <c r="M111" s="1098">
        <v>15</v>
      </c>
      <c r="N111" s="1095">
        <v>150</v>
      </c>
      <c r="O111" s="1095">
        <v>200</v>
      </c>
      <c r="P111" s="1095">
        <v>250</v>
      </c>
      <c r="Q111" s="1098">
        <v>300</v>
      </c>
      <c r="R111" s="1095">
        <v>15</v>
      </c>
      <c r="S111" s="1095">
        <v>20</v>
      </c>
      <c r="T111" s="1099">
        <v>25</v>
      </c>
      <c r="U111" s="1104">
        <v>30</v>
      </c>
      <c r="V111" s="1101" t="s">
        <v>5006</v>
      </c>
      <c r="W111" s="1101" t="s">
        <v>4968</v>
      </c>
      <c r="X111" s="1101" t="s">
        <v>4969</v>
      </c>
      <c r="Y111" s="1101" t="s">
        <v>4697</v>
      </c>
      <c r="Z111" s="1102" t="s">
        <v>5007</v>
      </c>
    </row>
    <row r="112" spans="2:26" ht="12.75" customHeight="1" x14ac:dyDescent="0.2">
      <c r="B112" s="2090" t="str">
        <f t="shared" si="1"/>
        <v>Creación60</v>
      </c>
      <c r="C112" s="1103"/>
      <c r="D112" s="521" t="s">
        <v>359</v>
      </c>
      <c r="E112" s="1095" t="s">
        <v>2026</v>
      </c>
      <c r="F112" s="1095">
        <v>60</v>
      </c>
      <c r="G112" s="1096" t="s">
        <v>2446</v>
      </c>
      <c r="H112" s="1096" t="s">
        <v>1881</v>
      </c>
      <c r="I112" s="1097" t="s">
        <v>1606</v>
      </c>
      <c r="J112" s="1095">
        <v>8</v>
      </c>
      <c r="K112" s="1095">
        <v>10</v>
      </c>
      <c r="L112" s="1095">
        <v>13</v>
      </c>
      <c r="M112" s="1098">
        <v>16</v>
      </c>
      <c r="N112" s="1095">
        <v>150</v>
      </c>
      <c r="O112" s="1095">
        <v>200</v>
      </c>
      <c r="P112" s="1095">
        <v>300</v>
      </c>
      <c r="Q112" s="1098">
        <v>400</v>
      </c>
      <c r="R112" s="1095">
        <v>15</v>
      </c>
      <c r="S112" s="1095">
        <v>20</v>
      </c>
      <c r="T112" s="1099">
        <v>30</v>
      </c>
      <c r="U112" s="1104">
        <v>40</v>
      </c>
      <c r="V112" s="1101" t="s">
        <v>5008</v>
      </c>
      <c r="W112" s="1101" t="s">
        <v>5009</v>
      </c>
      <c r="X112" s="1101" t="s">
        <v>5010</v>
      </c>
      <c r="Y112" s="1101" t="s">
        <v>5011</v>
      </c>
      <c r="Z112" s="1102" t="s">
        <v>5012</v>
      </c>
    </row>
    <row r="113" spans="2:26" ht="12.75" customHeight="1" x14ac:dyDescent="0.2">
      <c r="B113" s="2090" t="str">
        <f t="shared" si="1"/>
        <v>Creación62</v>
      </c>
      <c r="C113" s="1103"/>
      <c r="D113" s="521" t="s">
        <v>360</v>
      </c>
      <c r="E113" s="1095" t="s">
        <v>2026</v>
      </c>
      <c r="F113" s="1095">
        <v>62</v>
      </c>
      <c r="G113" s="1096" t="s">
        <v>2446</v>
      </c>
      <c r="H113" s="1096" t="s">
        <v>1536</v>
      </c>
      <c r="I113" s="1097" t="s">
        <v>1606</v>
      </c>
      <c r="J113" s="1095">
        <v>8</v>
      </c>
      <c r="K113" s="1095">
        <v>10</v>
      </c>
      <c r="L113" s="1095">
        <v>13</v>
      </c>
      <c r="M113" s="1098">
        <v>16</v>
      </c>
      <c r="N113" s="1095">
        <v>150</v>
      </c>
      <c r="O113" s="1095">
        <v>200</v>
      </c>
      <c r="P113" s="1095">
        <v>250</v>
      </c>
      <c r="Q113" s="1098">
        <v>350</v>
      </c>
      <c r="R113" s="1095">
        <v>15</v>
      </c>
      <c r="S113" s="1095">
        <v>20</v>
      </c>
      <c r="T113" s="1099">
        <v>25</v>
      </c>
      <c r="U113" s="1104">
        <v>35</v>
      </c>
      <c r="V113" s="1101" t="s">
        <v>5013</v>
      </c>
      <c r="W113" s="1101" t="s">
        <v>5014</v>
      </c>
      <c r="X113" s="1101" t="s">
        <v>5015</v>
      </c>
      <c r="Y113" s="1101" t="s">
        <v>5016</v>
      </c>
      <c r="Z113" s="1102" t="s">
        <v>5017</v>
      </c>
    </row>
    <row r="114" spans="2:26" ht="12.75" customHeight="1" x14ac:dyDescent="0.2">
      <c r="B114" s="2090" t="str">
        <f t="shared" si="1"/>
        <v>Creación66</v>
      </c>
      <c r="C114" s="1103"/>
      <c r="D114" s="521" t="s">
        <v>361</v>
      </c>
      <c r="E114" s="1095" t="s">
        <v>2026</v>
      </c>
      <c r="F114" s="1095">
        <v>66</v>
      </c>
      <c r="G114" s="1096" t="s">
        <v>2446</v>
      </c>
      <c r="H114" s="1096" t="s">
        <v>1536</v>
      </c>
      <c r="I114" s="1097" t="s">
        <v>1606</v>
      </c>
      <c r="J114" s="1095">
        <v>8</v>
      </c>
      <c r="K114" s="1095">
        <v>10</v>
      </c>
      <c r="L114" s="1095">
        <v>12</v>
      </c>
      <c r="M114" s="1098">
        <v>14</v>
      </c>
      <c r="N114" s="1095">
        <v>150</v>
      </c>
      <c r="O114" s="1095">
        <v>200</v>
      </c>
      <c r="P114" s="1095">
        <v>300</v>
      </c>
      <c r="Q114" s="1098">
        <v>400</v>
      </c>
      <c r="R114" s="1095">
        <v>15</v>
      </c>
      <c r="S114" s="1095">
        <v>20</v>
      </c>
      <c r="T114" s="1099">
        <v>30</v>
      </c>
      <c r="U114" s="1104">
        <v>40</v>
      </c>
      <c r="V114" s="1101" t="s">
        <v>4921</v>
      </c>
      <c r="W114" s="1101" t="s">
        <v>4779</v>
      </c>
      <c r="X114" s="1101" t="s">
        <v>4953</v>
      </c>
      <c r="Y114" s="1101" t="s">
        <v>5018</v>
      </c>
      <c r="Z114" s="1102" t="s">
        <v>5019</v>
      </c>
    </row>
    <row r="115" spans="2:26" ht="12.75" customHeight="1" x14ac:dyDescent="0.2">
      <c r="B115" s="2090" t="str">
        <f t="shared" si="1"/>
        <v>Creación68</v>
      </c>
      <c r="C115" s="1103"/>
      <c r="D115" s="521" t="s">
        <v>362</v>
      </c>
      <c r="E115" s="1095" t="s">
        <v>2026</v>
      </c>
      <c r="F115" s="1095">
        <v>68</v>
      </c>
      <c r="G115" s="1096"/>
      <c r="H115" s="1096" t="s">
        <v>1536</v>
      </c>
      <c r="I115" s="1097" t="s">
        <v>1607</v>
      </c>
      <c r="J115" s="1095">
        <v>8</v>
      </c>
      <c r="K115" s="1095">
        <v>12</v>
      </c>
      <c r="L115" s="1095">
        <v>15</v>
      </c>
      <c r="M115" s="1098">
        <v>18</v>
      </c>
      <c r="N115" s="1095">
        <v>100</v>
      </c>
      <c r="O115" s="1095">
        <v>200</v>
      </c>
      <c r="P115" s="1095">
        <v>300</v>
      </c>
      <c r="Q115" s="1098">
        <v>400</v>
      </c>
      <c r="R115" s="1095">
        <v>10</v>
      </c>
      <c r="S115" s="1095">
        <v>20</v>
      </c>
      <c r="T115" s="1099">
        <v>30</v>
      </c>
      <c r="U115" s="1104">
        <v>40</v>
      </c>
      <c r="V115" s="1101" t="s">
        <v>5020</v>
      </c>
      <c r="W115" s="1101" t="s">
        <v>5021</v>
      </c>
      <c r="X115" s="1101" t="s">
        <v>5022</v>
      </c>
      <c r="Y115" s="1101" t="s">
        <v>5023</v>
      </c>
      <c r="Z115" s="1105" t="s">
        <v>5024</v>
      </c>
    </row>
    <row r="116" spans="2:26" ht="12.75" customHeight="1" x14ac:dyDescent="0.2">
      <c r="B116" s="2090" t="str">
        <f t="shared" si="1"/>
        <v>Creación70</v>
      </c>
      <c r="C116" s="1103"/>
      <c r="D116" s="521" t="s">
        <v>363</v>
      </c>
      <c r="E116" s="1095" t="s">
        <v>2026</v>
      </c>
      <c r="F116" s="1095">
        <v>70</v>
      </c>
      <c r="G116" s="1096"/>
      <c r="H116" s="1096" t="s">
        <v>1535</v>
      </c>
      <c r="I116" s="1097" t="s">
        <v>1606</v>
      </c>
      <c r="J116" s="1095">
        <v>9</v>
      </c>
      <c r="K116" s="1095">
        <v>12</v>
      </c>
      <c r="L116" s="1095">
        <v>15</v>
      </c>
      <c r="M116" s="1098">
        <v>18</v>
      </c>
      <c r="N116" s="1095">
        <v>250</v>
      </c>
      <c r="O116" s="1095">
        <v>350</v>
      </c>
      <c r="P116" s="1095">
        <v>500</v>
      </c>
      <c r="Q116" s="1098">
        <v>800</v>
      </c>
      <c r="R116" s="1095"/>
      <c r="S116" s="1095"/>
      <c r="T116" s="1099"/>
      <c r="U116" s="1104" t="s">
        <v>4961</v>
      </c>
      <c r="V116" s="1101" t="s">
        <v>5025</v>
      </c>
      <c r="W116" s="1101" t="s">
        <v>5026</v>
      </c>
      <c r="X116" s="1101" t="s">
        <v>5027</v>
      </c>
      <c r="Y116" s="1101" t="s">
        <v>5028</v>
      </c>
      <c r="Z116" s="1102" t="s">
        <v>5029</v>
      </c>
    </row>
    <row r="117" spans="2:26" ht="12.75" customHeight="1" x14ac:dyDescent="0.2">
      <c r="B117" s="2090" t="str">
        <f t="shared" si="1"/>
        <v>Creación72</v>
      </c>
      <c r="C117" s="1103"/>
      <c r="D117" s="521" t="s">
        <v>364</v>
      </c>
      <c r="E117" s="1095" t="s">
        <v>2026</v>
      </c>
      <c r="F117" s="1095">
        <v>72</v>
      </c>
      <c r="G117" s="1096" t="s">
        <v>2446</v>
      </c>
      <c r="H117" s="1096" t="s">
        <v>1535</v>
      </c>
      <c r="I117" s="1097" t="s">
        <v>1606</v>
      </c>
      <c r="J117" s="1095">
        <v>8</v>
      </c>
      <c r="K117" s="1095">
        <v>10</v>
      </c>
      <c r="L117" s="1095">
        <v>12</v>
      </c>
      <c r="M117" s="1098">
        <v>14</v>
      </c>
      <c r="N117" s="1095">
        <v>150</v>
      </c>
      <c r="O117" s="1095">
        <v>200</v>
      </c>
      <c r="P117" s="1095">
        <v>250</v>
      </c>
      <c r="Q117" s="1098">
        <v>350</v>
      </c>
      <c r="R117" s="1095">
        <v>10</v>
      </c>
      <c r="S117" s="1095">
        <v>10</v>
      </c>
      <c r="T117" s="1099">
        <v>15</v>
      </c>
      <c r="U117" s="1104">
        <v>20</v>
      </c>
      <c r="V117" s="1101" t="s">
        <v>5006</v>
      </c>
      <c r="W117" s="1101" t="s">
        <v>4968</v>
      </c>
      <c r="X117" s="1101" t="s">
        <v>4864</v>
      </c>
      <c r="Y117" s="1101" t="s">
        <v>4865</v>
      </c>
      <c r="Z117" s="1102" t="s">
        <v>5030</v>
      </c>
    </row>
    <row r="118" spans="2:26" ht="12.75" customHeight="1" x14ac:dyDescent="0.2">
      <c r="B118" s="2090" t="str">
        <f t="shared" si="1"/>
        <v>Creación76</v>
      </c>
      <c r="C118" s="1103"/>
      <c r="D118" s="521" t="s">
        <v>365</v>
      </c>
      <c r="E118" s="1095" t="s">
        <v>2026</v>
      </c>
      <c r="F118" s="1095">
        <v>76</v>
      </c>
      <c r="G118" s="1096"/>
      <c r="H118" s="1096" t="s">
        <v>1536</v>
      </c>
      <c r="I118" s="1097" t="s">
        <v>1606</v>
      </c>
      <c r="J118" s="1095">
        <v>8</v>
      </c>
      <c r="K118" s="1095">
        <v>12</v>
      </c>
      <c r="L118" s="1095">
        <v>15</v>
      </c>
      <c r="M118" s="1098">
        <v>18</v>
      </c>
      <c r="N118" s="1095">
        <v>300</v>
      </c>
      <c r="O118" s="1095">
        <v>500</v>
      </c>
      <c r="P118" s="1095">
        <v>750</v>
      </c>
      <c r="Q118" s="1098">
        <v>1500</v>
      </c>
      <c r="R118" s="1095"/>
      <c r="S118" s="1095"/>
      <c r="T118" s="1099"/>
      <c r="U118" s="1104"/>
      <c r="V118" s="1101" t="s">
        <v>5031</v>
      </c>
      <c r="W118" s="1101" t="s">
        <v>4953</v>
      </c>
      <c r="X118" s="1101" t="s">
        <v>5032</v>
      </c>
      <c r="Y118" s="1101" t="s">
        <v>5033</v>
      </c>
      <c r="Z118" s="1102" t="s">
        <v>5034</v>
      </c>
    </row>
    <row r="119" spans="2:26" ht="12.75" customHeight="1" x14ac:dyDescent="0.2">
      <c r="B119" s="2090" t="str">
        <f t="shared" si="1"/>
        <v>Creación78</v>
      </c>
      <c r="C119" s="1103"/>
      <c r="D119" s="521" t="s">
        <v>366</v>
      </c>
      <c r="E119" s="1095" t="s">
        <v>2026</v>
      </c>
      <c r="F119" s="1095">
        <v>78</v>
      </c>
      <c r="G119" s="1096" t="s">
        <v>2446</v>
      </c>
      <c r="H119" s="1096" t="s">
        <v>1536</v>
      </c>
      <c r="I119" s="1097" t="s">
        <v>1606</v>
      </c>
      <c r="J119" s="1095">
        <v>9</v>
      </c>
      <c r="K119" s="1095">
        <v>12</v>
      </c>
      <c r="L119" s="1095">
        <v>15</v>
      </c>
      <c r="M119" s="1098">
        <v>17</v>
      </c>
      <c r="N119" s="1095">
        <v>250</v>
      </c>
      <c r="O119" s="1095">
        <v>400</v>
      </c>
      <c r="P119" s="1106">
        <v>600</v>
      </c>
      <c r="Q119" s="1107">
        <v>1000</v>
      </c>
      <c r="R119" s="1106">
        <v>50</v>
      </c>
      <c r="S119" s="1106">
        <v>80</v>
      </c>
      <c r="T119" s="1099">
        <v>120</v>
      </c>
      <c r="U119" s="1104">
        <v>200</v>
      </c>
      <c r="V119" s="1101" t="s">
        <v>5035</v>
      </c>
      <c r="W119" s="1101" t="s">
        <v>5036</v>
      </c>
      <c r="X119" s="1101" t="s">
        <v>5037</v>
      </c>
      <c r="Y119" s="1101" t="s">
        <v>4999</v>
      </c>
      <c r="Z119" s="1102" t="s">
        <v>5038</v>
      </c>
    </row>
    <row r="120" spans="2:26" ht="12.75" customHeight="1" x14ac:dyDescent="0.2">
      <c r="B120" s="2090" t="str">
        <f t="shared" si="1"/>
        <v>Creación80</v>
      </c>
      <c r="C120" s="1103"/>
      <c r="D120" s="521" t="s">
        <v>367</v>
      </c>
      <c r="E120" s="1095" t="s">
        <v>2026</v>
      </c>
      <c r="F120" s="1095">
        <v>80</v>
      </c>
      <c r="G120" s="1096"/>
      <c r="H120" s="1096" t="s">
        <v>1536</v>
      </c>
      <c r="I120" s="1097" t="s">
        <v>1606</v>
      </c>
      <c r="J120" s="1095">
        <v>10</v>
      </c>
      <c r="K120" s="1095">
        <v>13</v>
      </c>
      <c r="L120" s="1095">
        <v>15</v>
      </c>
      <c r="M120" s="1098">
        <v>17</v>
      </c>
      <c r="N120" s="1095">
        <v>250</v>
      </c>
      <c r="O120" s="1095">
        <v>500</v>
      </c>
      <c r="P120" s="1106">
        <v>1000</v>
      </c>
      <c r="Q120" s="1107">
        <v>2500</v>
      </c>
      <c r="R120" s="1095"/>
      <c r="S120" s="1095"/>
      <c r="T120" s="1099"/>
      <c r="U120" s="1104" t="s">
        <v>4961</v>
      </c>
      <c r="V120" s="1101" t="s">
        <v>5039</v>
      </c>
      <c r="W120" s="1101" t="s">
        <v>5040</v>
      </c>
      <c r="X120" s="1101" t="s">
        <v>5041</v>
      </c>
      <c r="Y120" s="1101" t="s">
        <v>5042</v>
      </c>
      <c r="Z120" s="1102" t="s">
        <v>5043</v>
      </c>
    </row>
    <row r="121" spans="2:26" ht="12.75" customHeight="1" x14ac:dyDescent="0.2">
      <c r="B121" s="2090" t="str">
        <f t="shared" si="1"/>
        <v>Creación82</v>
      </c>
      <c r="C121" s="1103"/>
      <c r="D121" s="521" t="s">
        <v>368</v>
      </c>
      <c r="E121" s="1095" t="s">
        <v>2026</v>
      </c>
      <c r="F121" s="1095">
        <v>82</v>
      </c>
      <c r="G121" s="1096" t="s">
        <v>2446</v>
      </c>
      <c r="H121" s="1096" t="s">
        <v>4585</v>
      </c>
      <c r="I121" s="1097" t="s">
        <v>1606</v>
      </c>
      <c r="J121" s="1095">
        <v>12</v>
      </c>
      <c r="K121" s="1095">
        <v>15</v>
      </c>
      <c r="L121" s="1095">
        <v>17</v>
      </c>
      <c r="M121" s="1098">
        <v>18</v>
      </c>
      <c r="N121" s="1095">
        <v>350</v>
      </c>
      <c r="O121" s="1095">
        <v>500</v>
      </c>
      <c r="P121" s="1095">
        <v>800</v>
      </c>
      <c r="Q121" s="1098">
        <v>1500</v>
      </c>
      <c r="R121" s="1095">
        <v>35</v>
      </c>
      <c r="S121" s="1095">
        <v>50</v>
      </c>
      <c r="T121" s="1099">
        <v>80</v>
      </c>
      <c r="U121" s="1104">
        <v>150</v>
      </c>
      <c r="V121" s="1101" t="s">
        <v>4692</v>
      </c>
      <c r="W121" s="1101" t="s">
        <v>4692</v>
      </c>
      <c r="X121" s="1101" t="s">
        <v>4692</v>
      </c>
      <c r="Y121" s="1101" t="s">
        <v>4692</v>
      </c>
      <c r="Z121" s="1102" t="s">
        <v>5044</v>
      </c>
    </row>
    <row r="122" spans="2:26" ht="12.75" customHeight="1" x14ac:dyDescent="0.2">
      <c r="B122" s="2090" t="str">
        <f t="shared" si="1"/>
        <v>Creación86</v>
      </c>
      <c r="C122" s="1103"/>
      <c r="D122" s="521" t="s">
        <v>369</v>
      </c>
      <c r="E122" s="1095" t="s">
        <v>2026</v>
      </c>
      <c r="F122" s="1095">
        <v>86</v>
      </c>
      <c r="G122" s="1096"/>
      <c r="H122" s="1096" t="s">
        <v>1536</v>
      </c>
      <c r="I122" s="1097" t="s">
        <v>1606</v>
      </c>
      <c r="J122" s="1095">
        <v>10</v>
      </c>
      <c r="K122" s="1095">
        <v>12</v>
      </c>
      <c r="L122" s="1095">
        <v>14</v>
      </c>
      <c r="M122" s="1098">
        <v>16</v>
      </c>
      <c r="N122" s="1095">
        <v>250</v>
      </c>
      <c r="O122" s="1095">
        <v>500</v>
      </c>
      <c r="P122" s="1095">
        <v>900</v>
      </c>
      <c r="Q122" s="1098">
        <v>1600</v>
      </c>
      <c r="R122" s="1095"/>
      <c r="S122" s="1095"/>
      <c r="T122" s="1099"/>
      <c r="U122" s="1104"/>
      <c r="V122" s="1101" t="s">
        <v>5045</v>
      </c>
      <c r="W122" s="1101" t="s">
        <v>5046</v>
      </c>
      <c r="X122" s="1101" t="s">
        <v>5047</v>
      </c>
      <c r="Y122" s="1101" t="s">
        <v>5048</v>
      </c>
      <c r="Z122" s="1102" t="s">
        <v>5049</v>
      </c>
    </row>
    <row r="123" spans="2:26" ht="12.75" customHeight="1" x14ac:dyDescent="0.2">
      <c r="B123" s="2090" t="str">
        <f t="shared" si="1"/>
        <v>Creación88</v>
      </c>
      <c r="C123" s="1103"/>
      <c r="D123" s="521" t="s">
        <v>370</v>
      </c>
      <c r="E123" s="1095" t="s">
        <v>2026</v>
      </c>
      <c r="F123" s="1095">
        <v>88</v>
      </c>
      <c r="G123" s="1096"/>
      <c r="H123" s="1096" t="s">
        <v>1536</v>
      </c>
      <c r="I123" s="1097" t="s">
        <v>1606</v>
      </c>
      <c r="J123" s="1095">
        <v>13</v>
      </c>
      <c r="K123" s="1095">
        <v>14</v>
      </c>
      <c r="L123" s="1095">
        <v>15</v>
      </c>
      <c r="M123" s="1098">
        <v>16</v>
      </c>
      <c r="N123" s="1095">
        <v>500</v>
      </c>
      <c r="O123" s="1095">
        <v>800</v>
      </c>
      <c r="P123" s="1095">
        <v>1200</v>
      </c>
      <c r="Q123" s="1098">
        <v>2000</v>
      </c>
      <c r="R123" s="1095"/>
      <c r="S123" s="1095"/>
      <c r="T123" s="1099"/>
      <c r="U123" s="1104"/>
      <c r="V123" s="1101" t="s">
        <v>4919</v>
      </c>
      <c r="W123" s="1101" t="s">
        <v>4921</v>
      </c>
      <c r="X123" s="1101" t="s">
        <v>4779</v>
      </c>
      <c r="Y123" s="1101" t="s">
        <v>4780</v>
      </c>
      <c r="Z123" s="1102" t="s">
        <v>5050</v>
      </c>
    </row>
    <row r="124" spans="2:26" ht="12.75" customHeight="1" x14ac:dyDescent="0.2">
      <c r="B124" s="2090" t="str">
        <f t="shared" si="1"/>
        <v>Creación90</v>
      </c>
      <c r="C124" s="1103"/>
      <c r="D124" s="521" t="s">
        <v>371</v>
      </c>
      <c r="E124" s="1095" t="s">
        <v>2026</v>
      </c>
      <c r="F124" s="1095">
        <v>90</v>
      </c>
      <c r="G124" s="1096" t="s">
        <v>2446</v>
      </c>
      <c r="H124" s="1096" t="s">
        <v>1536</v>
      </c>
      <c r="I124" s="1097" t="s">
        <v>1606</v>
      </c>
      <c r="J124" s="1095">
        <v>10</v>
      </c>
      <c r="K124" s="1095">
        <v>12</v>
      </c>
      <c r="L124" s="1095">
        <v>14</v>
      </c>
      <c r="M124" s="1098">
        <v>16</v>
      </c>
      <c r="N124" s="1095">
        <v>400</v>
      </c>
      <c r="O124" s="1095">
        <v>800</v>
      </c>
      <c r="P124" s="1095">
        <v>1200</v>
      </c>
      <c r="Q124" s="1098">
        <v>2000</v>
      </c>
      <c r="R124" s="1095">
        <v>20</v>
      </c>
      <c r="S124" s="1095">
        <v>25</v>
      </c>
      <c r="T124" s="1099">
        <v>25</v>
      </c>
      <c r="U124" s="1104">
        <v>30</v>
      </c>
      <c r="V124" s="1101" t="s">
        <v>5051</v>
      </c>
      <c r="W124" s="1101" t="s">
        <v>5052</v>
      </c>
      <c r="X124" s="1101" t="s">
        <v>5053</v>
      </c>
      <c r="Y124" s="1101" t="s">
        <v>5054</v>
      </c>
      <c r="Z124" s="1102" t="s">
        <v>8630</v>
      </c>
    </row>
    <row r="125" spans="2:26" ht="12.75" customHeight="1" x14ac:dyDescent="0.2">
      <c r="B125" s="2090" t="str">
        <f t="shared" si="1"/>
        <v>Creación92</v>
      </c>
      <c r="C125" s="1103"/>
      <c r="D125" s="521" t="s">
        <v>372</v>
      </c>
      <c r="E125" s="1095" t="s">
        <v>2026</v>
      </c>
      <c r="F125" s="1095">
        <v>92</v>
      </c>
      <c r="G125" s="1096"/>
      <c r="H125" s="1096" t="s">
        <v>1536</v>
      </c>
      <c r="I125" s="1097" t="s">
        <v>1606</v>
      </c>
      <c r="J125" s="1095">
        <v>12</v>
      </c>
      <c r="K125" s="1095">
        <v>14</v>
      </c>
      <c r="L125" s="1095">
        <v>16</v>
      </c>
      <c r="M125" s="1098">
        <v>18</v>
      </c>
      <c r="N125" s="1095">
        <v>600</v>
      </c>
      <c r="O125" s="1095">
        <v>1000</v>
      </c>
      <c r="P125" s="1095">
        <v>2500</v>
      </c>
      <c r="Q125" s="1098">
        <v>5000</v>
      </c>
      <c r="R125" s="1095"/>
      <c r="S125" s="1095"/>
      <c r="T125" s="1099"/>
      <c r="U125" s="1104" t="s">
        <v>4961</v>
      </c>
      <c r="V125" s="1101" t="s">
        <v>5055</v>
      </c>
      <c r="W125" s="1101" t="s">
        <v>5056</v>
      </c>
      <c r="X125" s="1101" t="s">
        <v>5057</v>
      </c>
      <c r="Y125" s="1101" t="s">
        <v>5058</v>
      </c>
      <c r="Z125" s="1102" t="s">
        <v>5059</v>
      </c>
    </row>
    <row r="126" spans="2:26" ht="12.75" customHeight="1" x14ac:dyDescent="0.2">
      <c r="B126" s="2090" t="str">
        <f t="shared" si="1"/>
        <v>Creación96</v>
      </c>
      <c r="C126" s="1103"/>
      <c r="D126" s="521" t="s">
        <v>373</v>
      </c>
      <c r="E126" s="1095" t="s">
        <v>2026</v>
      </c>
      <c r="F126" s="1095">
        <v>96</v>
      </c>
      <c r="G126" s="1096" t="s">
        <v>2446</v>
      </c>
      <c r="H126" s="1096" t="s">
        <v>1536</v>
      </c>
      <c r="I126" s="1097" t="s">
        <v>1606</v>
      </c>
      <c r="J126" s="1095">
        <v>15</v>
      </c>
      <c r="K126" s="1095">
        <v>16</v>
      </c>
      <c r="L126" s="1095">
        <v>17</v>
      </c>
      <c r="M126" s="1098">
        <v>19</v>
      </c>
      <c r="N126" s="1095">
        <v>800</v>
      </c>
      <c r="O126" s="1095">
        <v>2500</v>
      </c>
      <c r="P126" s="1095">
        <v>5000</v>
      </c>
      <c r="Q126" s="1098">
        <v>10000</v>
      </c>
      <c r="R126" s="1095">
        <v>40</v>
      </c>
      <c r="S126" s="1095">
        <v>45</v>
      </c>
      <c r="T126" s="1099">
        <v>45</v>
      </c>
      <c r="U126" s="1104">
        <v>50</v>
      </c>
      <c r="V126" s="1101" t="s">
        <v>5060</v>
      </c>
      <c r="W126" s="1101" t="s">
        <v>5061</v>
      </c>
      <c r="X126" s="1101" t="s">
        <v>5062</v>
      </c>
      <c r="Y126" s="1101" t="s">
        <v>5063</v>
      </c>
      <c r="Z126" s="1102" t="s">
        <v>5064</v>
      </c>
    </row>
    <row r="127" spans="2:26" ht="12.75" customHeight="1" x14ac:dyDescent="0.2">
      <c r="B127" s="2090" t="str">
        <f t="shared" si="1"/>
        <v>Creación98</v>
      </c>
      <c r="C127" s="1103"/>
      <c r="D127" s="521" t="s">
        <v>374</v>
      </c>
      <c r="E127" s="1095" t="s">
        <v>2026</v>
      </c>
      <c r="F127" s="1095">
        <v>98</v>
      </c>
      <c r="G127" s="1096"/>
      <c r="H127" s="1096" t="s">
        <v>1536</v>
      </c>
      <c r="I127" s="1097" t="s">
        <v>1606</v>
      </c>
      <c r="J127" s="1095">
        <v>16</v>
      </c>
      <c r="K127" s="1095">
        <v>17</v>
      </c>
      <c r="L127" s="1095">
        <v>18</v>
      </c>
      <c r="M127" s="1098">
        <v>19</v>
      </c>
      <c r="N127" s="1095">
        <v>800</v>
      </c>
      <c r="O127" s="1095">
        <v>2000</v>
      </c>
      <c r="P127" s="1095">
        <v>4000</v>
      </c>
      <c r="Q127" s="1098">
        <v>8000</v>
      </c>
      <c r="R127" s="1095"/>
      <c r="S127" s="1095"/>
      <c r="T127" s="1099"/>
      <c r="U127" s="1104" t="s">
        <v>4961</v>
      </c>
      <c r="V127" s="1101" t="s">
        <v>5065</v>
      </c>
      <c r="W127" s="1101" t="s">
        <v>5066</v>
      </c>
      <c r="X127" s="1101" t="s">
        <v>5067</v>
      </c>
      <c r="Y127" s="1101" t="s">
        <v>5068</v>
      </c>
      <c r="Z127" s="1102" t="s">
        <v>5069</v>
      </c>
    </row>
    <row r="128" spans="2:26" ht="12.75" customHeight="1" x14ac:dyDescent="0.2">
      <c r="B128" s="2090" t="str">
        <f t="shared" si="1"/>
        <v>Creación100</v>
      </c>
      <c r="C128" s="1103"/>
      <c r="D128" s="521" t="s">
        <v>375</v>
      </c>
      <c r="E128" s="1095" t="s">
        <v>2026</v>
      </c>
      <c r="F128" s="1095">
        <v>100</v>
      </c>
      <c r="G128" s="1096"/>
      <c r="H128" s="1096" t="s">
        <v>1536</v>
      </c>
      <c r="I128" s="1097" t="s">
        <v>1606</v>
      </c>
      <c r="J128" s="1095">
        <v>17</v>
      </c>
      <c r="K128" s="1095">
        <v>18</v>
      </c>
      <c r="L128" s="1095">
        <v>19</v>
      </c>
      <c r="M128" s="1098">
        <v>20</v>
      </c>
      <c r="N128" s="1095">
        <v>1000</v>
      </c>
      <c r="O128" s="1095">
        <v>3000</v>
      </c>
      <c r="P128" s="1095">
        <v>6000</v>
      </c>
      <c r="Q128" s="1098">
        <v>12000</v>
      </c>
      <c r="R128" s="1095"/>
      <c r="S128" s="1095"/>
      <c r="T128" s="1099"/>
      <c r="U128" s="1104" t="s">
        <v>4961</v>
      </c>
      <c r="V128" s="1101" t="s">
        <v>5070</v>
      </c>
      <c r="W128" s="1101" t="s">
        <v>5071</v>
      </c>
      <c r="X128" s="1101" t="s">
        <v>5072</v>
      </c>
      <c r="Y128" s="1101" t="s">
        <v>5073</v>
      </c>
      <c r="Z128" s="1102" t="s">
        <v>5074</v>
      </c>
    </row>
    <row r="129" spans="2:26" ht="12.75" customHeight="1" x14ac:dyDescent="0.2">
      <c r="B129" s="2090" t="str">
        <f t="shared" si="1"/>
        <v/>
      </c>
      <c r="C129" s="1103"/>
      <c r="D129" s="521" t="s">
        <v>376</v>
      </c>
      <c r="E129" s="1095"/>
      <c r="F129" s="1095"/>
      <c r="G129" s="1096"/>
      <c r="H129" s="1096"/>
      <c r="I129" s="1097"/>
      <c r="J129" s="1095"/>
      <c r="K129" s="1095"/>
      <c r="L129" s="1095"/>
      <c r="M129" s="1098"/>
      <c r="N129" s="1095"/>
      <c r="O129" s="1095"/>
      <c r="P129" s="1095"/>
      <c r="Q129" s="1098"/>
      <c r="R129" s="1095"/>
      <c r="S129" s="1095"/>
      <c r="T129" s="1099"/>
      <c r="U129" s="1104"/>
      <c r="V129" s="1101"/>
      <c r="W129" s="1101"/>
      <c r="X129" s="1101"/>
      <c r="Y129" s="1101"/>
      <c r="Z129" s="1102"/>
    </row>
    <row r="130" spans="2:26" ht="12.75" customHeight="1" x14ac:dyDescent="0.2">
      <c r="B130" s="2090" t="str">
        <f t="shared" si="1"/>
        <v>Destrucción2</v>
      </c>
      <c r="C130" s="1103"/>
      <c r="D130" s="521" t="s">
        <v>377</v>
      </c>
      <c r="E130" s="1095" t="s">
        <v>2027</v>
      </c>
      <c r="F130" s="1095">
        <v>2</v>
      </c>
      <c r="G130" s="1096" t="s">
        <v>1690</v>
      </c>
      <c r="H130" s="1096" t="s">
        <v>1536</v>
      </c>
      <c r="I130" s="1097" t="s">
        <v>1606</v>
      </c>
      <c r="J130" s="1095">
        <v>5</v>
      </c>
      <c r="K130" s="1095">
        <v>8</v>
      </c>
      <c r="L130" s="1095">
        <v>10</v>
      </c>
      <c r="M130" s="1098">
        <v>12</v>
      </c>
      <c r="N130" s="1095">
        <v>30</v>
      </c>
      <c r="O130" s="1095">
        <v>60</v>
      </c>
      <c r="P130" s="1095">
        <v>120</v>
      </c>
      <c r="Q130" s="1098">
        <v>150</v>
      </c>
      <c r="R130" s="1095">
        <v>5</v>
      </c>
      <c r="S130" s="1095">
        <v>10</v>
      </c>
      <c r="T130" s="1099">
        <v>15</v>
      </c>
      <c r="U130" s="1104">
        <v>15</v>
      </c>
      <c r="V130" s="1101" t="s">
        <v>5075</v>
      </c>
      <c r="W130" s="1101" t="s">
        <v>5076</v>
      </c>
      <c r="X130" s="1101" t="s">
        <v>5077</v>
      </c>
      <c r="Y130" s="1101" t="s">
        <v>5078</v>
      </c>
      <c r="Z130" s="1102" t="s">
        <v>5079</v>
      </c>
    </row>
    <row r="131" spans="2:26" ht="12.75" customHeight="1" x14ac:dyDescent="0.2">
      <c r="B131" s="2090" t="str">
        <f t="shared" si="1"/>
        <v>Destrucción6</v>
      </c>
      <c r="C131" s="1103"/>
      <c r="D131" s="521" t="s">
        <v>378</v>
      </c>
      <c r="E131" s="1095" t="s">
        <v>2027</v>
      </c>
      <c r="F131" s="1095">
        <v>6</v>
      </c>
      <c r="G131" s="1096" t="s">
        <v>1690</v>
      </c>
      <c r="H131" s="1096" t="s">
        <v>1536</v>
      </c>
      <c r="I131" s="1097" t="s">
        <v>1606</v>
      </c>
      <c r="J131" s="1095">
        <v>5</v>
      </c>
      <c r="K131" s="1095">
        <v>8</v>
      </c>
      <c r="L131" s="1095">
        <v>10</v>
      </c>
      <c r="M131" s="1098">
        <v>12</v>
      </c>
      <c r="N131" s="1095">
        <v>40</v>
      </c>
      <c r="O131" s="1095">
        <v>80</v>
      </c>
      <c r="P131" s="1095">
        <v>120</v>
      </c>
      <c r="Q131" s="1098">
        <v>150</v>
      </c>
      <c r="R131" s="1095" t="s">
        <v>1690</v>
      </c>
      <c r="S131" s="1095" t="s">
        <v>1690</v>
      </c>
      <c r="T131" s="1099" t="s">
        <v>1690</v>
      </c>
      <c r="U131" s="1104" t="s">
        <v>1690</v>
      </c>
      <c r="V131" s="1101" t="s">
        <v>4918</v>
      </c>
      <c r="W131" s="1101" t="s">
        <v>4920</v>
      </c>
      <c r="X131" s="1101" t="s">
        <v>5031</v>
      </c>
      <c r="Y131" s="1101" t="s">
        <v>4779</v>
      </c>
      <c r="Z131" s="1102" t="s">
        <v>5080</v>
      </c>
    </row>
    <row r="132" spans="2:26" ht="12.75" customHeight="1" x14ac:dyDescent="0.2">
      <c r="B132" s="2090" t="str">
        <f t="shared" si="1"/>
        <v>Destrucción8</v>
      </c>
      <c r="C132" s="1103"/>
      <c r="D132" s="521" t="s">
        <v>379</v>
      </c>
      <c r="E132" s="1095" t="s">
        <v>2027</v>
      </c>
      <c r="F132" s="1095">
        <v>8</v>
      </c>
      <c r="G132" s="1096" t="s">
        <v>1690</v>
      </c>
      <c r="H132" s="1096" t="s">
        <v>1536</v>
      </c>
      <c r="I132" s="1097" t="s">
        <v>1606</v>
      </c>
      <c r="J132" s="1095">
        <v>5</v>
      </c>
      <c r="K132" s="1095">
        <v>8</v>
      </c>
      <c r="L132" s="1095">
        <v>10</v>
      </c>
      <c r="M132" s="1098">
        <v>12</v>
      </c>
      <c r="N132" s="1095">
        <v>40</v>
      </c>
      <c r="O132" s="1095">
        <v>80</v>
      </c>
      <c r="P132" s="1095">
        <v>120</v>
      </c>
      <c r="Q132" s="1098">
        <v>150</v>
      </c>
      <c r="R132" s="1095" t="s">
        <v>1690</v>
      </c>
      <c r="S132" s="1095" t="s">
        <v>1690</v>
      </c>
      <c r="T132" s="1099" t="s">
        <v>1690</v>
      </c>
      <c r="U132" s="1104" t="s">
        <v>1690</v>
      </c>
      <c r="V132" s="1101" t="s">
        <v>5081</v>
      </c>
      <c r="W132" s="1101" t="s">
        <v>5082</v>
      </c>
      <c r="X132" s="1101" t="s">
        <v>5083</v>
      </c>
      <c r="Y132" s="1101" t="s">
        <v>5084</v>
      </c>
      <c r="Z132" s="1102" t="s">
        <v>5085</v>
      </c>
    </row>
    <row r="133" spans="2:26" ht="12.75" customHeight="1" x14ac:dyDescent="0.2">
      <c r="B133" s="2090" t="str">
        <f t="shared" si="1"/>
        <v>Destrucción10</v>
      </c>
      <c r="C133" s="1103"/>
      <c r="D133" s="521" t="s">
        <v>380</v>
      </c>
      <c r="E133" s="1095" t="s">
        <v>2027</v>
      </c>
      <c r="F133" s="1095">
        <v>10</v>
      </c>
      <c r="G133" s="1096" t="s">
        <v>1690</v>
      </c>
      <c r="H133" s="1096" t="s">
        <v>1536</v>
      </c>
      <c r="I133" s="1097" t="s">
        <v>1606</v>
      </c>
      <c r="J133" s="1095">
        <v>6</v>
      </c>
      <c r="K133" s="1095">
        <v>9</v>
      </c>
      <c r="L133" s="1095">
        <v>11</v>
      </c>
      <c r="M133" s="1098">
        <v>13</v>
      </c>
      <c r="N133" s="1095">
        <v>50</v>
      </c>
      <c r="O133" s="1095">
        <v>90</v>
      </c>
      <c r="P133" s="1095">
        <v>140</v>
      </c>
      <c r="Q133" s="1098">
        <v>180</v>
      </c>
      <c r="R133" s="1095" t="s">
        <v>1690</v>
      </c>
      <c r="S133" s="1095" t="s">
        <v>1690</v>
      </c>
      <c r="T133" s="1099" t="s">
        <v>1690</v>
      </c>
      <c r="U133" s="1104" t="s">
        <v>1690</v>
      </c>
      <c r="V133" s="1101" t="s">
        <v>4918</v>
      </c>
      <c r="W133" s="1101" t="s">
        <v>4920</v>
      </c>
      <c r="X133" s="1101" t="s">
        <v>5031</v>
      </c>
      <c r="Y133" s="1101" t="s">
        <v>4779</v>
      </c>
      <c r="Z133" s="1102" t="s">
        <v>5086</v>
      </c>
    </row>
    <row r="134" spans="2:26" ht="12.75" customHeight="1" x14ac:dyDescent="0.2">
      <c r="B134" s="2090" t="str">
        <f t="shared" si="1"/>
        <v>Destrucción12</v>
      </c>
      <c r="C134" s="1103"/>
      <c r="D134" s="521" t="s">
        <v>381</v>
      </c>
      <c r="E134" s="1095" t="s">
        <v>2027</v>
      </c>
      <c r="F134" s="1095">
        <v>12</v>
      </c>
      <c r="G134" s="1096" t="s">
        <v>1690</v>
      </c>
      <c r="H134" s="1096" t="s">
        <v>1534</v>
      </c>
      <c r="I134" s="1097" t="s">
        <v>1606</v>
      </c>
      <c r="J134" s="1095">
        <v>5</v>
      </c>
      <c r="K134" s="1095">
        <v>8</v>
      </c>
      <c r="L134" s="1095">
        <v>10</v>
      </c>
      <c r="M134" s="1098">
        <v>13</v>
      </c>
      <c r="N134" s="1095">
        <v>30</v>
      </c>
      <c r="O134" s="1095">
        <v>60</v>
      </c>
      <c r="P134" s="1095">
        <v>100</v>
      </c>
      <c r="Q134" s="1098">
        <v>150</v>
      </c>
      <c r="R134" s="1095" t="s">
        <v>1690</v>
      </c>
      <c r="S134" s="1095" t="s">
        <v>1690</v>
      </c>
      <c r="T134" s="1099" t="s">
        <v>1690</v>
      </c>
      <c r="U134" s="1104" t="s">
        <v>1690</v>
      </c>
      <c r="V134" s="1101" t="s">
        <v>5087</v>
      </c>
      <c r="W134" s="1101" t="s">
        <v>5088</v>
      </c>
      <c r="X134" s="1101" t="s">
        <v>5089</v>
      </c>
      <c r="Y134" s="1101" t="s">
        <v>5090</v>
      </c>
      <c r="Z134" s="1102" t="s">
        <v>5091</v>
      </c>
    </row>
    <row r="135" spans="2:26" ht="12.75" customHeight="1" x14ac:dyDescent="0.2">
      <c r="B135" s="2090" t="str">
        <f t="shared" si="1"/>
        <v>Destrucción16</v>
      </c>
      <c r="C135" s="1103"/>
      <c r="D135" s="521" t="s">
        <v>382</v>
      </c>
      <c r="E135" s="1095" t="s">
        <v>2027</v>
      </c>
      <c r="F135" s="1095">
        <v>16</v>
      </c>
      <c r="G135" s="1096" t="s">
        <v>2446</v>
      </c>
      <c r="H135" s="1096" t="s">
        <v>1535</v>
      </c>
      <c r="I135" s="1097" t="s">
        <v>1606</v>
      </c>
      <c r="J135" s="1095">
        <v>6</v>
      </c>
      <c r="K135" s="1095">
        <v>8</v>
      </c>
      <c r="L135" s="1095">
        <v>10</v>
      </c>
      <c r="M135" s="1098">
        <v>12</v>
      </c>
      <c r="N135" s="1095">
        <v>50</v>
      </c>
      <c r="O135" s="1095">
        <v>80</v>
      </c>
      <c r="P135" s="1095">
        <v>120</v>
      </c>
      <c r="Q135" s="1098">
        <v>150</v>
      </c>
      <c r="R135" s="1095">
        <v>5</v>
      </c>
      <c r="S135" s="1095">
        <v>10</v>
      </c>
      <c r="T135" s="1099">
        <v>15</v>
      </c>
      <c r="U135" s="1104">
        <v>15</v>
      </c>
      <c r="V135" s="1101" t="s">
        <v>5092</v>
      </c>
      <c r="W135" s="1101" t="s">
        <v>5093</v>
      </c>
      <c r="X135" s="1101" t="s">
        <v>5094</v>
      </c>
      <c r="Y135" s="1101" t="s">
        <v>5095</v>
      </c>
      <c r="Z135" s="1102" t="s">
        <v>5096</v>
      </c>
    </row>
    <row r="136" spans="2:26" ht="12.75" customHeight="1" x14ac:dyDescent="0.2">
      <c r="B136" s="2090" t="str">
        <f t="shared" ref="B136:B199" si="2">E136&amp;F136</f>
        <v>Destrucción18</v>
      </c>
      <c r="C136" s="1103"/>
      <c r="D136" s="521" t="s">
        <v>383</v>
      </c>
      <c r="E136" s="1095" t="s">
        <v>2027</v>
      </c>
      <c r="F136" s="1095">
        <v>18</v>
      </c>
      <c r="G136" s="1096" t="s">
        <v>1690</v>
      </c>
      <c r="H136" s="1096" t="s">
        <v>1536</v>
      </c>
      <c r="I136" s="1097" t="s">
        <v>1607</v>
      </c>
      <c r="J136" s="1095">
        <v>6</v>
      </c>
      <c r="K136" s="1095">
        <v>9</v>
      </c>
      <c r="L136" s="1095">
        <v>12</v>
      </c>
      <c r="M136" s="1098">
        <v>16</v>
      </c>
      <c r="N136" s="1095">
        <v>60</v>
      </c>
      <c r="O136" s="1095">
        <v>150</v>
      </c>
      <c r="P136" s="1095">
        <v>300</v>
      </c>
      <c r="Q136" s="1098">
        <v>500</v>
      </c>
      <c r="R136" s="1095" t="s">
        <v>1690</v>
      </c>
      <c r="S136" s="1095" t="s">
        <v>1690</v>
      </c>
      <c r="T136" s="1099" t="s">
        <v>1690</v>
      </c>
      <c r="U136" s="1104" t="s">
        <v>1690</v>
      </c>
      <c r="V136" s="1101" t="s">
        <v>5097</v>
      </c>
      <c r="W136" s="1101" t="s">
        <v>5098</v>
      </c>
      <c r="X136" s="1101" t="s">
        <v>5099</v>
      </c>
      <c r="Y136" s="1101" t="s">
        <v>5100</v>
      </c>
      <c r="Z136" s="1102" t="s">
        <v>5101</v>
      </c>
    </row>
    <row r="137" spans="2:26" ht="12.75" customHeight="1" x14ac:dyDescent="0.2">
      <c r="B137" s="2090" t="str">
        <f t="shared" si="2"/>
        <v>Destrucción20</v>
      </c>
      <c r="C137" s="1103"/>
      <c r="D137" s="521" t="s">
        <v>384</v>
      </c>
      <c r="E137" s="1095" t="s">
        <v>2027</v>
      </c>
      <c r="F137" s="1095">
        <v>20</v>
      </c>
      <c r="G137" s="1096" t="s">
        <v>1690</v>
      </c>
      <c r="H137" s="1096" t="s">
        <v>1536</v>
      </c>
      <c r="I137" s="1097" t="s">
        <v>1607</v>
      </c>
      <c r="J137" s="1095">
        <v>6</v>
      </c>
      <c r="K137" s="1095">
        <v>9</v>
      </c>
      <c r="L137" s="1095">
        <v>12</v>
      </c>
      <c r="M137" s="1098">
        <v>15</v>
      </c>
      <c r="N137" s="1095">
        <v>60</v>
      </c>
      <c r="O137" s="1095">
        <v>100</v>
      </c>
      <c r="P137" s="1095">
        <v>150</v>
      </c>
      <c r="Q137" s="1098">
        <v>220</v>
      </c>
      <c r="R137" s="1095" t="s">
        <v>1690</v>
      </c>
      <c r="S137" s="1095" t="s">
        <v>1690</v>
      </c>
      <c r="T137" s="1099" t="s">
        <v>1690</v>
      </c>
      <c r="U137" s="1104" t="s">
        <v>1690</v>
      </c>
      <c r="V137" s="1101" t="s">
        <v>5102</v>
      </c>
      <c r="W137" s="1101" t="s">
        <v>5103</v>
      </c>
      <c r="X137" s="1101" t="s">
        <v>5104</v>
      </c>
      <c r="Y137" s="1101" t="s">
        <v>5105</v>
      </c>
      <c r="Z137" s="1102" t="s">
        <v>5106</v>
      </c>
    </row>
    <row r="138" spans="2:26" ht="12.75" customHeight="1" x14ac:dyDescent="0.2">
      <c r="B138" s="2090" t="str">
        <f t="shared" si="2"/>
        <v>Destrucción22</v>
      </c>
      <c r="C138" s="1103"/>
      <c r="D138" s="521" t="s">
        <v>385</v>
      </c>
      <c r="E138" s="1095" t="s">
        <v>2027</v>
      </c>
      <c r="F138" s="1095">
        <v>22</v>
      </c>
      <c r="G138" s="1096" t="s">
        <v>1690</v>
      </c>
      <c r="H138" s="1096" t="s">
        <v>1536</v>
      </c>
      <c r="I138" s="1097" t="s">
        <v>1607</v>
      </c>
      <c r="J138" s="1095">
        <v>6</v>
      </c>
      <c r="K138" s="1095">
        <v>9</v>
      </c>
      <c r="L138" s="1095">
        <v>12</v>
      </c>
      <c r="M138" s="1098">
        <v>16</v>
      </c>
      <c r="N138" s="1095">
        <v>80</v>
      </c>
      <c r="O138" s="1095">
        <v>140</v>
      </c>
      <c r="P138" s="1095">
        <v>240</v>
      </c>
      <c r="Q138" s="1098">
        <v>320</v>
      </c>
      <c r="R138" s="1095" t="s">
        <v>5107</v>
      </c>
      <c r="S138" s="1095" t="s">
        <v>1690</v>
      </c>
      <c r="T138" s="1099" t="s">
        <v>1690</v>
      </c>
      <c r="U138" s="1104" t="s">
        <v>1690</v>
      </c>
      <c r="V138" s="1101" t="s">
        <v>5108</v>
      </c>
      <c r="W138" s="1101" t="s">
        <v>5109</v>
      </c>
      <c r="X138" s="1101" t="s">
        <v>5110</v>
      </c>
      <c r="Y138" s="1101" t="s">
        <v>5111</v>
      </c>
      <c r="Z138" s="1102" t="s">
        <v>5112</v>
      </c>
    </row>
    <row r="139" spans="2:26" ht="12.75" customHeight="1" x14ac:dyDescent="0.2">
      <c r="B139" s="2090" t="str">
        <f t="shared" si="2"/>
        <v>Destrucción26</v>
      </c>
      <c r="C139" s="1103"/>
      <c r="D139" s="521" t="s">
        <v>386</v>
      </c>
      <c r="E139" s="1095" t="s">
        <v>2027</v>
      </c>
      <c r="F139" s="1095">
        <v>26</v>
      </c>
      <c r="G139" s="1096" t="s">
        <v>1690</v>
      </c>
      <c r="H139" s="1096" t="s">
        <v>1535</v>
      </c>
      <c r="I139" s="1097" t="s">
        <v>1606</v>
      </c>
      <c r="J139" s="1095">
        <v>6</v>
      </c>
      <c r="K139" s="1095">
        <v>9</v>
      </c>
      <c r="L139" s="1095">
        <v>12</v>
      </c>
      <c r="M139" s="1098">
        <v>15</v>
      </c>
      <c r="N139" s="1095">
        <v>80</v>
      </c>
      <c r="O139" s="1095">
        <v>120</v>
      </c>
      <c r="P139" s="1095">
        <v>180</v>
      </c>
      <c r="Q139" s="1098">
        <v>300</v>
      </c>
      <c r="R139" s="1095" t="s">
        <v>1690</v>
      </c>
      <c r="S139" s="1095" t="s">
        <v>1690</v>
      </c>
      <c r="T139" s="1099" t="s">
        <v>1690</v>
      </c>
      <c r="U139" s="1104" t="s">
        <v>1690</v>
      </c>
      <c r="V139" s="1101" t="s">
        <v>5113</v>
      </c>
      <c r="W139" s="1101" t="s">
        <v>5114</v>
      </c>
      <c r="X139" s="1101" t="s">
        <v>5115</v>
      </c>
      <c r="Y139" s="1101" t="s">
        <v>5116</v>
      </c>
      <c r="Z139" s="1102" t="s">
        <v>5117</v>
      </c>
    </row>
    <row r="140" spans="2:26" ht="12.75" customHeight="1" x14ac:dyDescent="0.2">
      <c r="B140" s="2090" t="str">
        <f t="shared" si="2"/>
        <v>Destrucción28</v>
      </c>
      <c r="C140" s="1103"/>
      <c r="D140" s="521" t="s">
        <v>387</v>
      </c>
      <c r="E140" s="1095" t="s">
        <v>2027</v>
      </c>
      <c r="F140" s="1095">
        <v>28</v>
      </c>
      <c r="G140" s="1096" t="s">
        <v>1690</v>
      </c>
      <c r="H140" s="1096" t="s">
        <v>1535</v>
      </c>
      <c r="I140" s="1097" t="s">
        <v>1606</v>
      </c>
      <c r="J140" s="1095">
        <v>6</v>
      </c>
      <c r="K140" s="1095">
        <v>9</v>
      </c>
      <c r="L140" s="1095">
        <v>12</v>
      </c>
      <c r="M140" s="1098">
        <v>15</v>
      </c>
      <c r="N140" s="1095">
        <v>80</v>
      </c>
      <c r="O140" s="1095">
        <v>140</v>
      </c>
      <c r="P140" s="1095">
        <v>220</v>
      </c>
      <c r="Q140" s="1098">
        <v>300</v>
      </c>
      <c r="R140" s="1095" t="s">
        <v>1690</v>
      </c>
      <c r="S140" s="1095" t="s">
        <v>1690</v>
      </c>
      <c r="T140" s="1099" t="s">
        <v>1690</v>
      </c>
      <c r="U140" s="1104" t="s">
        <v>1690</v>
      </c>
      <c r="V140" s="1101" t="s">
        <v>5093</v>
      </c>
      <c r="W140" s="1101" t="s">
        <v>5094</v>
      </c>
      <c r="X140" s="1101" t="s">
        <v>5118</v>
      </c>
      <c r="Y140" s="1101" t="s">
        <v>5119</v>
      </c>
      <c r="Z140" s="1102" t="s">
        <v>5120</v>
      </c>
    </row>
    <row r="141" spans="2:26" ht="12.75" customHeight="1" x14ac:dyDescent="0.2">
      <c r="B141" s="2090" t="str">
        <f t="shared" si="2"/>
        <v>Destrucción30</v>
      </c>
      <c r="C141" s="1103"/>
      <c r="D141" s="521" t="s">
        <v>388</v>
      </c>
      <c r="E141" s="1095" t="s">
        <v>2027</v>
      </c>
      <c r="F141" s="1095">
        <v>30</v>
      </c>
      <c r="G141" s="1096" t="s">
        <v>1690</v>
      </c>
      <c r="H141" s="1096" t="s">
        <v>1535</v>
      </c>
      <c r="I141" s="1097"/>
      <c r="J141" s="1095">
        <v>6</v>
      </c>
      <c r="K141" s="1095">
        <v>9</v>
      </c>
      <c r="L141" s="1095">
        <v>12</v>
      </c>
      <c r="M141" s="1098">
        <v>15</v>
      </c>
      <c r="N141" s="1095">
        <v>80</v>
      </c>
      <c r="O141" s="1095">
        <v>120</v>
      </c>
      <c r="P141" s="1095">
        <v>180</v>
      </c>
      <c r="Q141" s="1098">
        <v>300</v>
      </c>
      <c r="R141" s="1095" t="s">
        <v>1690</v>
      </c>
      <c r="S141" s="1095" t="s">
        <v>1690</v>
      </c>
      <c r="T141" s="1099" t="s">
        <v>1690</v>
      </c>
      <c r="U141" s="1104" t="s">
        <v>1690</v>
      </c>
      <c r="V141" s="1101" t="s">
        <v>5121</v>
      </c>
      <c r="W141" s="1101" t="s">
        <v>5122</v>
      </c>
      <c r="X141" s="1101" t="s">
        <v>5123</v>
      </c>
      <c r="Y141" s="1101" t="s">
        <v>5124</v>
      </c>
      <c r="Z141" s="1102" t="s">
        <v>5125</v>
      </c>
    </row>
    <row r="142" spans="2:26" ht="12.75" customHeight="1" x14ac:dyDescent="0.2">
      <c r="B142" s="2090" t="str">
        <f t="shared" si="2"/>
        <v>Destrucción32</v>
      </c>
      <c r="C142" s="1103"/>
      <c r="D142" s="521" t="s">
        <v>389</v>
      </c>
      <c r="E142" s="1095" t="s">
        <v>2027</v>
      </c>
      <c r="F142" s="1095">
        <v>32</v>
      </c>
      <c r="G142" s="1096" t="s">
        <v>1690</v>
      </c>
      <c r="H142" s="1096" t="s">
        <v>1535</v>
      </c>
      <c r="I142" s="1097" t="s">
        <v>1606</v>
      </c>
      <c r="J142" s="1095">
        <v>8</v>
      </c>
      <c r="K142" s="1095">
        <v>10</v>
      </c>
      <c r="L142" s="1095">
        <v>12</v>
      </c>
      <c r="M142" s="1098">
        <v>15</v>
      </c>
      <c r="N142" s="1095">
        <v>100</v>
      </c>
      <c r="O142" s="1095">
        <v>140</v>
      </c>
      <c r="P142" s="1095">
        <v>200</v>
      </c>
      <c r="Q142" s="1098">
        <v>280</v>
      </c>
      <c r="R142" s="1095">
        <v>5</v>
      </c>
      <c r="S142" s="1095">
        <v>10</v>
      </c>
      <c r="T142" s="1099">
        <v>15</v>
      </c>
      <c r="U142" s="1104">
        <v>15</v>
      </c>
      <c r="V142" s="1101" t="s">
        <v>5126</v>
      </c>
      <c r="W142" s="1101" t="s">
        <v>5092</v>
      </c>
      <c r="X142" s="1101" t="s">
        <v>5093</v>
      </c>
      <c r="Y142" s="1101" t="s">
        <v>5118</v>
      </c>
      <c r="Z142" s="1102" t="s">
        <v>5127</v>
      </c>
    </row>
    <row r="143" spans="2:26" ht="12.75" customHeight="1" x14ac:dyDescent="0.2">
      <c r="B143" s="2090" t="str">
        <f t="shared" si="2"/>
        <v>Destrucción36</v>
      </c>
      <c r="C143" s="1103"/>
      <c r="D143" s="521" t="s">
        <v>390</v>
      </c>
      <c r="E143" s="1095" t="s">
        <v>2027</v>
      </c>
      <c r="F143" s="1095">
        <v>36</v>
      </c>
      <c r="G143" s="1096" t="s">
        <v>1690</v>
      </c>
      <c r="H143" s="1096" t="s">
        <v>1534</v>
      </c>
      <c r="I143" s="1097" t="s">
        <v>1606</v>
      </c>
      <c r="J143" s="1095">
        <v>6</v>
      </c>
      <c r="K143" s="1095">
        <v>9</v>
      </c>
      <c r="L143" s="1095">
        <v>12</v>
      </c>
      <c r="M143" s="1098">
        <v>15</v>
      </c>
      <c r="N143" s="1095">
        <v>80</v>
      </c>
      <c r="O143" s="1095">
        <v>140</v>
      </c>
      <c r="P143" s="1095">
        <v>220</v>
      </c>
      <c r="Q143" s="1098">
        <v>300</v>
      </c>
      <c r="R143" s="1095" t="s">
        <v>5107</v>
      </c>
      <c r="S143" s="1095" t="s">
        <v>1690</v>
      </c>
      <c r="T143" s="1099" t="s">
        <v>1690</v>
      </c>
      <c r="U143" s="1104" t="s">
        <v>1690</v>
      </c>
      <c r="V143" s="1101" t="s">
        <v>5128</v>
      </c>
      <c r="W143" s="1101" t="s">
        <v>4803</v>
      </c>
      <c r="X143" s="1101" t="s">
        <v>5129</v>
      </c>
      <c r="Y143" s="1101" t="s">
        <v>5130</v>
      </c>
      <c r="Z143" s="1102" t="s">
        <v>5131</v>
      </c>
    </row>
    <row r="144" spans="2:26" ht="12.75" customHeight="1" x14ac:dyDescent="0.2">
      <c r="B144" s="2090" t="str">
        <f t="shared" si="2"/>
        <v>Destrucción38</v>
      </c>
      <c r="C144" s="1103"/>
      <c r="D144" s="521" t="s">
        <v>391</v>
      </c>
      <c r="E144" s="1095" t="s">
        <v>2027</v>
      </c>
      <c r="F144" s="1095">
        <v>38</v>
      </c>
      <c r="G144" s="1096" t="s">
        <v>1690</v>
      </c>
      <c r="H144" s="1096" t="s">
        <v>1535</v>
      </c>
      <c r="I144" s="1097" t="s">
        <v>1606</v>
      </c>
      <c r="J144" s="1095">
        <v>8</v>
      </c>
      <c r="K144" s="1095">
        <v>10</v>
      </c>
      <c r="L144" s="1095">
        <v>13</v>
      </c>
      <c r="M144" s="1098">
        <v>16</v>
      </c>
      <c r="N144" s="1095">
        <v>100</v>
      </c>
      <c r="O144" s="1095">
        <v>200</v>
      </c>
      <c r="P144" s="1095">
        <v>300</v>
      </c>
      <c r="Q144" s="1098">
        <v>500</v>
      </c>
      <c r="R144" s="1095" t="s">
        <v>5132</v>
      </c>
      <c r="S144" s="1095" t="s">
        <v>1690</v>
      </c>
      <c r="T144" s="1099" t="s">
        <v>1690</v>
      </c>
      <c r="U144" s="1104" t="s">
        <v>1690</v>
      </c>
      <c r="V144" s="1101" t="s">
        <v>5092</v>
      </c>
      <c r="W144" s="1101" t="s">
        <v>5093</v>
      </c>
      <c r="X144" s="1101" t="s">
        <v>5094</v>
      </c>
      <c r="Y144" s="1101" t="s">
        <v>5095</v>
      </c>
      <c r="Z144" s="1102" t="s">
        <v>5133</v>
      </c>
    </row>
    <row r="145" spans="2:26" ht="12.75" customHeight="1" x14ac:dyDescent="0.2">
      <c r="B145" s="2090" t="str">
        <f t="shared" si="2"/>
        <v>Destrucción40</v>
      </c>
      <c r="C145" s="1103"/>
      <c r="D145" s="521" t="s">
        <v>392</v>
      </c>
      <c r="E145" s="1099" t="s">
        <v>2027</v>
      </c>
      <c r="F145" s="1099">
        <v>40</v>
      </c>
      <c r="G145" s="1108" t="s">
        <v>1690</v>
      </c>
      <c r="H145" s="1108" t="s">
        <v>1535</v>
      </c>
      <c r="I145" s="1109" t="s">
        <v>1606</v>
      </c>
      <c r="J145" s="1099">
        <v>7</v>
      </c>
      <c r="K145" s="1099">
        <v>9</v>
      </c>
      <c r="L145" s="1099">
        <v>12</v>
      </c>
      <c r="M145" s="1104">
        <v>15</v>
      </c>
      <c r="N145" s="1099">
        <v>80</v>
      </c>
      <c r="O145" s="1099">
        <v>160</v>
      </c>
      <c r="P145" s="1099">
        <v>240</v>
      </c>
      <c r="Q145" s="1104">
        <v>300</v>
      </c>
      <c r="R145" s="1099">
        <v>10</v>
      </c>
      <c r="S145" s="1099">
        <v>20</v>
      </c>
      <c r="T145" s="1099">
        <v>25</v>
      </c>
      <c r="U145" s="1104">
        <v>30</v>
      </c>
      <c r="V145" s="1101" t="s">
        <v>5092</v>
      </c>
      <c r="W145" s="1101" t="s">
        <v>5094</v>
      </c>
      <c r="X145" s="1101" t="s">
        <v>5095</v>
      </c>
      <c r="Y145" s="1101" t="s">
        <v>5134</v>
      </c>
      <c r="Z145" s="1102" t="s">
        <v>5135</v>
      </c>
    </row>
    <row r="146" spans="2:26" ht="12.75" customHeight="1" x14ac:dyDescent="0.2">
      <c r="B146" s="2090" t="str">
        <f t="shared" si="2"/>
        <v>Destrucción42</v>
      </c>
      <c r="C146" s="1103"/>
      <c r="D146" s="521" t="s">
        <v>393</v>
      </c>
      <c r="E146" s="1099" t="s">
        <v>2027</v>
      </c>
      <c r="F146" s="1099">
        <v>42</v>
      </c>
      <c r="G146" s="1108" t="s">
        <v>1690</v>
      </c>
      <c r="H146" s="1108" t="s">
        <v>1536</v>
      </c>
      <c r="I146" s="1109" t="s">
        <v>1606</v>
      </c>
      <c r="J146" s="1099">
        <v>7</v>
      </c>
      <c r="K146" s="1099">
        <v>10</v>
      </c>
      <c r="L146" s="1099">
        <v>12</v>
      </c>
      <c r="M146" s="1104">
        <v>15</v>
      </c>
      <c r="N146" s="1099">
        <v>120</v>
      </c>
      <c r="O146" s="1099">
        <v>180</v>
      </c>
      <c r="P146" s="1099">
        <v>240</v>
      </c>
      <c r="Q146" s="1104">
        <v>300</v>
      </c>
      <c r="R146" s="1099" t="s">
        <v>1690</v>
      </c>
      <c r="S146" s="1099" t="s">
        <v>1690</v>
      </c>
      <c r="T146" s="1099" t="s">
        <v>1690</v>
      </c>
      <c r="U146" s="1104" t="s">
        <v>1690</v>
      </c>
      <c r="V146" s="1101" t="s">
        <v>5136</v>
      </c>
      <c r="W146" s="1101" t="s">
        <v>5137</v>
      </c>
      <c r="X146" s="1101" t="s">
        <v>5138</v>
      </c>
      <c r="Y146" s="1101" t="s">
        <v>5139</v>
      </c>
      <c r="Z146" s="1102" t="s">
        <v>5140</v>
      </c>
    </row>
    <row r="147" spans="2:26" ht="12.75" customHeight="1" x14ac:dyDescent="0.2">
      <c r="B147" s="2090" t="str">
        <f t="shared" si="2"/>
        <v>Destrucción46</v>
      </c>
      <c r="C147" s="1103"/>
      <c r="D147" s="521" t="s">
        <v>394</v>
      </c>
      <c r="E147" s="1099" t="s">
        <v>2027</v>
      </c>
      <c r="F147" s="1099">
        <v>46</v>
      </c>
      <c r="G147" s="1108" t="s">
        <v>1690</v>
      </c>
      <c r="H147" s="1108" t="s">
        <v>1534</v>
      </c>
      <c r="I147" s="1109" t="s">
        <v>1606</v>
      </c>
      <c r="J147" s="1099">
        <v>7</v>
      </c>
      <c r="K147" s="1099">
        <v>10</v>
      </c>
      <c r="L147" s="1099">
        <v>12</v>
      </c>
      <c r="M147" s="1104">
        <v>15</v>
      </c>
      <c r="N147" s="1099">
        <v>100</v>
      </c>
      <c r="O147" s="1099">
        <v>180</v>
      </c>
      <c r="P147" s="1099">
        <v>240</v>
      </c>
      <c r="Q147" s="1104">
        <v>300</v>
      </c>
      <c r="R147" s="1099" t="s">
        <v>1690</v>
      </c>
      <c r="S147" s="1099" t="s">
        <v>1690</v>
      </c>
      <c r="T147" s="1099" t="s">
        <v>1690</v>
      </c>
      <c r="U147" s="1104" t="s">
        <v>1690</v>
      </c>
      <c r="V147" s="1101" t="s">
        <v>5141</v>
      </c>
      <c r="W147" s="1101" t="s">
        <v>5142</v>
      </c>
      <c r="X147" s="1101" t="s">
        <v>5143</v>
      </c>
      <c r="Y147" s="1101" t="s">
        <v>5144</v>
      </c>
      <c r="Z147" s="1102" t="s">
        <v>5145</v>
      </c>
    </row>
    <row r="148" spans="2:26" ht="12.75" customHeight="1" x14ac:dyDescent="0.2">
      <c r="B148" s="2090" t="str">
        <f t="shared" si="2"/>
        <v>Destrucción48</v>
      </c>
      <c r="C148" s="1103"/>
      <c r="D148" s="521" t="s">
        <v>395</v>
      </c>
      <c r="E148" s="1099" t="s">
        <v>2027</v>
      </c>
      <c r="F148" s="1099">
        <v>48</v>
      </c>
      <c r="G148" s="1108" t="s">
        <v>1690</v>
      </c>
      <c r="H148" s="1108" t="s">
        <v>4585</v>
      </c>
      <c r="I148" s="1109" t="s">
        <v>1606</v>
      </c>
      <c r="J148" s="1099">
        <v>7</v>
      </c>
      <c r="K148" s="1099">
        <v>9</v>
      </c>
      <c r="L148" s="1099">
        <v>12</v>
      </c>
      <c r="M148" s="1104">
        <v>15</v>
      </c>
      <c r="N148" s="1099">
        <v>140</v>
      </c>
      <c r="O148" s="1099">
        <v>180</v>
      </c>
      <c r="P148" s="1099">
        <v>240</v>
      </c>
      <c r="Q148" s="1104">
        <v>300</v>
      </c>
      <c r="R148" s="1099">
        <v>15</v>
      </c>
      <c r="S148" s="1099">
        <v>20</v>
      </c>
      <c r="T148" s="1099">
        <v>25</v>
      </c>
      <c r="U148" s="1104">
        <v>30</v>
      </c>
      <c r="V148" s="1101" t="s">
        <v>5146</v>
      </c>
      <c r="W148" s="1101" t="s">
        <v>5147</v>
      </c>
      <c r="X148" s="1101" t="s">
        <v>5148</v>
      </c>
      <c r="Y148" s="1101" t="s">
        <v>5149</v>
      </c>
      <c r="Z148" s="1102" t="s">
        <v>5150</v>
      </c>
    </row>
    <row r="149" spans="2:26" ht="12.75" customHeight="1" x14ac:dyDescent="0.2">
      <c r="B149" s="2090" t="str">
        <f t="shared" si="2"/>
        <v>Destrucción50</v>
      </c>
      <c r="C149" s="1103"/>
      <c r="D149" s="521" t="s">
        <v>396</v>
      </c>
      <c r="E149" s="1099" t="s">
        <v>2027</v>
      </c>
      <c r="F149" s="1099">
        <v>50</v>
      </c>
      <c r="G149" s="1108" t="s">
        <v>3010</v>
      </c>
      <c r="H149" s="1108" t="s">
        <v>1536</v>
      </c>
      <c r="I149" s="1109" t="s">
        <v>1606</v>
      </c>
      <c r="J149" s="1099">
        <v>8</v>
      </c>
      <c r="K149" s="1099">
        <v>10</v>
      </c>
      <c r="L149" s="1099">
        <v>12</v>
      </c>
      <c r="M149" s="1104">
        <v>15</v>
      </c>
      <c r="N149" s="1099">
        <v>150</v>
      </c>
      <c r="O149" s="1099">
        <v>200</v>
      </c>
      <c r="P149" s="1099">
        <v>250</v>
      </c>
      <c r="Q149" s="1104">
        <v>350</v>
      </c>
      <c r="R149" s="1099">
        <v>15</v>
      </c>
      <c r="S149" s="1099">
        <v>20</v>
      </c>
      <c r="T149" s="1099">
        <v>25</v>
      </c>
      <c r="U149" s="1104">
        <v>30</v>
      </c>
      <c r="V149" s="1101" t="s">
        <v>5151</v>
      </c>
      <c r="W149" s="1101" t="s">
        <v>5152</v>
      </c>
      <c r="X149" s="1101" t="s">
        <v>5153</v>
      </c>
      <c r="Y149" s="1101" t="s">
        <v>5154</v>
      </c>
      <c r="Z149" s="1102" t="s">
        <v>5155</v>
      </c>
    </row>
    <row r="150" spans="2:26" ht="12.75" customHeight="1" x14ac:dyDescent="0.2">
      <c r="B150" s="2090" t="str">
        <f t="shared" si="2"/>
        <v>Destrucción52</v>
      </c>
      <c r="C150" s="1103"/>
      <c r="D150" s="521" t="s">
        <v>397</v>
      </c>
      <c r="E150" s="1099" t="s">
        <v>2027</v>
      </c>
      <c r="F150" s="1099">
        <v>52</v>
      </c>
      <c r="G150" s="1108" t="s">
        <v>1690</v>
      </c>
      <c r="H150" s="1108" t="s">
        <v>1535</v>
      </c>
      <c r="I150" s="1109" t="s">
        <v>1606</v>
      </c>
      <c r="J150" s="1099">
        <v>7</v>
      </c>
      <c r="K150" s="1099">
        <v>9</v>
      </c>
      <c r="L150" s="1099">
        <v>12</v>
      </c>
      <c r="M150" s="1104">
        <v>15</v>
      </c>
      <c r="N150" s="1099">
        <v>140</v>
      </c>
      <c r="O150" s="1099">
        <v>180</v>
      </c>
      <c r="P150" s="1099">
        <v>240</v>
      </c>
      <c r="Q150" s="1104">
        <v>300</v>
      </c>
      <c r="R150" s="1099" t="s">
        <v>1690</v>
      </c>
      <c r="S150" s="1099" t="s">
        <v>1690</v>
      </c>
      <c r="T150" s="1099" t="s">
        <v>1690</v>
      </c>
      <c r="U150" s="1104" t="s">
        <v>1690</v>
      </c>
      <c r="V150" s="1101" t="s">
        <v>4981</v>
      </c>
      <c r="W150" s="1101" t="s">
        <v>4982</v>
      </c>
      <c r="X150" s="1101" t="s">
        <v>4983</v>
      </c>
      <c r="Y150" s="1101" t="s">
        <v>4984</v>
      </c>
      <c r="Z150" s="1102" t="s">
        <v>5156</v>
      </c>
    </row>
    <row r="151" spans="2:26" ht="12.75" customHeight="1" x14ac:dyDescent="0.2">
      <c r="B151" s="2090" t="str">
        <f t="shared" si="2"/>
        <v>Destrucción56</v>
      </c>
      <c r="C151" s="1103"/>
      <c r="D151" s="521" t="s">
        <v>398</v>
      </c>
      <c r="E151" s="1099" t="s">
        <v>2027</v>
      </c>
      <c r="F151" s="1099">
        <v>56</v>
      </c>
      <c r="G151" s="1108" t="s">
        <v>3010</v>
      </c>
      <c r="H151" s="1108" t="s">
        <v>1536</v>
      </c>
      <c r="I151" s="1109" t="s">
        <v>1606</v>
      </c>
      <c r="J151" s="1099">
        <v>7</v>
      </c>
      <c r="K151" s="1099">
        <v>9</v>
      </c>
      <c r="L151" s="1099">
        <v>12</v>
      </c>
      <c r="M151" s="1104">
        <v>15</v>
      </c>
      <c r="N151" s="1099">
        <v>80</v>
      </c>
      <c r="O151" s="1099">
        <v>180</v>
      </c>
      <c r="P151" s="1099">
        <v>300</v>
      </c>
      <c r="Q151" s="1104">
        <v>500</v>
      </c>
      <c r="R151" s="1099">
        <v>15</v>
      </c>
      <c r="S151" s="1099">
        <v>20</v>
      </c>
      <c r="T151" s="1099">
        <v>25</v>
      </c>
      <c r="U151" s="1104">
        <v>30</v>
      </c>
      <c r="V151" s="1101" t="s">
        <v>4968</v>
      </c>
      <c r="W151" s="1101" t="s">
        <v>4864</v>
      </c>
      <c r="X151" s="1101" t="s">
        <v>4865</v>
      </c>
      <c r="Y151" s="1101" t="s">
        <v>4866</v>
      </c>
      <c r="Z151" s="1102" t="s">
        <v>5157</v>
      </c>
    </row>
    <row r="152" spans="2:26" ht="12.75" customHeight="1" x14ac:dyDescent="0.2">
      <c r="B152" s="2090" t="str">
        <f t="shared" si="2"/>
        <v>Destrucción58</v>
      </c>
      <c r="C152" s="1103"/>
      <c r="D152" s="521" t="s">
        <v>399</v>
      </c>
      <c r="E152" s="1095" t="s">
        <v>2027</v>
      </c>
      <c r="F152" s="1095">
        <v>58</v>
      </c>
      <c r="G152" s="1108" t="s">
        <v>1690</v>
      </c>
      <c r="H152" s="1108" t="s">
        <v>1535</v>
      </c>
      <c r="I152" s="1109" t="s">
        <v>1606</v>
      </c>
      <c r="J152" s="1099">
        <v>7</v>
      </c>
      <c r="K152" s="1099">
        <v>10</v>
      </c>
      <c r="L152" s="1099">
        <v>13</v>
      </c>
      <c r="M152" s="1104">
        <v>16</v>
      </c>
      <c r="N152" s="1099">
        <v>100</v>
      </c>
      <c r="O152" s="1099">
        <v>180</v>
      </c>
      <c r="P152" s="1099">
        <v>240</v>
      </c>
      <c r="Q152" s="1104">
        <v>300</v>
      </c>
      <c r="R152" s="1099">
        <v>10</v>
      </c>
      <c r="S152" s="1099">
        <v>15</v>
      </c>
      <c r="T152" s="1099">
        <v>25</v>
      </c>
      <c r="U152" s="1104">
        <v>30</v>
      </c>
      <c r="V152" s="1101" t="s">
        <v>4968</v>
      </c>
      <c r="W152" s="1101" t="s">
        <v>4864</v>
      </c>
      <c r="X152" s="1101" t="s">
        <v>4865</v>
      </c>
      <c r="Y152" s="1101" t="s">
        <v>4866</v>
      </c>
      <c r="Z152" s="1102" t="s">
        <v>5158</v>
      </c>
    </row>
    <row r="153" spans="2:26" ht="12.75" customHeight="1" x14ac:dyDescent="0.2">
      <c r="B153" s="2090" t="str">
        <f t="shared" si="2"/>
        <v>Destrucción60</v>
      </c>
      <c r="C153" s="1103"/>
      <c r="D153" s="521" t="s">
        <v>400</v>
      </c>
      <c r="E153" s="1095" t="s">
        <v>2027</v>
      </c>
      <c r="F153" s="1095">
        <v>60</v>
      </c>
      <c r="G153" s="1108" t="s">
        <v>1690</v>
      </c>
      <c r="H153" s="1108" t="s">
        <v>1535</v>
      </c>
      <c r="I153" s="1109" t="s">
        <v>1606</v>
      </c>
      <c r="J153" s="1099">
        <v>7</v>
      </c>
      <c r="K153" s="1099">
        <v>9</v>
      </c>
      <c r="L153" s="1099">
        <v>12</v>
      </c>
      <c r="M153" s="1104">
        <v>15</v>
      </c>
      <c r="N153" s="1099">
        <v>140</v>
      </c>
      <c r="O153" s="1099">
        <v>180</v>
      </c>
      <c r="P153" s="1099">
        <v>240</v>
      </c>
      <c r="Q153" s="1104">
        <v>300</v>
      </c>
      <c r="R153" s="1099">
        <v>15</v>
      </c>
      <c r="S153" s="1099">
        <v>20</v>
      </c>
      <c r="T153" s="1099">
        <v>25</v>
      </c>
      <c r="U153" s="1104">
        <v>30</v>
      </c>
      <c r="V153" s="1101" t="s">
        <v>4968</v>
      </c>
      <c r="W153" s="1101" t="s">
        <v>4969</v>
      </c>
      <c r="X153" s="1101" t="s">
        <v>4697</v>
      </c>
      <c r="Y153" s="1101" t="s">
        <v>5159</v>
      </c>
      <c r="Z153" s="1102" t="s">
        <v>5160</v>
      </c>
    </row>
    <row r="154" spans="2:26" ht="12.75" customHeight="1" x14ac:dyDescent="0.2">
      <c r="B154" s="2090" t="str">
        <f t="shared" si="2"/>
        <v>Destrucción62</v>
      </c>
      <c r="C154" s="1103"/>
      <c r="D154" s="521" t="s">
        <v>401</v>
      </c>
      <c r="E154" s="1095" t="s">
        <v>2027</v>
      </c>
      <c r="F154" s="1095">
        <v>62</v>
      </c>
      <c r="G154" s="1108" t="s">
        <v>1690</v>
      </c>
      <c r="H154" s="1108" t="s">
        <v>1534</v>
      </c>
      <c r="I154" s="1109" t="s">
        <v>1606</v>
      </c>
      <c r="J154" s="1099">
        <v>8</v>
      </c>
      <c r="K154" s="1099">
        <v>10</v>
      </c>
      <c r="L154" s="1099">
        <v>13</v>
      </c>
      <c r="M154" s="1104">
        <v>16</v>
      </c>
      <c r="N154" s="1099">
        <v>150</v>
      </c>
      <c r="O154" s="1099">
        <v>300</v>
      </c>
      <c r="P154" s="1099">
        <v>450</v>
      </c>
      <c r="Q154" s="1104">
        <v>600</v>
      </c>
      <c r="R154" s="1099" t="s">
        <v>1690</v>
      </c>
      <c r="S154" s="1099" t="s">
        <v>1690</v>
      </c>
      <c r="T154" s="1099" t="s">
        <v>1690</v>
      </c>
      <c r="U154" s="1104" t="s">
        <v>1690</v>
      </c>
      <c r="V154" s="1101" t="s">
        <v>4803</v>
      </c>
      <c r="W154" s="1101" t="s">
        <v>5161</v>
      </c>
      <c r="X154" s="1101" t="s">
        <v>5162</v>
      </c>
      <c r="Y154" s="1101" t="s">
        <v>5163</v>
      </c>
      <c r="Z154" s="1102" t="s">
        <v>5164</v>
      </c>
    </row>
    <row r="155" spans="2:26" ht="12.75" customHeight="1" x14ac:dyDescent="0.2">
      <c r="B155" s="2090" t="str">
        <f t="shared" si="2"/>
        <v>Destrucción66</v>
      </c>
      <c r="C155" s="1103"/>
      <c r="D155" s="521" t="s">
        <v>402</v>
      </c>
      <c r="E155" s="1095" t="s">
        <v>2027</v>
      </c>
      <c r="F155" s="1095">
        <v>66</v>
      </c>
      <c r="G155" s="1108" t="s">
        <v>1690</v>
      </c>
      <c r="H155" s="1108" t="s">
        <v>1535</v>
      </c>
      <c r="I155" s="1109" t="s">
        <v>1606</v>
      </c>
      <c r="J155" s="1099">
        <v>8</v>
      </c>
      <c r="K155" s="1099">
        <v>10</v>
      </c>
      <c r="L155" s="1099">
        <v>13</v>
      </c>
      <c r="M155" s="1104">
        <v>16</v>
      </c>
      <c r="N155" s="1099">
        <v>160</v>
      </c>
      <c r="O155" s="1099">
        <v>200</v>
      </c>
      <c r="P155" s="1099">
        <v>240</v>
      </c>
      <c r="Q155" s="1104">
        <v>280</v>
      </c>
      <c r="R155" s="1099">
        <v>20</v>
      </c>
      <c r="S155" s="1099">
        <v>20</v>
      </c>
      <c r="T155" s="1099">
        <v>25</v>
      </c>
      <c r="U155" s="1104">
        <v>30</v>
      </c>
      <c r="V155" s="1101" t="s">
        <v>5165</v>
      </c>
      <c r="W155" s="1101" t="s">
        <v>5166</v>
      </c>
      <c r="X155" s="1101" t="s">
        <v>5167</v>
      </c>
      <c r="Y155" s="1101" t="s">
        <v>5168</v>
      </c>
      <c r="Z155" s="1102" t="s">
        <v>5169</v>
      </c>
    </row>
    <row r="156" spans="2:26" ht="12.75" customHeight="1" x14ac:dyDescent="0.2">
      <c r="B156" s="2090" t="str">
        <f t="shared" si="2"/>
        <v>Destrucción68</v>
      </c>
      <c r="C156" s="1103"/>
      <c r="D156" s="521" t="s">
        <v>403</v>
      </c>
      <c r="E156" s="1095" t="s">
        <v>2027</v>
      </c>
      <c r="F156" s="1095">
        <v>68</v>
      </c>
      <c r="G156" s="1108" t="s">
        <v>3010</v>
      </c>
      <c r="H156" s="1108" t="s">
        <v>4585</v>
      </c>
      <c r="I156" s="1109" t="s">
        <v>1606</v>
      </c>
      <c r="J156" s="1099">
        <v>9</v>
      </c>
      <c r="K156" s="1099">
        <v>12</v>
      </c>
      <c r="L156" s="1099">
        <v>14</v>
      </c>
      <c r="M156" s="1104">
        <v>16</v>
      </c>
      <c r="N156" s="1099">
        <v>200</v>
      </c>
      <c r="O156" s="1099">
        <v>300</v>
      </c>
      <c r="P156" s="1099">
        <v>400</v>
      </c>
      <c r="Q156" s="1104">
        <v>500</v>
      </c>
      <c r="R156" s="1099">
        <v>20</v>
      </c>
      <c r="S156" s="1099">
        <v>30</v>
      </c>
      <c r="T156" s="1099">
        <v>40</v>
      </c>
      <c r="U156" s="1104">
        <v>50</v>
      </c>
      <c r="V156" s="1101" t="s">
        <v>5170</v>
      </c>
      <c r="W156" s="1101" t="s">
        <v>5171</v>
      </c>
      <c r="X156" s="1101" t="s">
        <v>5172</v>
      </c>
      <c r="Y156" s="1101" t="s">
        <v>5173</v>
      </c>
      <c r="Z156" s="1102" t="s">
        <v>5174</v>
      </c>
    </row>
    <row r="157" spans="2:26" ht="12.75" customHeight="1" x14ac:dyDescent="0.2">
      <c r="B157" s="2090" t="str">
        <f t="shared" si="2"/>
        <v>Destrucción70</v>
      </c>
      <c r="C157" s="1103"/>
      <c r="D157" s="521" t="s">
        <v>404</v>
      </c>
      <c r="E157" s="1095" t="s">
        <v>2027</v>
      </c>
      <c r="F157" s="1095">
        <v>70</v>
      </c>
      <c r="G157" s="1108" t="s">
        <v>1690</v>
      </c>
      <c r="H157" s="1108" t="s">
        <v>1536</v>
      </c>
      <c r="I157" s="1109" t="s">
        <v>1606</v>
      </c>
      <c r="J157" s="1099">
        <v>9</v>
      </c>
      <c r="K157" s="1099">
        <v>12</v>
      </c>
      <c r="L157" s="1099">
        <v>14</v>
      </c>
      <c r="M157" s="1104">
        <v>16</v>
      </c>
      <c r="N157" s="1099">
        <v>150</v>
      </c>
      <c r="O157" s="1099">
        <v>200</v>
      </c>
      <c r="P157" s="1099">
        <v>250</v>
      </c>
      <c r="Q157" s="1104">
        <v>300</v>
      </c>
      <c r="R157" s="1099">
        <v>15</v>
      </c>
      <c r="S157" s="1099">
        <v>20</v>
      </c>
      <c r="T157" s="1099">
        <v>25</v>
      </c>
      <c r="U157" s="1104">
        <v>30</v>
      </c>
      <c r="V157" s="1101" t="s">
        <v>5175</v>
      </c>
      <c r="W157" s="1101" t="s">
        <v>5176</v>
      </c>
      <c r="X157" s="1101" t="s">
        <v>5177</v>
      </c>
      <c r="Y157" s="1101" t="s">
        <v>5178</v>
      </c>
      <c r="Z157" s="1102" t="s">
        <v>5179</v>
      </c>
    </row>
    <row r="158" spans="2:26" ht="12.75" customHeight="1" x14ac:dyDescent="0.2">
      <c r="B158" s="2090" t="str">
        <f t="shared" si="2"/>
        <v>Destrucción72</v>
      </c>
      <c r="C158" s="1103"/>
      <c r="D158" s="521" t="s">
        <v>405</v>
      </c>
      <c r="E158" s="1095" t="s">
        <v>2027</v>
      </c>
      <c r="F158" s="1095">
        <v>72</v>
      </c>
      <c r="G158" s="1108" t="s">
        <v>1690</v>
      </c>
      <c r="H158" s="1108" t="s">
        <v>1535</v>
      </c>
      <c r="I158" s="1109" t="s">
        <v>1606</v>
      </c>
      <c r="J158" s="1099">
        <v>10</v>
      </c>
      <c r="K158" s="1099">
        <v>12</v>
      </c>
      <c r="L158" s="1099">
        <v>14</v>
      </c>
      <c r="M158" s="1104">
        <v>16</v>
      </c>
      <c r="N158" s="1099">
        <v>200</v>
      </c>
      <c r="O158" s="1099">
        <v>250</v>
      </c>
      <c r="P158" s="1099">
        <v>300</v>
      </c>
      <c r="Q158" s="1104">
        <v>350</v>
      </c>
      <c r="R158" s="1099" t="s">
        <v>1690</v>
      </c>
      <c r="S158" s="1099" t="s">
        <v>1690</v>
      </c>
      <c r="T158" s="1099" t="s">
        <v>1690</v>
      </c>
      <c r="U158" s="1104" t="s">
        <v>1690</v>
      </c>
      <c r="V158" s="1101" t="s">
        <v>5180</v>
      </c>
      <c r="W158" s="1101" t="s">
        <v>5181</v>
      </c>
      <c r="X158" s="1101" t="s">
        <v>5182</v>
      </c>
      <c r="Y158" s="1101" t="s">
        <v>5183</v>
      </c>
      <c r="Z158" s="1102" t="s">
        <v>5184</v>
      </c>
    </row>
    <row r="159" spans="2:26" ht="12.75" customHeight="1" x14ac:dyDescent="0.2">
      <c r="B159" s="2090" t="str">
        <f t="shared" si="2"/>
        <v>Destrucción76</v>
      </c>
      <c r="C159" s="1103"/>
      <c r="D159" s="521" t="s">
        <v>406</v>
      </c>
      <c r="E159" s="1095" t="s">
        <v>2027</v>
      </c>
      <c r="F159" s="1095">
        <v>76</v>
      </c>
      <c r="G159" s="1108" t="s">
        <v>3010</v>
      </c>
      <c r="H159" s="1108" t="s">
        <v>4585</v>
      </c>
      <c r="I159" s="1109" t="s">
        <v>1606</v>
      </c>
      <c r="J159" s="1099">
        <v>9</v>
      </c>
      <c r="K159" s="1099">
        <v>12</v>
      </c>
      <c r="L159" s="1099">
        <v>15</v>
      </c>
      <c r="M159" s="1104">
        <v>17</v>
      </c>
      <c r="N159" s="1099">
        <v>250</v>
      </c>
      <c r="O159" s="1099">
        <v>360</v>
      </c>
      <c r="P159" s="1099">
        <v>450</v>
      </c>
      <c r="Q159" s="1104">
        <v>600</v>
      </c>
      <c r="R159" s="1099">
        <v>25</v>
      </c>
      <c r="S159" s="1099">
        <v>40</v>
      </c>
      <c r="T159" s="1099">
        <v>45</v>
      </c>
      <c r="U159" s="1104">
        <v>55</v>
      </c>
      <c r="V159" s="1101" t="s">
        <v>5185</v>
      </c>
      <c r="W159" s="1101" t="s">
        <v>5186</v>
      </c>
      <c r="X159" s="1101" t="s">
        <v>5187</v>
      </c>
      <c r="Y159" s="1101" t="s">
        <v>5188</v>
      </c>
      <c r="Z159" s="1102" t="s">
        <v>5189</v>
      </c>
    </row>
    <row r="160" spans="2:26" ht="12.75" customHeight="1" x14ac:dyDescent="0.2">
      <c r="B160" s="2090" t="str">
        <f t="shared" si="2"/>
        <v>Destrucción78</v>
      </c>
      <c r="C160" s="1103"/>
      <c r="D160" s="521" t="s">
        <v>407</v>
      </c>
      <c r="E160" s="1095" t="s">
        <v>2027</v>
      </c>
      <c r="F160" s="1095">
        <v>78</v>
      </c>
      <c r="G160" s="1108" t="s">
        <v>1690</v>
      </c>
      <c r="H160" s="1108" t="s">
        <v>1535</v>
      </c>
      <c r="I160" s="1109" t="s">
        <v>1606</v>
      </c>
      <c r="J160" s="1099">
        <v>8</v>
      </c>
      <c r="K160" s="1099">
        <v>10</v>
      </c>
      <c r="L160" s="1099">
        <v>12</v>
      </c>
      <c r="M160" s="1104">
        <v>15</v>
      </c>
      <c r="N160" s="1099">
        <v>150</v>
      </c>
      <c r="O160" s="1099">
        <v>250</v>
      </c>
      <c r="P160" s="1099">
        <v>350</v>
      </c>
      <c r="Q160" s="1104">
        <v>500</v>
      </c>
      <c r="R160" s="1099" t="s">
        <v>1690</v>
      </c>
      <c r="S160" s="1099" t="s">
        <v>1690</v>
      </c>
      <c r="T160" s="1099" t="s">
        <v>1690</v>
      </c>
      <c r="U160" s="1104" t="s">
        <v>1690</v>
      </c>
      <c r="V160" s="1101" t="s">
        <v>5190</v>
      </c>
      <c r="W160" s="1101" t="s">
        <v>5191</v>
      </c>
      <c r="X160" s="1101" t="s">
        <v>5192</v>
      </c>
      <c r="Y160" s="1101" t="s">
        <v>5193</v>
      </c>
      <c r="Z160" s="1102" t="s">
        <v>5194</v>
      </c>
    </row>
    <row r="161" spans="2:26" ht="12.75" customHeight="1" x14ac:dyDescent="0.2">
      <c r="B161" s="2090" t="str">
        <f t="shared" si="2"/>
        <v>Destrucción80</v>
      </c>
      <c r="C161" s="1103"/>
      <c r="D161" s="521" t="s">
        <v>408</v>
      </c>
      <c r="E161" s="1095" t="s">
        <v>2027</v>
      </c>
      <c r="F161" s="1095">
        <v>80</v>
      </c>
      <c r="G161" s="1108" t="s">
        <v>1690</v>
      </c>
      <c r="H161" s="1108" t="s">
        <v>1535</v>
      </c>
      <c r="I161" s="1109" t="s">
        <v>1606</v>
      </c>
      <c r="J161" s="1099">
        <v>12</v>
      </c>
      <c r="K161" s="1099">
        <v>14</v>
      </c>
      <c r="L161" s="1099">
        <v>16</v>
      </c>
      <c r="M161" s="1104">
        <v>18</v>
      </c>
      <c r="N161" s="1099">
        <v>350</v>
      </c>
      <c r="O161" s="1099">
        <v>500</v>
      </c>
      <c r="P161" s="1099">
        <v>600</v>
      </c>
      <c r="Q161" s="1104">
        <v>800</v>
      </c>
      <c r="R161" s="1099" t="s">
        <v>1690</v>
      </c>
      <c r="S161" s="1099" t="s">
        <v>1690</v>
      </c>
      <c r="T161" s="1099" t="s">
        <v>1690</v>
      </c>
      <c r="U161" s="1104" t="s">
        <v>1690</v>
      </c>
      <c r="V161" s="1101" t="s">
        <v>5195</v>
      </c>
      <c r="W161" s="1101" t="s">
        <v>5196</v>
      </c>
      <c r="X161" s="1101" t="s">
        <v>5197</v>
      </c>
      <c r="Y161" s="1101" t="s">
        <v>5198</v>
      </c>
      <c r="Z161" s="1102" t="s">
        <v>5199</v>
      </c>
    </row>
    <row r="162" spans="2:26" ht="12.75" customHeight="1" x14ac:dyDescent="0.2">
      <c r="B162" s="2090" t="str">
        <f t="shared" si="2"/>
        <v>Destrucción82</v>
      </c>
      <c r="C162" s="1103"/>
      <c r="D162" s="521" t="s">
        <v>409</v>
      </c>
      <c r="E162" s="1095" t="s">
        <v>2027</v>
      </c>
      <c r="F162" s="1095">
        <v>82</v>
      </c>
      <c r="G162" s="1108" t="s">
        <v>1690</v>
      </c>
      <c r="H162" s="1108" t="s">
        <v>1534</v>
      </c>
      <c r="I162" s="1109" t="s">
        <v>1606</v>
      </c>
      <c r="J162" s="1099">
        <v>10</v>
      </c>
      <c r="K162" s="1099">
        <v>13</v>
      </c>
      <c r="L162" s="1099">
        <v>15</v>
      </c>
      <c r="M162" s="1104">
        <v>17</v>
      </c>
      <c r="N162" s="1099">
        <v>250</v>
      </c>
      <c r="O162" s="1099">
        <v>350</v>
      </c>
      <c r="P162" s="1099">
        <v>450</v>
      </c>
      <c r="Q162" s="1104">
        <v>600</v>
      </c>
      <c r="R162" s="1099" t="s">
        <v>1690</v>
      </c>
      <c r="S162" s="1099" t="s">
        <v>1690</v>
      </c>
      <c r="T162" s="1099" t="s">
        <v>1690</v>
      </c>
      <c r="U162" s="1104" t="s">
        <v>1690</v>
      </c>
      <c r="V162" s="1101" t="s">
        <v>5200</v>
      </c>
      <c r="W162" s="1101" t="s">
        <v>5201</v>
      </c>
      <c r="X162" s="1101" t="s">
        <v>5202</v>
      </c>
      <c r="Y162" s="1101" t="s">
        <v>5203</v>
      </c>
      <c r="Z162" s="1102" t="s">
        <v>5204</v>
      </c>
    </row>
    <row r="163" spans="2:26" ht="12.75" customHeight="1" x14ac:dyDescent="0.2">
      <c r="B163" s="2090" t="str">
        <f t="shared" si="2"/>
        <v>Destrucción86</v>
      </c>
      <c r="C163" s="1103"/>
      <c r="D163" s="521" t="s">
        <v>410</v>
      </c>
      <c r="E163" s="1095" t="s">
        <v>2027</v>
      </c>
      <c r="F163" s="1095">
        <v>86</v>
      </c>
      <c r="G163" s="1108" t="s">
        <v>1690</v>
      </c>
      <c r="H163" s="1108" t="s">
        <v>1536</v>
      </c>
      <c r="I163" s="1109" t="s">
        <v>1606</v>
      </c>
      <c r="J163" s="1099">
        <v>10</v>
      </c>
      <c r="K163" s="1099">
        <v>12</v>
      </c>
      <c r="L163" s="1099">
        <v>14</v>
      </c>
      <c r="M163" s="1104">
        <v>16</v>
      </c>
      <c r="N163" s="1099">
        <v>200</v>
      </c>
      <c r="O163" s="1099">
        <v>400</v>
      </c>
      <c r="P163" s="1099">
        <v>600</v>
      </c>
      <c r="Q163" s="1104">
        <v>700</v>
      </c>
      <c r="R163" s="1099" t="s">
        <v>1690</v>
      </c>
      <c r="S163" s="1099" t="s">
        <v>1690</v>
      </c>
      <c r="T163" s="1099" t="s">
        <v>1690</v>
      </c>
      <c r="U163" s="1104" t="s">
        <v>1690</v>
      </c>
      <c r="V163" s="1101" t="s">
        <v>5205</v>
      </c>
      <c r="W163" s="1101" t="s">
        <v>5206</v>
      </c>
      <c r="X163" s="1101" t="s">
        <v>5207</v>
      </c>
      <c r="Y163" s="1101" t="s">
        <v>5208</v>
      </c>
      <c r="Z163" s="1102" t="s">
        <v>5209</v>
      </c>
    </row>
    <row r="164" spans="2:26" ht="12.75" customHeight="1" x14ac:dyDescent="0.2">
      <c r="B164" s="2090" t="str">
        <f t="shared" si="2"/>
        <v>Destrucción88</v>
      </c>
      <c r="C164" s="1103"/>
      <c r="D164" s="521" t="s">
        <v>411</v>
      </c>
      <c r="E164" s="1095" t="s">
        <v>2027</v>
      </c>
      <c r="F164" s="1095">
        <v>88</v>
      </c>
      <c r="G164" s="1108" t="s">
        <v>3010</v>
      </c>
      <c r="H164" s="1108" t="s">
        <v>1536</v>
      </c>
      <c r="I164" s="1109" t="s">
        <v>1606</v>
      </c>
      <c r="J164" s="1099">
        <v>12</v>
      </c>
      <c r="K164" s="1099">
        <v>14</v>
      </c>
      <c r="L164" s="1099">
        <v>16</v>
      </c>
      <c r="M164" s="1104">
        <v>18</v>
      </c>
      <c r="N164" s="1099">
        <v>300</v>
      </c>
      <c r="O164" s="1099">
        <v>600</v>
      </c>
      <c r="P164" s="1099">
        <v>1000</v>
      </c>
      <c r="Q164" s="1104">
        <v>2000</v>
      </c>
      <c r="R164" s="1099">
        <v>15</v>
      </c>
      <c r="S164" s="1099">
        <v>30</v>
      </c>
      <c r="T164" s="1099">
        <v>50</v>
      </c>
      <c r="U164" s="1104">
        <v>100</v>
      </c>
      <c r="V164" s="1101" t="s">
        <v>5210</v>
      </c>
      <c r="W164" s="1101" t="s">
        <v>5211</v>
      </c>
      <c r="X164" s="1101" t="s">
        <v>5212</v>
      </c>
      <c r="Y164" s="1101" t="s">
        <v>5213</v>
      </c>
      <c r="Z164" s="1102" t="s">
        <v>5214</v>
      </c>
    </row>
    <row r="165" spans="2:26" ht="12.75" customHeight="1" x14ac:dyDescent="0.2">
      <c r="B165" s="2090" t="str">
        <f t="shared" si="2"/>
        <v>Destrucción90</v>
      </c>
      <c r="C165" s="1103"/>
      <c r="D165" s="521" t="s">
        <v>412</v>
      </c>
      <c r="E165" s="1095" t="s">
        <v>2027</v>
      </c>
      <c r="F165" s="1095">
        <v>90</v>
      </c>
      <c r="G165" s="1108" t="s">
        <v>1690</v>
      </c>
      <c r="H165" s="1108" t="s">
        <v>1536</v>
      </c>
      <c r="I165" s="1109" t="s">
        <v>1606</v>
      </c>
      <c r="J165" s="1099">
        <v>12</v>
      </c>
      <c r="K165" s="1099">
        <v>14</v>
      </c>
      <c r="L165" s="1099">
        <v>16</v>
      </c>
      <c r="M165" s="1104">
        <v>18</v>
      </c>
      <c r="N165" s="1099">
        <v>250</v>
      </c>
      <c r="O165" s="1099">
        <v>350</v>
      </c>
      <c r="P165" s="1099">
        <v>500</v>
      </c>
      <c r="Q165" s="1104">
        <v>800</v>
      </c>
      <c r="R165" s="1099">
        <v>25</v>
      </c>
      <c r="S165" s="1099">
        <v>40</v>
      </c>
      <c r="T165" s="1099">
        <v>45</v>
      </c>
      <c r="U165" s="1104">
        <v>55</v>
      </c>
      <c r="V165" s="1101" t="s">
        <v>5215</v>
      </c>
      <c r="W165" s="1101" t="s">
        <v>5216</v>
      </c>
      <c r="X165" s="1101" t="s">
        <v>5217</v>
      </c>
      <c r="Y165" s="1101" t="s">
        <v>5218</v>
      </c>
      <c r="Z165" s="1102" t="s">
        <v>5219</v>
      </c>
    </row>
    <row r="166" spans="2:26" ht="12.75" customHeight="1" x14ac:dyDescent="0.2">
      <c r="B166" s="2090" t="str">
        <f t="shared" si="2"/>
        <v>Destrucción92</v>
      </c>
      <c r="C166" s="1103"/>
      <c r="D166" s="521" t="s">
        <v>413</v>
      </c>
      <c r="E166" s="1095" t="s">
        <v>2027</v>
      </c>
      <c r="F166" s="1095">
        <v>92</v>
      </c>
      <c r="G166" s="1108" t="s">
        <v>1690</v>
      </c>
      <c r="H166" s="1108" t="s">
        <v>1536</v>
      </c>
      <c r="I166" s="1109" t="s">
        <v>1606</v>
      </c>
      <c r="J166" s="1099">
        <v>12</v>
      </c>
      <c r="K166" s="1099">
        <v>14</v>
      </c>
      <c r="L166" s="1099">
        <v>16</v>
      </c>
      <c r="M166" s="1104">
        <v>18</v>
      </c>
      <c r="N166" s="1099">
        <v>350</v>
      </c>
      <c r="O166" s="1099">
        <v>600</v>
      </c>
      <c r="P166" s="1099">
        <v>900</v>
      </c>
      <c r="Q166" s="1104">
        <v>1500</v>
      </c>
      <c r="R166" s="1099" t="s">
        <v>1690</v>
      </c>
      <c r="S166" s="1099" t="s">
        <v>1690</v>
      </c>
      <c r="T166" s="1099" t="s">
        <v>1690</v>
      </c>
      <c r="U166" s="1104" t="s">
        <v>1690</v>
      </c>
      <c r="V166" s="1101" t="s">
        <v>4780</v>
      </c>
      <c r="W166" s="1101" t="s">
        <v>4954</v>
      </c>
      <c r="X166" s="1101" t="s">
        <v>5220</v>
      </c>
      <c r="Y166" s="1101" t="s">
        <v>5033</v>
      </c>
      <c r="Z166" s="1102" t="s">
        <v>5221</v>
      </c>
    </row>
    <row r="167" spans="2:26" ht="12.75" customHeight="1" x14ac:dyDescent="0.2">
      <c r="B167" s="2090" t="str">
        <f t="shared" si="2"/>
        <v>Destrucción96</v>
      </c>
      <c r="C167" s="1103"/>
      <c r="D167" s="521" t="s">
        <v>414</v>
      </c>
      <c r="E167" s="1095" t="s">
        <v>2027</v>
      </c>
      <c r="F167" s="1095">
        <v>96</v>
      </c>
      <c r="G167" s="1108" t="s">
        <v>1690</v>
      </c>
      <c r="H167" s="1108" t="s">
        <v>4585</v>
      </c>
      <c r="I167" s="1109" t="s">
        <v>1606</v>
      </c>
      <c r="J167" s="1099">
        <v>13</v>
      </c>
      <c r="K167" s="1099">
        <v>15</v>
      </c>
      <c r="L167" s="1099">
        <v>17</v>
      </c>
      <c r="M167" s="1104">
        <v>19</v>
      </c>
      <c r="N167" s="1099">
        <v>500</v>
      </c>
      <c r="O167" s="1099">
        <v>800</v>
      </c>
      <c r="P167" s="1099">
        <v>1500</v>
      </c>
      <c r="Q167" s="1104">
        <v>2500</v>
      </c>
      <c r="R167" s="1099" t="s">
        <v>1690</v>
      </c>
      <c r="S167" s="1099" t="s">
        <v>1690</v>
      </c>
      <c r="T167" s="1099" t="s">
        <v>1690</v>
      </c>
      <c r="U167" s="1104" t="s">
        <v>1690</v>
      </c>
      <c r="V167" s="1101" t="s">
        <v>5222</v>
      </c>
      <c r="W167" s="1101" t="s">
        <v>5223</v>
      </c>
      <c r="X167" s="1101" t="s">
        <v>5224</v>
      </c>
      <c r="Y167" s="1101" t="s">
        <v>5225</v>
      </c>
      <c r="Z167" s="1102" t="s">
        <v>5226</v>
      </c>
    </row>
    <row r="168" spans="2:26" ht="12.75" customHeight="1" x14ac:dyDescent="0.2">
      <c r="B168" s="2090" t="str">
        <f t="shared" si="2"/>
        <v>Destrucción98</v>
      </c>
      <c r="C168" s="1103"/>
      <c r="D168" s="521" t="s">
        <v>415</v>
      </c>
      <c r="E168" s="1095" t="s">
        <v>2027</v>
      </c>
      <c r="F168" s="1095">
        <v>98</v>
      </c>
      <c r="G168" s="1108" t="s">
        <v>3010</v>
      </c>
      <c r="H168" s="1108" t="s">
        <v>4585</v>
      </c>
      <c r="I168" s="1109" t="s">
        <v>1606</v>
      </c>
      <c r="J168" s="1099">
        <v>14</v>
      </c>
      <c r="K168" s="1099">
        <v>16</v>
      </c>
      <c r="L168" s="1099">
        <v>18</v>
      </c>
      <c r="M168" s="1104">
        <v>20</v>
      </c>
      <c r="N168" s="1099">
        <v>700</v>
      </c>
      <c r="O168" s="1099">
        <v>1200</v>
      </c>
      <c r="P168" s="1099">
        <v>2000</v>
      </c>
      <c r="Q168" s="1104">
        <v>5000</v>
      </c>
      <c r="R168" s="1099">
        <v>70</v>
      </c>
      <c r="S168" s="1099">
        <v>80</v>
      </c>
      <c r="T168" s="1099">
        <v>90</v>
      </c>
      <c r="U168" s="1104">
        <v>100</v>
      </c>
      <c r="V168" s="1101" t="s">
        <v>5227</v>
      </c>
      <c r="W168" s="1101" t="s">
        <v>5228</v>
      </c>
      <c r="X168" s="1101" t="s">
        <v>5229</v>
      </c>
      <c r="Y168" s="1101" t="s">
        <v>5230</v>
      </c>
      <c r="Z168" s="1102" t="s">
        <v>5231</v>
      </c>
    </row>
    <row r="169" spans="2:26" ht="12.75" customHeight="1" x14ac:dyDescent="0.2">
      <c r="B169" s="2090" t="str">
        <f t="shared" si="2"/>
        <v>Destrucción100</v>
      </c>
      <c r="C169" s="1103"/>
      <c r="D169" s="521" t="s">
        <v>416</v>
      </c>
      <c r="E169" s="1095" t="s">
        <v>2027</v>
      </c>
      <c r="F169" s="1095">
        <v>100</v>
      </c>
      <c r="G169" s="1108" t="s">
        <v>1690</v>
      </c>
      <c r="H169" s="1108" t="s">
        <v>4585</v>
      </c>
      <c r="I169" s="1109" t="s">
        <v>1606</v>
      </c>
      <c r="J169" s="1099">
        <v>17</v>
      </c>
      <c r="K169" s="1099">
        <v>18</v>
      </c>
      <c r="L169" s="1099">
        <v>19</v>
      </c>
      <c r="M169" s="1104">
        <v>20</v>
      </c>
      <c r="N169" s="1099">
        <v>1000</v>
      </c>
      <c r="O169" s="1099">
        <v>2500</v>
      </c>
      <c r="P169" s="1099">
        <v>5000</v>
      </c>
      <c r="Q169" s="1104">
        <v>10000</v>
      </c>
      <c r="R169" s="1099" t="s">
        <v>1690</v>
      </c>
      <c r="S169" s="1099" t="s">
        <v>1690</v>
      </c>
      <c r="T169" s="1099" t="s">
        <v>1690</v>
      </c>
      <c r="U169" s="1104" t="s">
        <v>1690</v>
      </c>
      <c r="V169" s="1101" t="s">
        <v>4969</v>
      </c>
      <c r="W169" s="1101" t="s">
        <v>4864</v>
      </c>
      <c r="X169" s="1101" t="s">
        <v>4865</v>
      </c>
      <c r="Y169" s="1101" t="s">
        <v>4866</v>
      </c>
      <c r="Z169" s="1102" t="s">
        <v>5232</v>
      </c>
    </row>
    <row r="170" spans="2:26" ht="12.75" customHeight="1" x14ac:dyDescent="0.2">
      <c r="B170" s="2090" t="str">
        <f t="shared" si="2"/>
        <v/>
      </c>
      <c r="C170" s="1103"/>
      <c r="D170" s="521" t="s">
        <v>417</v>
      </c>
      <c r="E170" s="1095"/>
      <c r="F170" s="1095"/>
      <c r="G170" s="1108"/>
      <c r="H170" s="1108"/>
      <c r="I170" s="1109"/>
      <c r="J170" s="1099"/>
      <c r="K170" s="1099"/>
      <c r="L170" s="1099"/>
      <c r="M170" s="1104"/>
      <c r="N170" s="1099"/>
      <c r="O170" s="1099"/>
      <c r="P170" s="1099"/>
      <c r="Q170" s="1104"/>
      <c r="R170" s="1099"/>
      <c r="S170" s="1099"/>
      <c r="T170" s="1099"/>
      <c r="U170" s="1104"/>
      <c r="V170" s="1101"/>
      <c r="W170" s="1101"/>
      <c r="X170" s="1101"/>
      <c r="Y170" s="1101"/>
      <c r="Z170" s="1102"/>
    </row>
    <row r="171" spans="2:26" ht="12.75" customHeight="1" x14ac:dyDescent="0.2">
      <c r="B171" s="2090" t="str">
        <f t="shared" si="2"/>
        <v>Aire2</v>
      </c>
      <c r="C171" s="1103"/>
      <c r="D171" s="521" t="s">
        <v>418</v>
      </c>
      <c r="E171" s="1095" t="s">
        <v>1922</v>
      </c>
      <c r="F171" s="1095">
        <v>2</v>
      </c>
      <c r="G171" s="1108" t="s">
        <v>1690</v>
      </c>
      <c r="H171" s="1108" t="s">
        <v>1536</v>
      </c>
      <c r="I171" s="1109" t="s">
        <v>1606</v>
      </c>
      <c r="J171" s="1099">
        <v>5</v>
      </c>
      <c r="K171" s="1099">
        <v>8</v>
      </c>
      <c r="L171" s="1099">
        <v>10</v>
      </c>
      <c r="M171" s="1104">
        <v>12</v>
      </c>
      <c r="N171" s="1099">
        <v>30</v>
      </c>
      <c r="O171" s="1099">
        <v>60</v>
      </c>
      <c r="P171" s="1099">
        <v>90</v>
      </c>
      <c r="Q171" s="1104">
        <v>120</v>
      </c>
      <c r="R171" s="1099">
        <v>5</v>
      </c>
      <c r="S171" s="1099">
        <v>10</v>
      </c>
      <c r="T171" s="1099">
        <v>10</v>
      </c>
      <c r="U171" s="1104">
        <v>15</v>
      </c>
      <c r="V171" s="1101" t="s">
        <v>5233</v>
      </c>
      <c r="W171" s="1101" t="s">
        <v>5234</v>
      </c>
      <c r="X171" s="1101" t="s">
        <v>5235</v>
      </c>
      <c r="Y171" s="1101" t="s">
        <v>5236</v>
      </c>
      <c r="Z171" s="1102" t="s">
        <v>5237</v>
      </c>
    </row>
    <row r="172" spans="2:26" ht="12.75" customHeight="1" x14ac:dyDescent="0.2">
      <c r="B172" s="2090" t="str">
        <f t="shared" si="2"/>
        <v>Aire6</v>
      </c>
      <c r="C172" s="1103"/>
      <c r="D172" s="521" t="s">
        <v>419</v>
      </c>
      <c r="E172" s="1095" t="s">
        <v>1922</v>
      </c>
      <c r="F172" s="1095">
        <v>6</v>
      </c>
      <c r="G172" s="1108" t="s">
        <v>2446</v>
      </c>
      <c r="H172" s="1108" t="s">
        <v>1536</v>
      </c>
      <c r="I172" s="1109" t="s">
        <v>1606</v>
      </c>
      <c r="J172" s="1099">
        <v>5</v>
      </c>
      <c r="K172" s="1099">
        <v>8</v>
      </c>
      <c r="L172" s="1099">
        <v>10</v>
      </c>
      <c r="M172" s="1104">
        <v>12</v>
      </c>
      <c r="N172" s="1099">
        <v>30</v>
      </c>
      <c r="O172" s="1099">
        <v>60</v>
      </c>
      <c r="P172" s="1099">
        <v>90</v>
      </c>
      <c r="Q172" s="1104">
        <v>120</v>
      </c>
      <c r="R172" s="1099">
        <v>5</v>
      </c>
      <c r="S172" s="1099">
        <v>10</v>
      </c>
      <c r="T172" s="1099">
        <v>10</v>
      </c>
      <c r="U172" s="1104">
        <v>15</v>
      </c>
      <c r="V172" s="1101" t="s">
        <v>5238</v>
      </c>
      <c r="W172" s="1101" t="s">
        <v>5239</v>
      </c>
      <c r="X172" s="1101" t="s">
        <v>5240</v>
      </c>
      <c r="Y172" s="1101" t="s">
        <v>5241</v>
      </c>
      <c r="Z172" s="1102" t="s">
        <v>5242</v>
      </c>
    </row>
    <row r="173" spans="2:26" ht="12.75" customHeight="1" x14ac:dyDescent="0.2">
      <c r="B173" s="2090" t="str">
        <f t="shared" si="2"/>
        <v>Aire10</v>
      </c>
      <c r="C173" s="1103"/>
      <c r="D173" s="521" t="s">
        <v>420</v>
      </c>
      <c r="E173" s="1095" t="s">
        <v>1922</v>
      </c>
      <c r="F173" s="1095">
        <v>10</v>
      </c>
      <c r="G173" s="1108" t="s">
        <v>2446</v>
      </c>
      <c r="H173" s="1108" t="s">
        <v>1536</v>
      </c>
      <c r="I173" s="1109" t="s">
        <v>1606</v>
      </c>
      <c r="J173" s="1099">
        <v>5</v>
      </c>
      <c r="K173" s="1099">
        <v>8</v>
      </c>
      <c r="L173" s="1099">
        <v>10</v>
      </c>
      <c r="M173" s="1104">
        <v>12</v>
      </c>
      <c r="N173" s="1099">
        <v>40</v>
      </c>
      <c r="O173" s="1099">
        <v>140</v>
      </c>
      <c r="P173" s="1099">
        <v>240</v>
      </c>
      <c r="Q173" s="1104">
        <v>350</v>
      </c>
      <c r="R173" s="1099">
        <v>2</v>
      </c>
      <c r="S173" s="1099">
        <v>15</v>
      </c>
      <c r="T173" s="1099">
        <v>25</v>
      </c>
      <c r="U173" s="1104">
        <v>35</v>
      </c>
      <c r="V173" s="1101" t="s">
        <v>5243</v>
      </c>
      <c r="W173" s="1101" t="s">
        <v>5244</v>
      </c>
      <c r="X173" s="1101" t="s">
        <v>5245</v>
      </c>
      <c r="Y173" s="1101" t="s">
        <v>5246</v>
      </c>
      <c r="Z173" s="1102" t="s">
        <v>5247</v>
      </c>
    </row>
    <row r="174" spans="2:26" ht="12.75" customHeight="1" x14ac:dyDescent="0.2">
      <c r="B174" s="2090" t="str">
        <f t="shared" si="2"/>
        <v>Aire12</v>
      </c>
      <c r="C174" s="1103"/>
      <c r="D174" s="521" t="s">
        <v>421</v>
      </c>
      <c r="E174" s="1095" t="s">
        <v>1922</v>
      </c>
      <c r="F174" s="1095">
        <v>12</v>
      </c>
      <c r="G174" s="1108" t="s">
        <v>2446</v>
      </c>
      <c r="H174" s="1108" t="s">
        <v>1536</v>
      </c>
      <c r="I174" s="1109" t="s">
        <v>1607</v>
      </c>
      <c r="J174" s="1099">
        <v>6</v>
      </c>
      <c r="K174" s="1099">
        <v>8</v>
      </c>
      <c r="L174" s="1099">
        <v>10</v>
      </c>
      <c r="M174" s="1104">
        <v>12</v>
      </c>
      <c r="N174" s="1099">
        <v>40</v>
      </c>
      <c r="O174" s="1099">
        <v>80</v>
      </c>
      <c r="P174" s="1099">
        <v>110</v>
      </c>
      <c r="Q174" s="1104">
        <v>150</v>
      </c>
      <c r="R174" s="1099">
        <v>5</v>
      </c>
      <c r="S174" s="1099">
        <v>10</v>
      </c>
      <c r="T174" s="1099">
        <v>10</v>
      </c>
      <c r="U174" s="1104">
        <v>15</v>
      </c>
      <c r="V174" s="1101" t="s">
        <v>5248</v>
      </c>
      <c r="W174" s="1101" t="s">
        <v>5249</v>
      </c>
      <c r="X174" s="1101" t="s">
        <v>5250</v>
      </c>
      <c r="Y174" s="1101" t="s">
        <v>5251</v>
      </c>
      <c r="Z174" s="1102" t="s">
        <v>5252</v>
      </c>
    </row>
    <row r="175" spans="2:26" ht="12.75" customHeight="1" x14ac:dyDescent="0.2">
      <c r="B175" s="2090" t="str">
        <f t="shared" si="2"/>
        <v>Aire16</v>
      </c>
      <c r="C175" s="1103"/>
      <c r="D175" s="521" t="s">
        <v>422</v>
      </c>
      <c r="E175" s="1095" t="s">
        <v>1922</v>
      </c>
      <c r="F175" s="1095">
        <v>16</v>
      </c>
      <c r="G175" s="1108" t="s">
        <v>1690</v>
      </c>
      <c r="H175" s="1108" t="s">
        <v>1536</v>
      </c>
      <c r="I175" s="1109" t="s">
        <v>1606</v>
      </c>
      <c r="J175" s="1099">
        <v>6</v>
      </c>
      <c r="K175" s="1099">
        <v>8</v>
      </c>
      <c r="L175" s="1099">
        <v>10</v>
      </c>
      <c r="M175" s="1104">
        <v>12</v>
      </c>
      <c r="N175" s="1099">
        <v>50</v>
      </c>
      <c r="O175" s="1099">
        <v>80</v>
      </c>
      <c r="P175" s="1099">
        <v>110</v>
      </c>
      <c r="Q175" s="1104">
        <v>150</v>
      </c>
      <c r="R175" s="1099">
        <v>5</v>
      </c>
      <c r="S175" s="1099">
        <v>10</v>
      </c>
      <c r="T175" s="1099">
        <v>10</v>
      </c>
      <c r="U175" s="1104">
        <v>15</v>
      </c>
      <c r="V175" s="1101" t="s">
        <v>5248</v>
      </c>
      <c r="W175" s="1101" t="s">
        <v>5253</v>
      </c>
      <c r="X175" s="1101" t="s">
        <v>5254</v>
      </c>
      <c r="Y175" s="1101" t="s">
        <v>5255</v>
      </c>
      <c r="Z175" s="1102" t="s">
        <v>5256</v>
      </c>
    </row>
    <row r="176" spans="2:26" ht="12.75" customHeight="1" x14ac:dyDescent="0.2">
      <c r="B176" s="2090" t="str">
        <f t="shared" si="2"/>
        <v>Aire20</v>
      </c>
      <c r="C176" s="1103"/>
      <c r="D176" s="521" t="s">
        <v>423</v>
      </c>
      <c r="E176" s="1095" t="s">
        <v>1922</v>
      </c>
      <c r="F176" s="1095">
        <v>20</v>
      </c>
      <c r="G176" s="1108" t="s">
        <v>1690</v>
      </c>
      <c r="H176" s="1108" t="s">
        <v>1534</v>
      </c>
      <c r="I176" s="1109" t="s">
        <v>1606</v>
      </c>
      <c r="J176" s="1099">
        <v>6</v>
      </c>
      <c r="K176" s="1099">
        <v>9</v>
      </c>
      <c r="L176" s="1099">
        <v>11</v>
      </c>
      <c r="M176" s="1104">
        <v>13</v>
      </c>
      <c r="N176" s="1099">
        <v>40</v>
      </c>
      <c r="O176" s="1099">
        <v>80</v>
      </c>
      <c r="P176" s="1099">
        <v>140</v>
      </c>
      <c r="Q176" s="1104">
        <v>200</v>
      </c>
      <c r="R176" s="1099" t="s">
        <v>1690</v>
      </c>
      <c r="S176" s="1099" t="s">
        <v>1690</v>
      </c>
      <c r="T176" s="1099" t="s">
        <v>1690</v>
      </c>
      <c r="U176" s="1104" t="s">
        <v>1690</v>
      </c>
      <c r="V176" s="1101" t="s">
        <v>5257</v>
      </c>
      <c r="W176" s="1101" t="s">
        <v>5258</v>
      </c>
      <c r="X176" s="1101" t="s">
        <v>5259</v>
      </c>
      <c r="Y176" s="1101" t="s">
        <v>5260</v>
      </c>
      <c r="Z176" s="1102" t="s">
        <v>5261</v>
      </c>
    </row>
    <row r="177" spans="2:26" ht="12.75" customHeight="1" x14ac:dyDescent="0.2">
      <c r="B177" s="2090" t="str">
        <f t="shared" si="2"/>
        <v>Aire22</v>
      </c>
      <c r="C177" s="1103"/>
      <c r="D177" s="521" t="s">
        <v>424</v>
      </c>
      <c r="E177" s="1095" t="s">
        <v>1922</v>
      </c>
      <c r="F177" s="1095">
        <v>22</v>
      </c>
      <c r="G177" s="1108" t="s">
        <v>1690</v>
      </c>
      <c r="H177" s="1108" t="s">
        <v>1881</v>
      </c>
      <c r="I177" s="1109" t="s">
        <v>1607</v>
      </c>
      <c r="J177" s="1099">
        <v>6</v>
      </c>
      <c r="K177" s="1099">
        <v>8</v>
      </c>
      <c r="L177" s="1099">
        <v>10</v>
      </c>
      <c r="M177" s="1104">
        <v>14</v>
      </c>
      <c r="N177" s="1099">
        <v>50</v>
      </c>
      <c r="O177" s="1099">
        <v>160</v>
      </c>
      <c r="P177" s="1099">
        <v>200</v>
      </c>
      <c r="Q177" s="1104">
        <v>240</v>
      </c>
      <c r="R177" s="1099">
        <v>5</v>
      </c>
      <c r="S177" s="1099">
        <v>20</v>
      </c>
      <c r="T177" s="1099">
        <v>20</v>
      </c>
      <c r="U177" s="1104">
        <v>25</v>
      </c>
      <c r="V177" s="1101" t="s">
        <v>5262</v>
      </c>
      <c r="W177" s="1101" t="s">
        <v>5263</v>
      </c>
      <c r="X177" s="1101" t="s">
        <v>5264</v>
      </c>
      <c r="Y177" s="1101" t="s">
        <v>5265</v>
      </c>
      <c r="Z177" s="1102" t="s">
        <v>5266</v>
      </c>
    </row>
    <row r="178" spans="2:26" ht="12.75" customHeight="1" x14ac:dyDescent="0.2">
      <c r="B178" s="2090" t="str">
        <f t="shared" si="2"/>
        <v>Aire26</v>
      </c>
      <c r="C178" s="1103"/>
      <c r="D178" s="521" t="s">
        <v>425</v>
      </c>
      <c r="E178" s="1095" t="s">
        <v>1922</v>
      </c>
      <c r="F178" s="1095">
        <v>26</v>
      </c>
      <c r="G178" s="1108" t="s">
        <v>1690</v>
      </c>
      <c r="H178" s="1108" t="s">
        <v>1536</v>
      </c>
      <c r="I178" s="1109" t="s">
        <v>1606</v>
      </c>
      <c r="J178" s="1099">
        <v>6</v>
      </c>
      <c r="K178" s="1099">
        <v>8</v>
      </c>
      <c r="L178" s="1099">
        <v>10</v>
      </c>
      <c r="M178" s="1104">
        <v>12</v>
      </c>
      <c r="N178" s="1099">
        <v>50</v>
      </c>
      <c r="O178" s="1099">
        <v>80</v>
      </c>
      <c r="P178" s="1099">
        <v>120</v>
      </c>
      <c r="Q178" s="1104">
        <v>150</v>
      </c>
      <c r="R178" s="1099" t="s">
        <v>1690</v>
      </c>
      <c r="S178" s="1099" t="s">
        <v>1690</v>
      </c>
      <c r="T178" s="1099" t="s">
        <v>1690</v>
      </c>
      <c r="U178" s="1104" t="s">
        <v>1690</v>
      </c>
      <c r="V178" s="1101" t="s">
        <v>5267</v>
      </c>
      <c r="W178" s="1101" t="s">
        <v>5268</v>
      </c>
      <c r="X178" s="1101" t="s">
        <v>5269</v>
      </c>
      <c r="Y178" s="1101" t="s">
        <v>5270</v>
      </c>
      <c r="Z178" s="1102" t="s">
        <v>5271</v>
      </c>
    </row>
    <row r="179" spans="2:26" ht="12.75" customHeight="1" x14ac:dyDescent="0.2">
      <c r="B179" s="2090" t="str">
        <f t="shared" si="2"/>
        <v>Aire30</v>
      </c>
      <c r="C179" s="1103"/>
      <c r="D179" s="521" t="s">
        <v>426</v>
      </c>
      <c r="E179" s="1095" t="s">
        <v>1922</v>
      </c>
      <c r="F179" s="1095">
        <v>30</v>
      </c>
      <c r="G179" s="1108" t="s">
        <v>2446</v>
      </c>
      <c r="H179" s="1108" t="s">
        <v>1536</v>
      </c>
      <c r="I179" s="1109" t="s">
        <v>1606</v>
      </c>
      <c r="J179" s="1099">
        <v>6</v>
      </c>
      <c r="K179" s="1099">
        <v>9</v>
      </c>
      <c r="L179" s="1099">
        <v>12</v>
      </c>
      <c r="M179" s="1104">
        <v>15</v>
      </c>
      <c r="N179" s="1099">
        <v>60</v>
      </c>
      <c r="O179" s="1099">
        <v>100</v>
      </c>
      <c r="P179" s="1099">
        <v>150</v>
      </c>
      <c r="Q179" s="1104">
        <v>240</v>
      </c>
      <c r="R179" s="1099">
        <v>15</v>
      </c>
      <c r="S179" s="1099">
        <v>20</v>
      </c>
      <c r="T179" s="1099">
        <v>25</v>
      </c>
      <c r="U179" s="1104">
        <v>30</v>
      </c>
      <c r="V179" s="1101" t="s">
        <v>5272</v>
      </c>
      <c r="W179" s="1101" t="s">
        <v>5273</v>
      </c>
      <c r="X179" s="1101" t="s">
        <v>5274</v>
      </c>
      <c r="Y179" s="1101" t="s">
        <v>5275</v>
      </c>
      <c r="Z179" s="1102" t="s">
        <v>5276</v>
      </c>
    </row>
    <row r="180" spans="2:26" ht="12.75" customHeight="1" x14ac:dyDescent="0.2">
      <c r="B180" s="2090" t="str">
        <f t="shared" si="2"/>
        <v>Aire32</v>
      </c>
      <c r="C180" s="1103"/>
      <c r="D180" s="521" t="s">
        <v>427</v>
      </c>
      <c r="E180" s="1095" t="s">
        <v>1922</v>
      </c>
      <c r="F180" s="1095">
        <v>32</v>
      </c>
      <c r="G180" s="1108" t="s">
        <v>1690</v>
      </c>
      <c r="H180" s="1108" t="s">
        <v>1536</v>
      </c>
      <c r="I180" s="1109" t="s">
        <v>1606</v>
      </c>
      <c r="J180" s="1099">
        <v>6</v>
      </c>
      <c r="K180" s="1099">
        <v>9</v>
      </c>
      <c r="L180" s="1099">
        <v>12</v>
      </c>
      <c r="M180" s="1104">
        <v>15</v>
      </c>
      <c r="N180" s="1099">
        <v>60</v>
      </c>
      <c r="O180" s="1099">
        <v>90</v>
      </c>
      <c r="P180" s="1099">
        <v>120</v>
      </c>
      <c r="Q180" s="1104">
        <v>150</v>
      </c>
      <c r="R180" s="1099">
        <v>5</v>
      </c>
      <c r="S180" s="1099">
        <v>5</v>
      </c>
      <c r="T180" s="1099">
        <v>10</v>
      </c>
      <c r="U180" s="1104">
        <v>15</v>
      </c>
      <c r="V180" s="1101" t="s">
        <v>5277</v>
      </c>
      <c r="W180" s="1101" t="s">
        <v>5278</v>
      </c>
      <c r="X180" s="1101" t="s">
        <v>5279</v>
      </c>
      <c r="Y180" s="1101" t="s">
        <v>5280</v>
      </c>
      <c r="Z180" s="1102" t="s">
        <v>5281</v>
      </c>
    </row>
    <row r="181" spans="2:26" ht="12.75" customHeight="1" x14ac:dyDescent="0.2">
      <c r="B181" s="2090" t="str">
        <f t="shared" si="2"/>
        <v>Aire36</v>
      </c>
      <c r="C181" s="1103"/>
      <c r="D181" s="521" t="s">
        <v>428</v>
      </c>
      <c r="E181" s="1095" t="s">
        <v>1922</v>
      </c>
      <c r="F181" s="1095">
        <v>36</v>
      </c>
      <c r="G181" s="1108" t="s">
        <v>2446</v>
      </c>
      <c r="H181" s="1108" t="s">
        <v>1536</v>
      </c>
      <c r="I181" s="1109" t="s">
        <v>1606</v>
      </c>
      <c r="J181" s="1099">
        <v>7</v>
      </c>
      <c r="K181" s="1099">
        <v>10</v>
      </c>
      <c r="L181" s="1099">
        <v>13</v>
      </c>
      <c r="M181" s="1104">
        <v>15</v>
      </c>
      <c r="N181" s="1099">
        <v>80</v>
      </c>
      <c r="O181" s="1099">
        <v>120</v>
      </c>
      <c r="P181" s="1099">
        <v>160</v>
      </c>
      <c r="Q181" s="1104">
        <v>240</v>
      </c>
      <c r="R181" s="1099">
        <v>10</v>
      </c>
      <c r="S181" s="1099">
        <v>15</v>
      </c>
      <c r="T181" s="1099">
        <v>20</v>
      </c>
      <c r="U181" s="1104">
        <v>25</v>
      </c>
      <c r="V181" s="1101" t="s">
        <v>5282</v>
      </c>
      <c r="W181" s="1101" t="s">
        <v>5283</v>
      </c>
      <c r="X181" s="1101" t="s">
        <v>5284</v>
      </c>
      <c r="Y181" s="1101" t="s">
        <v>5285</v>
      </c>
      <c r="Z181" s="1102" t="s">
        <v>5286</v>
      </c>
    </row>
    <row r="182" spans="2:26" ht="12.75" customHeight="1" x14ac:dyDescent="0.2">
      <c r="B182" s="2090" t="str">
        <f t="shared" si="2"/>
        <v>Aire40</v>
      </c>
      <c r="C182" s="1103"/>
      <c r="D182" s="521" t="s">
        <v>429</v>
      </c>
      <c r="E182" s="1095" t="s">
        <v>1922</v>
      </c>
      <c r="F182" s="1095">
        <v>40</v>
      </c>
      <c r="G182" s="1108" t="s">
        <v>1690</v>
      </c>
      <c r="H182" s="1108" t="s">
        <v>1534</v>
      </c>
      <c r="I182" s="1109" t="s">
        <v>1606</v>
      </c>
      <c r="J182" s="1099">
        <v>6</v>
      </c>
      <c r="K182" s="1099">
        <v>9</v>
      </c>
      <c r="L182" s="1099">
        <v>12</v>
      </c>
      <c r="M182" s="1104">
        <v>15</v>
      </c>
      <c r="N182" s="1099">
        <v>60</v>
      </c>
      <c r="O182" s="1099">
        <v>150</v>
      </c>
      <c r="P182" s="1099">
        <v>240</v>
      </c>
      <c r="Q182" s="1104">
        <v>350</v>
      </c>
      <c r="R182" s="1099" t="s">
        <v>1690</v>
      </c>
      <c r="S182" s="1099" t="s">
        <v>1690</v>
      </c>
      <c r="T182" s="1099" t="s">
        <v>1690</v>
      </c>
      <c r="U182" s="1104" t="s">
        <v>1690</v>
      </c>
      <c r="V182" s="1101" t="s">
        <v>5287</v>
      </c>
      <c r="W182" s="1101" t="s">
        <v>5288</v>
      </c>
      <c r="X182" s="1101" t="s">
        <v>5289</v>
      </c>
      <c r="Y182" s="1101" t="s">
        <v>5290</v>
      </c>
      <c r="Z182" s="1102" t="s">
        <v>5291</v>
      </c>
    </row>
    <row r="183" spans="2:26" ht="12.75" customHeight="1" x14ac:dyDescent="0.2">
      <c r="B183" s="2090" t="str">
        <f t="shared" si="2"/>
        <v>Aire42</v>
      </c>
      <c r="C183" s="1103"/>
      <c r="D183" s="521" t="s">
        <v>430</v>
      </c>
      <c r="E183" s="1095" t="s">
        <v>1922</v>
      </c>
      <c r="F183" s="1095">
        <v>42</v>
      </c>
      <c r="G183" s="1108" t="s">
        <v>2446</v>
      </c>
      <c r="H183" s="1108" t="s">
        <v>1536</v>
      </c>
      <c r="I183" s="1109" t="s">
        <v>1606</v>
      </c>
      <c r="J183" s="1099">
        <v>8</v>
      </c>
      <c r="K183" s="1099">
        <v>10</v>
      </c>
      <c r="L183" s="1099">
        <v>12</v>
      </c>
      <c r="M183" s="1104">
        <v>14</v>
      </c>
      <c r="N183" s="1099">
        <v>80</v>
      </c>
      <c r="O183" s="1099">
        <v>100</v>
      </c>
      <c r="P183" s="1099">
        <v>120</v>
      </c>
      <c r="Q183" s="1104">
        <v>140</v>
      </c>
      <c r="R183" s="1099">
        <v>10</v>
      </c>
      <c r="S183" s="1099">
        <v>10</v>
      </c>
      <c r="T183" s="1099">
        <v>15</v>
      </c>
      <c r="U183" s="1104">
        <v>15</v>
      </c>
      <c r="V183" s="1101" t="s">
        <v>5292</v>
      </c>
      <c r="W183" s="1101" t="s">
        <v>5293</v>
      </c>
      <c r="X183" s="1101" t="s">
        <v>5294</v>
      </c>
      <c r="Y183" s="1101" t="s">
        <v>5254</v>
      </c>
      <c r="Z183" s="1102" t="s">
        <v>5295</v>
      </c>
    </row>
    <row r="184" spans="2:26" ht="12.75" customHeight="1" x14ac:dyDescent="0.2">
      <c r="B184" s="2090" t="str">
        <f t="shared" si="2"/>
        <v>Aire46</v>
      </c>
      <c r="C184" s="1103"/>
      <c r="D184" s="521" t="s">
        <v>431</v>
      </c>
      <c r="E184" s="1095" t="s">
        <v>1922</v>
      </c>
      <c r="F184" s="1095">
        <v>46</v>
      </c>
      <c r="G184" s="1108" t="s">
        <v>1690</v>
      </c>
      <c r="H184" s="1108" t="s">
        <v>1534</v>
      </c>
      <c r="I184" s="1109" t="s">
        <v>1606</v>
      </c>
      <c r="J184" s="1099">
        <v>6</v>
      </c>
      <c r="K184" s="1099">
        <v>9</v>
      </c>
      <c r="L184" s="1099">
        <v>12</v>
      </c>
      <c r="M184" s="1104">
        <v>15</v>
      </c>
      <c r="N184" s="1099">
        <v>80</v>
      </c>
      <c r="O184" s="1099">
        <v>180</v>
      </c>
      <c r="P184" s="1099">
        <v>280</v>
      </c>
      <c r="Q184" s="1104">
        <v>400</v>
      </c>
      <c r="R184" s="1099" t="s">
        <v>1690</v>
      </c>
      <c r="S184" s="1099" t="s">
        <v>1690</v>
      </c>
      <c r="T184" s="1099" t="s">
        <v>1690</v>
      </c>
      <c r="U184" s="1104" t="s">
        <v>1690</v>
      </c>
      <c r="V184" s="1101" t="s">
        <v>5296</v>
      </c>
      <c r="W184" s="1101" t="s">
        <v>5297</v>
      </c>
      <c r="X184" s="1101" t="s">
        <v>5298</v>
      </c>
      <c r="Y184" s="1101" t="s">
        <v>5299</v>
      </c>
      <c r="Z184" s="1102" t="s">
        <v>5300</v>
      </c>
    </row>
    <row r="185" spans="2:26" ht="12.75" customHeight="1" x14ac:dyDescent="0.2">
      <c r="B185" s="2090" t="str">
        <f t="shared" si="2"/>
        <v>Aire50</v>
      </c>
      <c r="C185" s="1103"/>
      <c r="D185" s="521" t="s">
        <v>432</v>
      </c>
      <c r="E185" s="1095" t="s">
        <v>1922</v>
      </c>
      <c r="F185" s="1095">
        <v>50</v>
      </c>
      <c r="G185" s="1108" t="s">
        <v>1690</v>
      </c>
      <c r="H185" s="1108" t="s">
        <v>1537</v>
      </c>
      <c r="I185" s="1109" t="s">
        <v>1606</v>
      </c>
      <c r="J185" s="1099">
        <v>7</v>
      </c>
      <c r="K185" s="1099">
        <v>9</v>
      </c>
      <c r="L185" s="1099">
        <v>12</v>
      </c>
      <c r="M185" s="1104">
        <v>15</v>
      </c>
      <c r="N185" s="1099">
        <v>140</v>
      </c>
      <c r="O185" s="1099">
        <v>180</v>
      </c>
      <c r="P185" s="1099">
        <v>240</v>
      </c>
      <c r="Q185" s="1104">
        <v>300</v>
      </c>
      <c r="R185" s="1099">
        <v>30</v>
      </c>
      <c r="S185" s="1099">
        <v>40</v>
      </c>
      <c r="T185" s="1099">
        <v>50</v>
      </c>
      <c r="U185" s="1104">
        <v>60</v>
      </c>
      <c r="V185" s="1101" t="s">
        <v>5301</v>
      </c>
      <c r="W185" s="1101" t="s">
        <v>5302</v>
      </c>
      <c r="X185" s="1101" t="s">
        <v>5303</v>
      </c>
      <c r="Y185" s="1101" t="s">
        <v>4770</v>
      </c>
      <c r="Z185" s="1102" t="s">
        <v>5304</v>
      </c>
    </row>
    <row r="186" spans="2:26" ht="12.75" customHeight="1" x14ac:dyDescent="0.2">
      <c r="B186" s="2090" t="str">
        <f t="shared" si="2"/>
        <v>Aire52</v>
      </c>
      <c r="C186" s="1103"/>
      <c r="D186" s="521" t="s">
        <v>433</v>
      </c>
      <c r="E186" s="1095" t="s">
        <v>1922</v>
      </c>
      <c r="F186" s="1095">
        <v>52</v>
      </c>
      <c r="G186" s="1108" t="s">
        <v>1690</v>
      </c>
      <c r="H186" s="1108" t="s">
        <v>1536</v>
      </c>
      <c r="I186" s="1109" t="s">
        <v>1606</v>
      </c>
      <c r="J186" s="1099">
        <v>8</v>
      </c>
      <c r="K186" s="1099">
        <v>11</v>
      </c>
      <c r="L186" s="1099">
        <v>13</v>
      </c>
      <c r="M186" s="1104">
        <v>16</v>
      </c>
      <c r="N186" s="1099">
        <v>100</v>
      </c>
      <c r="O186" s="1099">
        <v>120</v>
      </c>
      <c r="P186" s="1099">
        <v>140</v>
      </c>
      <c r="Q186" s="1104">
        <v>160</v>
      </c>
      <c r="R186" s="1099">
        <v>10</v>
      </c>
      <c r="S186" s="1099">
        <v>15</v>
      </c>
      <c r="T186" s="1099">
        <v>15</v>
      </c>
      <c r="U186" s="1104">
        <v>20</v>
      </c>
      <c r="V186" s="1101" t="s">
        <v>5305</v>
      </c>
      <c r="W186" s="1101" t="s">
        <v>5306</v>
      </c>
      <c r="X186" s="1101" t="s">
        <v>5307</v>
      </c>
      <c r="Y186" s="1101" t="s">
        <v>5308</v>
      </c>
      <c r="Z186" s="1102" t="s">
        <v>5309</v>
      </c>
    </row>
    <row r="187" spans="2:26" ht="12.75" customHeight="1" x14ac:dyDescent="0.2">
      <c r="B187" s="2090" t="str">
        <f t="shared" si="2"/>
        <v>Aire56</v>
      </c>
      <c r="C187" s="1103"/>
      <c r="D187" s="521" t="s">
        <v>434</v>
      </c>
      <c r="E187" s="1099" t="s">
        <v>1922</v>
      </c>
      <c r="F187" s="1099">
        <v>56</v>
      </c>
      <c r="G187" s="1108" t="s">
        <v>1690</v>
      </c>
      <c r="H187" s="1108" t="s">
        <v>5310</v>
      </c>
      <c r="I187" s="1109" t="s">
        <v>1606</v>
      </c>
      <c r="J187" s="1099">
        <v>8</v>
      </c>
      <c r="K187" s="1099">
        <v>10</v>
      </c>
      <c r="L187" s="1099">
        <v>13</v>
      </c>
      <c r="M187" s="1104">
        <v>15</v>
      </c>
      <c r="N187" s="1099">
        <v>80</v>
      </c>
      <c r="O187" s="1099">
        <v>150</v>
      </c>
      <c r="P187" s="1099">
        <v>240</v>
      </c>
      <c r="Q187" s="1104">
        <v>350</v>
      </c>
      <c r="R187" s="1099">
        <v>10</v>
      </c>
      <c r="S187" s="1099">
        <v>20</v>
      </c>
      <c r="T187" s="1099">
        <v>25</v>
      </c>
      <c r="U187" s="1104">
        <v>35</v>
      </c>
      <c r="V187" s="1101" t="s">
        <v>5311</v>
      </c>
      <c r="W187" s="1101" t="s">
        <v>5312</v>
      </c>
      <c r="X187" s="1101" t="s">
        <v>5313</v>
      </c>
      <c r="Y187" s="1101" t="s">
        <v>5314</v>
      </c>
      <c r="Z187" s="1102" t="s">
        <v>5315</v>
      </c>
    </row>
    <row r="188" spans="2:26" ht="12.75" customHeight="1" x14ac:dyDescent="0.2">
      <c r="B188" s="2090" t="str">
        <f t="shared" si="2"/>
        <v>Aire60</v>
      </c>
      <c r="C188" s="1103"/>
      <c r="D188" s="521" t="s">
        <v>435</v>
      </c>
      <c r="E188" s="1099" t="s">
        <v>1922</v>
      </c>
      <c r="F188" s="1099">
        <v>60</v>
      </c>
      <c r="G188" s="1108" t="s">
        <v>1690</v>
      </c>
      <c r="H188" s="1108" t="s">
        <v>5310</v>
      </c>
      <c r="I188" s="1109" t="s">
        <v>1606</v>
      </c>
      <c r="J188" s="1099">
        <v>8</v>
      </c>
      <c r="K188" s="1099">
        <v>10</v>
      </c>
      <c r="L188" s="1099">
        <v>13</v>
      </c>
      <c r="M188" s="1104">
        <v>15</v>
      </c>
      <c r="N188" s="1099">
        <v>80</v>
      </c>
      <c r="O188" s="1099">
        <v>150</v>
      </c>
      <c r="P188" s="1099">
        <v>240</v>
      </c>
      <c r="Q188" s="1104">
        <v>350</v>
      </c>
      <c r="R188" s="1099">
        <v>10</v>
      </c>
      <c r="S188" s="1099">
        <v>20</v>
      </c>
      <c r="T188" s="1099">
        <v>25</v>
      </c>
      <c r="U188" s="1104">
        <v>35</v>
      </c>
      <c r="V188" s="1101" t="s">
        <v>5316</v>
      </c>
      <c r="W188" s="1101" t="s">
        <v>5317</v>
      </c>
      <c r="X188" s="1101" t="s">
        <v>5318</v>
      </c>
      <c r="Y188" s="1101" t="s">
        <v>5319</v>
      </c>
      <c r="Z188" s="1102" t="s">
        <v>5320</v>
      </c>
    </row>
    <row r="189" spans="2:26" ht="12.75" customHeight="1" x14ac:dyDescent="0.2">
      <c r="B189" s="2090" t="str">
        <f t="shared" si="2"/>
        <v>Aire62</v>
      </c>
      <c r="C189" s="1103"/>
      <c r="D189" s="521" t="s">
        <v>436</v>
      </c>
      <c r="E189" s="1099" t="s">
        <v>1922</v>
      </c>
      <c r="F189" s="1099">
        <v>62</v>
      </c>
      <c r="G189" s="1108" t="s">
        <v>1690</v>
      </c>
      <c r="H189" s="1108" t="s">
        <v>1881</v>
      </c>
      <c r="I189" s="1109" t="s">
        <v>1607</v>
      </c>
      <c r="J189" s="1099">
        <v>7</v>
      </c>
      <c r="K189" s="1099">
        <v>10</v>
      </c>
      <c r="L189" s="1099">
        <v>12</v>
      </c>
      <c r="M189" s="1104">
        <v>15</v>
      </c>
      <c r="N189" s="1099">
        <v>120</v>
      </c>
      <c r="O189" s="1099">
        <v>180</v>
      </c>
      <c r="P189" s="1099">
        <v>240</v>
      </c>
      <c r="Q189" s="1104">
        <v>300</v>
      </c>
      <c r="R189" s="1099">
        <v>15</v>
      </c>
      <c r="S189" s="1099">
        <v>20</v>
      </c>
      <c r="T189" s="1099">
        <v>25</v>
      </c>
      <c r="U189" s="1104">
        <v>30</v>
      </c>
      <c r="V189" s="1101" t="s">
        <v>5321</v>
      </c>
      <c r="W189" s="1101" t="s">
        <v>5322</v>
      </c>
      <c r="X189" s="1101" t="s">
        <v>5323</v>
      </c>
      <c r="Y189" s="1101" t="s">
        <v>5324</v>
      </c>
      <c r="Z189" s="1102" t="s">
        <v>5325</v>
      </c>
    </row>
    <row r="190" spans="2:26" ht="12.75" customHeight="1" x14ac:dyDescent="0.2">
      <c r="B190" s="2090" t="str">
        <f t="shared" si="2"/>
        <v>Aire66</v>
      </c>
      <c r="C190" s="1103"/>
      <c r="D190" s="521" t="s">
        <v>437</v>
      </c>
      <c r="E190" s="1099" t="s">
        <v>1922</v>
      </c>
      <c r="F190" s="1099">
        <v>66</v>
      </c>
      <c r="G190" s="1108" t="s">
        <v>1690</v>
      </c>
      <c r="H190" s="1108" t="s">
        <v>1536</v>
      </c>
      <c r="I190" s="1109" t="s">
        <v>1606</v>
      </c>
      <c r="J190" s="1099">
        <v>8</v>
      </c>
      <c r="K190" s="1099">
        <v>11</v>
      </c>
      <c r="L190" s="1099">
        <v>13</v>
      </c>
      <c r="M190" s="1104">
        <v>16</v>
      </c>
      <c r="N190" s="1099">
        <v>180</v>
      </c>
      <c r="O190" s="1099">
        <v>300</v>
      </c>
      <c r="P190" s="1099">
        <v>450</v>
      </c>
      <c r="Q190" s="1104">
        <v>600</v>
      </c>
      <c r="R190" s="1099" t="s">
        <v>1690</v>
      </c>
      <c r="S190" s="1099" t="s">
        <v>1690</v>
      </c>
      <c r="T190" s="1099" t="s">
        <v>1690</v>
      </c>
      <c r="U190" s="1104" t="s">
        <v>1690</v>
      </c>
      <c r="V190" s="1101" t="s">
        <v>5326</v>
      </c>
      <c r="W190" s="1101" t="s">
        <v>5327</v>
      </c>
      <c r="X190" s="1101" t="s">
        <v>5328</v>
      </c>
      <c r="Y190" s="1101" t="s">
        <v>5329</v>
      </c>
      <c r="Z190" s="1102" t="s">
        <v>5330</v>
      </c>
    </row>
    <row r="191" spans="2:26" ht="12.75" customHeight="1" x14ac:dyDescent="0.2">
      <c r="B191" s="2090" t="str">
        <f t="shared" si="2"/>
        <v>Aire70</v>
      </c>
      <c r="C191" s="1103"/>
      <c r="D191" s="521" t="s">
        <v>438</v>
      </c>
      <c r="E191" s="1099" t="s">
        <v>1922</v>
      </c>
      <c r="F191" s="1099">
        <v>70</v>
      </c>
      <c r="G191" s="1108" t="s">
        <v>2446</v>
      </c>
      <c r="H191" s="1108" t="s">
        <v>5310</v>
      </c>
      <c r="I191" s="1109" t="s">
        <v>1606</v>
      </c>
      <c r="J191" s="1099">
        <v>6</v>
      </c>
      <c r="K191" s="1099">
        <v>9</v>
      </c>
      <c r="L191" s="1099">
        <v>12</v>
      </c>
      <c r="M191" s="1104">
        <v>15</v>
      </c>
      <c r="N191" s="1099">
        <v>120</v>
      </c>
      <c r="O191" s="1099">
        <v>180</v>
      </c>
      <c r="P191" s="1099">
        <v>240</v>
      </c>
      <c r="Q191" s="1104">
        <v>350</v>
      </c>
      <c r="R191" s="1099">
        <v>15</v>
      </c>
      <c r="S191" s="1099">
        <v>20</v>
      </c>
      <c r="T191" s="1099">
        <v>25</v>
      </c>
      <c r="U191" s="1104">
        <v>30</v>
      </c>
      <c r="V191" s="1101" t="s">
        <v>5331</v>
      </c>
      <c r="W191" s="1101" t="s">
        <v>5332</v>
      </c>
      <c r="X191" s="1101" t="s">
        <v>5333</v>
      </c>
      <c r="Y191" s="1101" t="s">
        <v>5334</v>
      </c>
      <c r="Z191" s="1102" t="s">
        <v>5335</v>
      </c>
    </row>
    <row r="192" spans="2:26" ht="12.75" customHeight="1" x14ac:dyDescent="0.2">
      <c r="B192" s="2090" t="str">
        <f t="shared" si="2"/>
        <v>Aire72</v>
      </c>
      <c r="C192" s="1103"/>
      <c r="D192" s="521" t="s">
        <v>439</v>
      </c>
      <c r="E192" s="1099" t="s">
        <v>1922</v>
      </c>
      <c r="F192" s="1099">
        <v>72</v>
      </c>
      <c r="G192" s="1108" t="s">
        <v>1690</v>
      </c>
      <c r="H192" s="1108" t="s">
        <v>5336</v>
      </c>
      <c r="I192" s="1109" t="s">
        <v>1606</v>
      </c>
      <c r="J192" s="1099">
        <v>9</v>
      </c>
      <c r="K192" s="1099">
        <v>12</v>
      </c>
      <c r="L192" s="1099">
        <v>14</v>
      </c>
      <c r="M192" s="1104">
        <v>16</v>
      </c>
      <c r="N192" s="1099">
        <v>200</v>
      </c>
      <c r="O192" s="1099">
        <v>300</v>
      </c>
      <c r="P192" s="1099">
        <v>450</v>
      </c>
      <c r="Q192" s="1104">
        <v>600</v>
      </c>
      <c r="R192" s="1099">
        <v>10</v>
      </c>
      <c r="S192" s="1099">
        <v>15</v>
      </c>
      <c r="T192" s="1099">
        <v>20</v>
      </c>
      <c r="U192" s="1104">
        <v>25</v>
      </c>
      <c r="V192" s="1101" t="s">
        <v>5337</v>
      </c>
      <c r="W192" s="1101" t="s">
        <v>5338</v>
      </c>
      <c r="X192" s="1101" t="s">
        <v>5339</v>
      </c>
      <c r="Y192" s="1101" t="s">
        <v>5340</v>
      </c>
      <c r="Z192" s="1102" t="s">
        <v>5341</v>
      </c>
    </row>
    <row r="193" spans="2:26" ht="12.75" customHeight="1" x14ac:dyDescent="0.2">
      <c r="B193" s="2090" t="str">
        <f t="shared" si="2"/>
        <v>Aire76</v>
      </c>
      <c r="C193" s="1103"/>
      <c r="D193" s="521" t="s">
        <v>440</v>
      </c>
      <c r="E193" s="1099" t="s">
        <v>1922</v>
      </c>
      <c r="F193" s="1099">
        <v>76</v>
      </c>
      <c r="G193" s="1108" t="s">
        <v>1690</v>
      </c>
      <c r="H193" s="1108" t="s">
        <v>5342</v>
      </c>
      <c r="I193" s="1109" t="s">
        <v>1606</v>
      </c>
      <c r="J193" s="1099">
        <v>9</v>
      </c>
      <c r="K193" s="1099">
        <v>11</v>
      </c>
      <c r="L193" s="1099">
        <v>13</v>
      </c>
      <c r="M193" s="1104">
        <v>16</v>
      </c>
      <c r="N193" s="1099">
        <v>140</v>
      </c>
      <c r="O193" s="1099">
        <v>200</v>
      </c>
      <c r="P193" s="1099">
        <v>260</v>
      </c>
      <c r="Q193" s="1104">
        <v>350</v>
      </c>
      <c r="R193" s="1099">
        <v>10</v>
      </c>
      <c r="S193" s="1099">
        <v>10</v>
      </c>
      <c r="T193" s="1099">
        <v>15</v>
      </c>
      <c r="U193" s="1104">
        <v>25</v>
      </c>
      <c r="V193" s="1101" t="s">
        <v>5343</v>
      </c>
      <c r="W193" s="1101" t="s">
        <v>5344</v>
      </c>
      <c r="X193" s="1101" t="s">
        <v>5345</v>
      </c>
      <c r="Y193" s="1101" t="s">
        <v>5346</v>
      </c>
      <c r="Z193" s="1102" t="s">
        <v>5347</v>
      </c>
    </row>
    <row r="194" spans="2:26" ht="12.75" customHeight="1" x14ac:dyDescent="0.2">
      <c r="B194" s="2090" t="str">
        <f t="shared" si="2"/>
        <v>Aire80</v>
      </c>
      <c r="C194" s="1103"/>
      <c r="D194" s="521" t="s">
        <v>441</v>
      </c>
      <c r="E194" s="1099" t="s">
        <v>1922</v>
      </c>
      <c r="F194" s="1099">
        <v>80</v>
      </c>
      <c r="G194" s="1108" t="s">
        <v>2446</v>
      </c>
      <c r="H194" s="1108" t="s">
        <v>1536</v>
      </c>
      <c r="I194" s="1109" t="s">
        <v>1606</v>
      </c>
      <c r="J194" s="1099">
        <v>9</v>
      </c>
      <c r="K194" s="1099">
        <v>12</v>
      </c>
      <c r="L194" s="1099">
        <v>14</v>
      </c>
      <c r="M194" s="1104">
        <v>16</v>
      </c>
      <c r="N194" s="1099">
        <v>250</v>
      </c>
      <c r="O194" s="1099">
        <v>300</v>
      </c>
      <c r="P194" s="1099">
        <v>380</v>
      </c>
      <c r="Q194" s="1104">
        <v>500</v>
      </c>
      <c r="R194" s="1099">
        <v>50</v>
      </c>
      <c r="S194" s="1099">
        <v>60</v>
      </c>
      <c r="T194" s="1099">
        <v>80</v>
      </c>
      <c r="U194" s="1104">
        <v>100</v>
      </c>
      <c r="V194" s="1101" t="s">
        <v>5348</v>
      </c>
      <c r="W194" s="1101" t="s">
        <v>5349</v>
      </c>
      <c r="X194" s="1101" t="s">
        <v>5350</v>
      </c>
      <c r="Y194" s="1101" t="s">
        <v>5351</v>
      </c>
      <c r="Z194" s="1102" t="s">
        <v>5352</v>
      </c>
    </row>
    <row r="195" spans="2:26" ht="12.75" customHeight="1" x14ac:dyDescent="0.2">
      <c r="B195" s="2090" t="str">
        <f t="shared" si="2"/>
        <v>Aire82</v>
      </c>
      <c r="C195" s="1103"/>
      <c r="D195" s="521" t="s">
        <v>442</v>
      </c>
      <c r="E195" s="1099" t="s">
        <v>1922</v>
      </c>
      <c r="F195" s="1099">
        <v>82</v>
      </c>
      <c r="G195" s="1108" t="s">
        <v>2446</v>
      </c>
      <c r="H195" s="1108" t="s">
        <v>1536</v>
      </c>
      <c r="I195" s="1109" t="s">
        <v>1606</v>
      </c>
      <c r="J195" s="1099">
        <v>10</v>
      </c>
      <c r="K195" s="1099">
        <v>12</v>
      </c>
      <c r="L195" s="1099">
        <v>14</v>
      </c>
      <c r="M195" s="1104">
        <v>16</v>
      </c>
      <c r="N195" s="1099">
        <v>250</v>
      </c>
      <c r="O195" s="1099">
        <v>350</v>
      </c>
      <c r="P195" s="1099">
        <v>500</v>
      </c>
      <c r="Q195" s="1104">
        <v>700</v>
      </c>
      <c r="R195" s="1099">
        <v>50</v>
      </c>
      <c r="S195" s="1099">
        <v>70</v>
      </c>
      <c r="T195" s="1099">
        <v>100</v>
      </c>
      <c r="U195" s="1104">
        <v>140</v>
      </c>
      <c r="V195" s="1101" t="s">
        <v>4730</v>
      </c>
      <c r="W195" s="1101" t="s">
        <v>4731</v>
      </c>
      <c r="X195" s="1101" t="s">
        <v>4732</v>
      </c>
      <c r="Y195" s="1101" t="s">
        <v>4733</v>
      </c>
      <c r="Z195" s="1102" t="s">
        <v>5353</v>
      </c>
    </row>
    <row r="196" spans="2:26" ht="12.75" customHeight="1" x14ac:dyDescent="0.2">
      <c r="B196" s="2090" t="str">
        <f t="shared" si="2"/>
        <v>Aire86</v>
      </c>
      <c r="C196" s="1103"/>
      <c r="D196" s="521" t="s">
        <v>443</v>
      </c>
      <c r="E196" s="1099" t="s">
        <v>1922</v>
      </c>
      <c r="F196" s="1099">
        <v>86</v>
      </c>
      <c r="G196" s="1108" t="s">
        <v>2446</v>
      </c>
      <c r="H196" s="1108" t="s">
        <v>1536</v>
      </c>
      <c r="I196" s="1109" t="s">
        <v>1606</v>
      </c>
      <c r="J196" s="1099">
        <v>10</v>
      </c>
      <c r="K196" s="1099">
        <v>12</v>
      </c>
      <c r="L196" s="1099">
        <v>14</v>
      </c>
      <c r="M196" s="1104">
        <v>16</v>
      </c>
      <c r="N196" s="1099">
        <v>160</v>
      </c>
      <c r="O196" s="1099">
        <v>280</v>
      </c>
      <c r="P196" s="1099">
        <v>400</v>
      </c>
      <c r="Q196" s="1104">
        <v>550</v>
      </c>
      <c r="R196" s="1099">
        <v>35</v>
      </c>
      <c r="S196" s="1099">
        <v>40</v>
      </c>
      <c r="T196" s="1099">
        <v>50</v>
      </c>
      <c r="U196" s="1104">
        <v>60</v>
      </c>
      <c r="V196" s="1101" t="s">
        <v>5354</v>
      </c>
      <c r="W196" s="1101" t="s">
        <v>5355</v>
      </c>
      <c r="X196" s="1101" t="s">
        <v>5356</v>
      </c>
      <c r="Y196" s="1101" t="s">
        <v>5357</v>
      </c>
      <c r="Z196" s="1102" t="s">
        <v>5358</v>
      </c>
    </row>
    <row r="197" spans="2:26" ht="12.75" customHeight="1" x14ac:dyDescent="0.2">
      <c r="B197" s="2090" t="str">
        <f t="shared" si="2"/>
        <v>Aire90</v>
      </c>
      <c r="C197" s="1103"/>
      <c r="D197" s="521" t="s">
        <v>444</v>
      </c>
      <c r="E197" s="1099" t="s">
        <v>1922</v>
      </c>
      <c r="F197" s="1099">
        <v>90</v>
      </c>
      <c r="G197" s="1108" t="s">
        <v>2446</v>
      </c>
      <c r="H197" s="1108" t="s">
        <v>1536</v>
      </c>
      <c r="I197" s="1109" t="s">
        <v>1606</v>
      </c>
      <c r="J197" s="1099">
        <v>9</v>
      </c>
      <c r="K197" s="1099">
        <v>11</v>
      </c>
      <c r="L197" s="1099">
        <v>13</v>
      </c>
      <c r="M197" s="1104">
        <v>16</v>
      </c>
      <c r="N197" s="1099">
        <v>180</v>
      </c>
      <c r="O197" s="1099">
        <v>270</v>
      </c>
      <c r="P197" s="1099">
        <v>360</v>
      </c>
      <c r="Q197" s="1104">
        <v>450</v>
      </c>
      <c r="R197" s="1099">
        <v>20</v>
      </c>
      <c r="S197" s="1099">
        <v>30</v>
      </c>
      <c r="T197" s="1099">
        <v>40</v>
      </c>
      <c r="U197" s="1104">
        <v>45</v>
      </c>
      <c r="V197" s="1101" t="s">
        <v>5359</v>
      </c>
      <c r="W197" s="1101" t="s">
        <v>5360</v>
      </c>
      <c r="X197" s="1101" t="s">
        <v>5361</v>
      </c>
      <c r="Y197" s="1101" t="s">
        <v>5362</v>
      </c>
      <c r="Z197" s="1102" t="s">
        <v>5363</v>
      </c>
    </row>
    <row r="198" spans="2:26" ht="12.75" customHeight="1" x14ac:dyDescent="0.2">
      <c r="B198" s="2090" t="str">
        <f t="shared" si="2"/>
        <v>Aire92</v>
      </c>
      <c r="C198" s="1103"/>
      <c r="D198" s="521" t="s">
        <v>445</v>
      </c>
      <c r="E198" s="1099" t="s">
        <v>1922</v>
      </c>
      <c r="F198" s="1099">
        <v>92</v>
      </c>
      <c r="G198" s="1108" t="s">
        <v>1690</v>
      </c>
      <c r="H198" s="1108" t="s">
        <v>1536</v>
      </c>
      <c r="I198" s="1109" t="s">
        <v>1606</v>
      </c>
      <c r="J198" s="1099">
        <v>12</v>
      </c>
      <c r="K198" s="1099">
        <v>12</v>
      </c>
      <c r="L198" s="1099">
        <v>14</v>
      </c>
      <c r="M198" s="1104">
        <v>16</v>
      </c>
      <c r="N198" s="1099">
        <v>300</v>
      </c>
      <c r="O198" s="1099">
        <v>400</v>
      </c>
      <c r="P198" s="1099">
        <v>550</v>
      </c>
      <c r="Q198" s="1104">
        <v>800</v>
      </c>
      <c r="R198" s="1099">
        <v>30</v>
      </c>
      <c r="S198" s="1099">
        <v>40</v>
      </c>
      <c r="T198" s="1099">
        <v>55</v>
      </c>
      <c r="U198" s="1104">
        <v>80</v>
      </c>
      <c r="V198" s="1101" t="s">
        <v>5364</v>
      </c>
      <c r="W198" s="1101" t="s">
        <v>4880</v>
      </c>
      <c r="X198" s="1101" t="s">
        <v>4881</v>
      </c>
      <c r="Y198" s="1101" t="s">
        <v>4882</v>
      </c>
      <c r="Z198" s="1102" t="s">
        <v>5365</v>
      </c>
    </row>
    <row r="199" spans="2:26" ht="12.75" customHeight="1" x14ac:dyDescent="0.2">
      <c r="B199" s="2090" t="str">
        <f t="shared" si="2"/>
        <v>Aire96</v>
      </c>
      <c r="C199" s="1103"/>
      <c r="D199" s="521" t="s">
        <v>446</v>
      </c>
      <c r="E199" s="1099" t="s">
        <v>1922</v>
      </c>
      <c r="F199" s="1099">
        <v>96</v>
      </c>
      <c r="G199" s="1108" t="s">
        <v>2446</v>
      </c>
      <c r="H199" s="1108" t="s">
        <v>1537</v>
      </c>
      <c r="I199" s="1109" t="s">
        <v>1606</v>
      </c>
      <c r="J199" s="1099">
        <v>10</v>
      </c>
      <c r="K199" s="1099">
        <v>12</v>
      </c>
      <c r="L199" s="1099">
        <v>14</v>
      </c>
      <c r="M199" s="1104">
        <v>16</v>
      </c>
      <c r="N199" s="1099">
        <v>300</v>
      </c>
      <c r="O199" s="1099">
        <v>450</v>
      </c>
      <c r="P199" s="1099">
        <v>600</v>
      </c>
      <c r="Q199" s="1104">
        <v>1000</v>
      </c>
      <c r="R199" s="1099">
        <v>30</v>
      </c>
      <c r="S199" s="1099">
        <v>45</v>
      </c>
      <c r="T199" s="1099">
        <v>60</v>
      </c>
      <c r="U199" s="1104">
        <v>100</v>
      </c>
      <c r="V199" s="1101" t="s">
        <v>5366</v>
      </c>
      <c r="W199" s="1101" t="s">
        <v>5367</v>
      </c>
      <c r="X199" s="1101" t="s">
        <v>5368</v>
      </c>
      <c r="Y199" s="1101" t="s">
        <v>5369</v>
      </c>
      <c r="Z199" s="1102" t="s">
        <v>5370</v>
      </c>
    </row>
    <row r="200" spans="2:26" ht="12.75" customHeight="1" x14ac:dyDescent="0.2">
      <c r="B200" s="2090" t="str">
        <f t="shared" ref="B200:B263" si="3">E200&amp;F200</f>
        <v>Aire100</v>
      </c>
      <c r="C200" s="1103"/>
      <c r="D200" s="521" t="s">
        <v>447</v>
      </c>
      <c r="E200" s="1099" t="s">
        <v>1922</v>
      </c>
      <c r="F200" s="1099">
        <v>100</v>
      </c>
      <c r="G200" s="1108" t="s">
        <v>1690</v>
      </c>
      <c r="H200" s="1108" t="s">
        <v>1537</v>
      </c>
      <c r="I200" s="1109" t="s">
        <v>1606</v>
      </c>
      <c r="J200" s="1099">
        <v>12</v>
      </c>
      <c r="K200" s="1099">
        <v>14</v>
      </c>
      <c r="L200" s="1099">
        <v>16</v>
      </c>
      <c r="M200" s="1104">
        <v>18</v>
      </c>
      <c r="N200" s="1099">
        <v>450</v>
      </c>
      <c r="O200" s="1099">
        <v>800</v>
      </c>
      <c r="P200" s="1099">
        <v>1200</v>
      </c>
      <c r="Q200" s="1104">
        <v>1600</v>
      </c>
      <c r="R200" s="1099">
        <v>45</v>
      </c>
      <c r="S200" s="1099">
        <v>80</v>
      </c>
      <c r="T200" s="1099">
        <v>120</v>
      </c>
      <c r="U200" s="1104">
        <v>200</v>
      </c>
      <c r="V200" s="1101" t="s">
        <v>5371</v>
      </c>
      <c r="W200" s="1101" t="s">
        <v>5372</v>
      </c>
      <c r="X200" s="1101" t="s">
        <v>5373</v>
      </c>
      <c r="Y200" s="1101" t="s">
        <v>5374</v>
      </c>
      <c r="Z200" s="1102" t="s">
        <v>5375</v>
      </c>
    </row>
    <row r="201" spans="2:26" ht="12.75" customHeight="1" x14ac:dyDescent="0.2">
      <c r="B201" s="2090" t="str">
        <f t="shared" si="3"/>
        <v/>
      </c>
      <c r="C201" s="1103"/>
      <c r="D201" s="521" t="s">
        <v>448</v>
      </c>
      <c r="E201" s="1099"/>
      <c r="F201" s="1099"/>
      <c r="G201" s="1108"/>
      <c r="H201" s="1108"/>
      <c r="I201" s="1109"/>
      <c r="J201" s="1099"/>
      <c r="K201" s="1099"/>
      <c r="L201" s="1099"/>
      <c r="M201" s="1104"/>
      <c r="N201" s="1099"/>
      <c r="O201" s="1099"/>
      <c r="P201" s="1099"/>
      <c r="Q201" s="1104"/>
      <c r="R201" s="1099"/>
      <c r="S201" s="1099"/>
      <c r="T201" s="1099"/>
      <c r="U201" s="1104"/>
      <c r="V201" s="1101"/>
      <c r="W201" s="1101"/>
      <c r="X201" s="1101"/>
      <c r="Y201" s="1101"/>
      <c r="Z201" s="1102"/>
    </row>
    <row r="202" spans="2:26" ht="12.75" customHeight="1" x14ac:dyDescent="0.2">
      <c r="B202" s="2090" t="str">
        <f t="shared" si="3"/>
        <v>Agua2</v>
      </c>
      <c r="C202" s="1103"/>
      <c r="D202" s="521" t="s">
        <v>449</v>
      </c>
      <c r="E202" s="1099" t="s">
        <v>1925</v>
      </c>
      <c r="F202" s="1099">
        <v>2</v>
      </c>
      <c r="G202" s="1108" t="s">
        <v>2446</v>
      </c>
      <c r="H202" s="1108" t="s">
        <v>1536</v>
      </c>
      <c r="I202" s="1109" t="s">
        <v>1606</v>
      </c>
      <c r="J202" s="1099">
        <v>5</v>
      </c>
      <c r="K202" s="1099">
        <v>7</v>
      </c>
      <c r="L202" s="1099">
        <v>10</v>
      </c>
      <c r="M202" s="1104">
        <v>12</v>
      </c>
      <c r="N202" s="1099">
        <v>30</v>
      </c>
      <c r="O202" s="1099">
        <v>80</v>
      </c>
      <c r="P202" s="1099">
        <v>120</v>
      </c>
      <c r="Q202" s="1104">
        <v>180</v>
      </c>
      <c r="R202" s="1099">
        <v>5</v>
      </c>
      <c r="S202" s="1099">
        <v>10</v>
      </c>
      <c r="T202" s="1099">
        <v>15</v>
      </c>
      <c r="U202" s="1104">
        <v>20</v>
      </c>
      <c r="V202" s="1101" t="s">
        <v>5376</v>
      </c>
      <c r="W202" s="1101" t="s">
        <v>5377</v>
      </c>
      <c r="X202" s="1101" t="s">
        <v>5378</v>
      </c>
      <c r="Y202" s="1101" t="s">
        <v>5379</v>
      </c>
      <c r="Z202" s="1102" t="s">
        <v>5380</v>
      </c>
    </row>
    <row r="203" spans="2:26" ht="12.75" customHeight="1" x14ac:dyDescent="0.2">
      <c r="B203" s="2090" t="str">
        <f t="shared" si="3"/>
        <v>Agua6</v>
      </c>
      <c r="C203" s="1103"/>
      <c r="D203" s="521" t="s">
        <v>450</v>
      </c>
      <c r="E203" s="1099" t="s">
        <v>1925</v>
      </c>
      <c r="F203" s="1099">
        <v>6</v>
      </c>
      <c r="G203" s="1108" t="s">
        <v>2446</v>
      </c>
      <c r="H203" s="1108" t="s">
        <v>1536</v>
      </c>
      <c r="I203" s="1109" t="s">
        <v>1606</v>
      </c>
      <c r="J203" s="1099">
        <v>5</v>
      </c>
      <c r="K203" s="1099">
        <v>7</v>
      </c>
      <c r="L203" s="1099">
        <v>10</v>
      </c>
      <c r="M203" s="1104">
        <v>12</v>
      </c>
      <c r="N203" s="1099">
        <v>30</v>
      </c>
      <c r="O203" s="1099">
        <v>50</v>
      </c>
      <c r="P203" s="1099">
        <v>90</v>
      </c>
      <c r="Q203" s="1104">
        <v>140</v>
      </c>
      <c r="R203" s="1099">
        <v>5</v>
      </c>
      <c r="S203" s="1099">
        <v>5</v>
      </c>
      <c r="T203" s="1099">
        <v>10</v>
      </c>
      <c r="U203" s="1104">
        <v>15</v>
      </c>
      <c r="V203" s="1101" t="s">
        <v>5381</v>
      </c>
      <c r="W203" s="1101" t="s">
        <v>5382</v>
      </c>
      <c r="X203" s="1101" t="s">
        <v>5383</v>
      </c>
      <c r="Y203" s="1101" t="s">
        <v>5384</v>
      </c>
      <c r="Z203" s="1102" t="s">
        <v>5385</v>
      </c>
    </row>
    <row r="204" spans="2:26" ht="12.75" customHeight="1" x14ac:dyDescent="0.2">
      <c r="B204" s="2090" t="str">
        <f t="shared" si="3"/>
        <v>Agua10</v>
      </c>
      <c r="C204" s="1103"/>
      <c r="D204" s="521" t="s">
        <v>451</v>
      </c>
      <c r="E204" s="1099" t="s">
        <v>1925</v>
      </c>
      <c r="F204" s="1099">
        <v>10</v>
      </c>
      <c r="G204" s="1108" t="s">
        <v>2446</v>
      </c>
      <c r="H204" s="1108" t="s">
        <v>1536</v>
      </c>
      <c r="I204" s="1109" t="s">
        <v>1606</v>
      </c>
      <c r="J204" s="1099">
        <v>5</v>
      </c>
      <c r="K204" s="1099">
        <v>8</v>
      </c>
      <c r="L204" s="1099">
        <v>10</v>
      </c>
      <c r="M204" s="1104">
        <v>12</v>
      </c>
      <c r="N204" s="1099">
        <v>50</v>
      </c>
      <c r="O204" s="1099">
        <v>70</v>
      </c>
      <c r="P204" s="1099">
        <v>100</v>
      </c>
      <c r="Q204" s="1104">
        <v>140</v>
      </c>
      <c r="R204" s="1099">
        <v>10</v>
      </c>
      <c r="S204" s="1099">
        <v>20</v>
      </c>
      <c r="T204" s="1099">
        <v>20</v>
      </c>
      <c r="U204" s="1104">
        <v>25</v>
      </c>
      <c r="V204" s="1101" t="s">
        <v>5386</v>
      </c>
      <c r="W204" s="1101" t="s">
        <v>5387</v>
      </c>
      <c r="X204" s="1101" t="s">
        <v>5388</v>
      </c>
      <c r="Y204" s="1101" t="s">
        <v>5389</v>
      </c>
      <c r="Z204" s="1102" t="s">
        <v>5390</v>
      </c>
    </row>
    <row r="205" spans="2:26" ht="12.75" customHeight="1" x14ac:dyDescent="0.2">
      <c r="B205" s="2090" t="str">
        <f t="shared" si="3"/>
        <v>Agua12</v>
      </c>
      <c r="C205" s="1103"/>
      <c r="D205" s="521" t="s">
        <v>452</v>
      </c>
      <c r="E205" s="1099" t="s">
        <v>1925</v>
      </c>
      <c r="F205" s="1099">
        <v>12</v>
      </c>
      <c r="G205" s="1108" t="s">
        <v>2446</v>
      </c>
      <c r="H205" s="1108" t="s">
        <v>1536</v>
      </c>
      <c r="I205" s="1109" t="s">
        <v>1606</v>
      </c>
      <c r="J205" s="1099">
        <v>6</v>
      </c>
      <c r="K205" s="1099">
        <v>8</v>
      </c>
      <c r="L205" s="1099">
        <v>10</v>
      </c>
      <c r="M205" s="1104">
        <v>13</v>
      </c>
      <c r="N205" s="1099">
        <v>50</v>
      </c>
      <c r="O205" s="1099">
        <v>140</v>
      </c>
      <c r="P205" s="1099">
        <v>200</v>
      </c>
      <c r="Q205" s="1104">
        <v>300</v>
      </c>
      <c r="R205" s="1099">
        <v>5</v>
      </c>
      <c r="S205" s="1099">
        <v>10</v>
      </c>
      <c r="T205" s="1099">
        <v>10</v>
      </c>
      <c r="U205" s="1104">
        <v>15</v>
      </c>
      <c r="V205" s="1101" t="s">
        <v>5391</v>
      </c>
      <c r="W205" s="1101" t="s">
        <v>5392</v>
      </c>
      <c r="X205" s="1101" t="s">
        <v>5393</v>
      </c>
      <c r="Y205" s="1101" t="s">
        <v>5394</v>
      </c>
      <c r="Z205" s="1102" t="s">
        <v>5395</v>
      </c>
    </row>
    <row r="206" spans="2:26" ht="12.75" customHeight="1" x14ac:dyDescent="0.2">
      <c r="B206" s="2090" t="str">
        <f t="shared" si="3"/>
        <v>Agua16</v>
      </c>
      <c r="C206" s="1103"/>
      <c r="D206" s="521" t="s">
        <v>453</v>
      </c>
      <c r="E206" s="1099" t="s">
        <v>1925</v>
      </c>
      <c r="F206" s="1099">
        <v>16</v>
      </c>
      <c r="G206" s="1108" t="s">
        <v>2446</v>
      </c>
      <c r="H206" s="1108" t="s">
        <v>1881</v>
      </c>
      <c r="I206" s="1109" t="s">
        <v>1607</v>
      </c>
      <c r="J206" s="1099">
        <v>6</v>
      </c>
      <c r="K206" s="1099">
        <v>9</v>
      </c>
      <c r="L206" s="1099">
        <v>12</v>
      </c>
      <c r="M206" s="1104">
        <v>15</v>
      </c>
      <c r="N206" s="1099">
        <v>40</v>
      </c>
      <c r="O206" s="1099">
        <v>90</v>
      </c>
      <c r="P206" s="1099">
        <v>140</v>
      </c>
      <c r="Q206" s="1104">
        <v>220</v>
      </c>
      <c r="R206" s="1099">
        <v>5</v>
      </c>
      <c r="S206" s="1099">
        <v>5</v>
      </c>
      <c r="T206" s="1099">
        <v>10</v>
      </c>
      <c r="U206" s="1104">
        <v>10</v>
      </c>
      <c r="V206" s="1101" t="s">
        <v>5396</v>
      </c>
      <c r="W206" s="1101" t="s">
        <v>5397</v>
      </c>
      <c r="X206" s="1101" t="s">
        <v>5398</v>
      </c>
      <c r="Y206" s="1101" t="s">
        <v>5399</v>
      </c>
      <c r="Z206" s="1102" t="s">
        <v>5400</v>
      </c>
    </row>
    <row r="207" spans="2:26" ht="12.75" customHeight="1" x14ac:dyDescent="0.2">
      <c r="B207" s="2090" t="str">
        <f t="shared" si="3"/>
        <v>Agua20</v>
      </c>
      <c r="C207" s="1103"/>
      <c r="D207" s="521" t="s">
        <v>454</v>
      </c>
      <c r="E207" s="1099" t="s">
        <v>1925</v>
      </c>
      <c r="F207" s="1099">
        <v>20</v>
      </c>
      <c r="G207" s="1108" t="s">
        <v>1690</v>
      </c>
      <c r="H207" s="1108" t="s">
        <v>1534</v>
      </c>
      <c r="I207" s="1109" t="s">
        <v>1606</v>
      </c>
      <c r="J207" s="1099">
        <v>5</v>
      </c>
      <c r="K207" s="1099">
        <v>8</v>
      </c>
      <c r="L207" s="1099">
        <v>10</v>
      </c>
      <c r="M207" s="1104">
        <v>12</v>
      </c>
      <c r="N207" s="1099">
        <v>50</v>
      </c>
      <c r="O207" s="1099">
        <v>90</v>
      </c>
      <c r="P207" s="1099">
        <v>140</v>
      </c>
      <c r="Q207" s="1104">
        <v>200</v>
      </c>
      <c r="R207" s="1099" t="s">
        <v>1690</v>
      </c>
      <c r="S207" s="1099" t="s">
        <v>1690</v>
      </c>
      <c r="T207" s="1099" t="s">
        <v>1690</v>
      </c>
      <c r="U207" s="1104" t="s">
        <v>1690</v>
      </c>
      <c r="V207" s="1101" t="s">
        <v>5401</v>
      </c>
      <c r="W207" s="1101" t="s">
        <v>5402</v>
      </c>
      <c r="X207" s="1101" t="s">
        <v>5403</v>
      </c>
      <c r="Y207" s="1101" t="s">
        <v>5404</v>
      </c>
      <c r="Z207" s="1102" t="s">
        <v>5405</v>
      </c>
    </row>
    <row r="208" spans="2:26" ht="12.75" customHeight="1" x14ac:dyDescent="0.2">
      <c r="B208" s="2090" t="str">
        <f t="shared" si="3"/>
        <v>Agua22</v>
      </c>
      <c r="C208" s="1103"/>
      <c r="D208" s="521" t="s">
        <v>455</v>
      </c>
      <c r="E208" s="1099" t="s">
        <v>1925</v>
      </c>
      <c r="F208" s="1099">
        <v>22</v>
      </c>
      <c r="G208" s="1108" t="s">
        <v>2446</v>
      </c>
      <c r="H208" s="1108" t="s">
        <v>5406</v>
      </c>
      <c r="I208" s="1109" t="s">
        <v>1606</v>
      </c>
      <c r="J208" s="1099">
        <v>6</v>
      </c>
      <c r="K208" s="1099">
        <v>9</v>
      </c>
      <c r="L208" s="1099">
        <v>12</v>
      </c>
      <c r="M208" s="1104">
        <v>15</v>
      </c>
      <c r="N208" s="1099">
        <v>60</v>
      </c>
      <c r="O208" s="1099">
        <v>100</v>
      </c>
      <c r="P208" s="1099">
        <v>150</v>
      </c>
      <c r="Q208" s="1104">
        <v>220</v>
      </c>
      <c r="R208" s="1099">
        <v>10</v>
      </c>
      <c r="S208" s="1099">
        <v>10</v>
      </c>
      <c r="T208" s="1099">
        <v>15</v>
      </c>
      <c r="U208" s="1104">
        <v>15</v>
      </c>
      <c r="V208" s="1101" t="s">
        <v>5407</v>
      </c>
      <c r="W208" s="1101" t="s">
        <v>5408</v>
      </c>
      <c r="X208" s="1101" t="s">
        <v>5409</v>
      </c>
      <c r="Y208" s="1101" t="s">
        <v>5410</v>
      </c>
      <c r="Z208" s="1102" t="s">
        <v>5411</v>
      </c>
    </row>
    <row r="209" spans="2:26" ht="12.75" customHeight="1" x14ac:dyDescent="0.2">
      <c r="B209" s="2090" t="str">
        <f t="shared" si="3"/>
        <v>Agua26</v>
      </c>
      <c r="C209" s="1103"/>
      <c r="D209" s="521" t="s">
        <v>456</v>
      </c>
      <c r="E209" s="1099" t="s">
        <v>1925</v>
      </c>
      <c r="F209" s="1099">
        <v>26</v>
      </c>
      <c r="G209" s="1108" t="s">
        <v>1690</v>
      </c>
      <c r="H209" s="1108" t="s">
        <v>1536</v>
      </c>
      <c r="I209" s="1109" t="s">
        <v>1606</v>
      </c>
      <c r="J209" s="1099">
        <v>6</v>
      </c>
      <c r="K209" s="1099">
        <v>9</v>
      </c>
      <c r="L209" s="1099">
        <v>12</v>
      </c>
      <c r="M209" s="1104">
        <v>15</v>
      </c>
      <c r="N209" s="1099">
        <v>60</v>
      </c>
      <c r="O209" s="1099">
        <v>90</v>
      </c>
      <c r="P209" s="1099">
        <v>120</v>
      </c>
      <c r="Q209" s="1104">
        <v>150</v>
      </c>
      <c r="R209" s="1099">
        <v>5</v>
      </c>
      <c r="S209" s="1099">
        <v>5</v>
      </c>
      <c r="T209" s="1099">
        <v>10</v>
      </c>
      <c r="U209" s="1104">
        <v>10</v>
      </c>
      <c r="V209" s="1101" t="s">
        <v>5412</v>
      </c>
      <c r="W209" s="1101" t="s">
        <v>5413</v>
      </c>
      <c r="X209" s="1101" t="s">
        <v>5414</v>
      </c>
      <c r="Y209" s="1101" t="s">
        <v>5415</v>
      </c>
      <c r="Z209" s="1102" t="s">
        <v>5416</v>
      </c>
    </row>
    <row r="210" spans="2:26" ht="12.75" customHeight="1" x14ac:dyDescent="0.2">
      <c r="B210" s="2090" t="str">
        <f t="shared" si="3"/>
        <v>Agua30</v>
      </c>
      <c r="C210" s="1103"/>
      <c r="D210" s="521" t="s">
        <v>457</v>
      </c>
      <c r="E210" s="1099" t="s">
        <v>1925</v>
      </c>
      <c r="F210" s="1099">
        <v>30</v>
      </c>
      <c r="G210" s="1108" t="s">
        <v>2446</v>
      </c>
      <c r="H210" s="1108" t="s">
        <v>5406</v>
      </c>
      <c r="I210" s="1109" t="s">
        <v>1606</v>
      </c>
      <c r="J210" s="1099">
        <v>6</v>
      </c>
      <c r="K210" s="1099">
        <v>9</v>
      </c>
      <c r="L210" s="1099">
        <v>12</v>
      </c>
      <c r="M210" s="1104">
        <v>15</v>
      </c>
      <c r="N210" s="1099">
        <v>50</v>
      </c>
      <c r="O210" s="1099">
        <v>80</v>
      </c>
      <c r="P210" s="1099">
        <v>120</v>
      </c>
      <c r="Q210" s="1104">
        <v>180</v>
      </c>
      <c r="R210" s="1099">
        <v>5</v>
      </c>
      <c r="S210" s="1099">
        <v>10</v>
      </c>
      <c r="T210" s="1099">
        <v>15</v>
      </c>
      <c r="U210" s="1104">
        <v>20</v>
      </c>
      <c r="V210" s="1101" t="s">
        <v>5417</v>
      </c>
      <c r="W210" s="1101" t="s">
        <v>5418</v>
      </c>
      <c r="X210" s="1101" t="s">
        <v>5419</v>
      </c>
      <c r="Y210" s="1101" t="s">
        <v>5420</v>
      </c>
      <c r="Z210" s="1102" t="s">
        <v>5421</v>
      </c>
    </row>
    <row r="211" spans="2:26" ht="12.75" customHeight="1" x14ac:dyDescent="0.2">
      <c r="B211" s="2090" t="str">
        <f t="shared" si="3"/>
        <v>Agua32</v>
      </c>
      <c r="C211" s="1103"/>
      <c r="D211" s="521" t="s">
        <v>458</v>
      </c>
      <c r="E211" s="1099" t="s">
        <v>1925</v>
      </c>
      <c r="F211" s="1099">
        <v>32</v>
      </c>
      <c r="G211" s="1108" t="s">
        <v>2446</v>
      </c>
      <c r="H211" s="1108" t="s">
        <v>5406</v>
      </c>
      <c r="I211" s="1109" t="s">
        <v>1606</v>
      </c>
      <c r="J211" s="1099">
        <v>6</v>
      </c>
      <c r="K211" s="1099">
        <v>9</v>
      </c>
      <c r="L211" s="1099">
        <v>12</v>
      </c>
      <c r="M211" s="1104">
        <v>15</v>
      </c>
      <c r="N211" s="1099">
        <v>60</v>
      </c>
      <c r="O211" s="1099">
        <v>100</v>
      </c>
      <c r="P211" s="1099">
        <v>140</v>
      </c>
      <c r="Q211" s="1104">
        <v>220</v>
      </c>
      <c r="R211" s="1099">
        <v>10</v>
      </c>
      <c r="S211" s="1099">
        <v>10</v>
      </c>
      <c r="T211" s="1099">
        <v>15</v>
      </c>
      <c r="U211" s="1104">
        <v>15</v>
      </c>
      <c r="V211" s="1101" t="s">
        <v>5422</v>
      </c>
      <c r="W211" s="1101" t="s">
        <v>5423</v>
      </c>
      <c r="X211" s="1101" t="s">
        <v>5424</v>
      </c>
      <c r="Y211" s="1101" t="s">
        <v>5425</v>
      </c>
      <c r="Z211" s="1102" t="s">
        <v>5426</v>
      </c>
    </row>
    <row r="212" spans="2:26" ht="12.75" customHeight="1" x14ac:dyDescent="0.2">
      <c r="B212" s="2090" t="str">
        <f t="shared" si="3"/>
        <v>Agua36</v>
      </c>
      <c r="C212" s="1103"/>
      <c r="D212" s="521" t="s">
        <v>459</v>
      </c>
      <c r="E212" s="1099" t="s">
        <v>1925</v>
      </c>
      <c r="F212" s="1099">
        <v>36</v>
      </c>
      <c r="G212" s="1108" t="s">
        <v>1690</v>
      </c>
      <c r="H212" s="1108" t="s">
        <v>1881</v>
      </c>
      <c r="I212" s="1109" t="s">
        <v>1607</v>
      </c>
      <c r="J212" s="1099">
        <v>6</v>
      </c>
      <c r="K212" s="1099">
        <v>9</v>
      </c>
      <c r="L212" s="1099">
        <v>12</v>
      </c>
      <c r="M212" s="1104">
        <v>15</v>
      </c>
      <c r="N212" s="1099">
        <v>60</v>
      </c>
      <c r="O212" s="1099">
        <v>180</v>
      </c>
      <c r="P212" s="1099">
        <v>240</v>
      </c>
      <c r="Q212" s="1104">
        <v>300</v>
      </c>
      <c r="R212" s="1099">
        <v>10</v>
      </c>
      <c r="S212" s="1099">
        <v>10</v>
      </c>
      <c r="T212" s="1099">
        <v>15</v>
      </c>
      <c r="U212" s="1104">
        <v>15</v>
      </c>
      <c r="V212" s="1101" t="s">
        <v>5427</v>
      </c>
      <c r="W212" s="1101" t="s">
        <v>5428</v>
      </c>
      <c r="X212" s="1101" t="s">
        <v>5429</v>
      </c>
      <c r="Y212" s="1101" t="s">
        <v>5430</v>
      </c>
      <c r="Z212" s="1105" t="s">
        <v>5431</v>
      </c>
    </row>
    <row r="213" spans="2:26" ht="12.75" customHeight="1" x14ac:dyDescent="0.2">
      <c r="B213" s="2090" t="str">
        <f t="shared" si="3"/>
        <v>Agua40</v>
      </c>
      <c r="C213" s="1103"/>
      <c r="D213" s="521" t="s">
        <v>460</v>
      </c>
      <c r="E213" s="1099" t="s">
        <v>1925</v>
      </c>
      <c r="F213" s="1099">
        <v>40</v>
      </c>
      <c r="G213" s="1108" t="s">
        <v>2446</v>
      </c>
      <c r="H213" s="1108" t="s">
        <v>1536</v>
      </c>
      <c r="I213" s="1109" t="s">
        <v>1606</v>
      </c>
      <c r="J213" s="1099">
        <v>6</v>
      </c>
      <c r="K213" s="1099">
        <v>9</v>
      </c>
      <c r="L213" s="1099">
        <v>12</v>
      </c>
      <c r="M213" s="1104">
        <v>16</v>
      </c>
      <c r="N213" s="1099">
        <v>80</v>
      </c>
      <c r="O213" s="1099">
        <v>140</v>
      </c>
      <c r="P213" s="1099">
        <v>240</v>
      </c>
      <c r="Q213" s="1104">
        <v>350</v>
      </c>
      <c r="R213" s="1099">
        <v>10</v>
      </c>
      <c r="S213" s="1099">
        <v>20</v>
      </c>
      <c r="T213" s="1099">
        <v>25</v>
      </c>
      <c r="U213" s="1104">
        <v>30</v>
      </c>
      <c r="V213" s="1101" t="s">
        <v>5432</v>
      </c>
      <c r="W213" s="1101" t="s">
        <v>5433</v>
      </c>
      <c r="X213" s="1101" t="s">
        <v>5434</v>
      </c>
      <c r="Y213" s="1101" t="s">
        <v>5435</v>
      </c>
      <c r="Z213" s="1102" t="s">
        <v>5436</v>
      </c>
    </row>
    <row r="214" spans="2:26" ht="12.75" customHeight="1" x14ac:dyDescent="0.2">
      <c r="B214" s="2090" t="str">
        <f t="shared" si="3"/>
        <v>Agua42</v>
      </c>
      <c r="C214" s="1103"/>
      <c r="D214" s="521" t="s">
        <v>461</v>
      </c>
      <c r="E214" s="1099" t="s">
        <v>1925</v>
      </c>
      <c r="F214" s="1099">
        <v>42</v>
      </c>
      <c r="G214" s="1108" t="s">
        <v>1690</v>
      </c>
      <c r="H214" s="1108" t="s">
        <v>1534</v>
      </c>
      <c r="I214" s="1109" t="s">
        <v>1606</v>
      </c>
      <c r="J214" s="1099">
        <v>6</v>
      </c>
      <c r="K214" s="1099">
        <v>9</v>
      </c>
      <c r="L214" s="1099">
        <v>12</v>
      </c>
      <c r="M214" s="1104">
        <v>15</v>
      </c>
      <c r="N214" s="1099">
        <v>80</v>
      </c>
      <c r="O214" s="1099">
        <v>160</v>
      </c>
      <c r="P214" s="1099">
        <v>240</v>
      </c>
      <c r="Q214" s="1104">
        <v>300</v>
      </c>
      <c r="R214" s="1099" t="s">
        <v>1690</v>
      </c>
      <c r="S214" s="1099" t="s">
        <v>1690</v>
      </c>
      <c r="T214" s="1099" t="s">
        <v>1690</v>
      </c>
      <c r="U214" s="1104" t="s">
        <v>1690</v>
      </c>
      <c r="V214" s="1101" t="s">
        <v>5437</v>
      </c>
      <c r="W214" s="1101" t="s">
        <v>4619</v>
      </c>
      <c r="X214" s="1101" t="s">
        <v>5438</v>
      </c>
      <c r="Y214" s="1101" t="s">
        <v>5439</v>
      </c>
      <c r="Z214" s="1102" t="s">
        <v>5440</v>
      </c>
    </row>
    <row r="215" spans="2:26" ht="12.75" customHeight="1" x14ac:dyDescent="0.2">
      <c r="B215" s="2090" t="str">
        <f t="shared" si="3"/>
        <v>Agua46</v>
      </c>
      <c r="C215" s="1103"/>
      <c r="D215" s="521" t="s">
        <v>462</v>
      </c>
      <c r="E215" s="1099" t="s">
        <v>1925</v>
      </c>
      <c r="F215" s="1099">
        <v>46</v>
      </c>
      <c r="G215" s="1108" t="s">
        <v>1690</v>
      </c>
      <c r="H215" s="1108" t="s">
        <v>5406</v>
      </c>
      <c r="I215" s="1109" t="s">
        <v>1606</v>
      </c>
      <c r="J215" s="1099">
        <v>8</v>
      </c>
      <c r="K215" s="1099">
        <v>10</v>
      </c>
      <c r="L215" s="1099">
        <v>12</v>
      </c>
      <c r="M215" s="1104">
        <v>14</v>
      </c>
      <c r="N215" s="1099">
        <v>80</v>
      </c>
      <c r="O215" s="1099">
        <v>120</v>
      </c>
      <c r="P215" s="1099">
        <v>150</v>
      </c>
      <c r="Q215" s="1104">
        <v>200</v>
      </c>
      <c r="R215" s="1099">
        <v>5</v>
      </c>
      <c r="S215" s="1099">
        <v>10</v>
      </c>
      <c r="T215" s="1099">
        <v>15</v>
      </c>
      <c r="U215" s="1104">
        <v>20</v>
      </c>
      <c r="V215" s="1101" t="s">
        <v>5441</v>
      </c>
      <c r="W215" s="1101" t="s">
        <v>5442</v>
      </c>
      <c r="X215" s="1101" t="s">
        <v>5443</v>
      </c>
      <c r="Y215" s="1101" t="s">
        <v>5444</v>
      </c>
      <c r="Z215" s="1102" t="s">
        <v>5445</v>
      </c>
    </row>
    <row r="216" spans="2:26" ht="12.75" customHeight="1" x14ac:dyDescent="0.2">
      <c r="B216" s="2090" t="str">
        <f t="shared" si="3"/>
        <v>Agua50</v>
      </c>
      <c r="C216" s="1103"/>
      <c r="D216" s="521" t="s">
        <v>463</v>
      </c>
      <c r="E216" s="1099" t="s">
        <v>1925</v>
      </c>
      <c r="F216" s="1099">
        <v>50</v>
      </c>
      <c r="G216" s="1108" t="s">
        <v>1690</v>
      </c>
      <c r="H216" s="1108" t="s">
        <v>5406</v>
      </c>
      <c r="I216" s="1109" t="s">
        <v>1606</v>
      </c>
      <c r="J216" s="1099">
        <v>7</v>
      </c>
      <c r="K216" s="1099">
        <v>10</v>
      </c>
      <c r="L216" s="1099">
        <v>13</v>
      </c>
      <c r="M216" s="1104">
        <v>15</v>
      </c>
      <c r="N216" s="1099">
        <v>80</v>
      </c>
      <c r="O216" s="1099">
        <v>160</v>
      </c>
      <c r="P216" s="1099">
        <v>240</v>
      </c>
      <c r="Q216" s="1104">
        <v>350</v>
      </c>
      <c r="R216" s="1099">
        <v>5</v>
      </c>
      <c r="S216" s="1099">
        <v>10</v>
      </c>
      <c r="T216" s="1099">
        <v>15</v>
      </c>
      <c r="U216" s="1104">
        <v>20</v>
      </c>
      <c r="V216" s="1101" t="s">
        <v>5446</v>
      </c>
      <c r="W216" s="1101" t="s">
        <v>5447</v>
      </c>
      <c r="X216" s="1101" t="s">
        <v>5448</v>
      </c>
      <c r="Y216" s="1101" t="s">
        <v>5449</v>
      </c>
      <c r="Z216" s="1102" t="s">
        <v>5450</v>
      </c>
    </row>
    <row r="217" spans="2:26" ht="12.75" customHeight="1" x14ac:dyDescent="0.2">
      <c r="B217" s="2090" t="str">
        <f t="shared" si="3"/>
        <v>Agua52</v>
      </c>
      <c r="C217" s="1103"/>
      <c r="D217" s="521" t="s">
        <v>464</v>
      </c>
      <c r="E217" s="1099" t="s">
        <v>1925</v>
      </c>
      <c r="F217" s="1099">
        <v>52</v>
      </c>
      <c r="G217" s="1108" t="s">
        <v>1690</v>
      </c>
      <c r="H217" s="1108" t="s">
        <v>1536</v>
      </c>
      <c r="I217" s="1109" t="s">
        <v>1606</v>
      </c>
      <c r="J217" s="1099">
        <v>8</v>
      </c>
      <c r="K217" s="1099">
        <v>11</v>
      </c>
      <c r="L217" s="1099">
        <v>13</v>
      </c>
      <c r="M217" s="1104">
        <v>16</v>
      </c>
      <c r="N217" s="1099">
        <v>100</v>
      </c>
      <c r="O217" s="1099">
        <v>120</v>
      </c>
      <c r="P217" s="1099">
        <v>140</v>
      </c>
      <c r="Q217" s="1104">
        <v>160</v>
      </c>
      <c r="R217" s="1099">
        <v>10</v>
      </c>
      <c r="S217" s="1099">
        <v>15</v>
      </c>
      <c r="T217" s="1099">
        <v>15</v>
      </c>
      <c r="U217" s="1104">
        <v>20</v>
      </c>
      <c r="V217" s="1101" t="s">
        <v>5451</v>
      </c>
      <c r="W217" s="1101" t="s">
        <v>5452</v>
      </c>
      <c r="X217" s="1101" t="s">
        <v>5453</v>
      </c>
      <c r="Y217" s="1101" t="s">
        <v>5454</v>
      </c>
      <c r="Z217" s="1102" t="s">
        <v>5455</v>
      </c>
    </row>
    <row r="218" spans="2:26" ht="12.75" customHeight="1" x14ac:dyDescent="0.2">
      <c r="B218" s="2090" t="str">
        <f t="shared" si="3"/>
        <v>Agua56</v>
      </c>
      <c r="C218" s="1103"/>
      <c r="D218" s="521" t="s">
        <v>465</v>
      </c>
      <c r="E218" s="1099" t="s">
        <v>1925</v>
      </c>
      <c r="F218" s="1099">
        <v>56</v>
      </c>
      <c r="G218" s="1108" t="s">
        <v>1690</v>
      </c>
      <c r="H218" s="1108" t="s">
        <v>5456</v>
      </c>
      <c r="I218" s="1109" t="s">
        <v>1607</v>
      </c>
      <c r="J218" s="1099">
        <v>7</v>
      </c>
      <c r="K218" s="1099">
        <v>10</v>
      </c>
      <c r="L218" s="1099">
        <v>13</v>
      </c>
      <c r="M218" s="1104">
        <v>16</v>
      </c>
      <c r="N218" s="1099">
        <v>120</v>
      </c>
      <c r="O218" s="1099">
        <v>180</v>
      </c>
      <c r="P218" s="1099">
        <v>240</v>
      </c>
      <c r="Q218" s="1104">
        <v>320</v>
      </c>
      <c r="R218" s="1099" t="s">
        <v>1690</v>
      </c>
      <c r="S218" s="1099" t="s">
        <v>1690</v>
      </c>
      <c r="T218" s="1099" t="s">
        <v>1690</v>
      </c>
      <c r="U218" s="1104" t="s">
        <v>1690</v>
      </c>
      <c r="V218" s="1101" t="s">
        <v>4863</v>
      </c>
      <c r="W218" s="1101" t="s">
        <v>5457</v>
      </c>
      <c r="X218" s="1101" t="s">
        <v>5458</v>
      </c>
      <c r="Y218" s="1101" t="s">
        <v>4698</v>
      </c>
      <c r="Z218" s="1102" t="s">
        <v>5459</v>
      </c>
    </row>
    <row r="219" spans="2:26" ht="12.75" customHeight="1" x14ac:dyDescent="0.2">
      <c r="B219" s="2090" t="str">
        <f t="shared" si="3"/>
        <v>Agua60</v>
      </c>
      <c r="C219" s="1103"/>
      <c r="D219" s="521" t="s">
        <v>466</v>
      </c>
      <c r="E219" s="1099" t="s">
        <v>1925</v>
      </c>
      <c r="F219" s="1099">
        <v>60</v>
      </c>
      <c r="G219" s="1108" t="s">
        <v>1690</v>
      </c>
      <c r="H219" s="1108" t="s">
        <v>4585</v>
      </c>
      <c r="I219" s="1109" t="s">
        <v>1606</v>
      </c>
      <c r="J219" s="1099">
        <v>7</v>
      </c>
      <c r="K219" s="1099">
        <v>10</v>
      </c>
      <c r="L219" s="1099">
        <v>12</v>
      </c>
      <c r="M219" s="1104">
        <v>15</v>
      </c>
      <c r="N219" s="1099">
        <v>120</v>
      </c>
      <c r="O219" s="1099">
        <v>180</v>
      </c>
      <c r="P219" s="1099">
        <v>240</v>
      </c>
      <c r="Q219" s="1104">
        <v>320</v>
      </c>
      <c r="R219" s="1099">
        <v>10</v>
      </c>
      <c r="S219" s="1099">
        <v>10</v>
      </c>
      <c r="T219" s="1099">
        <v>15</v>
      </c>
      <c r="U219" s="1104">
        <v>15</v>
      </c>
      <c r="V219" s="1101" t="s">
        <v>4852</v>
      </c>
      <c r="W219" s="1101" t="s">
        <v>5460</v>
      </c>
      <c r="X219" s="1101" t="s">
        <v>5461</v>
      </c>
      <c r="Y219" s="1101" t="s">
        <v>5462</v>
      </c>
      <c r="Z219" s="1102" t="s">
        <v>5463</v>
      </c>
    </row>
    <row r="220" spans="2:26" ht="12.75" customHeight="1" x14ac:dyDescent="0.2">
      <c r="B220" s="2090" t="str">
        <f t="shared" si="3"/>
        <v>Agua62</v>
      </c>
      <c r="C220" s="1103"/>
      <c r="D220" s="521" t="s">
        <v>467</v>
      </c>
      <c r="E220" s="1099" t="s">
        <v>1925</v>
      </c>
      <c r="F220" s="1099">
        <v>62</v>
      </c>
      <c r="G220" s="1108" t="s">
        <v>2446</v>
      </c>
      <c r="H220" s="1108" t="s">
        <v>1536</v>
      </c>
      <c r="I220" s="1109" t="s">
        <v>1606</v>
      </c>
      <c r="J220" s="1099">
        <v>6</v>
      </c>
      <c r="K220" s="1099">
        <v>9</v>
      </c>
      <c r="L220" s="1099">
        <v>12</v>
      </c>
      <c r="M220" s="1104">
        <v>15</v>
      </c>
      <c r="N220" s="1099">
        <v>150</v>
      </c>
      <c r="O220" s="1099">
        <v>300</v>
      </c>
      <c r="P220" s="1099">
        <v>450</v>
      </c>
      <c r="Q220" s="1104">
        <v>600</v>
      </c>
      <c r="R220" s="1099">
        <v>15</v>
      </c>
      <c r="S220" s="1099">
        <v>30</v>
      </c>
      <c r="T220" s="1099">
        <v>45</v>
      </c>
      <c r="U220" s="1104">
        <v>60</v>
      </c>
      <c r="V220" s="1101" t="s">
        <v>5464</v>
      </c>
      <c r="W220" s="1101" t="s">
        <v>5465</v>
      </c>
      <c r="X220" s="1101" t="s">
        <v>5466</v>
      </c>
      <c r="Y220" s="1101" t="s">
        <v>5467</v>
      </c>
      <c r="Z220" s="1102" t="s">
        <v>5468</v>
      </c>
    </row>
    <row r="221" spans="2:26" ht="12.75" customHeight="1" x14ac:dyDescent="0.2">
      <c r="B221" s="2090" t="str">
        <f t="shared" si="3"/>
        <v>Agua66</v>
      </c>
      <c r="C221" s="1103"/>
      <c r="D221" s="521" t="s">
        <v>468</v>
      </c>
      <c r="E221" s="1099" t="s">
        <v>1925</v>
      </c>
      <c r="F221" s="1099">
        <v>66</v>
      </c>
      <c r="G221" s="1108" t="s">
        <v>1690</v>
      </c>
      <c r="H221" s="1108" t="s">
        <v>4585</v>
      </c>
      <c r="I221" s="1109" t="s">
        <v>1606</v>
      </c>
      <c r="J221" s="1099">
        <v>7</v>
      </c>
      <c r="K221" s="1099">
        <v>10</v>
      </c>
      <c r="L221" s="1099">
        <v>13</v>
      </c>
      <c r="M221" s="1104">
        <v>16</v>
      </c>
      <c r="N221" s="1099">
        <v>140</v>
      </c>
      <c r="O221" s="1099">
        <v>200</v>
      </c>
      <c r="P221" s="1099">
        <v>280</v>
      </c>
      <c r="Q221" s="1104">
        <v>350</v>
      </c>
      <c r="R221" s="1099">
        <v>10</v>
      </c>
      <c r="S221" s="1099">
        <v>10</v>
      </c>
      <c r="T221" s="1099">
        <v>15</v>
      </c>
      <c r="U221" s="1104">
        <v>20</v>
      </c>
      <c r="V221" s="1101" t="s">
        <v>5469</v>
      </c>
      <c r="W221" s="1101" t="s">
        <v>5470</v>
      </c>
      <c r="X221" s="1101" t="s">
        <v>5471</v>
      </c>
      <c r="Y221" s="1101" t="s">
        <v>5472</v>
      </c>
      <c r="Z221" s="1102" t="s">
        <v>5473</v>
      </c>
    </row>
    <row r="222" spans="2:26" ht="12.75" customHeight="1" x14ac:dyDescent="0.2">
      <c r="B222" s="2090" t="str">
        <f t="shared" si="3"/>
        <v>Agua70</v>
      </c>
      <c r="C222" s="1103"/>
      <c r="D222" s="521" t="s">
        <v>469</v>
      </c>
      <c r="E222" s="1099" t="s">
        <v>1925</v>
      </c>
      <c r="F222" s="1099">
        <v>70</v>
      </c>
      <c r="G222" s="1108" t="s">
        <v>2446</v>
      </c>
      <c r="H222" s="1108" t="s">
        <v>1536</v>
      </c>
      <c r="I222" s="1109" t="s">
        <v>1606</v>
      </c>
      <c r="J222" s="1099">
        <v>10</v>
      </c>
      <c r="K222" s="1099">
        <v>12</v>
      </c>
      <c r="L222" s="1099">
        <v>14</v>
      </c>
      <c r="M222" s="1104">
        <v>16</v>
      </c>
      <c r="N222" s="1099">
        <v>200</v>
      </c>
      <c r="O222" s="1099">
        <v>300</v>
      </c>
      <c r="P222" s="1099">
        <v>400</v>
      </c>
      <c r="Q222" s="1104">
        <v>500</v>
      </c>
      <c r="R222" s="1099">
        <v>40</v>
      </c>
      <c r="S222" s="1099">
        <v>60</v>
      </c>
      <c r="T222" s="1099">
        <v>80</v>
      </c>
      <c r="U222" s="1104">
        <v>100</v>
      </c>
      <c r="V222" s="1101" t="s">
        <v>5474</v>
      </c>
      <c r="W222" s="1101" t="s">
        <v>5475</v>
      </c>
      <c r="X222" s="1101" t="s">
        <v>5476</v>
      </c>
      <c r="Y222" s="1101" t="s">
        <v>5477</v>
      </c>
      <c r="Z222" s="1102" t="s">
        <v>5478</v>
      </c>
    </row>
    <row r="223" spans="2:26" ht="12.75" customHeight="1" x14ac:dyDescent="0.2">
      <c r="B223" s="2090" t="str">
        <f t="shared" si="3"/>
        <v>Agua72</v>
      </c>
      <c r="C223" s="1103"/>
      <c r="D223" s="521" t="s">
        <v>470</v>
      </c>
      <c r="E223" s="1099" t="s">
        <v>1925</v>
      </c>
      <c r="F223" s="1099">
        <v>72</v>
      </c>
      <c r="G223" s="1108" t="s">
        <v>1690</v>
      </c>
      <c r="H223" s="1108" t="s">
        <v>1536</v>
      </c>
      <c r="I223" s="1109" t="s">
        <v>1606</v>
      </c>
      <c r="J223" s="1099">
        <v>10</v>
      </c>
      <c r="K223" s="1099">
        <v>12</v>
      </c>
      <c r="L223" s="1099">
        <v>15</v>
      </c>
      <c r="M223" s="1104">
        <v>17</v>
      </c>
      <c r="N223" s="1099">
        <v>250</v>
      </c>
      <c r="O223" s="1099">
        <v>350</v>
      </c>
      <c r="P223" s="1099">
        <v>450</v>
      </c>
      <c r="Q223" s="1104">
        <v>550</v>
      </c>
      <c r="R223" s="1099" t="s">
        <v>1690</v>
      </c>
      <c r="S223" s="1099" t="s">
        <v>1690</v>
      </c>
      <c r="T223" s="1099" t="s">
        <v>1690</v>
      </c>
      <c r="U223" s="1104" t="s">
        <v>1690</v>
      </c>
      <c r="V223" s="1101" t="s">
        <v>5479</v>
      </c>
      <c r="W223" s="1101" t="s">
        <v>5480</v>
      </c>
      <c r="X223" s="1101" t="s">
        <v>5481</v>
      </c>
      <c r="Y223" s="1101" t="s">
        <v>5482</v>
      </c>
      <c r="Z223" s="1102" t="s">
        <v>5483</v>
      </c>
    </row>
    <row r="224" spans="2:26" ht="12.75" customHeight="1" x14ac:dyDescent="0.2">
      <c r="B224" s="2090" t="str">
        <f t="shared" si="3"/>
        <v>Agua76</v>
      </c>
      <c r="C224" s="1103"/>
      <c r="D224" s="521" t="s">
        <v>471</v>
      </c>
      <c r="E224" s="1099" t="s">
        <v>1925</v>
      </c>
      <c r="F224" s="1099">
        <v>76</v>
      </c>
      <c r="G224" s="1108" t="s">
        <v>1690</v>
      </c>
      <c r="H224" s="1108" t="s">
        <v>4585</v>
      </c>
      <c r="I224" s="1109" t="s">
        <v>1606</v>
      </c>
      <c r="J224" s="1099">
        <v>10</v>
      </c>
      <c r="K224" s="1099">
        <v>12</v>
      </c>
      <c r="L224" s="1099">
        <v>14</v>
      </c>
      <c r="M224" s="1104">
        <v>16</v>
      </c>
      <c r="N224" s="1099">
        <v>200</v>
      </c>
      <c r="O224" s="1099">
        <v>280</v>
      </c>
      <c r="P224" s="1099">
        <v>320</v>
      </c>
      <c r="Q224" s="1104">
        <v>400</v>
      </c>
      <c r="R224" s="1099">
        <v>20</v>
      </c>
      <c r="S224" s="1099">
        <v>30</v>
      </c>
      <c r="T224" s="1099">
        <v>35</v>
      </c>
      <c r="U224" s="1104">
        <v>40</v>
      </c>
      <c r="V224" s="1101" t="s">
        <v>5484</v>
      </c>
      <c r="W224" s="1101" t="s">
        <v>5485</v>
      </c>
      <c r="X224" s="1101" t="s">
        <v>5486</v>
      </c>
      <c r="Y224" s="1101" t="s">
        <v>5487</v>
      </c>
      <c r="Z224" s="1102" t="s">
        <v>5488</v>
      </c>
    </row>
    <row r="225" spans="2:26" ht="12.75" customHeight="1" x14ac:dyDescent="0.2">
      <c r="B225" s="2090" t="str">
        <f t="shared" si="3"/>
        <v>Agua80</v>
      </c>
      <c r="C225" s="1103"/>
      <c r="D225" s="521" t="s">
        <v>472</v>
      </c>
      <c r="E225" s="1099" t="s">
        <v>1925</v>
      </c>
      <c r="F225" s="1099">
        <v>80</v>
      </c>
      <c r="G225" s="1108" t="s">
        <v>1690</v>
      </c>
      <c r="H225" s="1108" t="s">
        <v>4585</v>
      </c>
      <c r="I225" s="1109" t="s">
        <v>1606</v>
      </c>
      <c r="J225" s="1099">
        <v>10</v>
      </c>
      <c r="K225" s="1099">
        <v>12</v>
      </c>
      <c r="L225" s="1099">
        <v>14</v>
      </c>
      <c r="M225" s="1104">
        <v>16</v>
      </c>
      <c r="N225" s="1099">
        <v>200</v>
      </c>
      <c r="O225" s="1099">
        <v>320</v>
      </c>
      <c r="P225" s="1099">
        <v>450</v>
      </c>
      <c r="Q225" s="1104">
        <v>600</v>
      </c>
      <c r="R225" s="1099">
        <v>20</v>
      </c>
      <c r="S225" s="1099">
        <v>25</v>
      </c>
      <c r="T225" s="1099">
        <v>30</v>
      </c>
      <c r="U225" s="1104">
        <v>35</v>
      </c>
      <c r="V225" s="1101" t="s">
        <v>5489</v>
      </c>
      <c r="W225" s="1101" t="s">
        <v>5490</v>
      </c>
      <c r="X225" s="1101" t="s">
        <v>5491</v>
      </c>
      <c r="Y225" s="1101" t="s">
        <v>5492</v>
      </c>
      <c r="Z225" s="1102" t="s">
        <v>5493</v>
      </c>
    </row>
    <row r="226" spans="2:26" ht="12.75" customHeight="1" x14ac:dyDescent="0.2">
      <c r="B226" s="2090" t="str">
        <f t="shared" si="3"/>
        <v>Agua82</v>
      </c>
      <c r="C226" s="1103"/>
      <c r="D226" s="521" t="s">
        <v>473</v>
      </c>
      <c r="E226" s="1099" t="s">
        <v>1925</v>
      </c>
      <c r="F226" s="1099">
        <v>82</v>
      </c>
      <c r="G226" s="1108" t="s">
        <v>2446</v>
      </c>
      <c r="H226" s="1108" t="s">
        <v>1536</v>
      </c>
      <c r="I226" s="1109" t="s">
        <v>1606</v>
      </c>
      <c r="J226" s="1099">
        <v>10</v>
      </c>
      <c r="K226" s="1099">
        <v>12</v>
      </c>
      <c r="L226" s="1099">
        <v>14</v>
      </c>
      <c r="M226" s="1104">
        <v>16</v>
      </c>
      <c r="N226" s="1099">
        <v>250</v>
      </c>
      <c r="O226" s="1099">
        <v>350</v>
      </c>
      <c r="P226" s="1099">
        <v>500</v>
      </c>
      <c r="Q226" s="1104">
        <v>700</v>
      </c>
      <c r="R226" s="1099">
        <v>50</v>
      </c>
      <c r="S226" s="1099">
        <v>70</v>
      </c>
      <c r="T226" s="1099">
        <v>100</v>
      </c>
      <c r="U226" s="1104">
        <v>140</v>
      </c>
      <c r="V226" s="1101" t="s">
        <v>4730</v>
      </c>
      <c r="W226" s="1101" t="s">
        <v>4877</v>
      </c>
      <c r="X226" s="1101" t="s">
        <v>4732</v>
      </c>
      <c r="Y226" s="1101" t="s">
        <v>4733</v>
      </c>
      <c r="Z226" s="1102" t="s">
        <v>5494</v>
      </c>
    </row>
    <row r="227" spans="2:26" ht="12.75" customHeight="1" x14ac:dyDescent="0.2">
      <c r="B227" s="2090" t="str">
        <f t="shared" si="3"/>
        <v>Agua86</v>
      </c>
      <c r="C227" s="1103"/>
      <c r="D227" s="521" t="s">
        <v>474</v>
      </c>
      <c r="E227" s="1099" t="s">
        <v>1925</v>
      </c>
      <c r="F227" s="1099">
        <v>86</v>
      </c>
      <c r="G227" s="1108" t="s">
        <v>2446</v>
      </c>
      <c r="H227" s="1108" t="s">
        <v>1536</v>
      </c>
      <c r="I227" s="1109" t="s">
        <v>1607</v>
      </c>
      <c r="J227" s="1099">
        <v>9</v>
      </c>
      <c r="K227" s="1099">
        <v>12</v>
      </c>
      <c r="L227" s="1099">
        <v>15</v>
      </c>
      <c r="M227" s="1104">
        <v>18</v>
      </c>
      <c r="N227" s="1099">
        <v>250</v>
      </c>
      <c r="O227" s="1099">
        <v>400</v>
      </c>
      <c r="P227" s="1099">
        <v>550</v>
      </c>
      <c r="Q227" s="1104">
        <v>800</v>
      </c>
      <c r="R227" s="1099">
        <v>50</v>
      </c>
      <c r="S227" s="1099">
        <v>75</v>
      </c>
      <c r="T227" s="1099">
        <v>90</v>
      </c>
      <c r="U227" s="1104">
        <v>100</v>
      </c>
      <c r="V227" s="1101" t="s">
        <v>5495</v>
      </c>
      <c r="W227" s="1101" t="s">
        <v>5496</v>
      </c>
      <c r="X227" s="1101" t="s">
        <v>5497</v>
      </c>
      <c r="Y227" s="1101" t="s">
        <v>5498</v>
      </c>
      <c r="Z227" s="1102" t="s">
        <v>5499</v>
      </c>
    </row>
    <row r="228" spans="2:26" ht="12.75" customHeight="1" x14ac:dyDescent="0.2">
      <c r="B228" s="2090" t="str">
        <f t="shared" si="3"/>
        <v>Agua90</v>
      </c>
      <c r="C228" s="1103"/>
      <c r="D228" s="521" t="s">
        <v>475</v>
      </c>
      <c r="E228" s="1099" t="s">
        <v>1925</v>
      </c>
      <c r="F228" s="1099">
        <v>90</v>
      </c>
      <c r="G228" s="1108" t="s">
        <v>2446</v>
      </c>
      <c r="H228" s="1108" t="s">
        <v>1536</v>
      </c>
      <c r="I228" s="1109" t="s">
        <v>1606</v>
      </c>
      <c r="J228" s="1099">
        <v>9</v>
      </c>
      <c r="K228" s="1099">
        <v>12</v>
      </c>
      <c r="L228" s="1099">
        <v>15</v>
      </c>
      <c r="M228" s="1104">
        <v>17</v>
      </c>
      <c r="N228" s="1099">
        <v>300</v>
      </c>
      <c r="O228" s="1099">
        <v>480</v>
      </c>
      <c r="P228" s="1099">
        <v>600</v>
      </c>
      <c r="Q228" s="1104">
        <v>800</v>
      </c>
      <c r="R228" s="1099">
        <v>30</v>
      </c>
      <c r="S228" s="1099">
        <v>50</v>
      </c>
      <c r="T228" s="1099">
        <v>60</v>
      </c>
      <c r="U228" s="1104">
        <v>70</v>
      </c>
      <c r="V228" s="1101" t="s">
        <v>5500</v>
      </c>
      <c r="W228" s="1101" t="s">
        <v>5501</v>
      </c>
      <c r="X228" s="1101" t="s">
        <v>5502</v>
      </c>
      <c r="Y228" s="1101" t="s">
        <v>5503</v>
      </c>
      <c r="Z228" s="1102" t="s">
        <v>5504</v>
      </c>
    </row>
    <row r="229" spans="2:26" ht="12.75" customHeight="1" x14ac:dyDescent="0.2">
      <c r="B229" s="2090" t="str">
        <f t="shared" si="3"/>
        <v>Agua92</v>
      </c>
      <c r="C229" s="1103"/>
      <c r="D229" s="521" t="s">
        <v>476</v>
      </c>
      <c r="E229" s="1099" t="s">
        <v>1925</v>
      </c>
      <c r="F229" s="1099">
        <v>92</v>
      </c>
      <c r="G229" s="1108" t="s">
        <v>2446</v>
      </c>
      <c r="H229" s="1108" t="s">
        <v>4585</v>
      </c>
      <c r="I229" s="1109" t="s">
        <v>1606</v>
      </c>
      <c r="J229" s="1099">
        <v>10</v>
      </c>
      <c r="K229" s="1099">
        <v>12</v>
      </c>
      <c r="L229" s="1099">
        <v>14</v>
      </c>
      <c r="M229" s="1104">
        <v>16</v>
      </c>
      <c r="N229" s="1099">
        <v>300</v>
      </c>
      <c r="O229" s="1099">
        <v>450</v>
      </c>
      <c r="P229" s="1099">
        <v>600</v>
      </c>
      <c r="Q229" s="1104">
        <v>1000</v>
      </c>
      <c r="R229" s="1099">
        <v>30</v>
      </c>
      <c r="S229" s="1099">
        <v>45</v>
      </c>
      <c r="T229" s="1099">
        <v>60</v>
      </c>
      <c r="U229" s="1104">
        <v>100</v>
      </c>
      <c r="V229" s="1101" t="s">
        <v>5505</v>
      </c>
      <c r="W229" s="1101" t="s">
        <v>5506</v>
      </c>
      <c r="X229" s="1101" t="s">
        <v>5507</v>
      </c>
      <c r="Y229" s="1101" t="s">
        <v>5508</v>
      </c>
      <c r="Z229" s="1102" t="s">
        <v>5509</v>
      </c>
    </row>
    <row r="230" spans="2:26" ht="12.75" customHeight="1" x14ac:dyDescent="0.2">
      <c r="B230" s="2090" t="str">
        <f t="shared" si="3"/>
        <v>Agua96</v>
      </c>
      <c r="C230" s="1103"/>
      <c r="D230" s="521" t="s">
        <v>477</v>
      </c>
      <c r="E230" s="1099" t="s">
        <v>1925</v>
      </c>
      <c r="F230" s="1099">
        <v>96</v>
      </c>
      <c r="G230" s="1108" t="s">
        <v>2446</v>
      </c>
      <c r="H230" s="1108" t="s">
        <v>4585</v>
      </c>
      <c r="I230" s="1109" t="s">
        <v>1606</v>
      </c>
      <c r="J230" s="1099">
        <v>10</v>
      </c>
      <c r="K230" s="1099">
        <v>12</v>
      </c>
      <c r="L230" s="1099">
        <v>15</v>
      </c>
      <c r="M230" s="1104">
        <v>18</v>
      </c>
      <c r="N230" s="1099">
        <v>300</v>
      </c>
      <c r="O230" s="1099">
        <v>450</v>
      </c>
      <c r="P230" s="1099">
        <v>600</v>
      </c>
      <c r="Q230" s="1104">
        <v>1000</v>
      </c>
      <c r="R230" s="1099">
        <v>30</v>
      </c>
      <c r="S230" s="1099">
        <v>45</v>
      </c>
      <c r="T230" s="1099">
        <v>60</v>
      </c>
      <c r="U230" s="1104">
        <v>100</v>
      </c>
      <c r="V230" s="1101" t="s">
        <v>5505</v>
      </c>
      <c r="W230" s="1101" t="s">
        <v>5506</v>
      </c>
      <c r="X230" s="1101" t="s">
        <v>5507</v>
      </c>
      <c r="Y230" s="1101" t="s">
        <v>5510</v>
      </c>
      <c r="Z230" s="1102" t="s">
        <v>5511</v>
      </c>
    </row>
    <row r="231" spans="2:26" ht="12.75" customHeight="1" x14ac:dyDescent="0.2">
      <c r="B231" s="2090" t="str">
        <f t="shared" si="3"/>
        <v>Agua100</v>
      </c>
      <c r="C231" s="1103"/>
      <c r="D231" s="521" t="s">
        <v>478</v>
      </c>
      <c r="E231" s="1099" t="s">
        <v>1925</v>
      </c>
      <c r="F231" s="1099">
        <v>100</v>
      </c>
      <c r="G231" s="1108" t="s">
        <v>2446</v>
      </c>
      <c r="H231" s="1108" t="s">
        <v>4585</v>
      </c>
      <c r="I231" s="1109" t="s">
        <v>1606</v>
      </c>
      <c r="J231" s="1099">
        <v>12</v>
      </c>
      <c r="K231" s="1099">
        <v>15</v>
      </c>
      <c r="L231" s="1099">
        <v>17</v>
      </c>
      <c r="M231" s="1104">
        <v>20</v>
      </c>
      <c r="N231" s="1099">
        <v>450</v>
      </c>
      <c r="O231" s="1099">
        <v>800</v>
      </c>
      <c r="P231" s="1099">
        <v>1200</v>
      </c>
      <c r="Q231" s="1104">
        <v>1600</v>
      </c>
      <c r="R231" s="1099">
        <v>90</v>
      </c>
      <c r="S231" s="1099">
        <v>115</v>
      </c>
      <c r="T231" s="1099">
        <v>130</v>
      </c>
      <c r="U231" s="1104">
        <v>145</v>
      </c>
      <c r="V231" s="1101" t="s">
        <v>4863</v>
      </c>
      <c r="W231" s="1101" t="s">
        <v>5458</v>
      </c>
      <c r="X231" s="1101" t="s">
        <v>4698</v>
      </c>
      <c r="Y231" s="1101" t="s">
        <v>4699</v>
      </c>
      <c r="Z231" s="1102" t="s">
        <v>5512</v>
      </c>
    </row>
    <row r="232" spans="2:26" ht="12.75" customHeight="1" x14ac:dyDescent="0.2">
      <c r="B232" s="2090" t="str">
        <f t="shared" si="3"/>
        <v/>
      </c>
      <c r="C232" s="1103"/>
      <c r="D232" s="521" t="s">
        <v>479</v>
      </c>
      <c r="E232" s="1099"/>
      <c r="F232" s="1099"/>
      <c r="G232" s="1108"/>
      <c r="H232" s="1108"/>
      <c r="I232" s="1109"/>
      <c r="J232" s="1099"/>
      <c r="K232" s="1099"/>
      <c r="L232" s="1099"/>
      <c r="M232" s="1104"/>
      <c r="N232" s="1099"/>
      <c r="O232" s="1099"/>
      <c r="P232" s="1099"/>
      <c r="Q232" s="1104"/>
      <c r="R232" s="1099"/>
      <c r="S232" s="1099"/>
      <c r="T232" s="1099"/>
      <c r="U232" s="1104"/>
      <c r="V232" s="1101"/>
      <c r="W232" s="1101"/>
      <c r="X232" s="1101"/>
      <c r="Y232" s="1101"/>
      <c r="Z232" s="1102"/>
    </row>
    <row r="233" spans="2:26" ht="12.75" customHeight="1" x14ac:dyDescent="0.2">
      <c r="B233" s="2090" t="str">
        <f t="shared" si="3"/>
        <v>Fuego2</v>
      </c>
      <c r="C233" s="1103"/>
      <c r="D233" s="521" t="s">
        <v>480</v>
      </c>
      <c r="E233" s="1099" t="s">
        <v>1929</v>
      </c>
      <c r="F233" s="1099">
        <v>2</v>
      </c>
      <c r="G233" s="1108" t="s">
        <v>2446</v>
      </c>
      <c r="H233" s="1108" t="s">
        <v>1536</v>
      </c>
      <c r="I233" s="1109" t="s">
        <v>1606</v>
      </c>
      <c r="J233" s="1099">
        <v>5</v>
      </c>
      <c r="K233" s="1099">
        <v>8</v>
      </c>
      <c r="L233" s="1099">
        <v>10</v>
      </c>
      <c r="M233" s="1104">
        <v>12</v>
      </c>
      <c r="N233" s="1099">
        <v>30</v>
      </c>
      <c r="O233" s="1099">
        <v>80</v>
      </c>
      <c r="P233" s="1099">
        <v>100</v>
      </c>
      <c r="Q233" s="1104">
        <v>120</v>
      </c>
      <c r="R233" s="1099">
        <v>5</v>
      </c>
      <c r="S233" s="1099">
        <v>10</v>
      </c>
      <c r="T233" s="1099">
        <v>10</v>
      </c>
      <c r="U233" s="1104">
        <v>15</v>
      </c>
      <c r="V233" s="1101" t="s">
        <v>5513</v>
      </c>
      <c r="W233" s="1101" t="s">
        <v>5514</v>
      </c>
      <c r="X233" s="1101" t="s">
        <v>5515</v>
      </c>
      <c r="Y233" s="1101" t="s">
        <v>5516</v>
      </c>
      <c r="Z233" s="1102" t="s">
        <v>5517</v>
      </c>
    </row>
    <row r="234" spans="2:26" ht="12.75" customHeight="1" x14ac:dyDescent="0.2">
      <c r="B234" s="2090" t="str">
        <f t="shared" si="3"/>
        <v>Fuego6</v>
      </c>
      <c r="C234" s="1103"/>
      <c r="D234" s="521" t="s">
        <v>481</v>
      </c>
      <c r="E234" s="1099" t="s">
        <v>1929</v>
      </c>
      <c r="F234" s="1099">
        <v>6</v>
      </c>
      <c r="G234" s="1108" t="s">
        <v>1690</v>
      </c>
      <c r="H234" s="1108" t="s">
        <v>1536</v>
      </c>
      <c r="I234" s="1109" t="s">
        <v>1606</v>
      </c>
      <c r="J234" s="1099">
        <v>5</v>
      </c>
      <c r="K234" s="1099">
        <v>8</v>
      </c>
      <c r="L234" s="1099">
        <v>10</v>
      </c>
      <c r="M234" s="1104">
        <v>13</v>
      </c>
      <c r="N234" s="1099">
        <v>30</v>
      </c>
      <c r="O234" s="1099">
        <v>80</v>
      </c>
      <c r="P234" s="1099">
        <v>120</v>
      </c>
      <c r="Q234" s="1104">
        <v>200</v>
      </c>
      <c r="R234" s="1099" t="s">
        <v>1690</v>
      </c>
      <c r="S234" s="1099" t="s">
        <v>1690</v>
      </c>
      <c r="T234" s="1099" t="s">
        <v>1690</v>
      </c>
      <c r="U234" s="1104" t="s">
        <v>1690</v>
      </c>
      <c r="V234" s="1101" t="s">
        <v>5518</v>
      </c>
      <c r="W234" s="1101" t="s">
        <v>5519</v>
      </c>
      <c r="X234" s="1101" t="s">
        <v>5520</v>
      </c>
      <c r="Y234" s="1101" t="s">
        <v>5521</v>
      </c>
      <c r="Z234" s="1102" t="s">
        <v>5522</v>
      </c>
    </row>
    <row r="235" spans="2:26" ht="12.75" customHeight="1" x14ac:dyDescent="0.2">
      <c r="B235" s="2090" t="str">
        <f t="shared" si="3"/>
        <v>Fuego10</v>
      </c>
      <c r="C235" s="1103"/>
      <c r="D235" s="521" t="s">
        <v>482</v>
      </c>
      <c r="E235" s="1099" t="s">
        <v>1929</v>
      </c>
      <c r="F235" s="1099">
        <v>10</v>
      </c>
      <c r="G235" s="1108" t="s">
        <v>2446</v>
      </c>
      <c r="H235" s="1108" t="s">
        <v>1536</v>
      </c>
      <c r="I235" s="1109" t="s">
        <v>1606</v>
      </c>
      <c r="J235" s="1099">
        <v>6</v>
      </c>
      <c r="K235" s="1099">
        <v>8</v>
      </c>
      <c r="L235" s="1099">
        <v>10</v>
      </c>
      <c r="M235" s="1104">
        <v>13</v>
      </c>
      <c r="N235" s="1099">
        <v>50</v>
      </c>
      <c r="O235" s="1099">
        <v>140</v>
      </c>
      <c r="P235" s="1099">
        <v>200</v>
      </c>
      <c r="Q235" s="1104">
        <v>300</v>
      </c>
      <c r="R235" s="1099">
        <v>5</v>
      </c>
      <c r="S235" s="1099">
        <v>10</v>
      </c>
      <c r="T235" s="1099">
        <v>10</v>
      </c>
      <c r="U235" s="1104">
        <v>15</v>
      </c>
      <c r="V235" s="1101" t="s">
        <v>5523</v>
      </c>
      <c r="W235" s="1101" t="s">
        <v>5524</v>
      </c>
      <c r="X235" s="1101" t="s">
        <v>5525</v>
      </c>
      <c r="Y235" s="1101" t="s">
        <v>5526</v>
      </c>
      <c r="Z235" s="1102" t="s">
        <v>5527</v>
      </c>
    </row>
    <row r="236" spans="2:26" ht="12.75" customHeight="1" x14ac:dyDescent="0.2">
      <c r="B236" s="2090" t="str">
        <f t="shared" si="3"/>
        <v>Fuego12</v>
      </c>
      <c r="C236" s="1103"/>
      <c r="D236" s="521" t="s">
        <v>483</v>
      </c>
      <c r="E236" s="1099" t="s">
        <v>1929</v>
      </c>
      <c r="F236" s="1099">
        <v>12</v>
      </c>
      <c r="G236" s="1108" t="s">
        <v>1690</v>
      </c>
      <c r="H236" s="1108" t="s">
        <v>1538</v>
      </c>
      <c r="I236" s="1109" t="s">
        <v>1606</v>
      </c>
      <c r="J236" s="1099">
        <v>6</v>
      </c>
      <c r="K236" s="1099">
        <v>9</v>
      </c>
      <c r="L236" s="1099">
        <v>12</v>
      </c>
      <c r="M236" s="1104">
        <v>15</v>
      </c>
      <c r="N236" s="1099">
        <v>60</v>
      </c>
      <c r="O236" s="1099">
        <v>100</v>
      </c>
      <c r="P236" s="1099">
        <v>140</v>
      </c>
      <c r="Q236" s="1104">
        <v>200</v>
      </c>
      <c r="R236" s="1099">
        <v>10</v>
      </c>
      <c r="S236" s="1099">
        <v>10</v>
      </c>
      <c r="T236" s="1099">
        <v>15</v>
      </c>
      <c r="U236" s="1104">
        <v>15</v>
      </c>
      <c r="V236" s="1101" t="s">
        <v>5528</v>
      </c>
      <c r="W236" s="1101" t="s">
        <v>5529</v>
      </c>
      <c r="X236" s="1101" t="s">
        <v>5530</v>
      </c>
      <c r="Y236" s="1101" t="s">
        <v>5531</v>
      </c>
      <c r="Z236" s="1102" t="s">
        <v>5532</v>
      </c>
    </row>
    <row r="237" spans="2:26" ht="12.75" customHeight="1" x14ac:dyDescent="0.2">
      <c r="B237" s="2090" t="str">
        <f t="shared" si="3"/>
        <v>Fuego16</v>
      </c>
      <c r="C237" s="1103"/>
      <c r="D237" s="521" t="s">
        <v>484</v>
      </c>
      <c r="E237" s="1099" t="s">
        <v>1929</v>
      </c>
      <c r="F237" s="1099">
        <v>16</v>
      </c>
      <c r="G237" s="1108" t="s">
        <v>1690</v>
      </c>
      <c r="H237" s="1108" t="s">
        <v>1534</v>
      </c>
      <c r="I237" s="1109" t="s">
        <v>1606</v>
      </c>
      <c r="J237" s="1099">
        <v>6</v>
      </c>
      <c r="K237" s="1099">
        <v>9</v>
      </c>
      <c r="L237" s="1099">
        <v>12</v>
      </c>
      <c r="M237" s="1104">
        <v>15</v>
      </c>
      <c r="N237" s="1099">
        <v>50</v>
      </c>
      <c r="O237" s="1099">
        <v>100</v>
      </c>
      <c r="P237" s="1099">
        <v>160</v>
      </c>
      <c r="Q237" s="1104">
        <v>250</v>
      </c>
      <c r="R237" s="1099" t="s">
        <v>1690</v>
      </c>
      <c r="S237" s="1099" t="s">
        <v>1690</v>
      </c>
      <c r="T237" s="1099" t="s">
        <v>1690</v>
      </c>
      <c r="U237" s="1104" t="s">
        <v>1690</v>
      </c>
      <c r="V237" s="1101" t="s">
        <v>5533</v>
      </c>
      <c r="W237" s="1101" t="s">
        <v>5534</v>
      </c>
      <c r="X237" s="1101" t="s">
        <v>5535</v>
      </c>
      <c r="Y237" s="1101" t="s">
        <v>5536</v>
      </c>
      <c r="Z237" s="1102" t="s">
        <v>5537</v>
      </c>
    </row>
    <row r="238" spans="2:26" ht="12.75" customHeight="1" x14ac:dyDescent="0.2">
      <c r="B238" s="2090" t="str">
        <f t="shared" si="3"/>
        <v>Fuego20</v>
      </c>
      <c r="C238" s="1103"/>
      <c r="D238" s="521" t="s">
        <v>485</v>
      </c>
      <c r="E238" s="1099" t="s">
        <v>1929</v>
      </c>
      <c r="F238" s="1099">
        <v>20</v>
      </c>
      <c r="G238" s="1108" t="s">
        <v>2446</v>
      </c>
      <c r="H238" s="1108" t="s">
        <v>1536</v>
      </c>
      <c r="I238" s="1109" t="s">
        <v>1606</v>
      </c>
      <c r="J238" s="1099">
        <v>6</v>
      </c>
      <c r="K238" s="1099">
        <v>9</v>
      </c>
      <c r="L238" s="1099">
        <v>12</v>
      </c>
      <c r="M238" s="1104">
        <v>15</v>
      </c>
      <c r="N238" s="1099">
        <v>50</v>
      </c>
      <c r="O238" s="1099">
        <v>80</v>
      </c>
      <c r="P238" s="1099">
        <v>120</v>
      </c>
      <c r="Q238" s="1104">
        <v>180</v>
      </c>
      <c r="R238" s="1099">
        <v>5</v>
      </c>
      <c r="S238" s="1099">
        <v>10</v>
      </c>
      <c r="T238" s="1099">
        <v>15</v>
      </c>
      <c r="U238" s="1104">
        <v>20</v>
      </c>
      <c r="V238" s="1101" t="s">
        <v>5538</v>
      </c>
      <c r="W238" s="1101" t="s">
        <v>5539</v>
      </c>
      <c r="X238" s="1101" t="s">
        <v>5540</v>
      </c>
      <c r="Y238" s="1101" t="s">
        <v>5541</v>
      </c>
      <c r="Z238" s="1102" t="s">
        <v>5542</v>
      </c>
    </row>
    <row r="239" spans="2:26" ht="12.75" customHeight="1" x14ac:dyDescent="0.2">
      <c r="B239" s="2090" t="str">
        <f t="shared" si="3"/>
        <v>Fuego22</v>
      </c>
      <c r="C239" s="1103"/>
      <c r="D239" s="521" t="s">
        <v>486</v>
      </c>
      <c r="E239" s="1099" t="s">
        <v>1929</v>
      </c>
      <c r="F239" s="1099">
        <v>22</v>
      </c>
      <c r="G239" s="1108" t="s">
        <v>1690</v>
      </c>
      <c r="H239" s="1108" t="s">
        <v>1881</v>
      </c>
      <c r="I239" s="1109" t="s">
        <v>1606</v>
      </c>
      <c r="J239" s="1099">
        <v>6</v>
      </c>
      <c r="K239" s="1099">
        <v>9</v>
      </c>
      <c r="L239" s="1099">
        <v>12</v>
      </c>
      <c r="M239" s="1104">
        <v>15</v>
      </c>
      <c r="N239" s="1099">
        <v>50</v>
      </c>
      <c r="O239" s="1099">
        <v>90</v>
      </c>
      <c r="P239" s="1099">
        <v>120</v>
      </c>
      <c r="Q239" s="1104">
        <v>150</v>
      </c>
      <c r="R239" s="1099">
        <v>5</v>
      </c>
      <c r="S239" s="1099">
        <v>10</v>
      </c>
      <c r="T239" s="1099">
        <v>10</v>
      </c>
      <c r="U239" s="1104">
        <v>15</v>
      </c>
      <c r="V239" s="1101" t="s">
        <v>5543</v>
      </c>
      <c r="W239" s="1101" t="s">
        <v>5544</v>
      </c>
      <c r="X239" s="1101" t="s">
        <v>5545</v>
      </c>
      <c r="Y239" s="1101" t="s">
        <v>5546</v>
      </c>
      <c r="Z239" s="1102" t="s">
        <v>5547</v>
      </c>
    </row>
    <row r="240" spans="2:26" ht="12.75" customHeight="1" x14ac:dyDescent="0.2">
      <c r="B240" s="2090" t="str">
        <f t="shared" si="3"/>
        <v>Fuego26</v>
      </c>
      <c r="C240" s="1103"/>
      <c r="D240" s="521" t="s">
        <v>487</v>
      </c>
      <c r="E240" s="1099" t="s">
        <v>1929</v>
      </c>
      <c r="F240" s="1099">
        <v>26</v>
      </c>
      <c r="G240" s="1108" t="s">
        <v>1690</v>
      </c>
      <c r="H240" s="1108" t="s">
        <v>1536</v>
      </c>
      <c r="I240" s="1109" t="s">
        <v>1606</v>
      </c>
      <c r="J240" s="1099">
        <v>6</v>
      </c>
      <c r="K240" s="1099">
        <v>9</v>
      </c>
      <c r="L240" s="1099">
        <v>11</v>
      </c>
      <c r="M240" s="1104">
        <v>14</v>
      </c>
      <c r="N240" s="1099">
        <v>50</v>
      </c>
      <c r="O240" s="1099">
        <v>80</v>
      </c>
      <c r="P240" s="1099">
        <v>100</v>
      </c>
      <c r="Q240" s="1104">
        <v>120</v>
      </c>
      <c r="R240" s="1099">
        <v>5</v>
      </c>
      <c r="S240" s="1099">
        <v>10</v>
      </c>
      <c r="T240" s="1099">
        <v>10</v>
      </c>
      <c r="U240" s="1104">
        <v>15</v>
      </c>
      <c r="V240" s="1101" t="s">
        <v>5548</v>
      </c>
      <c r="W240" s="1101" t="s">
        <v>5549</v>
      </c>
      <c r="X240" s="1101" t="s">
        <v>5550</v>
      </c>
      <c r="Y240" s="1101" t="s">
        <v>5551</v>
      </c>
      <c r="Z240" s="1102" t="s">
        <v>5552</v>
      </c>
    </row>
    <row r="241" spans="2:26" ht="12.75" customHeight="1" x14ac:dyDescent="0.2">
      <c r="B241" s="2090" t="str">
        <f t="shared" si="3"/>
        <v>Fuego30</v>
      </c>
      <c r="C241" s="1103"/>
      <c r="D241" s="521" t="s">
        <v>488</v>
      </c>
      <c r="E241" s="1099" t="s">
        <v>1929</v>
      </c>
      <c r="F241" s="1099">
        <v>30</v>
      </c>
      <c r="G241" s="1108" t="s">
        <v>1690</v>
      </c>
      <c r="H241" s="1108" t="s">
        <v>1534</v>
      </c>
      <c r="I241" s="1109" t="s">
        <v>1606</v>
      </c>
      <c r="J241" s="1099">
        <v>6</v>
      </c>
      <c r="K241" s="1099">
        <v>9</v>
      </c>
      <c r="L241" s="1099">
        <v>12</v>
      </c>
      <c r="M241" s="1104">
        <v>15</v>
      </c>
      <c r="N241" s="1099">
        <v>60</v>
      </c>
      <c r="O241" s="1099">
        <v>90</v>
      </c>
      <c r="P241" s="1099">
        <v>120</v>
      </c>
      <c r="Q241" s="1104">
        <v>150</v>
      </c>
      <c r="R241" s="1099" t="s">
        <v>1690</v>
      </c>
      <c r="S241" s="1099" t="s">
        <v>1690</v>
      </c>
      <c r="T241" s="1099" t="s">
        <v>1690</v>
      </c>
      <c r="U241" s="1104" t="s">
        <v>1690</v>
      </c>
      <c r="V241" s="1101" t="s">
        <v>5553</v>
      </c>
      <c r="W241" s="1101" t="s">
        <v>5554</v>
      </c>
      <c r="X241" s="1101" t="s">
        <v>5555</v>
      </c>
      <c r="Y241" s="1101" t="s">
        <v>5556</v>
      </c>
      <c r="Z241" s="1102" t="s">
        <v>5557</v>
      </c>
    </row>
    <row r="242" spans="2:26" ht="12.75" customHeight="1" x14ac:dyDescent="0.2">
      <c r="B242" s="2090" t="str">
        <f t="shared" si="3"/>
        <v>Fuego32</v>
      </c>
      <c r="C242" s="1103"/>
      <c r="D242" s="521" t="s">
        <v>489</v>
      </c>
      <c r="E242" s="1099" t="s">
        <v>1929</v>
      </c>
      <c r="F242" s="1099">
        <v>32</v>
      </c>
      <c r="G242" s="1108" t="s">
        <v>1690</v>
      </c>
      <c r="H242" s="1108" t="s">
        <v>1536</v>
      </c>
      <c r="I242" s="1109" t="s">
        <v>1606</v>
      </c>
      <c r="J242" s="1099">
        <v>6</v>
      </c>
      <c r="K242" s="1099">
        <v>10</v>
      </c>
      <c r="L242" s="1099">
        <v>13</v>
      </c>
      <c r="M242" s="1104">
        <v>15</v>
      </c>
      <c r="N242" s="1099">
        <v>60</v>
      </c>
      <c r="O242" s="1099">
        <v>140</v>
      </c>
      <c r="P242" s="1099">
        <v>220</v>
      </c>
      <c r="Q242" s="1104">
        <v>340</v>
      </c>
      <c r="R242" s="1099" t="s">
        <v>1690</v>
      </c>
      <c r="S242" s="1099" t="s">
        <v>1690</v>
      </c>
      <c r="T242" s="1099" t="s">
        <v>1690</v>
      </c>
      <c r="U242" s="1104" t="s">
        <v>1690</v>
      </c>
      <c r="V242" s="1101" t="s">
        <v>5558</v>
      </c>
      <c r="W242" s="1101" t="s">
        <v>5559</v>
      </c>
      <c r="X242" s="1101" t="s">
        <v>5560</v>
      </c>
      <c r="Y242" s="1101" t="s">
        <v>5561</v>
      </c>
      <c r="Z242" s="1102" t="s">
        <v>5562</v>
      </c>
    </row>
    <row r="243" spans="2:26" ht="12.75" customHeight="1" x14ac:dyDescent="0.2">
      <c r="B243" s="2090" t="str">
        <f t="shared" si="3"/>
        <v>Fuego36</v>
      </c>
      <c r="C243" s="1103"/>
      <c r="D243" s="521" t="s">
        <v>490</v>
      </c>
      <c r="E243" s="1099" t="s">
        <v>1929</v>
      </c>
      <c r="F243" s="1099">
        <v>36</v>
      </c>
      <c r="G243" s="1108" t="s">
        <v>2446</v>
      </c>
      <c r="H243" s="1108" t="s">
        <v>1536</v>
      </c>
      <c r="I243" s="1109" t="s">
        <v>1606</v>
      </c>
      <c r="J243" s="1099">
        <v>7</v>
      </c>
      <c r="K243" s="1099">
        <v>10</v>
      </c>
      <c r="L243" s="1099">
        <v>12</v>
      </c>
      <c r="M243" s="1104">
        <v>15</v>
      </c>
      <c r="N243" s="1099">
        <v>60</v>
      </c>
      <c r="O243" s="1099">
        <v>140</v>
      </c>
      <c r="P243" s="1099">
        <v>240</v>
      </c>
      <c r="Q243" s="1104">
        <v>300</v>
      </c>
      <c r="R243" s="1099">
        <v>15</v>
      </c>
      <c r="S243" s="1099">
        <v>40</v>
      </c>
      <c r="T243" s="1099">
        <v>50</v>
      </c>
      <c r="U243" s="1104">
        <v>60</v>
      </c>
      <c r="V243" s="1101" t="s">
        <v>5563</v>
      </c>
      <c r="W243" s="1101" t="s">
        <v>5564</v>
      </c>
      <c r="X243" s="1101" t="s">
        <v>5565</v>
      </c>
      <c r="Y243" s="1101" t="s">
        <v>5566</v>
      </c>
      <c r="Z243" s="1102" t="s">
        <v>5567</v>
      </c>
    </row>
    <row r="244" spans="2:26" ht="12.75" customHeight="1" x14ac:dyDescent="0.2">
      <c r="B244" s="2090" t="str">
        <f t="shared" si="3"/>
        <v>Fuego40</v>
      </c>
      <c r="C244" s="1103"/>
      <c r="D244" s="521" t="s">
        <v>491</v>
      </c>
      <c r="E244" s="1099" t="s">
        <v>1929</v>
      </c>
      <c r="F244" s="1099">
        <v>40</v>
      </c>
      <c r="G244" s="1108" t="s">
        <v>2446</v>
      </c>
      <c r="H244" s="1108" t="s">
        <v>1536</v>
      </c>
      <c r="I244" s="1109" t="s">
        <v>1606</v>
      </c>
      <c r="J244" s="1099">
        <v>7</v>
      </c>
      <c r="K244" s="1099">
        <v>10</v>
      </c>
      <c r="L244" s="1099">
        <v>12</v>
      </c>
      <c r="M244" s="1104">
        <v>15</v>
      </c>
      <c r="N244" s="1099">
        <v>80</v>
      </c>
      <c r="O244" s="1099">
        <v>160</v>
      </c>
      <c r="P244" s="1099">
        <v>240</v>
      </c>
      <c r="Q244" s="1104">
        <v>320</v>
      </c>
      <c r="R244" s="1099">
        <v>20</v>
      </c>
      <c r="S244" s="1099">
        <v>40</v>
      </c>
      <c r="T244" s="1099">
        <v>50</v>
      </c>
      <c r="U244" s="1104">
        <v>60</v>
      </c>
      <c r="V244" s="1101" t="s">
        <v>5568</v>
      </c>
      <c r="W244" s="1101" t="s">
        <v>5569</v>
      </c>
      <c r="X244" s="1101" t="s">
        <v>5570</v>
      </c>
      <c r="Y244" s="1101" t="s">
        <v>5571</v>
      </c>
      <c r="Z244" s="1102" t="s">
        <v>5572</v>
      </c>
    </row>
    <row r="245" spans="2:26" ht="12.75" customHeight="1" x14ac:dyDescent="0.2">
      <c r="B245" s="2090" t="str">
        <f t="shared" si="3"/>
        <v>Fuego42</v>
      </c>
      <c r="C245" s="1103"/>
      <c r="D245" s="521" t="s">
        <v>492</v>
      </c>
      <c r="E245" s="1099" t="s">
        <v>1929</v>
      </c>
      <c r="F245" s="1099">
        <v>42</v>
      </c>
      <c r="G245" s="1108" t="s">
        <v>1690</v>
      </c>
      <c r="H245" s="1108" t="s">
        <v>1536</v>
      </c>
      <c r="I245" s="1109" t="s">
        <v>1607</v>
      </c>
      <c r="J245" s="1099">
        <v>6</v>
      </c>
      <c r="K245" s="1099">
        <v>9</v>
      </c>
      <c r="L245" s="1099">
        <v>12</v>
      </c>
      <c r="M245" s="1104">
        <v>15</v>
      </c>
      <c r="N245" s="1099">
        <v>60</v>
      </c>
      <c r="O245" s="1099">
        <v>90</v>
      </c>
      <c r="P245" s="1099">
        <v>120</v>
      </c>
      <c r="Q245" s="1104">
        <v>150</v>
      </c>
      <c r="R245" s="1099" t="s">
        <v>1690</v>
      </c>
      <c r="S245" s="1099" t="s">
        <v>1690</v>
      </c>
      <c r="T245" s="1099" t="s">
        <v>1690</v>
      </c>
      <c r="U245" s="1104" t="s">
        <v>1690</v>
      </c>
      <c r="V245" s="1101" t="s">
        <v>5573</v>
      </c>
      <c r="W245" s="1101" t="s">
        <v>5574</v>
      </c>
      <c r="X245" s="1101" t="s">
        <v>5575</v>
      </c>
      <c r="Y245" s="1101" t="s">
        <v>5576</v>
      </c>
      <c r="Z245" s="1102" t="s">
        <v>5577</v>
      </c>
    </row>
    <row r="246" spans="2:26" ht="12.75" customHeight="1" x14ac:dyDescent="0.2">
      <c r="B246" s="2090" t="str">
        <f t="shared" si="3"/>
        <v>Fuego46</v>
      </c>
      <c r="C246" s="1103"/>
      <c r="D246" s="521" t="s">
        <v>493</v>
      </c>
      <c r="E246" s="1099" t="s">
        <v>1929</v>
      </c>
      <c r="F246" s="1099">
        <v>46</v>
      </c>
      <c r="G246" s="1108" t="s">
        <v>1690</v>
      </c>
      <c r="H246" s="1108" t="s">
        <v>1536</v>
      </c>
      <c r="I246" s="1109" t="s">
        <v>1606</v>
      </c>
      <c r="J246" s="1099">
        <v>8</v>
      </c>
      <c r="K246" s="1099">
        <v>10</v>
      </c>
      <c r="L246" s="1099">
        <v>12</v>
      </c>
      <c r="M246" s="1104">
        <v>14</v>
      </c>
      <c r="N246" s="1099">
        <v>80</v>
      </c>
      <c r="O246" s="1099">
        <v>120</v>
      </c>
      <c r="P246" s="1099">
        <v>180</v>
      </c>
      <c r="Q246" s="1104">
        <v>240</v>
      </c>
      <c r="R246" s="1099" t="s">
        <v>1690</v>
      </c>
      <c r="S246" s="1099" t="s">
        <v>1690</v>
      </c>
      <c r="T246" s="1099" t="s">
        <v>1690</v>
      </c>
      <c r="U246" s="1104" t="s">
        <v>1690</v>
      </c>
      <c r="V246" s="1101" t="s">
        <v>5578</v>
      </c>
      <c r="W246" s="1101" t="s">
        <v>5579</v>
      </c>
      <c r="X246" s="1101" t="s">
        <v>5580</v>
      </c>
      <c r="Y246" s="1101" t="s">
        <v>5581</v>
      </c>
      <c r="Z246" s="1102" t="s">
        <v>5582</v>
      </c>
    </row>
    <row r="247" spans="2:26" ht="12.75" customHeight="1" x14ac:dyDescent="0.2">
      <c r="B247" s="2090" t="str">
        <f t="shared" si="3"/>
        <v>Fuego50</v>
      </c>
      <c r="C247" s="1103"/>
      <c r="D247" s="521" t="s">
        <v>494</v>
      </c>
      <c r="E247" s="1099" t="s">
        <v>1929</v>
      </c>
      <c r="F247" s="1099">
        <v>50</v>
      </c>
      <c r="G247" s="1108" t="s">
        <v>1690</v>
      </c>
      <c r="H247" s="1108" t="s">
        <v>1536</v>
      </c>
      <c r="I247" s="1109" t="s">
        <v>1606</v>
      </c>
      <c r="J247" s="1099">
        <v>8</v>
      </c>
      <c r="K247" s="1099">
        <v>10</v>
      </c>
      <c r="L247" s="1099">
        <v>12</v>
      </c>
      <c r="M247" s="1104">
        <v>14</v>
      </c>
      <c r="N247" s="1099">
        <v>80</v>
      </c>
      <c r="O247" s="1099">
        <v>120</v>
      </c>
      <c r="P247" s="1099">
        <v>180</v>
      </c>
      <c r="Q247" s="1104">
        <v>240</v>
      </c>
      <c r="R247" s="1099">
        <v>10</v>
      </c>
      <c r="S247" s="1099">
        <v>10</v>
      </c>
      <c r="T247" s="1099">
        <v>15</v>
      </c>
      <c r="U247" s="1104">
        <v>15</v>
      </c>
      <c r="V247" s="1101" t="s">
        <v>5583</v>
      </c>
      <c r="W247" s="1101" t="s">
        <v>5584</v>
      </c>
      <c r="X247" s="1101" t="s">
        <v>5585</v>
      </c>
      <c r="Y247" s="1101" t="s">
        <v>5586</v>
      </c>
      <c r="Z247" s="1102" t="s">
        <v>5587</v>
      </c>
    </row>
    <row r="248" spans="2:26" ht="12.75" customHeight="1" x14ac:dyDescent="0.2">
      <c r="B248" s="2090" t="str">
        <f t="shared" si="3"/>
        <v>Fuego52</v>
      </c>
      <c r="C248" s="1103"/>
      <c r="D248" s="521" t="s">
        <v>495</v>
      </c>
      <c r="E248" s="1099" t="s">
        <v>1929</v>
      </c>
      <c r="F248" s="1099">
        <v>52</v>
      </c>
      <c r="G248" s="1108" t="s">
        <v>1690</v>
      </c>
      <c r="H248" s="1108" t="s">
        <v>1536</v>
      </c>
      <c r="I248" s="1109" t="s">
        <v>1606</v>
      </c>
      <c r="J248" s="1099">
        <v>8</v>
      </c>
      <c r="K248" s="1099">
        <v>11</v>
      </c>
      <c r="L248" s="1099">
        <v>12</v>
      </c>
      <c r="M248" s="1104">
        <v>16</v>
      </c>
      <c r="N248" s="1099">
        <v>100</v>
      </c>
      <c r="O248" s="1099">
        <v>120</v>
      </c>
      <c r="P248" s="1099">
        <v>140</v>
      </c>
      <c r="Q248" s="1104">
        <v>160</v>
      </c>
      <c r="R248" s="1099">
        <v>10</v>
      </c>
      <c r="S248" s="1099">
        <v>15</v>
      </c>
      <c r="T248" s="1099">
        <v>15</v>
      </c>
      <c r="U248" s="1104">
        <v>20</v>
      </c>
      <c r="V248" s="1101" t="s">
        <v>5305</v>
      </c>
      <c r="W248" s="1101" t="s">
        <v>5588</v>
      </c>
      <c r="X248" s="1101" t="s">
        <v>5589</v>
      </c>
      <c r="Y248" s="1101" t="s">
        <v>5590</v>
      </c>
      <c r="Z248" s="1102" t="s">
        <v>5591</v>
      </c>
    </row>
    <row r="249" spans="2:26" ht="12.75" customHeight="1" x14ac:dyDescent="0.2">
      <c r="B249" s="2090" t="str">
        <f t="shared" si="3"/>
        <v>Fuego56</v>
      </c>
      <c r="C249" s="1103"/>
      <c r="D249" s="521" t="s">
        <v>496</v>
      </c>
      <c r="E249" s="1099" t="s">
        <v>1929</v>
      </c>
      <c r="F249" s="1099">
        <v>56</v>
      </c>
      <c r="G249" s="1108" t="s">
        <v>2446</v>
      </c>
      <c r="H249" s="1108" t="s">
        <v>1536</v>
      </c>
      <c r="I249" s="1109" t="s">
        <v>1606</v>
      </c>
      <c r="J249" s="1099">
        <v>6</v>
      </c>
      <c r="K249" s="1099">
        <v>9</v>
      </c>
      <c r="L249" s="1099">
        <v>13</v>
      </c>
      <c r="M249" s="1104">
        <v>15</v>
      </c>
      <c r="N249" s="1099">
        <v>120</v>
      </c>
      <c r="O249" s="1099">
        <v>180</v>
      </c>
      <c r="P249" s="1099">
        <v>240</v>
      </c>
      <c r="Q249" s="1104">
        <v>300</v>
      </c>
      <c r="R249" s="1099">
        <v>10</v>
      </c>
      <c r="S249" s="1099">
        <v>10</v>
      </c>
      <c r="T249" s="1099">
        <v>15</v>
      </c>
      <c r="U249" s="1104">
        <v>15</v>
      </c>
      <c r="V249" s="1101" t="s">
        <v>5592</v>
      </c>
      <c r="W249" s="1101" t="s">
        <v>5593</v>
      </c>
      <c r="X249" s="1101" t="s">
        <v>5594</v>
      </c>
      <c r="Y249" s="1101" t="s">
        <v>5595</v>
      </c>
      <c r="Z249" s="1102" t="s">
        <v>5596</v>
      </c>
    </row>
    <row r="250" spans="2:26" ht="12.75" customHeight="1" x14ac:dyDescent="0.2">
      <c r="B250" s="2090" t="str">
        <f t="shared" si="3"/>
        <v>Fuego60</v>
      </c>
      <c r="C250" s="1103"/>
      <c r="D250" s="521" t="s">
        <v>497</v>
      </c>
      <c r="E250" s="1099" t="s">
        <v>1929</v>
      </c>
      <c r="F250" s="1099">
        <v>60</v>
      </c>
      <c r="G250" s="1108" t="s">
        <v>1690</v>
      </c>
      <c r="H250" s="1108" t="s">
        <v>1537</v>
      </c>
      <c r="I250" s="1109" t="s">
        <v>1606</v>
      </c>
      <c r="J250" s="1099">
        <v>10</v>
      </c>
      <c r="K250" s="1099">
        <v>12</v>
      </c>
      <c r="L250" s="1099">
        <v>12</v>
      </c>
      <c r="M250" s="1104">
        <v>16</v>
      </c>
      <c r="N250" s="1099">
        <v>100</v>
      </c>
      <c r="O250" s="1099">
        <v>150</v>
      </c>
      <c r="P250" s="1099">
        <v>200</v>
      </c>
      <c r="Q250" s="1104">
        <v>260</v>
      </c>
      <c r="R250" s="1099">
        <v>10</v>
      </c>
      <c r="S250" s="1099">
        <v>15</v>
      </c>
      <c r="T250" s="1099">
        <v>15</v>
      </c>
      <c r="U250" s="1104">
        <v>20</v>
      </c>
      <c r="V250" s="1101" t="s">
        <v>5597</v>
      </c>
      <c r="W250" s="1101" t="s">
        <v>5598</v>
      </c>
      <c r="X250" s="1101" t="s">
        <v>5599</v>
      </c>
      <c r="Y250" s="1101" t="s">
        <v>5600</v>
      </c>
      <c r="Z250" s="1102" t="s">
        <v>5601</v>
      </c>
    </row>
    <row r="251" spans="2:26" ht="12.75" customHeight="1" x14ac:dyDescent="0.2">
      <c r="B251" s="2090" t="str">
        <f t="shared" si="3"/>
        <v>Fuego62</v>
      </c>
      <c r="C251" s="1103"/>
      <c r="D251" s="521" t="s">
        <v>498</v>
      </c>
      <c r="E251" s="1099" t="s">
        <v>1929</v>
      </c>
      <c r="F251" s="1099">
        <v>62</v>
      </c>
      <c r="G251" s="1108" t="s">
        <v>1690</v>
      </c>
      <c r="H251" s="1108" t="s">
        <v>1535</v>
      </c>
      <c r="I251" s="1109" t="s">
        <v>1606</v>
      </c>
      <c r="J251" s="1099">
        <v>6</v>
      </c>
      <c r="K251" s="1099">
        <v>9</v>
      </c>
      <c r="L251" s="1099">
        <v>14</v>
      </c>
      <c r="M251" s="1104">
        <v>15</v>
      </c>
      <c r="N251" s="1099">
        <v>120</v>
      </c>
      <c r="O251" s="1099">
        <v>180</v>
      </c>
      <c r="P251" s="1099">
        <v>240</v>
      </c>
      <c r="Q251" s="1104">
        <v>300</v>
      </c>
      <c r="R251" s="1099" t="s">
        <v>1690</v>
      </c>
      <c r="S251" s="1099" t="s">
        <v>1690</v>
      </c>
      <c r="T251" s="1099" t="s">
        <v>1690</v>
      </c>
      <c r="U251" s="1104" t="s">
        <v>1690</v>
      </c>
      <c r="V251" s="1101" t="s">
        <v>5602</v>
      </c>
      <c r="W251" s="1101" t="s">
        <v>5603</v>
      </c>
      <c r="X251" s="1101" t="s">
        <v>5604</v>
      </c>
      <c r="Y251" s="1101" t="s">
        <v>5605</v>
      </c>
      <c r="Z251" s="1102" t="s">
        <v>5606</v>
      </c>
    </row>
    <row r="252" spans="2:26" ht="12.75" customHeight="1" x14ac:dyDescent="0.2">
      <c r="B252" s="2090" t="str">
        <f t="shared" si="3"/>
        <v>Fuego66</v>
      </c>
      <c r="C252" s="1103"/>
      <c r="D252" s="521" t="s">
        <v>499</v>
      </c>
      <c r="E252" s="1099" t="s">
        <v>1929</v>
      </c>
      <c r="F252" s="1099">
        <v>66</v>
      </c>
      <c r="G252" s="1108" t="s">
        <v>2446</v>
      </c>
      <c r="H252" s="1108" t="s">
        <v>1536</v>
      </c>
      <c r="I252" s="1109" t="s">
        <v>1606</v>
      </c>
      <c r="J252" s="1099">
        <v>7</v>
      </c>
      <c r="K252" s="1099">
        <v>10</v>
      </c>
      <c r="L252" s="1099">
        <v>12</v>
      </c>
      <c r="M252" s="1104">
        <v>15</v>
      </c>
      <c r="N252" s="1099">
        <v>120</v>
      </c>
      <c r="O252" s="1099">
        <v>180</v>
      </c>
      <c r="P252" s="1099">
        <v>240</v>
      </c>
      <c r="Q252" s="1104">
        <v>300</v>
      </c>
      <c r="R252" s="1099">
        <v>10</v>
      </c>
      <c r="S252" s="1099">
        <v>10</v>
      </c>
      <c r="T252" s="1099">
        <v>15</v>
      </c>
      <c r="U252" s="1104">
        <v>15</v>
      </c>
      <c r="V252" s="1101" t="s">
        <v>5607</v>
      </c>
      <c r="W252" s="1101" t="s">
        <v>5608</v>
      </c>
      <c r="X252" s="1101" t="s">
        <v>5609</v>
      </c>
      <c r="Y252" s="1101" t="s">
        <v>5610</v>
      </c>
      <c r="Z252" s="1102" t="s">
        <v>5611</v>
      </c>
    </row>
    <row r="253" spans="2:26" ht="12.75" customHeight="1" x14ac:dyDescent="0.2">
      <c r="B253" s="2090" t="str">
        <f t="shared" si="3"/>
        <v>Fuego70</v>
      </c>
      <c r="C253" s="1103"/>
      <c r="D253" s="521" t="s">
        <v>500</v>
      </c>
      <c r="E253" s="1099" t="s">
        <v>1929</v>
      </c>
      <c r="F253" s="1099">
        <v>70</v>
      </c>
      <c r="G253" s="1108" t="s">
        <v>1690</v>
      </c>
      <c r="H253" s="1108" t="s">
        <v>1535</v>
      </c>
      <c r="I253" s="1109" t="s">
        <v>1606</v>
      </c>
      <c r="J253" s="1099">
        <v>9</v>
      </c>
      <c r="K253" s="1099">
        <v>11</v>
      </c>
      <c r="L253" s="1099">
        <v>13</v>
      </c>
      <c r="M253" s="1104">
        <v>16</v>
      </c>
      <c r="N253" s="1099">
        <v>100</v>
      </c>
      <c r="O253" s="1099">
        <v>140</v>
      </c>
      <c r="P253" s="1099">
        <v>200</v>
      </c>
      <c r="Q253" s="1104">
        <v>280</v>
      </c>
      <c r="R253" s="1099" t="s">
        <v>1690</v>
      </c>
      <c r="S253" s="1099" t="s">
        <v>1690</v>
      </c>
      <c r="T253" s="1099" t="s">
        <v>1690</v>
      </c>
      <c r="U253" s="1104" t="s">
        <v>1690</v>
      </c>
      <c r="V253" s="1101" t="s">
        <v>5612</v>
      </c>
      <c r="W253" s="1101" t="s">
        <v>5613</v>
      </c>
      <c r="X253" s="1101" t="s">
        <v>5614</v>
      </c>
      <c r="Y253" s="1101" t="s">
        <v>5615</v>
      </c>
      <c r="Z253" s="1102" t="s">
        <v>5616</v>
      </c>
    </row>
    <row r="254" spans="2:26" ht="12.75" customHeight="1" x14ac:dyDescent="0.2">
      <c r="B254" s="2090" t="str">
        <f t="shared" si="3"/>
        <v>Fuego72</v>
      </c>
      <c r="C254" s="1103"/>
      <c r="D254" s="521" t="s">
        <v>501</v>
      </c>
      <c r="E254" s="1099" t="s">
        <v>1929</v>
      </c>
      <c r="F254" s="1099">
        <v>72</v>
      </c>
      <c r="G254" s="1108" t="s">
        <v>2446</v>
      </c>
      <c r="H254" s="1108" t="s">
        <v>1536</v>
      </c>
      <c r="I254" s="1109" t="s">
        <v>1606</v>
      </c>
      <c r="J254" s="1099">
        <v>6</v>
      </c>
      <c r="K254" s="1099">
        <v>9</v>
      </c>
      <c r="L254" s="1099">
        <v>13</v>
      </c>
      <c r="M254" s="1104">
        <v>15</v>
      </c>
      <c r="N254" s="1099">
        <v>120</v>
      </c>
      <c r="O254" s="1099">
        <v>180</v>
      </c>
      <c r="P254" s="1099">
        <v>240</v>
      </c>
      <c r="Q254" s="1104">
        <v>300</v>
      </c>
      <c r="R254" s="1099">
        <v>10</v>
      </c>
      <c r="S254" s="1099">
        <v>10</v>
      </c>
      <c r="T254" s="1099">
        <v>15</v>
      </c>
      <c r="U254" s="1104">
        <v>15</v>
      </c>
      <c r="V254" s="1101" t="s">
        <v>5608</v>
      </c>
      <c r="W254" s="1101" t="s">
        <v>5617</v>
      </c>
      <c r="X254" s="1101" t="s">
        <v>5618</v>
      </c>
      <c r="Y254" s="1101" t="s">
        <v>5619</v>
      </c>
      <c r="Z254" s="1102" t="s">
        <v>5620</v>
      </c>
    </row>
    <row r="255" spans="2:26" ht="12.75" customHeight="1" x14ac:dyDescent="0.2">
      <c r="B255" s="2090" t="str">
        <f t="shared" si="3"/>
        <v>Fuego76</v>
      </c>
      <c r="C255" s="1103"/>
      <c r="D255" s="521" t="s">
        <v>502</v>
      </c>
      <c r="E255" s="1099" t="s">
        <v>1929</v>
      </c>
      <c r="F255" s="1099">
        <v>76</v>
      </c>
      <c r="G255" s="1108" t="s">
        <v>1690</v>
      </c>
      <c r="H255" s="1108" t="s">
        <v>1537</v>
      </c>
      <c r="I255" s="1109" t="s">
        <v>1606</v>
      </c>
      <c r="J255" s="1099">
        <v>8</v>
      </c>
      <c r="K255" s="1099">
        <v>10</v>
      </c>
      <c r="L255" s="1099">
        <v>12</v>
      </c>
      <c r="M255" s="1104">
        <v>15</v>
      </c>
      <c r="N255" s="1099">
        <v>150</v>
      </c>
      <c r="O255" s="1099">
        <v>200</v>
      </c>
      <c r="P255" s="1099">
        <v>240</v>
      </c>
      <c r="Q255" s="1104">
        <v>280</v>
      </c>
      <c r="R255" s="1099">
        <v>15</v>
      </c>
      <c r="S255" s="1099">
        <v>20</v>
      </c>
      <c r="T255" s="1099">
        <v>25</v>
      </c>
      <c r="U255" s="1104">
        <v>30</v>
      </c>
      <c r="V255" s="1101" t="s">
        <v>5621</v>
      </c>
      <c r="W255" s="1101" t="s">
        <v>5622</v>
      </c>
      <c r="X255" s="1101" t="s">
        <v>5623</v>
      </c>
      <c r="Y255" s="1101" t="s">
        <v>5624</v>
      </c>
      <c r="Z255" s="1102" t="s">
        <v>5625</v>
      </c>
    </row>
    <row r="256" spans="2:26" ht="12.75" customHeight="1" x14ac:dyDescent="0.2">
      <c r="B256" s="2090" t="str">
        <f t="shared" si="3"/>
        <v>Fuego80</v>
      </c>
      <c r="C256" s="1103"/>
      <c r="D256" s="521" t="s">
        <v>503</v>
      </c>
      <c r="E256" s="1099" t="s">
        <v>1929</v>
      </c>
      <c r="F256" s="1099">
        <v>80</v>
      </c>
      <c r="G256" s="1108" t="s">
        <v>2446</v>
      </c>
      <c r="H256" s="1108" t="s">
        <v>1536</v>
      </c>
      <c r="I256" s="1109" t="s">
        <v>1606</v>
      </c>
      <c r="J256" s="1099">
        <v>6</v>
      </c>
      <c r="K256" s="1099">
        <v>9</v>
      </c>
      <c r="L256" s="1099">
        <v>12</v>
      </c>
      <c r="M256" s="1104">
        <v>15</v>
      </c>
      <c r="N256" s="1099">
        <v>120</v>
      </c>
      <c r="O256" s="1099">
        <v>180</v>
      </c>
      <c r="P256" s="1099">
        <v>240</v>
      </c>
      <c r="Q256" s="1104">
        <v>300</v>
      </c>
      <c r="R256" s="1099">
        <v>10</v>
      </c>
      <c r="S256" s="1099">
        <v>10</v>
      </c>
      <c r="T256" s="1099">
        <v>15</v>
      </c>
      <c r="U256" s="1104">
        <v>15</v>
      </c>
      <c r="V256" s="1101" t="s">
        <v>5626</v>
      </c>
      <c r="W256" s="1101" t="s">
        <v>5627</v>
      </c>
      <c r="X256" s="1101" t="s">
        <v>5628</v>
      </c>
      <c r="Y256" s="1101" t="s">
        <v>5629</v>
      </c>
      <c r="Z256" s="1102" t="s">
        <v>5630</v>
      </c>
    </row>
    <row r="257" spans="2:26" ht="12.75" customHeight="1" x14ac:dyDescent="0.2">
      <c r="B257" s="2090" t="str">
        <f t="shared" si="3"/>
        <v>Fuego82</v>
      </c>
      <c r="C257" s="1103"/>
      <c r="D257" s="521" t="s">
        <v>504</v>
      </c>
      <c r="E257" s="1099" t="s">
        <v>1929</v>
      </c>
      <c r="F257" s="1099">
        <v>82</v>
      </c>
      <c r="G257" s="1108" t="s">
        <v>2446</v>
      </c>
      <c r="H257" s="1108" t="s">
        <v>1536</v>
      </c>
      <c r="I257" s="1109" t="s">
        <v>1606</v>
      </c>
      <c r="J257" s="1099">
        <v>10</v>
      </c>
      <c r="K257" s="1099">
        <v>12</v>
      </c>
      <c r="L257" s="1099">
        <v>14</v>
      </c>
      <c r="M257" s="1104">
        <v>16</v>
      </c>
      <c r="N257" s="1099">
        <v>250</v>
      </c>
      <c r="O257" s="1099">
        <v>350</v>
      </c>
      <c r="P257" s="1099">
        <v>500</v>
      </c>
      <c r="Q257" s="1104">
        <v>700</v>
      </c>
      <c r="R257" s="1099">
        <v>50</v>
      </c>
      <c r="S257" s="1099">
        <v>70</v>
      </c>
      <c r="T257" s="1099">
        <v>100</v>
      </c>
      <c r="U257" s="1104">
        <v>140</v>
      </c>
      <c r="V257" s="1101" t="s">
        <v>4730</v>
      </c>
      <c r="W257" s="1101" t="s">
        <v>4731</v>
      </c>
      <c r="X257" s="1101" t="s">
        <v>4732</v>
      </c>
      <c r="Y257" s="1101" t="s">
        <v>4733</v>
      </c>
      <c r="Z257" s="1102" t="s">
        <v>5631</v>
      </c>
    </row>
    <row r="258" spans="2:26" ht="12.75" customHeight="1" x14ac:dyDescent="0.2">
      <c r="B258" s="2090" t="str">
        <f t="shared" si="3"/>
        <v>Fuego86</v>
      </c>
      <c r="C258" s="1103"/>
      <c r="D258" s="521" t="s">
        <v>505</v>
      </c>
      <c r="E258" s="1099" t="s">
        <v>1929</v>
      </c>
      <c r="F258" s="1099">
        <v>86</v>
      </c>
      <c r="G258" s="1108" t="s">
        <v>2446</v>
      </c>
      <c r="H258" s="1108" t="s">
        <v>1536</v>
      </c>
      <c r="I258" s="1109" t="s">
        <v>1606</v>
      </c>
      <c r="J258" s="1099">
        <v>10</v>
      </c>
      <c r="K258" s="1099">
        <v>12</v>
      </c>
      <c r="L258" s="1099">
        <v>14</v>
      </c>
      <c r="M258" s="1104">
        <v>18</v>
      </c>
      <c r="N258" s="1099">
        <v>250</v>
      </c>
      <c r="O258" s="1099">
        <v>300</v>
      </c>
      <c r="P258" s="1099">
        <v>350</v>
      </c>
      <c r="Q258" s="1104">
        <v>400</v>
      </c>
      <c r="R258" s="1099">
        <v>25</v>
      </c>
      <c r="S258" s="1099">
        <v>30</v>
      </c>
      <c r="T258" s="1099">
        <v>30</v>
      </c>
      <c r="U258" s="1104">
        <v>35</v>
      </c>
      <c r="V258" s="1101" t="s">
        <v>5632</v>
      </c>
      <c r="W258" s="1101" t="s">
        <v>5633</v>
      </c>
      <c r="X258" s="1101" t="s">
        <v>5634</v>
      </c>
      <c r="Y258" s="1101" t="s">
        <v>5635</v>
      </c>
      <c r="Z258" s="1102" t="s">
        <v>5636</v>
      </c>
    </row>
    <row r="259" spans="2:26" ht="12.75" customHeight="1" x14ac:dyDescent="0.2">
      <c r="B259" s="2090" t="str">
        <f t="shared" si="3"/>
        <v>Fuego90</v>
      </c>
      <c r="C259" s="1103"/>
      <c r="D259" s="521" t="s">
        <v>506</v>
      </c>
      <c r="E259" s="1099" t="s">
        <v>1929</v>
      </c>
      <c r="F259" s="1099">
        <v>90</v>
      </c>
      <c r="G259" s="1108" t="s">
        <v>1690</v>
      </c>
      <c r="H259" s="1108" t="s">
        <v>1534</v>
      </c>
      <c r="I259" s="1109" t="s">
        <v>1606</v>
      </c>
      <c r="J259" s="1099">
        <v>10</v>
      </c>
      <c r="K259" s="1099">
        <v>13</v>
      </c>
      <c r="L259" s="1099">
        <v>16</v>
      </c>
      <c r="M259" s="1104">
        <v>18</v>
      </c>
      <c r="N259" s="1099">
        <v>200</v>
      </c>
      <c r="O259" s="1099">
        <v>300</v>
      </c>
      <c r="P259" s="1099">
        <v>400</v>
      </c>
      <c r="Q259" s="1104">
        <v>500</v>
      </c>
      <c r="R259" s="1099" t="s">
        <v>1690</v>
      </c>
      <c r="S259" s="1099" t="s">
        <v>1690</v>
      </c>
      <c r="T259" s="1099" t="s">
        <v>1690</v>
      </c>
      <c r="U259" s="1104" t="s">
        <v>1690</v>
      </c>
      <c r="V259" s="1101" t="s">
        <v>5637</v>
      </c>
      <c r="W259" s="1101" t="s">
        <v>5638</v>
      </c>
      <c r="X259" s="1101" t="s">
        <v>5639</v>
      </c>
      <c r="Y259" s="1101" t="s">
        <v>5640</v>
      </c>
      <c r="Z259" s="1102" t="s">
        <v>5641</v>
      </c>
    </row>
    <row r="260" spans="2:26" ht="12.75" customHeight="1" x14ac:dyDescent="0.2">
      <c r="B260" s="2090" t="str">
        <f t="shared" si="3"/>
        <v>Fuego92</v>
      </c>
      <c r="C260" s="1103"/>
      <c r="D260" s="521" t="s">
        <v>507</v>
      </c>
      <c r="E260" s="1099" t="s">
        <v>1929</v>
      </c>
      <c r="F260" s="1099">
        <v>92</v>
      </c>
      <c r="G260" s="1108" t="s">
        <v>2446</v>
      </c>
      <c r="H260" s="1108" t="s">
        <v>1536</v>
      </c>
      <c r="I260" s="1109" t="s">
        <v>1606</v>
      </c>
      <c r="J260" s="1099">
        <v>13</v>
      </c>
      <c r="K260" s="1099">
        <v>15</v>
      </c>
      <c r="L260" s="1099">
        <v>17</v>
      </c>
      <c r="M260" s="1104">
        <v>19</v>
      </c>
      <c r="N260" s="1099">
        <v>250</v>
      </c>
      <c r="O260" s="1099">
        <v>350</v>
      </c>
      <c r="P260" s="1099">
        <v>500</v>
      </c>
      <c r="Q260" s="1104">
        <v>750</v>
      </c>
      <c r="R260" s="1099">
        <v>50</v>
      </c>
      <c r="S260" s="1099">
        <v>70</v>
      </c>
      <c r="T260" s="1099">
        <v>100</v>
      </c>
      <c r="U260" s="1104">
        <v>150</v>
      </c>
      <c r="V260" s="1101" t="s">
        <v>5642</v>
      </c>
      <c r="W260" s="1101" t="s">
        <v>5643</v>
      </c>
      <c r="X260" s="1101" t="s">
        <v>5644</v>
      </c>
      <c r="Y260" s="1101" t="s">
        <v>5645</v>
      </c>
      <c r="Z260" s="1102" t="s">
        <v>5646</v>
      </c>
    </row>
    <row r="261" spans="2:26" ht="12.75" customHeight="1" x14ac:dyDescent="0.2">
      <c r="B261" s="2090" t="str">
        <f t="shared" si="3"/>
        <v>Fuego96</v>
      </c>
      <c r="C261" s="1103"/>
      <c r="D261" s="521" t="s">
        <v>508</v>
      </c>
      <c r="E261" s="1099" t="s">
        <v>1929</v>
      </c>
      <c r="F261" s="1099">
        <v>96</v>
      </c>
      <c r="G261" s="1108" t="s">
        <v>2446</v>
      </c>
      <c r="H261" s="1108" t="s">
        <v>1537</v>
      </c>
      <c r="I261" s="1109" t="s">
        <v>1606</v>
      </c>
      <c r="J261" s="1099">
        <v>10</v>
      </c>
      <c r="K261" s="1099">
        <v>12</v>
      </c>
      <c r="L261" s="1099">
        <v>15</v>
      </c>
      <c r="M261" s="1104">
        <v>18</v>
      </c>
      <c r="N261" s="1099">
        <v>300</v>
      </c>
      <c r="O261" s="1099">
        <v>450</v>
      </c>
      <c r="P261" s="1099">
        <v>600</v>
      </c>
      <c r="Q261" s="1104">
        <v>1000</v>
      </c>
      <c r="R261" s="1099">
        <v>30</v>
      </c>
      <c r="S261" s="1099">
        <v>45</v>
      </c>
      <c r="T261" s="1099">
        <v>60</v>
      </c>
      <c r="U261" s="1104">
        <v>100</v>
      </c>
      <c r="V261" s="1101" t="s">
        <v>5647</v>
      </c>
      <c r="W261" s="1101" t="s">
        <v>5648</v>
      </c>
      <c r="X261" s="1101" t="s">
        <v>5649</v>
      </c>
      <c r="Y261" s="1101" t="s">
        <v>5650</v>
      </c>
      <c r="Z261" s="1102" t="s">
        <v>5651</v>
      </c>
    </row>
    <row r="262" spans="2:26" ht="12.75" customHeight="1" x14ac:dyDescent="0.2">
      <c r="B262" s="2090" t="str">
        <f t="shared" si="3"/>
        <v>Fuego100</v>
      </c>
      <c r="C262" s="1103"/>
      <c r="D262" s="521" t="s">
        <v>509</v>
      </c>
      <c r="E262" s="1099" t="s">
        <v>1929</v>
      </c>
      <c r="F262" s="1099">
        <v>100</v>
      </c>
      <c r="G262" s="1108" t="s">
        <v>2446</v>
      </c>
      <c r="H262" s="1108" t="s">
        <v>1537</v>
      </c>
      <c r="I262" s="1109" t="s">
        <v>1606</v>
      </c>
      <c r="J262" s="1099">
        <v>15</v>
      </c>
      <c r="K262" s="1099">
        <v>16</v>
      </c>
      <c r="L262" s="1099">
        <v>17</v>
      </c>
      <c r="M262" s="1104">
        <v>18</v>
      </c>
      <c r="N262" s="1099">
        <v>450</v>
      </c>
      <c r="O262" s="1099">
        <v>800</v>
      </c>
      <c r="P262" s="1099">
        <v>1200</v>
      </c>
      <c r="Q262" s="1104">
        <v>1600</v>
      </c>
      <c r="R262" s="1099">
        <v>90</v>
      </c>
      <c r="S262" s="1099">
        <v>100</v>
      </c>
      <c r="T262" s="1099">
        <v>105</v>
      </c>
      <c r="U262" s="1104">
        <v>110</v>
      </c>
      <c r="V262" s="1101" t="s">
        <v>5652</v>
      </c>
      <c r="W262" s="1101" t="s">
        <v>5653</v>
      </c>
      <c r="X262" s="1101" t="s">
        <v>5654</v>
      </c>
      <c r="Y262" s="1101" t="s">
        <v>5655</v>
      </c>
      <c r="Z262" s="1102" t="s">
        <v>5656</v>
      </c>
    </row>
    <row r="263" spans="2:26" ht="12.75" customHeight="1" x14ac:dyDescent="0.2">
      <c r="B263" s="2090" t="str">
        <f t="shared" si="3"/>
        <v/>
      </c>
      <c r="C263" s="1103"/>
      <c r="D263" s="521" t="s">
        <v>510</v>
      </c>
      <c r="E263" s="1099"/>
      <c r="F263" s="1099"/>
      <c r="G263" s="1108"/>
      <c r="H263" s="1108"/>
      <c r="I263" s="1109"/>
      <c r="J263" s="1099"/>
      <c r="K263" s="1099"/>
      <c r="L263" s="1099"/>
      <c r="M263" s="1104"/>
      <c r="N263" s="1099"/>
      <c r="O263" s="1099"/>
      <c r="P263" s="1099"/>
      <c r="Q263" s="1104"/>
      <c r="R263" s="1099"/>
      <c r="S263" s="1099"/>
      <c r="T263" s="1099"/>
      <c r="U263" s="1104"/>
      <c r="V263" s="1101"/>
      <c r="W263" s="1101"/>
      <c r="X263" s="1101"/>
      <c r="Y263" s="1101"/>
      <c r="Z263" s="1102"/>
    </row>
    <row r="264" spans="2:26" ht="12.75" customHeight="1" x14ac:dyDescent="0.2">
      <c r="B264" s="2090" t="str">
        <f t="shared" ref="B264:B327" si="4">E264&amp;F264</f>
        <v>Tierra2</v>
      </c>
      <c r="C264" s="1103"/>
      <c r="D264" s="521" t="s">
        <v>511</v>
      </c>
      <c r="E264" s="1099" t="s">
        <v>2024</v>
      </c>
      <c r="F264" s="1099">
        <v>2</v>
      </c>
      <c r="G264" s="1108" t="s">
        <v>1690</v>
      </c>
      <c r="H264" s="1108" t="s">
        <v>4585</v>
      </c>
      <c r="I264" s="1109" t="s">
        <v>1606</v>
      </c>
      <c r="J264" s="1099">
        <v>5</v>
      </c>
      <c r="K264" s="1099">
        <v>8</v>
      </c>
      <c r="L264" s="1099">
        <v>10</v>
      </c>
      <c r="M264" s="1104">
        <v>12</v>
      </c>
      <c r="N264" s="1099">
        <v>20</v>
      </c>
      <c r="O264" s="1099">
        <v>60</v>
      </c>
      <c r="P264" s="1099">
        <v>100</v>
      </c>
      <c r="Q264" s="1104">
        <v>140</v>
      </c>
      <c r="R264" s="1099" t="s">
        <v>1690</v>
      </c>
      <c r="S264" s="1099" t="s">
        <v>1690</v>
      </c>
      <c r="T264" s="1099" t="s">
        <v>1690</v>
      </c>
      <c r="U264" s="1104" t="s">
        <v>5657</v>
      </c>
      <c r="V264" s="1101" t="s">
        <v>5658</v>
      </c>
      <c r="W264" s="1101" t="s">
        <v>4884</v>
      </c>
      <c r="X264" s="1101" t="s">
        <v>5659</v>
      </c>
      <c r="Y264" s="1101" t="s">
        <v>4772</v>
      </c>
      <c r="Z264" s="1102" t="s">
        <v>5660</v>
      </c>
    </row>
    <row r="265" spans="2:26" ht="12.75" customHeight="1" x14ac:dyDescent="0.2">
      <c r="B265" s="2090" t="str">
        <f t="shared" si="4"/>
        <v>Tierra6</v>
      </c>
      <c r="C265" s="1103"/>
      <c r="D265" s="521" t="s">
        <v>512</v>
      </c>
      <c r="E265" s="1099" t="s">
        <v>2024</v>
      </c>
      <c r="F265" s="1099">
        <v>6</v>
      </c>
      <c r="G265" s="1108" t="s">
        <v>2446</v>
      </c>
      <c r="H265" s="1108" t="s">
        <v>5310</v>
      </c>
      <c r="I265" s="1109" t="s">
        <v>1606</v>
      </c>
      <c r="J265" s="1099">
        <v>5</v>
      </c>
      <c r="K265" s="1099">
        <v>8</v>
      </c>
      <c r="L265" s="1099">
        <v>10</v>
      </c>
      <c r="M265" s="1104">
        <v>12</v>
      </c>
      <c r="N265" s="1099">
        <v>30</v>
      </c>
      <c r="O265" s="1099">
        <v>60</v>
      </c>
      <c r="P265" s="1099">
        <v>100</v>
      </c>
      <c r="Q265" s="1104">
        <v>140</v>
      </c>
      <c r="R265" s="1099">
        <v>5</v>
      </c>
      <c r="S265" s="1099">
        <v>10</v>
      </c>
      <c r="T265" s="1099">
        <v>10</v>
      </c>
      <c r="U265" s="1104">
        <v>15</v>
      </c>
      <c r="V265" s="1101" t="s">
        <v>5661</v>
      </c>
      <c r="W265" s="1101" t="s">
        <v>5662</v>
      </c>
      <c r="X265" s="1101" t="s">
        <v>5663</v>
      </c>
      <c r="Y265" s="1101" t="s">
        <v>5664</v>
      </c>
      <c r="Z265" s="1102" t="s">
        <v>5665</v>
      </c>
    </row>
    <row r="266" spans="2:26" ht="12.75" customHeight="1" x14ac:dyDescent="0.2">
      <c r="B266" s="2090" t="str">
        <f t="shared" si="4"/>
        <v>Tierra10</v>
      </c>
      <c r="C266" s="1103"/>
      <c r="D266" s="521" t="s">
        <v>513</v>
      </c>
      <c r="E266" s="1099" t="s">
        <v>2024</v>
      </c>
      <c r="F266" s="1099">
        <v>10</v>
      </c>
      <c r="G266" s="1108" t="s">
        <v>2446</v>
      </c>
      <c r="H266" s="1108" t="s">
        <v>1536</v>
      </c>
      <c r="I266" s="1109" t="s">
        <v>1606</v>
      </c>
      <c r="J266" s="1099">
        <v>5</v>
      </c>
      <c r="K266" s="1099">
        <v>8</v>
      </c>
      <c r="L266" s="1099">
        <v>10</v>
      </c>
      <c r="M266" s="1104">
        <v>12</v>
      </c>
      <c r="N266" s="1099">
        <v>40</v>
      </c>
      <c r="O266" s="1099">
        <v>120</v>
      </c>
      <c r="P266" s="1099">
        <v>200</v>
      </c>
      <c r="Q266" s="1104">
        <v>320</v>
      </c>
      <c r="R266" s="1099">
        <v>5</v>
      </c>
      <c r="S266" s="1099">
        <v>25</v>
      </c>
      <c r="T266" s="1099">
        <v>30</v>
      </c>
      <c r="U266" s="1104">
        <v>40</v>
      </c>
      <c r="V266" s="1101" t="s">
        <v>5666</v>
      </c>
      <c r="W266" s="1101" t="s">
        <v>5667</v>
      </c>
      <c r="X266" s="1101" t="s">
        <v>5668</v>
      </c>
      <c r="Y266" s="1101" t="s">
        <v>5669</v>
      </c>
      <c r="Z266" s="1102" t="s">
        <v>5670</v>
      </c>
    </row>
    <row r="267" spans="2:26" ht="12.75" customHeight="1" x14ac:dyDescent="0.2">
      <c r="B267" s="2090" t="str">
        <f t="shared" si="4"/>
        <v>Tierra12</v>
      </c>
      <c r="C267" s="1103"/>
      <c r="D267" s="521" t="s">
        <v>514</v>
      </c>
      <c r="E267" s="1099" t="s">
        <v>2024</v>
      </c>
      <c r="F267" s="1099">
        <v>12</v>
      </c>
      <c r="G267" s="1108" t="s">
        <v>1690</v>
      </c>
      <c r="H267" s="1108" t="s">
        <v>1536</v>
      </c>
      <c r="I267" s="1109" t="s">
        <v>1607</v>
      </c>
      <c r="J267" s="1099">
        <v>6</v>
      </c>
      <c r="K267" s="1099">
        <v>8</v>
      </c>
      <c r="L267" s="1099">
        <v>11</v>
      </c>
      <c r="M267" s="1104">
        <v>13</v>
      </c>
      <c r="N267" s="1099">
        <v>40</v>
      </c>
      <c r="O267" s="1099">
        <v>80</v>
      </c>
      <c r="P267" s="1099">
        <v>120</v>
      </c>
      <c r="Q267" s="1104">
        <v>160</v>
      </c>
      <c r="R267" s="1099" t="s">
        <v>1690</v>
      </c>
      <c r="S267" s="1099" t="s">
        <v>1690</v>
      </c>
      <c r="T267" s="1099" t="s">
        <v>1690</v>
      </c>
      <c r="U267" s="1104" t="s">
        <v>1690</v>
      </c>
      <c r="V267" s="1101" t="s">
        <v>5671</v>
      </c>
      <c r="W267" s="1101" t="s">
        <v>5672</v>
      </c>
      <c r="X267" s="1101" t="s">
        <v>5673</v>
      </c>
      <c r="Y267" s="1101" t="s">
        <v>5674</v>
      </c>
      <c r="Z267" s="1102" t="s">
        <v>5675</v>
      </c>
    </row>
    <row r="268" spans="2:26" ht="12.75" customHeight="1" x14ac:dyDescent="0.2">
      <c r="B268" s="2090" t="str">
        <f t="shared" si="4"/>
        <v>Tierra16</v>
      </c>
      <c r="C268" s="1103"/>
      <c r="D268" s="521" t="s">
        <v>515</v>
      </c>
      <c r="E268" s="1099" t="s">
        <v>2024</v>
      </c>
      <c r="F268" s="1099">
        <v>16</v>
      </c>
      <c r="G268" s="1108" t="s">
        <v>2446</v>
      </c>
      <c r="H268" s="1108" t="s">
        <v>1536</v>
      </c>
      <c r="I268" s="1109" t="s">
        <v>1606</v>
      </c>
      <c r="J268" s="1099">
        <v>6</v>
      </c>
      <c r="K268" s="1099">
        <v>9</v>
      </c>
      <c r="L268" s="1099">
        <v>11</v>
      </c>
      <c r="M268" s="1104">
        <v>13</v>
      </c>
      <c r="N268" s="1099">
        <v>50</v>
      </c>
      <c r="O268" s="1099">
        <v>80</v>
      </c>
      <c r="P268" s="1099">
        <v>120</v>
      </c>
      <c r="Q268" s="1104">
        <v>160</v>
      </c>
      <c r="R268" s="1099">
        <v>5</v>
      </c>
      <c r="S268" s="1099">
        <v>10</v>
      </c>
      <c r="T268" s="1099">
        <v>15</v>
      </c>
      <c r="U268" s="1104">
        <v>20</v>
      </c>
      <c r="V268" s="1101" t="s">
        <v>5676</v>
      </c>
      <c r="W268" s="1101" t="s">
        <v>5677</v>
      </c>
      <c r="X268" s="1101" t="s">
        <v>5678</v>
      </c>
      <c r="Y268" s="1101" t="s">
        <v>5679</v>
      </c>
      <c r="Z268" s="1102" t="s">
        <v>5680</v>
      </c>
    </row>
    <row r="269" spans="2:26" ht="12.75" customHeight="1" x14ac:dyDescent="0.2">
      <c r="B269" s="2090" t="str">
        <f t="shared" si="4"/>
        <v>Tierra20</v>
      </c>
      <c r="C269" s="1103"/>
      <c r="D269" s="521" t="s">
        <v>516</v>
      </c>
      <c r="E269" s="1099" t="s">
        <v>2024</v>
      </c>
      <c r="F269" s="1099">
        <v>20</v>
      </c>
      <c r="G269" s="1108" t="s">
        <v>1690</v>
      </c>
      <c r="H269" s="1108" t="s">
        <v>1881</v>
      </c>
      <c r="I269" s="1109" t="s">
        <v>1606</v>
      </c>
      <c r="J269" s="1099">
        <v>6</v>
      </c>
      <c r="K269" s="1099">
        <v>9</v>
      </c>
      <c r="L269" s="1099">
        <v>12</v>
      </c>
      <c r="M269" s="1104">
        <v>15</v>
      </c>
      <c r="N269" s="1099">
        <v>60</v>
      </c>
      <c r="O269" s="1099">
        <v>160</v>
      </c>
      <c r="P269" s="1099">
        <v>240</v>
      </c>
      <c r="Q269" s="1104">
        <v>300</v>
      </c>
      <c r="R269" s="1099">
        <v>10</v>
      </c>
      <c r="S269" s="1099">
        <v>20</v>
      </c>
      <c r="T269" s="1099">
        <v>25</v>
      </c>
      <c r="U269" s="1104">
        <v>30</v>
      </c>
      <c r="V269" s="1101" t="s">
        <v>5681</v>
      </c>
      <c r="W269" s="1101" t="s">
        <v>5682</v>
      </c>
      <c r="X269" s="1101" t="s">
        <v>5683</v>
      </c>
      <c r="Y269" s="1101" t="s">
        <v>5684</v>
      </c>
      <c r="Z269" s="1102" t="s">
        <v>5685</v>
      </c>
    </row>
    <row r="270" spans="2:26" ht="12.75" customHeight="1" x14ac:dyDescent="0.2">
      <c r="B270" s="2090" t="str">
        <f t="shared" si="4"/>
        <v>Tierra22</v>
      </c>
      <c r="C270" s="1103"/>
      <c r="D270" s="521" t="s">
        <v>517</v>
      </c>
      <c r="E270" s="1099" t="s">
        <v>2024</v>
      </c>
      <c r="F270" s="1099">
        <v>22</v>
      </c>
      <c r="G270" s="1108" t="s">
        <v>1690</v>
      </c>
      <c r="H270" s="1108" t="s">
        <v>1535</v>
      </c>
      <c r="I270" s="1109" t="s">
        <v>1606</v>
      </c>
      <c r="J270" s="1099">
        <v>6</v>
      </c>
      <c r="K270" s="1099">
        <v>2</v>
      </c>
      <c r="L270" s="1099">
        <v>12</v>
      </c>
      <c r="M270" s="1104">
        <v>15</v>
      </c>
      <c r="N270" s="1099">
        <v>60</v>
      </c>
      <c r="O270" s="1099">
        <v>90</v>
      </c>
      <c r="P270" s="1099">
        <v>120</v>
      </c>
      <c r="Q270" s="1104">
        <v>150</v>
      </c>
      <c r="R270" s="1099">
        <v>10</v>
      </c>
      <c r="S270" s="1099">
        <v>10</v>
      </c>
      <c r="T270" s="1099">
        <v>15</v>
      </c>
      <c r="U270" s="1104">
        <v>15</v>
      </c>
      <c r="V270" s="1101" t="s">
        <v>5686</v>
      </c>
      <c r="W270" s="1101" t="s">
        <v>5687</v>
      </c>
      <c r="X270" s="1101" t="s">
        <v>5688</v>
      </c>
      <c r="Y270" s="1101" t="s">
        <v>5689</v>
      </c>
      <c r="Z270" s="1102" t="s">
        <v>5690</v>
      </c>
    </row>
    <row r="271" spans="2:26" ht="12.75" customHeight="1" x14ac:dyDescent="0.2">
      <c r="B271" s="2090" t="str">
        <f t="shared" si="4"/>
        <v>Tierra26</v>
      </c>
      <c r="C271" s="1103"/>
      <c r="D271" s="521" t="s">
        <v>518</v>
      </c>
      <c r="E271" s="1099" t="s">
        <v>2024</v>
      </c>
      <c r="F271" s="1099">
        <v>26</v>
      </c>
      <c r="G271" s="1108" t="s">
        <v>2446</v>
      </c>
      <c r="H271" s="1108" t="s">
        <v>1536</v>
      </c>
      <c r="I271" s="1109" t="s">
        <v>1606</v>
      </c>
      <c r="J271" s="1099">
        <v>8</v>
      </c>
      <c r="K271" s="1099">
        <v>10</v>
      </c>
      <c r="L271" s="1099">
        <v>12</v>
      </c>
      <c r="M271" s="1104">
        <v>15</v>
      </c>
      <c r="N271" s="1099">
        <v>80</v>
      </c>
      <c r="O271" s="1099">
        <v>100</v>
      </c>
      <c r="P271" s="1099">
        <v>120</v>
      </c>
      <c r="Q271" s="1104">
        <v>140</v>
      </c>
      <c r="R271" s="1099">
        <v>5</v>
      </c>
      <c r="S271" s="1099">
        <v>5</v>
      </c>
      <c r="T271" s="1099">
        <v>10</v>
      </c>
      <c r="U271" s="1104">
        <v>10</v>
      </c>
      <c r="V271" s="1101" t="s">
        <v>5691</v>
      </c>
      <c r="W271" s="1101" t="s">
        <v>5692</v>
      </c>
      <c r="X271" s="1101" t="s">
        <v>5693</v>
      </c>
      <c r="Y271" s="1101" t="s">
        <v>5694</v>
      </c>
      <c r="Z271" s="1102" t="s">
        <v>5695</v>
      </c>
    </row>
    <row r="272" spans="2:26" ht="12.75" customHeight="1" x14ac:dyDescent="0.2">
      <c r="B272" s="2090" t="str">
        <f t="shared" si="4"/>
        <v>Tierra30</v>
      </c>
      <c r="C272" s="1103"/>
      <c r="D272" s="521" t="s">
        <v>519</v>
      </c>
      <c r="E272" s="1099" t="s">
        <v>2024</v>
      </c>
      <c r="F272" s="1099">
        <v>30</v>
      </c>
      <c r="G272" s="1108" t="s">
        <v>1690</v>
      </c>
      <c r="H272" s="1108" t="s">
        <v>1881</v>
      </c>
      <c r="I272" s="1109" t="s">
        <v>1607</v>
      </c>
      <c r="J272" s="1099">
        <v>6</v>
      </c>
      <c r="K272" s="1099">
        <v>8</v>
      </c>
      <c r="L272" s="1099">
        <v>11</v>
      </c>
      <c r="M272" s="1104">
        <v>14</v>
      </c>
      <c r="N272" s="1099">
        <v>50</v>
      </c>
      <c r="O272" s="1099">
        <v>90</v>
      </c>
      <c r="P272" s="1099">
        <v>120</v>
      </c>
      <c r="Q272" s="1104">
        <v>160</v>
      </c>
      <c r="R272" s="1099">
        <v>5</v>
      </c>
      <c r="S272" s="1099">
        <v>10</v>
      </c>
      <c r="T272" s="1099">
        <v>10</v>
      </c>
      <c r="U272" s="1104">
        <v>20</v>
      </c>
      <c r="V272" s="1101" t="s">
        <v>5262</v>
      </c>
      <c r="W272" s="1101" t="s">
        <v>5696</v>
      </c>
      <c r="X272" s="1101" t="s">
        <v>5697</v>
      </c>
      <c r="Y272" s="1101" t="s">
        <v>5698</v>
      </c>
      <c r="Z272" s="1102" t="s">
        <v>5699</v>
      </c>
    </row>
    <row r="273" spans="2:26" ht="12.75" customHeight="1" x14ac:dyDescent="0.2">
      <c r="B273" s="2090" t="str">
        <f t="shared" si="4"/>
        <v>Tierra32</v>
      </c>
      <c r="C273" s="1103"/>
      <c r="D273" s="521" t="s">
        <v>520</v>
      </c>
      <c r="E273" s="1099" t="s">
        <v>2024</v>
      </c>
      <c r="F273" s="1099">
        <v>32</v>
      </c>
      <c r="G273" s="1108" t="s">
        <v>1690</v>
      </c>
      <c r="H273" s="1108" t="s">
        <v>1536</v>
      </c>
      <c r="I273" s="1109" t="s">
        <v>1606</v>
      </c>
      <c r="J273" s="1099">
        <v>7</v>
      </c>
      <c r="K273" s="1099">
        <v>10</v>
      </c>
      <c r="L273" s="1099">
        <v>12</v>
      </c>
      <c r="M273" s="1104">
        <v>14</v>
      </c>
      <c r="N273" s="1099">
        <v>80</v>
      </c>
      <c r="O273" s="1099">
        <v>100</v>
      </c>
      <c r="P273" s="1099">
        <v>120</v>
      </c>
      <c r="Q273" s="1104">
        <v>140</v>
      </c>
      <c r="R273" s="1099">
        <v>5</v>
      </c>
      <c r="S273" s="1099">
        <v>5</v>
      </c>
      <c r="T273" s="1099">
        <v>10</v>
      </c>
      <c r="U273" s="1104">
        <v>10</v>
      </c>
      <c r="V273" s="1101" t="s">
        <v>4780</v>
      </c>
      <c r="W273" s="1101" t="s">
        <v>5700</v>
      </c>
      <c r="X273" s="1101" t="s">
        <v>5032</v>
      </c>
      <c r="Y273" s="1101" t="s">
        <v>5033</v>
      </c>
      <c r="Z273" s="1102" t="s">
        <v>5701</v>
      </c>
    </row>
    <row r="274" spans="2:26" ht="12.75" customHeight="1" x14ac:dyDescent="0.2">
      <c r="B274" s="2090" t="str">
        <f t="shared" si="4"/>
        <v>Tierra36</v>
      </c>
      <c r="C274" s="1103"/>
      <c r="D274" s="521" t="s">
        <v>521</v>
      </c>
      <c r="E274" s="1099" t="s">
        <v>2024</v>
      </c>
      <c r="F274" s="1099">
        <v>36</v>
      </c>
      <c r="G274" s="1108" t="s">
        <v>1690</v>
      </c>
      <c r="H274" s="1108" t="s">
        <v>1534</v>
      </c>
      <c r="I274" s="1109" t="s">
        <v>1606</v>
      </c>
      <c r="J274" s="1099">
        <v>8</v>
      </c>
      <c r="K274" s="1099">
        <v>10</v>
      </c>
      <c r="L274" s="1099">
        <v>12</v>
      </c>
      <c r="M274" s="1104">
        <v>14</v>
      </c>
      <c r="N274" s="1099">
        <v>80</v>
      </c>
      <c r="O274" s="1099">
        <v>120</v>
      </c>
      <c r="P274" s="1099">
        <v>150</v>
      </c>
      <c r="Q274" s="1104">
        <v>200</v>
      </c>
      <c r="R274" s="1099" t="s">
        <v>1690</v>
      </c>
      <c r="S274" s="1099" t="s">
        <v>1690</v>
      </c>
      <c r="T274" s="1099" t="s">
        <v>1690</v>
      </c>
      <c r="U274" s="1104" t="s">
        <v>1690</v>
      </c>
      <c r="V274" s="1101" t="s">
        <v>5702</v>
      </c>
      <c r="W274" s="1101" t="s">
        <v>5703</v>
      </c>
      <c r="X274" s="1101" t="s">
        <v>5704</v>
      </c>
      <c r="Y274" s="1101" t="s">
        <v>5705</v>
      </c>
      <c r="Z274" s="1102" t="s">
        <v>5706</v>
      </c>
    </row>
    <row r="275" spans="2:26" ht="12.75" customHeight="1" x14ac:dyDescent="0.2">
      <c r="B275" s="2090" t="str">
        <f t="shared" si="4"/>
        <v>Tierra40</v>
      </c>
      <c r="C275" s="1103"/>
      <c r="D275" s="521" t="s">
        <v>522</v>
      </c>
      <c r="E275" s="1099" t="s">
        <v>2024</v>
      </c>
      <c r="F275" s="1099">
        <v>40</v>
      </c>
      <c r="G275" s="1108" t="s">
        <v>1690</v>
      </c>
      <c r="H275" s="1108" t="s">
        <v>1536</v>
      </c>
      <c r="I275" s="1109" t="s">
        <v>1606</v>
      </c>
      <c r="J275" s="1099">
        <v>6</v>
      </c>
      <c r="K275" s="1099">
        <v>9</v>
      </c>
      <c r="L275" s="1099">
        <v>12</v>
      </c>
      <c r="M275" s="1104">
        <v>15</v>
      </c>
      <c r="N275" s="1099">
        <v>60</v>
      </c>
      <c r="O275" s="1099">
        <v>90</v>
      </c>
      <c r="P275" s="1099">
        <v>120</v>
      </c>
      <c r="Q275" s="1104">
        <v>150</v>
      </c>
      <c r="R275" s="1099">
        <v>10</v>
      </c>
      <c r="S275" s="1099">
        <v>10</v>
      </c>
      <c r="T275" s="1099">
        <v>15</v>
      </c>
      <c r="U275" s="1104">
        <v>15</v>
      </c>
      <c r="V275" s="1101" t="s">
        <v>5707</v>
      </c>
      <c r="W275" s="1101" t="s">
        <v>5708</v>
      </c>
      <c r="X275" s="1101" t="s">
        <v>5709</v>
      </c>
      <c r="Y275" s="1101" t="s">
        <v>5710</v>
      </c>
      <c r="Z275" s="1102" t="s">
        <v>5711</v>
      </c>
    </row>
    <row r="276" spans="2:26" ht="12.75" customHeight="1" x14ac:dyDescent="0.2">
      <c r="B276" s="2090" t="str">
        <f t="shared" si="4"/>
        <v>Tierra42</v>
      </c>
      <c r="C276" s="1103"/>
      <c r="D276" s="521" t="s">
        <v>523</v>
      </c>
      <c r="E276" s="1099" t="s">
        <v>2024</v>
      </c>
      <c r="F276" s="1099">
        <v>42</v>
      </c>
      <c r="G276" s="1108" t="s">
        <v>1690</v>
      </c>
      <c r="H276" s="1108" t="s">
        <v>1536</v>
      </c>
      <c r="I276" s="1109" t="s">
        <v>1606</v>
      </c>
      <c r="J276" s="1099">
        <v>6</v>
      </c>
      <c r="K276" s="1099">
        <v>9</v>
      </c>
      <c r="L276" s="1099">
        <v>12</v>
      </c>
      <c r="M276" s="1104">
        <v>15</v>
      </c>
      <c r="N276" s="1099">
        <v>120</v>
      </c>
      <c r="O276" s="1099">
        <v>180</v>
      </c>
      <c r="P276" s="1099">
        <v>240</v>
      </c>
      <c r="Q276" s="1104">
        <v>300</v>
      </c>
      <c r="R276" s="1099" t="s">
        <v>1690</v>
      </c>
      <c r="S276" s="1099" t="s">
        <v>1690</v>
      </c>
      <c r="T276" s="1099" t="s">
        <v>1690</v>
      </c>
      <c r="U276" s="1104" t="s">
        <v>1690</v>
      </c>
      <c r="V276" s="1101" t="s">
        <v>5712</v>
      </c>
      <c r="W276" s="1101" t="s">
        <v>5713</v>
      </c>
      <c r="X276" s="1101" t="s">
        <v>5714</v>
      </c>
      <c r="Y276" s="1101" t="s">
        <v>5715</v>
      </c>
      <c r="Z276" s="1102" t="s">
        <v>5716</v>
      </c>
    </row>
    <row r="277" spans="2:26" ht="12.75" customHeight="1" x14ac:dyDescent="0.2">
      <c r="B277" s="2090" t="str">
        <f t="shared" si="4"/>
        <v>Tierra46</v>
      </c>
      <c r="C277" s="1103"/>
      <c r="D277" s="521" t="s">
        <v>524</v>
      </c>
      <c r="E277" s="1099" t="s">
        <v>2024</v>
      </c>
      <c r="F277" s="1099">
        <v>46</v>
      </c>
      <c r="G277" s="1108" t="s">
        <v>1690</v>
      </c>
      <c r="H277" s="1108" t="s">
        <v>1536</v>
      </c>
      <c r="I277" s="1109" t="s">
        <v>1606</v>
      </c>
      <c r="J277" s="1099">
        <v>6</v>
      </c>
      <c r="K277" s="1099">
        <v>9</v>
      </c>
      <c r="L277" s="1099">
        <v>12</v>
      </c>
      <c r="M277" s="1104">
        <v>15</v>
      </c>
      <c r="N277" s="1099">
        <v>100</v>
      </c>
      <c r="O277" s="1099">
        <v>180</v>
      </c>
      <c r="P277" s="1099">
        <v>240</v>
      </c>
      <c r="Q277" s="1104">
        <v>320</v>
      </c>
      <c r="R277" s="1099">
        <v>10</v>
      </c>
      <c r="S277" s="1099">
        <v>20</v>
      </c>
      <c r="T277" s="1099">
        <v>25</v>
      </c>
      <c r="U277" s="1104">
        <v>30</v>
      </c>
      <c r="V277" s="1101" t="s">
        <v>5717</v>
      </c>
      <c r="W277" s="1101" t="s">
        <v>5718</v>
      </c>
      <c r="X277" s="1101" t="s">
        <v>5719</v>
      </c>
      <c r="Y277" s="1101" t="s">
        <v>5720</v>
      </c>
      <c r="Z277" s="1102" t="s">
        <v>5721</v>
      </c>
    </row>
    <row r="278" spans="2:26" ht="12.75" customHeight="1" x14ac:dyDescent="0.2">
      <c r="B278" s="2090" t="str">
        <f t="shared" si="4"/>
        <v>Tierra50</v>
      </c>
      <c r="C278" s="1103"/>
      <c r="D278" s="521" t="s">
        <v>525</v>
      </c>
      <c r="E278" s="1099" t="s">
        <v>2024</v>
      </c>
      <c r="F278" s="1099">
        <v>50</v>
      </c>
      <c r="G278" s="1108" t="s">
        <v>1690</v>
      </c>
      <c r="H278" s="1108" t="s">
        <v>1536</v>
      </c>
      <c r="I278" s="1109" t="s">
        <v>1606</v>
      </c>
      <c r="J278" s="1099">
        <v>7</v>
      </c>
      <c r="K278" s="1099">
        <v>9</v>
      </c>
      <c r="L278" s="1099">
        <v>12</v>
      </c>
      <c r="M278" s="1104">
        <v>15</v>
      </c>
      <c r="N278" s="1099">
        <v>160</v>
      </c>
      <c r="O278" s="1099">
        <v>270</v>
      </c>
      <c r="P278" s="1099">
        <v>360</v>
      </c>
      <c r="Q278" s="1104">
        <v>450</v>
      </c>
      <c r="R278" s="1099" t="s">
        <v>1690</v>
      </c>
      <c r="S278" s="1099" t="s">
        <v>1690</v>
      </c>
      <c r="T278" s="1099" t="s">
        <v>1690</v>
      </c>
      <c r="U278" s="1104" t="s">
        <v>1690</v>
      </c>
      <c r="V278" s="1101" t="s">
        <v>5722</v>
      </c>
      <c r="W278" s="1101" t="s">
        <v>5723</v>
      </c>
      <c r="X278" s="1101" t="s">
        <v>5724</v>
      </c>
      <c r="Y278" s="1101" t="s">
        <v>5725</v>
      </c>
      <c r="Z278" s="1102" t="s">
        <v>5726</v>
      </c>
    </row>
    <row r="279" spans="2:26" ht="12.75" customHeight="1" x14ac:dyDescent="0.2">
      <c r="B279" s="2090" t="str">
        <f t="shared" si="4"/>
        <v>Tierra52</v>
      </c>
      <c r="C279" s="1103"/>
      <c r="D279" s="521" t="s">
        <v>526</v>
      </c>
      <c r="E279" s="1099" t="s">
        <v>2024</v>
      </c>
      <c r="F279" s="1099">
        <v>52</v>
      </c>
      <c r="G279" s="1108" t="s">
        <v>1690</v>
      </c>
      <c r="H279" s="1108" t="s">
        <v>1536</v>
      </c>
      <c r="I279" s="1109" t="s">
        <v>1606</v>
      </c>
      <c r="J279" s="1099">
        <v>8</v>
      </c>
      <c r="K279" s="1099">
        <v>11</v>
      </c>
      <c r="L279" s="1099">
        <v>13</v>
      </c>
      <c r="M279" s="1104">
        <v>16</v>
      </c>
      <c r="N279" s="1099">
        <v>100</v>
      </c>
      <c r="O279" s="1099">
        <v>120</v>
      </c>
      <c r="P279" s="1099">
        <v>140</v>
      </c>
      <c r="Q279" s="1104">
        <v>160</v>
      </c>
      <c r="R279" s="1099">
        <v>10</v>
      </c>
      <c r="S279" s="1099">
        <v>15</v>
      </c>
      <c r="T279" s="1099">
        <v>15</v>
      </c>
      <c r="U279" s="1104">
        <v>20</v>
      </c>
      <c r="V279" s="1101" t="s">
        <v>5727</v>
      </c>
      <c r="W279" s="1101" t="s">
        <v>5728</v>
      </c>
      <c r="X279" s="1101" t="s">
        <v>5729</v>
      </c>
      <c r="Y279" s="1101" t="s">
        <v>5730</v>
      </c>
      <c r="Z279" s="1102" t="s">
        <v>5731</v>
      </c>
    </row>
    <row r="280" spans="2:26" ht="12.75" customHeight="1" x14ac:dyDescent="0.2">
      <c r="B280" s="2090" t="str">
        <f t="shared" si="4"/>
        <v>Tierra56</v>
      </c>
      <c r="C280" s="1103"/>
      <c r="D280" s="521" t="s">
        <v>527</v>
      </c>
      <c r="E280" s="1099" t="s">
        <v>2024</v>
      </c>
      <c r="F280" s="1099">
        <v>56</v>
      </c>
      <c r="G280" s="1108" t="s">
        <v>1690</v>
      </c>
      <c r="H280" s="1108" t="s">
        <v>1536</v>
      </c>
      <c r="I280" s="1109" t="s">
        <v>1606</v>
      </c>
      <c r="J280" s="1099">
        <v>8</v>
      </c>
      <c r="K280" s="1099">
        <v>10</v>
      </c>
      <c r="L280" s="1099">
        <v>13</v>
      </c>
      <c r="M280" s="1104">
        <v>15</v>
      </c>
      <c r="N280" s="1099">
        <v>100</v>
      </c>
      <c r="O280" s="1099">
        <v>180</v>
      </c>
      <c r="P280" s="1099">
        <v>240</v>
      </c>
      <c r="Q280" s="1104">
        <v>300</v>
      </c>
      <c r="R280" s="1099">
        <v>10</v>
      </c>
      <c r="S280" s="1099">
        <v>20</v>
      </c>
      <c r="T280" s="1099">
        <v>25</v>
      </c>
      <c r="U280" s="1104">
        <v>30</v>
      </c>
      <c r="V280" s="1101" t="s">
        <v>5732</v>
      </c>
      <c r="W280" s="1101" t="s">
        <v>5733</v>
      </c>
      <c r="X280" s="1101" t="s">
        <v>5734</v>
      </c>
      <c r="Y280" s="1101" t="s">
        <v>5735</v>
      </c>
      <c r="Z280" s="1102" t="s">
        <v>5736</v>
      </c>
    </row>
    <row r="281" spans="2:26" ht="12.75" customHeight="1" x14ac:dyDescent="0.2">
      <c r="B281" s="2090" t="str">
        <f t="shared" si="4"/>
        <v>Tierra60</v>
      </c>
      <c r="C281" s="1103"/>
      <c r="D281" s="521" t="s">
        <v>528</v>
      </c>
      <c r="E281" s="1099" t="s">
        <v>2024</v>
      </c>
      <c r="F281" s="1099">
        <v>60</v>
      </c>
      <c r="G281" s="1108" t="s">
        <v>2446</v>
      </c>
      <c r="H281" s="1108" t="s">
        <v>1535</v>
      </c>
      <c r="I281" s="1109" t="s">
        <v>1606</v>
      </c>
      <c r="J281" s="1099">
        <v>7</v>
      </c>
      <c r="K281" s="1099">
        <v>10</v>
      </c>
      <c r="L281" s="1099">
        <v>13</v>
      </c>
      <c r="M281" s="1104">
        <v>16</v>
      </c>
      <c r="N281" s="1099">
        <v>140</v>
      </c>
      <c r="O281" s="1099">
        <v>200</v>
      </c>
      <c r="P281" s="1099">
        <v>260</v>
      </c>
      <c r="Q281" s="1104">
        <v>320</v>
      </c>
      <c r="R281" s="1099">
        <v>10</v>
      </c>
      <c r="S281" s="1099">
        <v>10</v>
      </c>
      <c r="T281" s="1099">
        <v>15</v>
      </c>
      <c r="U281" s="1104">
        <v>20</v>
      </c>
      <c r="V281" s="1101" t="s">
        <v>4968</v>
      </c>
      <c r="W281" s="1101" t="s">
        <v>5737</v>
      </c>
      <c r="X281" s="1101" t="s">
        <v>4697</v>
      </c>
      <c r="Y281" s="1101" t="s">
        <v>5159</v>
      </c>
      <c r="Z281" s="1102" t="s">
        <v>5738</v>
      </c>
    </row>
    <row r="282" spans="2:26" ht="12.75" customHeight="1" x14ac:dyDescent="0.2">
      <c r="B282" s="2090" t="str">
        <f t="shared" si="4"/>
        <v>Tierra62</v>
      </c>
      <c r="C282" s="1103"/>
      <c r="D282" s="521" t="s">
        <v>529</v>
      </c>
      <c r="E282" s="1099" t="s">
        <v>2024</v>
      </c>
      <c r="F282" s="1099">
        <v>62</v>
      </c>
      <c r="G282" s="1108" t="s">
        <v>1690</v>
      </c>
      <c r="H282" s="1108" t="s">
        <v>1536</v>
      </c>
      <c r="I282" s="1109" t="s">
        <v>1606</v>
      </c>
      <c r="J282" s="1099">
        <v>8</v>
      </c>
      <c r="K282" s="1099">
        <v>10</v>
      </c>
      <c r="L282" s="1099">
        <v>12</v>
      </c>
      <c r="M282" s="1104">
        <v>14</v>
      </c>
      <c r="N282" s="1099">
        <v>150</v>
      </c>
      <c r="O282" s="1099">
        <v>200</v>
      </c>
      <c r="P282" s="1099">
        <v>250</v>
      </c>
      <c r="Q282" s="1104">
        <v>300</v>
      </c>
      <c r="R282" s="1099" t="s">
        <v>1690</v>
      </c>
      <c r="S282" s="1099" t="s">
        <v>1690</v>
      </c>
      <c r="T282" s="1099" t="s">
        <v>1690</v>
      </c>
      <c r="U282" s="1104" t="s">
        <v>1690</v>
      </c>
      <c r="V282" s="1101" t="s">
        <v>5739</v>
      </c>
      <c r="W282" s="1101" t="s">
        <v>5740</v>
      </c>
      <c r="X282" s="1101" t="s">
        <v>5741</v>
      </c>
      <c r="Y282" s="1101" t="s">
        <v>5742</v>
      </c>
      <c r="Z282" s="1102" t="s">
        <v>5743</v>
      </c>
    </row>
    <row r="283" spans="2:26" ht="12.75" customHeight="1" x14ac:dyDescent="0.2">
      <c r="B283" s="2090" t="str">
        <f t="shared" si="4"/>
        <v>Tierra66</v>
      </c>
      <c r="C283" s="1103"/>
      <c r="D283" s="521" t="s">
        <v>530</v>
      </c>
      <c r="E283" s="1099" t="s">
        <v>2024</v>
      </c>
      <c r="F283" s="1099">
        <v>66</v>
      </c>
      <c r="G283" s="1108" t="s">
        <v>2446</v>
      </c>
      <c r="H283" s="1108" t="s">
        <v>4585</v>
      </c>
      <c r="I283" s="1109" t="s">
        <v>1606</v>
      </c>
      <c r="J283" s="1099">
        <v>10</v>
      </c>
      <c r="K283" s="1099">
        <v>12</v>
      </c>
      <c r="L283" s="1099">
        <v>14</v>
      </c>
      <c r="M283" s="1104">
        <v>16</v>
      </c>
      <c r="N283" s="1099">
        <v>200</v>
      </c>
      <c r="O283" s="1099">
        <v>240</v>
      </c>
      <c r="P283" s="1099">
        <v>280</v>
      </c>
      <c r="Q283" s="1104">
        <v>320</v>
      </c>
      <c r="R283" s="1099">
        <v>40</v>
      </c>
      <c r="S283" s="1099">
        <v>50</v>
      </c>
      <c r="T283" s="1099">
        <v>60</v>
      </c>
      <c r="U283" s="1104">
        <v>65</v>
      </c>
      <c r="V283" s="1101" t="s">
        <v>5744</v>
      </c>
      <c r="W283" s="1101" t="s">
        <v>5745</v>
      </c>
      <c r="X283" s="1101" t="s">
        <v>5746</v>
      </c>
      <c r="Y283" s="1101" t="s">
        <v>5747</v>
      </c>
      <c r="Z283" s="1102" t="s">
        <v>5748</v>
      </c>
    </row>
    <row r="284" spans="2:26" ht="12.75" customHeight="1" x14ac:dyDescent="0.2">
      <c r="B284" s="2090" t="str">
        <f t="shared" si="4"/>
        <v>Tierra70</v>
      </c>
      <c r="C284" s="1103"/>
      <c r="D284" s="521" t="s">
        <v>531</v>
      </c>
      <c r="E284" s="1099" t="s">
        <v>2024</v>
      </c>
      <c r="F284" s="1099">
        <v>70</v>
      </c>
      <c r="G284" s="1108" t="s">
        <v>2446</v>
      </c>
      <c r="H284" s="1108" t="s">
        <v>1536</v>
      </c>
      <c r="I284" s="1109" t="s">
        <v>1606</v>
      </c>
      <c r="J284" s="1099">
        <v>8</v>
      </c>
      <c r="K284" s="1099">
        <v>10</v>
      </c>
      <c r="L284" s="1099">
        <v>12</v>
      </c>
      <c r="M284" s="1104">
        <v>15</v>
      </c>
      <c r="N284" s="1099">
        <v>120</v>
      </c>
      <c r="O284" s="1099">
        <v>180</v>
      </c>
      <c r="P284" s="1099">
        <v>240</v>
      </c>
      <c r="Q284" s="1104">
        <v>300</v>
      </c>
      <c r="R284" s="1099">
        <v>15</v>
      </c>
      <c r="S284" s="1099">
        <v>20</v>
      </c>
      <c r="T284" s="1099">
        <v>25</v>
      </c>
      <c r="U284" s="1104">
        <v>30</v>
      </c>
      <c r="V284" s="1101" t="s">
        <v>5749</v>
      </c>
      <c r="W284" s="1101" t="s">
        <v>5750</v>
      </c>
      <c r="X284" s="1101" t="s">
        <v>5751</v>
      </c>
      <c r="Y284" s="1101" t="s">
        <v>5752</v>
      </c>
      <c r="Z284" s="1102" t="s">
        <v>5753</v>
      </c>
    </row>
    <row r="285" spans="2:26" ht="12.75" customHeight="1" x14ac:dyDescent="0.2">
      <c r="B285" s="2090" t="str">
        <f t="shared" si="4"/>
        <v>Tierra72</v>
      </c>
      <c r="C285" s="1103"/>
      <c r="D285" s="521" t="s">
        <v>532</v>
      </c>
      <c r="E285" s="1099" t="s">
        <v>2024</v>
      </c>
      <c r="F285" s="1099">
        <v>72</v>
      </c>
      <c r="G285" s="1108" t="s">
        <v>1690</v>
      </c>
      <c r="H285" s="1108" t="s">
        <v>1536</v>
      </c>
      <c r="I285" s="1109" t="s">
        <v>1606</v>
      </c>
      <c r="J285" s="1099">
        <v>7</v>
      </c>
      <c r="K285" s="1099">
        <v>10</v>
      </c>
      <c r="L285" s="1099">
        <v>12</v>
      </c>
      <c r="M285" s="1104">
        <v>15</v>
      </c>
      <c r="N285" s="1099">
        <v>120</v>
      </c>
      <c r="O285" s="1099">
        <v>270</v>
      </c>
      <c r="P285" s="1099">
        <v>360</v>
      </c>
      <c r="Q285" s="1104">
        <v>450</v>
      </c>
      <c r="R285" s="1099" t="s">
        <v>1690</v>
      </c>
      <c r="S285" s="1099" t="s">
        <v>1690</v>
      </c>
      <c r="T285" s="1099" t="s">
        <v>1690</v>
      </c>
      <c r="U285" s="1104" t="s">
        <v>1690</v>
      </c>
      <c r="V285" s="1101" t="s">
        <v>4772</v>
      </c>
      <c r="W285" s="1101" t="s">
        <v>5754</v>
      </c>
      <c r="X285" s="1101" t="s">
        <v>5755</v>
      </c>
      <c r="Y285" s="1101" t="s">
        <v>5756</v>
      </c>
      <c r="Z285" s="1102" t="s">
        <v>5757</v>
      </c>
    </row>
    <row r="286" spans="2:26" ht="12.75" customHeight="1" x14ac:dyDescent="0.2">
      <c r="B286" s="2090" t="str">
        <f t="shared" si="4"/>
        <v>Tierra76</v>
      </c>
      <c r="C286" s="1103"/>
      <c r="D286" s="521" t="s">
        <v>533</v>
      </c>
      <c r="E286" s="1099" t="s">
        <v>2024</v>
      </c>
      <c r="F286" s="1099">
        <v>76</v>
      </c>
      <c r="G286" s="1108" t="s">
        <v>1690</v>
      </c>
      <c r="H286" s="1108" t="s">
        <v>5758</v>
      </c>
      <c r="I286" s="1109" t="s">
        <v>1606</v>
      </c>
      <c r="J286" s="1099">
        <v>8</v>
      </c>
      <c r="K286" s="1099">
        <v>10</v>
      </c>
      <c r="L286" s="1099">
        <v>12</v>
      </c>
      <c r="M286" s="1104">
        <v>14</v>
      </c>
      <c r="N286" s="1099">
        <v>150</v>
      </c>
      <c r="O286" s="1099">
        <v>200</v>
      </c>
      <c r="P286" s="1099">
        <v>300</v>
      </c>
      <c r="Q286" s="1104">
        <v>400</v>
      </c>
      <c r="R286" s="1099">
        <v>15</v>
      </c>
      <c r="S286" s="1099">
        <v>20</v>
      </c>
      <c r="T286" s="1099">
        <v>25</v>
      </c>
      <c r="U286" s="1104">
        <v>30</v>
      </c>
      <c r="V286" s="1101" t="s">
        <v>4772</v>
      </c>
      <c r="W286" s="1101" t="s">
        <v>5754</v>
      </c>
      <c r="X286" s="1101" t="s">
        <v>5755</v>
      </c>
      <c r="Y286" s="1101" t="s">
        <v>5756</v>
      </c>
      <c r="Z286" s="1102" t="s">
        <v>5759</v>
      </c>
    </row>
    <row r="287" spans="2:26" ht="12.75" customHeight="1" x14ac:dyDescent="0.2">
      <c r="B287" s="2090" t="str">
        <f t="shared" si="4"/>
        <v>Tierra80</v>
      </c>
      <c r="C287" s="1103"/>
      <c r="D287" s="521" t="s">
        <v>534</v>
      </c>
      <c r="E287" s="1099" t="s">
        <v>2024</v>
      </c>
      <c r="F287" s="1099">
        <v>80</v>
      </c>
      <c r="G287" s="1108" t="s">
        <v>1690</v>
      </c>
      <c r="H287" s="1108" t="s">
        <v>4585</v>
      </c>
      <c r="I287" s="1109" t="s">
        <v>1606</v>
      </c>
      <c r="J287" s="1099">
        <v>9</v>
      </c>
      <c r="K287" s="1099">
        <v>12</v>
      </c>
      <c r="L287" s="1099">
        <v>15</v>
      </c>
      <c r="M287" s="1104">
        <v>17</v>
      </c>
      <c r="N287" s="1099">
        <v>180</v>
      </c>
      <c r="O287" s="1099">
        <v>250</v>
      </c>
      <c r="P287" s="1099">
        <v>320</v>
      </c>
      <c r="Q287" s="1104">
        <v>400</v>
      </c>
      <c r="R287" s="1099">
        <v>20</v>
      </c>
      <c r="S287" s="1099">
        <v>25</v>
      </c>
      <c r="T287" s="1099">
        <v>30</v>
      </c>
      <c r="U287" s="1104">
        <v>40</v>
      </c>
      <c r="V287" s="1101" t="s">
        <v>5760</v>
      </c>
      <c r="W287" s="1101" t="s">
        <v>4884</v>
      </c>
      <c r="X287" s="1101" t="s">
        <v>4771</v>
      </c>
      <c r="Y287" s="1101" t="s">
        <v>5659</v>
      </c>
      <c r="Z287" s="1102" t="s">
        <v>5761</v>
      </c>
    </row>
    <row r="288" spans="2:26" ht="12.75" customHeight="1" x14ac:dyDescent="0.2">
      <c r="B288" s="2090" t="str">
        <f t="shared" si="4"/>
        <v>Tierra82</v>
      </c>
      <c r="C288" s="1103"/>
      <c r="D288" s="521" t="s">
        <v>535</v>
      </c>
      <c r="E288" s="1099" t="s">
        <v>2024</v>
      </c>
      <c r="F288" s="1099">
        <v>82</v>
      </c>
      <c r="G288" s="1108" t="s">
        <v>2446</v>
      </c>
      <c r="H288" s="1108" t="s">
        <v>1536</v>
      </c>
      <c r="I288" s="1109" t="s">
        <v>1606</v>
      </c>
      <c r="J288" s="1099">
        <v>10</v>
      </c>
      <c r="K288" s="1099">
        <v>12</v>
      </c>
      <c r="L288" s="1099">
        <v>14</v>
      </c>
      <c r="M288" s="1104">
        <v>16</v>
      </c>
      <c r="N288" s="1099">
        <v>250</v>
      </c>
      <c r="O288" s="1099">
        <v>350</v>
      </c>
      <c r="P288" s="1099">
        <v>500</v>
      </c>
      <c r="Q288" s="1104">
        <v>700</v>
      </c>
      <c r="R288" s="1099">
        <v>50</v>
      </c>
      <c r="S288" s="1099">
        <v>70</v>
      </c>
      <c r="T288" s="1099">
        <v>100</v>
      </c>
      <c r="U288" s="1104">
        <v>140</v>
      </c>
      <c r="V288" s="1101" t="s">
        <v>5035</v>
      </c>
      <c r="W288" s="1101" t="s">
        <v>4731</v>
      </c>
      <c r="X288" s="1101" t="s">
        <v>5762</v>
      </c>
      <c r="Y288" s="1101" t="s">
        <v>5763</v>
      </c>
      <c r="Z288" s="1102" t="s">
        <v>5764</v>
      </c>
    </row>
    <row r="289" spans="2:26" ht="12.75" customHeight="1" x14ac:dyDescent="0.2">
      <c r="B289" s="2090" t="str">
        <f t="shared" si="4"/>
        <v>Tierra86</v>
      </c>
      <c r="C289" s="1103"/>
      <c r="D289" s="521" t="s">
        <v>536</v>
      </c>
      <c r="E289" s="1099" t="s">
        <v>2024</v>
      </c>
      <c r="F289" s="1099">
        <v>86</v>
      </c>
      <c r="G289" s="1108" t="s">
        <v>2446</v>
      </c>
      <c r="H289" s="1108" t="s">
        <v>4585</v>
      </c>
      <c r="I289" s="1109" t="s">
        <v>1606</v>
      </c>
      <c r="J289" s="1099">
        <v>10</v>
      </c>
      <c r="K289" s="1099">
        <v>12</v>
      </c>
      <c r="L289" s="1099">
        <v>14</v>
      </c>
      <c r="M289" s="1104">
        <v>16</v>
      </c>
      <c r="N289" s="1099">
        <v>200</v>
      </c>
      <c r="O289" s="1099">
        <v>240</v>
      </c>
      <c r="P289" s="1099">
        <v>280</v>
      </c>
      <c r="Q289" s="1104">
        <v>320</v>
      </c>
      <c r="R289" s="1099">
        <v>20</v>
      </c>
      <c r="S289" s="1099">
        <v>25</v>
      </c>
      <c r="T289" s="1099">
        <v>30</v>
      </c>
      <c r="U289" s="1104">
        <v>35</v>
      </c>
      <c r="V289" s="1101" t="s">
        <v>5765</v>
      </c>
      <c r="W289" s="1101" t="s">
        <v>5766</v>
      </c>
      <c r="X289" s="1101" t="s">
        <v>5767</v>
      </c>
      <c r="Y289" s="1101" t="s">
        <v>5768</v>
      </c>
      <c r="Z289" s="1102" t="s">
        <v>5769</v>
      </c>
    </row>
    <row r="290" spans="2:26" ht="12.75" customHeight="1" x14ac:dyDescent="0.2">
      <c r="B290" s="2090" t="str">
        <f t="shared" si="4"/>
        <v>Tierra90</v>
      </c>
      <c r="C290" s="1103"/>
      <c r="D290" s="521" t="s">
        <v>537</v>
      </c>
      <c r="E290" s="1099" t="s">
        <v>2024</v>
      </c>
      <c r="F290" s="1099">
        <v>90</v>
      </c>
      <c r="G290" s="1108" t="s">
        <v>1690</v>
      </c>
      <c r="H290" s="1108" t="s">
        <v>1534</v>
      </c>
      <c r="I290" s="1109" t="s">
        <v>1606</v>
      </c>
      <c r="J290" s="1099">
        <v>10</v>
      </c>
      <c r="K290" s="1099">
        <v>13</v>
      </c>
      <c r="L290" s="1099">
        <v>15</v>
      </c>
      <c r="M290" s="1104">
        <v>17</v>
      </c>
      <c r="N290" s="1099">
        <v>200</v>
      </c>
      <c r="O290" s="1099">
        <v>250</v>
      </c>
      <c r="P290" s="1099">
        <v>350</v>
      </c>
      <c r="Q290" s="1104">
        <v>450</v>
      </c>
      <c r="R290" s="1099" t="s">
        <v>1690</v>
      </c>
      <c r="S290" s="1099" t="s">
        <v>1690</v>
      </c>
      <c r="T290" s="1099" t="s">
        <v>1690</v>
      </c>
      <c r="U290" s="1104" t="s">
        <v>1690</v>
      </c>
      <c r="V290" s="1101" t="s">
        <v>5770</v>
      </c>
      <c r="W290" s="1101" t="s">
        <v>5771</v>
      </c>
      <c r="X290" s="1101" t="s">
        <v>5772</v>
      </c>
      <c r="Y290" s="1101" t="s">
        <v>5773</v>
      </c>
      <c r="Z290" s="1102" t="s">
        <v>5774</v>
      </c>
    </row>
    <row r="291" spans="2:26" ht="12.75" customHeight="1" x14ac:dyDescent="0.2">
      <c r="B291" s="2090" t="str">
        <f t="shared" si="4"/>
        <v>Tierra92</v>
      </c>
      <c r="C291" s="1103"/>
      <c r="D291" s="521" t="s">
        <v>538</v>
      </c>
      <c r="E291" s="1099" t="s">
        <v>2024</v>
      </c>
      <c r="F291" s="1099">
        <v>92</v>
      </c>
      <c r="G291" s="1108" t="s">
        <v>2446</v>
      </c>
      <c r="H291" s="1108" t="s">
        <v>1536</v>
      </c>
      <c r="I291" s="1109" t="s">
        <v>1606</v>
      </c>
      <c r="J291" s="1099">
        <v>12</v>
      </c>
      <c r="K291" s="1099">
        <v>14</v>
      </c>
      <c r="L291" s="1099">
        <v>16</v>
      </c>
      <c r="M291" s="1104">
        <v>18</v>
      </c>
      <c r="N291" s="1099">
        <v>350</v>
      </c>
      <c r="O291" s="1099">
        <v>500</v>
      </c>
      <c r="P291" s="1099">
        <v>650</v>
      </c>
      <c r="Q291" s="1104">
        <v>800</v>
      </c>
      <c r="R291" s="1099">
        <v>70</v>
      </c>
      <c r="S291" s="1099">
        <v>100</v>
      </c>
      <c r="T291" s="1099">
        <v>130</v>
      </c>
      <c r="U291" s="1104">
        <v>160</v>
      </c>
      <c r="V291" s="1101" t="s">
        <v>5775</v>
      </c>
      <c r="W291" s="1101" t="s">
        <v>5776</v>
      </c>
      <c r="X291" s="1101" t="s">
        <v>5777</v>
      </c>
      <c r="Y291" s="1101" t="s">
        <v>5778</v>
      </c>
      <c r="Z291" s="1102" t="s">
        <v>5779</v>
      </c>
    </row>
    <row r="292" spans="2:26" ht="12.75" customHeight="1" x14ac:dyDescent="0.2">
      <c r="B292" s="2090" t="str">
        <f t="shared" si="4"/>
        <v>Tierra96</v>
      </c>
      <c r="C292" s="1103"/>
      <c r="D292" s="521" t="s">
        <v>539</v>
      </c>
      <c r="E292" s="1099" t="s">
        <v>2024</v>
      </c>
      <c r="F292" s="1099">
        <v>96</v>
      </c>
      <c r="G292" s="1108" t="s">
        <v>2446</v>
      </c>
      <c r="H292" s="1108" t="s">
        <v>4585</v>
      </c>
      <c r="I292" s="1109" t="s">
        <v>1606</v>
      </c>
      <c r="J292" s="1099">
        <v>10</v>
      </c>
      <c r="K292" s="1099">
        <v>12</v>
      </c>
      <c r="L292" s="1099">
        <v>15</v>
      </c>
      <c r="M292" s="1104">
        <v>18</v>
      </c>
      <c r="N292" s="1099">
        <v>300</v>
      </c>
      <c r="O292" s="1099">
        <v>450</v>
      </c>
      <c r="P292" s="1099">
        <v>600</v>
      </c>
      <c r="Q292" s="1104">
        <v>1000</v>
      </c>
      <c r="R292" s="1099">
        <v>30</v>
      </c>
      <c r="S292" s="1099">
        <v>45</v>
      </c>
      <c r="T292" s="1099">
        <v>60</v>
      </c>
      <c r="U292" s="1104">
        <v>100</v>
      </c>
      <c r="V292" s="1101" t="s">
        <v>5780</v>
      </c>
      <c r="W292" s="1101" t="s">
        <v>5781</v>
      </c>
      <c r="X292" s="1101" t="s">
        <v>5782</v>
      </c>
      <c r="Y292" s="1101" t="s">
        <v>5783</v>
      </c>
      <c r="Z292" s="1102" t="s">
        <v>5784</v>
      </c>
    </row>
    <row r="293" spans="2:26" ht="12.75" customHeight="1" x14ac:dyDescent="0.2">
      <c r="B293" s="2090" t="str">
        <f t="shared" si="4"/>
        <v>Tierra100</v>
      </c>
      <c r="C293" s="1103"/>
      <c r="D293" s="521" t="s">
        <v>540</v>
      </c>
      <c r="E293" s="1099" t="s">
        <v>2024</v>
      </c>
      <c r="F293" s="1099">
        <v>100</v>
      </c>
      <c r="G293" s="1108" t="s">
        <v>1690</v>
      </c>
      <c r="H293" s="1108" t="s">
        <v>4585</v>
      </c>
      <c r="I293" s="1109" t="s">
        <v>1606</v>
      </c>
      <c r="J293" s="1099">
        <v>12</v>
      </c>
      <c r="K293" s="1099">
        <v>14</v>
      </c>
      <c r="L293" s="1099">
        <v>16</v>
      </c>
      <c r="M293" s="1104">
        <v>18</v>
      </c>
      <c r="N293" s="1099">
        <v>450</v>
      </c>
      <c r="O293" s="1099">
        <v>800</v>
      </c>
      <c r="P293" s="1099">
        <v>1200</v>
      </c>
      <c r="Q293" s="1104">
        <v>1600</v>
      </c>
      <c r="R293" s="1099">
        <v>45</v>
      </c>
      <c r="S293" s="1099">
        <v>80</v>
      </c>
      <c r="T293" s="1099">
        <v>120</v>
      </c>
      <c r="U293" s="1104">
        <v>160</v>
      </c>
      <c r="V293" s="1101" t="s">
        <v>5785</v>
      </c>
      <c r="W293" s="1101" t="s">
        <v>5786</v>
      </c>
      <c r="X293" s="1101" t="s">
        <v>5787</v>
      </c>
      <c r="Y293" s="1101" t="s">
        <v>5788</v>
      </c>
      <c r="Z293" s="1102" t="s">
        <v>5789</v>
      </c>
    </row>
    <row r="294" spans="2:26" ht="12.75" customHeight="1" x14ac:dyDescent="0.2">
      <c r="B294" s="2090" t="str">
        <f t="shared" si="4"/>
        <v/>
      </c>
      <c r="C294" s="1103"/>
      <c r="D294" s="521" t="s">
        <v>541</v>
      </c>
      <c r="E294" s="1099"/>
      <c r="F294" s="1099"/>
      <c r="G294" s="1108"/>
      <c r="H294" s="1108"/>
      <c r="I294" s="1109"/>
      <c r="J294" s="1099"/>
      <c r="K294" s="1099"/>
      <c r="L294" s="1099"/>
      <c r="M294" s="1104"/>
      <c r="N294" s="1099"/>
      <c r="O294" s="1099"/>
      <c r="P294" s="1099"/>
      <c r="Q294" s="1104"/>
      <c r="R294" s="1099"/>
      <c r="S294" s="1099"/>
      <c r="T294" s="1099"/>
      <c r="U294" s="1104"/>
      <c r="V294" s="1101"/>
      <c r="W294" s="1101"/>
      <c r="X294" s="1101"/>
      <c r="Y294" s="1101"/>
      <c r="Z294" s="1102"/>
    </row>
    <row r="295" spans="2:26" ht="12.75" customHeight="1" x14ac:dyDescent="0.2">
      <c r="B295" s="2090" t="str">
        <f t="shared" si="4"/>
        <v>Esencia2</v>
      </c>
      <c r="C295" s="1103"/>
      <c r="D295" s="521" t="s">
        <v>542</v>
      </c>
      <c r="E295" s="1099" t="s">
        <v>2029</v>
      </c>
      <c r="F295" s="1099">
        <v>2</v>
      </c>
      <c r="G295" s="1108" t="s">
        <v>2446</v>
      </c>
      <c r="H295" s="1108" t="s">
        <v>1536</v>
      </c>
      <c r="I295" s="1109" t="s">
        <v>1606</v>
      </c>
      <c r="J295" s="1099">
        <v>5</v>
      </c>
      <c r="K295" s="1099">
        <v>8</v>
      </c>
      <c r="L295" s="1099">
        <v>10</v>
      </c>
      <c r="M295" s="1104">
        <v>12</v>
      </c>
      <c r="N295" s="1099">
        <v>30</v>
      </c>
      <c r="O295" s="1099">
        <v>80</v>
      </c>
      <c r="P295" s="1099">
        <v>100</v>
      </c>
      <c r="Q295" s="1104">
        <v>120</v>
      </c>
      <c r="R295" s="1099">
        <v>5</v>
      </c>
      <c r="S295" s="1099">
        <v>10</v>
      </c>
      <c r="T295" s="1099">
        <v>10</v>
      </c>
      <c r="U295" s="1104">
        <v>15</v>
      </c>
      <c r="V295" s="1101" t="s">
        <v>5790</v>
      </c>
      <c r="W295" s="1101" t="s">
        <v>5791</v>
      </c>
      <c r="X295" s="1101" t="s">
        <v>5792</v>
      </c>
      <c r="Y295" s="1101" t="s">
        <v>5793</v>
      </c>
      <c r="Z295" s="1102" t="s">
        <v>5794</v>
      </c>
    </row>
    <row r="296" spans="2:26" ht="12.75" customHeight="1" x14ac:dyDescent="0.2">
      <c r="B296" s="2090" t="str">
        <f t="shared" si="4"/>
        <v>Esencia6</v>
      </c>
      <c r="C296" s="1103"/>
      <c r="D296" s="521" t="s">
        <v>543</v>
      </c>
      <c r="E296" s="1099" t="s">
        <v>2029</v>
      </c>
      <c r="F296" s="1099">
        <v>6</v>
      </c>
      <c r="G296" s="1108" t="s">
        <v>1690</v>
      </c>
      <c r="H296" s="1108" t="s">
        <v>5456</v>
      </c>
      <c r="I296" s="1109" t="s">
        <v>1606</v>
      </c>
      <c r="J296" s="1099">
        <v>5</v>
      </c>
      <c r="K296" s="1099">
        <v>8</v>
      </c>
      <c r="L296" s="1099">
        <v>10</v>
      </c>
      <c r="M296" s="1104">
        <v>12</v>
      </c>
      <c r="N296" s="1099">
        <v>30</v>
      </c>
      <c r="O296" s="1099">
        <v>60</v>
      </c>
      <c r="P296" s="1099">
        <v>100</v>
      </c>
      <c r="Q296" s="1104">
        <v>140</v>
      </c>
      <c r="R296" s="1099">
        <v>5</v>
      </c>
      <c r="S296" s="1099">
        <v>10</v>
      </c>
      <c r="T296" s="1099">
        <v>10</v>
      </c>
      <c r="U296" s="1104">
        <v>15</v>
      </c>
      <c r="V296" s="1101" t="s">
        <v>5795</v>
      </c>
      <c r="W296" s="1101" t="s">
        <v>5166</v>
      </c>
      <c r="X296" s="1101" t="s">
        <v>5796</v>
      </c>
      <c r="Y296" s="1101" t="s">
        <v>5797</v>
      </c>
      <c r="Z296" s="1102" t="s">
        <v>5798</v>
      </c>
    </row>
    <row r="297" spans="2:26" ht="12.75" customHeight="1" x14ac:dyDescent="0.2">
      <c r="B297" s="2090" t="str">
        <f t="shared" si="4"/>
        <v>Esencia10</v>
      </c>
      <c r="C297" s="1103"/>
      <c r="D297" s="521" t="s">
        <v>544</v>
      </c>
      <c r="E297" s="1099" t="s">
        <v>2029</v>
      </c>
      <c r="F297" s="1099">
        <v>10</v>
      </c>
      <c r="G297" s="1108" t="s">
        <v>2446</v>
      </c>
      <c r="H297" s="1108" t="s">
        <v>5456</v>
      </c>
      <c r="I297" s="1109" t="s">
        <v>1606</v>
      </c>
      <c r="J297" s="1099">
        <v>6</v>
      </c>
      <c r="K297" s="1099">
        <v>9</v>
      </c>
      <c r="L297" s="1099">
        <v>10</v>
      </c>
      <c r="M297" s="1104">
        <v>13</v>
      </c>
      <c r="N297" s="1099">
        <v>30</v>
      </c>
      <c r="O297" s="1099">
        <v>70</v>
      </c>
      <c r="P297" s="1099">
        <v>100</v>
      </c>
      <c r="Q297" s="1104">
        <v>150</v>
      </c>
      <c r="R297" s="1099">
        <v>10</v>
      </c>
      <c r="S297" s="1099">
        <v>20</v>
      </c>
      <c r="T297" s="1099">
        <v>20</v>
      </c>
      <c r="U297" s="1104">
        <v>25</v>
      </c>
      <c r="V297" s="1101" t="s">
        <v>5799</v>
      </c>
      <c r="W297" s="1101" t="s">
        <v>5800</v>
      </c>
      <c r="X297" s="1101" t="s">
        <v>5801</v>
      </c>
      <c r="Y297" s="1101" t="s">
        <v>5802</v>
      </c>
      <c r="Z297" s="1102" t="s">
        <v>5803</v>
      </c>
    </row>
    <row r="298" spans="2:26" ht="12.75" customHeight="1" x14ac:dyDescent="0.2">
      <c r="B298" s="2090" t="str">
        <f t="shared" si="4"/>
        <v>Esencia12</v>
      </c>
      <c r="C298" s="1103"/>
      <c r="D298" s="521" t="s">
        <v>545</v>
      </c>
      <c r="E298" s="1099" t="s">
        <v>2029</v>
      </c>
      <c r="F298" s="1099">
        <v>12</v>
      </c>
      <c r="G298" s="1108" t="s">
        <v>1690</v>
      </c>
      <c r="H298" s="1108" t="s">
        <v>1536</v>
      </c>
      <c r="I298" s="1109" t="s">
        <v>1606</v>
      </c>
      <c r="J298" s="1099">
        <v>6</v>
      </c>
      <c r="K298" s="1099">
        <v>9</v>
      </c>
      <c r="L298" s="1099">
        <v>10</v>
      </c>
      <c r="M298" s="1104">
        <v>13</v>
      </c>
      <c r="N298" s="1099">
        <v>40</v>
      </c>
      <c r="O298" s="1099">
        <v>60</v>
      </c>
      <c r="P298" s="1099">
        <v>90</v>
      </c>
      <c r="Q298" s="1104">
        <v>120</v>
      </c>
      <c r="R298" s="1099" t="s">
        <v>1690</v>
      </c>
      <c r="S298" s="1099" t="s">
        <v>1690</v>
      </c>
      <c r="T298" s="1099" t="s">
        <v>1690</v>
      </c>
      <c r="U298" s="1104" t="s">
        <v>1690</v>
      </c>
      <c r="V298" s="1101" t="s">
        <v>5804</v>
      </c>
      <c r="W298" s="1101" t="s">
        <v>5805</v>
      </c>
      <c r="X298" s="1101" t="s">
        <v>5806</v>
      </c>
      <c r="Y298" s="1101" t="s">
        <v>5807</v>
      </c>
      <c r="Z298" s="1102" t="s">
        <v>5808</v>
      </c>
    </row>
    <row r="299" spans="2:26" ht="12.75" customHeight="1" x14ac:dyDescent="0.2">
      <c r="B299" s="2090" t="str">
        <f t="shared" si="4"/>
        <v>Esencia16</v>
      </c>
      <c r="C299" s="1103"/>
      <c r="D299" s="521" t="s">
        <v>546</v>
      </c>
      <c r="E299" s="1099" t="s">
        <v>2029</v>
      </c>
      <c r="F299" s="1099">
        <v>16</v>
      </c>
      <c r="G299" s="1108" t="s">
        <v>1690</v>
      </c>
      <c r="H299" s="1108" t="s">
        <v>1536</v>
      </c>
      <c r="I299" s="1109" t="s">
        <v>1606</v>
      </c>
      <c r="J299" s="1099">
        <v>8</v>
      </c>
      <c r="K299" s="1099">
        <v>10</v>
      </c>
      <c r="L299" s="1099">
        <v>13</v>
      </c>
      <c r="M299" s="1104">
        <v>15</v>
      </c>
      <c r="N299" s="1099">
        <v>80</v>
      </c>
      <c r="O299" s="1099">
        <v>100</v>
      </c>
      <c r="P299" s="1099">
        <v>120</v>
      </c>
      <c r="Q299" s="1104">
        <v>150</v>
      </c>
      <c r="R299" s="1099" t="s">
        <v>1690</v>
      </c>
      <c r="S299" s="1099" t="s">
        <v>1690</v>
      </c>
      <c r="T299" s="1099" t="s">
        <v>1690</v>
      </c>
      <c r="U299" s="1104" t="s">
        <v>1690</v>
      </c>
      <c r="V299" s="1101" t="s">
        <v>5809</v>
      </c>
      <c r="W299" s="1101" t="s">
        <v>5810</v>
      </c>
      <c r="X299" s="1101" t="s">
        <v>5811</v>
      </c>
      <c r="Y299" s="1101" t="s">
        <v>5812</v>
      </c>
      <c r="Z299" s="1102" t="s">
        <v>5813</v>
      </c>
    </row>
    <row r="300" spans="2:26" ht="12.75" customHeight="1" x14ac:dyDescent="0.2">
      <c r="B300" s="2090" t="str">
        <f t="shared" si="4"/>
        <v>Esencia20</v>
      </c>
      <c r="C300" s="1103"/>
      <c r="D300" s="521" t="s">
        <v>547</v>
      </c>
      <c r="E300" s="1099" t="s">
        <v>2029</v>
      </c>
      <c r="F300" s="1099">
        <v>20</v>
      </c>
      <c r="G300" s="1108" t="s">
        <v>2446</v>
      </c>
      <c r="H300" s="1108" t="s">
        <v>1881</v>
      </c>
      <c r="I300" s="1109" t="s">
        <v>1606</v>
      </c>
      <c r="J300" s="1099">
        <v>6</v>
      </c>
      <c r="K300" s="1099">
        <v>9</v>
      </c>
      <c r="L300" s="1099">
        <v>12</v>
      </c>
      <c r="M300" s="1104">
        <v>15</v>
      </c>
      <c r="N300" s="1099">
        <v>40</v>
      </c>
      <c r="O300" s="1099">
        <v>60</v>
      </c>
      <c r="P300" s="1099">
        <v>90</v>
      </c>
      <c r="Q300" s="1104">
        <v>120</v>
      </c>
      <c r="R300" s="1099">
        <v>5</v>
      </c>
      <c r="S300" s="1099">
        <v>10</v>
      </c>
      <c r="T300" s="1099">
        <v>10</v>
      </c>
      <c r="U300" s="1104">
        <v>15</v>
      </c>
      <c r="V300" s="1101" t="s">
        <v>5814</v>
      </c>
      <c r="W300" s="1101" t="s">
        <v>5815</v>
      </c>
      <c r="X300" s="1101" t="s">
        <v>5816</v>
      </c>
      <c r="Y300" s="1101" t="s">
        <v>5817</v>
      </c>
      <c r="Z300" s="1102" t="s">
        <v>5818</v>
      </c>
    </row>
    <row r="301" spans="2:26" ht="12.75" customHeight="1" x14ac:dyDescent="0.2">
      <c r="B301" s="2090" t="str">
        <f t="shared" si="4"/>
        <v>Esencia22</v>
      </c>
      <c r="C301" s="1103"/>
      <c r="D301" s="521" t="s">
        <v>548</v>
      </c>
      <c r="E301" s="1099" t="s">
        <v>2029</v>
      </c>
      <c r="F301" s="1099">
        <v>22</v>
      </c>
      <c r="G301" s="1108" t="s">
        <v>2446</v>
      </c>
      <c r="H301" s="1108" t="s">
        <v>1536</v>
      </c>
      <c r="I301" s="1109" t="s">
        <v>1606</v>
      </c>
      <c r="J301" s="1099">
        <v>6</v>
      </c>
      <c r="K301" s="1099">
        <v>9</v>
      </c>
      <c r="L301" s="1099">
        <v>12</v>
      </c>
      <c r="M301" s="1104">
        <v>15</v>
      </c>
      <c r="N301" s="1099">
        <v>60</v>
      </c>
      <c r="O301" s="1099">
        <v>180</v>
      </c>
      <c r="P301" s="1099">
        <v>240</v>
      </c>
      <c r="Q301" s="1104">
        <v>300</v>
      </c>
      <c r="R301" s="1099">
        <v>10</v>
      </c>
      <c r="S301" s="1099">
        <v>20</v>
      </c>
      <c r="T301" s="1099">
        <v>25</v>
      </c>
      <c r="U301" s="1104">
        <v>30</v>
      </c>
      <c r="V301" s="1101" t="s">
        <v>5819</v>
      </c>
      <c r="W301" s="1101" t="s">
        <v>5820</v>
      </c>
      <c r="X301" s="1101" t="s">
        <v>5821</v>
      </c>
      <c r="Y301" s="1101" t="s">
        <v>5822</v>
      </c>
      <c r="Z301" s="1102" t="s">
        <v>5823</v>
      </c>
    </row>
    <row r="302" spans="2:26" ht="12.75" customHeight="1" x14ac:dyDescent="0.2">
      <c r="B302" s="2090" t="str">
        <f t="shared" si="4"/>
        <v>Esencia26</v>
      </c>
      <c r="C302" s="1103"/>
      <c r="D302" s="521" t="s">
        <v>549</v>
      </c>
      <c r="E302" s="1099" t="s">
        <v>2029</v>
      </c>
      <c r="F302" s="1099">
        <v>26</v>
      </c>
      <c r="G302" s="1108" t="s">
        <v>1690</v>
      </c>
      <c r="H302" s="1108" t="s">
        <v>5824</v>
      </c>
      <c r="I302" s="1109" t="s">
        <v>1606</v>
      </c>
      <c r="J302" s="1099">
        <v>6</v>
      </c>
      <c r="K302" s="1099">
        <v>8</v>
      </c>
      <c r="L302" s="1099">
        <v>10</v>
      </c>
      <c r="M302" s="1104">
        <v>12</v>
      </c>
      <c r="N302" s="1099">
        <v>50</v>
      </c>
      <c r="O302" s="1099">
        <v>80</v>
      </c>
      <c r="P302" s="1099">
        <v>100</v>
      </c>
      <c r="Q302" s="1104">
        <v>140</v>
      </c>
      <c r="R302" s="1099">
        <v>5</v>
      </c>
      <c r="S302" s="1099">
        <v>10</v>
      </c>
      <c r="T302" s="1099">
        <v>10</v>
      </c>
      <c r="U302" s="1104">
        <v>15</v>
      </c>
      <c r="V302" s="1101" t="s">
        <v>4969</v>
      </c>
      <c r="W302" s="1101" t="s">
        <v>4864</v>
      </c>
      <c r="X302" s="1101" t="s">
        <v>4697</v>
      </c>
      <c r="Y302" s="1101" t="s">
        <v>4865</v>
      </c>
      <c r="Z302" s="1102" t="s">
        <v>5825</v>
      </c>
    </row>
    <row r="303" spans="2:26" ht="12.75" customHeight="1" x14ac:dyDescent="0.2">
      <c r="B303" s="2090" t="str">
        <f t="shared" si="4"/>
        <v>Esencia30</v>
      </c>
      <c r="C303" s="1103"/>
      <c r="D303" s="521" t="s">
        <v>550</v>
      </c>
      <c r="E303" s="1099" t="s">
        <v>2029</v>
      </c>
      <c r="F303" s="1099">
        <v>30</v>
      </c>
      <c r="G303" s="1108" t="s">
        <v>1690</v>
      </c>
      <c r="H303" s="1108" t="s">
        <v>5824</v>
      </c>
      <c r="I303" s="1109" t="s">
        <v>1606</v>
      </c>
      <c r="J303" s="1099">
        <v>6</v>
      </c>
      <c r="K303" s="1099">
        <v>9</v>
      </c>
      <c r="L303" s="1099">
        <v>12</v>
      </c>
      <c r="M303" s="1104">
        <v>15</v>
      </c>
      <c r="N303" s="1099">
        <v>60</v>
      </c>
      <c r="O303" s="1099">
        <v>90</v>
      </c>
      <c r="P303" s="1099">
        <v>120</v>
      </c>
      <c r="Q303" s="1104">
        <v>150</v>
      </c>
      <c r="R303" s="1099" t="s">
        <v>1690</v>
      </c>
      <c r="S303" s="1099" t="s">
        <v>1690</v>
      </c>
      <c r="T303" s="1099" t="s">
        <v>1690</v>
      </c>
      <c r="U303" s="1104" t="s">
        <v>1690</v>
      </c>
      <c r="V303" s="1101" t="s">
        <v>5826</v>
      </c>
      <c r="W303" s="1101" t="s">
        <v>5827</v>
      </c>
      <c r="X303" s="1101" t="s">
        <v>5828</v>
      </c>
      <c r="Y303" s="1101" t="s">
        <v>5829</v>
      </c>
      <c r="Z303" s="1102" t="s">
        <v>5830</v>
      </c>
    </row>
    <row r="304" spans="2:26" ht="12.75" customHeight="1" x14ac:dyDescent="0.2">
      <c r="B304" s="2090" t="str">
        <f t="shared" si="4"/>
        <v>Esencia32</v>
      </c>
      <c r="C304" s="1103"/>
      <c r="D304" s="521" t="s">
        <v>551</v>
      </c>
      <c r="E304" s="1099" t="s">
        <v>2029</v>
      </c>
      <c r="F304" s="1099">
        <v>32</v>
      </c>
      <c r="G304" s="1108" t="s">
        <v>1690</v>
      </c>
      <c r="H304" s="1108" t="s">
        <v>5456</v>
      </c>
      <c r="I304" s="1109" t="s">
        <v>1606</v>
      </c>
      <c r="J304" s="1099">
        <v>7</v>
      </c>
      <c r="K304" s="1099">
        <v>10</v>
      </c>
      <c r="L304" s="1099">
        <v>13</v>
      </c>
      <c r="M304" s="1104">
        <v>15</v>
      </c>
      <c r="N304" s="1099">
        <v>60</v>
      </c>
      <c r="O304" s="1099">
        <v>90</v>
      </c>
      <c r="P304" s="1099">
        <v>120</v>
      </c>
      <c r="Q304" s="1104">
        <v>150</v>
      </c>
      <c r="R304" s="1099" t="s">
        <v>1690</v>
      </c>
      <c r="S304" s="1099" t="s">
        <v>1690</v>
      </c>
      <c r="T304" s="1099" t="s">
        <v>1690</v>
      </c>
      <c r="U304" s="1104" t="s">
        <v>1690</v>
      </c>
      <c r="V304" s="1101" t="s">
        <v>4968</v>
      </c>
      <c r="W304" s="1101" t="s">
        <v>4969</v>
      </c>
      <c r="X304" s="1101" t="s">
        <v>4697</v>
      </c>
      <c r="Y304" s="1101" t="s">
        <v>4865</v>
      </c>
      <c r="Z304" s="1102" t="s">
        <v>5831</v>
      </c>
    </row>
    <row r="305" spans="2:26" ht="12.75" customHeight="1" x14ac:dyDescent="0.2">
      <c r="B305" s="2090" t="str">
        <f t="shared" si="4"/>
        <v>Esencia36</v>
      </c>
      <c r="C305" s="1103"/>
      <c r="D305" s="521" t="s">
        <v>552</v>
      </c>
      <c r="E305" s="1099" t="s">
        <v>2029</v>
      </c>
      <c r="F305" s="1099">
        <v>36</v>
      </c>
      <c r="G305" s="1108" t="s">
        <v>2446</v>
      </c>
      <c r="H305" s="1108" t="s">
        <v>1536</v>
      </c>
      <c r="I305" s="1109" t="s">
        <v>1606</v>
      </c>
      <c r="J305" s="1099">
        <v>7</v>
      </c>
      <c r="K305" s="1099">
        <v>10</v>
      </c>
      <c r="L305" s="1099">
        <v>13</v>
      </c>
      <c r="M305" s="1104">
        <v>15</v>
      </c>
      <c r="N305" s="1099">
        <v>120</v>
      </c>
      <c r="O305" s="1099">
        <v>200</v>
      </c>
      <c r="P305" s="1099">
        <v>280</v>
      </c>
      <c r="Q305" s="1104">
        <v>360</v>
      </c>
      <c r="R305" s="1099">
        <v>25</v>
      </c>
      <c r="S305" s="1099">
        <v>40</v>
      </c>
      <c r="T305" s="1099">
        <v>60</v>
      </c>
      <c r="U305" s="1104">
        <v>80</v>
      </c>
      <c r="V305" s="1101" t="s">
        <v>5832</v>
      </c>
      <c r="W305" s="1101" t="s">
        <v>4991</v>
      </c>
      <c r="X305" s="1101" t="s">
        <v>5833</v>
      </c>
      <c r="Y305" s="1101" t="s">
        <v>4992</v>
      </c>
      <c r="Z305" s="1102" t="s">
        <v>5834</v>
      </c>
    </row>
    <row r="306" spans="2:26" ht="12.75" customHeight="1" x14ac:dyDescent="0.2">
      <c r="B306" s="2090" t="str">
        <f t="shared" si="4"/>
        <v>Esencia40</v>
      </c>
      <c r="C306" s="1103"/>
      <c r="D306" s="521" t="s">
        <v>553</v>
      </c>
      <c r="E306" s="1099" t="s">
        <v>2029</v>
      </c>
      <c r="F306" s="1099">
        <v>40</v>
      </c>
      <c r="G306" s="1108" t="s">
        <v>1690</v>
      </c>
      <c r="H306" s="1108" t="s">
        <v>5456</v>
      </c>
      <c r="I306" s="1109" t="s">
        <v>1606</v>
      </c>
      <c r="J306" s="1099">
        <v>7</v>
      </c>
      <c r="K306" s="1099">
        <v>9</v>
      </c>
      <c r="L306" s="1099">
        <v>12</v>
      </c>
      <c r="M306" s="1104">
        <v>15</v>
      </c>
      <c r="N306" s="1099">
        <v>100</v>
      </c>
      <c r="O306" s="1099">
        <v>180</v>
      </c>
      <c r="P306" s="1099">
        <v>240</v>
      </c>
      <c r="Q306" s="1104">
        <v>300</v>
      </c>
      <c r="R306" s="1099">
        <v>10</v>
      </c>
      <c r="S306" s="1099">
        <v>20</v>
      </c>
      <c r="T306" s="1099">
        <v>25</v>
      </c>
      <c r="U306" s="1104">
        <v>30</v>
      </c>
      <c r="V306" s="1101" t="s">
        <v>4884</v>
      </c>
      <c r="W306" s="1101" t="s">
        <v>5835</v>
      </c>
      <c r="X306" s="1101" t="s">
        <v>4772</v>
      </c>
      <c r="Y306" s="1101" t="s">
        <v>4885</v>
      </c>
      <c r="Z306" s="1102" t="s">
        <v>5836</v>
      </c>
    </row>
    <row r="307" spans="2:26" ht="12.75" customHeight="1" x14ac:dyDescent="0.2">
      <c r="B307" s="2090" t="str">
        <f t="shared" si="4"/>
        <v>Esencia42</v>
      </c>
      <c r="C307" s="1103"/>
      <c r="D307" s="521" t="s">
        <v>554</v>
      </c>
      <c r="E307" s="1099" t="s">
        <v>2029</v>
      </c>
      <c r="F307" s="1099">
        <v>42</v>
      </c>
      <c r="G307" s="1108" t="s">
        <v>1690</v>
      </c>
      <c r="H307" s="1108" t="s">
        <v>5456</v>
      </c>
      <c r="I307" s="1109" t="s">
        <v>1606</v>
      </c>
      <c r="J307" s="1099">
        <v>7</v>
      </c>
      <c r="K307" s="1099">
        <v>10</v>
      </c>
      <c r="L307" s="1099">
        <v>13</v>
      </c>
      <c r="M307" s="1104">
        <v>15</v>
      </c>
      <c r="N307" s="1099">
        <v>120</v>
      </c>
      <c r="O307" s="1099">
        <v>180</v>
      </c>
      <c r="P307" s="1099">
        <v>240</v>
      </c>
      <c r="Q307" s="1104">
        <v>300</v>
      </c>
      <c r="R307" s="1099">
        <v>10</v>
      </c>
      <c r="S307" s="1099">
        <v>10</v>
      </c>
      <c r="T307" s="1099">
        <v>15</v>
      </c>
      <c r="U307" s="1104">
        <v>15</v>
      </c>
      <c r="V307" s="1101" t="s">
        <v>5837</v>
      </c>
      <c r="W307" s="1101" t="s">
        <v>5838</v>
      </c>
      <c r="X307" s="1101" t="s">
        <v>5839</v>
      </c>
      <c r="Y307" s="1101" t="s">
        <v>5840</v>
      </c>
      <c r="Z307" s="1102" t="s">
        <v>5841</v>
      </c>
    </row>
    <row r="308" spans="2:26" ht="12.75" customHeight="1" x14ac:dyDescent="0.2">
      <c r="B308" s="2090" t="str">
        <f t="shared" si="4"/>
        <v>Esencia46</v>
      </c>
      <c r="C308" s="1103"/>
      <c r="D308" s="521" t="s">
        <v>555</v>
      </c>
      <c r="E308" s="1099" t="s">
        <v>2029</v>
      </c>
      <c r="F308" s="1099">
        <v>46</v>
      </c>
      <c r="G308" s="1108" t="s">
        <v>2446</v>
      </c>
      <c r="H308" s="1108" t="s">
        <v>5824</v>
      </c>
      <c r="I308" s="1109" t="s">
        <v>1606</v>
      </c>
      <c r="J308" s="1099">
        <v>9</v>
      </c>
      <c r="K308" s="1099">
        <v>11</v>
      </c>
      <c r="L308" s="1099">
        <v>13</v>
      </c>
      <c r="M308" s="1104">
        <v>16</v>
      </c>
      <c r="N308" s="1099">
        <v>80</v>
      </c>
      <c r="O308" s="1099">
        <v>140</v>
      </c>
      <c r="P308" s="1099">
        <v>180</v>
      </c>
      <c r="Q308" s="1104">
        <v>240</v>
      </c>
      <c r="R308" s="1099">
        <v>10</v>
      </c>
      <c r="S308" s="1099">
        <v>15</v>
      </c>
      <c r="T308" s="1099">
        <v>15</v>
      </c>
      <c r="U308" s="1104">
        <v>20</v>
      </c>
      <c r="V308" s="1101" t="s">
        <v>5842</v>
      </c>
      <c r="W308" s="1101" t="s">
        <v>5843</v>
      </c>
      <c r="X308" s="1101" t="s">
        <v>5844</v>
      </c>
      <c r="Y308" s="1101" t="s">
        <v>5845</v>
      </c>
      <c r="Z308" s="1102" t="s">
        <v>5846</v>
      </c>
    </row>
    <row r="309" spans="2:26" ht="12.75" customHeight="1" x14ac:dyDescent="0.2">
      <c r="B309" s="2090" t="str">
        <f t="shared" si="4"/>
        <v>Esencia50</v>
      </c>
      <c r="C309" s="1103"/>
      <c r="D309" s="521" t="s">
        <v>556</v>
      </c>
      <c r="E309" s="1099" t="s">
        <v>2029</v>
      </c>
      <c r="F309" s="1099">
        <v>50</v>
      </c>
      <c r="G309" s="1108" t="s">
        <v>1690</v>
      </c>
      <c r="H309" s="1108" t="s">
        <v>1536</v>
      </c>
      <c r="I309" s="1109" t="s">
        <v>1606</v>
      </c>
      <c r="J309" s="1099">
        <v>8</v>
      </c>
      <c r="K309" s="1099">
        <v>10</v>
      </c>
      <c r="L309" s="1099">
        <v>13</v>
      </c>
      <c r="M309" s="1104">
        <v>15</v>
      </c>
      <c r="N309" s="1099">
        <v>60</v>
      </c>
      <c r="O309" s="1099">
        <v>180</v>
      </c>
      <c r="P309" s="1099">
        <v>240</v>
      </c>
      <c r="Q309" s="1104">
        <v>300</v>
      </c>
      <c r="R309" s="1099">
        <v>10</v>
      </c>
      <c r="S309" s="1099">
        <v>10</v>
      </c>
      <c r="T309" s="1099">
        <v>15</v>
      </c>
      <c r="U309" s="1104">
        <v>15</v>
      </c>
      <c r="V309" s="1101" t="s">
        <v>5847</v>
      </c>
      <c r="W309" s="1101" t="s">
        <v>5848</v>
      </c>
      <c r="X309" s="1101" t="s">
        <v>5849</v>
      </c>
      <c r="Y309" s="1101" t="s">
        <v>5850</v>
      </c>
      <c r="Z309" s="1102" t="s">
        <v>8631</v>
      </c>
    </row>
    <row r="310" spans="2:26" ht="12.75" customHeight="1" x14ac:dyDescent="0.2">
      <c r="B310" s="2090" t="str">
        <f t="shared" si="4"/>
        <v>Esencia52</v>
      </c>
      <c r="C310" s="1103"/>
      <c r="D310" s="521" t="s">
        <v>557</v>
      </c>
      <c r="E310" s="1099" t="s">
        <v>2029</v>
      </c>
      <c r="F310" s="1099">
        <v>52</v>
      </c>
      <c r="G310" s="1108" t="s">
        <v>1690</v>
      </c>
      <c r="H310" s="1108" t="s">
        <v>1536</v>
      </c>
      <c r="I310" s="1109" t="s">
        <v>1606</v>
      </c>
      <c r="J310" s="1099">
        <v>8</v>
      </c>
      <c r="K310" s="1099">
        <v>11</v>
      </c>
      <c r="L310" s="1099">
        <v>13</v>
      </c>
      <c r="M310" s="1104">
        <v>16</v>
      </c>
      <c r="N310" s="1099">
        <v>100</v>
      </c>
      <c r="O310" s="1099">
        <v>120</v>
      </c>
      <c r="P310" s="1099">
        <v>140</v>
      </c>
      <c r="Q310" s="1104">
        <v>160</v>
      </c>
      <c r="R310" s="1099">
        <v>10</v>
      </c>
      <c r="S310" s="1099">
        <v>15</v>
      </c>
      <c r="T310" s="1099">
        <v>15</v>
      </c>
      <c r="U310" s="1104">
        <v>20</v>
      </c>
      <c r="V310" s="1101" t="s">
        <v>5851</v>
      </c>
      <c r="W310" s="1101" t="s">
        <v>5852</v>
      </c>
      <c r="X310" s="1101" t="s">
        <v>5853</v>
      </c>
      <c r="Y310" s="1101" t="s">
        <v>5854</v>
      </c>
      <c r="Z310" s="1102" t="s">
        <v>5855</v>
      </c>
    </row>
    <row r="311" spans="2:26" ht="12.75" customHeight="1" x14ac:dyDescent="0.2">
      <c r="B311" s="2090" t="str">
        <f t="shared" si="4"/>
        <v>Esencia56</v>
      </c>
      <c r="C311" s="1103"/>
      <c r="D311" s="521" t="s">
        <v>558</v>
      </c>
      <c r="E311" s="1099" t="s">
        <v>2029</v>
      </c>
      <c r="F311" s="1099">
        <v>56</v>
      </c>
      <c r="G311" s="1108" t="s">
        <v>2446</v>
      </c>
      <c r="H311" s="1108" t="s">
        <v>5824</v>
      </c>
      <c r="I311" s="1109" t="s">
        <v>1606</v>
      </c>
      <c r="J311" s="1099">
        <v>8</v>
      </c>
      <c r="K311" s="1099">
        <v>10</v>
      </c>
      <c r="L311" s="1099">
        <v>12</v>
      </c>
      <c r="M311" s="1104">
        <v>15</v>
      </c>
      <c r="N311" s="1099">
        <v>100</v>
      </c>
      <c r="O311" s="1099">
        <v>180</v>
      </c>
      <c r="P311" s="1099">
        <v>240</v>
      </c>
      <c r="Q311" s="1104">
        <v>300</v>
      </c>
      <c r="R311" s="1099">
        <v>20</v>
      </c>
      <c r="S311" s="1099">
        <v>40</v>
      </c>
      <c r="T311" s="1099">
        <v>50</v>
      </c>
      <c r="U311" s="1104">
        <v>60</v>
      </c>
      <c r="V311" s="1101" t="s">
        <v>4967</v>
      </c>
      <c r="W311" s="1101" t="s">
        <v>4968</v>
      </c>
      <c r="X311" s="1101" t="s">
        <v>5737</v>
      </c>
      <c r="Y311" s="1101" t="s">
        <v>4697</v>
      </c>
      <c r="Z311" s="1102" t="s">
        <v>5856</v>
      </c>
    </row>
    <row r="312" spans="2:26" ht="12.75" customHeight="1" x14ac:dyDescent="0.2">
      <c r="B312" s="2090" t="str">
        <f t="shared" si="4"/>
        <v>Esencia60</v>
      </c>
      <c r="C312" s="1103"/>
      <c r="D312" s="521" t="s">
        <v>559</v>
      </c>
      <c r="E312" s="1099" t="s">
        <v>2029</v>
      </c>
      <c r="F312" s="1099">
        <v>60</v>
      </c>
      <c r="G312" s="1108" t="s">
        <v>1690</v>
      </c>
      <c r="H312" s="1108" t="s">
        <v>5824</v>
      </c>
      <c r="I312" s="1109" t="s">
        <v>1606</v>
      </c>
      <c r="J312" s="1099">
        <v>8</v>
      </c>
      <c r="K312" s="1099">
        <v>10</v>
      </c>
      <c r="L312" s="1099">
        <v>12</v>
      </c>
      <c r="M312" s="1104">
        <v>15</v>
      </c>
      <c r="N312" s="1099">
        <v>100</v>
      </c>
      <c r="O312" s="1099">
        <v>180</v>
      </c>
      <c r="P312" s="1099">
        <v>240</v>
      </c>
      <c r="Q312" s="1104">
        <v>300</v>
      </c>
      <c r="R312" s="1099" t="s">
        <v>1690</v>
      </c>
      <c r="S312" s="1099" t="s">
        <v>1690</v>
      </c>
      <c r="T312" s="1099" t="s">
        <v>1690</v>
      </c>
      <c r="U312" s="1104" t="s">
        <v>1690</v>
      </c>
      <c r="V312" s="1101" t="s">
        <v>5006</v>
      </c>
      <c r="W312" s="1101" t="s">
        <v>4969</v>
      </c>
      <c r="X312" s="1101" t="s">
        <v>4697</v>
      </c>
      <c r="Y312" s="1101" t="s">
        <v>4865</v>
      </c>
      <c r="Z312" s="1102" t="s">
        <v>5857</v>
      </c>
    </row>
    <row r="313" spans="2:26" ht="12.75" customHeight="1" x14ac:dyDescent="0.2">
      <c r="B313" s="2090" t="str">
        <f t="shared" si="4"/>
        <v>Esencia62</v>
      </c>
      <c r="C313" s="1103"/>
      <c r="D313" s="521" t="s">
        <v>560</v>
      </c>
      <c r="E313" s="1099" t="s">
        <v>2029</v>
      </c>
      <c r="F313" s="1099">
        <v>62</v>
      </c>
      <c r="G313" s="1108" t="s">
        <v>1690</v>
      </c>
      <c r="H313" s="1108" t="s">
        <v>5824</v>
      </c>
      <c r="I313" s="1109" t="s">
        <v>1606</v>
      </c>
      <c r="J313" s="1099">
        <v>8</v>
      </c>
      <c r="K313" s="1099">
        <v>10</v>
      </c>
      <c r="L313" s="1099">
        <v>12</v>
      </c>
      <c r="M313" s="1104">
        <v>15</v>
      </c>
      <c r="N313" s="1099">
        <v>100</v>
      </c>
      <c r="O313" s="1099">
        <v>180</v>
      </c>
      <c r="P313" s="1099">
        <v>240</v>
      </c>
      <c r="Q313" s="1104">
        <v>300</v>
      </c>
      <c r="R313" s="1099" t="s">
        <v>1690</v>
      </c>
      <c r="S313" s="1099" t="s">
        <v>1690</v>
      </c>
      <c r="T313" s="1099" t="s">
        <v>1690</v>
      </c>
      <c r="U313" s="1104" t="s">
        <v>1690</v>
      </c>
      <c r="V313" s="1101" t="s">
        <v>4968</v>
      </c>
      <c r="W313" s="1101" t="s">
        <v>4697</v>
      </c>
      <c r="X313" s="1101" t="s">
        <v>4866</v>
      </c>
      <c r="Y313" s="1101" t="s">
        <v>5858</v>
      </c>
      <c r="Z313" s="1102" t="s">
        <v>5859</v>
      </c>
    </row>
    <row r="314" spans="2:26" ht="12.75" customHeight="1" x14ac:dyDescent="0.2">
      <c r="B314" s="2090" t="str">
        <f t="shared" si="4"/>
        <v>Esencia66</v>
      </c>
      <c r="C314" s="1103"/>
      <c r="D314" s="521" t="s">
        <v>561</v>
      </c>
      <c r="E314" s="1099" t="s">
        <v>2029</v>
      </c>
      <c r="F314" s="1099">
        <v>66</v>
      </c>
      <c r="G314" s="1108" t="s">
        <v>2446</v>
      </c>
      <c r="H314" s="1108" t="s">
        <v>1537</v>
      </c>
      <c r="I314" s="1109" t="s">
        <v>1606</v>
      </c>
      <c r="J314" s="1099">
        <v>8</v>
      </c>
      <c r="K314" s="1099">
        <v>10</v>
      </c>
      <c r="L314" s="1099">
        <v>13</v>
      </c>
      <c r="M314" s="1104">
        <v>15</v>
      </c>
      <c r="N314" s="1099">
        <v>120</v>
      </c>
      <c r="O314" s="1099">
        <v>180</v>
      </c>
      <c r="P314" s="1099">
        <v>240</v>
      </c>
      <c r="Q314" s="1104">
        <v>300</v>
      </c>
      <c r="R314" s="1099">
        <v>15</v>
      </c>
      <c r="S314" s="1099">
        <v>20</v>
      </c>
      <c r="T314" s="1099">
        <v>25</v>
      </c>
      <c r="U314" s="1104">
        <v>30</v>
      </c>
      <c r="V314" s="1101" t="s">
        <v>5860</v>
      </c>
      <c r="W314" s="1101" t="s">
        <v>5861</v>
      </c>
      <c r="X314" s="1101" t="s">
        <v>5862</v>
      </c>
      <c r="Y314" s="1101" t="s">
        <v>5863</v>
      </c>
      <c r="Z314" s="1102" t="s">
        <v>5864</v>
      </c>
    </row>
    <row r="315" spans="2:26" ht="12.75" customHeight="1" x14ac:dyDescent="0.2">
      <c r="B315" s="2090" t="str">
        <f t="shared" si="4"/>
        <v>Esencia70</v>
      </c>
      <c r="C315" s="1103"/>
      <c r="D315" s="521" t="s">
        <v>562</v>
      </c>
      <c r="E315" s="1099" t="s">
        <v>2029</v>
      </c>
      <c r="F315" s="1099">
        <v>70</v>
      </c>
      <c r="G315" s="1108" t="s">
        <v>2446</v>
      </c>
      <c r="H315" s="1108" t="s">
        <v>1535</v>
      </c>
      <c r="I315" s="1109" t="s">
        <v>1606</v>
      </c>
      <c r="J315" s="1099">
        <v>8</v>
      </c>
      <c r="K315" s="1099">
        <v>10</v>
      </c>
      <c r="L315" s="1099">
        <v>13</v>
      </c>
      <c r="M315" s="1104">
        <v>15</v>
      </c>
      <c r="N315" s="1099">
        <v>120</v>
      </c>
      <c r="O315" s="1099">
        <v>180</v>
      </c>
      <c r="P315" s="1099">
        <v>240</v>
      </c>
      <c r="Q315" s="1104">
        <v>300</v>
      </c>
      <c r="R315" s="1099">
        <v>25</v>
      </c>
      <c r="S315" s="1099">
        <v>40</v>
      </c>
      <c r="T315" s="1099">
        <v>50</v>
      </c>
      <c r="U315" s="1104">
        <v>60</v>
      </c>
      <c r="V315" s="1101" t="s">
        <v>5006</v>
      </c>
      <c r="W315" s="1101" t="s">
        <v>4968</v>
      </c>
      <c r="X315" s="1101" t="s">
        <v>4969</v>
      </c>
      <c r="Y315" s="1101" t="s">
        <v>4697</v>
      </c>
      <c r="Z315" s="1102" t="s">
        <v>5865</v>
      </c>
    </row>
    <row r="316" spans="2:26" ht="12.75" customHeight="1" x14ac:dyDescent="0.2">
      <c r="B316" s="2090" t="str">
        <f t="shared" si="4"/>
        <v>Esencia72</v>
      </c>
      <c r="C316" s="1103"/>
      <c r="D316" s="521" t="s">
        <v>563</v>
      </c>
      <c r="E316" s="1099" t="s">
        <v>2029</v>
      </c>
      <c r="F316" s="1099">
        <v>72</v>
      </c>
      <c r="G316" s="1108" t="s">
        <v>3010</v>
      </c>
      <c r="H316" s="1108" t="s">
        <v>1535</v>
      </c>
      <c r="I316" s="1109" t="s">
        <v>1606</v>
      </c>
      <c r="J316" s="1099">
        <v>8</v>
      </c>
      <c r="K316" s="1099">
        <v>10</v>
      </c>
      <c r="L316" s="1099">
        <v>13</v>
      </c>
      <c r="M316" s="1104">
        <v>15</v>
      </c>
      <c r="N316" s="1099">
        <v>140</v>
      </c>
      <c r="O316" s="1099">
        <v>180</v>
      </c>
      <c r="P316" s="1099">
        <v>240</v>
      </c>
      <c r="Q316" s="1104">
        <v>300</v>
      </c>
      <c r="R316" s="1099">
        <v>15</v>
      </c>
      <c r="S316" s="1099">
        <v>20</v>
      </c>
      <c r="T316" s="1099">
        <v>25</v>
      </c>
      <c r="U316" s="1104">
        <v>30</v>
      </c>
      <c r="V316" s="1101" t="s">
        <v>4977</v>
      </c>
      <c r="W316" s="1101" t="s">
        <v>5866</v>
      </c>
      <c r="X316" s="1101" t="s">
        <v>5867</v>
      </c>
      <c r="Y316" s="1101" t="s">
        <v>5868</v>
      </c>
      <c r="Z316" s="1102" t="s">
        <v>5869</v>
      </c>
    </row>
    <row r="317" spans="2:26" ht="12.75" customHeight="1" x14ac:dyDescent="0.2">
      <c r="B317" s="2090" t="str">
        <f t="shared" si="4"/>
        <v>Esencia76</v>
      </c>
      <c r="C317" s="1103"/>
      <c r="D317" s="521" t="s">
        <v>564</v>
      </c>
      <c r="E317" s="1099" t="s">
        <v>2029</v>
      </c>
      <c r="F317" s="1099">
        <v>76</v>
      </c>
      <c r="G317" s="1108" t="s">
        <v>1690</v>
      </c>
      <c r="H317" s="1108" t="s">
        <v>1535</v>
      </c>
      <c r="I317" s="1109" t="s">
        <v>1606</v>
      </c>
      <c r="J317" s="1099">
        <v>9</v>
      </c>
      <c r="K317" s="1099">
        <v>12</v>
      </c>
      <c r="L317" s="1099">
        <v>15</v>
      </c>
      <c r="M317" s="1104">
        <v>18</v>
      </c>
      <c r="N317" s="1099">
        <v>180</v>
      </c>
      <c r="O317" s="1099">
        <v>240</v>
      </c>
      <c r="P317" s="1099">
        <v>300</v>
      </c>
      <c r="Q317" s="1104">
        <v>540</v>
      </c>
      <c r="R317" s="1099" t="s">
        <v>1690</v>
      </c>
      <c r="S317" s="1099" t="s">
        <v>1690</v>
      </c>
      <c r="T317" s="1099" t="s">
        <v>1690</v>
      </c>
      <c r="U317" s="1104" t="s">
        <v>1690</v>
      </c>
      <c r="V317" s="1101" t="s">
        <v>5870</v>
      </c>
      <c r="W317" s="1101" t="s">
        <v>5871</v>
      </c>
      <c r="X317" s="1101" t="s">
        <v>5872</v>
      </c>
      <c r="Y317" s="1101" t="s">
        <v>5873</v>
      </c>
      <c r="Z317" s="1102" t="s">
        <v>5874</v>
      </c>
    </row>
    <row r="318" spans="2:26" ht="12.75" customHeight="1" x14ac:dyDescent="0.2">
      <c r="B318" s="2090" t="str">
        <f t="shared" si="4"/>
        <v>Esencia80</v>
      </c>
      <c r="C318" s="1103"/>
      <c r="D318" s="521" t="s">
        <v>565</v>
      </c>
      <c r="E318" s="1099" t="s">
        <v>2029</v>
      </c>
      <c r="F318" s="1099">
        <v>80</v>
      </c>
      <c r="G318" s="1108" t="s">
        <v>1690</v>
      </c>
      <c r="H318" s="1108" t="s">
        <v>1536</v>
      </c>
      <c r="I318" s="1109" t="s">
        <v>1606</v>
      </c>
      <c r="J318" s="1099">
        <v>10</v>
      </c>
      <c r="K318" s="1099">
        <v>13</v>
      </c>
      <c r="L318" s="1099">
        <v>15</v>
      </c>
      <c r="M318" s="1104">
        <v>17</v>
      </c>
      <c r="N318" s="1099">
        <v>250</v>
      </c>
      <c r="O318" s="1099">
        <v>500</v>
      </c>
      <c r="P318" s="1099">
        <v>1000</v>
      </c>
      <c r="Q318" s="1104">
        <v>2500</v>
      </c>
      <c r="R318" s="1099" t="s">
        <v>1690</v>
      </c>
      <c r="S318" s="1099" t="s">
        <v>1690</v>
      </c>
      <c r="T318" s="1099" t="s">
        <v>1690</v>
      </c>
      <c r="U318" s="1104" t="s">
        <v>1690</v>
      </c>
      <c r="V318" s="1101" t="s">
        <v>5875</v>
      </c>
      <c r="W318" s="1101" t="s">
        <v>5876</v>
      </c>
      <c r="X318" s="1101" t="s">
        <v>5877</v>
      </c>
      <c r="Y318" s="1101" t="s">
        <v>5878</v>
      </c>
      <c r="Z318" s="1102" t="s">
        <v>5879</v>
      </c>
    </row>
    <row r="319" spans="2:26" ht="12.75" customHeight="1" x14ac:dyDescent="0.2">
      <c r="B319" s="2090" t="str">
        <f t="shared" si="4"/>
        <v>Esencia82</v>
      </c>
      <c r="C319" s="1103"/>
      <c r="D319" s="521" t="s">
        <v>566</v>
      </c>
      <c r="E319" s="1099" t="s">
        <v>2029</v>
      </c>
      <c r="F319" s="1099">
        <v>82</v>
      </c>
      <c r="G319" s="1108" t="s">
        <v>2446</v>
      </c>
      <c r="H319" s="1108" t="s">
        <v>1536</v>
      </c>
      <c r="I319" s="1109" t="s">
        <v>1606</v>
      </c>
      <c r="J319" s="1099">
        <v>10</v>
      </c>
      <c r="K319" s="1099">
        <v>12</v>
      </c>
      <c r="L319" s="1099">
        <v>14</v>
      </c>
      <c r="M319" s="1104">
        <v>16</v>
      </c>
      <c r="N319" s="1099">
        <v>250</v>
      </c>
      <c r="O319" s="1099">
        <v>350</v>
      </c>
      <c r="P319" s="1099">
        <v>500</v>
      </c>
      <c r="Q319" s="1104">
        <v>700</v>
      </c>
      <c r="R319" s="1099">
        <v>50</v>
      </c>
      <c r="S319" s="1099">
        <v>70</v>
      </c>
      <c r="T319" s="1099">
        <v>100</v>
      </c>
      <c r="U319" s="1104">
        <v>140</v>
      </c>
      <c r="V319" s="1101" t="s">
        <v>5035</v>
      </c>
      <c r="W319" s="1101" t="s">
        <v>4731</v>
      </c>
      <c r="X319" s="1101" t="s">
        <v>5762</v>
      </c>
      <c r="Y319" s="1101" t="s">
        <v>5763</v>
      </c>
      <c r="Z319" s="1102" t="s">
        <v>5880</v>
      </c>
    </row>
    <row r="320" spans="2:26" ht="12.75" customHeight="1" x14ac:dyDescent="0.2">
      <c r="B320" s="2090" t="str">
        <f t="shared" si="4"/>
        <v>Esencia86</v>
      </c>
      <c r="C320" s="1103"/>
      <c r="D320" s="521" t="s">
        <v>567</v>
      </c>
      <c r="E320" s="1099" t="s">
        <v>2029</v>
      </c>
      <c r="F320" s="1099">
        <v>86</v>
      </c>
      <c r="G320" s="1108" t="s">
        <v>1690</v>
      </c>
      <c r="H320" s="1108" t="s">
        <v>1606</v>
      </c>
      <c r="I320" s="1109" t="s">
        <v>1606</v>
      </c>
      <c r="J320" s="1099">
        <v>10</v>
      </c>
      <c r="K320" s="1099">
        <v>12</v>
      </c>
      <c r="L320" s="1099">
        <v>14</v>
      </c>
      <c r="M320" s="1104">
        <v>16</v>
      </c>
      <c r="N320" s="1099">
        <v>200</v>
      </c>
      <c r="O320" s="1099">
        <v>300</v>
      </c>
      <c r="P320" s="1099">
        <v>400</v>
      </c>
      <c r="Q320" s="1104">
        <v>500</v>
      </c>
      <c r="R320" s="1099" t="s">
        <v>1690</v>
      </c>
      <c r="S320" s="1099" t="s">
        <v>1690</v>
      </c>
      <c r="T320" s="1099" t="s">
        <v>1690</v>
      </c>
      <c r="U320" s="1104" t="s">
        <v>1690</v>
      </c>
      <c r="V320" s="1101" t="s">
        <v>5881</v>
      </c>
      <c r="W320" s="1101" t="s">
        <v>5882</v>
      </c>
      <c r="X320" s="1101" t="s">
        <v>5883</v>
      </c>
      <c r="Y320" s="1101" t="s">
        <v>5884</v>
      </c>
      <c r="Z320" s="1102" t="s">
        <v>5885</v>
      </c>
    </row>
    <row r="321" spans="2:26" ht="12.75" customHeight="1" x14ac:dyDescent="0.2">
      <c r="B321" s="2090" t="str">
        <f t="shared" si="4"/>
        <v>Esencia90</v>
      </c>
      <c r="C321" s="1103"/>
      <c r="D321" s="521" t="s">
        <v>568</v>
      </c>
      <c r="E321" s="1099" t="s">
        <v>2029</v>
      </c>
      <c r="F321" s="1099">
        <v>90</v>
      </c>
      <c r="G321" s="1108" t="s">
        <v>1690</v>
      </c>
      <c r="H321" s="1108" t="s">
        <v>1536</v>
      </c>
      <c r="I321" s="1109" t="s">
        <v>1606</v>
      </c>
      <c r="J321" s="1099">
        <v>10</v>
      </c>
      <c r="K321" s="1099">
        <v>12</v>
      </c>
      <c r="L321" s="1099">
        <v>13</v>
      </c>
      <c r="M321" s="1104">
        <v>16</v>
      </c>
      <c r="N321" s="1099">
        <v>250</v>
      </c>
      <c r="O321" s="1099">
        <v>450</v>
      </c>
      <c r="P321" s="1099">
        <v>600</v>
      </c>
      <c r="Q321" s="1104">
        <v>750</v>
      </c>
      <c r="R321" s="1099" t="s">
        <v>1690</v>
      </c>
      <c r="S321" s="1099" t="s">
        <v>1690</v>
      </c>
      <c r="T321" s="1099" t="s">
        <v>1690</v>
      </c>
      <c r="U321" s="1104" t="s">
        <v>1690</v>
      </c>
      <c r="V321" s="1101" t="s">
        <v>5755</v>
      </c>
      <c r="W321" s="1101" t="s">
        <v>5886</v>
      </c>
      <c r="X321" s="1101" t="s">
        <v>5887</v>
      </c>
      <c r="Y321" s="1101" t="s">
        <v>5888</v>
      </c>
      <c r="Z321" s="1102" t="s">
        <v>5889</v>
      </c>
    </row>
    <row r="322" spans="2:26" ht="12.75" customHeight="1" x14ac:dyDescent="0.2">
      <c r="B322" s="2090" t="str">
        <f t="shared" si="4"/>
        <v>Esencia92</v>
      </c>
      <c r="C322" s="1103"/>
      <c r="D322" s="521" t="s">
        <v>569</v>
      </c>
      <c r="E322" s="1099" t="s">
        <v>2029</v>
      </c>
      <c r="F322" s="1099">
        <v>92</v>
      </c>
      <c r="G322" s="1108" t="s">
        <v>2446</v>
      </c>
      <c r="H322" s="1108" t="s">
        <v>1537</v>
      </c>
      <c r="I322" s="1109" t="s">
        <v>1606</v>
      </c>
      <c r="J322" s="1099">
        <v>10</v>
      </c>
      <c r="K322" s="1099">
        <v>13</v>
      </c>
      <c r="L322" s="1099">
        <v>15</v>
      </c>
      <c r="M322" s="1104">
        <v>18</v>
      </c>
      <c r="N322" s="1099">
        <v>300</v>
      </c>
      <c r="O322" s="1099">
        <v>500</v>
      </c>
      <c r="P322" s="1099">
        <v>750</v>
      </c>
      <c r="Q322" s="1104">
        <v>1000</v>
      </c>
      <c r="R322" s="1099">
        <v>60</v>
      </c>
      <c r="S322" s="1099">
        <v>75</v>
      </c>
      <c r="T322" s="1099">
        <v>85</v>
      </c>
      <c r="U322" s="1104">
        <v>100</v>
      </c>
      <c r="V322" s="1101" t="s">
        <v>5890</v>
      </c>
      <c r="W322" s="1101" t="s">
        <v>5891</v>
      </c>
      <c r="X322" s="1101" t="s">
        <v>5892</v>
      </c>
      <c r="Y322" s="1101" t="s">
        <v>5893</v>
      </c>
      <c r="Z322" s="1102" t="s">
        <v>5894</v>
      </c>
    </row>
    <row r="323" spans="2:26" ht="12.75" customHeight="1" x14ac:dyDescent="0.2">
      <c r="B323" s="2090" t="str">
        <f t="shared" si="4"/>
        <v>Esencia96</v>
      </c>
      <c r="C323" s="1103"/>
      <c r="D323" s="521" t="s">
        <v>570</v>
      </c>
      <c r="E323" s="1099" t="s">
        <v>2029</v>
      </c>
      <c r="F323" s="1099">
        <v>96</v>
      </c>
      <c r="G323" s="1108" t="s">
        <v>1690</v>
      </c>
      <c r="H323" s="1108" t="s">
        <v>1536</v>
      </c>
      <c r="I323" s="1109" t="s">
        <v>1606</v>
      </c>
      <c r="J323" s="1099">
        <v>10</v>
      </c>
      <c r="K323" s="1099">
        <v>13</v>
      </c>
      <c r="L323" s="1099">
        <v>15</v>
      </c>
      <c r="M323" s="1104">
        <v>18</v>
      </c>
      <c r="N323" s="1099">
        <v>400</v>
      </c>
      <c r="O323" s="1099">
        <v>500</v>
      </c>
      <c r="P323" s="1099">
        <v>600</v>
      </c>
      <c r="Q323" s="1104">
        <v>700</v>
      </c>
      <c r="R323" s="1099" t="s">
        <v>1690</v>
      </c>
      <c r="S323" s="1099" t="s">
        <v>1690</v>
      </c>
      <c r="T323" s="1099" t="s">
        <v>1690</v>
      </c>
      <c r="U323" s="1104" t="s">
        <v>1690</v>
      </c>
      <c r="V323" s="1101" t="s">
        <v>5895</v>
      </c>
      <c r="W323" s="1101" t="s">
        <v>5896</v>
      </c>
      <c r="X323" s="1101" t="s">
        <v>5897</v>
      </c>
      <c r="Y323" s="1101" t="s">
        <v>5898</v>
      </c>
      <c r="Z323" s="1102" t="s">
        <v>5899</v>
      </c>
    </row>
    <row r="324" spans="2:26" ht="12.75" customHeight="1" x14ac:dyDescent="0.2">
      <c r="B324" s="2090" t="str">
        <f t="shared" si="4"/>
        <v>Esencia100</v>
      </c>
      <c r="C324" s="1103"/>
      <c r="D324" s="521" t="s">
        <v>571</v>
      </c>
      <c r="E324" s="1099" t="s">
        <v>2029</v>
      </c>
      <c r="F324" s="1099">
        <v>100</v>
      </c>
      <c r="G324" s="1108" t="s">
        <v>2446</v>
      </c>
      <c r="H324" s="1108" t="s">
        <v>1537</v>
      </c>
      <c r="I324" s="1109" t="s">
        <v>1606</v>
      </c>
      <c r="J324" s="1099">
        <v>12</v>
      </c>
      <c r="K324" s="1099">
        <v>14</v>
      </c>
      <c r="L324" s="1099">
        <v>16</v>
      </c>
      <c r="M324" s="1104">
        <v>18</v>
      </c>
      <c r="N324" s="1099">
        <v>600</v>
      </c>
      <c r="O324" s="1099">
        <v>800</v>
      </c>
      <c r="P324" s="1099">
        <v>1200</v>
      </c>
      <c r="Q324" s="1104">
        <v>1500</v>
      </c>
      <c r="R324" s="1099">
        <v>120</v>
      </c>
      <c r="S324" s="1099">
        <v>160</v>
      </c>
      <c r="T324" s="1099">
        <v>240</v>
      </c>
      <c r="U324" s="1104">
        <v>300</v>
      </c>
      <c r="V324" s="1101" t="s">
        <v>5900</v>
      </c>
      <c r="W324" s="1101" t="s">
        <v>5901</v>
      </c>
      <c r="X324" s="1101" t="s">
        <v>5902</v>
      </c>
      <c r="Y324" s="1101" t="s">
        <v>5903</v>
      </c>
      <c r="Z324" s="1102" t="s">
        <v>5904</v>
      </c>
    </row>
    <row r="325" spans="2:26" ht="12.75" customHeight="1" x14ac:dyDescent="0.2">
      <c r="B325" s="2090" t="str">
        <f t="shared" si="4"/>
        <v/>
      </c>
      <c r="C325" s="1103"/>
      <c r="D325" s="521" t="s">
        <v>572</v>
      </c>
      <c r="E325" s="1099"/>
      <c r="F325" s="1099"/>
      <c r="G325" s="1108"/>
      <c r="H325" s="1108"/>
      <c r="I325" s="1109"/>
      <c r="J325" s="1099"/>
      <c r="K325" s="1099"/>
      <c r="L325" s="1099"/>
      <c r="M325" s="1104"/>
      <c r="N325" s="1099"/>
      <c r="O325" s="1099"/>
      <c r="P325" s="1099"/>
      <c r="Q325" s="1104"/>
      <c r="R325" s="1099"/>
      <c r="S325" s="1099"/>
      <c r="T325" s="1099"/>
      <c r="U325" s="1104"/>
      <c r="V325" s="1101"/>
      <c r="W325" s="1101"/>
      <c r="X325" s="1101"/>
      <c r="Y325" s="1101"/>
      <c r="Z325" s="1102"/>
    </row>
    <row r="326" spans="2:26" ht="12.75" customHeight="1" x14ac:dyDescent="0.2">
      <c r="B326" s="2090" t="str">
        <f t="shared" si="4"/>
        <v>Ilusión2</v>
      </c>
      <c r="C326" s="1103"/>
      <c r="D326" s="521" t="s">
        <v>573</v>
      </c>
      <c r="E326" s="1099" t="s">
        <v>2031</v>
      </c>
      <c r="F326" s="1099">
        <v>2</v>
      </c>
      <c r="G326" s="1108" t="s">
        <v>1690</v>
      </c>
      <c r="H326" s="1108" t="s">
        <v>4585</v>
      </c>
      <c r="I326" s="1109" t="s">
        <v>1606</v>
      </c>
      <c r="J326" s="1099">
        <v>5</v>
      </c>
      <c r="K326" s="1099">
        <v>8</v>
      </c>
      <c r="L326" s="1099">
        <v>10</v>
      </c>
      <c r="M326" s="1104">
        <v>12</v>
      </c>
      <c r="N326" s="1099">
        <v>30</v>
      </c>
      <c r="O326" s="1099">
        <v>50</v>
      </c>
      <c r="P326" s="1099">
        <v>90</v>
      </c>
      <c r="Q326" s="1104">
        <v>120</v>
      </c>
      <c r="R326" s="1099">
        <v>5</v>
      </c>
      <c r="S326" s="1099">
        <v>5</v>
      </c>
      <c r="T326" s="1099">
        <v>10</v>
      </c>
      <c r="U326" s="1104">
        <v>10</v>
      </c>
      <c r="V326" s="1101" t="s">
        <v>5905</v>
      </c>
      <c r="W326" s="1101" t="s">
        <v>5906</v>
      </c>
      <c r="X326" s="1101" t="s">
        <v>4692</v>
      </c>
      <c r="Y326" s="1101" t="s">
        <v>4693</v>
      </c>
      <c r="Z326" s="1102" t="s">
        <v>5907</v>
      </c>
    </row>
    <row r="327" spans="2:26" ht="12.75" customHeight="1" x14ac:dyDescent="0.2">
      <c r="B327" s="2090" t="str">
        <f t="shared" si="4"/>
        <v>Ilusión6</v>
      </c>
      <c r="C327" s="1103"/>
      <c r="D327" s="521" t="s">
        <v>574</v>
      </c>
      <c r="E327" s="1099" t="s">
        <v>2031</v>
      </c>
      <c r="F327" s="1099">
        <v>6</v>
      </c>
      <c r="G327" s="1108" t="s">
        <v>1690</v>
      </c>
      <c r="H327" s="1108" t="s">
        <v>4585</v>
      </c>
      <c r="I327" s="1109" t="s">
        <v>1606</v>
      </c>
      <c r="J327" s="1099">
        <v>5</v>
      </c>
      <c r="K327" s="1099">
        <v>8</v>
      </c>
      <c r="L327" s="1099">
        <v>10</v>
      </c>
      <c r="M327" s="1104">
        <v>12</v>
      </c>
      <c r="N327" s="1099">
        <v>30</v>
      </c>
      <c r="O327" s="1099">
        <v>50</v>
      </c>
      <c r="P327" s="1099">
        <v>90</v>
      </c>
      <c r="Q327" s="1104">
        <v>120</v>
      </c>
      <c r="R327" s="1099">
        <v>5</v>
      </c>
      <c r="S327" s="1099">
        <v>5</v>
      </c>
      <c r="T327" s="1099">
        <v>10</v>
      </c>
      <c r="U327" s="1104">
        <v>10</v>
      </c>
      <c r="V327" s="1101" t="s">
        <v>5905</v>
      </c>
      <c r="W327" s="1101" t="s">
        <v>5906</v>
      </c>
      <c r="X327" s="1101" t="s">
        <v>4692</v>
      </c>
      <c r="Y327" s="1101" t="s">
        <v>4693</v>
      </c>
      <c r="Z327" s="1102" t="s">
        <v>5908</v>
      </c>
    </row>
    <row r="328" spans="2:26" ht="12.75" customHeight="1" x14ac:dyDescent="0.2">
      <c r="B328" s="2090" t="str">
        <f t="shared" ref="B328:B391" si="5">E328&amp;F328</f>
        <v>Ilusión10</v>
      </c>
      <c r="C328" s="1103"/>
      <c r="D328" s="521" t="s">
        <v>575</v>
      </c>
      <c r="E328" s="1099" t="s">
        <v>2031</v>
      </c>
      <c r="F328" s="1099">
        <v>10</v>
      </c>
      <c r="G328" s="1108" t="s">
        <v>1690</v>
      </c>
      <c r="H328" s="1108" t="s">
        <v>4585</v>
      </c>
      <c r="I328" s="1109" t="s">
        <v>1606</v>
      </c>
      <c r="J328" s="1099">
        <v>5</v>
      </c>
      <c r="K328" s="1099">
        <v>8</v>
      </c>
      <c r="L328" s="1099">
        <v>10</v>
      </c>
      <c r="M328" s="1104">
        <v>12</v>
      </c>
      <c r="N328" s="1099">
        <v>30</v>
      </c>
      <c r="O328" s="1099">
        <v>50</v>
      </c>
      <c r="P328" s="1099">
        <v>90</v>
      </c>
      <c r="Q328" s="1104">
        <v>120</v>
      </c>
      <c r="R328" s="1099">
        <v>5</v>
      </c>
      <c r="S328" s="1099">
        <v>5</v>
      </c>
      <c r="T328" s="1099">
        <v>10</v>
      </c>
      <c r="U328" s="1104">
        <v>10</v>
      </c>
      <c r="V328" s="1101" t="s">
        <v>5905</v>
      </c>
      <c r="W328" s="1101" t="s">
        <v>5906</v>
      </c>
      <c r="X328" s="1101" t="s">
        <v>4692</v>
      </c>
      <c r="Y328" s="1101" t="s">
        <v>4693</v>
      </c>
      <c r="Z328" s="1102" t="s">
        <v>8636</v>
      </c>
    </row>
    <row r="329" spans="2:26" ht="12.75" customHeight="1" x14ac:dyDescent="0.2">
      <c r="B329" s="2090" t="str">
        <f t="shared" si="5"/>
        <v>Ilusión12</v>
      </c>
      <c r="C329" s="1103"/>
      <c r="D329" s="521" t="s">
        <v>576</v>
      </c>
      <c r="E329" s="1099" t="s">
        <v>2031</v>
      </c>
      <c r="F329" s="1099">
        <v>12</v>
      </c>
      <c r="G329" s="1108" t="s">
        <v>1690</v>
      </c>
      <c r="H329" s="1108" t="s">
        <v>4585</v>
      </c>
      <c r="I329" s="1109" t="s">
        <v>1606</v>
      </c>
      <c r="J329" s="1099">
        <v>6</v>
      </c>
      <c r="K329" s="1099">
        <v>8</v>
      </c>
      <c r="L329" s="1099">
        <v>10</v>
      </c>
      <c r="M329" s="1104">
        <v>12</v>
      </c>
      <c r="N329" s="1099">
        <v>40</v>
      </c>
      <c r="O329" s="1099">
        <v>70</v>
      </c>
      <c r="P329" s="1099">
        <v>100</v>
      </c>
      <c r="Q329" s="1104">
        <v>120</v>
      </c>
      <c r="R329" s="1099">
        <v>5</v>
      </c>
      <c r="S329" s="1099">
        <v>5</v>
      </c>
      <c r="T329" s="1099">
        <v>10</v>
      </c>
      <c r="U329" s="1104">
        <v>10</v>
      </c>
      <c r="V329" s="1101" t="s">
        <v>5909</v>
      </c>
      <c r="W329" s="1101" t="s">
        <v>5910</v>
      </c>
      <c r="X329" s="1101" t="s">
        <v>5911</v>
      </c>
      <c r="Y329" s="1101" t="s">
        <v>5912</v>
      </c>
      <c r="Z329" s="1102" t="s">
        <v>5913</v>
      </c>
    </row>
    <row r="330" spans="2:26" ht="12.75" customHeight="1" x14ac:dyDescent="0.2">
      <c r="B330" s="2090" t="str">
        <f t="shared" si="5"/>
        <v>Ilusión16</v>
      </c>
      <c r="C330" s="1103"/>
      <c r="D330" s="521" t="s">
        <v>577</v>
      </c>
      <c r="E330" s="1099" t="s">
        <v>2031</v>
      </c>
      <c r="F330" s="1099">
        <v>16</v>
      </c>
      <c r="G330" s="1108" t="s">
        <v>1690</v>
      </c>
      <c r="H330" s="1108" t="s">
        <v>1538</v>
      </c>
      <c r="I330" s="1109" t="s">
        <v>1606</v>
      </c>
      <c r="J330" s="1099">
        <v>6</v>
      </c>
      <c r="K330" s="1099">
        <v>8</v>
      </c>
      <c r="L330" s="1099">
        <v>10</v>
      </c>
      <c r="M330" s="1104">
        <v>12</v>
      </c>
      <c r="N330" s="1099">
        <v>60</v>
      </c>
      <c r="O330" s="1099">
        <v>160</v>
      </c>
      <c r="P330" s="1099">
        <v>200</v>
      </c>
      <c r="Q330" s="1104">
        <v>240</v>
      </c>
      <c r="R330" s="1099">
        <v>10</v>
      </c>
      <c r="S330" s="1099">
        <v>20</v>
      </c>
      <c r="T330" s="1099">
        <v>20</v>
      </c>
      <c r="U330" s="1104">
        <v>25</v>
      </c>
      <c r="V330" s="1101" t="s">
        <v>5914</v>
      </c>
      <c r="W330" s="1101" t="s">
        <v>5915</v>
      </c>
      <c r="X330" s="1101" t="s">
        <v>5916</v>
      </c>
      <c r="Y330" s="1101" t="s">
        <v>5917</v>
      </c>
      <c r="Z330" s="1102" t="s">
        <v>8637</v>
      </c>
    </row>
    <row r="331" spans="2:26" ht="12.75" customHeight="1" x14ac:dyDescent="0.2">
      <c r="B331" s="2090" t="str">
        <f t="shared" si="5"/>
        <v>Ilusión20</v>
      </c>
      <c r="C331" s="1103"/>
      <c r="D331" s="521" t="s">
        <v>578</v>
      </c>
      <c r="E331" s="1099" t="s">
        <v>2031</v>
      </c>
      <c r="F331" s="1099">
        <v>20</v>
      </c>
      <c r="G331" s="1108" t="s">
        <v>1690</v>
      </c>
      <c r="H331" s="1108" t="s">
        <v>1536</v>
      </c>
      <c r="I331" s="1109" t="s">
        <v>1606</v>
      </c>
      <c r="J331" s="1099">
        <v>6</v>
      </c>
      <c r="K331" s="1099">
        <v>8</v>
      </c>
      <c r="L331" s="1099">
        <v>10</v>
      </c>
      <c r="M331" s="1104">
        <v>13</v>
      </c>
      <c r="N331" s="1099">
        <v>50</v>
      </c>
      <c r="O331" s="1099">
        <v>80</v>
      </c>
      <c r="P331" s="1099">
        <v>100</v>
      </c>
      <c r="Q331" s="1104">
        <v>120</v>
      </c>
      <c r="R331" s="1099">
        <v>5</v>
      </c>
      <c r="S331" s="1099">
        <v>10</v>
      </c>
      <c r="T331" s="1099">
        <v>10</v>
      </c>
      <c r="U331" s="1104">
        <v>15</v>
      </c>
      <c r="V331" s="1101" t="s">
        <v>5918</v>
      </c>
      <c r="W331" s="1101" t="s">
        <v>5919</v>
      </c>
      <c r="X331" s="1101" t="s">
        <v>5920</v>
      </c>
      <c r="Y331" s="1101" t="s">
        <v>5921</v>
      </c>
      <c r="Z331" s="1102" t="s">
        <v>5922</v>
      </c>
    </row>
    <row r="332" spans="2:26" ht="12.75" customHeight="1" x14ac:dyDescent="0.2">
      <c r="B332" s="2090" t="str">
        <f t="shared" si="5"/>
        <v>Ilusión22</v>
      </c>
      <c r="C332" s="1103"/>
      <c r="D332" s="521" t="s">
        <v>579</v>
      </c>
      <c r="E332" s="1099" t="s">
        <v>2031</v>
      </c>
      <c r="F332" s="1099">
        <v>22</v>
      </c>
      <c r="G332" s="1108" t="s">
        <v>2446</v>
      </c>
      <c r="H332" s="1108" t="s">
        <v>4585</v>
      </c>
      <c r="I332" s="1109" t="s">
        <v>1606</v>
      </c>
      <c r="J332" s="1099">
        <v>6</v>
      </c>
      <c r="K332" s="1099">
        <v>9</v>
      </c>
      <c r="L332" s="1099">
        <v>12</v>
      </c>
      <c r="M332" s="1104">
        <v>15</v>
      </c>
      <c r="N332" s="1099">
        <v>60</v>
      </c>
      <c r="O332" s="1099">
        <v>90</v>
      </c>
      <c r="P332" s="1099">
        <v>120</v>
      </c>
      <c r="Q332" s="1104">
        <v>150</v>
      </c>
      <c r="R332" s="1099">
        <v>10</v>
      </c>
      <c r="S332" s="1099">
        <v>10</v>
      </c>
      <c r="T332" s="1099">
        <v>15</v>
      </c>
      <c r="U332" s="1104">
        <v>15</v>
      </c>
      <c r="V332" s="1101" t="s">
        <v>4968</v>
      </c>
      <c r="W332" s="1101" t="s">
        <v>4864</v>
      </c>
      <c r="X332" s="1101" t="s">
        <v>4865</v>
      </c>
      <c r="Y332" s="1101" t="s">
        <v>4866</v>
      </c>
      <c r="Z332" s="1102" t="s">
        <v>5923</v>
      </c>
    </row>
    <row r="333" spans="2:26" ht="12.75" customHeight="1" x14ac:dyDescent="0.2">
      <c r="B333" s="2090" t="str">
        <f t="shared" si="5"/>
        <v>Ilusión26</v>
      </c>
      <c r="C333" s="1103"/>
      <c r="D333" s="521" t="s">
        <v>580</v>
      </c>
      <c r="E333" s="1099" t="s">
        <v>2031</v>
      </c>
      <c r="F333" s="1099">
        <v>26</v>
      </c>
      <c r="G333" s="1108" t="s">
        <v>1690</v>
      </c>
      <c r="H333" s="1108" t="s">
        <v>4585</v>
      </c>
      <c r="I333" s="1109" t="s">
        <v>1606</v>
      </c>
      <c r="J333" s="1099">
        <v>6</v>
      </c>
      <c r="K333" s="1099">
        <v>9</v>
      </c>
      <c r="L333" s="1099">
        <v>12</v>
      </c>
      <c r="M333" s="1104">
        <v>15</v>
      </c>
      <c r="N333" s="1099">
        <v>60</v>
      </c>
      <c r="O333" s="1099">
        <v>90</v>
      </c>
      <c r="P333" s="1099">
        <v>120</v>
      </c>
      <c r="Q333" s="1104">
        <v>150</v>
      </c>
      <c r="R333" s="1099">
        <v>5</v>
      </c>
      <c r="S333" s="1099">
        <v>5</v>
      </c>
      <c r="T333" s="1099">
        <v>10</v>
      </c>
      <c r="U333" s="1104">
        <v>10</v>
      </c>
      <c r="V333" s="1101" t="s">
        <v>5924</v>
      </c>
      <c r="W333" s="1101" t="s">
        <v>5925</v>
      </c>
      <c r="X333" s="1101" t="s">
        <v>5926</v>
      </c>
      <c r="Y333" s="1101" t="s">
        <v>5927</v>
      </c>
      <c r="Z333" s="1102" t="s">
        <v>8638</v>
      </c>
    </row>
    <row r="334" spans="2:26" ht="12.75" customHeight="1" x14ac:dyDescent="0.2">
      <c r="B334" s="2090" t="str">
        <f t="shared" si="5"/>
        <v>Ilusión30</v>
      </c>
      <c r="C334" s="1103"/>
      <c r="D334" s="521" t="s">
        <v>581</v>
      </c>
      <c r="E334" s="1099" t="s">
        <v>2031</v>
      </c>
      <c r="F334" s="1099">
        <v>30</v>
      </c>
      <c r="G334" s="1108" t="s">
        <v>1690</v>
      </c>
      <c r="H334" s="1108" t="s">
        <v>4585</v>
      </c>
      <c r="I334" s="1109" t="s">
        <v>1606</v>
      </c>
      <c r="J334" s="1099">
        <v>8</v>
      </c>
      <c r="K334" s="1099">
        <v>10</v>
      </c>
      <c r="L334" s="1099">
        <v>12</v>
      </c>
      <c r="M334" s="1104">
        <v>14</v>
      </c>
      <c r="N334" s="1099">
        <v>60</v>
      </c>
      <c r="O334" s="1099">
        <v>90</v>
      </c>
      <c r="P334" s="1099">
        <v>120</v>
      </c>
      <c r="Q334" s="1104">
        <v>150</v>
      </c>
      <c r="R334" s="1099">
        <v>10</v>
      </c>
      <c r="S334" s="1099">
        <v>10</v>
      </c>
      <c r="T334" s="1099">
        <v>15</v>
      </c>
      <c r="U334" s="1104">
        <v>15</v>
      </c>
      <c r="V334" s="1101" t="s">
        <v>5928</v>
      </c>
      <c r="W334" s="1101" t="s">
        <v>5929</v>
      </c>
      <c r="X334" s="1101" t="s">
        <v>5930</v>
      </c>
      <c r="Y334" s="1101" t="s">
        <v>5931</v>
      </c>
      <c r="Z334" s="1102" t="s">
        <v>5932</v>
      </c>
    </row>
    <row r="335" spans="2:26" ht="12.75" customHeight="1" x14ac:dyDescent="0.2">
      <c r="B335" s="2090" t="str">
        <f t="shared" si="5"/>
        <v>Ilusión32</v>
      </c>
      <c r="C335" s="1103"/>
      <c r="D335" s="521" t="s">
        <v>582</v>
      </c>
      <c r="E335" s="1099" t="s">
        <v>2031</v>
      </c>
      <c r="F335" s="1099">
        <v>32</v>
      </c>
      <c r="G335" s="1108" t="s">
        <v>1690</v>
      </c>
      <c r="H335" s="1108" t="s">
        <v>4585</v>
      </c>
      <c r="I335" s="1109" t="s">
        <v>1606</v>
      </c>
      <c r="J335" s="1099">
        <v>6</v>
      </c>
      <c r="K335" s="1099">
        <v>9</v>
      </c>
      <c r="L335" s="1099">
        <v>12</v>
      </c>
      <c r="M335" s="1104">
        <v>15</v>
      </c>
      <c r="N335" s="1099">
        <v>80</v>
      </c>
      <c r="O335" s="1099">
        <v>180</v>
      </c>
      <c r="P335" s="1099">
        <v>240</v>
      </c>
      <c r="Q335" s="1104">
        <v>300</v>
      </c>
      <c r="R335" s="1099">
        <v>5</v>
      </c>
      <c r="S335" s="1099">
        <v>5</v>
      </c>
      <c r="T335" s="1099">
        <v>10</v>
      </c>
      <c r="U335" s="1104">
        <v>10</v>
      </c>
      <c r="V335" s="1101" t="s">
        <v>5933</v>
      </c>
      <c r="W335" s="1101" t="s">
        <v>5934</v>
      </c>
      <c r="X335" s="1101" t="s">
        <v>5935</v>
      </c>
      <c r="Y335" s="1101" t="s">
        <v>5936</v>
      </c>
      <c r="Z335" s="1102" t="s">
        <v>5937</v>
      </c>
    </row>
    <row r="336" spans="2:26" ht="12.75" customHeight="1" x14ac:dyDescent="0.2">
      <c r="B336" s="2090" t="str">
        <f t="shared" si="5"/>
        <v>Ilusión36</v>
      </c>
      <c r="C336" s="1103"/>
      <c r="D336" s="521" t="s">
        <v>583</v>
      </c>
      <c r="E336" s="1099" t="s">
        <v>2031</v>
      </c>
      <c r="F336" s="1099">
        <v>36</v>
      </c>
      <c r="G336" s="1108" t="s">
        <v>1690</v>
      </c>
      <c r="H336" s="1108" t="s">
        <v>5406</v>
      </c>
      <c r="I336" s="1109" t="s">
        <v>1606</v>
      </c>
      <c r="J336" s="1099">
        <v>6</v>
      </c>
      <c r="K336" s="1099">
        <v>9</v>
      </c>
      <c r="L336" s="1099">
        <v>11</v>
      </c>
      <c r="M336" s="1104">
        <v>13</v>
      </c>
      <c r="N336" s="1099">
        <v>50</v>
      </c>
      <c r="O336" s="1099">
        <v>70</v>
      </c>
      <c r="P336" s="1099">
        <v>90</v>
      </c>
      <c r="Q336" s="1104">
        <v>120</v>
      </c>
      <c r="R336" s="1099">
        <v>5</v>
      </c>
      <c r="S336" s="1099">
        <v>5</v>
      </c>
      <c r="T336" s="1099">
        <v>5</v>
      </c>
      <c r="U336" s="1104">
        <v>10</v>
      </c>
      <c r="V336" s="1101" t="s">
        <v>5938</v>
      </c>
      <c r="W336" s="1101" t="s">
        <v>5934</v>
      </c>
      <c r="X336" s="1101" t="s">
        <v>5939</v>
      </c>
      <c r="Y336" s="1101" t="s">
        <v>5935</v>
      </c>
      <c r="Z336" s="1102" t="s">
        <v>5940</v>
      </c>
    </row>
    <row r="337" spans="2:26" ht="12.75" customHeight="1" x14ac:dyDescent="0.2">
      <c r="B337" s="2090" t="str">
        <f t="shared" si="5"/>
        <v>Ilusión40</v>
      </c>
      <c r="C337" s="1103"/>
      <c r="D337" s="521" t="s">
        <v>584</v>
      </c>
      <c r="E337" s="1099" t="s">
        <v>2031</v>
      </c>
      <c r="F337" s="1099">
        <v>40</v>
      </c>
      <c r="G337" s="1108" t="s">
        <v>2446</v>
      </c>
      <c r="H337" s="1108" t="s">
        <v>4585</v>
      </c>
      <c r="I337" s="1109" t="s">
        <v>1606</v>
      </c>
      <c r="J337" s="1099">
        <v>7</v>
      </c>
      <c r="K337" s="1099">
        <v>10</v>
      </c>
      <c r="L337" s="1099">
        <v>13</v>
      </c>
      <c r="M337" s="1104">
        <v>15</v>
      </c>
      <c r="N337" s="1099">
        <v>60</v>
      </c>
      <c r="O337" s="1099">
        <v>90</v>
      </c>
      <c r="P337" s="1099">
        <v>120</v>
      </c>
      <c r="Q337" s="1104">
        <v>150</v>
      </c>
      <c r="R337" s="1099">
        <v>5</v>
      </c>
      <c r="S337" s="1099">
        <v>5</v>
      </c>
      <c r="T337" s="1099">
        <v>10</v>
      </c>
      <c r="U337" s="1104">
        <v>10</v>
      </c>
      <c r="V337" s="1101" t="s">
        <v>5941</v>
      </c>
      <c r="W337" s="1101" t="s">
        <v>5942</v>
      </c>
      <c r="X337" s="1101" t="s">
        <v>5943</v>
      </c>
      <c r="Y337" s="1101" t="s">
        <v>5944</v>
      </c>
      <c r="Z337" s="1102" t="s">
        <v>5945</v>
      </c>
    </row>
    <row r="338" spans="2:26" ht="12.75" customHeight="1" x14ac:dyDescent="0.2">
      <c r="B338" s="2090" t="str">
        <f t="shared" si="5"/>
        <v>Ilusión42</v>
      </c>
      <c r="C338" s="1103"/>
      <c r="D338" s="521" t="s">
        <v>585</v>
      </c>
      <c r="E338" s="1099" t="s">
        <v>2031</v>
      </c>
      <c r="F338" s="1099">
        <v>42</v>
      </c>
      <c r="G338" s="1108" t="s">
        <v>2446</v>
      </c>
      <c r="H338" s="1108" t="s">
        <v>1536</v>
      </c>
      <c r="I338" s="1109" t="s">
        <v>1606</v>
      </c>
      <c r="J338" s="1099">
        <v>7</v>
      </c>
      <c r="K338" s="1099">
        <v>10</v>
      </c>
      <c r="L338" s="1099">
        <v>12</v>
      </c>
      <c r="M338" s="1104">
        <v>14</v>
      </c>
      <c r="N338" s="1099">
        <v>80</v>
      </c>
      <c r="O338" s="1099">
        <v>100</v>
      </c>
      <c r="P338" s="1099">
        <v>120</v>
      </c>
      <c r="Q338" s="1104">
        <v>140</v>
      </c>
      <c r="R338" s="1099">
        <v>10</v>
      </c>
      <c r="S338" s="1099">
        <v>10</v>
      </c>
      <c r="T338" s="1099">
        <v>15</v>
      </c>
      <c r="U338" s="1104">
        <v>15</v>
      </c>
      <c r="V338" s="1101" t="s">
        <v>5946</v>
      </c>
      <c r="W338" s="1101" t="s">
        <v>5947</v>
      </c>
      <c r="X338" s="1101" t="s">
        <v>5948</v>
      </c>
      <c r="Y338" s="1101" t="s">
        <v>5949</v>
      </c>
      <c r="Z338" s="1102" t="s">
        <v>5950</v>
      </c>
    </row>
    <row r="339" spans="2:26" ht="12.75" customHeight="1" x14ac:dyDescent="0.2">
      <c r="B339" s="2090" t="str">
        <f t="shared" si="5"/>
        <v>Ilusión46</v>
      </c>
      <c r="C339" s="1103"/>
      <c r="D339" s="521" t="s">
        <v>586</v>
      </c>
      <c r="E339" s="1099" t="s">
        <v>2031</v>
      </c>
      <c r="F339" s="1099">
        <v>46</v>
      </c>
      <c r="G339" s="1108" t="s">
        <v>2446</v>
      </c>
      <c r="H339" s="1108" t="s">
        <v>4585</v>
      </c>
      <c r="I339" s="1109" t="s">
        <v>1606</v>
      </c>
      <c r="J339" s="1099">
        <v>7</v>
      </c>
      <c r="K339" s="1099">
        <v>10</v>
      </c>
      <c r="L339" s="1099">
        <v>13</v>
      </c>
      <c r="M339" s="1104">
        <v>15</v>
      </c>
      <c r="N339" s="1099">
        <v>80</v>
      </c>
      <c r="O339" s="1099">
        <v>120</v>
      </c>
      <c r="P339" s="1099">
        <v>160</v>
      </c>
      <c r="Q339" s="1104">
        <v>200</v>
      </c>
      <c r="R339" s="1099">
        <v>10</v>
      </c>
      <c r="S339" s="1099">
        <v>15</v>
      </c>
      <c r="T339" s="1099">
        <v>20</v>
      </c>
      <c r="U339" s="1104">
        <v>20</v>
      </c>
      <c r="V339" s="1101" t="s">
        <v>5951</v>
      </c>
      <c r="W339" s="1101" t="s">
        <v>5952</v>
      </c>
      <c r="X339" s="1101" t="s">
        <v>5953</v>
      </c>
      <c r="Y339" s="1101" t="s">
        <v>5954</v>
      </c>
      <c r="Z339" s="1102" t="s">
        <v>5955</v>
      </c>
    </row>
    <row r="340" spans="2:26" ht="12.75" customHeight="1" x14ac:dyDescent="0.2">
      <c r="B340" s="2090" t="str">
        <f t="shared" si="5"/>
        <v>Ilusión50</v>
      </c>
      <c r="C340" s="1103"/>
      <c r="D340" s="521" t="s">
        <v>587</v>
      </c>
      <c r="E340" s="1099" t="s">
        <v>2031</v>
      </c>
      <c r="F340" s="1099">
        <v>50</v>
      </c>
      <c r="G340" s="1108" t="s">
        <v>1690</v>
      </c>
      <c r="H340" s="1108" t="s">
        <v>4585</v>
      </c>
      <c r="I340" s="1109" t="s">
        <v>1606</v>
      </c>
      <c r="J340" s="1099">
        <v>6</v>
      </c>
      <c r="K340" s="1099">
        <v>9</v>
      </c>
      <c r="L340" s="1099">
        <v>12</v>
      </c>
      <c r="M340" s="1104">
        <v>15</v>
      </c>
      <c r="N340" s="1099">
        <v>120</v>
      </c>
      <c r="O340" s="1099">
        <v>180</v>
      </c>
      <c r="P340" s="1099">
        <v>240</v>
      </c>
      <c r="Q340" s="1104">
        <v>300</v>
      </c>
      <c r="R340" s="1099">
        <v>10</v>
      </c>
      <c r="S340" s="1099">
        <v>10</v>
      </c>
      <c r="T340" s="1099">
        <v>15</v>
      </c>
      <c r="U340" s="1104">
        <v>15</v>
      </c>
      <c r="V340" s="1101" t="s">
        <v>5956</v>
      </c>
      <c r="W340" s="1101" t="s">
        <v>5957</v>
      </c>
      <c r="X340" s="1101" t="s">
        <v>5958</v>
      </c>
      <c r="Y340" s="1101" t="s">
        <v>5959</v>
      </c>
      <c r="Z340" s="1102" t="s">
        <v>5960</v>
      </c>
    </row>
    <row r="341" spans="2:26" ht="12.75" customHeight="1" x14ac:dyDescent="0.2">
      <c r="B341" s="2090" t="str">
        <f t="shared" si="5"/>
        <v>Ilusión52</v>
      </c>
      <c r="C341" s="1103"/>
      <c r="D341" s="521" t="s">
        <v>588</v>
      </c>
      <c r="E341" s="1099" t="s">
        <v>2031</v>
      </c>
      <c r="F341" s="1099">
        <v>52</v>
      </c>
      <c r="G341" s="1108" t="s">
        <v>2446</v>
      </c>
      <c r="H341" s="1108" t="s">
        <v>4585</v>
      </c>
      <c r="I341" s="1109" t="s">
        <v>1606</v>
      </c>
      <c r="J341" s="1099">
        <v>7</v>
      </c>
      <c r="K341" s="1099">
        <v>10</v>
      </c>
      <c r="L341" s="1099">
        <v>13</v>
      </c>
      <c r="M341" s="1104">
        <v>15</v>
      </c>
      <c r="N341" s="1099">
        <v>120</v>
      </c>
      <c r="O341" s="1099">
        <v>180</v>
      </c>
      <c r="P341" s="1099">
        <v>240</v>
      </c>
      <c r="Q341" s="1104">
        <v>300</v>
      </c>
      <c r="R341" s="1099">
        <v>15</v>
      </c>
      <c r="S341" s="1099">
        <v>20</v>
      </c>
      <c r="T341" s="1099">
        <v>25</v>
      </c>
      <c r="U341" s="1104">
        <v>30</v>
      </c>
      <c r="V341" s="1101" t="s">
        <v>5961</v>
      </c>
      <c r="W341" s="1101" t="s">
        <v>5962</v>
      </c>
      <c r="X341" s="1101" t="s">
        <v>5963</v>
      </c>
      <c r="Y341" s="1101" t="s">
        <v>5964</v>
      </c>
      <c r="Z341" s="1102" t="s">
        <v>5965</v>
      </c>
    </row>
    <row r="342" spans="2:26" ht="12.75" customHeight="1" x14ac:dyDescent="0.2">
      <c r="B342" s="2090" t="str">
        <f t="shared" si="5"/>
        <v>Ilusión56</v>
      </c>
      <c r="C342" s="1103"/>
      <c r="D342" s="521" t="s">
        <v>589</v>
      </c>
      <c r="E342" s="1099" t="s">
        <v>2031</v>
      </c>
      <c r="F342" s="1099">
        <v>56</v>
      </c>
      <c r="G342" s="1108" t="s">
        <v>2446</v>
      </c>
      <c r="H342" s="1108" t="s">
        <v>5406</v>
      </c>
      <c r="I342" s="1109" t="s">
        <v>1606</v>
      </c>
      <c r="J342" s="1099">
        <v>8</v>
      </c>
      <c r="K342" s="1099">
        <v>11</v>
      </c>
      <c r="L342" s="1099">
        <v>14</v>
      </c>
      <c r="M342" s="1104">
        <v>16</v>
      </c>
      <c r="N342" s="1099">
        <v>100</v>
      </c>
      <c r="O342" s="1099">
        <v>120</v>
      </c>
      <c r="P342" s="1099">
        <v>140</v>
      </c>
      <c r="Q342" s="1104">
        <v>160</v>
      </c>
      <c r="R342" s="1099">
        <v>10</v>
      </c>
      <c r="S342" s="1099">
        <v>15</v>
      </c>
      <c r="T342" s="1099">
        <v>15</v>
      </c>
      <c r="U342" s="1104">
        <v>20</v>
      </c>
      <c r="V342" s="1101" t="s">
        <v>5006</v>
      </c>
      <c r="W342" s="1101" t="s">
        <v>4968</v>
      </c>
      <c r="X342" s="1101" t="s">
        <v>4969</v>
      </c>
      <c r="Y342" s="1101" t="s">
        <v>4864</v>
      </c>
      <c r="Z342" s="1102" t="s">
        <v>8639</v>
      </c>
    </row>
    <row r="343" spans="2:26" ht="12.75" customHeight="1" x14ac:dyDescent="0.2">
      <c r="B343" s="2090" t="str">
        <f t="shared" si="5"/>
        <v>Ilusión60</v>
      </c>
      <c r="C343" s="1103"/>
      <c r="D343" s="521" t="s">
        <v>590</v>
      </c>
      <c r="E343" s="1099" t="s">
        <v>2031</v>
      </c>
      <c r="F343" s="1099">
        <v>60</v>
      </c>
      <c r="G343" s="1108" t="s">
        <v>1690</v>
      </c>
      <c r="H343" s="1108" t="s">
        <v>1536</v>
      </c>
      <c r="I343" s="1109" t="s">
        <v>1606</v>
      </c>
      <c r="J343" s="1099">
        <v>7</v>
      </c>
      <c r="K343" s="1099">
        <v>10</v>
      </c>
      <c r="L343" s="1099">
        <v>12</v>
      </c>
      <c r="M343" s="1104">
        <v>15</v>
      </c>
      <c r="N343" s="1099">
        <v>80</v>
      </c>
      <c r="O343" s="1099">
        <v>180</v>
      </c>
      <c r="P343" s="1099">
        <v>300</v>
      </c>
      <c r="Q343" s="1104">
        <v>500</v>
      </c>
      <c r="R343" s="1099" t="s">
        <v>1690</v>
      </c>
      <c r="S343" s="1099" t="s">
        <v>1690</v>
      </c>
      <c r="T343" s="1099" t="s">
        <v>1690</v>
      </c>
      <c r="U343" s="1104" t="s">
        <v>1690</v>
      </c>
      <c r="V343" s="1101" t="s">
        <v>5966</v>
      </c>
      <c r="W343" s="1101" t="s">
        <v>5967</v>
      </c>
      <c r="X343" s="1101" t="s">
        <v>5968</v>
      </c>
      <c r="Y343" s="1101" t="s">
        <v>5969</v>
      </c>
      <c r="Z343" s="1102" t="s">
        <v>5970</v>
      </c>
    </row>
    <row r="344" spans="2:26" ht="12.75" customHeight="1" x14ac:dyDescent="0.2">
      <c r="B344" s="2090" t="str">
        <f t="shared" si="5"/>
        <v>Ilusión62</v>
      </c>
      <c r="C344" s="1103"/>
      <c r="D344" s="521" t="s">
        <v>591</v>
      </c>
      <c r="E344" s="1099" t="s">
        <v>2031</v>
      </c>
      <c r="F344" s="1099">
        <v>62</v>
      </c>
      <c r="G344" s="1108" t="s">
        <v>1690</v>
      </c>
      <c r="H344" s="1108" t="s">
        <v>4585</v>
      </c>
      <c r="I344" s="1109" t="s">
        <v>1606</v>
      </c>
      <c r="J344" s="1099">
        <v>8</v>
      </c>
      <c r="K344" s="1099">
        <v>11</v>
      </c>
      <c r="L344" s="1099">
        <v>13</v>
      </c>
      <c r="M344" s="1104">
        <v>16</v>
      </c>
      <c r="N344" s="1099">
        <v>100</v>
      </c>
      <c r="O344" s="1099">
        <v>120</v>
      </c>
      <c r="P344" s="1099">
        <v>150</v>
      </c>
      <c r="Q344" s="1104">
        <v>200</v>
      </c>
      <c r="R344" s="1099">
        <v>10</v>
      </c>
      <c r="S344" s="1099">
        <v>15</v>
      </c>
      <c r="T344" s="1099">
        <v>15</v>
      </c>
      <c r="U344" s="1104">
        <v>20</v>
      </c>
      <c r="V344" s="1101" t="s">
        <v>5941</v>
      </c>
      <c r="W344" s="1101" t="s">
        <v>5942</v>
      </c>
      <c r="X344" s="1101" t="s">
        <v>5943</v>
      </c>
      <c r="Y344" s="1101" t="s">
        <v>5944</v>
      </c>
      <c r="Z344" s="1102" t="s">
        <v>8640</v>
      </c>
    </row>
    <row r="345" spans="2:26" ht="12.75" customHeight="1" x14ac:dyDescent="0.2">
      <c r="B345" s="2090" t="str">
        <f t="shared" si="5"/>
        <v>Ilusión66</v>
      </c>
      <c r="C345" s="1103"/>
      <c r="D345" s="521" t="s">
        <v>592</v>
      </c>
      <c r="E345" s="1099" t="s">
        <v>2031</v>
      </c>
      <c r="F345" s="1099">
        <v>66</v>
      </c>
      <c r="G345" s="1108" t="s">
        <v>1690</v>
      </c>
      <c r="H345" s="1108" t="s">
        <v>5406</v>
      </c>
      <c r="I345" s="1109" t="s">
        <v>1606</v>
      </c>
      <c r="J345" s="1099">
        <v>7</v>
      </c>
      <c r="K345" s="1099">
        <v>10</v>
      </c>
      <c r="L345" s="1099">
        <v>12</v>
      </c>
      <c r="M345" s="1104">
        <v>14</v>
      </c>
      <c r="N345" s="1099">
        <v>60</v>
      </c>
      <c r="O345" s="1099">
        <v>100</v>
      </c>
      <c r="P345" s="1099">
        <v>140</v>
      </c>
      <c r="Q345" s="1104">
        <v>200</v>
      </c>
      <c r="R345" s="1099">
        <v>10</v>
      </c>
      <c r="S345" s="1099">
        <v>10</v>
      </c>
      <c r="T345" s="1099">
        <v>15</v>
      </c>
      <c r="U345" s="1104">
        <v>15</v>
      </c>
      <c r="V345" s="1101" t="s">
        <v>4969</v>
      </c>
      <c r="W345" s="1101" t="s">
        <v>4864</v>
      </c>
      <c r="X345" s="1101" t="s">
        <v>4697</v>
      </c>
      <c r="Y345" s="1101" t="s">
        <v>4865</v>
      </c>
      <c r="Z345" s="1102" t="s">
        <v>5971</v>
      </c>
    </row>
    <row r="346" spans="2:26" ht="12.75" customHeight="1" x14ac:dyDescent="0.2">
      <c r="B346" s="2090" t="str">
        <f t="shared" si="5"/>
        <v>Ilusión70</v>
      </c>
      <c r="C346" s="1103"/>
      <c r="D346" s="521" t="s">
        <v>593</v>
      </c>
      <c r="E346" s="1099" t="s">
        <v>2031</v>
      </c>
      <c r="F346" s="1099">
        <v>70</v>
      </c>
      <c r="G346" s="1108" t="s">
        <v>1690</v>
      </c>
      <c r="H346" s="1108" t="s">
        <v>1534</v>
      </c>
      <c r="I346" s="1109" t="s">
        <v>1606</v>
      </c>
      <c r="J346" s="1099">
        <v>6</v>
      </c>
      <c r="K346" s="1099">
        <v>9</v>
      </c>
      <c r="L346" s="1099">
        <v>12</v>
      </c>
      <c r="M346" s="1104">
        <v>15</v>
      </c>
      <c r="N346" s="1099">
        <v>80</v>
      </c>
      <c r="O346" s="1099">
        <v>140</v>
      </c>
      <c r="P346" s="1099">
        <v>220</v>
      </c>
      <c r="Q346" s="1104">
        <v>300</v>
      </c>
      <c r="R346" s="1099" t="s">
        <v>1690</v>
      </c>
      <c r="S346" s="1099" t="s">
        <v>1690</v>
      </c>
      <c r="T346" s="1099" t="s">
        <v>1690</v>
      </c>
      <c r="U346" s="1104" t="s">
        <v>1690</v>
      </c>
      <c r="V346" s="1101" t="s">
        <v>5972</v>
      </c>
      <c r="W346" s="1101" t="s">
        <v>5973</v>
      </c>
      <c r="X346" s="1101" t="s">
        <v>5974</v>
      </c>
      <c r="Y346" s="1101" t="s">
        <v>5975</v>
      </c>
      <c r="Z346" s="1102" t="s">
        <v>5976</v>
      </c>
    </row>
    <row r="347" spans="2:26" ht="12.75" customHeight="1" x14ac:dyDescent="0.2">
      <c r="B347" s="2090" t="str">
        <f t="shared" si="5"/>
        <v>Ilusión72</v>
      </c>
      <c r="C347" s="1103"/>
      <c r="D347" s="521" t="s">
        <v>594</v>
      </c>
      <c r="E347" s="1099" t="s">
        <v>2031</v>
      </c>
      <c r="F347" s="1099">
        <v>72</v>
      </c>
      <c r="G347" s="1108" t="s">
        <v>2446</v>
      </c>
      <c r="H347" s="1108" t="s">
        <v>5406</v>
      </c>
      <c r="I347" s="1109" t="s">
        <v>1606</v>
      </c>
      <c r="J347" s="1099">
        <v>8</v>
      </c>
      <c r="K347" s="1099">
        <v>10</v>
      </c>
      <c r="L347" s="1099">
        <v>13</v>
      </c>
      <c r="M347" s="1104">
        <v>16</v>
      </c>
      <c r="N347" s="1099">
        <v>120</v>
      </c>
      <c r="O347" s="1099">
        <v>180</v>
      </c>
      <c r="P347" s="1099">
        <v>240</v>
      </c>
      <c r="Q347" s="1104">
        <v>320</v>
      </c>
      <c r="R347" s="1099">
        <v>15</v>
      </c>
      <c r="S347" s="1099">
        <v>20</v>
      </c>
      <c r="T347" s="1099">
        <v>25</v>
      </c>
      <c r="U347" s="1104">
        <v>35</v>
      </c>
      <c r="V347" s="1101" t="s">
        <v>5977</v>
      </c>
      <c r="W347" s="1101" t="s">
        <v>4983</v>
      </c>
      <c r="X347" s="1101" t="s">
        <v>5978</v>
      </c>
      <c r="Y347" s="1101" t="s">
        <v>4984</v>
      </c>
      <c r="Z347" s="1102" t="s">
        <v>8641</v>
      </c>
    </row>
    <row r="348" spans="2:26" ht="12.75" customHeight="1" x14ac:dyDescent="0.2">
      <c r="B348" s="2090" t="str">
        <f t="shared" si="5"/>
        <v>Ilusión76</v>
      </c>
      <c r="C348" s="1103"/>
      <c r="D348" s="521" t="s">
        <v>595</v>
      </c>
      <c r="E348" s="1099" t="s">
        <v>2031</v>
      </c>
      <c r="F348" s="1099">
        <v>76</v>
      </c>
      <c r="G348" s="1108" t="s">
        <v>2446</v>
      </c>
      <c r="H348" s="1108" t="s">
        <v>5406</v>
      </c>
      <c r="I348" s="1109" t="s">
        <v>1606</v>
      </c>
      <c r="J348" s="1099">
        <v>8</v>
      </c>
      <c r="K348" s="1099">
        <v>10</v>
      </c>
      <c r="L348" s="1099">
        <v>13</v>
      </c>
      <c r="M348" s="1104">
        <v>16</v>
      </c>
      <c r="N348" s="1099">
        <v>140</v>
      </c>
      <c r="O348" s="1099">
        <v>200</v>
      </c>
      <c r="P348" s="1099">
        <v>260</v>
      </c>
      <c r="Q348" s="1104">
        <v>320</v>
      </c>
      <c r="R348" s="1099">
        <v>15</v>
      </c>
      <c r="S348" s="1099">
        <v>20</v>
      </c>
      <c r="T348" s="1099">
        <v>30</v>
      </c>
      <c r="U348" s="1104">
        <v>35</v>
      </c>
      <c r="V348" s="1101" t="s">
        <v>5977</v>
      </c>
      <c r="W348" s="1101" t="s">
        <v>4983</v>
      </c>
      <c r="X348" s="1101" t="s">
        <v>5978</v>
      </c>
      <c r="Y348" s="1101" t="s">
        <v>4984</v>
      </c>
      <c r="Z348" s="1102" t="s">
        <v>8642</v>
      </c>
    </row>
    <row r="349" spans="2:26" ht="12.75" customHeight="1" x14ac:dyDescent="0.2">
      <c r="B349" s="2090" t="str">
        <f t="shared" si="5"/>
        <v>Ilusión80</v>
      </c>
      <c r="C349" s="1103"/>
      <c r="D349" s="521" t="s">
        <v>596</v>
      </c>
      <c r="E349" s="1099" t="s">
        <v>2031</v>
      </c>
      <c r="F349" s="1099">
        <v>80</v>
      </c>
      <c r="G349" s="1108" t="s">
        <v>2446</v>
      </c>
      <c r="H349" s="1108" t="s">
        <v>4585</v>
      </c>
      <c r="I349" s="1109" t="s">
        <v>1606</v>
      </c>
      <c r="J349" s="1099">
        <v>9</v>
      </c>
      <c r="K349" s="1099">
        <v>12</v>
      </c>
      <c r="L349" s="1099">
        <v>15</v>
      </c>
      <c r="M349" s="1104">
        <v>18</v>
      </c>
      <c r="N349" s="1099">
        <v>250</v>
      </c>
      <c r="O349" s="1099">
        <v>350</v>
      </c>
      <c r="P349" s="1099">
        <v>500</v>
      </c>
      <c r="Q349" s="1104">
        <v>700</v>
      </c>
      <c r="R349" s="1099">
        <v>25</v>
      </c>
      <c r="S349" s="1099">
        <v>35</v>
      </c>
      <c r="T349" s="1099">
        <v>50</v>
      </c>
      <c r="U349" s="1104">
        <v>70</v>
      </c>
      <c r="V349" s="1101" t="s">
        <v>5979</v>
      </c>
      <c r="W349" s="1101" t="s">
        <v>5980</v>
      </c>
      <c r="X349" s="1101" t="s">
        <v>5981</v>
      </c>
      <c r="Y349" s="1101" t="s">
        <v>5982</v>
      </c>
      <c r="Z349" s="1102" t="s">
        <v>5983</v>
      </c>
    </row>
    <row r="350" spans="2:26" ht="12.75" customHeight="1" x14ac:dyDescent="0.2">
      <c r="B350" s="2090" t="str">
        <f t="shared" si="5"/>
        <v>Ilusión82</v>
      </c>
      <c r="C350" s="1103"/>
      <c r="D350" s="521" t="s">
        <v>597</v>
      </c>
      <c r="E350" s="1099" t="s">
        <v>2031</v>
      </c>
      <c r="F350" s="1099">
        <v>82</v>
      </c>
      <c r="G350" s="1108" t="s">
        <v>1690</v>
      </c>
      <c r="H350" s="1108" t="s">
        <v>1536</v>
      </c>
      <c r="I350" s="1109" t="s">
        <v>1606</v>
      </c>
      <c r="J350" s="1099">
        <v>9</v>
      </c>
      <c r="K350" s="1099">
        <v>12</v>
      </c>
      <c r="L350" s="1099">
        <v>15</v>
      </c>
      <c r="M350" s="1104">
        <v>18</v>
      </c>
      <c r="N350" s="1099">
        <v>250</v>
      </c>
      <c r="O350" s="1099">
        <v>360</v>
      </c>
      <c r="P350" s="1099">
        <v>450</v>
      </c>
      <c r="Q350" s="1104">
        <v>600</v>
      </c>
      <c r="R350" s="1099" t="s">
        <v>1690</v>
      </c>
      <c r="S350" s="1099" t="s">
        <v>1690</v>
      </c>
      <c r="T350" s="1099" t="s">
        <v>1690</v>
      </c>
      <c r="U350" s="1104" t="s">
        <v>1690</v>
      </c>
      <c r="V350" s="1101" t="s">
        <v>5984</v>
      </c>
      <c r="W350" s="1101" t="s">
        <v>5985</v>
      </c>
      <c r="X350" s="1101" t="s">
        <v>5986</v>
      </c>
      <c r="Y350" s="1101" t="s">
        <v>5987</v>
      </c>
      <c r="Z350" s="1102" t="s">
        <v>5988</v>
      </c>
    </row>
    <row r="351" spans="2:26" ht="12.75" customHeight="1" x14ac:dyDescent="0.2">
      <c r="B351" s="2090" t="str">
        <f t="shared" si="5"/>
        <v>Ilusión86</v>
      </c>
      <c r="C351" s="1103"/>
      <c r="D351" s="521" t="s">
        <v>598</v>
      </c>
      <c r="E351" s="1099" t="s">
        <v>2031</v>
      </c>
      <c r="F351" s="1099">
        <v>86</v>
      </c>
      <c r="G351" s="1108" t="s">
        <v>1690</v>
      </c>
      <c r="H351" s="1108" t="s">
        <v>5406</v>
      </c>
      <c r="I351" s="1109" t="s">
        <v>1606</v>
      </c>
      <c r="J351" s="1099">
        <v>10</v>
      </c>
      <c r="K351" s="1099">
        <v>12</v>
      </c>
      <c r="L351" s="1099">
        <v>14</v>
      </c>
      <c r="M351" s="1104">
        <v>16</v>
      </c>
      <c r="N351" s="1099">
        <v>200</v>
      </c>
      <c r="O351" s="1099">
        <v>250</v>
      </c>
      <c r="P351" s="1099">
        <v>300</v>
      </c>
      <c r="Q351" s="1104">
        <v>350</v>
      </c>
      <c r="R351" s="1099">
        <v>20</v>
      </c>
      <c r="S351" s="1099">
        <v>25</v>
      </c>
      <c r="T351" s="1099">
        <v>30</v>
      </c>
      <c r="U351" s="1104">
        <v>35</v>
      </c>
      <c r="V351" s="1101" t="s">
        <v>5951</v>
      </c>
      <c r="W351" s="1101" t="s">
        <v>5989</v>
      </c>
      <c r="X351" s="1101" t="s">
        <v>5990</v>
      </c>
      <c r="Y351" s="1101" t="s">
        <v>5991</v>
      </c>
      <c r="Z351" s="1102" t="s">
        <v>5992</v>
      </c>
    </row>
    <row r="352" spans="2:26" ht="12.75" customHeight="1" x14ac:dyDescent="0.2">
      <c r="B352" s="2090" t="str">
        <f t="shared" si="5"/>
        <v>Ilusión90</v>
      </c>
      <c r="C352" s="1103"/>
      <c r="D352" s="521" t="s">
        <v>599</v>
      </c>
      <c r="E352" s="1099" t="s">
        <v>2031</v>
      </c>
      <c r="F352" s="1099">
        <v>90</v>
      </c>
      <c r="G352" s="1108" t="s">
        <v>2446</v>
      </c>
      <c r="H352" s="1108" t="s">
        <v>4585</v>
      </c>
      <c r="I352" s="1109" t="s">
        <v>1606</v>
      </c>
      <c r="J352" s="1099">
        <v>11</v>
      </c>
      <c r="K352" s="1099">
        <v>13</v>
      </c>
      <c r="L352" s="1099">
        <v>15</v>
      </c>
      <c r="M352" s="1104">
        <v>17</v>
      </c>
      <c r="N352" s="1099">
        <v>250</v>
      </c>
      <c r="O352" s="1099">
        <v>300</v>
      </c>
      <c r="P352" s="1099">
        <v>400</v>
      </c>
      <c r="Q352" s="1104">
        <v>500</v>
      </c>
      <c r="R352" s="1099">
        <v>25</v>
      </c>
      <c r="S352" s="1099">
        <v>30</v>
      </c>
      <c r="T352" s="1099">
        <v>40</v>
      </c>
      <c r="U352" s="1104">
        <v>50</v>
      </c>
      <c r="V352" s="1101" t="s">
        <v>4968</v>
      </c>
      <c r="W352" s="1101" t="s">
        <v>4969</v>
      </c>
      <c r="X352" s="1101" t="s">
        <v>4864</v>
      </c>
      <c r="Y352" s="1101" t="s">
        <v>4697</v>
      </c>
      <c r="Z352" s="1102" t="s">
        <v>5993</v>
      </c>
    </row>
    <row r="353" spans="2:26" ht="12.75" customHeight="1" x14ac:dyDescent="0.2">
      <c r="B353" s="2090" t="str">
        <f t="shared" si="5"/>
        <v>Ilusión92</v>
      </c>
      <c r="C353" s="1103"/>
      <c r="D353" s="521" t="s">
        <v>600</v>
      </c>
      <c r="E353" s="1099" t="s">
        <v>2031</v>
      </c>
      <c r="F353" s="1099">
        <v>92</v>
      </c>
      <c r="G353" s="1108" t="s">
        <v>2446</v>
      </c>
      <c r="H353" s="1108" t="s">
        <v>1536</v>
      </c>
      <c r="I353" s="1109" t="s">
        <v>1606</v>
      </c>
      <c r="J353" s="1099">
        <v>13</v>
      </c>
      <c r="K353" s="1099">
        <v>15</v>
      </c>
      <c r="L353" s="1099">
        <v>17</v>
      </c>
      <c r="M353" s="1104">
        <v>19</v>
      </c>
      <c r="N353" s="1099">
        <v>500</v>
      </c>
      <c r="O353" s="1099">
        <v>800</v>
      </c>
      <c r="P353" s="1099">
        <v>1200</v>
      </c>
      <c r="Q353" s="1104">
        <v>1500</v>
      </c>
      <c r="R353" s="1099">
        <v>100</v>
      </c>
      <c r="S353" s="1099">
        <v>160</v>
      </c>
      <c r="T353" s="1099">
        <v>240</v>
      </c>
      <c r="U353" s="1104">
        <v>300</v>
      </c>
      <c r="V353" s="1101" t="s">
        <v>5994</v>
      </c>
      <c r="W353" s="1101" t="s">
        <v>4733</v>
      </c>
      <c r="X353" s="1101" t="s">
        <v>5995</v>
      </c>
      <c r="Y353" s="1101" t="s">
        <v>5996</v>
      </c>
      <c r="Z353" s="1102" t="s">
        <v>5997</v>
      </c>
    </row>
    <row r="354" spans="2:26" ht="12.75" customHeight="1" x14ac:dyDescent="0.2">
      <c r="B354" s="2090" t="str">
        <f t="shared" si="5"/>
        <v>Ilusión96</v>
      </c>
      <c r="C354" s="1103"/>
      <c r="D354" s="521" t="s">
        <v>601</v>
      </c>
      <c r="E354" s="1099" t="s">
        <v>2031</v>
      </c>
      <c r="F354" s="1099">
        <v>96</v>
      </c>
      <c r="G354" s="1108" t="s">
        <v>1690</v>
      </c>
      <c r="H354" s="1108" t="s">
        <v>4585</v>
      </c>
      <c r="I354" s="1109" t="s">
        <v>1606</v>
      </c>
      <c r="J354" s="1099">
        <v>13</v>
      </c>
      <c r="K354" s="1099">
        <v>15</v>
      </c>
      <c r="L354" s="1099">
        <v>17</v>
      </c>
      <c r="M354" s="1104">
        <v>19</v>
      </c>
      <c r="N354" s="1099">
        <v>500</v>
      </c>
      <c r="O354" s="1099">
        <v>900</v>
      </c>
      <c r="P354" s="1099">
        <v>1400</v>
      </c>
      <c r="Q354" s="1104">
        <v>2000</v>
      </c>
      <c r="R354" s="1099">
        <v>50</v>
      </c>
      <c r="S354" s="1099">
        <v>90</v>
      </c>
      <c r="T354" s="1099">
        <v>140</v>
      </c>
      <c r="U354" s="1104">
        <v>200</v>
      </c>
      <c r="V354" s="1101" t="s">
        <v>5998</v>
      </c>
      <c r="W354" s="1101" t="s">
        <v>5999</v>
      </c>
      <c r="X354" s="1101" t="s">
        <v>6000</v>
      </c>
      <c r="Y354" s="1101" t="s">
        <v>6001</v>
      </c>
      <c r="Z354" s="1102" t="s">
        <v>8643</v>
      </c>
    </row>
    <row r="355" spans="2:26" ht="12.75" customHeight="1" x14ac:dyDescent="0.2">
      <c r="B355" s="2090" t="str">
        <f t="shared" si="5"/>
        <v>Ilusión100</v>
      </c>
      <c r="C355" s="1103"/>
      <c r="D355" s="521" t="s">
        <v>602</v>
      </c>
      <c r="E355" s="1099" t="s">
        <v>2031</v>
      </c>
      <c r="F355" s="1099">
        <v>100</v>
      </c>
      <c r="G355" s="1108" t="s">
        <v>1690</v>
      </c>
      <c r="H355" s="1108" t="s">
        <v>4585</v>
      </c>
      <c r="I355" s="1109" t="s">
        <v>1606</v>
      </c>
      <c r="J355" s="1099">
        <v>14</v>
      </c>
      <c r="K355" s="1099">
        <v>16</v>
      </c>
      <c r="L355" s="1099">
        <v>18</v>
      </c>
      <c r="M355" s="1104">
        <v>19</v>
      </c>
      <c r="N355" s="1099">
        <v>600</v>
      </c>
      <c r="O355" s="1099">
        <v>1000</v>
      </c>
      <c r="P355" s="1099">
        <v>2000</v>
      </c>
      <c r="Q355" s="1104">
        <v>3000</v>
      </c>
      <c r="R355" s="1099" t="s">
        <v>1690</v>
      </c>
      <c r="S355" s="1099" t="s">
        <v>1690</v>
      </c>
      <c r="T355" s="1099" t="s">
        <v>1690</v>
      </c>
      <c r="U355" s="1104" t="s">
        <v>1690</v>
      </c>
      <c r="V355" s="1101" t="s">
        <v>4969</v>
      </c>
      <c r="W355" s="1101" t="s">
        <v>6002</v>
      </c>
      <c r="X355" s="1101" t="s">
        <v>5159</v>
      </c>
      <c r="Y355" s="1101" t="s">
        <v>4866</v>
      </c>
      <c r="Z355" s="1102" t="s">
        <v>6003</v>
      </c>
    </row>
    <row r="356" spans="2:26" ht="12.75" customHeight="1" x14ac:dyDescent="0.2">
      <c r="B356" s="2090" t="str">
        <f t="shared" si="5"/>
        <v/>
      </c>
      <c r="C356" s="1103"/>
      <c r="D356" s="521" t="s">
        <v>603</v>
      </c>
      <c r="E356" s="1099"/>
      <c r="F356" s="1099"/>
      <c r="G356" s="1108"/>
      <c r="H356" s="1108"/>
      <c r="I356" s="1109"/>
      <c r="J356" s="1099"/>
      <c r="K356" s="1099"/>
      <c r="L356" s="1099"/>
      <c r="M356" s="1104"/>
      <c r="N356" s="1099"/>
      <c r="O356" s="1099"/>
      <c r="P356" s="1099"/>
      <c r="Q356" s="1104"/>
      <c r="R356" s="1099"/>
      <c r="S356" s="1099"/>
      <c r="T356" s="1099"/>
      <c r="U356" s="1104"/>
      <c r="V356" s="1101"/>
      <c r="W356" s="1101"/>
      <c r="X356" s="1101"/>
      <c r="Y356" s="1101"/>
      <c r="Z356" s="1102"/>
    </row>
    <row r="357" spans="2:26" ht="12.75" customHeight="1" x14ac:dyDescent="0.2">
      <c r="B357" s="2090" t="str">
        <f t="shared" si="5"/>
        <v>Nigromancia2</v>
      </c>
      <c r="C357" s="1103"/>
      <c r="D357" s="521" t="s">
        <v>604</v>
      </c>
      <c r="E357" s="1099" t="s">
        <v>2033</v>
      </c>
      <c r="F357" s="1099">
        <v>2</v>
      </c>
      <c r="G357" s="1108" t="s">
        <v>1690</v>
      </c>
      <c r="H357" s="1108" t="s">
        <v>1538</v>
      </c>
      <c r="I357" s="1109" t="s">
        <v>1606</v>
      </c>
      <c r="J357" s="1099">
        <v>6</v>
      </c>
      <c r="K357" s="1099">
        <v>8</v>
      </c>
      <c r="L357" s="1099">
        <v>10</v>
      </c>
      <c r="M357" s="1104">
        <v>12</v>
      </c>
      <c r="N357" s="1099">
        <v>30</v>
      </c>
      <c r="O357" s="1099">
        <v>60</v>
      </c>
      <c r="P357" s="1099">
        <v>90</v>
      </c>
      <c r="Q357" s="1104">
        <v>120</v>
      </c>
      <c r="R357" s="1099">
        <v>5</v>
      </c>
      <c r="S357" s="1099">
        <v>10</v>
      </c>
      <c r="T357" s="1099">
        <v>10</v>
      </c>
      <c r="U357" s="1104">
        <v>15</v>
      </c>
      <c r="V357" s="1101" t="s">
        <v>6004</v>
      </c>
      <c r="W357" s="1101" t="s">
        <v>6005</v>
      </c>
      <c r="X357" s="1101" t="s">
        <v>6006</v>
      </c>
      <c r="Y357" s="1101" t="s">
        <v>6007</v>
      </c>
      <c r="Z357" s="1102" t="s">
        <v>6008</v>
      </c>
    </row>
    <row r="358" spans="2:26" ht="12.75" customHeight="1" x14ac:dyDescent="0.2">
      <c r="B358" s="2090" t="str">
        <f t="shared" si="5"/>
        <v>Nigromancia6</v>
      </c>
      <c r="C358" s="1103"/>
      <c r="D358" s="521" t="s">
        <v>605</v>
      </c>
      <c r="E358" s="1099" t="s">
        <v>2033</v>
      </c>
      <c r="F358" s="1099">
        <v>6</v>
      </c>
      <c r="G358" s="1108" t="s">
        <v>1690</v>
      </c>
      <c r="H358" s="1108" t="s">
        <v>1536</v>
      </c>
      <c r="I358" s="1109" t="s">
        <v>1606</v>
      </c>
      <c r="J358" s="1099">
        <v>6</v>
      </c>
      <c r="K358" s="1099">
        <v>8</v>
      </c>
      <c r="L358" s="1099">
        <v>10</v>
      </c>
      <c r="M358" s="1104">
        <v>12</v>
      </c>
      <c r="N358" s="1099">
        <v>30</v>
      </c>
      <c r="O358" s="1099">
        <v>60</v>
      </c>
      <c r="P358" s="1099">
        <v>90</v>
      </c>
      <c r="Q358" s="1104">
        <v>120</v>
      </c>
      <c r="R358" s="1099">
        <v>5</v>
      </c>
      <c r="S358" s="1099">
        <v>10</v>
      </c>
      <c r="T358" s="1099">
        <v>10</v>
      </c>
      <c r="U358" s="1104">
        <v>15</v>
      </c>
      <c r="V358" s="1101" t="s">
        <v>6009</v>
      </c>
      <c r="W358" s="1101" t="s">
        <v>6010</v>
      </c>
      <c r="X358" s="1101" t="s">
        <v>6011</v>
      </c>
      <c r="Y358" s="1101" t="s">
        <v>6012</v>
      </c>
      <c r="Z358" s="1102" t="s">
        <v>6013</v>
      </c>
    </row>
    <row r="359" spans="2:26" ht="12.75" customHeight="1" x14ac:dyDescent="0.2">
      <c r="B359" s="2090" t="str">
        <f t="shared" si="5"/>
        <v>Nigromancia8</v>
      </c>
      <c r="C359" s="1103"/>
      <c r="D359" s="521" t="s">
        <v>606</v>
      </c>
      <c r="E359" s="1099" t="s">
        <v>2033</v>
      </c>
      <c r="F359" s="1099">
        <v>8</v>
      </c>
      <c r="G359" s="1108" t="s">
        <v>1690</v>
      </c>
      <c r="H359" s="1108" t="s">
        <v>1536</v>
      </c>
      <c r="I359" s="1109" t="s">
        <v>1606</v>
      </c>
      <c r="J359" s="1099">
        <v>6</v>
      </c>
      <c r="K359" s="1099">
        <v>8</v>
      </c>
      <c r="L359" s="1099">
        <v>11</v>
      </c>
      <c r="M359" s="1104">
        <v>13</v>
      </c>
      <c r="N359" s="1099">
        <v>40</v>
      </c>
      <c r="O359" s="1099">
        <v>120</v>
      </c>
      <c r="P359" s="1099">
        <v>200</v>
      </c>
      <c r="Q359" s="1104">
        <v>300</v>
      </c>
      <c r="R359" s="1099">
        <v>5</v>
      </c>
      <c r="S359" s="1099">
        <v>10</v>
      </c>
      <c r="T359" s="1099">
        <v>10</v>
      </c>
      <c r="U359" s="1104">
        <v>15</v>
      </c>
      <c r="V359" s="1101" t="s">
        <v>5658</v>
      </c>
      <c r="W359" s="1101" t="s">
        <v>5659</v>
      </c>
      <c r="X359" s="1101" t="s">
        <v>4772</v>
      </c>
      <c r="Y359" s="1101" t="s">
        <v>5339</v>
      </c>
      <c r="Z359" s="1102" t="s">
        <v>6014</v>
      </c>
    </row>
    <row r="360" spans="2:26" ht="12.75" customHeight="1" x14ac:dyDescent="0.2">
      <c r="B360" s="2090" t="str">
        <f t="shared" si="5"/>
        <v>Nigromancia10</v>
      </c>
      <c r="C360" s="1103"/>
      <c r="D360" s="521" t="s">
        <v>607</v>
      </c>
      <c r="E360" s="1099" t="s">
        <v>2033</v>
      </c>
      <c r="F360" s="1099">
        <v>10</v>
      </c>
      <c r="G360" s="1108" t="s">
        <v>1690</v>
      </c>
      <c r="H360" s="1108" t="s">
        <v>1881</v>
      </c>
      <c r="I360" s="1109" t="s">
        <v>1607</v>
      </c>
      <c r="J360" s="1099">
        <v>6</v>
      </c>
      <c r="K360" s="1099">
        <v>9</v>
      </c>
      <c r="L360" s="1099">
        <v>11</v>
      </c>
      <c r="M360" s="1104">
        <v>13</v>
      </c>
      <c r="N360" s="1099">
        <v>40</v>
      </c>
      <c r="O360" s="1099">
        <v>60</v>
      </c>
      <c r="P360" s="1099">
        <v>80</v>
      </c>
      <c r="Q360" s="1104">
        <v>100</v>
      </c>
      <c r="R360" s="1099">
        <v>5</v>
      </c>
      <c r="S360" s="1099">
        <v>5</v>
      </c>
      <c r="T360" s="1099">
        <v>10</v>
      </c>
      <c r="U360" s="1104">
        <v>15</v>
      </c>
      <c r="V360" s="1101" t="s">
        <v>6015</v>
      </c>
      <c r="W360" s="1101" t="s">
        <v>6016</v>
      </c>
      <c r="X360" s="1101" t="s">
        <v>6017</v>
      </c>
      <c r="Y360" s="1101" t="s">
        <v>6018</v>
      </c>
      <c r="Z360" s="1102" t="s">
        <v>6019</v>
      </c>
    </row>
    <row r="361" spans="2:26" ht="12.75" customHeight="1" x14ac:dyDescent="0.2">
      <c r="B361" s="2090" t="str">
        <f t="shared" si="5"/>
        <v>Nigromancia12</v>
      </c>
      <c r="C361" s="1103"/>
      <c r="D361" s="521" t="s">
        <v>608</v>
      </c>
      <c r="E361" s="1099" t="s">
        <v>2033</v>
      </c>
      <c r="F361" s="1099">
        <v>12</v>
      </c>
      <c r="G361" s="1108" t="s">
        <v>1690</v>
      </c>
      <c r="H361" s="1108" t="s">
        <v>1535</v>
      </c>
      <c r="I361" s="1109" t="s">
        <v>1607</v>
      </c>
      <c r="J361" s="1099">
        <v>6</v>
      </c>
      <c r="K361" s="1099">
        <v>9</v>
      </c>
      <c r="L361" s="1099">
        <v>12</v>
      </c>
      <c r="M361" s="1104">
        <v>14</v>
      </c>
      <c r="N361" s="1099">
        <v>50</v>
      </c>
      <c r="O361" s="1099">
        <v>140</v>
      </c>
      <c r="P361" s="1099">
        <v>230</v>
      </c>
      <c r="Q361" s="1104">
        <v>320</v>
      </c>
      <c r="R361" s="1099"/>
      <c r="S361" s="1099"/>
      <c r="T361" s="1099"/>
      <c r="U361" s="1104"/>
      <c r="V361" s="1101" t="s">
        <v>5006</v>
      </c>
      <c r="W361" s="1101" t="s">
        <v>4969</v>
      </c>
      <c r="X361" s="1101" t="s">
        <v>4697</v>
      </c>
      <c r="Y361" s="1101" t="s">
        <v>4866</v>
      </c>
      <c r="Z361" s="1102" t="s">
        <v>6020</v>
      </c>
    </row>
    <row r="362" spans="2:26" ht="12.75" customHeight="1" x14ac:dyDescent="0.2">
      <c r="B362" s="2090" t="str">
        <f t="shared" si="5"/>
        <v>Nigromancia16</v>
      </c>
      <c r="C362" s="1103"/>
      <c r="D362" s="521" t="s">
        <v>609</v>
      </c>
      <c r="E362" s="1099" t="s">
        <v>2033</v>
      </c>
      <c r="F362" s="1099">
        <v>16</v>
      </c>
      <c r="G362" s="1108" t="s">
        <v>1690</v>
      </c>
      <c r="H362" s="1108" t="s">
        <v>1538</v>
      </c>
      <c r="I362" s="1109" t="s">
        <v>1606</v>
      </c>
      <c r="J362" s="1099">
        <v>6</v>
      </c>
      <c r="K362" s="1099">
        <v>9</v>
      </c>
      <c r="L362" s="1099">
        <v>11</v>
      </c>
      <c r="M362" s="1104">
        <v>13</v>
      </c>
      <c r="N362" s="1099">
        <v>50</v>
      </c>
      <c r="O362" s="1099">
        <v>80</v>
      </c>
      <c r="P362" s="1099">
        <v>100</v>
      </c>
      <c r="Q362" s="1104">
        <v>120</v>
      </c>
      <c r="R362" s="1099">
        <v>5</v>
      </c>
      <c r="S362" s="1099">
        <v>10</v>
      </c>
      <c r="T362" s="1099">
        <v>10</v>
      </c>
      <c r="U362" s="1104">
        <v>15</v>
      </c>
      <c r="V362" s="1101" t="s">
        <v>5860</v>
      </c>
      <c r="W362" s="1101" t="s">
        <v>5167</v>
      </c>
      <c r="X362" s="1101" t="s">
        <v>5797</v>
      </c>
      <c r="Y362" s="1101" t="s">
        <v>6021</v>
      </c>
      <c r="Z362" s="1102" t="s">
        <v>6022</v>
      </c>
    </row>
    <row r="363" spans="2:26" ht="12.75" customHeight="1" x14ac:dyDescent="0.2">
      <c r="B363" s="2090" t="str">
        <f t="shared" si="5"/>
        <v>Nigromancia18</v>
      </c>
      <c r="C363" s="1103"/>
      <c r="D363" s="521" t="s">
        <v>610</v>
      </c>
      <c r="E363" s="1099" t="s">
        <v>2033</v>
      </c>
      <c r="F363" s="1099">
        <v>18</v>
      </c>
      <c r="G363" s="1108" t="s">
        <v>1690</v>
      </c>
      <c r="H363" s="1108" t="s">
        <v>5456</v>
      </c>
      <c r="I363" s="1109" t="s">
        <v>1606</v>
      </c>
      <c r="J363" s="1099">
        <v>6</v>
      </c>
      <c r="K363" s="1099">
        <v>9</v>
      </c>
      <c r="L363" s="1099">
        <v>12</v>
      </c>
      <c r="M363" s="1104">
        <v>15</v>
      </c>
      <c r="N363" s="1099">
        <v>60</v>
      </c>
      <c r="O363" s="1099">
        <v>90</v>
      </c>
      <c r="P363" s="1099">
        <v>120</v>
      </c>
      <c r="Q363" s="1104">
        <v>150</v>
      </c>
      <c r="R363" s="1099">
        <v>5</v>
      </c>
      <c r="S363" s="1099">
        <v>5</v>
      </c>
      <c r="T363" s="1099">
        <v>5</v>
      </c>
      <c r="U363" s="1104">
        <v>5</v>
      </c>
      <c r="V363" s="1101" t="s">
        <v>4997</v>
      </c>
      <c r="W363" s="1101" t="s">
        <v>4998</v>
      </c>
      <c r="X363" s="1101" t="s">
        <v>4999</v>
      </c>
      <c r="Y363" s="1101" t="s">
        <v>6023</v>
      </c>
      <c r="Z363" s="1102" t="s">
        <v>6024</v>
      </c>
    </row>
    <row r="364" spans="2:26" ht="12.75" customHeight="1" x14ac:dyDescent="0.2">
      <c r="B364" s="2090" t="str">
        <f t="shared" si="5"/>
        <v>Nigromancia20</v>
      </c>
      <c r="C364" s="1103"/>
      <c r="D364" s="521" t="s">
        <v>611</v>
      </c>
      <c r="E364" s="1099" t="s">
        <v>2033</v>
      </c>
      <c r="F364" s="1099">
        <v>20</v>
      </c>
      <c r="G364" s="1108" t="s">
        <v>1690</v>
      </c>
      <c r="H364" s="1108" t="s">
        <v>1535</v>
      </c>
      <c r="I364" s="1109" t="s">
        <v>1606</v>
      </c>
      <c r="J364" s="1099">
        <v>7</v>
      </c>
      <c r="K364" s="1099">
        <v>10</v>
      </c>
      <c r="L364" s="1099">
        <v>13</v>
      </c>
      <c r="M364" s="1104">
        <v>15</v>
      </c>
      <c r="N364" s="1099">
        <v>60</v>
      </c>
      <c r="O364" s="1099">
        <v>90</v>
      </c>
      <c r="P364" s="1099">
        <v>120</v>
      </c>
      <c r="Q364" s="1104">
        <v>150</v>
      </c>
      <c r="R364" s="1099">
        <v>10</v>
      </c>
      <c r="S364" s="1099">
        <v>10</v>
      </c>
      <c r="T364" s="1099">
        <v>15</v>
      </c>
      <c r="U364" s="1104">
        <v>15</v>
      </c>
      <c r="V364" s="1101" t="s">
        <v>6025</v>
      </c>
      <c r="W364" s="1101" t="s">
        <v>5170</v>
      </c>
      <c r="X364" s="1101" t="s">
        <v>6026</v>
      </c>
      <c r="Y364" s="1101" t="s">
        <v>6027</v>
      </c>
      <c r="Z364" s="1102" t="s">
        <v>6028</v>
      </c>
    </row>
    <row r="365" spans="2:26" ht="12.75" customHeight="1" x14ac:dyDescent="0.2">
      <c r="B365" s="2090" t="str">
        <f t="shared" si="5"/>
        <v>Nigromancia22</v>
      </c>
      <c r="C365" s="1103"/>
      <c r="D365" s="521" t="s">
        <v>612</v>
      </c>
      <c r="E365" s="1099" t="s">
        <v>2033</v>
      </c>
      <c r="F365" s="1099">
        <v>22</v>
      </c>
      <c r="G365" s="1108" t="s">
        <v>1690</v>
      </c>
      <c r="H365" s="1108" t="s">
        <v>1536</v>
      </c>
      <c r="I365" s="1109" t="s">
        <v>1606</v>
      </c>
      <c r="J365" s="1099">
        <v>8</v>
      </c>
      <c r="K365" s="1099">
        <v>10</v>
      </c>
      <c r="L365" s="1099">
        <v>12</v>
      </c>
      <c r="M365" s="1104">
        <v>14</v>
      </c>
      <c r="N365" s="1099">
        <v>80</v>
      </c>
      <c r="O365" s="1099">
        <v>100</v>
      </c>
      <c r="P365" s="1099">
        <v>120</v>
      </c>
      <c r="Q365" s="1104">
        <v>140</v>
      </c>
      <c r="R365" s="1099"/>
      <c r="S365" s="1099"/>
      <c r="T365" s="1099"/>
      <c r="U365" s="1104"/>
      <c r="V365" s="1101" t="s">
        <v>6029</v>
      </c>
      <c r="W365" s="1101" t="s">
        <v>6030</v>
      </c>
      <c r="X365" s="1101" t="s">
        <v>6031</v>
      </c>
      <c r="Y365" s="1101" t="s">
        <v>6032</v>
      </c>
      <c r="Z365" s="1102" t="s">
        <v>6033</v>
      </c>
    </row>
    <row r="366" spans="2:26" ht="12.75" customHeight="1" x14ac:dyDescent="0.2">
      <c r="B366" s="2090" t="str">
        <f t="shared" si="5"/>
        <v>Nigromancia26</v>
      </c>
      <c r="C366" s="1103"/>
      <c r="D366" s="521" t="s">
        <v>613</v>
      </c>
      <c r="E366" s="1099" t="s">
        <v>2033</v>
      </c>
      <c r="F366" s="1099">
        <v>26</v>
      </c>
      <c r="G366" s="1108" t="s">
        <v>1690</v>
      </c>
      <c r="H366" s="1108" t="s">
        <v>1534</v>
      </c>
      <c r="I366" s="1109" t="s">
        <v>1606</v>
      </c>
      <c r="J366" s="1099">
        <v>6</v>
      </c>
      <c r="K366" s="1099">
        <v>9</v>
      </c>
      <c r="L366" s="1099">
        <v>12</v>
      </c>
      <c r="M366" s="1104">
        <v>15</v>
      </c>
      <c r="N366" s="1099">
        <v>60</v>
      </c>
      <c r="O366" s="1099">
        <v>90</v>
      </c>
      <c r="P366" s="1099">
        <v>120</v>
      </c>
      <c r="Q366" s="1104">
        <v>150</v>
      </c>
      <c r="R366" s="1099"/>
      <c r="S366" s="1099"/>
      <c r="T366" s="1099"/>
      <c r="U366" s="1104"/>
      <c r="V366" s="1101" t="s">
        <v>6034</v>
      </c>
      <c r="W366" s="1101" t="s">
        <v>5128</v>
      </c>
      <c r="X366" s="1101" t="s">
        <v>6035</v>
      </c>
      <c r="Y366" s="1101" t="s">
        <v>6036</v>
      </c>
      <c r="Z366" s="1102" t="s">
        <v>6037</v>
      </c>
    </row>
    <row r="367" spans="2:26" ht="12.75" customHeight="1" x14ac:dyDescent="0.2">
      <c r="B367" s="2090" t="str">
        <f t="shared" si="5"/>
        <v>Nigromancia28</v>
      </c>
      <c r="C367" s="1103"/>
      <c r="D367" s="521" t="s">
        <v>614</v>
      </c>
      <c r="E367" s="1099" t="s">
        <v>2033</v>
      </c>
      <c r="F367" s="1099">
        <v>28</v>
      </c>
      <c r="G367" s="1108" t="s">
        <v>2446</v>
      </c>
      <c r="H367" s="1108" t="s">
        <v>1536</v>
      </c>
      <c r="I367" s="1109" t="s">
        <v>1606</v>
      </c>
      <c r="J367" s="1099">
        <v>7</v>
      </c>
      <c r="K367" s="1099">
        <v>10</v>
      </c>
      <c r="L367" s="1099">
        <v>13</v>
      </c>
      <c r="M367" s="1104">
        <v>15</v>
      </c>
      <c r="N367" s="1099">
        <v>80</v>
      </c>
      <c r="O367" s="1099">
        <v>180</v>
      </c>
      <c r="P367" s="1099">
        <v>300</v>
      </c>
      <c r="Q367" s="1104">
        <v>450</v>
      </c>
      <c r="R367" s="1099">
        <v>10</v>
      </c>
      <c r="S367" s="1099">
        <v>20</v>
      </c>
      <c r="T367" s="1099">
        <v>25</v>
      </c>
      <c r="U367" s="1104">
        <v>30</v>
      </c>
      <c r="V367" s="1101" t="s">
        <v>6038</v>
      </c>
      <c r="W367" s="1101" t="s">
        <v>6039</v>
      </c>
      <c r="X367" s="1101" t="s">
        <v>6040</v>
      </c>
      <c r="Y367" s="1101" t="s">
        <v>6041</v>
      </c>
      <c r="Z367" s="1102" t="s">
        <v>6042</v>
      </c>
    </row>
    <row r="368" spans="2:26" ht="12.75" customHeight="1" x14ac:dyDescent="0.2">
      <c r="B368" s="2090" t="str">
        <f t="shared" si="5"/>
        <v>Nigromancia30</v>
      </c>
      <c r="C368" s="1103"/>
      <c r="D368" s="521" t="s">
        <v>615</v>
      </c>
      <c r="E368" s="1099" t="s">
        <v>2033</v>
      </c>
      <c r="F368" s="1099">
        <v>30</v>
      </c>
      <c r="G368" s="1108" t="s">
        <v>2446</v>
      </c>
      <c r="H368" s="1108" t="s">
        <v>1536</v>
      </c>
      <c r="I368" s="1109" t="s">
        <v>1606</v>
      </c>
      <c r="J368" s="1099">
        <v>8</v>
      </c>
      <c r="K368" s="1099">
        <v>10</v>
      </c>
      <c r="L368" s="1099">
        <v>12</v>
      </c>
      <c r="M368" s="1104">
        <v>14</v>
      </c>
      <c r="N368" s="1099">
        <v>80</v>
      </c>
      <c r="O368" s="1099">
        <v>100</v>
      </c>
      <c r="P368" s="1099">
        <v>120</v>
      </c>
      <c r="Q368" s="1104">
        <v>140</v>
      </c>
      <c r="R368" s="1099">
        <v>10</v>
      </c>
      <c r="S368" s="1099">
        <v>10</v>
      </c>
      <c r="T368" s="1099">
        <v>15</v>
      </c>
      <c r="U368" s="1104">
        <v>15</v>
      </c>
      <c r="V368" s="1101" t="s">
        <v>6043</v>
      </c>
      <c r="W368" s="1101" t="s">
        <v>6044</v>
      </c>
      <c r="X368" s="1101" t="s">
        <v>6045</v>
      </c>
      <c r="Y368" s="1101" t="s">
        <v>6046</v>
      </c>
      <c r="Z368" s="1102" t="s">
        <v>6047</v>
      </c>
    </row>
    <row r="369" spans="2:26" ht="12.75" customHeight="1" x14ac:dyDescent="0.2">
      <c r="B369" s="2090" t="str">
        <f t="shared" si="5"/>
        <v>Nigromancia32</v>
      </c>
      <c r="C369" s="1103"/>
      <c r="D369" s="521" t="s">
        <v>616</v>
      </c>
      <c r="E369" s="1099" t="s">
        <v>2033</v>
      </c>
      <c r="F369" s="1099">
        <v>32</v>
      </c>
      <c r="G369" s="1108" t="s">
        <v>1690</v>
      </c>
      <c r="H369" s="1108" t="s">
        <v>1535</v>
      </c>
      <c r="I369" s="1109" t="s">
        <v>1606</v>
      </c>
      <c r="J369" s="1099">
        <v>8</v>
      </c>
      <c r="K369" s="1099">
        <v>10</v>
      </c>
      <c r="L369" s="1099">
        <v>13</v>
      </c>
      <c r="M369" s="1104">
        <v>15</v>
      </c>
      <c r="N369" s="1099">
        <v>60</v>
      </c>
      <c r="O369" s="1099">
        <v>140</v>
      </c>
      <c r="P369" s="1099">
        <v>220</v>
      </c>
      <c r="Q369" s="1104">
        <v>300</v>
      </c>
      <c r="R369" s="1099"/>
      <c r="S369" s="1099"/>
      <c r="T369" s="1099"/>
      <c r="U369" s="1104"/>
      <c r="V369" s="1101" t="s">
        <v>4969</v>
      </c>
      <c r="W369" s="1101" t="s">
        <v>4697</v>
      </c>
      <c r="X369" s="1101" t="s">
        <v>5159</v>
      </c>
      <c r="Y369" s="1101" t="s">
        <v>6048</v>
      </c>
      <c r="Z369" s="1102" t="s">
        <v>6049</v>
      </c>
    </row>
    <row r="370" spans="2:26" ht="12.75" customHeight="1" x14ac:dyDescent="0.2">
      <c r="B370" s="2090" t="str">
        <f t="shared" si="5"/>
        <v>Nigromancia36</v>
      </c>
      <c r="C370" s="1103"/>
      <c r="D370" s="521" t="s">
        <v>617</v>
      </c>
      <c r="E370" s="1099" t="s">
        <v>2033</v>
      </c>
      <c r="F370" s="1099">
        <v>36</v>
      </c>
      <c r="G370" s="1108" t="s">
        <v>1690</v>
      </c>
      <c r="H370" s="1108" t="s">
        <v>1535</v>
      </c>
      <c r="I370" s="1109" t="s">
        <v>1606</v>
      </c>
      <c r="J370" s="1099">
        <v>8</v>
      </c>
      <c r="K370" s="1099">
        <v>10</v>
      </c>
      <c r="L370" s="1099">
        <v>13</v>
      </c>
      <c r="M370" s="1104">
        <v>15</v>
      </c>
      <c r="N370" s="1099">
        <v>80</v>
      </c>
      <c r="O370" s="1099">
        <v>160</v>
      </c>
      <c r="P370" s="1099">
        <v>240</v>
      </c>
      <c r="Q370" s="1104">
        <v>320</v>
      </c>
      <c r="R370" s="1099"/>
      <c r="S370" s="1099"/>
      <c r="T370" s="1099"/>
      <c r="U370" s="1104"/>
      <c r="V370" s="1101" t="s">
        <v>4969</v>
      </c>
      <c r="W370" s="1101" t="s">
        <v>4697</v>
      </c>
      <c r="X370" s="1101" t="s">
        <v>5159</v>
      </c>
      <c r="Y370" s="1101" t="s">
        <v>6048</v>
      </c>
      <c r="Z370" s="1102" t="s">
        <v>6050</v>
      </c>
    </row>
    <row r="371" spans="2:26" ht="12.75" customHeight="1" x14ac:dyDescent="0.2">
      <c r="B371" s="2090" t="str">
        <f t="shared" si="5"/>
        <v>Nigromancia38</v>
      </c>
      <c r="C371" s="1103"/>
      <c r="D371" s="521" t="s">
        <v>618</v>
      </c>
      <c r="E371" s="1099" t="s">
        <v>2033</v>
      </c>
      <c r="F371" s="1099">
        <v>38</v>
      </c>
      <c r="G371" s="1108" t="s">
        <v>1690</v>
      </c>
      <c r="H371" s="1108" t="s">
        <v>1535</v>
      </c>
      <c r="I371" s="1109" t="s">
        <v>1606</v>
      </c>
      <c r="J371" s="1099">
        <v>8</v>
      </c>
      <c r="K371" s="1099">
        <v>10</v>
      </c>
      <c r="L371" s="1099">
        <v>13</v>
      </c>
      <c r="M371" s="1104">
        <v>15</v>
      </c>
      <c r="N371" s="1099">
        <v>60</v>
      </c>
      <c r="O371" s="1099">
        <v>150</v>
      </c>
      <c r="P371" s="1099">
        <v>240</v>
      </c>
      <c r="Q371" s="1104">
        <v>320</v>
      </c>
      <c r="R371" s="1099">
        <v>5</v>
      </c>
      <c r="S371" s="1099">
        <v>10</v>
      </c>
      <c r="T371" s="1099">
        <v>15</v>
      </c>
      <c r="U371" s="1104">
        <v>15</v>
      </c>
      <c r="V371" s="1101" t="s">
        <v>4969</v>
      </c>
      <c r="W371" s="1101" t="s">
        <v>4697</v>
      </c>
      <c r="X371" s="1101" t="s">
        <v>5159</v>
      </c>
      <c r="Y371" s="1101" t="s">
        <v>6048</v>
      </c>
      <c r="Z371" s="1102" t="s">
        <v>6051</v>
      </c>
    </row>
    <row r="372" spans="2:26" ht="12.75" customHeight="1" x14ac:dyDescent="0.2">
      <c r="B372" s="2090" t="str">
        <f t="shared" si="5"/>
        <v>Nigromancia40</v>
      </c>
      <c r="C372" s="1103"/>
      <c r="D372" s="521" t="s">
        <v>619</v>
      </c>
      <c r="E372" s="1099" t="s">
        <v>2033</v>
      </c>
      <c r="F372" s="1099">
        <v>40</v>
      </c>
      <c r="G372" s="1108" t="s">
        <v>2446</v>
      </c>
      <c r="H372" s="1108" t="s">
        <v>1535</v>
      </c>
      <c r="I372" s="1109" t="s">
        <v>1606</v>
      </c>
      <c r="J372" s="1099">
        <v>9</v>
      </c>
      <c r="K372" s="1099">
        <v>11</v>
      </c>
      <c r="L372" s="1099">
        <v>14</v>
      </c>
      <c r="M372" s="1104">
        <v>16</v>
      </c>
      <c r="N372" s="1099">
        <v>100</v>
      </c>
      <c r="O372" s="1099">
        <v>140</v>
      </c>
      <c r="P372" s="1099">
        <v>180</v>
      </c>
      <c r="Q372" s="1104">
        <v>250</v>
      </c>
      <c r="R372" s="1099">
        <v>10</v>
      </c>
      <c r="S372" s="1099">
        <v>15</v>
      </c>
      <c r="T372" s="1099">
        <v>20</v>
      </c>
      <c r="U372" s="1104">
        <v>25</v>
      </c>
      <c r="V372" s="1101" t="s">
        <v>6052</v>
      </c>
      <c r="W372" s="1101" t="s">
        <v>6053</v>
      </c>
      <c r="X372" s="1101" t="s">
        <v>5171</v>
      </c>
      <c r="Y372" s="1101" t="s">
        <v>6054</v>
      </c>
      <c r="Z372" s="1102" t="s">
        <v>6055</v>
      </c>
    </row>
    <row r="373" spans="2:26" ht="12.75" customHeight="1" x14ac:dyDescent="0.2">
      <c r="B373" s="2090" t="str">
        <f t="shared" si="5"/>
        <v>Nigromancia42</v>
      </c>
      <c r="C373" s="1103"/>
      <c r="D373" s="521" t="s">
        <v>620</v>
      </c>
      <c r="E373" s="1099" t="s">
        <v>2033</v>
      </c>
      <c r="F373" s="1099">
        <v>42</v>
      </c>
      <c r="G373" s="1108" t="s">
        <v>2446</v>
      </c>
      <c r="H373" s="1108" t="s">
        <v>5456</v>
      </c>
      <c r="I373" s="1109" t="s">
        <v>1606</v>
      </c>
      <c r="J373" s="1099">
        <v>9</v>
      </c>
      <c r="K373" s="1099">
        <v>12</v>
      </c>
      <c r="L373" s="1099">
        <v>14</v>
      </c>
      <c r="M373" s="1104">
        <v>16</v>
      </c>
      <c r="N373" s="1099">
        <v>100</v>
      </c>
      <c r="O373" s="1099">
        <v>140</v>
      </c>
      <c r="P373" s="1099">
        <v>180</v>
      </c>
      <c r="Q373" s="1104">
        <v>220</v>
      </c>
      <c r="R373" s="1099">
        <v>10</v>
      </c>
      <c r="S373" s="1099">
        <v>15</v>
      </c>
      <c r="T373" s="1099">
        <v>20</v>
      </c>
      <c r="U373" s="1104">
        <v>25</v>
      </c>
      <c r="V373" s="1101" t="s">
        <v>5658</v>
      </c>
      <c r="W373" s="1101" t="s">
        <v>5760</v>
      </c>
      <c r="X373" s="1101" t="s">
        <v>6056</v>
      </c>
      <c r="Y373" s="1101" t="s">
        <v>4884</v>
      </c>
      <c r="Z373" s="1102" t="s">
        <v>6057</v>
      </c>
    </row>
    <row r="374" spans="2:26" ht="12.75" customHeight="1" x14ac:dyDescent="0.2">
      <c r="B374" s="2090" t="str">
        <f t="shared" si="5"/>
        <v>Nigromancia46</v>
      </c>
      <c r="C374" s="1103"/>
      <c r="D374" s="521" t="s">
        <v>621</v>
      </c>
      <c r="E374" s="1099" t="s">
        <v>2033</v>
      </c>
      <c r="F374" s="1099">
        <v>46</v>
      </c>
      <c r="G374" s="1108" t="s">
        <v>1690</v>
      </c>
      <c r="H374" s="1108" t="s">
        <v>1881</v>
      </c>
      <c r="I374" s="1109" t="s">
        <v>1607</v>
      </c>
      <c r="J374" s="1099">
        <v>9</v>
      </c>
      <c r="K374" s="1099">
        <v>11</v>
      </c>
      <c r="L374" s="1099">
        <v>13</v>
      </c>
      <c r="M374" s="1104">
        <v>15</v>
      </c>
      <c r="N374" s="1099">
        <v>80</v>
      </c>
      <c r="O374" s="1099">
        <v>160</v>
      </c>
      <c r="P374" s="1099">
        <v>240</v>
      </c>
      <c r="Q374" s="1104">
        <v>300</v>
      </c>
      <c r="R374" s="1099">
        <v>5</v>
      </c>
      <c r="S374" s="1099">
        <v>10</v>
      </c>
      <c r="T374" s="1099">
        <v>15</v>
      </c>
      <c r="U374" s="1104">
        <v>15</v>
      </c>
      <c r="V374" s="1101" t="s">
        <v>6058</v>
      </c>
      <c r="W374" s="1101" t="s">
        <v>6059</v>
      </c>
      <c r="X374" s="1101" t="s">
        <v>6060</v>
      </c>
      <c r="Y374" s="1101" t="s">
        <v>6061</v>
      </c>
      <c r="Z374" s="1102" t="s">
        <v>6062</v>
      </c>
    </row>
    <row r="375" spans="2:26" ht="12.75" customHeight="1" x14ac:dyDescent="0.2">
      <c r="B375" s="2090" t="str">
        <f t="shared" si="5"/>
        <v>Nigromancia48</v>
      </c>
      <c r="C375" s="1103"/>
      <c r="D375" s="521" t="s">
        <v>622</v>
      </c>
      <c r="E375" s="1099" t="s">
        <v>2033</v>
      </c>
      <c r="F375" s="1099">
        <v>48</v>
      </c>
      <c r="G375" s="1108" t="s">
        <v>2446</v>
      </c>
      <c r="H375" s="1108" t="s">
        <v>1535</v>
      </c>
      <c r="I375" s="1109" t="s">
        <v>1607</v>
      </c>
      <c r="J375" s="1099">
        <v>9</v>
      </c>
      <c r="K375" s="1099">
        <v>11</v>
      </c>
      <c r="L375" s="1099">
        <v>13</v>
      </c>
      <c r="M375" s="1104">
        <v>15</v>
      </c>
      <c r="N375" s="1099">
        <v>140</v>
      </c>
      <c r="O375" s="1099">
        <v>180</v>
      </c>
      <c r="P375" s="1099">
        <v>240</v>
      </c>
      <c r="Q375" s="1104">
        <v>300</v>
      </c>
      <c r="R375" s="1099">
        <v>30</v>
      </c>
      <c r="S375" s="1099">
        <v>40</v>
      </c>
      <c r="T375" s="1099">
        <v>50</v>
      </c>
      <c r="U375" s="1104">
        <v>60</v>
      </c>
      <c r="V375" s="1101" t="s">
        <v>5006</v>
      </c>
      <c r="W375" s="1101" t="s">
        <v>4968</v>
      </c>
      <c r="X375" s="1101" t="s">
        <v>4969</v>
      </c>
      <c r="Y375" s="1101" t="s">
        <v>4864</v>
      </c>
      <c r="Z375" s="1102" t="s">
        <v>6063</v>
      </c>
    </row>
    <row r="376" spans="2:26" ht="12.75" customHeight="1" x14ac:dyDescent="0.2">
      <c r="B376" s="2090" t="str">
        <f t="shared" si="5"/>
        <v>Nigromancia50</v>
      </c>
      <c r="C376" s="1103"/>
      <c r="D376" s="521" t="s">
        <v>623</v>
      </c>
      <c r="E376" s="1099" t="s">
        <v>2033</v>
      </c>
      <c r="F376" s="1099">
        <v>50</v>
      </c>
      <c r="G376" s="1108" t="s">
        <v>1690</v>
      </c>
      <c r="H376" s="1108" t="s">
        <v>1536</v>
      </c>
      <c r="I376" s="1109" t="s">
        <v>1606</v>
      </c>
      <c r="J376" s="1099">
        <v>9</v>
      </c>
      <c r="K376" s="1099">
        <v>11</v>
      </c>
      <c r="L376" s="1099">
        <v>13</v>
      </c>
      <c r="M376" s="1104">
        <v>15</v>
      </c>
      <c r="N376" s="1099">
        <v>140</v>
      </c>
      <c r="O376" s="1099">
        <v>180</v>
      </c>
      <c r="P376" s="1099">
        <v>240</v>
      </c>
      <c r="Q376" s="1104">
        <v>300</v>
      </c>
      <c r="R376" s="1099">
        <v>15</v>
      </c>
      <c r="S376" s="1099">
        <v>20</v>
      </c>
      <c r="T376" s="1099">
        <v>25</v>
      </c>
      <c r="U376" s="1104">
        <v>30</v>
      </c>
      <c r="V376" s="1101" t="s">
        <v>6064</v>
      </c>
      <c r="W376" s="1101" t="s">
        <v>6065</v>
      </c>
      <c r="X376" s="1101" t="s">
        <v>6066</v>
      </c>
      <c r="Y376" s="1101" t="s">
        <v>6067</v>
      </c>
      <c r="Z376" s="1102" t="s">
        <v>6068</v>
      </c>
    </row>
    <row r="377" spans="2:26" ht="12.75" customHeight="1" x14ac:dyDescent="0.2">
      <c r="B377" s="2090" t="str">
        <f t="shared" si="5"/>
        <v>Nigromancia52</v>
      </c>
      <c r="C377" s="1103"/>
      <c r="D377" s="521" t="s">
        <v>624</v>
      </c>
      <c r="E377" s="1099" t="s">
        <v>2033</v>
      </c>
      <c r="F377" s="1099">
        <v>52</v>
      </c>
      <c r="G377" s="1108" t="s">
        <v>1690</v>
      </c>
      <c r="H377" s="1108" t="s">
        <v>1536</v>
      </c>
      <c r="I377" s="1109" t="s">
        <v>1606</v>
      </c>
      <c r="J377" s="1099">
        <v>10</v>
      </c>
      <c r="K377" s="1099">
        <v>12</v>
      </c>
      <c r="L377" s="1099">
        <v>14</v>
      </c>
      <c r="M377" s="1104">
        <v>16</v>
      </c>
      <c r="N377" s="1099">
        <v>100</v>
      </c>
      <c r="O377" s="1099">
        <v>180</v>
      </c>
      <c r="P377" s="1099">
        <v>240</v>
      </c>
      <c r="Q377" s="1104">
        <v>300</v>
      </c>
      <c r="R377" s="1099">
        <v>10</v>
      </c>
      <c r="S377" s="1099">
        <v>20</v>
      </c>
      <c r="T377" s="1099">
        <v>25</v>
      </c>
      <c r="U377" s="1104">
        <v>30</v>
      </c>
      <c r="V377" s="1101" t="s">
        <v>6069</v>
      </c>
      <c r="W377" s="1101" t="s">
        <v>6070</v>
      </c>
      <c r="X377" s="1101" t="s">
        <v>6071</v>
      </c>
      <c r="Y377" s="1101" t="s">
        <v>6072</v>
      </c>
      <c r="Z377" s="1102" t="s">
        <v>6073</v>
      </c>
    </row>
    <row r="378" spans="2:26" ht="12.75" customHeight="1" x14ac:dyDescent="0.2">
      <c r="B378" s="2090" t="str">
        <f t="shared" si="5"/>
        <v>Nigromancia56</v>
      </c>
      <c r="C378" s="1103"/>
      <c r="D378" s="521" t="s">
        <v>625</v>
      </c>
      <c r="E378" s="1099" t="s">
        <v>2033</v>
      </c>
      <c r="F378" s="1099">
        <v>56</v>
      </c>
      <c r="G378" s="1108" t="s">
        <v>1690</v>
      </c>
      <c r="H378" s="1108" t="s">
        <v>1536</v>
      </c>
      <c r="I378" s="1109" t="s">
        <v>1606</v>
      </c>
      <c r="J378" s="1099">
        <v>9</v>
      </c>
      <c r="K378" s="1099">
        <v>11</v>
      </c>
      <c r="L378" s="1099">
        <v>13</v>
      </c>
      <c r="M378" s="1104">
        <v>16</v>
      </c>
      <c r="N378" s="1099">
        <v>100</v>
      </c>
      <c r="O378" s="1099">
        <v>200</v>
      </c>
      <c r="P378" s="1099">
        <v>300</v>
      </c>
      <c r="Q378" s="1104">
        <v>400</v>
      </c>
      <c r="R378" s="1099">
        <v>10</v>
      </c>
      <c r="S378" s="1099">
        <v>20</v>
      </c>
      <c r="T378" s="1099">
        <v>30</v>
      </c>
      <c r="U378" s="1104">
        <v>40</v>
      </c>
      <c r="V378" s="1101" t="s">
        <v>4991</v>
      </c>
      <c r="W378" s="1101" t="s">
        <v>4992</v>
      </c>
      <c r="X378" s="1101" t="s">
        <v>4993</v>
      </c>
      <c r="Y378" s="1101" t="s">
        <v>6074</v>
      </c>
      <c r="Z378" s="1102" t="s">
        <v>6075</v>
      </c>
    </row>
    <row r="379" spans="2:26" ht="12.75" customHeight="1" x14ac:dyDescent="0.2">
      <c r="B379" s="2090" t="str">
        <f t="shared" si="5"/>
        <v>Nigromancia58</v>
      </c>
      <c r="C379" s="1103"/>
      <c r="D379" s="521" t="s">
        <v>626</v>
      </c>
      <c r="E379" s="1099" t="s">
        <v>2033</v>
      </c>
      <c r="F379" s="1099">
        <v>58</v>
      </c>
      <c r="G379" s="1108" t="s">
        <v>1690</v>
      </c>
      <c r="H379" s="1108" t="s">
        <v>1536</v>
      </c>
      <c r="I379" s="1109" t="s">
        <v>1606</v>
      </c>
      <c r="J379" s="1099">
        <v>9</v>
      </c>
      <c r="K379" s="1099">
        <v>12</v>
      </c>
      <c r="L379" s="1099">
        <v>14</v>
      </c>
      <c r="M379" s="1104">
        <v>16</v>
      </c>
      <c r="N379" s="1099">
        <v>100</v>
      </c>
      <c r="O379" s="1099">
        <v>140</v>
      </c>
      <c r="P379" s="1099">
        <v>160</v>
      </c>
      <c r="Q379" s="1104">
        <v>180</v>
      </c>
      <c r="R379" s="1099"/>
      <c r="S379" s="1099"/>
      <c r="T379" s="1099"/>
      <c r="U379" s="1104"/>
      <c r="V379" s="1101" t="s">
        <v>6076</v>
      </c>
      <c r="W379" s="1101" t="s">
        <v>6077</v>
      </c>
      <c r="X379" s="1101" t="s">
        <v>6078</v>
      </c>
      <c r="Y379" s="1101" t="s">
        <v>6079</v>
      </c>
      <c r="Z379" s="1102" t="s">
        <v>6080</v>
      </c>
    </row>
    <row r="380" spans="2:26" ht="12.75" customHeight="1" x14ac:dyDescent="0.2">
      <c r="B380" s="2090" t="str">
        <f t="shared" si="5"/>
        <v>Nigromancia60</v>
      </c>
      <c r="C380" s="1103"/>
      <c r="D380" s="521" t="s">
        <v>627</v>
      </c>
      <c r="E380" s="1099" t="s">
        <v>2033</v>
      </c>
      <c r="F380" s="1099">
        <v>60</v>
      </c>
      <c r="G380" s="1108" t="s">
        <v>2446</v>
      </c>
      <c r="H380" s="1108" t="s">
        <v>1536</v>
      </c>
      <c r="I380" s="1109" t="s">
        <v>1606</v>
      </c>
      <c r="J380" s="1099">
        <v>10</v>
      </c>
      <c r="K380" s="1099">
        <v>12</v>
      </c>
      <c r="L380" s="1099">
        <v>14</v>
      </c>
      <c r="M380" s="1104">
        <v>16</v>
      </c>
      <c r="N380" s="1099">
        <v>200</v>
      </c>
      <c r="O380" s="1099">
        <v>240</v>
      </c>
      <c r="P380" s="1099">
        <v>280</v>
      </c>
      <c r="Q380" s="1104">
        <v>320</v>
      </c>
      <c r="R380" s="1099">
        <v>20</v>
      </c>
      <c r="S380" s="1099">
        <v>25</v>
      </c>
      <c r="T380" s="1099">
        <v>30</v>
      </c>
      <c r="U380" s="1104">
        <v>35</v>
      </c>
      <c r="V380" s="1101" t="s">
        <v>6081</v>
      </c>
      <c r="W380" s="1101" t="s">
        <v>6082</v>
      </c>
      <c r="X380" s="1101" t="s">
        <v>6083</v>
      </c>
      <c r="Y380" s="1101" t="s">
        <v>6084</v>
      </c>
      <c r="Z380" s="1102" t="s">
        <v>6085</v>
      </c>
    </row>
    <row r="381" spans="2:26" ht="12.75" customHeight="1" x14ac:dyDescent="0.2">
      <c r="B381" s="2090" t="str">
        <f t="shared" si="5"/>
        <v>Nigromancia62</v>
      </c>
      <c r="C381" s="1103"/>
      <c r="D381" s="521" t="s">
        <v>628</v>
      </c>
      <c r="E381" s="1099" t="s">
        <v>2033</v>
      </c>
      <c r="F381" s="1099">
        <v>62</v>
      </c>
      <c r="G381" s="1108" t="s">
        <v>1690</v>
      </c>
      <c r="H381" s="1108" t="s">
        <v>1535</v>
      </c>
      <c r="I381" s="1109" t="s">
        <v>1606</v>
      </c>
      <c r="J381" s="1099">
        <v>9</v>
      </c>
      <c r="K381" s="1099">
        <v>12</v>
      </c>
      <c r="L381" s="1099">
        <v>15</v>
      </c>
      <c r="M381" s="1104">
        <v>18</v>
      </c>
      <c r="N381" s="1099">
        <v>180</v>
      </c>
      <c r="O381" s="1099">
        <v>240</v>
      </c>
      <c r="P381" s="1099">
        <v>300</v>
      </c>
      <c r="Q381" s="1104">
        <v>360</v>
      </c>
      <c r="R381" s="1099"/>
      <c r="S381" s="1099"/>
      <c r="T381" s="1099"/>
      <c r="U381" s="1104"/>
      <c r="V381" s="1101" t="s">
        <v>5006</v>
      </c>
      <c r="W381" s="1101" t="s">
        <v>6086</v>
      </c>
      <c r="X381" s="1101" t="s">
        <v>4864</v>
      </c>
      <c r="Y381" s="1101" t="s">
        <v>6087</v>
      </c>
      <c r="Z381" s="1102" t="s">
        <v>6088</v>
      </c>
    </row>
    <row r="382" spans="2:26" ht="12.75" customHeight="1" x14ac:dyDescent="0.2">
      <c r="B382" s="2090" t="str">
        <f t="shared" si="5"/>
        <v>Nigromancia66</v>
      </c>
      <c r="C382" s="1103"/>
      <c r="D382" s="521" t="s">
        <v>629</v>
      </c>
      <c r="E382" s="1099" t="s">
        <v>2033</v>
      </c>
      <c r="F382" s="1099">
        <v>66</v>
      </c>
      <c r="G382" s="1108" t="s">
        <v>1690</v>
      </c>
      <c r="H382" s="1108" t="s">
        <v>1535</v>
      </c>
      <c r="I382" s="1109" t="s">
        <v>1606</v>
      </c>
      <c r="J382" s="1099">
        <v>10</v>
      </c>
      <c r="K382" s="1099">
        <v>12</v>
      </c>
      <c r="L382" s="1099">
        <v>14</v>
      </c>
      <c r="M382" s="1104">
        <v>16</v>
      </c>
      <c r="N382" s="1099">
        <v>100</v>
      </c>
      <c r="O382" s="1099">
        <v>140</v>
      </c>
      <c r="P382" s="1099">
        <v>180</v>
      </c>
      <c r="Q382" s="1104">
        <v>220</v>
      </c>
      <c r="R382" s="1099"/>
      <c r="S382" s="1099"/>
      <c r="T382" s="1099"/>
      <c r="U382" s="1104"/>
      <c r="V382" s="1101" t="s">
        <v>6089</v>
      </c>
      <c r="W382" s="1101" t="s">
        <v>6090</v>
      </c>
      <c r="X382" s="1101" t="s">
        <v>5180</v>
      </c>
      <c r="Y382" s="1101" t="s">
        <v>5181</v>
      </c>
      <c r="Z382" s="1102" t="s">
        <v>6091</v>
      </c>
    </row>
    <row r="383" spans="2:26" ht="12.75" customHeight="1" x14ac:dyDescent="0.2">
      <c r="B383" s="2090" t="str">
        <f t="shared" si="5"/>
        <v>Nigromancia68</v>
      </c>
      <c r="C383" s="1103"/>
      <c r="D383" s="521" t="s">
        <v>630</v>
      </c>
      <c r="E383" s="1099" t="s">
        <v>2033</v>
      </c>
      <c r="F383" s="1099">
        <v>68</v>
      </c>
      <c r="G383" s="1108" t="s">
        <v>1690</v>
      </c>
      <c r="H383" s="1108" t="s">
        <v>1534</v>
      </c>
      <c r="I383" s="1109" t="s">
        <v>1606</v>
      </c>
      <c r="J383" s="1099">
        <v>9</v>
      </c>
      <c r="K383" s="1099">
        <v>11</v>
      </c>
      <c r="L383" s="1099">
        <v>13</v>
      </c>
      <c r="M383" s="1104">
        <v>16</v>
      </c>
      <c r="N383" s="1099">
        <v>140</v>
      </c>
      <c r="O383" s="1099">
        <v>260</v>
      </c>
      <c r="P383" s="1099">
        <v>380</v>
      </c>
      <c r="Q383" s="1104">
        <v>500</v>
      </c>
      <c r="R383" s="1099"/>
      <c r="S383" s="1099"/>
      <c r="T383" s="1099"/>
      <c r="U383" s="1104"/>
      <c r="V383" s="1101" t="s">
        <v>5128</v>
      </c>
      <c r="W383" s="1101" t="s">
        <v>5129</v>
      </c>
      <c r="X383" s="1101" t="s">
        <v>5161</v>
      </c>
      <c r="Y383" s="1101" t="s">
        <v>6092</v>
      </c>
      <c r="Z383" s="1102" t="s">
        <v>6093</v>
      </c>
    </row>
    <row r="384" spans="2:26" ht="12.75" customHeight="1" x14ac:dyDescent="0.2">
      <c r="B384" s="2090" t="str">
        <f t="shared" si="5"/>
        <v>Nigromancia70</v>
      </c>
      <c r="C384" s="1103"/>
      <c r="D384" s="521" t="s">
        <v>631</v>
      </c>
      <c r="E384" s="1099" t="s">
        <v>2033</v>
      </c>
      <c r="F384" s="1099">
        <v>70</v>
      </c>
      <c r="G384" s="1108" t="s">
        <v>2446</v>
      </c>
      <c r="H384" s="1108" t="s">
        <v>1536</v>
      </c>
      <c r="I384" s="1109" t="s">
        <v>1606</v>
      </c>
      <c r="J384" s="1099">
        <v>9</v>
      </c>
      <c r="K384" s="1099">
        <v>12</v>
      </c>
      <c r="L384" s="1099">
        <v>15</v>
      </c>
      <c r="M384" s="1104">
        <v>17</v>
      </c>
      <c r="N384" s="1099">
        <v>250</v>
      </c>
      <c r="O384" s="1099">
        <v>360</v>
      </c>
      <c r="P384" s="1099">
        <v>500</v>
      </c>
      <c r="Q384" s="1104">
        <v>800</v>
      </c>
      <c r="R384" s="1099">
        <v>50</v>
      </c>
      <c r="S384" s="1099">
        <v>80</v>
      </c>
      <c r="T384" s="1099">
        <v>100</v>
      </c>
      <c r="U384" s="1104">
        <v>160</v>
      </c>
      <c r="V384" s="1101" t="s">
        <v>4996</v>
      </c>
      <c r="W384" s="1101" t="s">
        <v>5762</v>
      </c>
      <c r="X384" s="1101" t="s">
        <v>5763</v>
      </c>
      <c r="Y384" s="1101" t="s">
        <v>6094</v>
      </c>
      <c r="Z384" s="1102" t="s">
        <v>6095</v>
      </c>
    </row>
    <row r="385" spans="2:26" ht="12.75" customHeight="1" x14ac:dyDescent="0.2">
      <c r="B385" s="2090" t="str">
        <f t="shared" si="5"/>
        <v>Nigromancia72</v>
      </c>
      <c r="C385" s="1103"/>
      <c r="D385" s="521" t="s">
        <v>632</v>
      </c>
      <c r="E385" s="1099" t="s">
        <v>2033</v>
      </c>
      <c r="F385" s="1099">
        <v>72</v>
      </c>
      <c r="G385" s="1108" t="s">
        <v>1690</v>
      </c>
      <c r="H385" s="1108" t="s">
        <v>1535</v>
      </c>
      <c r="I385" s="1109" t="s">
        <v>1606</v>
      </c>
      <c r="J385" s="1099">
        <v>10</v>
      </c>
      <c r="K385" s="1099">
        <v>13</v>
      </c>
      <c r="L385" s="1099">
        <v>15</v>
      </c>
      <c r="M385" s="1104">
        <v>18</v>
      </c>
      <c r="N385" s="1099">
        <v>180</v>
      </c>
      <c r="O385" s="1099">
        <v>240</v>
      </c>
      <c r="P385" s="1099">
        <v>300</v>
      </c>
      <c r="Q385" s="1104">
        <v>360</v>
      </c>
      <c r="R385" s="1099"/>
      <c r="S385" s="1099"/>
      <c r="T385" s="1099"/>
      <c r="U385" s="1104"/>
      <c r="V385" s="1101" t="s">
        <v>6090</v>
      </c>
      <c r="W385" s="1101" t="s">
        <v>5181</v>
      </c>
      <c r="X385" s="1101" t="s">
        <v>5183</v>
      </c>
      <c r="Y385" s="1101" t="s">
        <v>6096</v>
      </c>
      <c r="Z385" s="1102" t="s">
        <v>6097</v>
      </c>
    </row>
    <row r="386" spans="2:26" ht="12.75" customHeight="1" x14ac:dyDescent="0.2">
      <c r="B386" s="2090" t="str">
        <f t="shared" si="5"/>
        <v>Nigromancia76</v>
      </c>
      <c r="C386" s="1103"/>
      <c r="D386" s="521" t="s">
        <v>633</v>
      </c>
      <c r="E386" s="1099" t="s">
        <v>2033</v>
      </c>
      <c r="F386" s="1099">
        <v>76</v>
      </c>
      <c r="G386" s="1108" t="s">
        <v>1690</v>
      </c>
      <c r="H386" s="1108" t="s">
        <v>1535</v>
      </c>
      <c r="I386" s="1109" t="s">
        <v>1606</v>
      </c>
      <c r="J386" s="1099">
        <v>10</v>
      </c>
      <c r="K386" s="1099">
        <v>13</v>
      </c>
      <c r="L386" s="1099">
        <v>15</v>
      </c>
      <c r="M386" s="1104">
        <v>18</v>
      </c>
      <c r="N386" s="1099">
        <v>250</v>
      </c>
      <c r="O386" s="1099">
        <v>360</v>
      </c>
      <c r="P386" s="1099">
        <v>450</v>
      </c>
      <c r="Q386" s="1104">
        <v>540</v>
      </c>
      <c r="R386" s="1099"/>
      <c r="S386" s="1099"/>
      <c r="T386" s="1099"/>
      <c r="U386" s="1104"/>
      <c r="V386" s="1101" t="s">
        <v>6090</v>
      </c>
      <c r="W386" s="1101" t="s">
        <v>5181</v>
      </c>
      <c r="X386" s="1101" t="s">
        <v>5183</v>
      </c>
      <c r="Y386" s="1101" t="s">
        <v>6096</v>
      </c>
      <c r="Z386" s="1102" t="s">
        <v>6098</v>
      </c>
    </row>
    <row r="387" spans="2:26" ht="12.75" customHeight="1" x14ac:dyDescent="0.2">
      <c r="B387" s="2090" t="str">
        <f t="shared" si="5"/>
        <v>Nigromancia78</v>
      </c>
      <c r="C387" s="1103"/>
      <c r="D387" s="521" t="s">
        <v>634</v>
      </c>
      <c r="E387" s="1099" t="s">
        <v>2033</v>
      </c>
      <c r="F387" s="1099">
        <v>78</v>
      </c>
      <c r="G387" s="1108" t="s">
        <v>1690</v>
      </c>
      <c r="H387" s="1108" t="s">
        <v>1535</v>
      </c>
      <c r="I387" s="1109" t="s">
        <v>1606</v>
      </c>
      <c r="J387" s="1099">
        <v>10</v>
      </c>
      <c r="K387" s="1099">
        <v>12</v>
      </c>
      <c r="L387" s="1099">
        <v>14</v>
      </c>
      <c r="M387" s="1104">
        <v>16</v>
      </c>
      <c r="N387" s="1099">
        <v>200</v>
      </c>
      <c r="O387" s="1099">
        <v>240</v>
      </c>
      <c r="P387" s="1099">
        <v>280</v>
      </c>
      <c r="Q387" s="1104">
        <v>320</v>
      </c>
      <c r="R387" s="1099"/>
      <c r="S387" s="1099"/>
      <c r="T387" s="1099"/>
      <c r="U387" s="1104"/>
      <c r="V387" s="1101" t="s">
        <v>4968</v>
      </c>
      <c r="W387" s="1101" t="s">
        <v>4969</v>
      </c>
      <c r="X387" s="1101" t="s">
        <v>4864</v>
      </c>
      <c r="Y387" s="1101" t="s">
        <v>4697</v>
      </c>
      <c r="Z387" s="1102" t="s">
        <v>6099</v>
      </c>
    </row>
    <row r="388" spans="2:26" ht="12.75" customHeight="1" x14ac:dyDescent="0.2">
      <c r="B388" s="2090" t="str">
        <f t="shared" si="5"/>
        <v>Nigromancia80</v>
      </c>
      <c r="C388" s="1103"/>
      <c r="D388" s="521" t="s">
        <v>635</v>
      </c>
      <c r="E388" s="1099" t="s">
        <v>2033</v>
      </c>
      <c r="F388" s="1099">
        <v>80</v>
      </c>
      <c r="G388" s="1108" t="s">
        <v>1690</v>
      </c>
      <c r="H388" s="1108" t="s">
        <v>1536</v>
      </c>
      <c r="I388" s="1109" t="s">
        <v>1606</v>
      </c>
      <c r="J388" s="1099">
        <v>10</v>
      </c>
      <c r="K388" s="1099">
        <v>13</v>
      </c>
      <c r="L388" s="1099">
        <v>15</v>
      </c>
      <c r="M388" s="1104">
        <v>17</v>
      </c>
      <c r="N388" s="1099">
        <v>250</v>
      </c>
      <c r="O388" s="1099">
        <v>500</v>
      </c>
      <c r="P388" s="1099">
        <v>1000</v>
      </c>
      <c r="Q388" s="1104">
        <v>2500</v>
      </c>
      <c r="R388" s="1099"/>
      <c r="S388" s="1099"/>
      <c r="T388" s="1099"/>
      <c r="U388" s="1104" t="s">
        <v>4961</v>
      </c>
      <c r="V388" s="1101" t="s">
        <v>6100</v>
      </c>
      <c r="W388" s="1101" t="s">
        <v>6101</v>
      </c>
      <c r="X388" s="1101" t="s">
        <v>6102</v>
      </c>
      <c r="Y388" s="1101" t="s">
        <v>6103</v>
      </c>
      <c r="Z388" s="1102" t="s">
        <v>6104</v>
      </c>
    </row>
    <row r="389" spans="2:26" ht="12.75" customHeight="1" x14ac:dyDescent="0.2">
      <c r="B389" s="2090" t="str">
        <f t="shared" si="5"/>
        <v>Nigromancia82</v>
      </c>
      <c r="C389" s="1103"/>
      <c r="D389" s="521" t="s">
        <v>636</v>
      </c>
      <c r="E389" s="1099" t="s">
        <v>2033</v>
      </c>
      <c r="F389" s="1099">
        <v>82</v>
      </c>
      <c r="G389" s="1108" t="s">
        <v>1690</v>
      </c>
      <c r="H389" s="1108" t="s">
        <v>1536</v>
      </c>
      <c r="I389" s="1109" t="s">
        <v>1606</v>
      </c>
      <c r="J389" s="1099">
        <v>9</v>
      </c>
      <c r="K389" s="1099">
        <v>12</v>
      </c>
      <c r="L389" s="1099">
        <v>14</v>
      </c>
      <c r="M389" s="1104">
        <v>16</v>
      </c>
      <c r="N389" s="1099">
        <v>350</v>
      </c>
      <c r="O389" s="1099">
        <v>500</v>
      </c>
      <c r="P389" s="1099">
        <v>800</v>
      </c>
      <c r="Q389" s="1104">
        <v>1200</v>
      </c>
      <c r="R389" s="1099"/>
      <c r="S389" s="1099"/>
      <c r="T389" s="1099"/>
      <c r="U389" s="1104"/>
      <c r="V389" s="1101" t="s">
        <v>6076</v>
      </c>
      <c r="W389" s="1101" t="s">
        <v>6077</v>
      </c>
      <c r="X389" s="1101" t="s">
        <v>6078</v>
      </c>
      <c r="Y389" s="1101" t="s">
        <v>6079</v>
      </c>
      <c r="Z389" s="1102" t="s">
        <v>6105</v>
      </c>
    </row>
    <row r="390" spans="2:26" ht="12.75" customHeight="1" x14ac:dyDescent="0.2">
      <c r="B390" s="2090" t="str">
        <f t="shared" si="5"/>
        <v>Nigromancia86</v>
      </c>
      <c r="C390" s="1103"/>
      <c r="D390" s="521" t="s">
        <v>637</v>
      </c>
      <c r="E390" s="1099" t="s">
        <v>2033</v>
      </c>
      <c r="F390" s="1099">
        <v>86</v>
      </c>
      <c r="G390" s="1108" t="s">
        <v>1690</v>
      </c>
      <c r="H390" s="1108" t="s">
        <v>1536</v>
      </c>
      <c r="I390" s="1109" t="s">
        <v>1606</v>
      </c>
      <c r="J390" s="1099">
        <v>9</v>
      </c>
      <c r="K390" s="1099">
        <v>12</v>
      </c>
      <c r="L390" s="1099">
        <v>14</v>
      </c>
      <c r="M390" s="1104">
        <v>16</v>
      </c>
      <c r="N390" s="1099">
        <v>300</v>
      </c>
      <c r="O390" s="1099">
        <v>400</v>
      </c>
      <c r="P390" s="1099">
        <v>500</v>
      </c>
      <c r="Q390" s="1104">
        <v>600</v>
      </c>
      <c r="R390" s="1099">
        <v>15</v>
      </c>
      <c r="S390" s="1099">
        <v>20</v>
      </c>
      <c r="T390" s="1099">
        <v>25</v>
      </c>
      <c r="U390" s="1104">
        <v>30</v>
      </c>
      <c r="V390" s="1101" t="s">
        <v>4884</v>
      </c>
      <c r="W390" s="1101" t="s">
        <v>4853</v>
      </c>
      <c r="X390" s="1101" t="s">
        <v>4772</v>
      </c>
      <c r="Y390" s="1101" t="s">
        <v>6106</v>
      </c>
      <c r="Z390" s="1102" t="s">
        <v>6107</v>
      </c>
    </row>
    <row r="391" spans="2:26" ht="12.75" customHeight="1" x14ac:dyDescent="0.2">
      <c r="B391" s="2090" t="str">
        <f t="shared" si="5"/>
        <v>Nigromancia88</v>
      </c>
      <c r="C391" s="1103"/>
      <c r="D391" s="521" t="s">
        <v>638</v>
      </c>
      <c r="E391" s="1099" t="s">
        <v>2033</v>
      </c>
      <c r="F391" s="1099">
        <v>88</v>
      </c>
      <c r="G391" s="1108" t="s">
        <v>2446</v>
      </c>
      <c r="H391" s="1108" t="s">
        <v>1536</v>
      </c>
      <c r="I391" s="1109" t="s">
        <v>1606</v>
      </c>
      <c r="J391" s="1099">
        <v>9</v>
      </c>
      <c r="K391" s="1099">
        <v>12</v>
      </c>
      <c r="L391" s="1099">
        <v>14</v>
      </c>
      <c r="M391" s="1104">
        <v>16</v>
      </c>
      <c r="N391" s="1099">
        <v>350</v>
      </c>
      <c r="O391" s="1099">
        <v>600</v>
      </c>
      <c r="P391" s="1099">
        <v>900</v>
      </c>
      <c r="Q391" s="1104">
        <v>1500</v>
      </c>
      <c r="R391" s="1099">
        <v>35</v>
      </c>
      <c r="S391" s="1099">
        <v>60</v>
      </c>
      <c r="T391" s="1099">
        <v>90</v>
      </c>
      <c r="U391" s="1104">
        <v>150</v>
      </c>
      <c r="V391" s="1101" t="s">
        <v>4885</v>
      </c>
      <c r="W391" s="1101" t="s">
        <v>5755</v>
      </c>
      <c r="X391" s="1101" t="s">
        <v>5775</v>
      </c>
      <c r="Y391" s="1101" t="s">
        <v>6108</v>
      </c>
      <c r="Z391" s="1102" t="s">
        <v>6109</v>
      </c>
    </row>
    <row r="392" spans="2:26" ht="12.75" customHeight="1" x14ac:dyDescent="0.2">
      <c r="B392" s="2090" t="str">
        <f t="shared" ref="B392:B455" si="6">E392&amp;F392</f>
        <v>Nigromancia90</v>
      </c>
      <c r="C392" s="1103"/>
      <c r="D392" s="521" t="s">
        <v>639</v>
      </c>
      <c r="E392" s="1099" t="s">
        <v>2033</v>
      </c>
      <c r="F392" s="1099">
        <v>90</v>
      </c>
      <c r="G392" s="1108" t="s">
        <v>1690</v>
      </c>
      <c r="H392" s="1108" t="s">
        <v>1536</v>
      </c>
      <c r="I392" s="1109" t="s">
        <v>1606</v>
      </c>
      <c r="J392" s="1099">
        <v>10</v>
      </c>
      <c r="K392" s="1099">
        <v>13</v>
      </c>
      <c r="L392" s="1099">
        <v>16</v>
      </c>
      <c r="M392" s="1104">
        <v>18</v>
      </c>
      <c r="N392" s="1099">
        <v>200</v>
      </c>
      <c r="O392" s="1099">
        <v>300</v>
      </c>
      <c r="P392" s="1099">
        <v>400</v>
      </c>
      <c r="Q392" s="1104">
        <v>500</v>
      </c>
      <c r="R392" s="1099"/>
      <c r="S392" s="1099"/>
      <c r="T392" s="1099"/>
      <c r="U392" s="1104"/>
      <c r="V392" s="1101" t="s">
        <v>6110</v>
      </c>
      <c r="W392" s="1101" t="s">
        <v>6111</v>
      </c>
      <c r="X392" s="1101" t="s">
        <v>6112</v>
      </c>
      <c r="Y392" s="1101" t="s">
        <v>6113</v>
      </c>
      <c r="Z392" s="1102" t="s">
        <v>6114</v>
      </c>
    </row>
    <row r="393" spans="2:26" ht="12.75" customHeight="1" x14ac:dyDescent="0.2">
      <c r="B393" s="2090" t="str">
        <f t="shared" si="6"/>
        <v>Nigromancia92</v>
      </c>
      <c r="C393" s="1103"/>
      <c r="D393" s="521" t="s">
        <v>640</v>
      </c>
      <c r="E393" s="1099" t="s">
        <v>2033</v>
      </c>
      <c r="F393" s="1099">
        <v>92</v>
      </c>
      <c r="G393" s="1108" t="s">
        <v>1690</v>
      </c>
      <c r="H393" s="1108" t="s">
        <v>1536</v>
      </c>
      <c r="I393" s="1109" t="s">
        <v>1606</v>
      </c>
      <c r="J393" s="1099">
        <v>12</v>
      </c>
      <c r="K393" s="1099">
        <v>14</v>
      </c>
      <c r="L393" s="1099">
        <v>16</v>
      </c>
      <c r="M393" s="1104">
        <v>18</v>
      </c>
      <c r="N393" s="1099">
        <v>350</v>
      </c>
      <c r="O393" s="1099">
        <v>500</v>
      </c>
      <c r="P393" s="1099">
        <v>900</v>
      </c>
      <c r="Q393" s="1104">
        <v>1500</v>
      </c>
      <c r="R393" s="1099"/>
      <c r="S393" s="1099"/>
      <c r="T393" s="1099"/>
      <c r="U393" s="1104"/>
      <c r="V393" s="1101" t="s">
        <v>6115</v>
      </c>
      <c r="W393" s="1101" t="s">
        <v>6116</v>
      </c>
      <c r="X393" s="1101" t="s">
        <v>6117</v>
      </c>
      <c r="Y393" s="1101" t="s">
        <v>6118</v>
      </c>
      <c r="Z393" s="1102" t="s">
        <v>6119</v>
      </c>
    </row>
    <row r="394" spans="2:26" ht="12.75" customHeight="1" x14ac:dyDescent="0.2">
      <c r="B394" s="2090" t="str">
        <f t="shared" si="6"/>
        <v>Nigromancia96</v>
      </c>
      <c r="C394" s="1103"/>
      <c r="D394" s="521" t="s">
        <v>641</v>
      </c>
      <c r="E394" s="1099" t="s">
        <v>2033</v>
      </c>
      <c r="F394" s="1099">
        <v>96</v>
      </c>
      <c r="G394" s="1108" t="s">
        <v>2446</v>
      </c>
      <c r="H394" s="1108" t="s">
        <v>4585</v>
      </c>
      <c r="I394" s="1109" t="s">
        <v>1606</v>
      </c>
      <c r="J394" s="1099">
        <v>12</v>
      </c>
      <c r="K394" s="1099">
        <v>14</v>
      </c>
      <c r="L394" s="1099">
        <v>16</v>
      </c>
      <c r="M394" s="1104">
        <v>18</v>
      </c>
      <c r="N394" s="1099">
        <v>300</v>
      </c>
      <c r="O394" s="1099">
        <v>600</v>
      </c>
      <c r="P394" s="1099">
        <v>1000</v>
      </c>
      <c r="Q394" s="1104">
        <v>2000</v>
      </c>
      <c r="R394" s="1099">
        <v>30</v>
      </c>
      <c r="S394" s="1099">
        <v>60</v>
      </c>
      <c r="T394" s="1099">
        <v>100</v>
      </c>
      <c r="U394" s="1104">
        <v>200</v>
      </c>
      <c r="V394" s="1101" t="s">
        <v>5780</v>
      </c>
      <c r="W394" s="1101" t="s">
        <v>6120</v>
      </c>
      <c r="X394" s="1101" t="s">
        <v>6121</v>
      </c>
      <c r="Y394" s="1101" t="s">
        <v>6122</v>
      </c>
      <c r="Z394" s="1102" t="s">
        <v>6123</v>
      </c>
    </row>
    <row r="395" spans="2:26" ht="12.75" customHeight="1" x14ac:dyDescent="0.2">
      <c r="B395" s="2090" t="str">
        <f t="shared" si="6"/>
        <v>Nigromancia98</v>
      </c>
      <c r="C395" s="1103"/>
      <c r="D395" s="521" t="s">
        <v>642</v>
      </c>
      <c r="E395" s="1099" t="s">
        <v>2033</v>
      </c>
      <c r="F395" s="1099">
        <v>98</v>
      </c>
      <c r="G395" s="1108" t="s">
        <v>1690</v>
      </c>
      <c r="H395" s="1108" t="s">
        <v>4585</v>
      </c>
      <c r="I395" s="1109" t="s">
        <v>1606</v>
      </c>
      <c r="J395" s="1099">
        <v>16</v>
      </c>
      <c r="K395" s="1099">
        <v>17</v>
      </c>
      <c r="L395" s="1099">
        <v>18</v>
      </c>
      <c r="M395" s="1104">
        <v>19</v>
      </c>
      <c r="N395" s="1099">
        <v>400</v>
      </c>
      <c r="O395" s="1099">
        <v>800</v>
      </c>
      <c r="P395" s="1099">
        <v>1600</v>
      </c>
      <c r="Q395" s="1104">
        <v>3200</v>
      </c>
      <c r="R395" s="1099"/>
      <c r="S395" s="1099"/>
      <c r="T395" s="1099"/>
      <c r="U395" s="1104" t="s">
        <v>4961</v>
      </c>
      <c r="V395" s="1101" t="s">
        <v>6124</v>
      </c>
      <c r="W395" s="1101" t="s">
        <v>6125</v>
      </c>
      <c r="X395" s="1101" t="s">
        <v>6126</v>
      </c>
      <c r="Y395" s="1101" t="s">
        <v>6127</v>
      </c>
      <c r="Z395" s="1102" t="s">
        <v>6128</v>
      </c>
    </row>
    <row r="396" spans="2:26" ht="12.75" customHeight="1" x14ac:dyDescent="0.2">
      <c r="B396" s="2090" t="str">
        <f t="shared" si="6"/>
        <v>Nigromancia100</v>
      </c>
      <c r="C396" s="1103"/>
      <c r="D396" s="521" t="s">
        <v>643</v>
      </c>
      <c r="E396" s="1099" t="s">
        <v>2033</v>
      </c>
      <c r="F396" s="1099">
        <v>100</v>
      </c>
      <c r="G396" s="1108" t="s">
        <v>1690</v>
      </c>
      <c r="H396" s="1108" t="s">
        <v>4585</v>
      </c>
      <c r="I396" s="1109" t="s">
        <v>1606</v>
      </c>
      <c r="J396" s="1099">
        <v>17</v>
      </c>
      <c r="K396" s="1099">
        <v>18</v>
      </c>
      <c r="L396" s="1099">
        <v>19</v>
      </c>
      <c r="M396" s="1104">
        <v>20</v>
      </c>
      <c r="N396" s="1099">
        <v>900</v>
      </c>
      <c r="O396" s="1099">
        <v>2000</v>
      </c>
      <c r="P396" s="1099">
        <v>3500</v>
      </c>
      <c r="Q396" s="1104">
        <v>5000</v>
      </c>
      <c r="R396" s="1099">
        <v>45</v>
      </c>
      <c r="S396" s="1099">
        <v>100</v>
      </c>
      <c r="T396" s="1099">
        <v>175</v>
      </c>
      <c r="U396" s="1104">
        <v>250</v>
      </c>
      <c r="V396" s="1101" t="s">
        <v>4997</v>
      </c>
      <c r="W396" s="1101" t="s">
        <v>4998</v>
      </c>
      <c r="X396" s="1101" t="s">
        <v>4999</v>
      </c>
      <c r="Y396" s="1101" t="s">
        <v>6129</v>
      </c>
      <c r="Z396" s="1102" t="s">
        <v>6130</v>
      </c>
    </row>
    <row r="397" spans="2:26" ht="12.75" customHeight="1" x14ac:dyDescent="0.2">
      <c r="B397" s="2090" t="str">
        <f t="shared" si="6"/>
        <v/>
      </c>
      <c r="C397" s="1103"/>
      <c r="D397" s="521" t="s">
        <v>644</v>
      </c>
      <c r="E397" s="1099"/>
      <c r="F397" s="1099"/>
      <c r="G397" s="1108"/>
      <c r="H397" s="1108"/>
      <c r="I397" s="1109"/>
      <c r="J397" s="1099"/>
      <c r="K397" s="1099"/>
      <c r="L397" s="1099"/>
      <c r="M397" s="1104"/>
      <c r="N397" s="1099"/>
      <c r="O397" s="1099"/>
      <c r="P397" s="1099"/>
      <c r="Q397" s="1104"/>
      <c r="R397" s="1099"/>
      <c r="S397" s="1099"/>
      <c r="T397" s="1099"/>
      <c r="U397" s="1104"/>
      <c r="V397" s="1101"/>
      <c r="W397" s="1101"/>
      <c r="X397" s="1101"/>
      <c r="Y397" s="1101"/>
      <c r="Z397" s="1102"/>
    </row>
    <row r="398" spans="2:26" ht="12.75" customHeight="1" x14ac:dyDescent="0.2">
      <c r="B398" s="2106" t="str">
        <f t="shared" si="6"/>
        <v>Libre acceso1</v>
      </c>
      <c r="C398" s="1103"/>
      <c r="D398" s="521" t="s">
        <v>645</v>
      </c>
      <c r="E398" s="1099" t="s">
        <v>646</v>
      </c>
      <c r="F398" s="1099">
        <v>1</v>
      </c>
      <c r="G398" s="1108" t="s">
        <v>1690</v>
      </c>
      <c r="H398" s="1108" t="s">
        <v>1536</v>
      </c>
      <c r="I398" s="1109" t="s">
        <v>1606</v>
      </c>
      <c r="J398" s="1099">
        <v>5</v>
      </c>
      <c r="K398" s="1099">
        <v>8</v>
      </c>
      <c r="L398" s="1099">
        <v>10</v>
      </c>
      <c r="M398" s="1104">
        <v>12</v>
      </c>
      <c r="N398" s="1099">
        <v>30</v>
      </c>
      <c r="O398" s="1099">
        <v>70</v>
      </c>
      <c r="P398" s="1099">
        <v>100</v>
      </c>
      <c r="Q398" s="1104">
        <v>140</v>
      </c>
      <c r="R398" s="1099"/>
      <c r="S398" s="1099"/>
      <c r="T398" s="1099"/>
      <c r="U398" s="1104"/>
      <c r="V398" s="1101" t="s">
        <v>6131</v>
      </c>
      <c r="W398" s="1101" t="s">
        <v>6132</v>
      </c>
      <c r="X398" s="1101" t="s">
        <v>6133</v>
      </c>
      <c r="Y398" s="1101" t="s">
        <v>6134</v>
      </c>
      <c r="Z398" s="1102" t="s">
        <v>6135</v>
      </c>
    </row>
    <row r="399" spans="2:26" ht="12.75" customHeight="1" x14ac:dyDescent="0.2">
      <c r="B399" s="2090" t="str">
        <f t="shared" si="6"/>
        <v>Libre acceso1</v>
      </c>
      <c r="C399" s="1103"/>
      <c r="D399" s="521" t="s">
        <v>647</v>
      </c>
      <c r="E399" s="1099" t="s">
        <v>646</v>
      </c>
      <c r="F399" s="1099">
        <v>1</v>
      </c>
      <c r="G399" s="1108" t="s">
        <v>1690</v>
      </c>
      <c r="H399" s="1108" t="s">
        <v>1536</v>
      </c>
      <c r="I399" s="1109" t="s">
        <v>1606</v>
      </c>
      <c r="J399" s="1099">
        <v>5</v>
      </c>
      <c r="K399" s="1099">
        <v>8</v>
      </c>
      <c r="L399" s="1099">
        <v>10</v>
      </c>
      <c r="M399" s="1104">
        <v>12</v>
      </c>
      <c r="N399" s="1099">
        <v>30</v>
      </c>
      <c r="O399" s="1099">
        <v>70</v>
      </c>
      <c r="P399" s="1099">
        <v>90</v>
      </c>
      <c r="Q399" s="1104">
        <v>120</v>
      </c>
      <c r="R399" s="1099">
        <v>5</v>
      </c>
      <c r="S399" s="1099">
        <v>10</v>
      </c>
      <c r="T399" s="1099">
        <v>10</v>
      </c>
      <c r="U399" s="1104">
        <v>15</v>
      </c>
      <c r="V399" s="1101" t="s">
        <v>6136</v>
      </c>
      <c r="W399" s="1101" t="s">
        <v>6137</v>
      </c>
      <c r="X399" s="1101" t="s">
        <v>6138</v>
      </c>
      <c r="Y399" s="1101" t="s">
        <v>6139</v>
      </c>
      <c r="Z399" s="1102" t="s">
        <v>6140</v>
      </c>
    </row>
    <row r="400" spans="2:26" ht="12.75" customHeight="1" x14ac:dyDescent="0.2">
      <c r="B400" s="2090" t="str">
        <f t="shared" si="6"/>
        <v>Libre acceso1</v>
      </c>
      <c r="C400" s="1103"/>
      <c r="D400" s="521" t="s">
        <v>648</v>
      </c>
      <c r="E400" s="1099" t="s">
        <v>646</v>
      </c>
      <c r="F400" s="1099">
        <v>1</v>
      </c>
      <c r="G400" s="1108" t="s">
        <v>1690</v>
      </c>
      <c r="H400" s="1108" t="s">
        <v>1536</v>
      </c>
      <c r="I400" s="1109" t="s">
        <v>1606</v>
      </c>
      <c r="J400" s="1099">
        <v>5</v>
      </c>
      <c r="K400" s="1099">
        <v>8</v>
      </c>
      <c r="L400" s="1099">
        <v>10</v>
      </c>
      <c r="M400" s="1104">
        <v>12</v>
      </c>
      <c r="N400" s="1099">
        <v>30</v>
      </c>
      <c r="O400" s="1099">
        <v>60</v>
      </c>
      <c r="P400" s="1099">
        <v>100</v>
      </c>
      <c r="Q400" s="1104">
        <v>140</v>
      </c>
      <c r="R400" s="1099"/>
      <c r="S400" s="1099"/>
      <c r="T400" s="1099"/>
      <c r="U400" s="1104"/>
      <c r="V400" s="1101" t="s">
        <v>4920</v>
      </c>
      <c r="W400" s="1101" t="s">
        <v>4779</v>
      </c>
      <c r="X400" s="1101" t="s">
        <v>4953</v>
      </c>
      <c r="Y400" s="1101" t="s">
        <v>5700</v>
      </c>
      <c r="Z400" s="1102" t="s">
        <v>6141</v>
      </c>
    </row>
    <row r="401" spans="2:26" ht="12.75" customHeight="1" x14ac:dyDescent="0.2">
      <c r="B401" s="2090" t="str">
        <f t="shared" si="6"/>
        <v>Libre acceso1</v>
      </c>
      <c r="C401" s="1103"/>
      <c r="D401" s="521" t="s">
        <v>649</v>
      </c>
      <c r="E401" s="1099" t="s">
        <v>646</v>
      </c>
      <c r="F401" s="1099">
        <v>1</v>
      </c>
      <c r="G401" s="1108" t="s">
        <v>1690</v>
      </c>
      <c r="H401" s="1108" t="s">
        <v>1536</v>
      </c>
      <c r="I401" s="1109" t="s">
        <v>1606</v>
      </c>
      <c r="J401" s="1099">
        <v>5</v>
      </c>
      <c r="K401" s="1099">
        <v>8</v>
      </c>
      <c r="L401" s="1099">
        <v>10</v>
      </c>
      <c r="M401" s="1104">
        <v>12</v>
      </c>
      <c r="N401" s="1099">
        <v>50</v>
      </c>
      <c r="O401" s="1099">
        <v>80</v>
      </c>
      <c r="P401" s="1099">
        <v>100</v>
      </c>
      <c r="Q401" s="1104">
        <v>140</v>
      </c>
      <c r="R401" s="1099">
        <v>5</v>
      </c>
      <c r="S401" s="1099">
        <v>10</v>
      </c>
      <c r="T401" s="1099">
        <v>10</v>
      </c>
      <c r="U401" s="1104">
        <v>15</v>
      </c>
      <c r="V401" s="1101" t="s">
        <v>6142</v>
      </c>
      <c r="W401" s="1101" t="s">
        <v>6143</v>
      </c>
      <c r="X401" s="1101" t="s">
        <v>6144</v>
      </c>
      <c r="Y401" s="1101" t="s">
        <v>6145</v>
      </c>
      <c r="Z401" s="1102" t="s">
        <v>6146</v>
      </c>
    </row>
    <row r="402" spans="2:26" ht="12.75" customHeight="1" x14ac:dyDescent="0.2">
      <c r="B402" s="2090" t="str">
        <f t="shared" si="6"/>
        <v>Libre acceso1</v>
      </c>
      <c r="C402" s="1103"/>
      <c r="D402" s="521" t="s">
        <v>650</v>
      </c>
      <c r="E402" s="1099" t="s">
        <v>646</v>
      </c>
      <c r="F402" s="1099">
        <v>1</v>
      </c>
      <c r="G402" s="1108" t="s">
        <v>1690</v>
      </c>
      <c r="H402" s="1108" t="s">
        <v>1536</v>
      </c>
      <c r="I402" s="1109" t="s">
        <v>1606</v>
      </c>
      <c r="J402" s="1099">
        <v>5</v>
      </c>
      <c r="K402" s="1099">
        <v>8</v>
      </c>
      <c r="L402" s="1099">
        <v>10</v>
      </c>
      <c r="M402" s="1104">
        <v>12</v>
      </c>
      <c r="N402" s="1099">
        <v>50</v>
      </c>
      <c r="O402" s="1099">
        <v>80</v>
      </c>
      <c r="P402" s="1099">
        <v>100</v>
      </c>
      <c r="Q402" s="1104">
        <v>120</v>
      </c>
      <c r="R402" s="1099">
        <v>5</v>
      </c>
      <c r="S402" s="1099">
        <v>5</v>
      </c>
      <c r="T402" s="1099">
        <v>5</v>
      </c>
      <c r="U402" s="1104">
        <v>10</v>
      </c>
      <c r="V402" s="1101" t="s">
        <v>6147</v>
      </c>
      <c r="W402" s="1101" t="s">
        <v>6148</v>
      </c>
      <c r="X402" s="1101" t="s">
        <v>6149</v>
      </c>
      <c r="Y402" s="1101" t="s">
        <v>6150</v>
      </c>
      <c r="Z402" s="1102" t="s">
        <v>6151</v>
      </c>
    </row>
    <row r="403" spans="2:26" ht="12.75" customHeight="1" x14ac:dyDescent="0.2">
      <c r="B403" s="2090" t="str">
        <f t="shared" si="6"/>
        <v>Libre acceso1</v>
      </c>
      <c r="C403" s="1103"/>
      <c r="D403" s="521" t="s">
        <v>651</v>
      </c>
      <c r="E403" s="1099" t="s">
        <v>646</v>
      </c>
      <c r="F403" s="1099">
        <v>1</v>
      </c>
      <c r="G403" s="1108" t="s">
        <v>1690</v>
      </c>
      <c r="H403" s="1108" t="s">
        <v>1536</v>
      </c>
      <c r="I403" s="1109" t="s">
        <v>1606</v>
      </c>
      <c r="J403" s="1099">
        <v>5</v>
      </c>
      <c r="K403" s="1099">
        <v>8</v>
      </c>
      <c r="L403" s="1099">
        <v>10</v>
      </c>
      <c r="M403" s="1104">
        <v>12</v>
      </c>
      <c r="N403" s="1099">
        <v>40</v>
      </c>
      <c r="O403" s="1099">
        <v>80</v>
      </c>
      <c r="P403" s="1099">
        <v>120</v>
      </c>
      <c r="Q403" s="1104">
        <v>160</v>
      </c>
      <c r="R403" s="1099"/>
      <c r="S403" s="1099"/>
      <c r="T403" s="1099"/>
      <c r="U403" s="1104"/>
      <c r="V403" s="1101" t="s">
        <v>6152</v>
      </c>
      <c r="W403" s="1101" t="s">
        <v>6153</v>
      </c>
      <c r="X403" s="1101" t="s">
        <v>6154</v>
      </c>
      <c r="Y403" s="1101" t="s">
        <v>6155</v>
      </c>
      <c r="Z403" s="1102" t="s">
        <v>6156</v>
      </c>
    </row>
    <row r="404" spans="2:26" ht="12.75" customHeight="1" x14ac:dyDescent="0.2">
      <c r="B404" s="2090" t="str">
        <f t="shared" si="6"/>
        <v>Libre acceso1</v>
      </c>
      <c r="C404" s="1103"/>
      <c r="D404" s="521" t="s">
        <v>152</v>
      </c>
      <c r="E404" s="1099" t="s">
        <v>646</v>
      </c>
      <c r="F404" s="1099">
        <v>1</v>
      </c>
      <c r="G404" s="1108" t="s">
        <v>1690</v>
      </c>
      <c r="H404" s="1108" t="s">
        <v>1536</v>
      </c>
      <c r="I404" s="1109" t="s">
        <v>1606</v>
      </c>
      <c r="J404" s="1099">
        <v>5</v>
      </c>
      <c r="K404" s="1099">
        <v>8</v>
      </c>
      <c r="L404" s="1099">
        <v>10</v>
      </c>
      <c r="M404" s="1104">
        <v>12</v>
      </c>
      <c r="N404" s="1099">
        <v>40</v>
      </c>
      <c r="O404" s="1099">
        <v>80</v>
      </c>
      <c r="P404" s="1099">
        <v>110</v>
      </c>
      <c r="Q404" s="1104">
        <v>130</v>
      </c>
      <c r="R404" s="1099">
        <v>5</v>
      </c>
      <c r="S404" s="1099">
        <v>10</v>
      </c>
      <c r="T404" s="1099">
        <v>10</v>
      </c>
      <c r="U404" s="1104">
        <v>15</v>
      </c>
      <c r="V404" s="1101" t="s">
        <v>4908</v>
      </c>
      <c r="W404" s="1101" t="s">
        <v>6157</v>
      </c>
      <c r="X404" s="1101" t="s">
        <v>6158</v>
      </c>
      <c r="Y404" s="1101" t="s">
        <v>6159</v>
      </c>
      <c r="Z404" s="1102" t="s">
        <v>6160</v>
      </c>
    </row>
    <row r="405" spans="2:26" ht="12.75" customHeight="1" x14ac:dyDescent="0.2">
      <c r="B405" s="2090" t="str">
        <f t="shared" si="6"/>
        <v>Libre acceso1</v>
      </c>
      <c r="C405" s="1103"/>
      <c r="D405" s="521" t="s">
        <v>652</v>
      </c>
      <c r="E405" s="1099" t="s">
        <v>646</v>
      </c>
      <c r="F405" s="1099">
        <v>1</v>
      </c>
      <c r="G405" s="1108" t="s">
        <v>1690</v>
      </c>
      <c r="H405" s="1108" t="s">
        <v>1536</v>
      </c>
      <c r="I405" s="1109" t="s">
        <v>1606</v>
      </c>
      <c r="J405" s="1099">
        <v>5</v>
      </c>
      <c r="K405" s="1099">
        <v>8</v>
      </c>
      <c r="L405" s="1099">
        <v>10</v>
      </c>
      <c r="M405" s="1104">
        <v>12</v>
      </c>
      <c r="N405" s="1099">
        <v>40</v>
      </c>
      <c r="O405" s="1099">
        <v>80</v>
      </c>
      <c r="P405" s="1099">
        <v>120</v>
      </c>
      <c r="Q405" s="1104">
        <v>160</v>
      </c>
      <c r="R405" s="1099"/>
      <c r="S405" s="1099"/>
      <c r="T405" s="1099"/>
      <c r="U405" s="1104" t="s">
        <v>4961</v>
      </c>
      <c r="V405" s="1101" t="s">
        <v>6161</v>
      </c>
      <c r="W405" s="1101" t="s">
        <v>6162</v>
      </c>
      <c r="X405" s="1101" t="s">
        <v>6163</v>
      </c>
      <c r="Y405" s="1101" t="s">
        <v>6164</v>
      </c>
      <c r="Z405" s="1102" t="s">
        <v>6165</v>
      </c>
    </row>
    <row r="406" spans="2:26" ht="12.75" customHeight="1" x14ac:dyDescent="0.2">
      <c r="B406" s="2090" t="str">
        <f t="shared" si="6"/>
        <v>Libre acceso1</v>
      </c>
      <c r="C406" s="1103"/>
      <c r="D406" s="521" t="s">
        <v>653</v>
      </c>
      <c r="E406" s="1099" t="s">
        <v>646</v>
      </c>
      <c r="F406" s="1099">
        <v>1</v>
      </c>
      <c r="G406" s="1108" t="s">
        <v>1690</v>
      </c>
      <c r="H406" s="1108" t="s">
        <v>1536</v>
      </c>
      <c r="I406" s="1109" t="s">
        <v>1607</v>
      </c>
      <c r="J406" s="1099">
        <v>5</v>
      </c>
      <c r="K406" s="1099">
        <v>8</v>
      </c>
      <c r="L406" s="1099">
        <v>10</v>
      </c>
      <c r="M406" s="1104">
        <v>12</v>
      </c>
      <c r="N406" s="1099">
        <v>40</v>
      </c>
      <c r="O406" s="1099">
        <v>80</v>
      </c>
      <c r="P406" s="1099">
        <v>160</v>
      </c>
      <c r="Q406" s="1104">
        <v>240</v>
      </c>
      <c r="R406" s="1099">
        <v>5</v>
      </c>
      <c r="S406" s="1099">
        <v>15</v>
      </c>
      <c r="T406" s="1099">
        <v>20</v>
      </c>
      <c r="U406" s="1104">
        <v>25</v>
      </c>
      <c r="V406" s="1101" t="s">
        <v>6166</v>
      </c>
      <c r="W406" s="1101" t="s">
        <v>6166</v>
      </c>
      <c r="X406" s="1101" t="s">
        <v>6166</v>
      </c>
      <c r="Y406" s="1101" t="s">
        <v>6166</v>
      </c>
      <c r="Z406" s="1102" t="s">
        <v>6167</v>
      </c>
    </row>
    <row r="407" spans="2:26" ht="12.75" customHeight="1" x14ac:dyDescent="0.2">
      <c r="B407" s="2090" t="str">
        <f t="shared" si="6"/>
        <v>Libre acceso1</v>
      </c>
      <c r="C407" s="1103"/>
      <c r="D407" s="521" t="s">
        <v>654</v>
      </c>
      <c r="E407" s="1099" t="s">
        <v>646</v>
      </c>
      <c r="F407" s="1099">
        <v>1</v>
      </c>
      <c r="G407" s="1108" t="s">
        <v>2446</v>
      </c>
      <c r="H407" s="1108" t="s">
        <v>1536</v>
      </c>
      <c r="I407" s="1109" t="s">
        <v>1606</v>
      </c>
      <c r="J407" s="1099">
        <v>5</v>
      </c>
      <c r="K407" s="1099">
        <v>8</v>
      </c>
      <c r="L407" s="1099">
        <v>10</v>
      </c>
      <c r="M407" s="1104">
        <v>12</v>
      </c>
      <c r="N407" s="1099">
        <v>30</v>
      </c>
      <c r="O407" s="1099">
        <v>70</v>
      </c>
      <c r="P407" s="1099">
        <v>120</v>
      </c>
      <c r="Q407" s="1104">
        <v>180</v>
      </c>
      <c r="R407" s="1099">
        <v>5</v>
      </c>
      <c r="S407" s="1099">
        <v>10</v>
      </c>
      <c r="T407" s="1099">
        <v>15</v>
      </c>
      <c r="U407" s="1104">
        <v>20</v>
      </c>
      <c r="V407" s="1101" t="s">
        <v>6168</v>
      </c>
      <c r="W407" s="1101" t="s">
        <v>6169</v>
      </c>
      <c r="X407" s="1101" t="s">
        <v>6170</v>
      </c>
      <c r="Y407" s="1101" t="s">
        <v>6171</v>
      </c>
      <c r="Z407" s="1102" t="s">
        <v>6172</v>
      </c>
    </row>
    <row r="408" spans="2:26" ht="12.75" customHeight="1" x14ac:dyDescent="0.2">
      <c r="B408" s="2090" t="str">
        <f t="shared" si="6"/>
        <v>Libre acceso1</v>
      </c>
      <c r="C408" s="1103"/>
      <c r="D408" s="521" t="s">
        <v>1729</v>
      </c>
      <c r="E408" s="1099" t="s">
        <v>646</v>
      </c>
      <c r="F408" s="1099">
        <v>1</v>
      </c>
      <c r="G408" s="1108" t="s">
        <v>1690</v>
      </c>
      <c r="H408" s="1108" t="s">
        <v>1536</v>
      </c>
      <c r="I408" s="1109" t="s">
        <v>1606</v>
      </c>
      <c r="J408" s="1099">
        <v>5</v>
      </c>
      <c r="K408" s="1099">
        <v>8</v>
      </c>
      <c r="L408" s="1099">
        <v>10</v>
      </c>
      <c r="M408" s="1104">
        <v>12</v>
      </c>
      <c r="N408" s="1099">
        <v>40</v>
      </c>
      <c r="O408" s="1099">
        <v>80</v>
      </c>
      <c r="P408" s="1099">
        <v>120</v>
      </c>
      <c r="Q408" s="1104">
        <v>150</v>
      </c>
      <c r="R408" s="1099">
        <v>5</v>
      </c>
      <c r="S408" s="1099">
        <v>5</v>
      </c>
      <c r="T408" s="1099">
        <v>10</v>
      </c>
      <c r="U408" s="1104">
        <v>10</v>
      </c>
      <c r="V408" s="1101" t="s">
        <v>6173</v>
      </c>
      <c r="W408" s="1101" t="s">
        <v>6174</v>
      </c>
      <c r="X408" s="1101" t="s">
        <v>6175</v>
      </c>
      <c r="Y408" s="1101" t="s">
        <v>6176</v>
      </c>
      <c r="Z408" s="1102" t="s">
        <v>6177</v>
      </c>
    </row>
    <row r="409" spans="2:26" ht="12.75" customHeight="1" x14ac:dyDescent="0.2">
      <c r="B409" s="2090" t="str">
        <f t="shared" si="6"/>
        <v>Libre acceso1</v>
      </c>
      <c r="C409" s="1103"/>
      <c r="D409" s="521" t="s">
        <v>655</v>
      </c>
      <c r="E409" s="1099" t="s">
        <v>646</v>
      </c>
      <c r="F409" s="1099">
        <v>1</v>
      </c>
      <c r="G409" s="1108" t="s">
        <v>2446</v>
      </c>
      <c r="H409" s="1108" t="s">
        <v>1535</v>
      </c>
      <c r="I409" s="1109" t="s">
        <v>1606</v>
      </c>
      <c r="J409" s="1099">
        <v>5</v>
      </c>
      <c r="K409" s="1099">
        <v>8</v>
      </c>
      <c r="L409" s="1099">
        <v>10</v>
      </c>
      <c r="M409" s="1104">
        <v>12</v>
      </c>
      <c r="N409" s="1099">
        <v>30</v>
      </c>
      <c r="O409" s="1099">
        <v>80</v>
      </c>
      <c r="P409" s="1099">
        <v>100</v>
      </c>
      <c r="Q409" s="1104">
        <v>120</v>
      </c>
      <c r="R409" s="1099">
        <v>5</v>
      </c>
      <c r="S409" s="1099">
        <v>5</v>
      </c>
      <c r="T409" s="1099">
        <v>5</v>
      </c>
      <c r="U409" s="1104">
        <v>10</v>
      </c>
      <c r="V409" s="1101" t="s">
        <v>6178</v>
      </c>
      <c r="W409" s="1101" t="s">
        <v>5662</v>
      </c>
      <c r="X409" s="1101" t="s">
        <v>6179</v>
      </c>
      <c r="Y409" s="1101" t="s">
        <v>6180</v>
      </c>
      <c r="Z409" s="1102" t="s">
        <v>6181</v>
      </c>
    </row>
    <row r="410" spans="2:26" ht="12.75" customHeight="1" x14ac:dyDescent="0.2">
      <c r="B410" s="2090" t="str">
        <f t="shared" si="6"/>
        <v>Libre acceso</v>
      </c>
      <c r="C410" s="1103"/>
      <c r="D410" s="521" t="s">
        <v>656</v>
      </c>
      <c r="E410" s="1099" t="s">
        <v>646</v>
      </c>
      <c r="F410" s="1099"/>
      <c r="G410" s="1108"/>
      <c r="H410" s="1108" t="s">
        <v>1536</v>
      </c>
      <c r="I410" s="1109"/>
      <c r="J410" s="1099"/>
      <c r="K410" s="1099"/>
      <c r="L410" s="1099"/>
      <c r="M410" s="1104"/>
      <c r="N410" s="1099"/>
      <c r="O410" s="1099"/>
      <c r="P410" s="1099"/>
      <c r="Q410" s="1104"/>
      <c r="R410" s="1099"/>
      <c r="S410" s="1099"/>
      <c r="T410" s="1099"/>
      <c r="U410" s="1104"/>
      <c r="V410" s="1101"/>
      <c r="W410" s="1101"/>
      <c r="X410" s="1101"/>
      <c r="Y410" s="1101"/>
      <c r="Z410" s="1102"/>
    </row>
    <row r="411" spans="2:26" ht="12.75" customHeight="1" x14ac:dyDescent="0.2">
      <c r="B411" s="2090" t="str">
        <f t="shared" si="6"/>
        <v>Libre acceso11</v>
      </c>
      <c r="C411" s="1103"/>
      <c r="D411" s="521" t="s">
        <v>657</v>
      </c>
      <c r="E411" s="1099" t="s">
        <v>646</v>
      </c>
      <c r="F411" s="1099">
        <f>F398+10</f>
        <v>11</v>
      </c>
      <c r="G411" s="1110" t="s">
        <v>1690</v>
      </c>
      <c r="H411" s="1108" t="s">
        <v>1536</v>
      </c>
      <c r="I411" s="1109" t="s">
        <v>1606</v>
      </c>
      <c r="J411" s="1099">
        <v>6</v>
      </c>
      <c r="K411" s="1099">
        <v>9</v>
      </c>
      <c r="L411" s="1099">
        <v>11</v>
      </c>
      <c r="M411" s="1104">
        <v>13</v>
      </c>
      <c r="N411" s="1099">
        <v>40</v>
      </c>
      <c r="O411" s="1099">
        <v>80</v>
      </c>
      <c r="P411" s="1099">
        <v>120</v>
      </c>
      <c r="Q411" s="1104">
        <v>160</v>
      </c>
      <c r="R411" s="1099">
        <v>5</v>
      </c>
      <c r="S411" s="1099">
        <v>10</v>
      </c>
      <c r="T411" s="1099">
        <v>15</v>
      </c>
      <c r="U411" s="1104">
        <v>20</v>
      </c>
      <c r="V411" s="1101" t="s">
        <v>6182</v>
      </c>
      <c r="W411" s="1101" t="s">
        <v>6183</v>
      </c>
      <c r="X411" s="1101" t="s">
        <v>6184</v>
      </c>
      <c r="Y411" s="1101" t="s">
        <v>6185</v>
      </c>
      <c r="Z411" s="1102" t="s">
        <v>6186</v>
      </c>
    </row>
    <row r="412" spans="2:26" ht="12.75" customHeight="1" x14ac:dyDescent="0.2">
      <c r="B412" s="2090" t="str">
        <f t="shared" si="6"/>
        <v>Libre acceso11</v>
      </c>
      <c r="C412" s="1103"/>
      <c r="D412" s="521" t="s">
        <v>658</v>
      </c>
      <c r="E412" s="1099" t="s">
        <v>646</v>
      </c>
      <c r="F412" s="1099">
        <f t="shared" ref="F412:F422" si="7">F399+10</f>
        <v>11</v>
      </c>
      <c r="G412" s="1110" t="s">
        <v>1690</v>
      </c>
      <c r="H412" s="1108" t="s">
        <v>1536</v>
      </c>
      <c r="I412" s="1109" t="s">
        <v>1606</v>
      </c>
      <c r="J412" s="1099">
        <v>6</v>
      </c>
      <c r="K412" s="1099">
        <v>9</v>
      </c>
      <c r="L412" s="1099">
        <v>11</v>
      </c>
      <c r="M412" s="1104">
        <v>13</v>
      </c>
      <c r="N412" s="1099">
        <v>40</v>
      </c>
      <c r="O412" s="1099">
        <v>70</v>
      </c>
      <c r="P412" s="1099">
        <v>100</v>
      </c>
      <c r="Q412" s="1104">
        <v>130</v>
      </c>
      <c r="R412" s="1099">
        <v>5</v>
      </c>
      <c r="S412" s="1099">
        <v>10</v>
      </c>
      <c r="T412" s="1099">
        <v>10</v>
      </c>
      <c r="U412" s="1104">
        <v>15</v>
      </c>
      <c r="V412" s="1101" t="s">
        <v>6187</v>
      </c>
      <c r="W412" s="1101" t="s">
        <v>6188</v>
      </c>
      <c r="X412" s="1101" t="s">
        <v>6189</v>
      </c>
      <c r="Y412" s="1101" t="s">
        <v>6190</v>
      </c>
      <c r="Z412" s="1102" t="s">
        <v>6191</v>
      </c>
    </row>
    <row r="413" spans="2:26" ht="12.75" customHeight="1" x14ac:dyDescent="0.2">
      <c r="B413" s="2090" t="str">
        <f t="shared" si="6"/>
        <v>Libre acceso11</v>
      </c>
      <c r="C413" s="1103"/>
      <c r="D413" s="521" t="s">
        <v>659</v>
      </c>
      <c r="E413" s="1099" t="s">
        <v>646</v>
      </c>
      <c r="F413" s="1099">
        <f t="shared" si="7"/>
        <v>11</v>
      </c>
      <c r="G413" s="1108" t="s">
        <v>2446</v>
      </c>
      <c r="H413" s="1108" t="s">
        <v>1536</v>
      </c>
      <c r="I413" s="1109" t="s">
        <v>1606</v>
      </c>
      <c r="J413" s="1099">
        <v>6</v>
      </c>
      <c r="K413" s="1099">
        <v>9</v>
      </c>
      <c r="L413" s="1099">
        <v>11</v>
      </c>
      <c r="M413" s="1104">
        <v>13</v>
      </c>
      <c r="N413" s="1099">
        <v>50</v>
      </c>
      <c r="O413" s="1099">
        <v>80</v>
      </c>
      <c r="P413" s="1099">
        <v>110</v>
      </c>
      <c r="Q413" s="1104">
        <v>130</v>
      </c>
      <c r="R413" s="1099">
        <v>5</v>
      </c>
      <c r="S413" s="1099">
        <v>5</v>
      </c>
      <c r="T413" s="1099">
        <v>10</v>
      </c>
      <c r="U413" s="1104">
        <v>10</v>
      </c>
      <c r="V413" s="1101" t="s">
        <v>4920</v>
      </c>
      <c r="W413" s="1101" t="s">
        <v>5031</v>
      </c>
      <c r="X413" s="1101" t="s">
        <v>6192</v>
      </c>
      <c r="Y413" s="1101" t="s">
        <v>4953</v>
      </c>
      <c r="Z413" s="1102" t="s">
        <v>6193</v>
      </c>
    </row>
    <row r="414" spans="2:26" ht="12.75" customHeight="1" x14ac:dyDescent="0.2">
      <c r="B414" s="2090" t="str">
        <f t="shared" si="6"/>
        <v>Libre acceso11</v>
      </c>
      <c r="C414" s="1103"/>
      <c r="D414" s="521" t="s">
        <v>660</v>
      </c>
      <c r="E414" s="1099" t="s">
        <v>646</v>
      </c>
      <c r="F414" s="1099">
        <f t="shared" si="7"/>
        <v>11</v>
      </c>
      <c r="G414" s="1110" t="s">
        <v>1690</v>
      </c>
      <c r="H414" s="1108" t="s">
        <v>1536</v>
      </c>
      <c r="I414" s="1109" t="s">
        <v>1606</v>
      </c>
      <c r="J414" s="1099">
        <v>6</v>
      </c>
      <c r="K414" s="1099">
        <v>9</v>
      </c>
      <c r="L414" s="1099">
        <v>11</v>
      </c>
      <c r="M414" s="1104">
        <v>13</v>
      </c>
      <c r="N414" s="1099">
        <v>50</v>
      </c>
      <c r="O414" s="1099">
        <v>100</v>
      </c>
      <c r="P414" s="1099">
        <v>160</v>
      </c>
      <c r="Q414" s="1104">
        <v>240</v>
      </c>
      <c r="R414" s="1099">
        <v>5</v>
      </c>
      <c r="S414" s="1099">
        <v>10</v>
      </c>
      <c r="T414" s="1099">
        <v>10</v>
      </c>
      <c r="U414" s="1104">
        <v>15</v>
      </c>
      <c r="V414" s="1101" t="s">
        <v>4769</v>
      </c>
      <c r="W414" s="1101" t="s">
        <v>4770</v>
      </c>
      <c r="X414" s="1101" t="s">
        <v>4884</v>
      </c>
      <c r="Y414" s="1101" t="s">
        <v>6194</v>
      </c>
      <c r="Z414" s="1102" t="s">
        <v>6195</v>
      </c>
    </row>
    <row r="415" spans="2:26" ht="12.75" customHeight="1" x14ac:dyDescent="0.2">
      <c r="B415" s="2090" t="str">
        <f t="shared" si="6"/>
        <v>Libre acceso11</v>
      </c>
      <c r="C415" s="1103"/>
      <c r="D415" s="521" t="s">
        <v>661</v>
      </c>
      <c r="E415" s="1099" t="s">
        <v>646</v>
      </c>
      <c r="F415" s="1099">
        <f t="shared" si="7"/>
        <v>11</v>
      </c>
      <c r="G415" s="1110" t="s">
        <v>1690</v>
      </c>
      <c r="H415" s="1108" t="s">
        <v>1536</v>
      </c>
      <c r="I415" s="1109" t="s">
        <v>1606</v>
      </c>
      <c r="J415" s="1099">
        <v>6</v>
      </c>
      <c r="K415" s="1099">
        <v>9</v>
      </c>
      <c r="L415" s="1099">
        <v>11</v>
      </c>
      <c r="M415" s="1104">
        <v>13</v>
      </c>
      <c r="N415" s="1099">
        <v>60</v>
      </c>
      <c r="O415" s="1099">
        <v>90</v>
      </c>
      <c r="P415" s="1099">
        <v>120</v>
      </c>
      <c r="Q415" s="1104">
        <v>150</v>
      </c>
      <c r="R415" s="1099"/>
      <c r="S415" s="1099"/>
      <c r="T415" s="1099"/>
      <c r="U415" s="1104"/>
      <c r="V415" s="1101" t="s">
        <v>4919</v>
      </c>
      <c r="W415" s="1101" t="s">
        <v>4921</v>
      </c>
      <c r="X415" s="1101" t="s">
        <v>6196</v>
      </c>
      <c r="Y415" s="1101" t="s">
        <v>6192</v>
      </c>
      <c r="Z415" s="1102" t="s">
        <v>6197</v>
      </c>
    </row>
    <row r="416" spans="2:26" ht="12.75" customHeight="1" x14ac:dyDescent="0.2">
      <c r="B416" s="2090" t="str">
        <f t="shared" si="6"/>
        <v>Libre acceso11</v>
      </c>
      <c r="C416" s="1103"/>
      <c r="D416" s="521" t="s">
        <v>1726</v>
      </c>
      <c r="E416" s="1099" t="s">
        <v>646</v>
      </c>
      <c r="F416" s="1099">
        <f t="shared" si="7"/>
        <v>11</v>
      </c>
      <c r="G416" s="1110" t="s">
        <v>1690</v>
      </c>
      <c r="H416" s="1108" t="s">
        <v>1536</v>
      </c>
      <c r="I416" s="1109" t="s">
        <v>1606</v>
      </c>
      <c r="J416" s="1099">
        <v>6</v>
      </c>
      <c r="K416" s="1099">
        <v>9</v>
      </c>
      <c r="L416" s="1099">
        <v>11</v>
      </c>
      <c r="M416" s="1104">
        <v>13</v>
      </c>
      <c r="N416" s="1099">
        <v>50</v>
      </c>
      <c r="O416" s="1099">
        <v>80</v>
      </c>
      <c r="P416" s="1099">
        <v>120</v>
      </c>
      <c r="Q416" s="1104">
        <v>160</v>
      </c>
      <c r="R416" s="1099">
        <v>5</v>
      </c>
      <c r="S416" s="1099">
        <v>10</v>
      </c>
      <c r="T416" s="1099">
        <v>15</v>
      </c>
      <c r="U416" s="1104">
        <v>20</v>
      </c>
      <c r="V416" s="1101" t="s">
        <v>6198</v>
      </c>
      <c r="W416" s="1101" t="s">
        <v>6199</v>
      </c>
      <c r="X416" s="1101" t="s">
        <v>6200</v>
      </c>
      <c r="Y416" s="1101" t="s">
        <v>6201</v>
      </c>
      <c r="Z416" s="1102" t="s">
        <v>6202</v>
      </c>
    </row>
    <row r="417" spans="2:26" ht="12.75" customHeight="1" x14ac:dyDescent="0.2">
      <c r="B417" s="2090" t="str">
        <f t="shared" si="6"/>
        <v>Libre acceso11</v>
      </c>
      <c r="C417" s="1103"/>
      <c r="D417" s="521" t="s">
        <v>662</v>
      </c>
      <c r="E417" s="1099" t="s">
        <v>646</v>
      </c>
      <c r="F417" s="1099">
        <f t="shared" si="7"/>
        <v>11</v>
      </c>
      <c r="G417" s="1108" t="s">
        <v>2446</v>
      </c>
      <c r="H417" s="1108" t="s">
        <v>1536</v>
      </c>
      <c r="I417" s="1109" t="s">
        <v>1606</v>
      </c>
      <c r="J417" s="1099">
        <v>5</v>
      </c>
      <c r="K417" s="1099">
        <v>8</v>
      </c>
      <c r="L417" s="1099">
        <v>10</v>
      </c>
      <c r="M417" s="1104">
        <v>12</v>
      </c>
      <c r="N417" s="1099">
        <v>40</v>
      </c>
      <c r="O417" s="1099">
        <v>80</v>
      </c>
      <c r="P417" s="1099">
        <v>100</v>
      </c>
      <c r="Q417" s="1104">
        <v>120</v>
      </c>
      <c r="R417" s="1099">
        <v>5</v>
      </c>
      <c r="S417" s="1099">
        <v>10</v>
      </c>
      <c r="T417" s="1099">
        <v>10</v>
      </c>
      <c r="U417" s="1104">
        <v>15</v>
      </c>
      <c r="V417" s="1101" t="s">
        <v>6203</v>
      </c>
      <c r="W417" s="1101" t="s">
        <v>6204</v>
      </c>
      <c r="X417" s="1101" t="s">
        <v>6205</v>
      </c>
      <c r="Y417" s="1101" t="s">
        <v>6206</v>
      </c>
      <c r="Z417" s="1102" t="s">
        <v>6207</v>
      </c>
    </row>
    <row r="418" spans="2:26" ht="12.75" customHeight="1" x14ac:dyDescent="0.2">
      <c r="B418" s="2090" t="str">
        <f t="shared" si="6"/>
        <v>Libre acceso11</v>
      </c>
      <c r="C418" s="1103"/>
      <c r="D418" s="521" t="s">
        <v>663</v>
      </c>
      <c r="E418" s="1099" t="s">
        <v>646</v>
      </c>
      <c r="F418" s="1099">
        <f t="shared" si="7"/>
        <v>11</v>
      </c>
      <c r="G418" s="1110" t="s">
        <v>1690</v>
      </c>
      <c r="H418" s="1108" t="s">
        <v>1536</v>
      </c>
      <c r="I418" s="1109" t="s">
        <v>1606</v>
      </c>
      <c r="J418" s="1099">
        <v>6</v>
      </c>
      <c r="K418" s="1099">
        <v>9</v>
      </c>
      <c r="L418" s="1099">
        <v>11</v>
      </c>
      <c r="M418" s="1104">
        <v>13</v>
      </c>
      <c r="N418" s="1099">
        <v>30</v>
      </c>
      <c r="O418" s="1099">
        <v>80</v>
      </c>
      <c r="P418" s="1099">
        <v>140</v>
      </c>
      <c r="Q418" s="1104">
        <v>180</v>
      </c>
      <c r="R418" s="1099">
        <v>5</v>
      </c>
      <c r="S418" s="1099">
        <v>5</v>
      </c>
      <c r="T418" s="1099">
        <v>10</v>
      </c>
      <c r="U418" s="1104">
        <v>15</v>
      </c>
      <c r="V418" s="1101" t="s">
        <v>6208</v>
      </c>
      <c r="W418" s="1101" t="s">
        <v>6209</v>
      </c>
      <c r="X418" s="1101" t="s">
        <v>6210</v>
      </c>
      <c r="Y418" s="1101" t="s">
        <v>6211</v>
      </c>
      <c r="Z418" s="1102" t="s">
        <v>6212</v>
      </c>
    </row>
    <row r="419" spans="2:26" ht="12.75" customHeight="1" x14ac:dyDescent="0.2">
      <c r="B419" s="2090" t="str">
        <f t="shared" si="6"/>
        <v>Libre acceso11</v>
      </c>
      <c r="C419" s="1103"/>
      <c r="D419" s="521" t="s">
        <v>664</v>
      </c>
      <c r="E419" s="1099" t="s">
        <v>646</v>
      </c>
      <c r="F419" s="1099">
        <f t="shared" si="7"/>
        <v>11</v>
      </c>
      <c r="G419" s="1108" t="s">
        <v>2446</v>
      </c>
      <c r="H419" s="1108" t="s">
        <v>1536</v>
      </c>
      <c r="I419" s="1109" t="s">
        <v>1606</v>
      </c>
      <c r="J419" s="1099">
        <v>6</v>
      </c>
      <c r="K419" s="1099">
        <v>9</v>
      </c>
      <c r="L419" s="1099">
        <v>11</v>
      </c>
      <c r="M419" s="1104">
        <v>13</v>
      </c>
      <c r="N419" s="1099">
        <v>40</v>
      </c>
      <c r="O419" s="1099">
        <v>80</v>
      </c>
      <c r="P419" s="1099">
        <v>120</v>
      </c>
      <c r="Q419" s="1104">
        <v>160</v>
      </c>
      <c r="R419" s="1099">
        <v>5</v>
      </c>
      <c r="S419" s="1099">
        <v>10</v>
      </c>
      <c r="T419" s="1099">
        <v>10</v>
      </c>
      <c r="U419" s="1104">
        <v>15</v>
      </c>
      <c r="V419" s="1101" t="s">
        <v>5031</v>
      </c>
      <c r="W419" s="1101" t="s">
        <v>4780</v>
      </c>
      <c r="X419" s="1101" t="s">
        <v>5220</v>
      </c>
      <c r="Y419" s="1101" t="s">
        <v>6213</v>
      </c>
      <c r="Z419" s="1102" t="s">
        <v>6214</v>
      </c>
    </row>
    <row r="420" spans="2:26" ht="12.75" customHeight="1" x14ac:dyDescent="0.2">
      <c r="B420" s="2090" t="str">
        <f t="shared" si="6"/>
        <v>Libre acceso11</v>
      </c>
      <c r="C420" s="1103"/>
      <c r="D420" s="521" t="s">
        <v>2001</v>
      </c>
      <c r="E420" s="1099" t="s">
        <v>646</v>
      </c>
      <c r="F420" s="1099">
        <f t="shared" si="7"/>
        <v>11</v>
      </c>
      <c r="G420" s="1108" t="s">
        <v>2446</v>
      </c>
      <c r="H420" s="1108" t="s">
        <v>1536</v>
      </c>
      <c r="I420" s="1109" t="s">
        <v>1606</v>
      </c>
      <c r="J420" s="1099">
        <v>6</v>
      </c>
      <c r="K420" s="1099">
        <v>9</v>
      </c>
      <c r="L420" s="1099">
        <v>11</v>
      </c>
      <c r="M420" s="1104">
        <v>13</v>
      </c>
      <c r="N420" s="1099">
        <v>50</v>
      </c>
      <c r="O420" s="1099">
        <v>80</v>
      </c>
      <c r="P420" s="1099">
        <v>110</v>
      </c>
      <c r="Q420" s="1104">
        <v>150</v>
      </c>
      <c r="R420" s="1099">
        <v>5</v>
      </c>
      <c r="S420" s="1099">
        <v>5</v>
      </c>
      <c r="T420" s="1099">
        <v>10</v>
      </c>
      <c r="U420" s="1104">
        <v>15</v>
      </c>
      <c r="V420" s="1101" t="s">
        <v>6215</v>
      </c>
      <c r="W420" s="1101" t="s">
        <v>6216</v>
      </c>
      <c r="X420" s="1101" t="s">
        <v>6217</v>
      </c>
      <c r="Y420" s="1101" t="s">
        <v>6218</v>
      </c>
      <c r="Z420" s="1102" t="s">
        <v>6219</v>
      </c>
    </row>
    <row r="421" spans="2:26" ht="12.75" customHeight="1" x14ac:dyDescent="0.2">
      <c r="B421" s="2090" t="str">
        <f t="shared" si="6"/>
        <v>Libre acceso11</v>
      </c>
      <c r="C421" s="1103"/>
      <c r="D421" s="521" t="s">
        <v>665</v>
      </c>
      <c r="E421" s="1099" t="s">
        <v>646</v>
      </c>
      <c r="F421" s="1099">
        <f t="shared" si="7"/>
        <v>11</v>
      </c>
      <c r="G421" s="1108" t="s">
        <v>2446</v>
      </c>
      <c r="H421" s="1108" t="s">
        <v>1536</v>
      </c>
      <c r="I421" s="1109" t="s">
        <v>1606</v>
      </c>
      <c r="J421" s="1099">
        <v>6</v>
      </c>
      <c r="K421" s="1099">
        <v>9</v>
      </c>
      <c r="L421" s="1099">
        <v>11</v>
      </c>
      <c r="M421" s="1104">
        <v>13</v>
      </c>
      <c r="N421" s="1099">
        <v>60</v>
      </c>
      <c r="O421" s="1099">
        <v>140</v>
      </c>
      <c r="P421" s="1099">
        <v>220</v>
      </c>
      <c r="Q421" s="1104">
        <v>340</v>
      </c>
      <c r="R421" s="1099">
        <v>10</v>
      </c>
      <c r="S421" s="1099">
        <v>15</v>
      </c>
      <c r="T421" s="1099">
        <v>25</v>
      </c>
      <c r="U421" s="1104">
        <v>35</v>
      </c>
      <c r="V421" s="1101" t="s">
        <v>4953</v>
      </c>
      <c r="W421" s="1101" t="s">
        <v>5032</v>
      </c>
      <c r="X421" s="1101" t="s">
        <v>6220</v>
      </c>
      <c r="Y421" s="1101" t="s">
        <v>6221</v>
      </c>
      <c r="Z421" s="1102" t="s">
        <v>6222</v>
      </c>
    </row>
    <row r="422" spans="2:26" ht="12.75" customHeight="1" x14ac:dyDescent="0.2">
      <c r="B422" s="2090" t="str">
        <f t="shared" si="6"/>
        <v>Libre acceso11</v>
      </c>
      <c r="C422" s="1103"/>
      <c r="D422" s="521" t="s">
        <v>666</v>
      </c>
      <c r="E422" s="1099" t="s">
        <v>646</v>
      </c>
      <c r="F422" s="1099">
        <f t="shared" si="7"/>
        <v>11</v>
      </c>
      <c r="G422" s="1108" t="s">
        <v>2446</v>
      </c>
      <c r="H422" s="1108" t="s">
        <v>1535</v>
      </c>
      <c r="I422" s="1109" t="s">
        <v>1606</v>
      </c>
      <c r="J422" s="1099">
        <v>6</v>
      </c>
      <c r="K422" s="1099">
        <v>9</v>
      </c>
      <c r="L422" s="1099">
        <v>11</v>
      </c>
      <c r="M422" s="1104">
        <v>13</v>
      </c>
      <c r="N422" s="1099">
        <v>60</v>
      </c>
      <c r="O422" s="1099">
        <v>120</v>
      </c>
      <c r="P422" s="1099">
        <v>180</v>
      </c>
      <c r="Q422" s="1104">
        <v>240</v>
      </c>
      <c r="R422" s="1099">
        <v>10</v>
      </c>
      <c r="S422" s="1099">
        <v>20</v>
      </c>
      <c r="T422" s="1099">
        <v>20</v>
      </c>
      <c r="U422" s="1104">
        <v>25</v>
      </c>
      <c r="V422" s="1101" t="s">
        <v>4771</v>
      </c>
      <c r="W422" s="1101" t="s">
        <v>4853</v>
      </c>
      <c r="X422" s="1101" t="s">
        <v>4772</v>
      </c>
      <c r="Y422" s="1101" t="s">
        <v>4885</v>
      </c>
      <c r="Z422" s="1102" t="s">
        <v>6223</v>
      </c>
    </row>
    <row r="423" spans="2:26" ht="12.75" customHeight="1" x14ac:dyDescent="0.2">
      <c r="B423" s="2090" t="str">
        <f t="shared" si="6"/>
        <v/>
      </c>
      <c r="C423" s="1103"/>
      <c r="D423" s="521" t="s">
        <v>667</v>
      </c>
      <c r="E423" s="1099"/>
      <c r="F423" s="1099"/>
      <c r="G423" s="1108"/>
      <c r="H423" s="1108"/>
      <c r="I423" s="1109"/>
      <c r="J423" s="1099"/>
      <c r="K423" s="1099"/>
      <c r="L423" s="1099"/>
      <c r="M423" s="1104"/>
      <c r="N423" s="1099"/>
      <c r="O423" s="1099"/>
      <c r="P423" s="1099"/>
      <c r="Q423" s="1104"/>
      <c r="R423" s="1099"/>
      <c r="S423" s="1099"/>
      <c r="T423" s="1099"/>
      <c r="U423" s="1104"/>
      <c r="V423" s="1101"/>
      <c r="W423" s="1101"/>
      <c r="X423" s="1101"/>
      <c r="Y423" s="1101"/>
      <c r="Z423" s="1102"/>
    </row>
    <row r="424" spans="2:26" ht="12.75" customHeight="1" x14ac:dyDescent="0.2">
      <c r="B424" s="2090" t="str">
        <f t="shared" si="6"/>
        <v>Libre acceso21</v>
      </c>
      <c r="C424" s="1103"/>
      <c r="D424" s="521" t="s">
        <v>668</v>
      </c>
      <c r="E424" s="1099" t="s">
        <v>646</v>
      </c>
      <c r="F424" s="1099">
        <f>F411+10</f>
        <v>21</v>
      </c>
      <c r="G424" s="1108" t="s">
        <v>1690</v>
      </c>
      <c r="H424" s="1108" t="s">
        <v>5406</v>
      </c>
      <c r="I424" s="1109" t="s">
        <v>1606</v>
      </c>
      <c r="J424" s="1099">
        <v>10</v>
      </c>
      <c r="K424" s="1099">
        <v>12</v>
      </c>
      <c r="L424" s="1099">
        <v>14</v>
      </c>
      <c r="M424" s="1104">
        <v>16</v>
      </c>
      <c r="N424" s="1099">
        <v>100</v>
      </c>
      <c r="O424" s="1099">
        <v>120</v>
      </c>
      <c r="P424" s="1099">
        <v>140</v>
      </c>
      <c r="Q424" s="1104">
        <v>160</v>
      </c>
      <c r="R424" s="1099">
        <v>10</v>
      </c>
      <c r="S424" s="1099">
        <v>15</v>
      </c>
      <c r="T424" s="1099">
        <v>15</v>
      </c>
      <c r="U424" s="1104">
        <v>20</v>
      </c>
      <c r="V424" s="1101" t="s">
        <v>6224</v>
      </c>
      <c r="W424" s="1101" t="s">
        <v>6225</v>
      </c>
      <c r="X424" s="1101" t="s">
        <v>5170</v>
      </c>
      <c r="Y424" s="1101" t="s">
        <v>6026</v>
      </c>
      <c r="Z424" s="1102" t="s">
        <v>6226</v>
      </c>
    </row>
    <row r="425" spans="2:26" ht="12.75" customHeight="1" x14ac:dyDescent="0.2">
      <c r="B425" s="2090" t="str">
        <f t="shared" si="6"/>
        <v>Libre acceso21</v>
      </c>
      <c r="C425" s="1103"/>
      <c r="D425" s="521" t="s">
        <v>669</v>
      </c>
      <c r="E425" s="1099" t="s">
        <v>646</v>
      </c>
      <c r="F425" s="1099">
        <f t="shared" ref="F425:F435" si="8">F412+10</f>
        <v>21</v>
      </c>
      <c r="G425" s="1108" t="s">
        <v>1690</v>
      </c>
      <c r="H425" s="1108" t="s">
        <v>5406</v>
      </c>
      <c r="I425" s="1109" t="s">
        <v>1606</v>
      </c>
      <c r="J425" s="1099">
        <v>6</v>
      </c>
      <c r="K425" s="1099">
        <v>9</v>
      </c>
      <c r="L425" s="1099">
        <v>11</v>
      </c>
      <c r="M425" s="1104">
        <v>13</v>
      </c>
      <c r="N425" s="1099">
        <v>50</v>
      </c>
      <c r="O425" s="1099">
        <v>70</v>
      </c>
      <c r="P425" s="1099">
        <v>100</v>
      </c>
      <c r="Q425" s="1104">
        <v>130</v>
      </c>
      <c r="R425" s="1099">
        <v>5</v>
      </c>
      <c r="S425" s="1099">
        <v>10</v>
      </c>
      <c r="T425" s="1099">
        <v>10</v>
      </c>
      <c r="U425" s="1104">
        <v>15</v>
      </c>
      <c r="V425" s="1101" t="s">
        <v>4968</v>
      </c>
      <c r="W425" s="1101" t="s">
        <v>4969</v>
      </c>
      <c r="X425" s="1101" t="s">
        <v>4864</v>
      </c>
      <c r="Y425" s="1101" t="s">
        <v>4697</v>
      </c>
      <c r="Z425" s="1102" t="s">
        <v>6227</v>
      </c>
    </row>
    <row r="426" spans="2:26" ht="12.75" customHeight="1" x14ac:dyDescent="0.2">
      <c r="B426" s="2090" t="str">
        <f t="shared" si="6"/>
        <v>Libre acceso21</v>
      </c>
      <c r="C426" s="1103"/>
      <c r="D426" s="521" t="s">
        <v>670</v>
      </c>
      <c r="E426" s="1099" t="s">
        <v>646</v>
      </c>
      <c r="F426" s="1099">
        <f t="shared" si="8"/>
        <v>21</v>
      </c>
      <c r="G426" s="1108" t="s">
        <v>1690</v>
      </c>
      <c r="H426" s="1108" t="s">
        <v>1536</v>
      </c>
      <c r="I426" s="1109" t="s">
        <v>1606</v>
      </c>
      <c r="J426" s="1099">
        <v>6</v>
      </c>
      <c r="K426" s="1099">
        <v>9</v>
      </c>
      <c r="L426" s="1099">
        <v>11</v>
      </c>
      <c r="M426" s="1104">
        <v>13</v>
      </c>
      <c r="N426" s="1099">
        <v>100</v>
      </c>
      <c r="O426" s="1099">
        <v>120</v>
      </c>
      <c r="P426" s="1099">
        <v>140</v>
      </c>
      <c r="Q426" s="1104">
        <v>160</v>
      </c>
      <c r="R426" s="1099"/>
      <c r="S426" s="1099"/>
      <c r="T426" s="1099"/>
      <c r="U426" s="1104"/>
      <c r="V426" s="1101" t="s">
        <v>6228</v>
      </c>
      <c r="W426" s="1101" t="s">
        <v>6229</v>
      </c>
      <c r="X426" s="1101" t="s">
        <v>6230</v>
      </c>
      <c r="Y426" s="1101" t="s">
        <v>6231</v>
      </c>
      <c r="Z426" s="1102" t="s">
        <v>6232</v>
      </c>
    </row>
    <row r="427" spans="2:26" ht="12.75" customHeight="1" x14ac:dyDescent="0.2">
      <c r="B427" s="2090" t="str">
        <f t="shared" si="6"/>
        <v>Libre acceso21</v>
      </c>
      <c r="C427" s="1103"/>
      <c r="D427" s="521" t="s">
        <v>671</v>
      </c>
      <c r="E427" s="1099" t="s">
        <v>646</v>
      </c>
      <c r="F427" s="1099">
        <f t="shared" si="8"/>
        <v>21</v>
      </c>
      <c r="G427" s="1108" t="s">
        <v>1690</v>
      </c>
      <c r="H427" s="1108" t="s">
        <v>1881</v>
      </c>
      <c r="I427" s="1109" t="s">
        <v>1607</v>
      </c>
      <c r="J427" s="1099">
        <v>6</v>
      </c>
      <c r="K427" s="1099">
        <v>9</v>
      </c>
      <c r="L427" s="1099">
        <v>11</v>
      </c>
      <c r="M427" s="1104">
        <v>13</v>
      </c>
      <c r="N427" s="1099">
        <v>60</v>
      </c>
      <c r="O427" s="1099">
        <v>120</v>
      </c>
      <c r="P427" s="1099">
        <v>180</v>
      </c>
      <c r="Q427" s="1104">
        <v>240</v>
      </c>
      <c r="R427" s="1099">
        <v>10</v>
      </c>
      <c r="S427" s="1099">
        <v>20</v>
      </c>
      <c r="T427" s="1099">
        <v>20</v>
      </c>
      <c r="U427" s="1104">
        <v>25</v>
      </c>
      <c r="V427" s="1101" t="s">
        <v>5262</v>
      </c>
      <c r="W427" s="1101" t="s">
        <v>6233</v>
      </c>
      <c r="X427" s="1101" t="s">
        <v>6234</v>
      </c>
      <c r="Y427" s="1101" t="s">
        <v>6235</v>
      </c>
      <c r="Z427" s="1102" t="s">
        <v>6236</v>
      </c>
    </row>
    <row r="428" spans="2:26" ht="12.75" customHeight="1" x14ac:dyDescent="0.2">
      <c r="B428" s="2090" t="str">
        <f t="shared" si="6"/>
        <v>Libre acceso21</v>
      </c>
      <c r="C428" s="1103"/>
      <c r="D428" s="521" t="s">
        <v>672</v>
      </c>
      <c r="E428" s="1099" t="s">
        <v>646</v>
      </c>
      <c r="F428" s="1099">
        <f t="shared" si="8"/>
        <v>21</v>
      </c>
      <c r="G428" s="1108" t="s">
        <v>1690</v>
      </c>
      <c r="H428" s="1108" t="s">
        <v>1536</v>
      </c>
      <c r="I428" s="1109" t="s">
        <v>1606</v>
      </c>
      <c r="J428" s="1099">
        <v>6</v>
      </c>
      <c r="K428" s="1099">
        <v>9</v>
      </c>
      <c r="L428" s="1099">
        <v>12</v>
      </c>
      <c r="M428" s="1104">
        <v>15</v>
      </c>
      <c r="N428" s="1099">
        <v>60</v>
      </c>
      <c r="O428" s="1099">
        <v>90</v>
      </c>
      <c r="P428" s="1099">
        <v>120</v>
      </c>
      <c r="Q428" s="1104">
        <v>150</v>
      </c>
      <c r="R428" s="1099">
        <v>10</v>
      </c>
      <c r="S428" s="1099">
        <v>10</v>
      </c>
      <c r="T428" s="1099">
        <v>15</v>
      </c>
      <c r="U428" s="1104">
        <v>15</v>
      </c>
      <c r="V428" s="1101" t="s">
        <v>5691</v>
      </c>
      <c r="W428" s="1101" t="s">
        <v>5692</v>
      </c>
      <c r="X428" s="1101" t="s">
        <v>5693</v>
      </c>
      <c r="Y428" s="1101" t="s">
        <v>5694</v>
      </c>
      <c r="Z428" s="1102" t="s">
        <v>6237</v>
      </c>
    </row>
    <row r="429" spans="2:26" ht="12.75" customHeight="1" x14ac:dyDescent="0.2">
      <c r="B429" s="2090" t="str">
        <f t="shared" si="6"/>
        <v>Libre acceso21</v>
      </c>
      <c r="C429" s="1103"/>
      <c r="D429" s="521" t="s">
        <v>673</v>
      </c>
      <c r="E429" s="1099" t="s">
        <v>646</v>
      </c>
      <c r="F429" s="1099">
        <f t="shared" si="8"/>
        <v>21</v>
      </c>
      <c r="G429" s="1108" t="s">
        <v>2446</v>
      </c>
      <c r="H429" s="1108" t="s">
        <v>1536</v>
      </c>
      <c r="I429" s="1109" t="s">
        <v>1606</v>
      </c>
      <c r="J429" s="1099">
        <v>7</v>
      </c>
      <c r="K429" s="1099">
        <v>10</v>
      </c>
      <c r="L429" s="1099">
        <v>12</v>
      </c>
      <c r="M429" s="1104">
        <v>15</v>
      </c>
      <c r="N429" s="1099">
        <v>100</v>
      </c>
      <c r="O429" s="1099">
        <v>160</v>
      </c>
      <c r="P429" s="1099">
        <v>200</v>
      </c>
      <c r="Q429" s="1104">
        <v>240</v>
      </c>
      <c r="R429" s="1099">
        <v>20</v>
      </c>
      <c r="S429" s="1099">
        <v>35</v>
      </c>
      <c r="T429" s="1099">
        <v>40</v>
      </c>
      <c r="U429" s="1104">
        <v>50</v>
      </c>
      <c r="V429" s="1101" t="s">
        <v>6238</v>
      </c>
      <c r="W429" s="1101" t="s">
        <v>6239</v>
      </c>
      <c r="X429" s="1101" t="s">
        <v>6240</v>
      </c>
      <c r="Y429" s="1101" t="s">
        <v>6241</v>
      </c>
      <c r="Z429" s="1102" t="s">
        <v>6242</v>
      </c>
    </row>
    <row r="430" spans="2:26" ht="12.75" customHeight="1" x14ac:dyDescent="0.2">
      <c r="B430" s="2090" t="str">
        <f t="shared" si="6"/>
        <v>Libre acceso21</v>
      </c>
      <c r="C430" s="1103"/>
      <c r="D430" s="521" t="s">
        <v>674</v>
      </c>
      <c r="E430" s="1099" t="s">
        <v>646</v>
      </c>
      <c r="F430" s="1099">
        <f t="shared" si="8"/>
        <v>21</v>
      </c>
      <c r="G430" s="1108" t="s">
        <v>2446</v>
      </c>
      <c r="H430" s="1108" t="s">
        <v>1536</v>
      </c>
      <c r="I430" s="1109" t="s">
        <v>1606</v>
      </c>
      <c r="J430" s="1099">
        <v>6</v>
      </c>
      <c r="K430" s="1099">
        <v>9</v>
      </c>
      <c r="L430" s="1099">
        <v>11</v>
      </c>
      <c r="M430" s="1104">
        <v>13</v>
      </c>
      <c r="N430" s="1099">
        <v>80</v>
      </c>
      <c r="O430" s="1099">
        <v>140</v>
      </c>
      <c r="P430" s="1099">
        <v>200</v>
      </c>
      <c r="Q430" s="1104">
        <v>260</v>
      </c>
      <c r="R430" s="1099">
        <v>10</v>
      </c>
      <c r="S430" s="1099">
        <v>15</v>
      </c>
      <c r="T430" s="1099">
        <v>20</v>
      </c>
      <c r="U430" s="1104">
        <v>30</v>
      </c>
      <c r="V430" s="1101" t="s">
        <v>4771</v>
      </c>
      <c r="W430" s="1101" t="s">
        <v>4853</v>
      </c>
      <c r="X430" s="1101" t="s">
        <v>4772</v>
      </c>
      <c r="Y430" s="1101" t="s">
        <v>4885</v>
      </c>
      <c r="Z430" s="1102" t="s">
        <v>6243</v>
      </c>
    </row>
    <row r="431" spans="2:26" ht="12.75" customHeight="1" x14ac:dyDescent="0.2">
      <c r="B431" s="2090" t="str">
        <f t="shared" si="6"/>
        <v>Libre acceso21</v>
      </c>
      <c r="C431" s="1103"/>
      <c r="D431" s="521" t="s">
        <v>2531</v>
      </c>
      <c r="E431" s="1099" t="s">
        <v>646</v>
      </c>
      <c r="F431" s="1099">
        <f t="shared" si="8"/>
        <v>21</v>
      </c>
      <c r="G431" s="1108" t="s">
        <v>1690</v>
      </c>
      <c r="H431" s="1108" t="s">
        <v>6244</v>
      </c>
      <c r="I431" s="1109" t="s">
        <v>1606</v>
      </c>
      <c r="J431" s="1099">
        <v>6</v>
      </c>
      <c r="K431" s="1099">
        <v>9</v>
      </c>
      <c r="L431" s="1099">
        <v>12</v>
      </c>
      <c r="M431" s="1104">
        <v>15</v>
      </c>
      <c r="N431" s="1099">
        <v>60</v>
      </c>
      <c r="O431" s="1099">
        <v>90</v>
      </c>
      <c r="P431" s="1099">
        <v>120</v>
      </c>
      <c r="Q431" s="1104">
        <v>150</v>
      </c>
      <c r="R431" s="1099">
        <v>5</v>
      </c>
      <c r="S431" s="1099">
        <v>5</v>
      </c>
      <c r="T431" s="1099">
        <v>10</v>
      </c>
      <c r="U431" s="1104">
        <v>10</v>
      </c>
      <c r="V431" s="1101" t="s">
        <v>6245</v>
      </c>
      <c r="W431" s="1101" t="s">
        <v>6246</v>
      </c>
      <c r="X431" s="1101" t="s">
        <v>6247</v>
      </c>
      <c r="Y431" s="1101" t="s">
        <v>6248</v>
      </c>
      <c r="Z431" s="1102" t="s">
        <v>6249</v>
      </c>
    </row>
    <row r="432" spans="2:26" ht="12.75" customHeight="1" x14ac:dyDescent="0.2">
      <c r="B432" s="2090" t="str">
        <f t="shared" si="6"/>
        <v>Libre acceso21</v>
      </c>
      <c r="C432" s="1103"/>
      <c r="D432" s="521" t="s">
        <v>675</v>
      </c>
      <c r="E432" s="1099" t="s">
        <v>646</v>
      </c>
      <c r="F432" s="1099">
        <f t="shared" si="8"/>
        <v>21</v>
      </c>
      <c r="G432" s="1108" t="s">
        <v>1690</v>
      </c>
      <c r="H432" s="1108" t="s">
        <v>1536</v>
      </c>
      <c r="I432" s="1109" t="s">
        <v>1606</v>
      </c>
      <c r="J432" s="1099">
        <v>6</v>
      </c>
      <c r="K432" s="1099">
        <v>9</v>
      </c>
      <c r="L432" s="1099">
        <v>11</v>
      </c>
      <c r="M432" s="1104">
        <v>13</v>
      </c>
      <c r="N432" s="1099">
        <v>80</v>
      </c>
      <c r="O432" s="1099">
        <v>100</v>
      </c>
      <c r="P432" s="1099">
        <v>120</v>
      </c>
      <c r="Q432" s="1104">
        <v>140</v>
      </c>
      <c r="R432" s="1099"/>
      <c r="S432" s="1099"/>
      <c r="T432" s="1099"/>
      <c r="U432" s="1104" t="s">
        <v>4961</v>
      </c>
      <c r="V432" s="1101" t="s">
        <v>6250</v>
      </c>
      <c r="W432" s="1101" t="s">
        <v>6251</v>
      </c>
      <c r="X432" s="1101" t="s">
        <v>6252</v>
      </c>
      <c r="Y432" s="1101" t="s">
        <v>6253</v>
      </c>
      <c r="Z432" s="1102" t="s">
        <v>6254</v>
      </c>
    </row>
    <row r="433" spans="2:26" ht="12.75" customHeight="1" x14ac:dyDescent="0.2">
      <c r="B433" s="2090" t="str">
        <f t="shared" si="6"/>
        <v>Libre acceso21</v>
      </c>
      <c r="C433" s="1103"/>
      <c r="D433" s="521" t="s">
        <v>676</v>
      </c>
      <c r="E433" s="1099" t="s">
        <v>646</v>
      </c>
      <c r="F433" s="1099">
        <f t="shared" si="8"/>
        <v>21</v>
      </c>
      <c r="G433" s="1108" t="s">
        <v>1690</v>
      </c>
      <c r="H433" s="1108" t="s">
        <v>1536</v>
      </c>
      <c r="I433" s="1109" t="s">
        <v>1606</v>
      </c>
      <c r="J433" s="1099">
        <v>6</v>
      </c>
      <c r="K433" s="1099">
        <v>9</v>
      </c>
      <c r="L433" s="1099">
        <v>11</v>
      </c>
      <c r="M433" s="1104">
        <v>13</v>
      </c>
      <c r="N433" s="1099">
        <v>80</v>
      </c>
      <c r="O433" s="1099">
        <v>120</v>
      </c>
      <c r="P433" s="1099">
        <v>160</v>
      </c>
      <c r="Q433" s="1104">
        <v>200</v>
      </c>
      <c r="R433" s="1099">
        <v>10</v>
      </c>
      <c r="S433" s="1099">
        <v>10</v>
      </c>
      <c r="T433" s="1099">
        <v>15</v>
      </c>
      <c r="U433" s="1104">
        <v>15</v>
      </c>
      <c r="V433" s="1101" t="s">
        <v>6255</v>
      </c>
      <c r="W433" s="1101" t="s">
        <v>6256</v>
      </c>
      <c r="X433" s="1101" t="s">
        <v>6257</v>
      </c>
      <c r="Y433" s="1101" t="s">
        <v>6258</v>
      </c>
      <c r="Z433" s="1102" t="s">
        <v>6259</v>
      </c>
    </row>
    <row r="434" spans="2:26" ht="12.75" customHeight="1" x14ac:dyDescent="0.2">
      <c r="B434" s="2090" t="str">
        <f t="shared" si="6"/>
        <v>Libre acceso21</v>
      </c>
      <c r="C434" s="1103"/>
      <c r="D434" s="521" t="s">
        <v>1943</v>
      </c>
      <c r="E434" s="1099" t="s">
        <v>646</v>
      </c>
      <c r="F434" s="1099">
        <f t="shared" si="8"/>
        <v>21</v>
      </c>
      <c r="G434" s="1108" t="s">
        <v>1690</v>
      </c>
      <c r="H434" s="1108" t="s">
        <v>1536</v>
      </c>
      <c r="I434" s="1109" t="s">
        <v>1606</v>
      </c>
      <c r="J434" s="1099">
        <v>6</v>
      </c>
      <c r="K434" s="1099">
        <v>9</v>
      </c>
      <c r="L434" s="1099">
        <v>11</v>
      </c>
      <c r="M434" s="1104">
        <v>13</v>
      </c>
      <c r="N434" s="1099">
        <v>50</v>
      </c>
      <c r="O434" s="1099">
        <v>80</v>
      </c>
      <c r="P434" s="1099">
        <v>100</v>
      </c>
      <c r="Q434" s="1104">
        <v>120</v>
      </c>
      <c r="R434" s="1099">
        <v>5</v>
      </c>
      <c r="S434" s="1099">
        <v>10</v>
      </c>
      <c r="T434" s="1099">
        <v>10</v>
      </c>
      <c r="U434" s="1104">
        <v>15</v>
      </c>
      <c r="V434" s="1101" t="s">
        <v>6260</v>
      </c>
      <c r="W434" s="1101" t="s">
        <v>6261</v>
      </c>
      <c r="X434" s="1101" t="s">
        <v>6262</v>
      </c>
      <c r="Y434" s="1101" t="s">
        <v>6263</v>
      </c>
      <c r="Z434" s="1102" t="s">
        <v>6264</v>
      </c>
    </row>
    <row r="435" spans="2:26" ht="12.75" customHeight="1" x14ac:dyDescent="0.2">
      <c r="B435" s="2090" t="str">
        <f t="shared" si="6"/>
        <v>Libre acceso21</v>
      </c>
      <c r="C435" s="1103"/>
      <c r="D435" s="521" t="s">
        <v>677</v>
      </c>
      <c r="E435" s="1099" t="s">
        <v>646</v>
      </c>
      <c r="F435" s="1099">
        <f t="shared" si="8"/>
        <v>21</v>
      </c>
      <c r="G435" s="1108" t="s">
        <v>2446</v>
      </c>
      <c r="H435" s="1108" t="s">
        <v>1537</v>
      </c>
      <c r="I435" s="1109" t="s">
        <v>1606</v>
      </c>
      <c r="J435" s="1099">
        <v>6</v>
      </c>
      <c r="K435" s="1099">
        <v>9</v>
      </c>
      <c r="L435" s="1099">
        <v>12</v>
      </c>
      <c r="M435" s="1104">
        <v>15</v>
      </c>
      <c r="N435" s="1099">
        <v>60</v>
      </c>
      <c r="O435" s="1099">
        <v>90</v>
      </c>
      <c r="P435" s="1099">
        <v>120</v>
      </c>
      <c r="Q435" s="1104">
        <v>150</v>
      </c>
      <c r="R435" s="1099">
        <v>5</v>
      </c>
      <c r="S435" s="1099">
        <v>5</v>
      </c>
      <c r="T435" s="1099">
        <v>10</v>
      </c>
      <c r="U435" s="1104">
        <v>10</v>
      </c>
      <c r="V435" s="1101" t="s">
        <v>4779</v>
      </c>
      <c r="W435" s="1101" t="s">
        <v>5032</v>
      </c>
      <c r="X435" s="1101" t="s">
        <v>6265</v>
      </c>
      <c r="Y435" s="1101" t="s">
        <v>6266</v>
      </c>
      <c r="Z435" s="1102" t="s">
        <v>6267</v>
      </c>
    </row>
    <row r="436" spans="2:26" ht="12.75" customHeight="1" x14ac:dyDescent="0.2">
      <c r="B436" s="2090" t="str">
        <f t="shared" si="6"/>
        <v/>
      </c>
      <c r="C436" s="1103"/>
      <c r="D436" s="521" t="s">
        <v>678</v>
      </c>
      <c r="E436" s="1099"/>
      <c r="F436" s="1099"/>
      <c r="G436" s="1108"/>
      <c r="H436" s="1108"/>
      <c r="I436" s="1109"/>
      <c r="J436" s="1099"/>
      <c r="K436" s="1099"/>
      <c r="L436" s="1099"/>
      <c r="M436" s="1104"/>
      <c r="N436" s="1099"/>
      <c r="O436" s="1099"/>
      <c r="P436" s="1099"/>
      <c r="Q436" s="1104"/>
      <c r="R436" s="1099"/>
      <c r="S436" s="1099"/>
      <c r="T436" s="1099"/>
      <c r="U436" s="1104"/>
      <c r="V436" s="1101"/>
      <c r="W436" s="1101"/>
      <c r="X436" s="1101"/>
      <c r="Y436" s="1101"/>
      <c r="Z436" s="1102"/>
    </row>
    <row r="437" spans="2:26" ht="12.75" customHeight="1" x14ac:dyDescent="0.2">
      <c r="B437" s="2090" t="str">
        <f t="shared" si="6"/>
        <v>Libre acceso31</v>
      </c>
      <c r="C437" s="1103"/>
      <c r="D437" s="521" t="s">
        <v>679</v>
      </c>
      <c r="E437" s="1099" t="s">
        <v>646</v>
      </c>
      <c r="F437" s="1099">
        <f>F424+10</f>
        <v>31</v>
      </c>
      <c r="G437" s="1108" t="s">
        <v>2446</v>
      </c>
      <c r="H437" s="1108" t="s">
        <v>1536</v>
      </c>
      <c r="I437" s="1109" t="s">
        <v>1606</v>
      </c>
      <c r="J437" s="1099">
        <v>6</v>
      </c>
      <c r="K437" s="1099">
        <v>9</v>
      </c>
      <c r="L437" s="1099">
        <v>11</v>
      </c>
      <c r="M437" s="1104">
        <v>14</v>
      </c>
      <c r="N437" s="1099">
        <v>60</v>
      </c>
      <c r="O437" s="1099">
        <v>90</v>
      </c>
      <c r="P437" s="1099">
        <v>120</v>
      </c>
      <c r="Q437" s="1104">
        <v>150</v>
      </c>
      <c r="R437" s="1099">
        <v>10</v>
      </c>
      <c r="S437" s="1099">
        <v>10</v>
      </c>
      <c r="T437" s="1099">
        <v>15</v>
      </c>
      <c r="U437" s="1104">
        <v>15</v>
      </c>
      <c r="V437" s="1101" t="s">
        <v>6268</v>
      </c>
      <c r="W437" s="1101" t="s">
        <v>6269</v>
      </c>
      <c r="X437" s="1101" t="s">
        <v>6270</v>
      </c>
      <c r="Y437" s="1101" t="s">
        <v>6271</v>
      </c>
      <c r="Z437" s="1102" t="s">
        <v>6272</v>
      </c>
    </row>
    <row r="438" spans="2:26" ht="12.75" customHeight="1" x14ac:dyDescent="0.2">
      <c r="B438" s="2090" t="str">
        <f t="shared" si="6"/>
        <v>Libre acceso31</v>
      </c>
      <c r="C438" s="1103"/>
      <c r="D438" s="521" t="s">
        <v>680</v>
      </c>
      <c r="E438" s="1099" t="s">
        <v>646</v>
      </c>
      <c r="F438" s="1099">
        <f t="shared" ref="F438:F448" si="9">F425+10</f>
        <v>31</v>
      </c>
      <c r="G438" s="1108" t="s">
        <v>1690</v>
      </c>
      <c r="H438" s="1108" t="s">
        <v>1536</v>
      </c>
      <c r="I438" s="1109" t="s">
        <v>1606</v>
      </c>
      <c r="J438" s="1099">
        <v>7</v>
      </c>
      <c r="K438" s="1099">
        <v>10</v>
      </c>
      <c r="L438" s="1099">
        <v>12</v>
      </c>
      <c r="M438" s="1104">
        <v>14</v>
      </c>
      <c r="N438" s="1099">
        <v>150</v>
      </c>
      <c r="O438" s="1099">
        <v>200</v>
      </c>
      <c r="P438" s="1099">
        <v>240</v>
      </c>
      <c r="Q438" s="1104">
        <v>280</v>
      </c>
      <c r="R438" s="1099"/>
      <c r="S438" s="1099"/>
      <c r="T438" s="1099"/>
      <c r="U438" s="1104" t="s">
        <v>4961</v>
      </c>
      <c r="V438" s="1101" t="s">
        <v>6273</v>
      </c>
      <c r="W438" s="1101" t="s">
        <v>6274</v>
      </c>
      <c r="X438" s="1101" t="s">
        <v>6275</v>
      </c>
      <c r="Y438" s="1101" t="s">
        <v>6276</v>
      </c>
      <c r="Z438" s="1102" t="s">
        <v>6277</v>
      </c>
    </row>
    <row r="439" spans="2:26" ht="12.75" customHeight="1" x14ac:dyDescent="0.2">
      <c r="B439" s="2090" t="str">
        <f t="shared" si="6"/>
        <v>Libre acceso31</v>
      </c>
      <c r="C439" s="1103"/>
      <c r="D439" s="521" t="s">
        <v>681</v>
      </c>
      <c r="E439" s="1099" t="s">
        <v>646</v>
      </c>
      <c r="F439" s="1099">
        <f t="shared" si="9"/>
        <v>31</v>
      </c>
      <c r="G439" s="1108" t="s">
        <v>2446</v>
      </c>
      <c r="H439" s="1108" t="s">
        <v>1536</v>
      </c>
      <c r="I439" s="1109" t="s">
        <v>1606</v>
      </c>
      <c r="J439" s="1099">
        <v>7</v>
      </c>
      <c r="K439" s="1099">
        <v>10</v>
      </c>
      <c r="L439" s="1099">
        <v>12</v>
      </c>
      <c r="M439" s="1104">
        <v>15</v>
      </c>
      <c r="N439" s="1099">
        <v>100</v>
      </c>
      <c r="O439" s="1099">
        <v>150</v>
      </c>
      <c r="P439" s="1099">
        <v>200</v>
      </c>
      <c r="Q439" s="1104">
        <v>250</v>
      </c>
      <c r="R439" s="1099">
        <v>10</v>
      </c>
      <c r="S439" s="1099">
        <v>15</v>
      </c>
      <c r="T439" s="1099">
        <v>20</v>
      </c>
      <c r="U439" s="1104">
        <v>25</v>
      </c>
      <c r="V439" s="1101" t="s">
        <v>6278</v>
      </c>
      <c r="W439" s="1101" t="s">
        <v>6279</v>
      </c>
      <c r="X439" s="1101" t="s">
        <v>6280</v>
      </c>
      <c r="Y439" s="1101" t="s">
        <v>6281</v>
      </c>
      <c r="Z439" s="1102" t="s">
        <v>6282</v>
      </c>
    </row>
    <row r="440" spans="2:26" ht="12.75" customHeight="1" x14ac:dyDescent="0.2">
      <c r="B440" s="2090" t="str">
        <f t="shared" si="6"/>
        <v>Libre acceso31</v>
      </c>
      <c r="C440" s="1103"/>
      <c r="D440" s="521" t="s">
        <v>682</v>
      </c>
      <c r="E440" s="1099" t="s">
        <v>646</v>
      </c>
      <c r="F440" s="1099">
        <f t="shared" si="9"/>
        <v>31</v>
      </c>
      <c r="G440" s="1108" t="s">
        <v>1690</v>
      </c>
      <c r="H440" s="1108" t="s">
        <v>1537</v>
      </c>
      <c r="I440" s="1109" t="s">
        <v>1606</v>
      </c>
      <c r="J440" s="1099">
        <v>7</v>
      </c>
      <c r="K440" s="1099">
        <v>10</v>
      </c>
      <c r="L440" s="1099">
        <v>12</v>
      </c>
      <c r="M440" s="1104">
        <v>14</v>
      </c>
      <c r="N440" s="1099">
        <v>80</v>
      </c>
      <c r="O440" s="1099">
        <v>120</v>
      </c>
      <c r="P440" s="1099">
        <v>160</v>
      </c>
      <c r="Q440" s="1104">
        <v>200</v>
      </c>
      <c r="R440" s="1099">
        <v>10</v>
      </c>
      <c r="S440" s="1099">
        <v>10</v>
      </c>
      <c r="T440" s="1099">
        <v>15</v>
      </c>
      <c r="U440" s="1104">
        <v>15</v>
      </c>
      <c r="V440" s="1101" t="s">
        <v>6283</v>
      </c>
      <c r="W440" s="1101" t="s">
        <v>6284</v>
      </c>
      <c r="X440" s="1101" t="s">
        <v>6285</v>
      </c>
      <c r="Y440" s="1101" t="s">
        <v>6286</v>
      </c>
      <c r="Z440" s="1102" t="s">
        <v>6287</v>
      </c>
    </row>
    <row r="441" spans="2:26" ht="12.75" customHeight="1" x14ac:dyDescent="0.2">
      <c r="B441" s="2090" t="str">
        <f t="shared" si="6"/>
        <v>Libre acceso31</v>
      </c>
      <c r="C441" s="1103"/>
      <c r="D441" s="521" t="s">
        <v>683</v>
      </c>
      <c r="E441" s="1099" t="s">
        <v>646</v>
      </c>
      <c r="F441" s="1099">
        <f t="shared" si="9"/>
        <v>31</v>
      </c>
      <c r="G441" s="1108" t="s">
        <v>1690</v>
      </c>
      <c r="H441" s="1108" t="s">
        <v>1536</v>
      </c>
      <c r="I441" s="1109" t="s">
        <v>1606</v>
      </c>
      <c r="J441" s="1099">
        <v>7</v>
      </c>
      <c r="K441" s="1099">
        <v>10</v>
      </c>
      <c r="L441" s="1099">
        <v>12</v>
      </c>
      <c r="M441" s="1104">
        <v>14</v>
      </c>
      <c r="N441" s="1099">
        <v>80</v>
      </c>
      <c r="O441" s="1099">
        <v>100</v>
      </c>
      <c r="P441" s="1099">
        <v>120</v>
      </c>
      <c r="Q441" s="1104">
        <v>140</v>
      </c>
      <c r="R441" s="1099"/>
      <c r="S441" s="1099"/>
      <c r="T441" s="1099"/>
      <c r="U441" s="1104" t="s">
        <v>4961</v>
      </c>
      <c r="V441" s="1101" t="s">
        <v>6288</v>
      </c>
      <c r="W441" s="1101" t="s">
        <v>6289</v>
      </c>
      <c r="X441" s="1101" t="s">
        <v>6290</v>
      </c>
      <c r="Y441" s="1101" t="s">
        <v>6291</v>
      </c>
      <c r="Z441" s="1102" t="s">
        <v>6292</v>
      </c>
    </row>
    <row r="442" spans="2:26" ht="12.75" customHeight="1" x14ac:dyDescent="0.2">
      <c r="B442" s="2090" t="str">
        <f t="shared" si="6"/>
        <v>Libre acceso31</v>
      </c>
      <c r="C442" s="1103"/>
      <c r="D442" s="521" t="s">
        <v>684</v>
      </c>
      <c r="E442" s="1099" t="s">
        <v>646</v>
      </c>
      <c r="F442" s="1099">
        <f t="shared" si="9"/>
        <v>31</v>
      </c>
      <c r="G442" s="1108" t="s">
        <v>1690</v>
      </c>
      <c r="H442" s="1108" t="s">
        <v>1536</v>
      </c>
      <c r="I442" s="1109" t="s">
        <v>1606</v>
      </c>
      <c r="J442" s="1099">
        <v>8</v>
      </c>
      <c r="K442" s="1099">
        <v>11</v>
      </c>
      <c r="L442" s="1099">
        <v>13</v>
      </c>
      <c r="M442" s="1104">
        <v>16</v>
      </c>
      <c r="N442" s="1099">
        <v>80</v>
      </c>
      <c r="O442" s="1099">
        <v>140</v>
      </c>
      <c r="P442" s="1099">
        <v>200</v>
      </c>
      <c r="Q442" s="1104">
        <v>300</v>
      </c>
      <c r="R442" s="1099"/>
      <c r="S442" s="1099"/>
      <c r="T442" s="1099"/>
      <c r="U442" s="1104" t="s">
        <v>4961</v>
      </c>
      <c r="V442" s="1101" t="s">
        <v>6293</v>
      </c>
      <c r="W442" s="1101" t="s">
        <v>6294</v>
      </c>
      <c r="X442" s="1101" t="s">
        <v>6295</v>
      </c>
      <c r="Y442" s="1101" t="s">
        <v>6296</v>
      </c>
      <c r="Z442" s="1102" t="s">
        <v>6297</v>
      </c>
    </row>
    <row r="443" spans="2:26" ht="12.75" customHeight="1" x14ac:dyDescent="0.2">
      <c r="B443" s="2090" t="str">
        <f t="shared" si="6"/>
        <v>Libre acceso31</v>
      </c>
      <c r="C443" s="1103"/>
      <c r="D443" s="521" t="s">
        <v>685</v>
      </c>
      <c r="E443" s="1099" t="s">
        <v>646</v>
      </c>
      <c r="F443" s="1099">
        <f t="shared" si="9"/>
        <v>31</v>
      </c>
      <c r="G443" s="1108" t="s">
        <v>1690</v>
      </c>
      <c r="H443" s="1108" t="s">
        <v>1534</v>
      </c>
      <c r="I443" s="1109" t="s">
        <v>1606</v>
      </c>
      <c r="J443" s="1099">
        <v>6</v>
      </c>
      <c r="K443" s="1099">
        <v>9</v>
      </c>
      <c r="L443" s="1099">
        <v>11</v>
      </c>
      <c r="M443" s="1104">
        <v>14</v>
      </c>
      <c r="N443" s="1099">
        <v>60</v>
      </c>
      <c r="O443" s="1099">
        <v>90</v>
      </c>
      <c r="P443" s="1099">
        <v>120</v>
      </c>
      <c r="Q443" s="1104">
        <v>150</v>
      </c>
      <c r="R443" s="1099"/>
      <c r="S443" s="1099"/>
      <c r="T443" s="1099"/>
      <c r="U443" s="1104"/>
      <c r="V443" s="1101" t="s">
        <v>6298</v>
      </c>
      <c r="W443" s="1101" t="s">
        <v>6299</v>
      </c>
      <c r="X443" s="1101" t="s">
        <v>6034</v>
      </c>
      <c r="Y443" s="1101" t="s">
        <v>5128</v>
      </c>
      <c r="Z443" s="1102" t="s">
        <v>6300</v>
      </c>
    </row>
    <row r="444" spans="2:26" ht="12.75" customHeight="1" x14ac:dyDescent="0.2">
      <c r="B444" s="2090" t="str">
        <f t="shared" si="6"/>
        <v>Libre acceso31</v>
      </c>
      <c r="C444" s="1103"/>
      <c r="D444" s="521" t="s">
        <v>686</v>
      </c>
      <c r="E444" s="1099" t="s">
        <v>646</v>
      </c>
      <c r="F444" s="1099">
        <f t="shared" si="9"/>
        <v>31</v>
      </c>
      <c r="G444" s="1108" t="s">
        <v>1690</v>
      </c>
      <c r="H444" s="1108" t="s">
        <v>1536</v>
      </c>
      <c r="I444" s="1109" t="s">
        <v>1606</v>
      </c>
      <c r="J444" s="1099">
        <v>7</v>
      </c>
      <c r="K444" s="1099">
        <v>10</v>
      </c>
      <c r="L444" s="1099">
        <v>12</v>
      </c>
      <c r="M444" s="1104">
        <v>14</v>
      </c>
      <c r="N444" s="1099">
        <v>80</v>
      </c>
      <c r="O444" s="1099">
        <v>160</v>
      </c>
      <c r="P444" s="1099">
        <v>200</v>
      </c>
      <c r="Q444" s="1104">
        <v>240</v>
      </c>
      <c r="R444" s="1099">
        <v>5</v>
      </c>
      <c r="S444" s="1099">
        <v>10</v>
      </c>
      <c r="T444" s="1099">
        <v>10</v>
      </c>
      <c r="U444" s="1104">
        <v>15</v>
      </c>
      <c r="V444" s="1101" t="s">
        <v>4918</v>
      </c>
      <c r="W444" s="1101" t="s">
        <v>4920</v>
      </c>
      <c r="X444" s="1101" t="s">
        <v>5031</v>
      </c>
      <c r="Y444" s="1101" t="s">
        <v>4779</v>
      </c>
      <c r="Z444" s="1102" t="s">
        <v>6301</v>
      </c>
    </row>
    <row r="445" spans="2:26" ht="12.75" customHeight="1" x14ac:dyDescent="0.2">
      <c r="B445" s="2090" t="str">
        <f t="shared" si="6"/>
        <v>Libre acceso31</v>
      </c>
      <c r="C445" s="1103"/>
      <c r="D445" s="521" t="s">
        <v>687</v>
      </c>
      <c r="E445" s="1099" t="s">
        <v>646</v>
      </c>
      <c r="F445" s="1099">
        <f t="shared" si="9"/>
        <v>31</v>
      </c>
      <c r="G445" s="1108" t="s">
        <v>2446</v>
      </c>
      <c r="H445" s="1108" t="s">
        <v>5406</v>
      </c>
      <c r="I445" s="1109" t="s">
        <v>1606</v>
      </c>
      <c r="J445" s="1099">
        <v>6</v>
      </c>
      <c r="K445" s="1099">
        <v>9</v>
      </c>
      <c r="L445" s="1099">
        <v>11</v>
      </c>
      <c r="M445" s="1104">
        <v>14</v>
      </c>
      <c r="N445" s="1099">
        <v>50</v>
      </c>
      <c r="O445" s="1099">
        <v>100</v>
      </c>
      <c r="P445" s="1099">
        <v>150</v>
      </c>
      <c r="Q445" s="1104">
        <v>200</v>
      </c>
      <c r="R445" s="1099">
        <v>5</v>
      </c>
      <c r="S445" s="1099">
        <v>10</v>
      </c>
      <c r="T445" s="1099">
        <v>15</v>
      </c>
      <c r="U445" s="1104">
        <v>15</v>
      </c>
      <c r="V445" s="1101" t="s">
        <v>4968</v>
      </c>
      <c r="W445" s="1101" t="s">
        <v>4864</v>
      </c>
      <c r="X445" s="1101" t="s">
        <v>4865</v>
      </c>
      <c r="Y445" s="1101" t="s">
        <v>4866</v>
      </c>
      <c r="Z445" s="1102" t="s">
        <v>6302</v>
      </c>
    </row>
    <row r="446" spans="2:26" ht="12.75" customHeight="1" x14ac:dyDescent="0.2">
      <c r="B446" s="2090" t="str">
        <f t="shared" si="6"/>
        <v>Libre acceso31</v>
      </c>
      <c r="C446" s="1103"/>
      <c r="D446" s="521" t="s">
        <v>202</v>
      </c>
      <c r="E446" s="1099" t="s">
        <v>646</v>
      </c>
      <c r="F446" s="1099">
        <f t="shared" si="9"/>
        <v>31</v>
      </c>
      <c r="G446" s="1108" t="s">
        <v>1690</v>
      </c>
      <c r="H446" s="1108" t="s">
        <v>1538</v>
      </c>
      <c r="I446" s="1109" t="s">
        <v>1606</v>
      </c>
      <c r="J446" s="1099">
        <v>7</v>
      </c>
      <c r="K446" s="1099">
        <v>10</v>
      </c>
      <c r="L446" s="1099">
        <v>13</v>
      </c>
      <c r="M446" s="1104">
        <v>16</v>
      </c>
      <c r="N446" s="1099">
        <v>60</v>
      </c>
      <c r="O446" s="1099">
        <v>90</v>
      </c>
      <c r="P446" s="1099">
        <v>120</v>
      </c>
      <c r="Q446" s="1104">
        <v>150</v>
      </c>
      <c r="R446" s="1099">
        <v>5</v>
      </c>
      <c r="S446" s="1099">
        <v>5</v>
      </c>
      <c r="T446" s="1099">
        <v>10</v>
      </c>
      <c r="U446" s="1104">
        <v>10</v>
      </c>
      <c r="V446" s="1101" t="s">
        <v>6303</v>
      </c>
      <c r="W446" s="1101" t="s">
        <v>6304</v>
      </c>
      <c r="X446" s="1101" t="s">
        <v>6305</v>
      </c>
      <c r="Y446" s="1101" t="s">
        <v>6306</v>
      </c>
      <c r="Z446" s="1102" t="s">
        <v>6307</v>
      </c>
    </row>
    <row r="447" spans="2:26" ht="12.75" customHeight="1" x14ac:dyDescent="0.2">
      <c r="B447" s="2090" t="str">
        <f t="shared" si="6"/>
        <v>Libre acceso31</v>
      </c>
      <c r="C447" s="1103"/>
      <c r="D447" s="521" t="s">
        <v>688</v>
      </c>
      <c r="E447" s="1099" t="s">
        <v>646</v>
      </c>
      <c r="F447" s="1099">
        <f t="shared" si="9"/>
        <v>31</v>
      </c>
      <c r="G447" s="1108" t="s">
        <v>1690</v>
      </c>
      <c r="H447" s="1108" t="s">
        <v>5406</v>
      </c>
      <c r="I447" s="1109" t="s">
        <v>1606</v>
      </c>
      <c r="J447" s="1099">
        <v>7</v>
      </c>
      <c r="K447" s="1099">
        <v>10</v>
      </c>
      <c r="L447" s="1099">
        <v>12</v>
      </c>
      <c r="M447" s="1104">
        <v>14</v>
      </c>
      <c r="N447" s="1099">
        <v>80</v>
      </c>
      <c r="O447" s="1099">
        <v>100</v>
      </c>
      <c r="P447" s="1099">
        <v>140</v>
      </c>
      <c r="Q447" s="1104">
        <v>180</v>
      </c>
      <c r="R447" s="1099">
        <v>10</v>
      </c>
      <c r="S447" s="1099">
        <v>10</v>
      </c>
      <c r="T447" s="1099">
        <v>15</v>
      </c>
      <c r="U447" s="1104">
        <v>20</v>
      </c>
      <c r="V447" s="1101" t="s">
        <v>6308</v>
      </c>
      <c r="W447" s="1101" t="s">
        <v>6309</v>
      </c>
      <c r="X447" s="1101" t="s">
        <v>6310</v>
      </c>
      <c r="Y447" s="1101" t="s">
        <v>6311</v>
      </c>
      <c r="Z447" s="1102" t="s">
        <v>6312</v>
      </c>
    </row>
    <row r="448" spans="2:26" ht="12.75" customHeight="1" x14ac:dyDescent="0.2">
      <c r="B448" s="2090" t="str">
        <f t="shared" si="6"/>
        <v>Libre acceso31</v>
      </c>
      <c r="C448" s="1103"/>
      <c r="D448" s="521" t="s">
        <v>689</v>
      </c>
      <c r="E448" s="1099" t="s">
        <v>646</v>
      </c>
      <c r="F448" s="1099">
        <f t="shared" si="9"/>
        <v>31</v>
      </c>
      <c r="G448" s="1108" t="s">
        <v>2446</v>
      </c>
      <c r="H448" s="1108" t="s">
        <v>6313</v>
      </c>
      <c r="I448" s="1109" t="s">
        <v>1606</v>
      </c>
      <c r="J448" s="1099">
        <v>7</v>
      </c>
      <c r="K448" s="1099">
        <v>10</v>
      </c>
      <c r="L448" s="1099">
        <v>12</v>
      </c>
      <c r="M448" s="1104">
        <v>14</v>
      </c>
      <c r="N448" s="1099">
        <v>80</v>
      </c>
      <c r="O448" s="1099">
        <v>100</v>
      </c>
      <c r="P448" s="1099">
        <v>120</v>
      </c>
      <c r="Q448" s="1104">
        <v>140</v>
      </c>
      <c r="R448" s="1099">
        <v>10</v>
      </c>
      <c r="S448" s="1099">
        <v>10</v>
      </c>
      <c r="T448" s="1099">
        <v>15</v>
      </c>
      <c r="U448" s="1104">
        <v>15</v>
      </c>
      <c r="V448" s="1101" t="s">
        <v>5006</v>
      </c>
      <c r="W448" s="1101" t="s">
        <v>6314</v>
      </c>
      <c r="X448" s="1101" t="s">
        <v>4968</v>
      </c>
      <c r="Y448" s="1101" t="s">
        <v>6086</v>
      </c>
      <c r="Z448" s="1102" t="s">
        <v>6315</v>
      </c>
    </row>
    <row r="449" spans="2:26" ht="12.75" customHeight="1" x14ac:dyDescent="0.2">
      <c r="B449" s="2090" t="str">
        <f t="shared" si="6"/>
        <v/>
      </c>
      <c r="C449" s="1103"/>
      <c r="D449" s="521" t="s">
        <v>690</v>
      </c>
      <c r="E449" s="1099"/>
      <c r="F449" s="1099"/>
      <c r="G449" s="1108"/>
      <c r="H449" s="1108"/>
      <c r="I449" s="1109"/>
      <c r="J449" s="1099"/>
      <c r="K449" s="1099"/>
      <c r="L449" s="1099"/>
      <c r="M449" s="1104"/>
      <c r="N449" s="1099"/>
      <c r="O449" s="1099"/>
      <c r="P449" s="1099"/>
      <c r="Q449" s="1104"/>
      <c r="R449" s="1099"/>
      <c r="S449" s="1099"/>
      <c r="T449" s="1099"/>
      <c r="U449" s="1104"/>
      <c r="V449" s="1101"/>
      <c r="W449" s="1101"/>
      <c r="X449" s="1101"/>
      <c r="Y449" s="1101"/>
      <c r="Z449" s="1102"/>
    </row>
    <row r="450" spans="2:26" ht="12.75" customHeight="1" x14ac:dyDescent="0.2">
      <c r="B450" s="2090" t="str">
        <f t="shared" si="6"/>
        <v>Libre acceso41</v>
      </c>
      <c r="C450" s="1103"/>
      <c r="D450" s="521" t="s">
        <v>691</v>
      </c>
      <c r="E450" s="1099" t="s">
        <v>646</v>
      </c>
      <c r="F450" s="1099">
        <f>F437+10</f>
        <v>41</v>
      </c>
      <c r="G450" s="1108" t="s">
        <v>1690</v>
      </c>
      <c r="H450" s="1108" t="s">
        <v>1536</v>
      </c>
      <c r="I450" s="1109" t="s">
        <v>1606</v>
      </c>
      <c r="J450" s="1099">
        <v>6</v>
      </c>
      <c r="K450" s="1099">
        <v>9</v>
      </c>
      <c r="L450" s="1099">
        <v>12</v>
      </c>
      <c r="M450" s="1104">
        <v>15</v>
      </c>
      <c r="N450" s="1099">
        <v>60</v>
      </c>
      <c r="O450" s="1099">
        <v>90</v>
      </c>
      <c r="P450" s="1099">
        <v>120</v>
      </c>
      <c r="Q450" s="1104">
        <v>150</v>
      </c>
      <c r="R450" s="1099"/>
      <c r="S450" s="1099"/>
      <c r="T450" s="1099"/>
      <c r="U450" s="1104"/>
      <c r="V450" s="1101" t="s">
        <v>6279</v>
      </c>
      <c r="W450" s="1101" t="s">
        <v>6316</v>
      </c>
      <c r="X450" s="1101" t="s">
        <v>6317</v>
      </c>
      <c r="Y450" s="1101" t="s">
        <v>6318</v>
      </c>
      <c r="Z450" s="1102" t="s">
        <v>6319</v>
      </c>
    </row>
    <row r="451" spans="2:26" ht="12.75" customHeight="1" x14ac:dyDescent="0.2">
      <c r="B451" s="2090" t="str">
        <f t="shared" si="6"/>
        <v>Libre acceso41</v>
      </c>
      <c r="C451" s="1103"/>
      <c r="D451" s="521" t="s">
        <v>692</v>
      </c>
      <c r="E451" s="1099" t="s">
        <v>646</v>
      </c>
      <c r="F451" s="1099">
        <f t="shared" ref="F451:F461" si="10">F438+10</f>
        <v>41</v>
      </c>
      <c r="G451" s="1108" t="s">
        <v>1690</v>
      </c>
      <c r="H451" s="1108" t="s">
        <v>1537</v>
      </c>
      <c r="I451" s="1109" t="s">
        <v>1606</v>
      </c>
      <c r="J451" s="1099">
        <v>8</v>
      </c>
      <c r="K451" s="1099">
        <v>10</v>
      </c>
      <c r="L451" s="1099">
        <v>12</v>
      </c>
      <c r="M451" s="1104">
        <v>15</v>
      </c>
      <c r="N451" s="1099">
        <v>120</v>
      </c>
      <c r="O451" s="1099">
        <v>180</v>
      </c>
      <c r="P451" s="1099">
        <v>240</v>
      </c>
      <c r="Q451" s="1104">
        <v>300</v>
      </c>
      <c r="R451" s="1099"/>
      <c r="S451" s="1099"/>
      <c r="T451" s="1099"/>
      <c r="U451" s="1104" t="s">
        <v>4961</v>
      </c>
      <c r="V451" s="1101" t="s">
        <v>8648</v>
      </c>
      <c r="W451" s="1101" t="s">
        <v>8649</v>
      </c>
      <c r="X451" s="1101" t="s">
        <v>8650</v>
      </c>
      <c r="Y451" s="1101" t="s">
        <v>8651</v>
      </c>
      <c r="Z451" s="1102" t="s">
        <v>6320</v>
      </c>
    </row>
    <row r="452" spans="2:26" ht="12.75" customHeight="1" x14ac:dyDescent="0.2">
      <c r="B452" s="2090" t="str">
        <f t="shared" si="6"/>
        <v>Libre acceso41</v>
      </c>
      <c r="C452" s="1103"/>
      <c r="D452" s="521" t="s">
        <v>693</v>
      </c>
      <c r="E452" s="1099" t="s">
        <v>646</v>
      </c>
      <c r="F452" s="1099">
        <f t="shared" si="10"/>
        <v>41</v>
      </c>
      <c r="G452" s="1108" t="s">
        <v>2446</v>
      </c>
      <c r="H452" s="1108" t="s">
        <v>5406</v>
      </c>
      <c r="I452" s="1109" t="s">
        <v>1606</v>
      </c>
      <c r="J452" s="1099">
        <v>8</v>
      </c>
      <c r="K452" s="1099">
        <v>10</v>
      </c>
      <c r="L452" s="1099">
        <v>13</v>
      </c>
      <c r="M452" s="1104">
        <v>16</v>
      </c>
      <c r="N452" s="1099">
        <v>200</v>
      </c>
      <c r="O452" s="1099">
        <v>350</v>
      </c>
      <c r="P452" s="1099">
        <v>500</v>
      </c>
      <c r="Q452" s="1104">
        <v>700</v>
      </c>
      <c r="R452" s="1099">
        <v>10</v>
      </c>
      <c r="S452" s="1099">
        <v>20</v>
      </c>
      <c r="T452" s="1099">
        <v>25</v>
      </c>
      <c r="U452" s="1104">
        <v>35</v>
      </c>
      <c r="V452" s="1101" t="s">
        <v>6321</v>
      </c>
      <c r="W452" s="1101" t="s">
        <v>6322</v>
      </c>
      <c r="X452" s="1101" t="s">
        <v>6323</v>
      </c>
      <c r="Y452" s="1101" t="s">
        <v>6324</v>
      </c>
      <c r="Z452" s="1102" t="s">
        <v>6325</v>
      </c>
    </row>
    <row r="453" spans="2:26" ht="12.75" customHeight="1" x14ac:dyDescent="0.2">
      <c r="B453" s="2090" t="str">
        <f t="shared" si="6"/>
        <v>Libre acceso41</v>
      </c>
      <c r="C453" s="1103"/>
      <c r="D453" s="521" t="s">
        <v>694</v>
      </c>
      <c r="E453" s="1099" t="s">
        <v>646</v>
      </c>
      <c r="F453" s="1099">
        <f t="shared" si="10"/>
        <v>41</v>
      </c>
      <c r="G453" s="1108" t="s">
        <v>1690</v>
      </c>
      <c r="H453" s="1108" t="s">
        <v>1537</v>
      </c>
      <c r="I453" s="1109" t="s">
        <v>1606</v>
      </c>
      <c r="J453" s="1099">
        <v>6</v>
      </c>
      <c r="K453" s="1099">
        <v>9</v>
      </c>
      <c r="L453" s="1099">
        <v>12</v>
      </c>
      <c r="M453" s="1104">
        <v>15</v>
      </c>
      <c r="N453" s="1099">
        <v>60</v>
      </c>
      <c r="O453" s="1099">
        <v>90</v>
      </c>
      <c r="P453" s="1099">
        <v>120</v>
      </c>
      <c r="Q453" s="1104">
        <v>150</v>
      </c>
      <c r="R453" s="1099">
        <v>5</v>
      </c>
      <c r="S453" s="1099">
        <v>5</v>
      </c>
      <c r="T453" s="1099">
        <v>10</v>
      </c>
      <c r="U453" s="1104">
        <v>10</v>
      </c>
      <c r="V453" s="1101" t="s">
        <v>6326</v>
      </c>
      <c r="W453" s="1101" t="s">
        <v>6327</v>
      </c>
      <c r="X453" s="1101" t="s">
        <v>6328</v>
      </c>
      <c r="Y453" s="1101" t="s">
        <v>6329</v>
      </c>
      <c r="Z453" s="1102" t="s">
        <v>6330</v>
      </c>
    </row>
    <row r="454" spans="2:26" ht="12.75" customHeight="1" x14ac:dyDescent="0.2">
      <c r="B454" s="2090" t="str">
        <f t="shared" si="6"/>
        <v>Libre acceso41</v>
      </c>
      <c r="C454" s="1103"/>
      <c r="D454" s="521" t="s">
        <v>695</v>
      </c>
      <c r="E454" s="1099" t="s">
        <v>646</v>
      </c>
      <c r="F454" s="1099">
        <f t="shared" si="10"/>
        <v>41</v>
      </c>
      <c r="G454" s="1108" t="s">
        <v>1690</v>
      </c>
      <c r="H454" s="1108" t="s">
        <v>1536</v>
      </c>
      <c r="I454" s="1109" t="s">
        <v>1606</v>
      </c>
      <c r="J454" s="1099">
        <v>8</v>
      </c>
      <c r="K454" s="1099">
        <v>10</v>
      </c>
      <c r="L454" s="1099">
        <v>12</v>
      </c>
      <c r="M454" s="1104">
        <v>15</v>
      </c>
      <c r="N454" s="1099">
        <v>100</v>
      </c>
      <c r="O454" s="1099">
        <v>140</v>
      </c>
      <c r="P454" s="1099">
        <v>180</v>
      </c>
      <c r="Q454" s="1104">
        <v>240</v>
      </c>
      <c r="R454" s="1099"/>
      <c r="S454" s="1099"/>
      <c r="T454" s="1099"/>
      <c r="U454" s="1104" t="s">
        <v>4961</v>
      </c>
      <c r="V454" s="1101" t="s">
        <v>6331</v>
      </c>
      <c r="W454" s="1101" t="s">
        <v>6332</v>
      </c>
      <c r="X454" s="1101" t="s">
        <v>6333</v>
      </c>
      <c r="Y454" s="1101" t="s">
        <v>6334</v>
      </c>
      <c r="Z454" s="1102" t="s">
        <v>6335</v>
      </c>
    </row>
    <row r="455" spans="2:26" ht="12.75" customHeight="1" x14ac:dyDescent="0.2">
      <c r="B455" s="2090" t="str">
        <f t="shared" si="6"/>
        <v>Libre acceso41</v>
      </c>
      <c r="C455" s="1103"/>
      <c r="D455" s="521" t="s">
        <v>696</v>
      </c>
      <c r="E455" s="1099" t="s">
        <v>646</v>
      </c>
      <c r="F455" s="1099">
        <f t="shared" si="10"/>
        <v>41</v>
      </c>
      <c r="G455" s="1108" t="s">
        <v>1690</v>
      </c>
      <c r="H455" s="1108" t="s">
        <v>1535</v>
      </c>
      <c r="I455" s="1109" t="s">
        <v>1606</v>
      </c>
      <c r="J455" s="1099">
        <v>8</v>
      </c>
      <c r="K455" s="1099">
        <v>10</v>
      </c>
      <c r="L455" s="1099">
        <v>12</v>
      </c>
      <c r="M455" s="1104">
        <v>15</v>
      </c>
      <c r="N455" s="1099">
        <v>60</v>
      </c>
      <c r="O455" s="1099">
        <v>100</v>
      </c>
      <c r="P455" s="1099">
        <v>140</v>
      </c>
      <c r="Q455" s="1104">
        <v>200</v>
      </c>
      <c r="R455" s="1099"/>
      <c r="S455" s="1099"/>
      <c r="T455" s="1099"/>
      <c r="U455" s="1104"/>
      <c r="V455" s="1101" t="s">
        <v>6336</v>
      </c>
      <c r="W455" s="1101" t="s">
        <v>6337</v>
      </c>
      <c r="X455" s="1101" t="s">
        <v>6338</v>
      </c>
      <c r="Y455" s="1101" t="s">
        <v>6339</v>
      </c>
      <c r="Z455" s="1102" t="s">
        <v>6340</v>
      </c>
    </row>
    <row r="456" spans="2:26" ht="12.75" customHeight="1" x14ac:dyDescent="0.2">
      <c r="B456" s="2090" t="str">
        <f t="shared" ref="B456:B519" si="11">E456&amp;F456</f>
        <v>Libre acceso41</v>
      </c>
      <c r="C456" s="1103"/>
      <c r="D456" s="521" t="s">
        <v>697</v>
      </c>
      <c r="E456" s="1099" t="s">
        <v>646</v>
      </c>
      <c r="F456" s="1099">
        <f t="shared" si="10"/>
        <v>41</v>
      </c>
      <c r="G456" s="1108" t="s">
        <v>1690</v>
      </c>
      <c r="H456" s="1108" t="s">
        <v>1537</v>
      </c>
      <c r="I456" s="1109" t="s">
        <v>1606</v>
      </c>
      <c r="J456" s="1099">
        <v>8</v>
      </c>
      <c r="K456" s="1099">
        <v>10</v>
      </c>
      <c r="L456" s="1099">
        <v>12</v>
      </c>
      <c r="M456" s="1104">
        <v>14</v>
      </c>
      <c r="N456" s="1099">
        <v>150</v>
      </c>
      <c r="O456" s="1099">
        <v>200</v>
      </c>
      <c r="P456" s="1099">
        <v>240</v>
      </c>
      <c r="Q456" s="1104">
        <v>280</v>
      </c>
      <c r="R456" s="1099">
        <v>10</v>
      </c>
      <c r="S456" s="1099">
        <v>10</v>
      </c>
      <c r="T456" s="1099">
        <v>15</v>
      </c>
      <c r="U456" s="1104">
        <v>15</v>
      </c>
      <c r="V456" s="1101" t="s">
        <v>6341</v>
      </c>
      <c r="W456" s="1101" t="s">
        <v>6342</v>
      </c>
      <c r="X456" s="1101" t="s">
        <v>6343</v>
      </c>
      <c r="Y456" s="1101" t="s">
        <v>6344</v>
      </c>
      <c r="Z456" s="1102" t="s">
        <v>6345</v>
      </c>
    </row>
    <row r="457" spans="2:26" ht="12.75" customHeight="1" x14ac:dyDescent="0.2">
      <c r="B457" s="2090" t="str">
        <f t="shared" si="11"/>
        <v>Libre acceso41</v>
      </c>
      <c r="C457" s="1103"/>
      <c r="D457" s="521" t="s">
        <v>698</v>
      </c>
      <c r="E457" s="1099" t="s">
        <v>646</v>
      </c>
      <c r="F457" s="1099">
        <f t="shared" si="10"/>
        <v>41</v>
      </c>
      <c r="G457" s="1108" t="s">
        <v>1690</v>
      </c>
      <c r="H457" s="1108" t="s">
        <v>1535</v>
      </c>
      <c r="I457" s="1109" t="s">
        <v>1606</v>
      </c>
      <c r="J457" s="1099">
        <v>8</v>
      </c>
      <c r="K457" s="1099">
        <v>10</v>
      </c>
      <c r="L457" s="1099">
        <v>12</v>
      </c>
      <c r="M457" s="1104">
        <v>15</v>
      </c>
      <c r="N457" s="1099">
        <v>100</v>
      </c>
      <c r="O457" s="1099">
        <v>160</v>
      </c>
      <c r="P457" s="1099">
        <v>200</v>
      </c>
      <c r="Q457" s="1104">
        <v>240</v>
      </c>
      <c r="R457" s="1099">
        <v>10</v>
      </c>
      <c r="S457" s="1099">
        <v>20</v>
      </c>
      <c r="T457" s="1099">
        <v>20</v>
      </c>
      <c r="U457" s="1104">
        <v>25</v>
      </c>
      <c r="V457" s="1101" t="s">
        <v>6346</v>
      </c>
      <c r="W457" s="1101" t="s">
        <v>4982</v>
      </c>
      <c r="X457" s="1101" t="s">
        <v>5977</v>
      </c>
      <c r="Y457" s="1101" t="s">
        <v>5978</v>
      </c>
      <c r="Z457" s="1102" t="s">
        <v>6347</v>
      </c>
    </row>
    <row r="458" spans="2:26" ht="12.75" customHeight="1" x14ac:dyDescent="0.2">
      <c r="B458" s="2090" t="str">
        <f t="shared" si="11"/>
        <v>Libre acceso41</v>
      </c>
      <c r="C458" s="1103"/>
      <c r="D458" s="521" t="s">
        <v>699</v>
      </c>
      <c r="E458" s="1099" t="s">
        <v>646</v>
      </c>
      <c r="F458" s="1099">
        <f t="shared" si="10"/>
        <v>41</v>
      </c>
      <c r="G458" s="1108" t="s">
        <v>1690</v>
      </c>
      <c r="H458" s="1108" t="s">
        <v>1535</v>
      </c>
      <c r="I458" s="1109" t="s">
        <v>1606</v>
      </c>
      <c r="J458" s="1099">
        <v>8</v>
      </c>
      <c r="K458" s="1099">
        <v>10</v>
      </c>
      <c r="L458" s="1099">
        <v>12</v>
      </c>
      <c r="M458" s="1104">
        <v>15</v>
      </c>
      <c r="N458" s="1099">
        <v>60</v>
      </c>
      <c r="O458" s="1099">
        <v>90</v>
      </c>
      <c r="P458" s="1099">
        <v>120</v>
      </c>
      <c r="Q458" s="1104">
        <v>150</v>
      </c>
      <c r="R458" s="1099">
        <v>10</v>
      </c>
      <c r="S458" s="1099">
        <v>10</v>
      </c>
      <c r="T458" s="1099">
        <v>15</v>
      </c>
      <c r="U458" s="1104">
        <v>15</v>
      </c>
      <c r="V458" s="1101" t="s">
        <v>6348</v>
      </c>
      <c r="W458" s="1101" t="s">
        <v>6349</v>
      </c>
      <c r="X458" s="1101" t="s">
        <v>6350</v>
      </c>
      <c r="Y458" s="1101" t="s">
        <v>6351</v>
      </c>
      <c r="Z458" s="1102" t="s">
        <v>6352</v>
      </c>
    </row>
    <row r="459" spans="2:26" ht="12.75" customHeight="1" x14ac:dyDescent="0.2">
      <c r="B459" s="2090" t="str">
        <f t="shared" si="11"/>
        <v>Libre acceso41</v>
      </c>
      <c r="C459" s="1103"/>
      <c r="D459" s="521" t="s">
        <v>700</v>
      </c>
      <c r="E459" s="1099" t="s">
        <v>646</v>
      </c>
      <c r="F459" s="1099">
        <f t="shared" si="10"/>
        <v>41</v>
      </c>
      <c r="G459" s="1108" t="s">
        <v>2446</v>
      </c>
      <c r="H459" s="1108" t="s">
        <v>1535</v>
      </c>
      <c r="I459" s="1109" t="s">
        <v>1606</v>
      </c>
      <c r="J459" s="1099">
        <v>8</v>
      </c>
      <c r="K459" s="1099">
        <v>10</v>
      </c>
      <c r="L459" s="1099">
        <v>12</v>
      </c>
      <c r="M459" s="1104">
        <v>14</v>
      </c>
      <c r="N459" s="1099">
        <v>80</v>
      </c>
      <c r="O459" s="1099">
        <v>120</v>
      </c>
      <c r="P459" s="1099">
        <v>180</v>
      </c>
      <c r="Q459" s="1104">
        <v>220</v>
      </c>
      <c r="R459" s="1099">
        <v>10</v>
      </c>
      <c r="S459" s="1099">
        <v>15</v>
      </c>
      <c r="T459" s="1099">
        <v>20</v>
      </c>
      <c r="U459" s="1104">
        <v>25</v>
      </c>
      <c r="V459" s="1101" t="s">
        <v>4982</v>
      </c>
      <c r="W459" s="1101" t="s">
        <v>5977</v>
      </c>
      <c r="X459" s="1101" t="s">
        <v>6353</v>
      </c>
      <c r="Y459" s="1101" t="s">
        <v>5978</v>
      </c>
      <c r="Z459" s="1102" t="s">
        <v>6354</v>
      </c>
    </row>
    <row r="460" spans="2:26" ht="12.75" customHeight="1" x14ac:dyDescent="0.2">
      <c r="B460" s="2090" t="str">
        <f t="shared" si="11"/>
        <v>Libre acceso41</v>
      </c>
      <c r="C460" s="1103"/>
      <c r="D460" s="521" t="s">
        <v>701</v>
      </c>
      <c r="E460" s="1099" t="s">
        <v>646</v>
      </c>
      <c r="F460" s="1099">
        <f t="shared" si="10"/>
        <v>41</v>
      </c>
      <c r="G460" s="1108" t="s">
        <v>1690</v>
      </c>
      <c r="H460" s="1108" t="s">
        <v>1536</v>
      </c>
      <c r="I460" s="1109" t="s">
        <v>1606</v>
      </c>
      <c r="J460" s="1099">
        <v>8</v>
      </c>
      <c r="K460" s="1099">
        <v>10</v>
      </c>
      <c r="L460" s="1099">
        <v>12</v>
      </c>
      <c r="M460" s="1104">
        <v>16</v>
      </c>
      <c r="N460" s="1099">
        <v>80</v>
      </c>
      <c r="O460" s="1099">
        <v>180</v>
      </c>
      <c r="P460" s="1099">
        <v>320</v>
      </c>
      <c r="Q460" s="1104">
        <v>500</v>
      </c>
      <c r="R460" s="1099"/>
      <c r="S460" s="1099"/>
      <c r="T460" s="1099"/>
      <c r="U460" s="1104" t="s">
        <v>4961</v>
      </c>
      <c r="V460" s="1101" t="s">
        <v>6355</v>
      </c>
      <c r="W460" s="1101" t="s">
        <v>6356</v>
      </c>
      <c r="X460" s="1101" t="s">
        <v>6357</v>
      </c>
      <c r="Y460" s="1101" t="s">
        <v>6358</v>
      </c>
      <c r="Z460" s="1102" t="s">
        <v>6359</v>
      </c>
    </row>
    <row r="461" spans="2:26" ht="12.75" customHeight="1" x14ac:dyDescent="0.2">
      <c r="B461" s="2090" t="str">
        <f t="shared" si="11"/>
        <v>Libre acceso41</v>
      </c>
      <c r="C461" s="1103"/>
      <c r="D461" s="521" t="s">
        <v>702</v>
      </c>
      <c r="E461" s="1099" t="s">
        <v>646</v>
      </c>
      <c r="F461" s="1099">
        <f t="shared" si="10"/>
        <v>41</v>
      </c>
      <c r="G461" s="1108" t="s">
        <v>2446</v>
      </c>
      <c r="H461" s="1108" t="s">
        <v>1535</v>
      </c>
      <c r="I461" s="1109" t="s">
        <v>1606</v>
      </c>
      <c r="J461" s="1099">
        <v>8</v>
      </c>
      <c r="K461" s="1099">
        <v>10</v>
      </c>
      <c r="L461" s="1099">
        <v>12</v>
      </c>
      <c r="M461" s="1104">
        <v>14</v>
      </c>
      <c r="N461" s="1099">
        <v>100</v>
      </c>
      <c r="O461" s="1099">
        <v>160</v>
      </c>
      <c r="P461" s="1099">
        <v>200</v>
      </c>
      <c r="Q461" s="1104">
        <v>240</v>
      </c>
      <c r="R461" s="1099">
        <v>10</v>
      </c>
      <c r="S461" s="1099">
        <v>20</v>
      </c>
      <c r="T461" s="1099">
        <v>20</v>
      </c>
      <c r="U461" s="1104">
        <v>25</v>
      </c>
      <c r="V461" s="1101" t="s">
        <v>6360</v>
      </c>
      <c r="W461" s="1101" t="s">
        <v>6361</v>
      </c>
      <c r="X461" s="1101" t="s">
        <v>6362</v>
      </c>
      <c r="Y461" s="1101" t="s">
        <v>6363</v>
      </c>
      <c r="Z461" s="1102" t="s">
        <v>6364</v>
      </c>
    </row>
    <row r="462" spans="2:26" ht="12.75" customHeight="1" x14ac:dyDescent="0.2">
      <c r="B462" s="2090" t="str">
        <f t="shared" si="11"/>
        <v/>
      </c>
      <c r="C462" s="1103"/>
      <c r="D462" s="521" t="s">
        <v>703</v>
      </c>
      <c r="E462" s="1099"/>
      <c r="F462" s="1099"/>
      <c r="G462" s="1108"/>
      <c r="H462" s="1108"/>
      <c r="I462" s="1109"/>
      <c r="J462" s="1099"/>
      <c r="K462" s="1099"/>
      <c r="L462" s="1099"/>
      <c r="M462" s="1104"/>
      <c r="N462" s="1099"/>
      <c r="O462" s="1099"/>
      <c r="P462" s="1099"/>
      <c r="Q462" s="1104"/>
      <c r="R462" s="1099"/>
      <c r="S462" s="1099"/>
      <c r="T462" s="1099"/>
      <c r="U462" s="1104"/>
      <c r="V462" s="1101"/>
      <c r="W462" s="1101"/>
      <c r="X462" s="1101"/>
      <c r="Y462" s="1101"/>
      <c r="Z462" s="1102"/>
    </row>
    <row r="463" spans="2:26" ht="12.75" customHeight="1" x14ac:dyDescent="0.2">
      <c r="B463" s="2090" t="str">
        <f t="shared" si="11"/>
        <v>Libre acceso51</v>
      </c>
      <c r="C463" s="1103"/>
      <c r="D463" s="521" t="s">
        <v>704</v>
      </c>
      <c r="E463" s="1099" t="s">
        <v>646</v>
      </c>
      <c r="F463" s="1099">
        <f>F450+10</f>
        <v>51</v>
      </c>
      <c r="G463" s="1108" t="s">
        <v>2446</v>
      </c>
      <c r="H463" s="1108" t="s">
        <v>5406</v>
      </c>
      <c r="I463" s="1109" t="s">
        <v>1606</v>
      </c>
      <c r="J463" s="1099">
        <v>8</v>
      </c>
      <c r="K463" s="1099">
        <v>10</v>
      </c>
      <c r="L463" s="1099">
        <v>12</v>
      </c>
      <c r="M463" s="1104">
        <v>14</v>
      </c>
      <c r="N463" s="1099">
        <v>80</v>
      </c>
      <c r="O463" s="1099">
        <v>120</v>
      </c>
      <c r="P463" s="1099">
        <v>160</v>
      </c>
      <c r="Q463" s="1104">
        <v>200</v>
      </c>
      <c r="R463" s="1099">
        <v>10</v>
      </c>
      <c r="S463" s="1099">
        <v>10</v>
      </c>
      <c r="T463" s="1099">
        <v>15</v>
      </c>
      <c r="U463" s="1104">
        <v>15</v>
      </c>
      <c r="V463" s="1101" t="s">
        <v>6365</v>
      </c>
      <c r="W463" s="1101" t="s">
        <v>6366</v>
      </c>
      <c r="X463" s="1101" t="s">
        <v>4825</v>
      </c>
      <c r="Y463" s="1101" t="s">
        <v>4826</v>
      </c>
      <c r="Z463" s="1102" t="s">
        <v>8652</v>
      </c>
    </row>
    <row r="464" spans="2:26" ht="12.75" customHeight="1" x14ac:dyDescent="0.2">
      <c r="B464" s="2090" t="str">
        <f t="shared" si="11"/>
        <v>Libre acceso51</v>
      </c>
      <c r="C464" s="1103"/>
      <c r="D464" s="521" t="s">
        <v>705</v>
      </c>
      <c r="E464" s="1099" t="s">
        <v>646</v>
      </c>
      <c r="F464" s="1099">
        <f t="shared" ref="F464:F474" si="12">F451+10</f>
        <v>51</v>
      </c>
      <c r="G464" s="1108" t="s">
        <v>1690</v>
      </c>
      <c r="H464" s="1108" t="s">
        <v>5406</v>
      </c>
      <c r="I464" s="1109" t="s">
        <v>1606</v>
      </c>
      <c r="J464" s="1099">
        <v>8</v>
      </c>
      <c r="K464" s="1099">
        <v>10</v>
      </c>
      <c r="L464" s="1099">
        <v>13</v>
      </c>
      <c r="M464" s="1104">
        <v>15</v>
      </c>
      <c r="N464" s="1099">
        <v>80</v>
      </c>
      <c r="O464" s="1099">
        <v>120</v>
      </c>
      <c r="P464" s="1099">
        <v>160</v>
      </c>
      <c r="Q464" s="1104">
        <v>200</v>
      </c>
      <c r="R464" s="1099">
        <v>10</v>
      </c>
      <c r="S464" s="1099">
        <v>15</v>
      </c>
      <c r="T464" s="1099">
        <v>20</v>
      </c>
      <c r="U464" s="1104">
        <v>20</v>
      </c>
      <c r="V464" s="1101" t="s">
        <v>6367</v>
      </c>
      <c r="W464" s="1101" t="s">
        <v>6326</v>
      </c>
      <c r="X464" s="1101" t="s">
        <v>6368</v>
      </c>
      <c r="Y464" s="1101" t="s">
        <v>6369</v>
      </c>
      <c r="Z464" s="1102" t="s">
        <v>6370</v>
      </c>
    </row>
    <row r="465" spans="2:26" ht="12.75" customHeight="1" x14ac:dyDescent="0.2">
      <c r="B465" s="2090" t="str">
        <f t="shared" si="11"/>
        <v>Libre acceso51</v>
      </c>
      <c r="C465" s="1103"/>
      <c r="D465" s="521" t="s">
        <v>706</v>
      </c>
      <c r="E465" s="1099" t="s">
        <v>646</v>
      </c>
      <c r="F465" s="1099">
        <f t="shared" si="12"/>
        <v>51</v>
      </c>
      <c r="G465" s="1108" t="s">
        <v>1690</v>
      </c>
      <c r="H465" s="1108" t="s">
        <v>5406</v>
      </c>
      <c r="I465" s="1109" t="s">
        <v>1606</v>
      </c>
      <c r="J465" s="1099">
        <v>8</v>
      </c>
      <c r="K465" s="1099">
        <v>10</v>
      </c>
      <c r="L465" s="1099">
        <v>13</v>
      </c>
      <c r="M465" s="1104">
        <v>15</v>
      </c>
      <c r="N465" s="1099">
        <v>80</v>
      </c>
      <c r="O465" s="1099">
        <v>100</v>
      </c>
      <c r="P465" s="1099">
        <v>120</v>
      </c>
      <c r="Q465" s="1104">
        <v>140</v>
      </c>
      <c r="R465" s="1099">
        <v>5</v>
      </c>
      <c r="S465" s="1099">
        <v>5</v>
      </c>
      <c r="T465" s="1099">
        <v>10</v>
      </c>
      <c r="U465" s="1104">
        <v>10</v>
      </c>
      <c r="V465" s="1101" t="s">
        <v>6371</v>
      </c>
      <c r="W465" s="1101" t="s">
        <v>4636</v>
      </c>
      <c r="X465" s="1101" t="s">
        <v>6327</v>
      </c>
      <c r="Y465" s="1101" t="s">
        <v>6372</v>
      </c>
      <c r="Z465" s="1102" t="s">
        <v>6373</v>
      </c>
    </row>
    <row r="466" spans="2:26" ht="12.75" customHeight="1" x14ac:dyDescent="0.2">
      <c r="B466" s="2090" t="str">
        <f t="shared" si="11"/>
        <v>Libre acceso51</v>
      </c>
      <c r="C466" s="1103"/>
      <c r="D466" s="521" t="s">
        <v>707</v>
      </c>
      <c r="E466" s="1099" t="s">
        <v>646</v>
      </c>
      <c r="F466" s="1099">
        <f t="shared" si="12"/>
        <v>51</v>
      </c>
      <c r="G466" s="1108" t="s">
        <v>1690</v>
      </c>
      <c r="H466" s="1108" t="s">
        <v>5406</v>
      </c>
      <c r="I466" s="1109" t="s">
        <v>1606</v>
      </c>
      <c r="J466" s="1099">
        <v>8</v>
      </c>
      <c r="K466" s="1099">
        <v>10</v>
      </c>
      <c r="L466" s="1099">
        <v>12</v>
      </c>
      <c r="M466" s="1104">
        <v>14</v>
      </c>
      <c r="N466" s="1099">
        <v>80</v>
      </c>
      <c r="O466" s="1099">
        <v>100</v>
      </c>
      <c r="P466" s="1099">
        <v>120</v>
      </c>
      <c r="Q466" s="1104">
        <v>140</v>
      </c>
      <c r="R466" s="1099">
        <v>5</v>
      </c>
      <c r="S466" s="1099">
        <v>5</v>
      </c>
      <c r="T466" s="1099">
        <v>10</v>
      </c>
      <c r="U466" s="1104">
        <v>10</v>
      </c>
      <c r="V466" s="1101" t="s">
        <v>6371</v>
      </c>
      <c r="W466" s="1101" t="s">
        <v>6374</v>
      </c>
      <c r="X466" s="1101" t="s">
        <v>6375</v>
      </c>
      <c r="Y466" s="1101" t="s">
        <v>6376</v>
      </c>
      <c r="Z466" s="1102" t="s">
        <v>6377</v>
      </c>
    </row>
    <row r="467" spans="2:26" ht="12.75" customHeight="1" x14ac:dyDescent="0.2">
      <c r="B467" s="2090" t="str">
        <f t="shared" si="11"/>
        <v>Libre acceso51</v>
      </c>
      <c r="C467" s="1103"/>
      <c r="D467" s="521" t="s">
        <v>708</v>
      </c>
      <c r="E467" s="1099" t="s">
        <v>646</v>
      </c>
      <c r="F467" s="1099">
        <f t="shared" si="12"/>
        <v>51</v>
      </c>
      <c r="G467" s="1108" t="s">
        <v>1690</v>
      </c>
      <c r="H467" s="1108" t="s">
        <v>1536</v>
      </c>
      <c r="I467" s="1109" t="s">
        <v>1606</v>
      </c>
      <c r="J467" s="1099">
        <v>8</v>
      </c>
      <c r="K467" s="1099">
        <v>10</v>
      </c>
      <c r="L467" s="1099">
        <v>13</v>
      </c>
      <c r="M467" s="1104">
        <v>16</v>
      </c>
      <c r="N467" s="1099">
        <v>100</v>
      </c>
      <c r="O467" s="1099">
        <v>140</v>
      </c>
      <c r="P467" s="1099">
        <v>180</v>
      </c>
      <c r="Q467" s="1104">
        <v>220</v>
      </c>
      <c r="R467" s="1099"/>
      <c r="S467" s="1099"/>
      <c r="T467" s="1099"/>
      <c r="U467" s="1104"/>
      <c r="V467" s="1101" t="s">
        <v>6378</v>
      </c>
      <c r="W467" s="1101" t="s">
        <v>6379</v>
      </c>
      <c r="X467" s="1101" t="s">
        <v>6380</v>
      </c>
      <c r="Y467" s="1101" t="s">
        <v>6381</v>
      </c>
      <c r="Z467" s="1102" t="s">
        <v>6382</v>
      </c>
    </row>
    <row r="468" spans="2:26" ht="12.75" customHeight="1" x14ac:dyDescent="0.2">
      <c r="B468" s="2090" t="str">
        <f t="shared" si="11"/>
        <v>Libre acceso51</v>
      </c>
      <c r="C468" s="1103"/>
      <c r="D468" s="521" t="s">
        <v>709</v>
      </c>
      <c r="E468" s="1099" t="s">
        <v>646</v>
      </c>
      <c r="F468" s="1099">
        <f t="shared" si="12"/>
        <v>51</v>
      </c>
      <c r="G468" s="1108" t="s">
        <v>1690</v>
      </c>
      <c r="H468" s="1108" t="s">
        <v>1536</v>
      </c>
      <c r="I468" s="1109" t="s">
        <v>1606</v>
      </c>
      <c r="J468" s="1099">
        <v>8</v>
      </c>
      <c r="K468" s="1099">
        <v>10</v>
      </c>
      <c r="L468" s="1099">
        <v>13</v>
      </c>
      <c r="M468" s="1104">
        <v>15</v>
      </c>
      <c r="N468" s="1099">
        <v>60</v>
      </c>
      <c r="O468" s="1099">
        <v>90</v>
      </c>
      <c r="P468" s="1099">
        <v>120</v>
      </c>
      <c r="Q468" s="1104">
        <v>150</v>
      </c>
      <c r="R468" s="1099"/>
      <c r="S468" s="1099"/>
      <c r="T468" s="1099"/>
      <c r="U468" s="1104"/>
      <c r="V468" s="1101" t="s">
        <v>6383</v>
      </c>
      <c r="W468" s="1101" t="s">
        <v>5775</v>
      </c>
      <c r="X468" s="1101" t="s">
        <v>6384</v>
      </c>
      <c r="Y468" s="1101" t="s">
        <v>6108</v>
      </c>
      <c r="Z468" s="1102" t="s">
        <v>6385</v>
      </c>
    </row>
    <row r="469" spans="2:26" ht="12.75" customHeight="1" x14ac:dyDescent="0.2">
      <c r="B469" s="2090" t="str">
        <f t="shared" si="11"/>
        <v>Libre acceso51</v>
      </c>
      <c r="C469" s="1103"/>
      <c r="D469" s="521" t="s">
        <v>710</v>
      </c>
      <c r="E469" s="1099" t="s">
        <v>646</v>
      </c>
      <c r="F469" s="1099">
        <f t="shared" si="12"/>
        <v>51</v>
      </c>
      <c r="G469" s="1108" t="s">
        <v>2446</v>
      </c>
      <c r="H469" s="1108" t="s">
        <v>1536</v>
      </c>
      <c r="I469" s="1109" t="s">
        <v>1606</v>
      </c>
      <c r="J469" s="1099">
        <v>6</v>
      </c>
      <c r="K469" s="1099">
        <v>9</v>
      </c>
      <c r="L469" s="1099">
        <v>12</v>
      </c>
      <c r="M469" s="1104">
        <v>15</v>
      </c>
      <c r="N469" s="1099">
        <v>60</v>
      </c>
      <c r="O469" s="1099">
        <v>90</v>
      </c>
      <c r="P469" s="1099">
        <v>120</v>
      </c>
      <c r="Q469" s="1104">
        <v>150</v>
      </c>
      <c r="R469" s="1099">
        <v>15</v>
      </c>
      <c r="S469" s="1099">
        <v>20</v>
      </c>
      <c r="T469" s="1099">
        <v>25</v>
      </c>
      <c r="U469" s="1104">
        <v>30</v>
      </c>
      <c r="V469" s="1101" t="s">
        <v>4779</v>
      </c>
      <c r="W469" s="1101" t="s">
        <v>5032</v>
      </c>
      <c r="X469" s="1101" t="s">
        <v>6386</v>
      </c>
      <c r="Y469" s="1101" t="s">
        <v>6213</v>
      </c>
      <c r="Z469" s="1102" t="s">
        <v>6387</v>
      </c>
    </row>
    <row r="470" spans="2:26" ht="12.75" customHeight="1" x14ac:dyDescent="0.2">
      <c r="B470" s="2090" t="str">
        <f t="shared" si="11"/>
        <v>Libre acceso51</v>
      </c>
      <c r="C470" s="1103"/>
      <c r="D470" s="521" t="s">
        <v>711</v>
      </c>
      <c r="E470" s="1099" t="s">
        <v>646</v>
      </c>
      <c r="F470" s="1099">
        <f t="shared" si="12"/>
        <v>51</v>
      </c>
      <c r="G470" s="1108" t="s">
        <v>1690</v>
      </c>
      <c r="H470" s="1108" t="s">
        <v>1536</v>
      </c>
      <c r="I470" s="1109" t="s">
        <v>1606</v>
      </c>
      <c r="J470" s="1099">
        <v>8</v>
      </c>
      <c r="K470" s="1099">
        <v>10</v>
      </c>
      <c r="L470" s="1099">
        <v>12</v>
      </c>
      <c r="M470" s="1104">
        <v>15</v>
      </c>
      <c r="N470" s="1099">
        <v>60</v>
      </c>
      <c r="O470" s="1099">
        <v>80</v>
      </c>
      <c r="P470" s="1099">
        <v>100</v>
      </c>
      <c r="Q470" s="1104">
        <v>120</v>
      </c>
      <c r="R470" s="1099">
        <v>5</v>
      </c>
      <c r="S470" s="1099">
        <v>5</v>
      </c>
      <c r="T470" s="1099">
        <v>10</v>
      </c>
      <c r="U470" s="1104">
        <v>10</v>
      </c>
      <c r="V470" s="1101" t="s">
        <v>6388</v>
      </c>
      <c r="W470" s="1101" t="s">
        <v>6389</v>
      </c>
      <c r="X470" s="1101" t="s">
        <v>6390</v>
      </c>
      <c r="Y470" s="1101" t="s">
        <v>6391</v>
      </c>
      <c r="Z470" s="1102" t="s">
        <v>6392</v>
      </c>
    </row>
    <row r="471" spans="2:26" ht="12.75" customHeight="1" x14ac:dyDescent="0.2">
      <c r="B471" s="2090" t="str">
        <f t="shared" si="11"/>
        <v>Libre acceso51</v>
      </c>
      <c r="C471" s="1103"/>
      <c r="D471" s="521" t="s">
        <v>712</v>
      </c>
      <c r="E471" s="1099" t="s">
        <v>646</v>
      </c>
      <c r="F471" s="1099">
        <f t="shared" si="12"/>
        <v>51</v>
      </c>
      <c r="G471" s="1108" t="s">
        <v>1690</v>
      </c>
      <c r="H471" s="1108" t="s">
        <v>1536</v>
      </c>
      <c r="I471" s="1109" t="s">
        <v>1606</v>
      </c>
      <c r="J471" s="1099">
        <v>8</v>
      </c>
      <c r="K471" s="1099">
        <v>10</v>
      </c>
      <c r="L471" s="1099">
        <v>12</v>
      </c>
      <c r="M471" s="1104">
        <v>14</v>
      </c>
      <c r="N471" s="1099">
        <v>80</v>
      </c>
      <c r="O471" s="1099">
        <v>100</v>
      </c>
      <c r="P471" s="1099">
        <v>120</v>
      </c>
      <c r="Q471" s="1104">
        <v>140</v>
      </c>
      <c r="R471" s="1099"/>
      <c r="S471" s="1099"/>
      <c r="T471" s="1099"/>
      <c r="U471" s="1104"/>
      <c r="V471" s="1101" t="s">
        <v>6393</v>
      </c>
      <c r="W471" s="1101" t="s">
        <v>6394</v>
      </c>
      <c r="X471" s="1101" t="s">
        <v>6395</v>
      </c>
      <c r="Y471" s="1101" t="s">
        <v>6396</v>
      </c>
      <c r="Z471" s="1102" t="s">
        <v>6397</v>
      </c>
    </row>
    <row r="472" spans="2:26" ht="12.75" customHeight="1" x14ac:dyDescent="0.2">
      <c r="B472" s="2090" t="str">
        <f t="shared" si="11"/>
        <v>Libre acceso51</v>
      </c>
      <c r="C472" s="1103"/>
      <c r="D472" s="521" t="s">
        <v>713</v>
      </c>
      <c r="E472" s="1099" t="s">
        <v>646</v>
      </c>
      <c r="F472" s="1099">
        <f t="shared" si="12"/>
        <v>51</v>
      </c>
      <c r="G472" s="1108" t="s">
        <v>2446</v>
      </c>
      <c r="H472" s="1108" t="s">
        <v>1536</v>
      </c>
      <c r="I472" s="1109" t="s">
        <v>1606</v>
      </c>
      <c r="J472" s="1099">
        <v>8</v>
      </c>
      <c r="K472" s="1099">
        <v>10</v>
      </c>
      <c r="L472" s="1099">
        <v>12</v>
      </c>
      <c r="M472" s="1104">
        <v>15</v>
      </c>
      <c r="N472" s="1099">
        <v>100</v>
      </c>
      <c r="O472" s="1099">
        <v>140</v>
      </c>
      <c r="P472" s="1099">
        <v>180</v>
      </c>
      <c r="Q472" s="1104">
        <v>220</v>
      </c>
      <c r="R472" s="1099">
        <v>10</v>
      </c>
      <c r="S472" s="1099">
        <v>15</v>
      </c>
      <c r="T472" s="1099">
        <v>15</v>
      </c>
      <c r="U472" s="1104">
        <v>20</v>
      </c>
      <c r="V472" s="1101" t="s">
        <v>6398</v>
      </c>
      <c r="W472" s="1101" t="s">
        <v>6399</v>
      </c>
      <c r="X472" s="1101" t="s">
        <v>6400</v>
      </c>
      <c r="Y472" s="1101" t="s">
        <v>6401</v>
      </c>
      <c r="Z472" s="1102" t="s">
        <v>6402</v>
      </c>
    </row>
    <row r="473" spans="2:26" ht="12.75" customHeight="1" x14ac:dyDescent="0.2">
      <c r="B473" s="2090" t="str">
        <f t="shared" si="11"/>
        <v>Libre acceso51</v>
      </c>
      <c r="C473" s="1103"/>
      <c r="D473" s="521" t="s">
        <v>714</v>
      </c>
      <c r="E473" s="1099" t="s">
        <v>646</v>
      </c>
      <c r="F473" s="1099">
        <f t="shared" si="12"/>
        <v>51</v>
      </c>
      <c r="G473" s="1108" t="s">
        <v>1690</v>
      </c>
      <c r="H473" s="1108" t="s">
        <v>1537</v>
      </c>
      <c r="I473" s="1109" t="s">
        <v>1606</v>
      </c>
      <c r="J473" s="1099">
        <v>8</v>
      </c>
      <c r="K473" s="1099">
        <v>10</v>
      </c>
      <c r="L473" s="1099">
        <v>13</v>
      </c>
      <c r="M473" s="1104">
        <v>16</v>
      </c>
      <c r="N473" s="1099">
        <v>100</v>
      </c>
      <c r="O473" s="1099">
        <v>160</v>
      </c>
      <c r="P473" s="1099">
        <v>240</v>
      </c>
      <c r="Q473" s="1104">
        <v>320</v>
      </c>
      <c r="R473" s="1099">
        <v>10</v>
      </c>
      <c r="S473" s="1099">
        <v>20</v>
      </c>
      <c r="T473" s="1099">
        <v>25</v>
      </c>
      <c r="U473" s="1104">
        <v>35</v>
      </c>
      <c r="V473" s="1101" t="s">
        <v>6403</v>
      </c>
      <c r="W473" s="1101" t="s">
        <v>6404</v>
      </c>
      <c r="X473" s="1101" t="s">
        <v>6405</v>
      </c>
      <c r="Y473" s="1101" t="s">
        <v>6406</v>
      </c>
      <c r="Z473" s="1102" t="s">
        <v>6407</v>
      </c>
    </row>
    <row r="474" spans="2:26" ht="12.75" customHeight="1" x14ac:dyDescent="0.2">
      <c r="B474" s="2090" t="str">
        <f t="shared" si="11"/>
        <v>Libre acceso51</v>
      </c>
      <c r="C474" s="1103"/>
      <c r="D474" s="521" t="s">
        <v>715</v>
      </c>
      <c r="E474" s="1099" t="s">
        <v>646</v>
      </c>
      <c r="F474" s="1099">
        <f t="shared" si="12"/>
        <v>51</v>
      </c>
      <c r="G474" s="1108" t="s">
        <v>1690</v>
      </c>
      <c r="H474" s="1108" t="s">
        <v>1537</v>
      </c>
      <c r="I474" s="1109" t="s">
        <v>1606</v>
      </c>
      <c r="J474" s="1099">
        <v>8</v>
      </c>
      <c r="K474" s="1099">
        <v>10</v>
      </c>
      <c r="L474" s="1099">
        <v>12</v>
      </c>
      <c r="M474" s="1104">
        <v>14</v>
      </c>
      <c r="N474" s="1099">
        <v>80</v>
      </c>
      <c r="O474" s="1099">
        <v>100</v>
      </c>
      <c r="P474" s="1099">
        <v>120</v>
      </c>
      <c r="Q474" s="1104">
        <v>140</v>
      </c>
      <c r="R474" s="1099">
        <v>10</v>
      </c>
      <c r="S474" s="1099">
        <v>10</v>
      </c>
      <c r="T474" s="1099">
        <v>15</v>
      </c>
      <c r="U474" s="1104">
        <v>15</v>
      </c>
      <c r="V474" s="1101" t="s">
        <v>6408</v>
      </c>
      <c r="W474" s="1101" t="s">
        <v>6409</v>
      </c>
      <c r="X474" s="1101" t="s">
        <v>6410</v>
      </c>
      <c r="Y474" s="1101" t="s">
        <v>6411</v>
      </c>
      <c r="Z474" s="1102" t="s">
        <v>6412</v>
      </c>
    </row>
    <row r="475" spans="2:26" ht="12.75" customHeight="1" x14ac:dyDescent="0.2">
      <c r="B475" s="2090" t="str">
        <f t="shared" si="11"/>
        <v/>
      </c>
      <c r="C475" s="1103"/>
      <c r="D475" s="521" t="s">
        <v>716</v>
      </c>
      <c r="E475" s="1099"/>
      <c r="F475" s="1099"/>
      <c r="G475" s="1108"/>
      <c r="H475" s="1108"/>
      <c r="I475" s="1109"/>
      <c r="J475" s="1099"/>
      <c r="K475" s="1099"/>
      <c r="L475" s="1099"/>
      <c r="M475" s="1104"/>
      <c r="N475" s="1099"/>
      <c r="O475" s="1099"/>
      <c r="P475" s="1099"/>
      <c r="Q475" s="1104"/>
      <c r="R475" s="1099"/>
      <c r="S475" s="1099"/>
      <c r="T475" s="1099"/>
      <c r="U475" s="1104"/>
      <c r="V475" s="1101"/>
      <c r="W475" s="1101"/>
      <c r="X475" s="1101"/>
      <c r="Y475" s="1101"/>
      <c r="Z475" s="1102"/>
    </row>
    <row r="476" spans="2:26" ht="12.75" customHeight="1" x14ac:dyDescent="0.2">
      <c r="B476" s="2090" t="str">
        <f t="shared" si="11"/>
        <v>Libre acceso61</v>
      </c>
      <c r="C476" s="1103"/>
      <c r="D476" s="521" t="s">
        <v>717</v>
      </c>
      <c r="E476" s="1099" t="s">
        <v>646</v>
      </c>
      <c r="F476" s="1099">
        <f>F463+10</f>
        <v>61</v>
      </c>
      <c r="G476" s="1108" t="s">
        <v>1690</v>
      </c>
      <c r="H476" s="1108" t="s">
        <v>5406</v>
      </c>
      <c r="I476" s="1109" t="s">
        <v>1606</v>
      </c>
      <c r="J476" s="1099">
        <v>8</v>
      </c>
      <c r="K476" s="1099">
        <v>9</v>
      </c>
      <c r="L476" s="1099">
        <v>13</v>
      </c>
      <c r="M476" s="1104">
        <v>16</v>
      </c>
      <c r="N476" s="1099">
        <v>140</v>
      </c>
      <c r="O476" s="1099">
        <v>200</v>
      </c>
      <c r="P476" s="1099">
        <v>240</v>
      </c>
      <c r="Q476" s="1104">
        <v>280</v>
      </c>
      <c r="R476" s="1099">
        <v>15</v>
      </c>
      <c r="S476" s="1099">
        <v>20</v>
      </c>
      <c r="T476" s="1099">
        <v>25</v>
      </c>
      <c r="U476" s="1104">
        <v>30</v>
      </c>
      <c r="V476" s="1101" t="s">
        <v>6413</v>
      </c>
      <c r="W476" s="1101" t="s">
        <v>6414</v>
      </c>
      <c r="X476" s="1101" t="s">
        <v>6415</v>
      </c>
      <c r="Y476" s="1101" t="s">
        <v>6416</v>
      </c>
      <c r="Z476" s="1102" t="s">
        <v>6417</v>
      </c>
    </row>
    <row r="477" spans="2:26" ht="12.75" customHeight="1" x14ac:dyDescent="0.2">
      <c r="B477" s="2090" t="str">
        <f t="shared" si="11"/>
        <v>Libre acceso61</v>
      </c>
      <c r="C477" s="1103"/>
      <c r="D477" s="521" t="s">
        <v>718</v>
      </c>
      <c r="E477" s="1099" t="s">
        <v>646</v>
      </c>
      <c r="F477" s="1099">
        <f t="shared" ref="F477:F487" si="13">F464+10</f>
        <v>61</v>
      </c>
      <c r="G477" s="1108" t="s">
        <v>1690</v>
      </c>
      <c r="H477" s="1108" t="s">
        <v>5406</v>
      </c>
      <c r="I477" s="1109" t="s">
        <v>1606</v>
      </c>
      <c r="J477" s="1099">
        <v>9</v>
      </c>
      <c r="K477" s="1099">
        <v>11</v>
      </c>
      <c r="L477" s="1099">
        <v>14</v>
      </c>
      <c r="M477" s="1104">
        <v>16</v>
      </c>
      <c r="N477" s="1099">
        <v>80</v>
      </c>
      <c r="O477" s="1099">
        <v>100</v>
      </c>
      <c r="P477" s="1099">
        <v>120</v>
      </c>
      <c r="Q477" s="1104">
        <v>140</v>
      </c>
      <c r="R477" s="1099">
        <v>10</v>
      </c>
      <c r="S477" s="1099">
        <v>10</v>
      </c>
      <c r="T477" s="1099">
        <v>15</v>
      </c>
      <c r="U477" s="1104">
        <v>15</v>
      </c>
      <c r="V477" s="1101" t="s">
        <v>4968</v>
      </c>
      <c r="W477" s="1101" t="s">
        <v>4969</v>
      </c>
      <c r="X477" s="1101" t="s">
        <v>4864</v>
      </c>
      <c r="Y477" s="1101" t="s">
        <v>4697</v>
      </c>
      <c r="Z477" s="1102" t="s">
        <v>6418</v>
      </c>
    </row>
    <row r="478" spans="2:26" ht="12.75" customHeight="1" x14ac:dyDescent="0.2">
      <c r="B478" s="2090" t="str">
        <f t="shared" si="11"/>
        <v>Libre acceso61</v>
      </c>
      <c r="C478" s="1103"/>
      <c r="D478" s="521" t="s">
        <v>719</v>
      </c>
      <c r="E478" s="1099" t="s">
        <v>646</v>
      </c>
      <c r="F478" s="1099">
        <f t="shared" si="13"/>
        <v>61</v>
      </c>
      <c r="G478" s="1108" t="s">
        <v>2446</v>
      </c>
      <c r="H478" s="1108" t="s">
        <v>1536</v>
      </c>
      <c r="I478" s="1109" t="s">
        <v>1606</v>
      </c>
      <c r="J478" s="1099">
        <v>9</v>
      </c>
      <c r="K478" s="1099">
        <v>11</v>
      </c>
      <c r="L478" s="1099">
        <v>14</v>
      </c>
      <c r="M478" s="1104">
        <v>16</v>
      </c>
      <c r="N478" s="1099">
        <v>140</v>
      </c>
      <c r="O478" s="1099">
        <v>200</v>
      </c>
      <c r="P478" s="1099">
        <v>240</v>
      </c>
      <c r="Q478" s="1104">
        <v>280</v>
      </c>
      <c r="R478" s="1099">
        <v>15</v>
      </c>
      <c r="S478" s="1099">
        <v>20</v>
      </c>
      <c r="T478" s="1099">
        <v>25</v>
      </c>
      <c r="U478" s="1104">
        <v>30</v>
      </c>
      <c r="V478" s="1101" t="s">
        <v>6419</v>
      </c>
      <c r="W478" s="1101" t="s">
        <v>6420</v>
      </c>
      <c r="X478" s="1101" t="s">
        <v>6421</v>
      </c>
      <c r="Y478" s="1101" t="s">
        <v>6422</v>
      </c>
      <c r="Z478" s="1102" t="s">
        <v>6423</v>
      </c>
    </row>
    <row r="479" spans="2:26" ht="12.75" customHeight="1" x14ac:dyDescent="0.2">
      <c r="B479" s="2090" t="str">
        <f t="shared" si="11"/>
        <v>Libre acceso61</v>
      </c>
      <c r="C479" s="1103"/>
      <c r="D479" s="521" t="s">
        <v>720</v>
      </c>
      <c r="E479" s="1099" t="s">
        <v>646</v>
      </c>
      <c r="F479" s="1099">
        <f t="shared" si="13"/>
        <v>61</v>
      </c>
      <c r="G479" s="1108" t="s">
        <v>1690</v>
      </c>
      <c r="H479" s="1108" t="s">
        <v>1536</v>
      </c>
      <c r="I479" s="1109" t="s">
        <v>1607</v>
      </c>
      <c r="J479" s="1099">
        <v>8</v>
      </c>
      <c r="K479" s="1099">
        <v>11</v>
      </c>
      <c r="L479" s="1099">
        <v>13</v>
      </c>
      <c r="M479" s="1104">
        <v>16</v>
      </c>
      <c r="N479" s="1099">
        <v>80</v>
      </c>
      <c r="O479" s="1099">
        <v>100</v>
      </c>
      <c r="P479" s="1099">
        <v>120</v>
      </c>
      <c r="Q479" s="1104">
        <v>140</v>
      </c>
      <c r="R479" s="1099">
        <v>20</v>
      </c>
      <c r="S479" s="1099">
        <v>20</v>
      </c>
      <c r="T479" s="1099">
        <v>25</v>
      </c>
      <c r="U479" s="1104">
        <v>30</v>
      </c>
      <c r="V479" s="1101" t="s">
        <v>6424</v>
      </c>
      <c r="W479" s="1101" t="s">
        <v>6425</v>
      </c>
      <c r="X479" s="1101" t="s">
        <v>6426</v>
      </c>
      <c r="Y479" s="1101" t="s">
        <v>6427</v>
      </c>
      <c r="Z479" s="1102" t="s">
        <v>6428</v>
      </c>
    </row>
    <row r="480" spans="2:26" ht="12.75" customHeight="1" x14ac:dyDescent="0.2">
      <c r="B480" s="2090" t="str">
        <f t="shared" si="11"/>
        <v>Libre acceso61</v>
      </c>
      <c r="C480" s="1103"/>
      <c r="D480" s="521" t="s">
        <v>721</v>
      </c>
      <c r="E480" s="1099" t="s">
        <v>646</v>
      </c>
      <c r="F480" s="1099">
        <f t="shared" si="13"/>
        <v>61</v>
      </c>
      <c r="G480" s="1108" t="s">
        <v>1690</v>
      </c>
      <c r="H480" s="1108" t="s">
        <v>1536</v>
      </c>
      <c r="I480" s="1109" t="s">
        <v>1606</v>
      </c>
      <c r="J480" s="1099">
        <v>9</v>
      </c>
      <c r="K480" s="1099">
        <v>11</v>
      </c>
      <c r="L480" s="1099">
        <v>14</v>
      </c>
      <c r="M480" s="1104">
        <v>16</v>
      </c>
      <c r="N480" s="1099">
        <v>80</v>
      </c>
      <c r="O480" s="1099">
        <v>160</v>
      </c>
      <c r="P480" s="1099">
        <v>240</v>
      </c>
      <c r="Q480" s="1104">
        <v>320</v>
      </c>
      <c r="R480" s="1099">
        <v>5</v>
      </c>
      <c r="S480" s="1099">
        <v>10</v>
      </c>
      <c r="T480" s="1099">
        <v>15</v>
      </c>
      <c r="U480" s="1104">
        <v>20</v>
      </c>
      <c r="V480" s="1101" t="s">
        <v>6429</v>
      </c>
      <c r="W480" s="1101" t="s">
        <v>5386</v>
      </c>
      <c r="X480" s="1101" t="s">
        <v>6430</v>
      </c>
      <c r="Y480" s="1101" t="s">
        <v>5387</v>
      </c>
      <c r="Z480" s="1102" t="s">
        <v>6431</v>
      </c>
    </row>
    <row r="481" spans="2:26" ht="12.75" customHeight="1" x14ac:dyDescent="0.2">
      <c r="B481" s="2090" t="str">
        <f t="shared" si="11"/>
        <v>Libre acceso61</v>
      </c>
      <c r="C481" s="1103"/>
      <c r="D481" s="521" t="s">
        <v>722</v>
      </c>
      <c r="E481" s="1099" t="s">
        <v>646</v>
      </c>
      <c r="F481" s="1099">
        <f t="shared" si="13"/>
        <v>61</v>
      </c>
      <c r="G481" s="1108" t="s">
        <v>2446</v>
      </c>
      <c r="H481" s="1108" t="s">
        <v>1536</v>
      </c>
      <c r="I481" s="1109" t="s">
        <v>1606</v>
      </c>
      <c r="J481" s="1099">
        <v>8</v>
      </c>
      <c r="K481" s="1099">
        <v>11</v>
      </c>
      <c r="L481" s="1099">
        <v>13</v>
      </c>
      <c r="M481" s="1104">
        <v>16</v>
      </c>
      <c r="N481" s="1099">
        <v>80</v>
      </c>
      <c r="O481" s="1099">
        <v>120</v>
      </c>
      <c r="P481" s="1099">
        <v>180</v>
      </c>
      <c r="Q481" s="1104">
        <v>220</v>
      </c>
      <c r="R481" s="1099">
        <v>5</v>
      </c>
      <c r="S481" s="1099">
        <v>5</v>
      </c>
      <c r="T481" s="1099">
        <v>10</v>
      </c>
      <c r="U481" s="1104">
        <v>15</v>
      </c>
      <c r="V481" s="1101" t="s">
        <v>6432</v>
      </c>
      <c r="W481" s="1101" t="s">
        <v>6433</v>
      </c>
      <c r="X481" s="1101" t="s">
        <v>6434</v>
      </c>
      <c r="Y481" s="1101" t="s">
        <v>6435</v>
      </c>
      <c r="Z481" s="1102" t="s">
        <v>6436</v>
      </c>
    </row>
    <row r="482" spans="2:26" ht="12.75" customHeight="1" x14ac:dyDescent="0.2">
      <c r="B482" s="2090" t="str">
        <f t="shared" si="11"/>
        <v>Libre acceso61</v>
      </c>
      <c r="C482" s="1103"/>
      <c r="D482" s="521" t="s">
        <v>723</v>
      </c>
      <c r="E482" s="1099" t="s">
        <v>646</v>
      </c>
      <c r="F482" s="1099">
        <f t="shared" si="13"/>
        <v>61</v>
      </c>
      <c r="G482" s="1108" t="s">
        <v>1690</v>
      </c>
      <c r="H482" s="1108" t="s">
        <v>1537</v>
      </c>
      <c r="I482" s="1109" t="s">
        <v>1606</v>
      </c>
      <c r="J482" s="1099">
        <v>8</v>
      </c>
      <c r="K482" s="1099">
        <v>11</v>
      </c>
      <c r="L482" s="1099">
        <v>13</v>
      </c>
      <c r="M482" s="1104">
        <v>16</v>
      </c>
      <c r="N482" s="1099">
        <v>140</v>
      </c>
      <c r="O482" s="1099">
        <v>200</v>
      </c>
      <c r="P482" s="1099">
        <v>240</v>
      </c>
      <c r="Q482" s="1104">
        <v>280</v>
      </c>
      <c r="R482" s="1099"/>
      <c r="S482" s="1099"/>
      <c r="T482" s="1099"/>
      <c r="U482" s="1104" t="s">
        <v>4961</v>
      </c>
      <c r="V482" s="1101" t="s">
        <v>6437</v>
      </c>
      <c r="W482" s="1101" t="s">
        <v>6438</v>
      </c>
      <c r="X482" s="1101" t="s">
        <v>6439</v>
      </c>
      <c r="Y482" s="1101" t="s">
        <v>6440</v>
      </c>
      <c r="Z482" s="1102" t="s">
        <v>6441</v>
      </c>
    </row>
    <row r="483" spans="2:26" ht="12.75" customHeight="1" x14ac:dyDescent="0.2">
      <c r="B483" s="2090" t="str">
        <f t="shared" si="11"/>
        <v>Libre acceso61</v>
      </c>
      <c r="C483" s="1103"/>
      <c r="D483" s="521" t="s">
        <v>724</v>
      </c>
      <c r="E483" s="1099" t="s">
        <v>646</v>
      </c>
      <c r="F483" s="1099">
        <f t="shared" si="13"/>
        <v>61</v>
      </c>
      <c r="G483" s="1108" t="s">
        <v>1690</v>
      </c>
      <c r="H483" s="1108" t="s">
        <v>1536</v>
      </c>
      <c r="I483" s="1109" t="s">
        <v>1606</v>
      </c>
      <c r="J483" s="1099">
        <v>8</v>
      </c>
      <c r="K483" s="1099">
        <v>11</v>
      </c>
      <c r="L483" s="1099">
        <v>13</v>
      </c>
      <c r="M483" s="1104">
        <v>16</v>
      </c>
      <c r="N483" s="1099">
        <v>100</v>
      </c>
      <c r="O483" s="1099">
        <v>120</v>
      </c>
      <c r="P483" s="1099">
        <v>140</v>
      </c>
      <c r="Q483" s="1104">
        <v>160</v>
      </c>
      <c r="R483" s="1099">
        <v>10</v>
      </c>
      <c r="S483" s="1099">
        <v>15</v>
      </c>
      <c r="T483" s="1099">
        <v>15</v>
      </c>
      <c r="U483" s="1104">
        <v>20</v>
      </c>
      <c r="V483" s="1101" t="s">
        <v>6442</v>
      </c>
      <c r="W483" s="1101" t="s">
        <v>6443</v>
      </c>
      <c r="X483" s="1101" t="s">
        <v>6444</v>
      </c>
      <c r="Y483" s="1101" t="s">
        <v>6445</v>
      </c>
      <c r="Z483" s="1102" t="s">
        <v>6446</v>
      </c>
    </row>
    <row r="484" spans="2:26" ht="12.75" customHeight="1" x14ac:dyDescent="0.2">
      <c r="B484" s="2090" t="str">
        <f t="shared" si="11"/>
        <v>Libre acceso61</v>
      </c>
      <c r="C484" s="1103"/>
      <c r="D484" s="521" t="s">
        <v>725</v>
      </c>
      <c r="E484" s="1099" t="s">
        <v>646</v>
      </c>
      <c r="F484" s="1099">
        <f t="shared" si="13"/>
        <v>61</v>
      </c>
      <c r="G484" s="1108" t="s">
        <v>1690</v>
      </c>
      <c r="H484" s="1108" t="s">
        <v>1536</v>
      </c>
      <c r="I484" s="1109" t="s">
        <v>1606</v>
      </c>
      <c r="J484" s="1099">
        <v>9</v>
      </c>
      <c r="K484" s="1099">
        <v>11</v>
      </c>
      <c r="L484" s="1099">
        <v>14</v>
      </c>
      <c r="M484" s="1104">
        <v>16</v>
      </c>
      <c r="N484" s="1099">
        <v>100</v>
      </c>
      <c r="O484" s="1099">
        <v>120</v>
      </c>
      <c r="P484" s="1099">
        <v>140</v>
      </c>
      <c r="Q484" s="1104">
        <v>160</v>
      </c>
      <c r="R484" s="1099">
        <v>10</v>
      </c>
      <c r="S484" s="1099">
        <v>10</v>
      </c>
      <c r="T484" s="1099">
        <v>15</v>
      </c>
      <c r="U484" s="1104">
        <v>20</v>
      </c>
      <c r="V484" s="1101" t="s">
        <v>6447</v>
      </c>
      <c r="W484" s="1101" t="s">
        <v>6448</v>
      </c>
      <c r="X484" s="1101" t="s">
        <v>6449</v>
      </c>
      <c r="Y484" s="1101" t="s">
        <v>6450</v>
      </c>
      <c r="Z484" s="1102" t="s">
        <v>6451</v>
      </c>
    </row>
    <row r="485" spans="2:26" ht="12.75" customHeight="1" x14ac:dyDescent="0.2">
      <c r="B485" s="2090" t="str">
        <f t="shared" si="11"/>
        <v>Libre acceso61</v>
      </c>
      <c r="C485" s="1103"/>
      <c r="D485" s="521" t="s">
        <v>2243</v>
      </c>
      <c r="E485" s="1099" t="s">
        <v>646</v>
      </c>
      <c r="F485" s="1099">
        <f t="shared" si="13"/>
        <v>61</v>
      </c>
      <c r="G485" s="1108" t="s">
        <v>1690</v>
      </c>
      <c r="H485" s="1108" t="s">
        <v>5406</v>
      </c>
      <c r="I485" s="1109" t="s">
        <v>1606</v>
      </c>
      <c r="J485" s="1099">
        <v>8</v>
      </c>
      <c r="K485" s="1099">
        <v>11</v>
      </c>
      <c r="L485" s="1099">
        <v>13</v>
      </c>
      <c r="M485" s="1104">
        <v>16</v>
      </c>
      <c r="N485" s="1099">
        <v>120</v>
      </c>
      <c r="O485" s="1099">
        <v>160</v>
      </c>
      <c r="P485" s="1099">
        <v>200</v>
      </c>
      <c r="Q485" s="1104">
        <v>240</v>
      </c>
      <c r="R485" s="1099"/>
      <c r="S485" s="1099"/>
      <c r="T485" s="1099"/>
      <c r="U485" s="1104"/>
      <c r="V485" s="1101" t="s">
        <v>4982</v>
      </c>
      <c r="W485" s="1101" t="s">
        <v>5977</v>
      </c>
      <c r="X485" s="1101" t="s">
        <v>4983</v>
      </c>
      <c r="Y485" s="1101" t="s">
        <v>5978</v>
      </c>
      <c r="Z485" s="1102" t="s">
        <v>6452</v>
      </c>
    </row>
    <row r="486" spans="2:26" ht="12.75" customHeight="1" x14ac:dyDescent="0.2">
      <c r="B486" s="2090" t="str">
        <f t="shared" si="11"/>
        <v>Libre acceso61</v>
      </c>
      <c r="C486" s="1103"/>
      <c r="D486" s="521" t="s">
        <v>726</v>
      </c>
      <c r="E486" s="1099" t="s">
        <v>646</v>
      </c>
      <c r="F486" s="1099">
        <f t="shared" si="13"/>
        <v>61</v>
      </c>
      <c r="G486" s="1108" t="s">
        <v>2446</v>
      </c>
      <c r="H486" s="1108" t="s">
        <v>5406</v>
      </c>
      <c r="I486" s="1109" t="s">
        <v>1606</v>
      </c>
      <c r="J486" s="1099">
        <v>8</v>
      </c>
      <c r="K486" s="1099">
        <v>11</v>
      </c>
      <c r="L486" s="1099">
        <v>13</v>
      </c>
      <c r="M486" s="1104">
        <v>16</v>
      </c>
      <c r="N486" s="1099">
        <v>120</v>
      </c>
      <c r="O486" s="1099">
        <v>180</v>
      </c>
      <c r="P486" s="1099">
        <v>220</v>
      </c>
      <c r="Q486" s="1104">
        <v>280</v>
      </c>
      <c r="R486" s="1099">
        <v>15</v>
      </c>
      <c r="S486" s="1099">
        <v>20</v>
      </c>
      <c r="T486" s="1099">
        <v>25</v>
      </c>
      <c r="U486" s="1104">
        <v>30</v>
      </c>
      <c r="V486" s="1101" t="s">
        <v>4982</v>
      </c>
      <c r="W486" s="1101" t="s">
        <v>5977</v>
      </c>
      <c r="X486" s="1101" t="s">
        <v>4983</v>
      </c>
      <c r="Y486" s="1101" t="s">
        <v>5978</v>
      </c>
      <c r="Z486" s="1102" t="s">
        <v>6453</v>
      </c>
    </row>
    <row r="487" spans="2:26" ht="12.75" customHeight="1" x14ac:dyDescent="0.2">
      <c r="B487" s="2090" t="str">
        <f t="shared" si="11"/>
        <v>Libre acceso61</v>
      </c>
      <c r="C487" s="1103"/>
      <c r="D487" s="521" t="s">
        <v>727</v>
      </c>
      <c r="E487" s="1099" t="s">
        <v>646</v>
      </c>
      <c r="F487" s="1099">
        <f t="shared" si="13"/>
        <v>61</v>
      </c>
      <c r="G487" s="1108" t="s">
        <v>1690</v>
      </c>
      <c r="H487" s="1108" t="s">
        <v>1536</v>
      </c>
      <c r="I487" s="1109" t="s">
        <v>1606</v>
      </c>
      <c r="J487" s="1099">
        <v>9</v>
      </c>
      <c r="K487" s="1099">
        <v>11</v>
      </c>
      <c r="L487" s="1099">
        <v>14</v>
      </c>
      <c r="M487" s="1104">
        <v>16</v>
      </c>
      <c r="N487" s="1099">
        <v>100</v>
      </c>
      <c r="O487" s="1099">
        <v>120</v>
      </c>
      <c r="P487" s="1099">
        <v>140</v>
      </c>
      <c r="Q487" s="1104">
        <v>160</v>
      </c>
      <c r="R487" s="1099">
        <v>10</v>
      </c>
      <c r="S487" s="1099">
        <v>15</v>
      </c>
      <c r="T487" s="1099">
        <v>15</v>
      </c>
      <c r="U487" s="1104">
        <v>20</v>
      </c>
      <c r="V487" s="1101" t="s">
        <v>6447</v>
      </c>
      <c r="W487" s="1101" t="s">
        <v>6448</v>
      </c>
      <c r="X487" s="1101" t="s">
        <v>6449</v>
      </c>
      <c r="Y487" s="1101" t="s">
        <v>6450</v>
      </c>
      <c r="Z487" s="1102" t="s">
        <v>6454</v>
      </c>
    </row>
    <row r="488" spans="2:26" ht="12.75" customHeight="1" x14ac:dyDescent="0.2">
      <c r="B488" s="2090" t="str">
        <f t="shared" si="11"/>
        <v/>
      </c>
      <c r="C488" s="1103"/>
      <c r="D488" s="521" t="s">
        <v>728</v>
      </c>
      <c r="E488" s="1099"/>
      <c r="F488" s="1099"/>
      <c r="G488" s="1108"/>
      <c r="H488" s="1108"/>
      <c r="I488" s="1109"/>
      <c r="J488" s="1099"/>
      <c r="K488" s="1099"/>
      <c r="L488" s="1099"/>
      <c r="M488" s="1104"/>
      <c r="N488" s="1099"/>
      <c r="O488" s="1099"/>
      <c r="P488" s="1099"/>
      <c r="Q488" s="1104"/>
      <c r="R488" s="1099"/>
      <c r="S488" s="1099"/>
      <c r="T488" s="1099"/>
      <c r="U488" s="1104"/>
      <c r="V488" s="1101"/>
      <c r="W488" s="1101"/>
      <c r="X488" s="1101"/>
      <c r="Y488" s="1101"/>
      <c r="Z488" s="1102"/>
    </row>
    <row r="489" spans="2:26" ht="12.75" customHeight="1" x14ac:dyDescent="0.2">
      <c r="B489" s="2090" t="str">
        <f t="shared" si="11"/>
        <v>Libre acceso71</v>
      </c>
      <c r="C489" s="1103"/>
      <c r="D489" s="521" t="s">
        <v>729</v>
      </c>
      <c r="E489" s="1099" t="s">
        <v>646</v>
      </c>
      <c r="F489" s="1099">
        <f>F476+10</f>
        <v>71</v>
      </c>
      <c r="G489" s="1108" t="s">
        <v>2446</v>
      </c>
      <c r="H489" s="1108" t="s">
        <v>5406</v>
      </c>
      <c r="I489" s="1109" t="s">
        <v>1606</v>
      </c>
      <c r="J489" s="1099">
        <v>8</v>
      </c>
      <c r="K489" s="1099">
        <v>11</v>
      </c>
      <c r="L489" s="1099">
        <v>13</v>
      </c>
      <c r="M489" s="1104">
        <v>16</v>
      </c>
      <c r="N489" s="1099">
        <v>150</v>
      </c>
      <c r="O489" s="1099">
        <v>200</v>
      </c>
      <c r="P489" s="1099">
        <v>250</v>
      </c>
      <c r="Q489" s="1104">
        <v>300</v>
      </c>
      <c r="R489" s="1099">
        <v>15</v>
      </c>
      <c r="S489" s="1099">
        <v>20</v>
      </c>
      <c r="T489" s="1099">
        <v>25</v>
      </c>
      <c r="U489" s="1104">
        <v>30</v>
      </c>
      <c r="V489" s="1101" t="s">
        <v>6455</v>
      </c>
      <c r="W489" s="1101" t="s">
        <v>6456</v>
      </c>
      <c r="X489" s="1101" t="s">
        <v>6457</v>
      </c>
      <c r="Y489" s="1101" t="s">
        <v>6458</v>
      </c>
      <c r="Z489" s="1102" t="s">
        <v>6459</v>
      </c>
    </row>
    <row r="490" spans="2:26" ht="12.75" customHeight="1" x14ac:dyDescent="0.2">
      <c r="B490" s="2090" t="str">
        <f t="shared" si="11"/>
        <v>Libre acceso71</v>
      </c>
      <c r="C490" s="1103"/>
      <c r="D490" s="521" t="s">
        <v>730</v>
      </c>
      <c r="E490" s="1099" t="s">
        <v>646</v>
      </c>
      <c r="F490" s="1099">
        <f t="shared" ref="F490:F500" si="14">F477+10</f>
        <v>71</v>
      </c>
      <c r="G490" s="1108" t="s">
        <v>1690</v>
      </c>
      <c r="H490" s="1108" t="s">
        <v>1536</v>
      </c>
      <c r="I490" s="1109" t="s">
        <v>1606</v>
      </c>
      <c r="J490" s="1099">
        <v>9</v>
      </c>
      <c r="K490" s="1099">
        <v>11</v>
      </c>
      <c r="L490" s="1099">
        <v>13</v>
      </c>
      <c r="M490" s="1104">
        <v>16</v>
      </c>
      <c r="N490" s="1099">
        <v>150</v>
      </c>
      <c r="O490" s="1099">
        <v>200</v>
      </c>
      <c r="P490" s="1099">
        <v>250</v>
      </c>
      <c r="Q490" s="1104">
        <v>300</v>
      </c>
      <c r="R490" s="1099"/>
      <c r="S490" s="1099"/>
      <c r="T490" s="1099"/>
      <c r="U490" s="1104"/>
      <c r="V490" s="1101" t="s">
        <v>6460</v>
      </c>
      <c r="W490" s="1101" t="s">
        <v>6461</v>
      </c>
      <c r="X490" s="1101" t="s">
        <v>6462</v>
      </c>
      <c r="Y490" s="1101" t="s">
        <v>6463</v>
      </c>
      <c r="Z490" s="1102" t="s">
        <v>6464</v>
      </c>
    </row>
    <row r="491" spans="2:26" ht="12.75" customHeight="1" x14ac:dyDescent="0.2">
      <c r="B491" s="2090" t="str">
        <f t="shared" si="11"/>
        <v>Libre acceso71</v>
      </c>
      <c r="C491" s="1103"/>
      <c r="D491" s="521" t="s">
        <v>731</v>
      </c>
      <c r="E491" s="1099" t="s">
        <v>646</v>
      </c>
      <c r="F491" s="1099">
        <f t="shared" si="14"/>
        <v>71</v>
      </c>
      <c r="G491" s="1108" t="s">
        <v>1690</v>
      </c>
      <c r="H491" s="1108" t="s">
        <v>5406</v>
      </c>
      <c r="I491" s="1109" t="s">
        <v>1606</v>
      </c>
      <c r="J491" s="1099">
        <v>8</v>
      </c>
      <c r="K491" s="1099">
        <v>11</v>
      </c>
      <c r="L491" s="1099">
        <v>13</v>
      </c>
      <c r="M491" s="1104">
        <v>16</v>
      </c>
      <c r="N491" s="1099">
        <v>120</v>
      </c>
      <c r="O491" s="1099">
        <v>180</v>
      </c>
      <c r="P491" s="1099">
        <v>240</v>
      </c>
      <c r="Q491" s="1104">
        <v>300</v>
      </c>
      <c r="R491" s="1099">
        <v>15</v>
      </c>
      <c r="S491" s="1099">
        <v>20</v>
      </c>
      <c r="T491" s="1099">
        <v>25</v>
      </c>
      <c r="U491" s="1104">
        <v>30</v>
      </c>
      <c r="V491" s="1101" t="s">
        <v>4968</v>
      </c>
      <c r="W491" s="1101" t="s">
        <v>4969</v>
      </c>
      <c r="X491" s="1101" t="s">
        <v>4697</v>
      </c>
      <c r="Y491" s="1101" t="s">
        <v>5159</v>
      </c>
      <c r="Z491" s="1102" t="s">
        <v>6465</v>
      </c>
    </row>
    <row r="492" spans="2:26" ht="12.75" customHeight="1" x14ac:dyDescent="0.2">
      <c r="B492" s="2090" t="str">
        <f t="shared" si="11"/>
        <v>Libre acceso71</v>
      </c>
      <c r="C492" s="1103"/>
      <c r="D492" s="521" t="s">
        <v>732</v>
      </c>
      <c r="E492" s="1099" t="s">
        <v>646</v>
      </c>
      <c r="F492" s="1099">
        <f t="shared" si="14"/>
        <v>71</v>
      </c>
      <c r="G492" s="1108" t="s">
        <v>2446</v>
      </c>
      <c r="H492" s="1108" t="s">
        <v>6467</v>
      </c>
      <c r="I492" s="1109" t="s">
        <v>1606</v>
      </c>
      <c r="J492" s="1099">
        <v>9</v>
      </c>
      <c r="K492" s="1099">
        <v>11</v>
      </c>
      <c r="L492" s="1099">
        <v>14</v>
      </c>
      <c r="M492" s="1104">
        <v>16</v>
      </c>
      <c r="N492" s="1099">
        <v>100</v>
      </c>
      <c r="O492" s="1099">
        <v>120</v>
      </c>
      <c r="P492" s="1099">
        <v>140</v>
      </c>
      <c r="Q492" s="1104">
        <v>160</v>
      </c>
      <c r="R492" s="1099">
        <v>10</v>
      </c>
      <c r="S492" s="1099">
        <v>15</v>
      </c>
      <c r="T492" s="1099">
        <v>15</v>
      </c>
      <c r="U492" s="1104">
        <v>20</v>
      </c>
      <c r="V492" s="1101" t="s">
        <v>6468</v>
      </c>
      <c r="W492" s="1101" t="s">
        <v>6469</v>
      </c>
      <c r="X492" s="1101" t="s">
        <v>6470</v>
      </c>
      <c r="Y492" s="1101" t="s">
        <v>6471</v>
      </c>
      <c r="Z492" s="1102" t="s">
        <v>6472</v>
      </c>
    </row>
    <row r="493" spans="2:26" ht="12.75" customHeight="1" x14ac:dyDescent="0.2">
      <c r="B493" s="2090" t="str">
        <f t="shared" si="11"/>
        <v>Libre acceso71</v>
      </c>
      <c r="C493" s="1103"/>
      <c r="D493" s="521" t="s">
        <v>3</v>
      </c>
      <c r="E493" s="1099" t="s">
        <v>646</v>
      </c>
      <c r="F493" s="1099">
        <f t="shared" si="14"/>
        <v>71</v>
      </c>
      <c r="G493" s="1108" t="s">
        <v>1690</v>
      </c>
      <c r="H493" s="1108" t="s">
        <v>1536</v>
      </c>
      <c r="I493" s="1109" t="s">
        <v>1606</v>
      </c>
      <c r="J493" s="1099">
        <v>9</v>
      </c>
      <c r="K493" s="1099">
        <v>11</v>
      </c>
      <c r="L493" s="1099">
        <v>13</v>
      </c>
      <c r="M493" s="1104">
        <v>16</v>
      </c>
      <c r="N493" s="1099">
        <v>160</v>
      </c>
      <c r="O493" s="1099">
        <v>200</v>
      </c>
      <c r="P493" s="1099">
        <v>240</v>
      </c>
      <c r="Q493" s="1104">
        <v>280</v>
      </c>
      <c r="R493" s="1099">
        <v>20</v>
      </c>
      <c r="S493" s="1099">
        <v>20</v>
      </c>
      <c r="T493" s="1099">
        <v>25</v>
      </c>
      <c r="U493" s="1104">
        <v>30</v>
      </c>
      <c r="V493" s="1101" t="s">
        <v>6473</v>
      </c>
      <c r="W493" s="1101" t="s">
        <v>6474</v>
      </c>
      <c r="X493" s="1101" t="s">
        <v>6475</v>
      </c>
      <c r="Y493" s="1101" t="s">
        <v>6476</v>
      </c>
      <c r="Z493" s="1102" t="s">
        <v>6477</v>
      </c>
    </row>
    <row r="494" spans="2:26" ht="12.75" customHeight="1" x14ac:dyDescent="0.2">
      <c r="B494" s="2090" t="str">
        <f t="shared" si="11"/>
        <v>Libre acceso71</v>
      </c>
      <c r="C494" s="1103"/>
      <c r="D494" s="521" t="s">
        <v>733</v>
      </c>
      <c r="E494" s="1099" t="s">
        <v>646</v>
      </c>
      <c r="F494" s="1099">
        <f t="shared" si="14"/>
        <v>71</v>
      </c>
      <c r="G494" s="1108" t="s">
        <v>1690</v>
      </c>
      <c r="H494" s="1108" t="s">
        <v>5406</v>
      </c>
      <c r="I494" s="1109" t="s">
        <v>1606</v>
      </c>
      <c r="J494" s="1099">
        <v>9</v>
      </c>
      <c r="K494" s="1099">
        <v>11</v>
      </c>
      <c r="L494" s="1099">
        <v>13</v>
      </c>
      <c r="M494" s="1104">
        <v>16</v>
      </c>
      <c r="N494" s="1099">
        <v>160</v>
      </c>
      <c r="O494" s="1099">
        <v>200</v>
      </c>
      <c r="P494" s="1099">
        <v>240</v>
      </c>
      <c r="Q494" s="1104">
        <v>280</v>
      </c>
      <c r="R494" s="1099">
        <v>20</v>
      </c>
      <c r="S494" s="1099">
        <v>20</v>
      </c>
      <c r="T494" s="1099">
        <v>25</v>
      </c>
      <c r="U494" s="1104">
        <v>30</v>
      </c>
      <c r="V494" s="1101" t="s">
        <v>4981</v>
      </c>
      <c r="W494" s="1101" t="s">
        <v>4982</v>
      </c>
      <c r="X494" s="1101" t="s">
        <v>5977</v>
      </c>
      <c r="Y494" s="1101" t="s">
        <v>4983</v>
      </c>
      <c r="Z494" s="1102" t="s">
        <v>6478</v>
      </c>
    </row>
    <row r="495" spans="2:26" ht="12.75" customHeight="1" x14ac:dyDescent="0.2">
      <c r="B495" s="2090" t="str">
        <f t="shared" si="11"/>
        <v>Libre acceso71</v>
      </c>
      <c r="C495" s="1103"/>
      <c r="D495" s="521" t="s">
        <v>6466</v>
      </c>
      <c r="E495" s="1099" t="s">
        <v>646</v>
      </c>
      <c r="F495" s="1099">
        <f t="shared" si="14"/>
        <v>71</v>
      </c>
      <c r="G495" s="1108" t="s">
        <v>1690</v>
      </c>
      <c r="H495" s="1108" t="s">
        <v>6479</v>
      </c>
      <c r="I495" s="1109" t="s">
        <v>1607</v>
      </c>
      <c r="J495" s="1099">
        <v>9</v>
      </c>
      <c r="K495" s="1099">
        <v>11</v>
      </c>
      <c r="L495" s="1099">
        <v>13</v>
      </c>
      <c r="M495" s="1104">
        <v>16</v>
      </c>
      <c r="N495" s="1099">
        <v>100</v>
      </c>
      <c r="O495" s="1099">
        <v>160</v>
      </c>
      <c r="P495" s="1099">
        <v>220</v>
      </c>
      <c r="Q495" s="1104">
        <v>300</v>
      </c>
      <c r="R495" s="1099"/>
      <c r="S495" s="1099"/>
      <c r="T495" s="1099"/>
      <c r="U495" s="1104"/>
      <c r="V495" s="1101" t="s">
        <v>4969</v>
      </c>
      <c r="W495" s="1101" t="s">
        <v>4864</v>
      </c>
      <c r="X495" s="1101" t="s">
        <v>4865</v>
      </c>
      <c r="Y495" s="1101" t="s">
        <v>4866</v>
      </c>
      <c r="Z495" s="1102" t="s">
        <v>6480</v>
      </c>
    </row>
    <row r="496" spans="2:26" ht="12.75" customHeight="1" x14ac:dyDescent="0.2">
      <c r="B496" s="2090" t="str">
        <f t="shared" si="11"/>
        <v>Libre acceso71</v>
      </c>
      <c r="C496" s="1103"/>
      <c r="D496" s="521" t="s">
        <v>1945</v>
      </c>
      <c r="E496" s="1099" t="s">
        <v>646</v>
      </c>
      <c r="F496" s="1099">
        <f t="shared" si="14"/>
        <v>71</v>
      </c>
      <c r="G496" s="1108" t="s">
        <v>1690</v>
      </c>
      <c r="H496" s="1108" t="s">
        <v>1536</v>
      </c>
      <c r="I496" s="1109" t="s">
        <v>1606</v>
      </c>
      <c r="J496" s="1099">
        <v>8</v>
      </c>
      <c r="K496" s="1099">
        <v>11</v>
      </c>
      <c r="L496" s="1099">
        <v>13</v>
      </c>
      <c r="M496" s="1104">
        <v>16</v>
      </c>
      <c r="N496" s="1099">
        <v>100</v>
      </c>
      <c r="O496" s="1099">
        <v>120</v>
      </c>
      <c r="P496" s="1099">
        <v>140</v>
      </c>
      <c r="Q496" s="1104">
        <v>160</v>
      </c>
      <c r="R496" s="1099">
        <v>5</v>
      </c>
      <c r="S496" s="1099">
        <v>10</v>
      </c>
      <c r="T496" s="1099">
        <v>10</v>
      </c>
      <c r="U496" s="1104">
        <v>10</v>
      </c>
      <c r="V496" s="1101" t="s">
        <v>6481</v>
      </c>
      <c r="W496" s="1101" t="s">
        <v>6482</v>
      </c>
      <c r="X496" s="1101" t="s">
        <v>6483</v>
      </c>
      <c r="Y496" s="1101" t="s">
        <v>3113</v>
      </c>
      <c r="Z496" s="1102" t="s">
        <v>6484</v>
      </c>
    </row>
    <row r="497" spans="2:26" ht="12.75" customHeight="1" x14ac:dyDescent="0.2">
      <c r="B497" s="2090" t="str">
        <f t="shared" si="11"/>
        <v>Libre acceso71</v>
      </c>
      <c r="C497" s="1103"/>
      <c r="D497" s="521" t="s">
        <v>2081</v>
      </c>
      <c r="E497" s="1099" t="s">
        <v>646</v>
      </c>
      <c r="F497" s="1099">
        <f t="shared" si="14"/>
        <v>71</v>
      </c>
      <c r="G497" s="1108" t="s">
        <v>1690</v>
      </c>
      <c r="H497" s="1108" t="s">
        <v>1536</v>
      </c>
      <c r="I497" s="1109" t="s">
        <v>1606</v>
      </c>
      <c r="J497" s="1099">
        <v>9</v>
      </c>
      <c r="K497" s="1099">
        <v>11</v>
      </c>
      <c r="L497" s="1099">
        <v>13</v>
      </c>
      <c r="M497" s="1104">
        <v>16</v>
      </c>
      <c r="N497" s="1099">
        <v>80</v>
      </c>
      <c r="O497" s="1099">
        <v>120</v>
      </c>
      <c r="P497" s="1099">
        <v>160</v>
      </c>
      <c r="Q497" s="1104">
        <v>200</v>
      </c>
      <c r="R497" s="1099">
        <v>9</v>
      </c>
      <c r="S497" s="1099">
        <v>11</v>
      </c>
      <c r="T497" s="1099">
        <v>13</v>
      </c>
      <c r="U497" s="1104">
        <v>16</v>
      </c>
      <c r="V497" s="1101" t="s">
        <v>6485</v>
      </c>
      <c r="W497" s="1101" t="s">
        <v>6486</v>
      </c>
      <c r="X497" s="1101" t="s">
        <v>6487</v>
      </c>
      <c r="Y497" s="1101" t="s">
        <v>6488</v>
      </c>
      <c r="Z497" s="1102" t="s">
        <v>6489</v>
      </c>
    </row>
    <row r="498" spans="2:26" ht="12.75" customHeight="1" x14ac:dyDescent="0.2">
      <c r="B498" s="2090" t="str">
        <f t="shared" si="11"/>
        <v>Libre acceso71</v>
      </c>
      <c r="C498" s="1103"/>
      <c r="D498" s="521" t="s">
        <v>2078</v>
      </c>
      <c r="E498" s="1099" t="s">
        <v>646</v>
      </c>
      <c r="F498" s="1099">
        <f t="shared" si="14"/>
        <v>71</v>
      </c>
      <c r="G498" s="1108" t="s">
        <v>1690</v>
      </c>
      <c r="H498" s="1108" t="s">
        <v>1536</v>
      </c>
      <c r="I498" s="1109" t="s">
        <v>1606</v>
      </c>
      <c r="J498" s="1099">
        <v>9</v>
      </c>
      <c r="K498" s="1099">
        <v>11</v>
      </c>
      <c r="L498" s="1099">
        <v>13</v>
      </c>
      <c r="M498" s="1104">
        <v>16</v>
      </c>
      <c r="N498" s="1099">
        <v>80</v>
      </c>
      <c r="O498" s="1099">
        <v>120</v>
      </c>
      <c r="P498" s="1099">
        <v>160</v>
      </c>
      <c r="Q498" s="1104">
        <v>200</v>
      </c>
      <c r="R498" s="1099">
        <v>10</v>
      </c>
      <c r="S498" s="1099">
        <v>10</v>
      </c>
      <c r="T498" s="1099">
        <v>15</v>
      </c>
      <c r="U498" s="1104">
        <v>15</v>
      </c>
      <c r="V498" s="1101" t="s">
        <v>6490</v>
      </c>
      <c r="W498" s="1101" t="s">
        <v>6491</v>
      </c>
      <c r="X498" s="1101" t="s">
        <v>6492</v>
      </c>
      <c r="Y498" s="1101" t="s">
        <v>6493</v>
      </c>
      <c r="Z498" s="1102" t="s">
        <v>6494</v>
      </c>
    </row>
    <row r="499" spans="2:26" ht="12.75" customHeight="1" x14ac:dyDescent="0.2">
      <c r="B499" s="2090" t="str">
        <f t="shared" si="11"/>
        <v>Libre acceso71</v>
      </c>
      <c r="C499" s="1103"/>
      <c r="D499" s="521" t="s">
        <v>734</v>
      </c>
      <c r="E499" s="1099" t="s">
        <v>646</v>
      </c>
      <c r="F499" s="1099">
        <f t="shared" si="14"/>
        <v>71</v>
      </c>
      <c r="G499" s="1108" t="s">
        <v>2446</v>
      </c>
      <c r="H499" s="1108" t="s">
        <v>1537</v>
      </c>
      <c r="I499" s="1109" t="s">
        <v>1606</v>
      </c>
      <c r="J499" s="1099">
        <v>9</v>
      </c>
      <c r="K499" s="1099">
        <v>11</v>
      </c>
      <c r="L499" s="1099">
        <v>14</v>
      </c>
      <c r="M499" s="1104">
        <v>16</v>
      </c>
      <c r="N499" s="1099">
        <v>200</v>
      </c>
      <c r="O499" s="1099">
        <v>240</v>
      </c>
      <c r="P499" s="1099">
        <v>280</v>
      </c>
      <c r="Q499" s="1104">
        <v>320</v>
      </c>
      <c r="R499" s="1099">
        <v>40</v>
      </c>
      <c r="S499" s="1099">
        <v>50</v>
      </c>
      <c r="T499" s="1099">
        <v>60</v>
      </c>
      <c r="U499" s="1104">
        <v>65</v>
      </c>
      <c r="V499" s="1101" t="s">
        <v>6025</v>
      </c>
      <c r="W499" s="1101" t="s">
        <v>5170</v>
      </c>
      <c r="X499" s="1101" t="s">
        <v>6026</v>
      </c>
      <c r="Y499" s="1101" t="s">
        <v>6027</v>
      </c>
      <c r="Z499" s="1102" t="s">
        <v>6495</v>
      </c>
    </row>
    <row r="500" spans="2:26" ht="12.75" customHeight="1" x14ac:dyDescent="0.2">
      <c r="B500" s="2090" t="str">
        <f t="shared" si="11"/>
        <v>Libre acceso71</v>
      </c>
      <c r="C500" s="1103"/>
      <c r="D500" s="521" t="s">
        <v>735</v>
      </c>
      <c r="E500" s="1099" t="s">
        <v>646</v>
      </c>
      <c r="F500" s="1099">
        <f t="shared" si="14"/>
        <v>71</v>
      </c>
      <c r="G500" s="1108" t="s">
        <v>1690</v>
      </c>
      <c r="H500" s="1108" t="s">
        <v>1536</v>
      </c>
      <c r="I500" s="1109" t="s">
        <v>1606</v>
      </c>
      <c r="J500" s="1099">
        <v>9</v>
      </c>
      <c r="K500" s="1099">
        <v>11</v>
      </c>
      <c r="L500" s="1099">
        <v>13</v>
      </c>
      <c r="M500" s="1104">
        <v>16</v>
      </c>
      <c r="N500" s="1099">
        <v>80</v>
      </c>
      <c r="O500" s="1099">
        <v>100</v>
      </c>
      <c r="P500" s="1099">
        <v>120</v>
      </c>
      <c r="Q500" s="1104">
        <v>140</v>
      </c>
      <c r="R500" s="1099"/>
      <c r="S500" s="1099"/>
      <c r="T500" s="1099"/>
      <c r="U500" s="1104"/>
      <c r="V500" s="1101" t="s">
        <v>6496</v>
      </c>
      <c r="W500" s="1101" t="s">
        <v>6497</v>
      </c>
      <c r="X500" s="1101" t="s">
        <v>6498</v>
      </c>
      <c r="Y500" s="1101" t="s">
        <v>6499</v>
      </c>
      <c r="Z500" s="1102" t="s">
        <v>6500</v>
      </c>
    </row>
    <row r="501" spans="2:26" ht="12.75" customHeight="1" x14ac:dyDescent="0.2">
      <c r="B501" s="2090" t="str">
        <f t="shared" si="11"/>
        <v/>
      </c>
      <c r="C501" s="1103"/>
      <c r="D501" s="521" t="s">
        <v>736</v>
      </c>
      <c r="E501" s="1099"/>
      <c r="F501" s="1099"/>
      <c r="G501" s="1108"/>
      <c r="H501" s="1108"/>
      <c r="I501" s="1109"/>
      <c r="J501" s="1099"/>
      <c r="K501" s="1099"/>
      <c r="L501" s="1099"/>
      <c r="M501" s="1104"/>
      <c r="N501" s="1099"/>
      <c r="O501" s="1099"/>
      <c r="P501" s="1099"/>
      <c r="Q501" s="1104"/>
      <c r="R501" s="1099"/>
      <c r="S501" s="1099"/>
      <c r="T501" s="1099"/>
      <c r="U501" s="1104"/>
      <c r="V501" s="1101"/>
      <c r="W501" s="1101"/>
      <c r="X501" s="1101"/>
      <c r="Y501" s="1101"/>
      <c r="Z501" s="1102"/>
    </row>
    <row r="502" spans="2:26" ht="12.75" customHeight="1" x14ac:dyDescent="0.2">
      <c r="B502" s="2090" t="str">
        <f t="shared" si="11"/>
        <v>Libre acceso81</v>
      </c>
      <c r="C502" s="1103"/>
      <c r="D502" s="521" t="s">
        <v>737</v>
      </c>
      <c r="E502" s="1099" t="s">
        <v>646</v>
      </c>
      <c r="F502" s="1099">
        <f>F489+10</f>
        <v>81</v>
      </c>
      <c r="G502" s="1108" t="s">
        <v>2446</v>
      </c>
      <c r="H502" s="1108" t="s">
        <v>1536</v>
      </c>
      <c r="I502" s="1109" t="s">
        <v>1606</v>
      </c>
      <c r="J502" s="1099">
        <v>10</v>
      </c>
      <c r="K502" s="1099">
        <v>13</v>
      </c>
      <c r="L502" s="1099">
        <v>15</v>
      </c>
      <c r="M502" s="1104">
        <v>17</v>
      </c>
      <c r="N502" s="1099">
        <v>300</v>
      </c>
      <c r="O502" s="1099">
        <v>400</v>
      </c>
      <c r="P502" s="1099">
        <v>500</v>
      </c>
      <c r="Q502" s="1104">
        <v>600</v>
      </c>
      <c r="R502" s="1099">
        <v>15</v>
      </c>
      <c r="S502" s="1099">
        <v>20</v>
      </c>
      <c r="T502" s="1099">
        <v>25</v>
      </c>
      <c r="U502" s="1104">
        <v>30</v>
      </c>
      <c r="V502" s="1101" t="s">
        <v>5305</v>
      </c>
      <c r="W502" s="1101" t="s">
        <v>6501</v>
      </c>
      <c r="X502" s="1101" t="s">
        <v>6502</v>
      </c>
      <c r="Y502" s="1101" t="s">
        <v>6503</v>
      </c>
      <c r="Z502" s="1102" t="s">
        <v>6504</v>
      </c>
    </row>
    <row r="503" spans="2:26" ht="12.75" customHeight="1" x14ac:dyDescent="0.2">
      <c r="B503" s="2090" t="str">
        <f t="shared" si="11"/>
        <v>Libre acceso81</v>
      </c>
      <c r="C503" s="1103"/>
      <c r="D503" s="521" t="s">
        <v>1630</v>
      </c>
      <c r="E503" s="1099" t="s">
        <v>646</v>
      </c>
      <c r="F503" s="1099">
        <f t="shared" ref="F503:F513" si="15">F490+10</f>
        <v>81</v>
      </c>
      <c r="G503" s="1108" t="s">
        <v>1690</v>
      </c>
      <c r="H503" s="1108" t="s">
        <v>1538</v>
      </c>
      <c r="I503" s="1109" t="s">
        <v>1606</v>
      </c>
      <c r="J503" s="1099">
        <v>10</v>
      </c>
      <c r="K503" s="1099">
        <v>12</v>
      </c>
      <c r="L503" s="1099">
        <v>14</v>
      </c>
      <c r="M503" s="1104">
        <v>16</v>
      </c>
      <c r="N503" s="1099">
        <v>300</v>
      </c>
      <c r="O503" s="1099">
        <v>360</v>
      </c>
      <c r="P503" s="1099">
        <v>420</v>
      </c>
      <c r="Q503" s="1104">
        <v>480</v>
      </c>
      <c r="R503" s="1099"/>
      <c r="S503" s="1099"/>
      <c r="T503" s="1099"/>
      <c r="U503" s="1104"/>
      <c r="V503" s="1101" t="s">
        <v>6505</v>
      </c>
      <c r="W503" s="1101" t="s">
        <v>6506</v>
      </c>
      <c r="X503" s="1101" t="s">
        <v>6507</v>
      </c>
      <c r="Y503" s="1101" t="s">
        <v>6508</v>
      </c>
      <c r="Z503" s="1102" t="s">
        <v>6509</v>
      </c>
    </row>
    <row r="504" spans="2:26" ht="12.75" customHeight="1" x14ac:dyDescent="0.2">
      <c r="B504" s="2090" t="str">
        <f t="shared" si="11"/>
        <v>Libre acceso81</v>
      </c>
      <c r="C504" s="1103"/>
      <c r="D504" s="521" t="s">
        <v>738</v>
      </c>
      <c r="E504" s="1099" t="s">
        <v>646</v>
      </c>
      <c r="F504" s="1099">
        <f t="shared" si="15"/>
        <v>81</v>
      </c>
      <c r="G504" s="1108" t="s">
        <v>1690</v>
      </c>
      <c r="H504" s="1108" t="s">
        <v>1536</v>
      </c>
      <c r="I504" s="1109" t="s">
        <v>1606</v>
      </c>
      <c r="J504" s="1099">
        <v>10</v>
      </c>
      <c r="K504" s="1099">
        <v>13</v>
      </c>
      <c r="L504" s="1099">
        <v>15</v>
      </c>
      <c r="M504" s="1104">
        <v>17</v>
      </c>
      <c r="N504" s="1099">
        <v>200</v>
      </c>
      <c r="O504" s="1099">
        <v>250</v>
      </c>
      <c r="P504" s="1099">
        <v>320</v>
      </c>
      <c r="Q504" s="1104">
        <v>400</v>
      </c>
      <c r="R504" s="1099"/>
      <c r="S504" s="1099"/>
      <c r="T504" s="1099"/>
      <c r="U504" s="1104"/>
      <c r="V504" s="1101" t="s">
        <v>4779</v>
      </c>
      <c r="W504" s="1101" t="s">
        <v>4780</v>
      </c>
      <c r="X504" s="1101" t="s">
        <v>4953</v>
      </c>
      <c r="Y504" s="1101" t="s">
        <v>5700</v>
      </c>
      <c r="Z504" s="1102" t="s">
        <v>6510</v>
      </c>
    </row>
    <row r="505" spans="2:26" ht="12.75" customHeight="1" x14ac:dyDescent="0.2">
      <c r="B505" s="2090" t="str">
        <f t="shared" si="11"/>
        <v>Libre acceso81</v>
      </c>
      <c r="C505" s="1103"/>
      <c r="D505" s="521" t="s">
        <v>739</v>
      </c>
      <c r="E505" s="1099" t="s">
        <v>646</v>
      </c>
      <c r="F505" s="1099">
        <f t="shared" si="15"/>
        <v>81</v>
      </c>
      <c r="G505" s="1108" t="s">
        <v>2446</v>
      </c>
      <c r="H505" s="1108" t="s">
        <v>1536</v>
      </c>
      <c r="I505" s="1109" t="s">
        <v>1606</v>
      </c>
      <c r="J505" s="1099">
        <v>10</v>
      </c>
      <c r="K505" s="1099">
        <v>12</v>
      </c>
      <c r="L505" s="1099">
        <v>14</v>
      </c>
      <c r="M505" s="1104">
        <v>16</v>
      </c>
      <c r="N505" s="1099">
        <v>300</v>
      </c>
      <c r="O505" s="1099">
        <v>360</v>
      </c>
      <c r="P505" s="1099">
        <v>420</v>
      </c>
      <c r="Q505" s="1104">
        <v>480</v>
      </c>
      <c r="R505" s="1099">
        <v>15</v>
      </c>
      <c r="S505" s="1099">
        <v>20</v>
      </c>
      <c r="T505" s="1099">
        <v>25</v>
      </c>
      <c r="U505" s="1104">
        <v>25</v>
      </c>
      <c r="V505" s="1101" t="s">
        <v>5305</v>
      </c>
      <c r="W505" s="1101" t="s">
        <v>6511</v>
      </c>
      <c r="X505" s="1101" t="s">
        <v>6512</v>
      </c>
      <c r="Y505" s="1101" t="s">
        <v>6513</v>
      </c>
      <c r="Z505" s="1102" t="s">
        <v>8653</v>
      </c>
    </row>
    <row r="506" spans="2:26" ht="12.75" customHeight="1" x14ac:dyDescent="0.2">
      <c r="B506" s="2090" t="str">
        <f t="shared" si="11"/>
        <v>Libre acceso81</v>
      </c>
      <c r="C506" s="1103"/>
      <c r="D506" s="521" t="s">
        <v>740</v>
      </c>
      <c r="E506" s="1099" t="s">
        <v>646</v>
      </c>
      <c r="F506" s="1099">
        <f t="shared" si="15"/>
        <v>81</v>
      </c>
      <c r="G506" s="1108" t="s">
        <v>2446</v>
      </c>
      <c r="H506" s="1108" t="s">
        <v>1536</v>
      </c>
      <c r="I506" s="1109" t="s">
        <v>1606</v>
      </c>
      <c r="J506" s="1099">
        <v>10</v>
      </c>
      <c r="K506" s="1099">
        <v>12</v>
      </c>
      <c r="L506" s="1099">
        <v>14</v>
      </c>
      <c r="M506" s="1104">
        <v>16</v>
      </c>
      <c r="N506" s="1099">
        <v>200</v>
      </c>
      <c r="O506" s="1099">
        <v>240</v>
      </c>
      <c r="P506" s="1099">
        <v>280</v>
      </c>
      <c r="Q506" s="1104">
        <v>320</v>
      </c>
      <c r="R506" s="1099">
        <v>10</v>
      </c>
      <c r="S506" s="1099">
        <v>15</v>
      </c>
      <c r="T506" s="1099">
        <v>15</v>
      </c>
      <c r="U506" s="1104">
        <v>20</v>
      </c>
      <c r="V506" s="1101" t="s">
        <v>5031</v>
      </c>
      <c r="W506" s="1101" t="s">
        <v>4779</v>
      </c>
      <c r="X506" s="1101" t="s">
        <v>4780</v>
      </c>
      <c r="Y506" s="1101" t="s">
        <v>4953</v>
      </c>
      <c r="Z506" s="1102" t="s">
        <v>6514</v>
      </c>
    </row>
    <row r="507" spans="2:26" ht="12.75" customHeight="1" x14ac:dyDescent="0.2">
      <c r="B507" s="2090" t="str">
        <f t="shared" si="11"/>
        <v>Libre acceso81</v>
      </c>
      <c r="C507" s="1103"/>
      <c r="D507" s="521" t="s">
        <v>741</v>
      </c>
      <c r="E507" s="1099" t="s">
        <v>646</v>
      </c>
      <c r="F507" s="1099">
        <f t="shared" si="15"/>
        <v>81</v>
      </c>
      <c r="G507" s="1108" t="s">
        <v>2446</v>
      </c>
      <c r="H507" s="1108" t="s">
        <v>1536</v>
      </c>
      <c r="I507" s="1109" t="s">
        <v>1606</v>
      </c>
      <c r="J507" s="1099">
        <v>10</v>
      </c>
      <c r="K507" s="1099">
        <v>12</v>
      </c>
      <c r="L507" s="1099">
        <v>14</v>
      </c>
      <c r="M507" s="1104">
        <v>16</v>
      </c>
      <c r="N507" s="1099">
        <v>200</v>
      </c>
      <c r="O507" s="1099">
        <v>300</v>
      </c>
      <c r="P507" s="1099">
        <v>360</v>
      </c>
      <c r="Q507" s="1104">
        <v>420</v>
      </c>
      <c r="R507" s="1099">
        <v>20</v>
      </c>
      <c r="S507" s="1099">
        <v>30</v>
      </c>
      <c r="T507" s="1099">
        <v>40</v>
      </c>
      <c r="U507" s="1104">
        <v>45</v>
      </c>
      <c r="V507" s="1101" t="s">
        <v>6515</v>
      </c>
      <c r="W507" s="1101" t="s">
        <v>6516</v>
      </c>
      <c r="X507" s="1101" t="s">
        <v>6517</v>
      </c>
      <c r="Y507" s="1101" t="s">
        <v>6518</v>
      </c>
      <c r="Z507" s="1102" t="s">
        <v>6519</v>
      </c>
    </row>
    <row r="508" spans="2:26" ht="12.75" customHeight="1" x14ac:dyDescent="0.2">
      <c r="B508" s="2090" t="str">
        <f t="shared" si="11"/>
        <v>Libre acceso81</v>
      </c>
      <c r="C508" s="1103"/>
      <c r="D508" s="521" t="s">
        <v>742</v>
      </c>
      <c r="E508" s="1099" t="s">
        <v>646</v>
      </c>
      <c r="F508" s="1099">
        <f t="shared" si="15"/>
        <v>81</v>
      </c>
      <c r="G508" s="1108" t="s">
        <v>1690</v>
      </c>
      <c r="H508" s="1108" t="s">
        <v>1537</v>
      </c>
      <c r="I508" s="1109" t="s">
        <v>1606</v>
      </c>
      <c r="J508" s="1099">
        <v>10</v>
      </c>
      <c r="K508" s="1099">
        <v>12</v>
      </c>
      <c r="L508" s="1099">
        <v>14</v>
      </c>
      <c r="M508" s="1104">
        <v>16</v>
      </c>
      <c r="N508" s="1099">
        <v>200</v>
      </c>
      <c r="O508" s="1099">
        <v>280</v>
      </c>
      <c r="P508" s="1099">
        <v>340</v>
      </c>
      <c r="Q508" s="1104">
        <v>400</v>
      </c>
      <c r="R508" s="1099"/>
      <c r="S508" s="1099"/>
      <c r="T508" s="1099"/>
      <c r="U508" s="1104" t="s">
        <v>4961</v>
      </c>
      <c r="V508" s="1101" t="s">
        <v>6520</v>
      </c>
      <c r="W508" s="1101" t="s">
        <v>6521</v>
      </c>
      <c r="X508" s="1101" t="s">
        <v>6522</v>
      </c>
      <c r="Y508" s="1101" t="s">
        <v>6523</v>
      </c>
      <c r="Z508" s="1102" t="s">
        <v>6524</v>
      </c>
    </row>
    <row r="509" spans="2:26" ht="12.75" customHeight="1" x14ac:dyDescent="0.2">
      <c r="B509" s="2090" t="str">
        <f t="shared" si="11"/>
        <v>Libre acceso81</v>
      </c>
      <c r="C509" s="1103"/>
      <c r="D509" s="521" t="s">
        <v>743</v>
      </c>
      <c r="E509" s="1099" t="s">
        <v>646</v>
      </c>
      <c r="F509" s="1099">
        <f t="shared" si="15"/>
        <v>81</v>
      </c>
      <c r="G509" s="1108" t="s">
        <v>2446</v>
      </c>
      <c r="H509" s="1108" t="s">
        <v>1536</v>
      </c>
      <c r="I509" s="1109" t="s">
        <v>1606</v>
      </c>
      <c r="J509" s="1099">
        <v>10</v>
      </c>
      <c r="K509" s="1099">
        <v>13</v>
      </c>
      <c r="L509" s="1099">
        <v>15</v>
      </c>
      <c r="M509" s="1104">
        <v>17</v>
      </c>
      <c r="N509" s="1099">
        <v>350</v>
      </c>
      <c r="O509" s="1099">
        <v>420</v>
      </c>
      <c r="P509" s="1099">
        <v>480</v>
      </c>
      <c r="Q509" s="1104">
        <v>540</v>
      </c>
      <c r="R509" s="1099">
        <v>70</v>
      </c>
      <c r="S509" s="1099">
        <v>85</v>
      </c>
      <c r="T509" s="1099">
        <v>100</v>
      </c>
      <c r="U509" s="1104">
        <v>110</v>
      </c>
      <c r="V509" s="1101" t="s">
        <v>6275</v>
      </c>
      <c r="W509" s="1101" t="s">
        <v>6525</v>
      </c>
      <c r="X509" s="1101" t="s">
        <v>6526</v>
      </c>
      <c r="Y509" s="1101" t="s">
        <v>6527</v>
      </c>
      <c r="Z509" s="1102" t="s">
        <v>6528</v>
      </c>
    </row>
    <row r="510" spans="2:26" ht="12.75" customHeight="1" x14ac:dyDescent="0.2">
      <c r="B510" s="2090" t="str">
        <f t="shared" si="11"/>
        <v>Libre acceso81</v>
      </c>
      <c r="C510" s="1103"/>
      <c r="D510" s="521" t="s">
        <v>744</v>
      </c>
      <c r="E510" s="1099" t="s">
        <v>646</v>
      </c>
      <c r="F510" s="1099">
        <f t="shared" si="15"/>
        <v>81</v>
      </c>
      <c r="G510" s="1108" t="s">
        <v>2446</v>
      </c>
      <c r="H510" s="1108" t="s">
        <v>1536</v>
      </c>
      <c r="I510" s="1109" t="s">
        <v>1606</v>
      </c>
      <c r="J510" s="1099">
        <v>10</v>
      </c>
      <c r="K510" s="1099">
        <v>12</v>
      </c>
      <c r="L510" s="1099">
        <v>14</v>
      </c>
      <c r="M510" s="1104">
        <v>16</v>
      </c>
      <c r="N510" s="1099">
        <v>200</v>
      </c>
      <c r="O510" s="1099">
        <v>240</v>
      </c>
      <c r="P510" s="1099">
        <v>280</v>
      </c>
      <c r="Q510" s="1104">
        <v>320</v>
      </c>
      <c r="R510" s="1099">
        <v>10</v>
      </c>
      <c r="S510" s="1099">
        <v>15</v>
      </c>
      <c r="T510" s="1099">
        <v>20</v>
      </c>
      <c r="U510" s="1104">
        <v>20</v>
      </c>
      <c r="V510" s="1101" t="s">
        <v>6529</v>
      </c>
      <c r="W510" s="1101" t="s">
        <v>6530</v>
      </c>
      <c r="X510" s="1101" t="s">
        <v>6531</v>
      </c>
      <c r="Y510" s="1101" t="s">
        <v>6532</v>
      </c>
      <c r="Z510" s="1102" t="s">
        <v>6533</v>
      </c>
    </row>
    <row r="511" spans="2:26" ht="12.75" customHeight="1" x14ac:dyDescent="0.2">
      <c r="B511" s="2090" t="str">
        <f t="shared" si="11"/>
        <v>Libre acceso81</v>
      </c>
      <c r="C511" s="1103"/>
      <c r="D511" s="521" t="s">
        <v>745</v>
      </c>
      <c r="E511" s="1099" t="s">
        <v>646</v>
      </c>
      <c r="F511" s="1099">
        <f t="shared" si="15"/>
        <v>81</v>
      </c>
      <c r="G511" s="1108" t="s">
        <v>1690</v>
      </c>
      <c r="H511" s="1108" t="s">
        <v>1537</v>
      </c>
      <c r="I511" s="1109" t="s">
        <v>1607</v>
      </c>
      <c r="J511" s="1099">
        <v>10</v>
      </c>
      <c r="K511" s="1099">
        <v>12</v>
      </c>
      <c r="L511" s="1099">
        <v>14</v>
      </c>
      <c r="M511" s="1104">
        <v>16</v>
      </c>
      <c r="N511" s="1099">
        <v>150</v>
      </c>
      <c r="O511" s="1099">
        <v>200</v>
      </c>
      <c r="P511" s="1099">
        <v>240</v>
      </c>
      <c r="Q511" s="1104">
        <v>280</v>
      </c>
      <c r="R511" s="1099"/>
      <c r="S511" s="1099"/>
      <c r="T511" s="1099"/>
      <c r="U511" s="1104" t="s">
        <v>4961</v>
      </c>
      <c r="V511" s="1101" t="s">
        <v>6534</v>
      </c>
      <c r="W511" s="1101" t="s">
        <v>6535</v>
      </c>
      <c r="X511" s="1101" t="s">
        <v>6536</v>
      </c>
      <c r="Y511" s="1101" t="s">
        <v>6537</v>
      </c>
      <c r="Z511" s="1102" t="s">
        <v>6538</v>
      </c>
    </row>
    <row r="512" spans="2:26" ht="12.75" customHeight="1" x14ac:dyDescent="0.2">
      <c r="B512" s="2090" t="str">
        <f t="shared" si="11"/>
        <v>Libre acceso81</v>
      </c>
      <c r="C512" s="1103"/>
      <c r="D512" s="521" t="s">
        <v>116</v>
      </c>
      <c r="E512" s="1099" t="s">
        <v>646</v>
      </c>
      <c r="F512" s="1099">
        <f t="shared" si="15"/>
        <v>81</v>
      </c>
      <c r="G512" s="1108" t="s">
        <v>1690</v>
      </c>
      <c r="H512" s="1108" t="s">
        <v>1536</v>
      </c>
      <c r="I512" s="1109" t="s">
        <v>1606</v>
      </c>
      <c r="J512" s="1099">
        <v>10</v>
      </c>
      <c r="K512" s="1099">
        <v>12</v>
      </c>
      <c r="L512" s="1099">
        <v>14</v>
      </c>
      <c r="M512" s="1104">
        <v>16</v>
      </c>
      <c r="N512" s="1099">
        <v>300</v>
      </c>
      <c r="O512" s="1099">
        <v>480</v>
      </c>
      <c r="P512" s="1099">
        <v>560</v>
      </c>
      <c r="Q512" s="1104">
        <v>640</v>
      </c>
      <c r="R512" s="1099"/>
      <c r="S512" s="1099"/>
      <c r="T512" s="1099"/>
      <c r="U512" s="1104" t="s">
        <v>4961</v>
      </c>
      <c r="V512" s="1101" t="s">
        <v>6539</v>
      </c>
      <c r="W512" s="1101" t="s">
        <v>6540</v>
      </c>
      <c r="X512" s="1101" t="s">
        <v>6541</v>
      </c>
      <c r="Y512" s="1101" t="s">
        <v>6542</v>
      </c>
      <c r="Z512" s="1102" t="s">
        <v>6543</v>
      </c>
    </row>
    <row r="513" spans="2:26" ht="12.75" customHeight="1" x14ac:dyDescent="0.2">
      <c r="B513" s="2090" t="str">
        <f t="shared" si="11"/>
        <v>Libre acceso81</v>
      </c>
      <c r="C513" s="1103"/>
      <c r="D513" s="521" t="s">
        <v>746</v>
      </c>
      <c r="E513" s="1099" t="s">
        <v>646</v>
      </c>
      <c r="F513" s="1099">
        <f t="shared" si="15"/>
        <v>81</v>
      </c>
      <c r="G513" s="1108" t="s">
        <v>2446</v>
      </c>
      <c r="H513" s="1108" t="s">
        <v>1536</v>
      </c>
      <c r="I513" s="1109" t="s">
        <v>1606</v>
      </c>
      <c r="J513" s="1099">
        <v>10</v>
      </c>
      <c r="K513" s="1099">
        <v>12</v>
      </c>
      <c r="L513" s="1099">
        <v>14</v>
      </c>
      <c r="M513" s="1104">
        <v>16</v>
      </c>
      <c r="N513" s="1099">
        <v>500</v>
      </c>
      <c r="O513" s="1099">
        <v>600</v>
      </c>
      <c r="P513" s="1099">
        <v>700</v>
      </c>
      <c r="Q513" s="1104">
        <v>800</v>
      </c>
      <c r="R513" s="1099">
        <v>25</v>
      </c>
      <c r="S513" s="1099">
        <v>30</v>
      </c>
      <c r="T513" s="1099">
        <v>35</v>
      </c>
      <c r="U513" s="1104">
        <v>40</v>
      </c>
      <c r="V513" s="1101" t="s">
        <v>6544</v>
      </c>
      <c r="W513" s="1101" t="s">
        <v>6545</v>
      </c>
      <c r="X513" s="1101" t="s">
        <v>6546</v>
      </c>
      <c r="Y513" s="1101" t="s">
        <v>6547</v>
      </c>
      <c r="Z513" s="1102" t="s">
        <v>6548</v>
      </c>
    </row>
    <row r="514" spans="2:26" ht="12.75" customHeight="1" x14ac:dyDescent="0.2">
      <c r="B514" s="2090" t="str">
        <f t="shared" si="11"/>
        <v/>
      </c>
      <c r="C514" s="1103"/>
      <c r="D514" s="521" t="s">
        <v>747</v>
      </c>
      <c r="E514" s="1099"/>
      <c r="F514" s="1099"/>
      <c r="G514" s="1108"/>
      <c r="H514" s="1108"/>
      <c r="I514" s="1109"/>
      <c r="J514" s="1099"/>
      <c r="K514" s="1099"/>
      <c r="L514" s="1099"/>
      <c r="M514" s="1104"/>
      <c r="N514" s="1099"/>
      <c r="O514" s="1099"/>
      <c r="P514" s="1099"/>
      <c r="Q514" s="1104"/>
      <c r="R514" s="1099"/>
      <c r="S514" s="1099"/>
      <c r="T514" s="1099"/>
      <c r="U514" s="1104"/>
      <c r="V514" s="1101"/>
      <c r="W514" s="1101"/>
      <c r="X514" s="1101"/>
      <c r="Y514" s="1101"/>
      <c r="Z514" s="1102"/>
    </row>
    <row r="515" spans="2:26" ht="12.75" customHeight="1" x14ac:dyDescent="0.2">
      <c r="B515" s="2090" t="str">
        <f t="shared" si="11"/>
        <v>Libre acceso91</v>
      </c>
      <c r="C515" s="1103"/>
      <c r="D515" s="521" t="s">
        <v>748</v>
      </c>
      <c r="E515" s="1099" t="s">
        <v>646</v>
      </c>
      <c r="F515" s="1099">
        <f>F502+10</f>
        <v>91</v>
      </c>
      <c r="G515" s="1108" t="s">
        <v>1690</v>
      </c>
      <c r="H515" s="1108" t="s">
        <v>6549</v>
      </c>
      <c r="I515" s="1109" t="s">
        <v>1606</v>
      </c>
      <c r="J515" s="1099">
        <v>10</v>
      </c>
      <c r="K515" s="1099">
        <v>12</v>
      </c>
      <c r="L515" s="1099">
        <v>14</v>
      </c>
      <c r="M515" s="1104">
        <v>16</v>
      </c>
      <c r="N515" s="1099">
        <v>200</v>
      </c>
      <c r="O515" s="1099">
        <v>300</v>
      </c>
      <c r="P515" s="1099">
        <v>360</v>
      </c>
      <c r="Q515" s="1104">
        <v>420</v>
      </c>
      <c r="R515" s="1099"/>
      <c r="S515" s="1099"/>
      <c r="T515" s="1099"/>
      <c r="U515" s="1104" t="s">
        <v>4961</v>
      </c>
      <c r="V515" s="1101" t="s">
        <v>6275</v>
      </c>
      <c r="W515" s="1101" t="s">
        <v>6550</v>
      </c>
      <c r="X515" s="1101" t="s">
        <v>6551</v>
      </c>
      <c r="Y515" s="1101" t="s">
        <v>6552</v>
      </c>
      <c r="Z515" s="1102" t="s">
        <v>6553</v>
      </c>
    </row>
    <row r="516" spans="2:26" ht="12.75" customHeight="1" x14ac:dyDescent="0.2">
      <c r="B516" s="2090" t="str">
        <f t="shared" si="11"/>
        <v>Libre acceso91</v>
      </c>
      <c r="C516" s="1103"/>
      <c r="D516" s="521" t="s">
        <v>749</v>
      </c>
      <c r="E516" s="1099" t="s">
        <v>646</v>
      </c>
      <c r="F516" s="1099">
        <f t="shared" ref="F516:F526" si="16">F503+10</f>
        <v>91</v>
      </c>
      <c r="G516" s="1108" t="s">
        <v>2446</v>
      </c>
      <c r="H516" s="1108" t="s">
        <v>1536</v>
      </c>
      <c r="I516" s="1109" t="s">
        <v>1606</v>
      </c>
      <c r="J516" s="1099">
        <v>11</v>
      </c>
      <c r="K516" s="1099">
        <v>13</v>
      </c>
      <c r="L516" s="1099">
        <v>15</v>
      </c>
      <c r="M516" s="1104">
        <v>17</v>
      </c>
      <c r="N516" s="1099">
        <v>300</v>
      </c>
      <c r="O516" s="1099">
        <v>400</v>
      </c>
      <c r="P516" s="1099">
        <v>500</v>
      </c>
      <c r="Q516" s="1104">
        <v>600</v>
      </c>
      <c r="R516" s="1099">
        <v>30</v>
      </c>
      <c r="S516" s="1099">
        <v>40</v>
      </c>
      <c r="T516" s="1099">
        <v>50</v>
      </c>
      <c r="U516" s="1104">
        <v>60</v>
      </c>
      <c r="V516" s="1101" t="s">
        <v>6554</v>
      </c>
      <c r="W516" s="1101" t="s">
        <v>6555</v>
      </c>
      <c r="X516" s="1101" t="s">
        <v>6556</v>
      </c>
      <c r="Y516" s="1101" t="s">
        <v>6557</v>
      </c>
      <c r="Z516" s="1102" t="s">
        <v>6558</v>
      </c>
    </row>
    <row r="517" spans="2:26" ht="12.75" customHeight="1" x14ac:dyDescent="0.2">
      <c r="B517" s="2090" t="str">
        <f t="shared" si="11"/>
        <v>Libre acceso91</v>
      </c>
      <c r="C517" s="1103"/>
      <c r="D517" s="521" t="s">
        <v>750</v>
      </c>
      <c r="E517" s="1099" t="s">
        <v>646</v>
      </c>
      <c r="F517" s="1099">
        <f t="shared" si="16"/>
        <v>91</v>
      </c>
      <c r="G517" s="1108" t="s">
        <v>1690</v>
      </c>
      <c r="H517" s="1108" t="s">
        <v>1536</v>
      </c>
      <c r="I517" s="1109" t="s">
        <v>1606</v>
      </c>
      <c r="J517" s="1099">
        <v>11</v>
      </c>
      <c r="K517" s="1099">
        <v>13</v>
      </c>
      <c r="L517" s="1099">
        <v>15</v>
      </c>
      <c r="M517" s="1104">
        <v>17</v>
      </c>
      <c r="N517" s="1099">
        <v>200</v>
      </c>
      <c r="O517" s="1099">
        <v>300</v>
      </c>
      <c r="P517" s="1099">
        <v>400</v>
      </c>
      <c r="Q517" s="1104">
        <v>500</v>
      </c>
      <c r="R517" s="1099">
        <v>10</v>
      </c>
      <c r="S517" s="1099">
        <v>15</v>
      </c>
      <c r="T517" s="1099">
        <v>20</v>
      </c>
      <c r="U517" s="1104">
        <v>25</v>
      </c>
      <c r="V517" s="1101" t="s">
        <v>6559</v>
      </c>
      <c r="W517" s="1101" t="s">
        <v>6560</v>
      </c>
      <c r="X517" s="1101" t="s">
        <v>6561</v>
      </c>
      <c r="Y517" s="1101" t="s">
        <v>6562</v>
      </c>
      <c r="Z517" s="1102" t="s">
        <v>6563</v>
      </c>
    </row>
    <row r="518" spans="2:26" ht="12.75" customHeight="1" x14ac:dyDescent="0.2">
      <c r="B518" s="2090" t="str">
        <f t="shared" si="11"/>
        <v>Libre acceso91</v>
      </c>
      <c r="C518" s="1103"/>
      <c r="D518" s="521" t="s">
        <v>751</v>
      </c>
      <c r="E518" s="1099" t="s">
        <v>646</v>
      </c>
      <c r="F518" s="1099">
        <f t="shared" si="16"/>
        <v>91</v>
      </c>
      <c r="G518" s="1108" t="s">
        <v>1690</v>
      </c>
      <c r="H518" s="1108" t="s">
        <v>1536</v>
      </c>
      <c r="I518" s="1109" t="s">
        <v>1606</v>
      </c>
      <c r="J518" s="1099">
        <v>11</v>
      </c>
      <c r="K518" s="1099">
        <v>13</v>
      </c>
      <c r="L518" s="1099">
        <v>15</v>
      </c>
      <c r="M518" s="1104">
        <v>17</v>
      </c>
      <c r="N518" s="1099">
        <v>200</v>
      </c>
      <c r="O518" s="1099">
        <v>360</v>
      </c>
      <c r="P518" s="1099">
        <v>420</v>
      </c>
      <c r="Q518" s="1104">
        <v>480</v>
      </c>
      <c r="R518" s="1099"/>
      <c r="S518" s="1099"/>
      <c r="T518" s="1099"/>
      <c r="U518" s="1104" t="s">
        <v>4961</v>
      </c>
      <c r="V518" s="1101" t="s">
        <v>6564</v>
      </c>
      <c r="W518" s="1101" t="s">
        <v>6565</v>
      </c>
      <c r="X518" s="1101" t="s">
        <v>6566</v>
      </c>
      <c r="Y518" s="1101" t="s">
        <v>6567</v>
      </c>
      <c r="Z518" s="1102" t="s">
        <v>6568</v>
      </c>
    </row>
    <row r="519" spans="2:26" ht="12.75" customHeight="1" x14ac:dyDescent="0.2">
      <c r="B519" s="2090" t="str">
        <f t="shared" si="11"/>
        <v>Libre acceso91</v>
      </c>
      <c r="C519" s="1103"/>
      <c r="D519" s="521" t="s">
        <v>752</v>
      </c>
      <c r="E519" s="1099" t="s">
        <v>646</v>
      </c>
      <c r="F519" s="1099">
        <f t="shared" si="16"/>
        <v>91</v>
      </c>
      <c r="G519" s="1108" t="s">
        <v>1690</v>
      </c>
      <c r="H519" s="1108" t="s">
        <v>5406</v>
      </c>
      <c r="I519" s="1109" t="s">
        <v>1606</v>
      </c>
      <c r="J519" s="1099">
        <v>10</v>
      </c>
      <c r="K519" s="1099">
        <v>12</v>
      </c>
      <c r="L519" s="1099">
        <v>14</v>
      </c>
      <c r="M519" s="1104">
        <v>16</v>
      </c>
      <c r="N519" s="1099">
        <v>100</v>
      </c>
      <c r="O519" s="1099">
        <v>150</v>
      </c>
      <c r="P519" s="1099">
        <v>200</v>
      </c>
      <c r="Q519" s="1104">
        <v>250</v>
      </c>
      <c r="R519" s="1099"/>
      <c r="S519" s="1099"/>
      <c r="T519" s="1099"/>
      <c r="U519" s="1104"/>
      <c r="V519" s="1101" t="s">
        <v>4968</v>
      </c>
      <c r="W519" s="1101" t="s">
        <v>4969</v>
      </c>
      <c r="X519" s="1101" t="s">
        <v>4864</v>
      </c>
      <c r="Y519" s="1101" t="s">
        <v>4697</v>
      </c>
      <c r="Z519" s="1102" t="s">
        <v>6569</v>
      </c>
    </row>
    <row r="520" spans="2:26" ht="12.75" customHeight="1" x14ac:dyDescent="0.2">
      <c r="B520" s="2090" t="str">
        <f t="shared" ref="B520:B583" si="17">E520&amp;F520</f>
        <v>Libre acceso91</v>
      </c>
      <c r="C520" s="1103"/>
      <c r="D520" s="521" t="s">
        <v>753</v>
      </c>
      <c r="E520" s="1099" t="s">
        <v>646</v>
      </c>
      <c r="F520" s="1099">
        <f t="shared" si="16"/>
        <v>91</v>
      </c>
      <c r="G520" s="1108" t="s">
        <v>2446</v>
      </c>
      <c r="H520" s="1108" t="s">
        <v>1536</v>
      </c>
      <c r="I520" s="1109" t="s">
        <v>1606</v>
      </c>
      <c r="J520" s="1099">
        <v>11</v>
      </c>
      <c r="K520" s="1099">
        <v>13</v>
      </c>
      <c r="L520" s="1099">
        <v>15</v>
      </c>
      <c r="M520" s="1104">
        <v>17</v>
      </c>
      <c r="N520" s="1099">
        <v>200</v>
      </c>
      <c r="O520" s="1099">
        <v>360</v>
      </c>
      <c r="P520" s="1099">
        <v>480</v>
      </c>
      <c r="Q520" s="1104">
        <v>600</v>
      </c>
      <c r="R520" s="1099">
        <v>20</v>
      </c>
      <c r="S520" s="1099">
        <v>40</v>
      </c>
      <c r="T520" s="1099">
        <v>50</v>
      </c>
      <c r="U520" s="1104">
        <v>60</v>
      </c>
      <c r="V520" s="1101" t="s">
        <v>6570</v>
      </c>
      <c r="W520" s="1101" t="s">
        <v>6571</v>
      </c>
      <c r="X520" s="1101" t="s">
        <v>6572</v>
      </c>
      <c r="Y520" s="1101" t="s">
        <v>6573</v>
      </c>
      <c r="Z520" s="1102" t="s">
        <v>6574</v>
      </c>
    </row>
    <row r="521" spans="2:26" ht="12.75" customHeight="1" x14ac:dyDescent="0.2">
      <c r="B521" s="2090" t="str">
        <f t="shared" si="17"/>
        <v>Libre acceso91</v>
      </c>
      <c r="C521" s="1103"/>
      <c r="D521" s="521" t="s">
        <v>754</v>
      </c>
      <c r="E521" s="1099" t="s">
        <v>646</v>
      </c>
      <c r="F521" s="1099">
        <f t="shared" si="16"/>
        <v>91</v>
      </c>
      <c r="G521" s="1108" t="s">
        <v>2446</v>
      </c>
      <c r="H521" s="1108" t="s">
        <v>1536</v>
      </c>
      <c r="I521" s="1109" t="s">
        <v>1606</v>
      </c>
      <c r="J521" s="1099">
        <v>10</v>
      </c>
      <c r="K521" s="1099">
        <v>12</v>
      </c>
      <c r="L521" s="1099">
        <v>14</v>
      </c>
      <c r="M521" s="1104">
        <v>16</v>
      </c>
      <c r="N521" s="1099">
        <v>200</v>
      </c>
      <c r="O521" s="1099">
        <v>300</v>
      </c>
      <c r="P521" s="1099">
        <v>400</v>
      </c>
      <c r="Q521" s="1104">
        <v>500</v>
      </c>
      <c r="R521" s="1099">
        <v>30</v>
      </c>
      <c r="S521" s="1099">
        <v>45</v>
      </c>
      <c r="T521" s="1099">
        <v>60</v>
      </c>
      <c r="U521" s="1104">
        <v>75</v>
      </c>
      <c r="V521" s="1101" t="s">
        <v>6575</v>
      </c>
      <c r="W521" s="1101" t="s">
        <v>6576</v>
      </c>
      <c r="X521" s="1101" t="s">
        <v>6577</v>
      </c>
      <c r="Y521" s="1101" t="s">
        <v>6578</v>
      </c>
      <c r="Z521" s="1102" t="s">
        <v>6579</v>
      </c>
    </row>
    <row r="522" spans="2:26" ht="12.75" customHeight="1" x14ac:dyDescent="0.2">
      <c r="B522" s="2090" t="str">
        <f t="shared" si="17"/>
        <v>Libre acceso91</v>
      </c>
      <c r="C522" s="1103"/>
      <c r="D522" s="521" t="s">
        <v>755</v>
      </c>
      <c r="E522" s="1099" t="s">
        <v>646</v>
      </c>
      <c r="F522" s="1099">
        <f t="shared" si="16"/>
        <v>91</v>
      </c>
      <c r="G522" s="1108" t="s">
        <v>2446</v>
      </c>
      <c r="H522" s="1108" t="s">
        <v>5406</v>
      </c>
      <c r="I522" s="1109" t="s">
        <v>1606</v>
      </c>
      <c r="J522" s="1099">
        <v>10</v>
      </c>
      <c r="K522" s="1099">
        <v>12</v>
      </c>
      <c r="L522" s="1099">
        <v>14</v>
      </c>
      <c r="M522" s="1104">
        <v>16</v>
      </c>
      <c r="N522" s="1099">
        <v>300</v>
      </c>
      <c r="O522" s="1099">
        <v>400</v>
      </c>
      <c r="P522" s="1099">
        <v>500</v>
      </c>
      <c r="Q522" s="1104">
        <v>600</v>
      </c>
      <c r="R522" s="1099">
        <v>30</v>
      </c>
      <c r="S522" s="1099">
        <v>40</v>
      </c>
      <c r="T522" s="1099">
        <v>50</v>
      </c>
      <c r="U522" s="1104">
        <v>60</v>
      </c>
      <c r="V522" s="1101" t="s">
        <v>4968</v>
      </c>
      <c r="W522" s="1101" t="s">
        <v>4969</v>
      </c>
      <c r="X522" s="1101" t="s">
        <v>4697</v>
      </c>
      <c r="Y522" s="1101" t="s">
        <v>5159</v>
      </c>
      <c r="Z522" s="1102" t="s">
        <v>6580</v>
      </c>
    </row>
    <row r="523" spans="2:26" ht="12.75" customHeight="1" x14ac:dyDescent="0.2">
      <c r="B523" s="2090" t="str">
        <f t="shared" si="17"/>
        <v>Libre acceso91</v>
      </c>
      <c r="C523" s="1103"/>
      <c r="D523" s="521" t="s">
        <v>756</v>
      </c>
      <c r="E523" s="1099" t="s">
        <v>646</v>
      </c>
      <c r="F523" s="1099">
        <f t="shared" si="16"/>
        <v>91</v>
      </c>
      <c r="G523" s="1108" t="s">
        <v>2446</v>
      </c>
      <c r="H523" s="1108" t="s">
        <v>1537</v>
      </c>
      <c r="I523" s="1109" t="s">
        <v>1606</v>
      </c>
      <c r="J523" s="1099">
        <v>11</v>
      </c>
      <c r="K523" s="1099">
        <v>13</v>
      </c>
      <c r="L523" s="1099">
        <v>15</v>
      </c>
      <c r="M523" s="1104">
        <v>17</v>
      </c>
      <c r="N523" s="1099">
        <v>300</v>
      </c>
      <c r="O523" s="1099">
        <v>360</v>
      </c>
      <c r="P523" s="1099">
        <v>420</v>
      </c>
      <c r="Q523" s="1104">
        <v>480</v>
      </c>
      <c r="R523" s="1099">
        <v>30</v>
      </c>
      <c r="S523" s="1099">
        <v>40</v>
      </c>
      <c r="T523" s="1099">
        <v>45</v>
      </c>
      <c r="U523" s="1104">
        <v>50</v>
      </c>
      <c r="V523" s="1101" t="s">
        <v>6581</v>
      </c>
      <c r="W523" s="1101" t="s">
        <v>6582</v>
      </c>
      <c r="X523" s="1101" t="s">
        <v>6583</v>
      </c>
      <c r="Y523" s="1101" t="s">
        <v>6584</v>
      </c>
      <c r="Z523" s="1102" t="s">
        <v>6585</v>
      </c>
    </row>
    <row r="524" spans="2:26" ht="12.75" customHeight="1" x14ac:dyDescent="0.2">
      <c r="B524" s="2090" t="str">
        <f t="shared" si="17"/>
        <v>Libre acceso91</v>
      </c>
      <c r="C524" s="1103"/>
      <c r="D524" s="521" t="s">
        <v>757</v>
      </c>
      <c r="E524" s="1099" t="s">
        <v>646</v>
      </c>
      <c r="F524" s="1099">
        <f t="shared" si="16"/>
        <v>91</v>
      </c>
      <c r="G524" s="1108" t="s">
        <v>2446</v>
      </c>
      <c r="H524" s="1108" t="s">
        <v>1537</v>
      </c>
      <c r="I524" s="1109" t="s">
        <v>1606</v>
      </c>
      <c r="J524" s="1099">
        <v>12</v>
      </c>
      <c r="K524" s="1099">
        <v>14</v>
      </c>
      <c r="L524" s="1099">
        <v>16</v>
      </c>
      <c r="M524" s="1104">
        <v>18</v>
      </c>
      <c r="N524" s="1099">
        <v>450</v>
      </c>
      <c r="O524" s="1099">
        <v>600</v>
      </c>
      <c r="P524" s="1099">
        <v>800</v>
      </c>
      <c r="Q524" s="1104">
        <v>1000</v>
      </c>
      <c r="R524" s="1099">
        <v>45</v>
      </c>
      <c r="S524" s="1099">
        <v>60</v>
      </c>
      <c r="T524" s="1099">
        <v>80</v>
      </c>
      <c r="U524" s="1104">
        <v>100</v>
      </c>
      <c r="V524" s="1101" t="s">
        <v>6053</v>
      </c>
      <c r="W524" s="1101" t="s">
        <v>6027</v>
      </c>
      <c r="X524" s="1101" t="s">
        <v>6586</v>
      </c>
      <c r="Y524" s="1101" t="s">
        <v>6587</v>
      </c>
      <c r="Z524" s="1102" t="s">
        <v>6588</v>
      </c>
    </row>
    <row r="525" spans="2:26" ht="12.75" customHeight="1" x14ac:dyDescent="0.2">
      <c r="B525" s="2090" t="str">
        <f t="shared" si="17"/>
        <v>Libre acceso91</v>
      </c>
      <c r="C525" s="1103"/>
      <c r="D525" s="521" t="s">
        <v>758</v>
      </c>
      <c r="E525" s="1099" t="s">
        <v>646</v>
      </c>
      <c r="F525" s="1099">
        <f t="shared" si="16"/>
        <v>91</v>
      </c>
      <c r="G525" s="1108" t="s">
        <v>2446</v>
      </c>
      <c r="H525" s="1108" t="s">
        <v>1536</v>
      </c>
      <c r="I525" s="1109" t="s">
        <v>1606</v>
      </c>
      <c r="J525" s="1099">
        <v>10</v>
      </c>
      <c r="K525" s="1099">
        <v>12</v>
      </c>
      <c r="L525" s="1099">
        <v>14</v>
      </c>
      <c r="M525" s="1104">
        <v>16</v>
      </c>
      <c r="N525" s="1099">
        <v>200</v>
      </c>
      <c r="O525" s="1099">
        <v>300</v>
      </c>
      <c r="P525" s="1099">
        <v>400</v>
      </c>
      <c r="Q525" s="1104">
        <v>500</v>
      </c>
      <c r="R525" s="1099">
        <v>50</v>
      </c>
      <c r="S525" s="1099">
        <v>60</v>
      </c>
      <c r="T525" s="1099">
        <v>70</v>
      </c>
      <c r="U525" s="1104">
        <v>80</v>
      </c>
      <c r="V525" s="1101" t="s">
        <v>6589</v>
      </c>
      <c r="W525" s="1101" t="s">
        <v>6590</v>
      </c>
      <c r="X525" s="1101" t="s">
        <v>6591</v>
      </c>
      <c r="Y525" s="1101" t="s">
        <v>6592</v>
      </c>
      <c r="Z525" s="1102" t="s">
        <v>6593</v>
      </c>
    </row>
    <row r="526" spans="2:26" ht="12.75" customHeight="1" x14ac:dyDescent="0.2">
      <c r="B526" s="2090" t="str">
        <f t="shared" si="17"/>
        <v>Libre acceso91</v>
      </c>
      <c r="C526" s="1103"/>
      <c r="D526" s="521" t="s">
        <v>759</v>
      </c>
      <c r="E526" s="1099" t="s">
        <v>646</v>
      </c>
      <c r="F526" s="1099">
        <f t="shared" si="16"/>
        <v>91</v>
      </c>
      <c r="G526" s="1108" t="s">
        <v>1690</v>
      </c>
      <c r="H526" s="1108" t="s">
        <v>1537</v>
      </c>
      <c r="I526" s="1109" t="s">
        <v>1606</v>
      </c>
      <c r="J526" s="1099">
        <v>12</v>
      </c>
      <c r="K526" s="1099">
        <v>15</v>
      </c>
      <c r="L526" s="1099">
        <v>17</v>
      </c>
      <c r="M526" s="1104">
        <v>19</v>
      </c>
      <c r="N526" s="1099">
        <v>600</v>
      </c>
      <c r="O526" s="1099">
        <v>900</v>
      </c>
      <c r="P526" s="1099">
        <v>1200</v>
      </c>
      <c r="Q526" s="1104">
        <v>1500</v>
      </c>
      <c r="R526" s="1099"/>
      <c r="S526" s="1099"/>
      <c r="T526" s="1099"/>
      <c r="U526" s="1104"/>
      <c r="V526" s="1101" t="s">
        <v>4969</v>
      </c>
      <c r="W526" s="1101" t="s">
        <v>6594</v>
      </c>
      <c r="X526" s="1101" t="s">
        <v>4865</v>
      </c>
      <c r="Y526" s="1101" t="s">
        <v>4866</v>
      </c>
      <c r="Z526" s="1102" t="s">
        <v>6595</v>
      </c>
    </row>
    <row r="527" spans="2:26" ht="12.75" customHeight="1" x14ac:dyDescent="0.2">
      <c r="B527" s="2090" t="str">
        <f t="shared" si="17"/>
        <v/>
      </c>
      <c r="C527" s="1103"/>
      <c r="D527" s="521" t="s">
        <v>760</v>
      </c>
      <c r="E527" s="1099"/>
      <c r="F527" s="1099"/>
      <c r="G527" s="1108"/>
      <c r="H527" s="1108"/>
      <c r="I527" s="1109"/>
      <c r="J527" s="1099"/>
      <c r="K527" s="1099"/>
      <c r="L527" s="1099"/>
      <c r="M527" s="1104"/>
      <c r="N527" s="1099"/>
      <c r="O527" s="1099"/>
      <c r="P527" s="1099"/>
      <c r="Q527" s="1104"/>
      <c r="R527" s="1099"/>
      <c r="S527" s="1099"/>
      <c r="T527" s="1099"/>
      <c r="U527" s="1104"/>
      <c r="V527" s="1101"/>
      <c r="W527" s="1101"/>
      <c r="X527" s="1101"/>
      <c r="Y527" s="1101"/>
      <c r="Z527" s="1102"/>
    </row>
    <row r="528" spans="2:26" ht="12.75" customHeight="1" x14ac:dyDescent="0.2">
      <c r="B528" s="2090" t="str">
        <f t="shared" si="17"/>
        <v>Caos4</v>
      </c>
      <c r="C528" s="1103"/>
      <c r="D528" s="521" t="s">
        <v>761</v>
      </c>
      <c r="E528" s="1099" t="s">
        <v>81</v>
      </c>
      <c r="F528" s="1099">
        <v>4</v>
      </c>
      <c r="G528" s="1108" t="s">
        <v>3010</v>
      </c>
      <c r="H528" s="1108" t="s">
        <v>6596</v>
      </c>
      <c r="I528" s="1109" t="s">
        <v>1606</v>
      </c>
      <c r="J528" s="1099">
        <v>5</v>
      </c>
      <c r="K528" s="1099">
        <v>8</v>
      </c>
      <c r="L528" s="1099">
        <v>10</v>
      </c>
      <c r="M528" s="1104">
        <v>12</v>
      </c>
      <c r="N528" s="1099">
        <v>50</v>
      </c>
      <c r="O528" s="1099">
        <v>80</v>
      </c>
      <c r="P528" s="1099">
        <v>100</v>
      </c>
      <c r="Q528" s="1104">
        <v>120</v>
      </c>
      <c r="R528" s="1099">
        <v>5</v>
      </c>
      <c r="S528" s="1099">
        <v>10</v>
      </c>
      <c r="T528" s="1099">
        <v>10</v>
      </c>
      <c r="U528" s="1104">
        <v>12</v>
      </c>
      <c r="V528" s="1101" t="s">
        <v>4884</v>
      </c>
      <c r="W528" s="1101" t="s">
        <v>4771</v>
      </c>
      <c r="X528" s="1101" t="s">
        <v>4853</v>
      </c>
      <c r="Y528" s="1101" t="s">
        <v>6597</v>
      </c>
      <c r="Z528" s="1102" t="s">
        <v>6598</v>
      </c>
    </row>
    <row r="529" spans="2:26" ht="12.75" customHeight="1" x14ac:dyDescent="0.2">
      <c r="B529" s="2090" t="str">
        <f t="shared" si="17"/>
        <v>Caos14</v>
      </c>
      <c r="C529" s="1103"/>
      <c r="D529" s="521" t="s">
        <v>762</v>
      </c>
      <c r="E529" s="1099" t="s">
        <v>81</v>
      </c>
      <c r="F529" s="1099">
        <v>14</v>
      </c>
      <c r="G529" s="1108" t="s">
        <v>1690</v>
      </c>
      <c r="H529" s="1108" t="s">
        <v>1536</v>
      </c>
      <c r="I529" s="1109" t="s">
        <v>1606</v>
      </c>
      <c r="J529" s="1099">
        <v>6</v>
      </c>
      <c r="K529" s="1099">
        <v>9</v>
      </c>
      <c r="L529" s="1099">
        <v>12</v>
      </c>
      <c r="M529" s="1104">
        <v>15</v>
      </c>
      <c r="N529" s="1099">
        <v>60</v>
      </c>
      <c r="O529" s="1099">
        <v>90</v>
      </c>
      <c r="P529" s="1099">
        <v>120</v>
      </c>
      <c r="Q529" s="1104">
        <v>150</v>
      </c>
      <c r="R529" s="1099">
        <v>15</v>
      </c>
      <c r="S529" s="1099">
        <v>20</v>
      </c>
      <c r="T529" s="1099">
        <v>25</v>
      </c>
      <c r="U529" s="1104">
        <v>30</v>
      </c>
      <c r="V529" s="1101" t="s">
        <v>6599</v>
      </c>
      <c r="W529" s="1101" t="s">
        <v>6600</v>
      </c>
      <c r="X529" s="1101" t="s">
        <v>6601</v>
      </c>
      <c r="Y529" s="1101" t="s">
        <v>6602</v>
      </c>
      <c r="Z529" s="1102" t="s">
        <v>6603</v>
      </c>
    </row>
    <row r="530" spans="2:26" ht="12.75" customHeight="1" x14ac:dyDescent="0.2">
      <c r="B530" s="2090" t="str">
        <f t="shared" si="17"/>
        <v>Caos24</v>
      </c>
      <c r="C530" s="1103"/>
      <c r="D530" s="521" t="s">
        <v>763</v>
      </c>
      <c r="E530" s="1099" t="s">
        <v>81</v>
      </c>
      <c r="F530" s="1099">
        <v>24</v>
      </c>
      <c r="G530" s="1108" t="s">
        <v>1690</v>
      </c>
      <c r="H530" s="1108" t="s">
        <v>1535</v>
      </c>
      <c r="I530" s="1109" t="s">
        <v>1606</v>
      </c>
      <c r="J530" s="1099">
        <v>8</v>
      </c>
      <c r="K530" s="1099">
        <v>10</v>
      </c>
      <c r="L530" s="1099">
        <v>12</v>
      </c>
      <c r="M530" s="1104">
        <v>14</v>
      </c>
      <c r="N530" s="1099">
        <v>80</v>
      </c>
      <c r="O530" s="1099">
        <v>100</v>
      </c>
      <c r="P530" s="1099">
        <v>120</v>
      </c>
      <c r="Q530" s="1104">
        <v>140</v>
      </c>
      <c r="R530" s="1099">
        <v>20</v>
      </c>
      <c r="S530" s="1099">
        <v>20</v>
      </c>
      <c r="T530" s="1099">
        <v>25</v>
      </c>
      <c r="U530" s="1104">
        <v>30</v>
      </c>
      <c r="V530" s="1101" t="s">
        <v>6604</v>
      </c>
      <c r="W530" s="1101" t="s">
        <v>6605</v>
      </c>
      <c r="X530" s="1101" t="s">
        <v>6606</v>
      </c>
      <c r="Y530" s="1101" t="s">
        <v>6607</v>
      </c>
      <c r="Z530" s="1102" t="s">
        <v>6608</v>
      </c>
    </row>
    <row r="531" spans="2:26" ht="12.75" customHeight="1" x14ac:dyDescent="0.2">
      <c r="B531" s="2090" t="str">
        <f t="shared" si="17"/>
        <v>Caos34</v>
      </c>
      <c r="C531" s="1103"/>
      <c r="D531" s="521" t="s">
        <v>764</v>
      </c>
      <c r="E531" s="1099" t="s">
        <v>81</v>
      </c>
      <c r="F531" s="1099">
        <v>34</v>
      </c>
      <c r="G531" s="1108" t="s">
        <v>1690</v>
      </c>
      <c r="H531" s="1108" t="s">
        <v>1535</v>
      </c>
      <c r="I531" s="1109" t="s">
        <v>1606</v>
      </c>
      <c r="J531" s="1099">
        <v>8</v>
      </c>
      <c r="K531" s="1099">
        <v>10</v>
      </c>
      <c r="L531" s="1099">
        <v>12</v>
      </c>
      <c r="M531" s="1104">
        <v>14</v>
      </c>
      <c r="N531" s="1099">
        <v>80</v>
      </c>
      <c r="O531" s="1099">
        <v>140</v>
      </c>
      <c r="P531" s="1099">
        <v>250</v>
      </c>
      <c r="Q531" s="1104">
        <v>400</v>
      </c>
      <c r="R531" s="1099">
        <v>10</v>
      </c>
      <c r="S531" s="1099">
        <v>10</v>
      </c>
      <c r="T531" s="1099">
        <v>15</v>
      </c>
      <c r="U531" s="1104">
        <v>15</v>
      </c>
      <c r="V531" s="1101" t="s">
        <v>4968</v>
      </c>
      <c r="W531" s="1101" t="s">
        <v>6609</v>
      </c>
      <c r="X531" s="1101" t="s">
        <v>6610</v>
      </c>
      <c r="Y531" s="1101" t="s">
        <v>4697</v>
      </c>
      <c r="Z531" s="1102" t="s">
        <v>6611</v>
      </c>
    </row>
    <row r="532" spans="2:26" ht="12.75" customHeight="1" x14ac:dyDescent="0.2">
      <c r="B532" s="2090" t="str">
        <f t="shared" si="17"/>
        <v>Caos44</v>
      </c>
      <c r="C532" s="1103"/>
      <c r="D532" s="521" t="s">
        <v>765</v>
      </c>
      <c r="E532" s="1099" t="s">
        <v>81</v>
      </c>
      <c r="F532" s="1099">
        <v>44</v>
      </c>
      <c r="G532" s="1108" t="s">
        <v>1690</v>
      </c>
      <c r="H532" s="1108" t="s">
        <v>1535</v>
      </c>
      <c r="I532" s="1109" t="s">
        <v>1606</v>
      </c>
      <c r="J532" s="1099">
        <v>7</v>
      </c>
      <c r="K532" s="1099">
        <v>9</v>
      </c>
      <c r="L532" s="1099">
        <v>12</v>
      </c>
      <c r="M532" s="1104">
        <v>14</v>
      </c>
      <c r="N532" s="1099">
        <v>120</v>
      </c>
      <c r="O532" s="1099">
        <v>180</v>
      </c>
      <c r="P532" s="1099">
        <v>280</v>
      </c>
      <c r="Q532" s="1104">
        <v>400</v>
      </c>
      <c r="R532" s="1099">
        <v>20</v>
      </c>
      <c r="S532" s="1099">
        <v>20</v>
      </c>
      <c r="T532" s="1099">
        <v>25</v>
      </c>
      <c r="U532" s="1104">
        <v>30</v>
      </c>
      <c r="V532" s="1101" t="s">
        <v>6612</v>
      </c>
      <c r="W532" s="1101" t="s">
        <v>6613</v>
      </c>
      <c r="X532" s="1101" t="s">
        <v>6614</v>
      </c>
      <c r="Y532" s="1101" t="s">
        <v>6615</v>
      </c>
      <c r="Z532" s="1102" t="s">
        <v>6616</v>
      </c>
    </row>
    <row r="533" spans="2:26" ht="12.75" customHeight="1" x14ac:dyDescent="0.2">
      <c r="B533" s="2090" t="str">
        <f t="shared" si="17"/>
        <v>Caos54</v>
      </c>
      <c r="C533" s="1103"/>
      <c r="D533" s="521" t="s">
        <v>766</v>
      </c>
      <c r="E533" s="1099" t="s">
        <v>81</v>
      </c>
      <c r="F533" s="1099">
        <v>54</v>
      </c>
      <c r="G533" s="1108" t="s">
        <v>1690</v>
      </c>
      <c r="H533" s="1108" t="s">
        <v>1536</v>
      </c>
      <c r="I533" s="1109" t="s">
        <v>1606</v>
      </c>
      <c r="J533" s="1099">
        <v>8</v>
      </c>
      <c r="K533" s="1099">
        <v>10</v>
      </c>
      <c r="L533" s="1099">
        <v>12</v>
      </c>
      <c r="M533" s="1104">
        <v>15</v>
      </c>
      <c r="N533" s="1099">
        <v>120</v>
      </c>
      <c r="O533" s="1099">
        <v>200</v>
      </c>
      <c r="P533" s="1099">
        <v>300</v>
      </c>
      <c r="Q533" s="1104">
        <v>700</v>
      </c>
      <c r="R533" s="1099" t="s">
        <v>1690</v>
      </c>
      <c r="S533" s="1099" t="s">
        <v>1690</v>
      </c>
      <c r="T533" s="1099" t="s">
        <v>1690</v>
      </c>
      <c r="U533" s="1104" t="s">
        <v>1690</v>
      </c>
      <c r="V533" s="1101" t="s">
        <v>4996</v>
      </c>
      <c r="W533" s="1101" t="s">
        <v>4997</v>
      </c>
      <c r="X533" s="1101" t="s">
        <v>4998</v>
      </c>
      <c r="Y533" s="1101" t="s">
        <v>4999</v>
      </c>
      <c r="Z533" s="1102" t="s">
        <v>6617</v>
      </c>
    </row>
    <row r="534" spans="2:26" ht="12.75" customHeight="1" x14ac:dyDescent="0.2">
      <c r="B534" s="2090" t="str">
        <f t="shared" si="17"/>
        <v>Caos64</v>
      </c>
      <c r="C534" s="1103"/>
      <c r="D534" s="521" t="s">
        <v>767</v>
      </c>
      <c r="E534" s="1099" t="s">
        <v>81</v>
      </c>
      <c r="F534" s="1099">
        <v>64</v>
      </c>
      <c r="G534" s="1108" t="s">
        <v>1690</v>
      </c>
      <c r="H534" s="1108" t="s">
        <v>1537</v>
      </c>
      <c r="I534" s="1109" t="s">
        <v>1607</v>
      </c>
      <c r="J534" s="1099">
        <v>10</v>
      </c>
      <c r="K534" s="1099">
        <v>12</v>
      </c>
      <c r="L534" s="1099">
        <v>14</v>
      </c>
      <c r="M534" s="1104">
        <v>16</v>
      </c>
      <c r="N534" s="1099">
        <v>100</v>
      </c>
      <c r="O534" s="1099">
        <v>200</v>
      </c>
      <c r="P534" s="1099">
        <v>300</v>
      </c>
      <c r="Q534" s="1104">
        <v>400</v>
      </c>
      <c r="R534" s="1099" t="s">
        <v>1690</v>
      </c>
      <c r="S534" s="1099" t="s">
        <v>1690</v>
      </c>
      <c r="T534" s="1099" t="s">
        <v>1690</v>
      </c>
      <c r="U534" s="1104" t="s">
        <v>1690</v>
      </c>
      <c r="V534" s="1101" t="s">
        <v>4969</v>
      </c>
      <c r="W534" s="1101" t="s">
        <v>6618</v>
      </c>
      <c r="X534" s="1101" t="s">
        <v>6619</v>
      </c>
      <c r="Y534" s="1101" t="s">
        <v>6620</v>
      </c>
      <c r="Z534" s="1102" t="s">
        <v>6621</v>
      </c>
    </row>
    <row r="535" spans="2:26" ht="12.75" customHeight="1" x14ac:dyDescent="0.2">
      <c r="B535" s="2090" t="str">
        <f t="shared" si="17"/>
        <v>Caos74</v>
      </c>
      <c r="C535" s="1103"/>
      <c r="D535" s="521" t="s">
        <v>768</v>
      </c>
      <c r="E535" s="1099" t="s">
        <v>81</v>
      </c>
      <c r="F535" s="1099">
        <v>74</v>
      </c>
      <c r="G535" s="1108" t="s">
        <v>1690</v>
      </c>
      <c r="H535" s="1108" t="s">
        <v>1536</v>
      </c>
      <c r="I535" s="1109" t="s">
        <v>1606</v>
      </c>
      <c r="J535" s="1099">
        <v>8</v>
      </c>
      <c r="K535" s="1099">
        <v>11</v>
      </c>
      <c r="L535" s="1099">
        <v>13</v>
      </c>
      <c r="M535" s="1104">
        <v>15</v>
      </c>
      <c r="N535" s="1099">
        <v>200</v>
      </c>
      <c r="O535" s="1099">
        <v>400</v>
      </c>
      <c r="P535" s="1099">
        <v>800</v>
      </c>
      <c r="Q535" s="1104">
        <v>1200</v>
      </c>
      <c r="R535" s="1099" t="s">
        <v>1690</v>
      </c>
      <c r="S535" s="1099" t="s">
        <v>1690</v>
      </c>
      <c r="T535" s="1099" t="s">
        <v>1690</v>
      </c>
      <c r="U535" s="1104" t="s">
        <v>1690</v>
      </c>
      <c r="V535" s="1101" t="s">
        <v>6622</v>
      </c>
      <c r="W535" s="1101" t="s">
        <v>6623</v>
      </c>
      <c r="X535" s="1101" t="s">
        <v>6624</v>
      </c>
      <c r="Y535" s="1101" t="s">
        <v>6625</v>
      </c>
      <c r="Z535" s="1102" t="s">
        <v>6626</v>
      </c>
    </row>
    <row r="536" spans="2:26" ht="12.75" customHeight="1" x14ac:dyDescent="0.2">
      <c r="B536" s="2090" t="str">
        <f t="shared" si="17"/>
        <v>Caos84</v>
      </c>
      <c r="C536" s="1103"/>
      <c r="D536" s="521" t="s">
        <v>769</v>
      </c>
      <c r="E536" s="1099" t="s">
        <v>81</v>
      </c>
      <c r="F536" s="1099">
        <v>84</v>
      </c>
      <c r="G536" s="1108" t="s">
        <v>1690</v>
      </c>
      <c r="H536" s="1108" t="s">
        <v>1536</v>
      </c>
      <c r="I536" s="1109" t="s">
        <v>1606</v>
      </c>
      <c r="J536" s="1099">
        <v>11</v>
      </c>
      <c r="K536" s="1099">
        <v>13</v>
      </c>
      <c r="L536" s="1099">
        <v>15</v>
      </c>
      <c r="M536" s="1104">
        <v>17</v>
      </c>
      <c r="N536" s="1099">
        <v>300</v>
      </c>
      <c r="O536" s="1099">
        <v>500</v>
      </c>
      <c r="P536" s="1099">
        <v>800</v>
      </c>
      <c r="Q536" s="1104">
        <v>1200</v>
      </c>
      <c r="R536" s="1099">
        <v>50</v>
      </c>
      <c r="S536" s="1099">
        <v>60</v>
      </c>
      <c r="T536" s="1099">
        <v>67</v>
      </c>
      <c r="U536" s="1104">
        <v>75</v>
      </c>
      <c r="V536" s="1101" t="s">
        <v>6627</v>
      </c>
      <c r="W536" s="1101" t="s">
        <v>6628</v>
      </c>
      <c r="X536" s="1101" t="s">
        <v>6629</v>
      </c>
      <c r="Y536" s="1101" t="s">
        <v>6630</v>
      </c>
      <c r="Z536" s="1102" t="s">
        <v>6631</v>
      </c>
    </row>
    <row r="537" spans="2:26" ht="12.75" customHeight="1" x14ac:dyDescent="0.2">
      <c r="B537" s="2090" t="str">
        <f t="shared" si="17"/>
        <v>Caos94</v>
      </c>
      <c r="C537" s="1103"/>
      <c r="D537" s="521" t="s">
        <v>770</v>
      </c>
      <c r="E537" s="1099" t="s">
        <v>81</v>
      </c>
      <c r="F537" s="1099">
        <v>94</v>
      </c>
      <c r="G537" s="1108" t="s">
        <v>3010</v>
      </c>
      <c r="H537" s="1108" t="s">
        <v>1537</v>
      </c>
      <c r="I537" s="1109" t="s">
        <v>1606</v>
      </c>
      <c r="J537" s="1099">
        <v>12</v>
      </c>
      <c r="K537" s="1099">
        <v>14</v>
      </c>
      <c r="L537" s="1099">
        <v>16</v>
      </c>
      <c r="M537" s="1104">
        <v>18</v>
      </c>
      <c r="N537" s="1099">
        <v>500</v>
      </c>
      <c r="O537" s="1099">
        <v>900</v>
      </c>
      <c r="P537" s="1099">
        <v>1500</v>
      </c>
      <c r="Q537" s="1104">
        <v>2400</v>
      </c>
      <c r="R537" s="1099">
        <v>100</v>
      </c>
      <c r="S537" s="1099">
        <v>180</v>
      </c>
      <c r="T537" s="1099">
        <v>300</v>
      </c>
      <c r="U537" s="1104">
        <v>480</v>
      </c>
      <c r="V537" s="1101" t="s">
        <v>6632</v>
      </c>
      <c r="W537" s="1101" t="s">
        <v>6633</v>
      </c>
      <c r="X537" s="1101" t="s">
        <v>6634</v>
      </c>
      <c r="Y537" s="1101" t="s">
        <v>6635</v>
      </c>
      <c r="Z537" s="1102" t="s">
        <v>6636</v>
      </c>
    </row>
    <row r="538" spans="2:26" ht="12.75" customHeight="1" x14ac:dyDescent="0.2">
      <c r="B538" s="2090" t="str">
        <f t="shared" si="17"/>
        <v/>
      </c>
      <c r="C538" s="1103"/>
      <c r="D538" s="521" t="s">
        <v>771</v>
      </c>
      <c r="E538" s="1099"/>
      <c r="F538" s="1099"/>
      <c r="G538" s="1108"/>
      <c r="H538" s="1108"/>
      <c r="I538" s="1109"/>
      <c r="J538" s="1099"/>
      <c r="K538" s="1099"/>
      <c r="L538" s="1099"/>
      <c r="M538" s="1104"/>
      <c r="N538" s="1099"/>
      <c r="O538" s="1099"/>
      <c r="P538" s="1099"/>
      <c r="Q538" s="1104"/>
      <c r="R538" s="1099"/>
      <c r="S538" s="1099"/>
      <c r="T538" s="1099"/>
      <c r="U538" s="1104"/>
      <c r="V538" s="1101"/>
      <c r="W538" s="1101"/>
      <c r="X538" s="1101"/>
      <c r="Y538" s="1101"/>
      <c r="Z538" s="1102"/>
    </row>
    <row r="539" spans="2:26" ht="12.75" customHeight="1" x14ac:dyDescent="0.2">
      <c r="B539" s="2090" t="str">
        <f t="shared" si="17"/>
        <v>Guerra4</v>
      </c>
      <c r="C539" s="1103"/>
      <c r="D539" s="521" t="s">
        <v>772</v>
      </c>
      <c r="E539" s="1099" t="s">
        <v>82</v>
      </c>
      <c r="F539" s="1099">
        <v>4</v>
      </c>
      <c r="G539" s="1108" t="s">
        <v>1690</v>
      </c>
      <c r="H539" s="1108" t="s">
        <v>1536</v>
      </c>
      <c r="I539" s="1109" t="s">
        <v>1606</v>
      </c>
      <c r="J539" s="1099">
        <v>5</v>
      </c>
      <c r="K539" s="1099">
        <v>8</v>
      </c>
      <c r="L539" s="1099">
        <v>11</v>
      </c>
      <c r="M539" s="1104">
        <v>13</v>
      </c>
      <c r="N539" s="1099">
        <v>30</v>
      </c>
      <c r="O539" s="1099">
        <v>60</v>
      </c>
      <c r="P539" s="1099">
        <v>90</v>
      </c>
      <c r="Q539" s="1104">
        <v>120</v>
      </c>
      <c r="R539" s="1099" t="s">
        <v>1690</v>
      </c>
      <c r="S539" s="1099" t="s">
        <v>1690</v>
      </c>
      <c r="T539" s="1099" t="s">
        <v>1690</v>
      </c>
      <c r="U539" s="1104" t="s">
        <v>1690</v>
      </c>
      <c r="V539" s="1101" t="s">
        <v>6637</v>
      </c>
      <c r="W539" s="1101" t="s">
        <v>6638</v>
      </c>
      <c r="X539" s="1101" t="s">
        <v>6639</v>
      </c>
      <c r="Y539" s="1101" t="s">
        <v>6640</v>
      </c>
      <c r="Z539" s="1102" t="s">
        <v>6641</v>
      </c>
    </row>
    <row r="540" spans="2:26" ht="12.75" customHeight="1" x14ac:dyDescent="0.2">
      <c r="B540" s="2090" t="str">
        <f t="shared" si="17"/>
        <v>Guerra14</v>
      </c>
      <c r="C540" s="1103"/>
      <c r="D540" s="521" t="s">
        <v>773</v>
      </c>
      <c r="E540" s="1099" t="s">
        <v>82</v>
      </c>
      <c r="F540" s="1099">
        <v>14</v>
      </c>
      <c r="G540" s="1108" t="s">
        <v>1690</v>
      </c>
      <c r="H540" s="1108" t="s">
        <v>1536</v>
      </c>
      <c r="I540" s="1109" t="s">
        <v>1606</v>
      </c>
      <c r="J540" s="1099">
        <v>6</v>
      </c>
      <c r="K540" s="1099">
        <v>9</v>
      </c>
      <c r="L540" s="1099">
        <v>12</v>
      </c>
      <c r="M540" s="1104">
        <v>15</v>
      </c>
      <c r="N540" s="1099">
        <v>40</v>
      </c>
      <c r="O540" s="1099">
        <v>70</v>
      </c>
      <c r="P540" s="1099">
        <v>100</v>
      </c>
      <c r="Q540" s="1104">
        <v>130</v>
      </c>
      <c r="R540" s="1099">
        <v>5</v>
      </c>
      <c r="S540" s="1099">
        <v>10</v>
      </c>
      <c r="T540" s="1099">
        <v>10</v>
      </c>
      <c r="U540" s="1104">
        <v>15</v>
      </c>
      <c r="V540" s="1101" t="s">
        <v>6642</v>
      </c>
      <c r="W540" s="1101" t="s">
        <v>6643</v>
      </c>
      <c r="X540" s="1101" t="s">
        <v>6644</v>
      </c>
      <c r="Y540" s="1101" t="s">
        <v>6645</v>
      </c>
      <c r="Z540" s="1102" t="s">
        <v>6646</v>
      </c>
    </row>
    <row r="541" spans="2:26" ht="12.75" customHeight="1" x14ac:dyDescent="0.2">
      <c r="B541" s="2090" t="str">
        <f t="shared" si="17"/>
        <v>Guerra24</v>
      </c>
      <c r="C541" s="1103"/>
      <c r="D541" s="521" t="s">
        <v>774</v>
      </c>
      <c r="E541" s="1099" t="s">
        <v>82</v>
      </c>
      <c r="F541" s="1099">
        <v>24</v>
      </c>
      <c r="G541" s="1108" t="s">
        <v>1690</v>
      </c>
      <c r="H541" s="1108" t="s">
        <v>1536</v>
      </c>
      <c r="I541" s="1109" t="s">
        <v>1606</v>
      </c>
      <c r="J541" s="1099">
        <v>6</v>
      </c>
      <c r="K541" s="1099">
        <v>9</v>
      </c>
      <c r="L541" s="1099">
        <v>12</v>
      </c>
      <c r="M541" s="1104">
        <v>15</v>
      </c>
      <c r="N541" s="1099">
        <v>50</v>
      </c>
      <c r="O541" s="1099">
        <v>90</v>
      </c>
      <c r="P541" s="1099">
        <v>120</v>
      </c>
      <c r="Q541" s="1104">
        <v>150</v>
      </c>
      <c r="R541" s="1099">
        <v>5</v>
      </c>
      <c r="S541" s="1099">
        <v>10</v>
      </c>
      <c r="T541" s="1099">
        <v>15</v>
      </c>
      <c r="U541" s="1104">
        <v>15</v>
      </c>
      <c r="V541" s="1101" t="s">
        <v>6647</v>
      </c>
      <c r="W541" s="1101" t="s">
        <v>6648</v>
      </c>
      <c r="X541" s="1101" t="s">
        <v>6649</v>
      </c>
      <c r="Y541" s="1101" t="s">
        <v>6650</v>
      </c>
      <c r="Z541" s="1102" t="s">
        <v>6651</v>
      </c>
    </row>
    <row r="542" spans="2:26" ht="12.75" customHeight="1" x14ac:dyDescent="0.2">
      <c r="B542" s="2090" t="str">
        <f t="shared" si="17"/>
        <v>Guerra34</v>
      </c>
      <c r="C542" s="1103"/>
      <c r="D542" s="521" t="s">
        <v>775</v>
      </c>
      <c r="E542" s="1099" t="s">
        <v>82</v>
      </c>
      <c r="F542" s="1099">
        <v>34</v>
      </c>
      <c r="G542" s="1108" t="s">
        <v>1690</v>
      </c>
      <c r="H542" s="1108" t="s">
        <v>1536</v>
      </c>
      <c r="I542" s="1109" t="s">
        <v>1606</v>
      </c>
      <c r="J542" s="1099">
        <v>7</v>
      </c>
      <c r="K542" s="1099">
        <v>9</v>
      </c>
      <c r="L542" s="1099">
        <v>12</v>
      </c>
      <c r="M542" s="1104">
        <v>15</v>
      </c>
      <c r="N542" s="1099">
        <v>80</v>
      </c>
      <c r="O542" s="1099">
        <v>120</v>
      </c>
      <c r="P542" s="1099">
        <v>160</v>
      </c>
      <c r="Q542" s="1104">
        <v>200</v>
      </c>
      <c r="R542" s="1099">
        <v>5</v>
      </c>
      <c r="S542" s="1099">
        <v>15</v>
      </c>
      <c r="T542" s="1099">
        <v>20</v>
      </c>
      <c r="U542" s="1104">
        <v>20</v>
      </c>
      <c r="V542" s="1101" t="s">
        <v>6652</v>
      </c>
      <c r="W542" s="1101" t="s">
        <v>6653</v>
      </c>
      <c r="X542" s="1101" t="s">
        <v>6654</v>
      </c>
      <c r="Y542" s="1101" t="s">
        <v>6655</v>
      </c>
      <c r="Z542" s="1102" t="s">
        <v>6656</v>
      </c>
    </row>
    <row r="543" spans="2:26" ht="12.75" customHeight="1" x14ac:dyDescent="0.2">
      <c r="B543" s="2090" t="str">
        <f t="shared" si="17"/>
        <v>Guerra44</v>
      </c>
      <c r="C543" s="1103"/>
      <c r="D543" s="521" t="s">
        <v>776</v>
      </c>
      <c r="E543" s="1099" t="s">
        <v>82</v>
      </c>
      <c r="F543" s="1099">
        <v>44</v>
      </c>
      <c r="G543" s="1108" t="s">
        <v>1690</v>
      </c>
      <c r="H543" s="1108" t="s">
        <v>1536</v>
      </c>
      <c r="I543" s="1109" t="s">
        <v>1606</v>
      </c>
      <c r="J543" s="1099">
        <v>7</v>
      </c>
      <c r="K543" s="1099">
        <v>9</v>
      </c>
      <c r="L543" s="1099">
        <v>12</v>
      </c>
      <c r="M543" s="1104">
        <v>15</v>
      </c>
      <c r="N543" s="1099">
        <v>80</v>
      </c>
      <c r="O543" s="1099">
        <v>120</v>
      </c>
      <c r="P543" s="1099">
        <v>160</v>
      </c>
      <c r="Q543" s="1104">
        <v>200</v>
      </c>
      <c r="R543" s="1099">
        <v>5</v>
      </c>
      <c r="S543" s="1099">
        <v>15</v>
      </c>
      <c r="T543" s="1099">
        <v>20</v>
      </c>
      <c r="U543" s="1104">
        <v>20</v>
      </c>
      <c r="V543" s="1101" t="s">
        <v>6657</v>
      </c>
      <c r="W543" s="1101" t="s">
        <v>6658</v>
      </c>
      <c r="X543" s="1101" t="s">
        <v>6659</v>
      </c>
      <c r="Y543" s="1101" t="s">
        <v>6660</v>
      </c>
      <c r="Z543" s="1102" t="s">
        <v>6661</v>
      </c>
    </row>
    <row r="544" spans="2:26" ht="12.75" customHeight="1" x14ac:dyDescent="0.2">
      <c r="B544" s="2090" t="str">
        <f t="shared" si="17"/>
        <v>Guerra54</v>
      </c>
      <c r="C544" s="1103"/>
      <c r="D544" s="521" t="s">
        <v>777</v>
      </c>
      <c r="E544" s="1099" t="s">
        <v>82</v>
      </c>
      <c r="F544" s="1099">
        <v>54</v>
      </c>
      <c r="G544" s="1108" t="s">
        <v>2446</v>
      </c>
      <c r="H544" s="1108" t="s">
        <v>1536</v>
      </c>
      <c r="I544" s="1109" t="s">
        <v>1606</v>
      </c>
      <c r="J544" s="1099">
        <v>6</v>
      </c>
      <c r="K544" s="1099">
        <v>9</v>
      </c>
      <c r="L544" s="1099">
        <v>12</v>
      </c>
      <c r="M544" s="1104">
        <v>15</v>
      </c>
      <c r="N544" s="1099">
        <v>150</v>
      </c>
      <c r="O544" s="1099">
        <v>200</v>
      </c>
      <c r="P544" s="1099">
        <v>250</v>
      </c>
      <c r="Q544" s="1104">
        <v>300</v>
      </c>
      <c r="R544" s="1099">
        <v>30</v>
      </c>
      <c r="S544" s="1099">
        <v>40</v>
      </c>
      <c r="T544" s="1099">
        <v>50</v>
      </c>
      <c r="U544" s="1104">
        <v>100</v>
      </c>
      <c r="V544" s="1101" t="s">
        <v>6642</v>
      </c>
      <c r="W544" s="1101" t="s">
        <v>6643</v>
      </c>
      <c r="X544" s="1101" t="s">
        <v>6662</v>
      </c>
      <c r="Y544" s="1101" t="s">
        <v>6645</v>
      </c>
      <c r="Z544" s="1102" t="s">
        <v>6663</v>
      </c>
    </row>
    <row r="545" spans="2:26" ht="12.75" customHeight="1" x14ac:dyDescent="0.2">
      <c r="B545" s="2090" t="str">
        <f t="shared" si="17"/>
        <v>Guerra64</v>
      </c>
      <c r="C545" s="1103"/>
      <c r="D545" s="521" t="s">
        <v>778</v>
      </c>
      <c r="E545" s="1099" t="s">
        <v>82</v>
      </c>
      <c r="F545" s="1099">
        <v>64</v>
      </c>
      <c r="G545" s="1108" t="s">
        <v>1690</v>
      </c>
      <c r="H545" s="1108" t="s">
        <v>1536</v>
      </c>
      <c r="I545" s="1109" t="s">
        <v>1606</v>
      </c>
      <c r="J545" s="1099">
        <v>10</v>
      </c>
      <c r="K545" s="1099">
        <v>12</v>
      </c>
      <c r="L545" s="1099">
        <v>14</v>
      </c>
      <c r="M545" s="1104">
        <v>16</v>
      </c>
      <c r="N545" s="1099">
        <v>140</v>
      </c>
      <c r="O545" s="1099">
        <v>180</v>
      </c>
      <c r="P545" s="1099">
        <v>240</v>
      </c>
      <c r="Q545" s="1104">
        <v>350</v>
      </c>
      <c r="R545" s="1099">
        <v>15</v>
      </c>
      <c r="S545" s="1099">
        <v>15</v>
      </c>
      <c r="T545" s="1099">
        <v>20</v>
      </c>
      <c r="U545" s="1104">
        <v>30</v>
      </c>
      <c r="V545" s="1101" t="s">
        <v>6664</v>
      </c>
      <c r="W545" s="1101" t="s">
        <v>6665</v>
      </c>
      <c r="X545" s="1101" t="s">
        <v>6666</v>
      </c>
      <c r="Y545" s="1101" t="s">
        <v>6667</v>
      </c>
      <c r="Z545" s="1102" t="s">
        <v>6668</v>
      </c>
    </row>
    <row r="546" spans="2:26" ht="12.75" customHeight="1" x14ac:dyDescent="0.2">
      <c r="B546" s="2090" t="str">
        <f t="shared" si="17"/>
        <v>Guerra74</v>
      </c>
      <c r="C546" s="1103"/>
      <c r="D546" s="521" t="s">
        <v>779</v>
      </c>
      <c r="E546" s="1099" t="s">
        <v>82</v>
      </c>
      <c r="F546" s="1099">
        <v>74</v>
      </c>
      <c r="G546" s="1108" t="s">
        <v>1690</v>
      </c>
      <c r="H546" s="1108" t="s">
        <v>1536</v>
      </c>
      <c r="I546" s="1109" t="s">
        <v>1606</v>
      </c>
      <c r="J546" s="1099">
        <v>8</v>
      </c>
      <c r="K546" s="1099">
        <v>10</v>
      </c>
      <c r="L546" s="1099">
        <v>12</v>
      </c>
      <c r="M546" s="1104">
        <v>15</v>
      </c>
      <c r="N546" s="1099">
        <v>150</v>
      </c>
      <c r="O546" s="1099">
        <v>200</v>
      </c>
      <c r="P546" s="1099">
        <v>250</v>
      </c>
      <c r="Q546" s="1104">
        <v>300</v>
      </c>
      <c r="R546" s="1099" t="s">
        <v>1690</v>
      </c>
      <c r="S546" s="1099" t="s">
        <v>1690</v>
      </c>
      <c r="T546" s="1099" t="s">
        <v>1690</v>
      </c>
      <c r="U546" s="1104" t="s">
        <v>1690</v>
      </c>
      <c r="V546" s="1101" t="s">
        <v>6669</v>
      </c>
      <c r="W546" s="1101" t="s">
        <v>6662</v>
      </c>
      <c r="X546" s="1101" t="s">
        <v>6644</v>
      </c>
      <c r="Y546" s="1101" t="s">
        <v>6645</v>
      </c>
      <c r="Z546" s="1102" t="s">
        <v>6670</v>
      </c>
    </row>
    <row r="547" spans="2:26" ht="12.75" customHeight="1" x14ac:dyDescent="0.2">
      <c r="B547" s="2090" t="str">
        <f t="shared" si="17"/>
        <v>Guerra84</v>
      </c>
      <c r="C547" s="1103"/>
      <c r="D547" s="521" t="s">
        <v>780</v>
      </c>
      <c r="E547" s="1099" t="s">
        <v>82</v>
      </c>
      <c r="F547" s="1099">
        <v>84</v>
      </c>
      <c r="G547" s="1108" t="s">
        <v>1690</v>
      </c>
      <c r="H547" s="1108" t="s">
        <v>1536</v>
      </c>
      <c r="I547" s="1109" t="s">
        <v>1607</v>
      </c>
      <c r="J547" s="1099">
        <v>10</v>
      </c>
      <c r="K547" s="1099">
        <v>12</v>
      </c>
      <c r="L547" s="1099">
        <v>15</v>
      </c>
      <c r="M547" s="1104">
        <v>18</v>
      </c>
      <c r="N547" s="1099">
        <v>200</v>
      </c>
      <c r="O547" s="1099">
        <v>300</v>
      </c>
      <c r="P547" s="1099">
        <v>400</v>
      </c>
      <c r="Q547" s="1104">
        <v>500</v>
      </c>
      <c r="R547" s="1099">
        <v>10</v>
      </c>
      <c r="S547" s="1099">
        <v>15</v>
      </c>
      <c r="T547" s="1099">
        <v>20</v>
      </c>
      <c r="U547" s="1104">
        <v>25</v>
      </c>
      <c r="V547" s="1101" t="s">
        <v>6671</v>
      </c>
      <c r="W547" s="1101" t="s">
        <v>6672</v>
      </c>
      <c r="X547" s="1101" t="s">
        <v>6673</v>
      </c>
      <c r="Y547" s="1101" t="s">
        <v>6674</v>
      </c>
      <c r="Z547" s="1102" t="s">
        <v>6675</v>
      </c>
    </row>
    <row r="548" spans="2:26" ht="12.75" customHeight="1" x14ac:dyDescent="0.2">
      <c r="B548" s="2090" t="str">
        <f t="shared" si="17"/>
        <v>Guerra94</v>
      </c>
      <c r="C548" s="1103"/>
      <c r="D548" s="521" t="s">
        <v>781</v>
      </c>
      <c r="E548" s="1099" t="s">
        <v>82</v>
      </c>
      <c r="F548" s="1099">
        <v>94</v>
      </c>
      <c r="G548" s="1108" t="s">
        <v>1690</v>
      </c>
      <c r="H548" s="1108" t="s">
        <v>1536</v>
      </c>
      <c r="I548" s="1109" t="s">
        <v>1606</v>
      </c>
      <c r="J548" s="1099">
        <v>14</v>
      </c>
      <c r="K548" s="1099">
        <v>16</v>
      </c>
      <c r="L548" s="1099">
        <v>18</v>
      </c>
      <c r="M548" s="1104">
        <v>20</v>
      </c>
      <c r="N548" s="1099">
        <v>250</v>
      </c>
      <c r="O548" s="1099">
        <v>500</v>
      </c>
      <c r="P548" s="1099">
        <v>750</v>
      </c>
      <c r="Q548" s="1104">
        <v>1000</v>
      </c>
      <c r="R548" s="1099">
        <v>25</v>
      </c>
      <c r="S548" s="1099">
        <v>50</v>
      </c>
      <c r="T548" s="1099">
        <v>75</v>
      </c>
      <c r="U548" s="1104">
        <v>100</v>
      </c>
      <c r="V548" s="1101" t="s">
        <v>6669</v>
      </c>
      <c r="W548" s="1101" t="s">
        <v>6643</v>
      </c>
      <c r="X548" s="1101" t="s">
        <v>6644</v>
      </c>
      <c r="Y548" s="1101" t="s">
        <v>6676</v>
      </c>
      <c r="Z548" s="1102" t="s">
        <v>6677</v>
      </c>
    </row>
    <row r="549" spans="2:26" ht="12.75" customHeight="1" x14ac:dyDescent="0.2">
      <c r="B549" s="2090" t="str">
        <f t="shared" si="17"/>
        <v/>
      </c>
      <c r="C549" s="1103"/>
      <c r="D549" s="521" t="s">
        <v>782</v>
      </c>
      <c r="E549" s="1099"/>
      <c r="F549" s="1099"/>
      <c r="G549" s="1108"/>
      <c r="H549" s="1108"/>
      <c r="I549" s="1109"/>
      <c r="J549" s="1099"/>
      <c r="K549" s="1099"/>
      <c r="L549" s="1099"/>
      <c r="M549" s="1104"/>
      <c r="N549" s="1099"/>
      <c r="O549" s="1099"/>
      <c r="P549" s="1099"/>
      <c r="Q549" s="1104"/>
      <c r="R549" s="1099"/>
      <c r="S549" s="1099"/>
      <c r="T549" s="1099"/>
      <c r="U549" s="1104"/>
      <c r="V549" s="1101"/>
      <c r="W549" s="1101"/>
      <c r="X549" s="1101"/>
      <c r="Y549" s="1101"/>
      <c r="Z549" s="1102"/>
    </row>
    <row r="550" spans="2:26" ht="12.75" customHeight="1" x14ac:dyDescent="0.2">
      <c r="B550" s="2090" t="str">
        <f t="shared" si="17"/>
        <v>Literae4</v>
      </c>
      <c r="C550" s="1103"/>
      <c r="D550" s="521" t="s">
        <v>783</v>
      </c>
      <c r="E550" s="1099" t="s">
        <v>83</v>
      </c>
      <c r="F550" s="1099">
        <v>4</v>
      </c>
      <c r="G550" s="1108" t="s">
        <v>2446</v>
      </c>
      <c r="H550" s="1108" t="s">
        <v>1536</v>
      </c>
      <c r="I550" s="1109" t="s">
        <v>1606</v>
      </c>
      <c r="J550" s="1099">
        <v>5</v>
      </c>
      <c r="K550" s="1099">
        <v>8</v>
      </c>
      <c r="L550" s="1099">
        <v>10</v>
      </c>
      <c r="M550" s="1104">
        <v>12</v>
      </c>
      <c r="N550" s="1099">
        <v>30</v>
      </c>
      <c r="O550" s="1099">
        <v>80</v>
      </c>
      <c r="P550" s="1099">
        <v>100</v>
      </c>
      <c r="Q550" s="1104">
        <v>120</v>
      </c>
      <c r="R550" s="1099">
        <v>5</v>
      </c>
      <c r="S550" s="1099">
        <v>10</v>
      </c>
      <c r="T550" s="1099">
        <v>10</v>
      </c>
      <c r="U550" s="1104">
        <v>15</v>
      </c>
      <c r="V550" s="1101" t="s">
        <v>6678</v>
      </c>
      <c r="W550" s="1101" t="s">
        <v>6679</v>
      </c>
      <c r="X550" s="1101" t="s">
        <v>6680</v>
      </c>
      <c r="Y550" s="1101" t="s">
        <v>6681</v>
      </c>
      <c r="Z550" s="1102" t="s">
        <v>6682</v>
      </c>
    </row>
    <row r="551" spans="2:26" ht="12.75" customHeight="1" x14ac:dyDescent="0.2">
      <c r="B551" s="2090" t="str">
        <f t="shared" si="17"/>
        <v>Literae14</v>
      </c>
      <c r="C551" s="1103"/>
      <c r="D551" s="521" t="s">
        <v>784</v>
      </c>
      <c r="E551" s="1099" t="s">
        <v>83</v>
      </c>
      <c r="F551" s="1099">
        <v>14</v>
      </c>
      <c r="G551" s="1108" t="s">
        <v>1690</v>
      </c>
      <c r="H551" s="1108" t="s">
        <v>1536</v>
      </c>
      <c r="I551" s="1109" t="s">
        <v>1606</v>
      </c>
      <c r="J551" s="1099">
        <v>6</v>
      </c>
      <c r="K551" s="1099">
        <v>9</v>
      </c>
      <c r="L551" s="1099">
        <v>12</v>
      </c>
      <c r="M551" s="1104">
        <v>15</v>
      </c>
      <c r="N551" s="1099">
        <v>80</v>
      </c>
      <c r="O551" s="1099">
        <v>140</v>
      </c>
      <c r="P551" s="1099">
        <v>200</v>
      </c>
      <c r="Q551" s="1104">
        <v>280</v>
      </c>
      <c r="R551" s="1099" t="s">
        <v>1690</v>
      </c>
      <c r="S551" s="1099" t="s">
        <v>1690</v>
      </c>
      <c r="T551" s="1099" t="s">
        <v>1690</v>
      </c>
      <c r="U551" s="1104" t="s">
        <v>1690</v>
      </c>
      <c r="V551" s="1101" t="s">
        <v>6683</v>
      </c>
      <c r="W551" s="1101" t="s">
        <v>6684</v>
      </c>
      <c r="X551" s="1101" t="s">
        <v>6685</v>
      </c>
      <c r="Y551" s="1101" t="s">
        <v>6686</v>
      </c>
      <c r="Z551" s="1102" t="s">
        <v>6687</v>
      </c>
    </row>
    <row r="552" spans="2:26" ht="12.75" customHeight="1" x14ac:dyDescent="0.2">
      <c r="B552" s="2090" t="str">
        <f t="shared" si="17"/>
        <v>Literae24</v>
      </c>
      <c r="C552" s="1103"/>
      <c r="D552" s="521" t="s">
        <v>785</v>
      </c>
      <c r="E552" s="1099" t="s">
        <v>83</v>
      </c>
      <c r="F552" s="1099">
        <v>24</v>
      </c>
      <c r="G552" s="1108" t="s">
        <v>2446</v>
      </c>
      <c r="H552" s="1108" t="s">
        <v>1536</v>
      </c>
      <c r="I552" s="1109" t="s">
        <v>1606</v>
      </c>
      <c r="J552" s="1099">
        <v>6</v>
      </c>
      <c r="K552" s="1099">
        <v>9</v>
      </c>
      <c r="L552" s="1099">
        <v>12</v>
      </c>
      <c r="M552" s="1104">
        <v>15</v>
      </c>
      <c r="N552" s="1099">
        <v>100</v>
      </c>
      <c r="O552" s="1099">
        <v>180</v>
      </c>
      <c r="P552" s="1099">
        <v>240</v>
      </c>
      <c r="Q552" s="1104">
        <v>300</v>
      </c>
      <c r="R552" s="1099">
        <v>15</v>
      </c>
      <c r="S552" s="1099">
        <v>20</v>
      </c>
      <c r="T552" s="1099">
        <v>25</v>
      </c>
      <c r="U552" s="1104">
        <v>30</v>
      </c>
      <c r="V552" s="1101" t="s">
        <v>2067</v>
      </c>
      <c r="W552" s="1101" t="s">
        <v>2069</v>
      </c>
      <c r="X552" s="1101" t="s">
        <v>2070</v>
      </c>
      <c r="Y552" s="1101" t="s">
        <v>6688</v>
      </c>
      <c r="Z552" s="1102" t="s">
        <v>6689</v>
      </c>
    </row>
    <row r="553" spans="2:26" ht="12.75" customHeight="1" x14ac:dyDescent="0.2">
      <c r="B553" s="2090" t="str">
        <f t="shared" si="17"/>
        <v>Literae34</v>
      </c>
      <c r="C553" s="1103"/>
      <c r="D553" s="521" t="s">
        <v>786</v>
      </c>
      <c r="E553" s="1099" t="s">
        <v>83</v>
      </c>
      <c r="F553" s="1099">
        <v>34</v>
      </c>
      <c r="G553" s="1108" t="s">
        <v>1690</v>
      </c>
      <c r="H553" s="1108" t="s">
        <v>1537</v>
      </c>
      <c r="I553" s="1109" t="s">
        <v>1606</v>
      </c>
      <c r="J553" s="1099">
        <v>6</v>
      </c>
      <c r="K553" s="1099">
        <v>9</v>
      </c>
      <c r="L553" s="1099">
        <v>12</v>
      </c>
      <c r="M553" s="1104">
        <v>15</v>
      </c>
      <c r="N553" s="1099">
        <v>120</v>
      </c>
      <c r="O553" s="1099">
        <v>240</v>
      </c>
      <c r="P553" s="1099">
        <v>360</v>
      </c>
      <c r="Q553" s="1104">
        <v>480</v>
      </c>
      <c r="R553" s="1099" t="s">
        <v>1690</v>
      </c>
      <c r="S553" s="1099" t="s">
        <v>1690</v>
      </c>
      <c r="T553" s="1099" t="s">
        <v>1690</v>
      </c>
      <c r="U553" s="1104" t="s">
        <v>1690</v>
      </c>
      <c r="V553" s="1101" t="s">
        <v>4982</v>
      </c>
      <c r="W553" s="1101" t="s">
        <v>5977</v>
      </c>
      <c r="X553" s="1101" t="s">
        <v>4983</v>
      </c>
      <c r="Y553" s="1101" t="s">
        <v>5978</v>
      </c>
      <c r="Z553" s="1102" t="s">
        <v>6690</v>
      </c>
    </row>
    <row r="554" spans="2:26" ht="12.75" customHeight="1" x14ac:dyDescent="0.2">
      <c r="B554" s="2090" t="str">
        <f t="shared" si="17"/>
        <v>Literae44</v>
      </c>
      <c r="C554" s="1103"/>
      <c r="D554" s="521" t="s">
        <v>787</v>
      </c>
      <c r="E554" s="1099" t="s">
        <v>83</v>
      </c>
      <c r="F554" s="1099">
        <v>44</v>
      </c>
      <c r="G554" s="1108" t="s">
        <v>1690</v>
      </c>
      <c r="H554" s="1108" t="s">
        <v>1881</v>
      </c>
      <c r="I554" s="1109" t="s">
        <v>1607</v>
      </c>
      <c r="J554" s="1099">
        <v>8</v>
      </c>
      <c r="K554" s="1099">
        <v>10</v>
      </c>
      <c r="L554" s="1099">
        <v>12</v>
      </c>
      <c r="M554" s="1104">
        <v>15</v>
      </c>
      <c r="N554" s="1099">
        <v>150</v>
      </c>
      <c r="O554" s="1099">
        <v>200</v>
      </c>
      <c r="P554" s="1099">
        <v>250</v>
      </c>
      <c r="Q554" s="1104">
        <v>300</v>
      </c>
      <c r="R554" s="1099">
        <v>15</v>
      </c>
      <c r="S554" s="1099">
        <v>20</v>
      </c>
      <c r="T554" s="1099">
        <v>25</v>
      </c>
      <c r="U554" s="1104">
        <v>30</v>
      </c>
      <c r="V554" s="1101" t="s">
        <v>6691</v>
      </c>
      <c r="W554" s="1101" t="s">
        <v>6692</v>
      </c>
      <c r="X554" s="1101" t="s">
        <v>6693</v>
      </c>
      <c r="Y554" s="1101" t="s">
        <v>5698</v>
      </c>
      <c r="Z554" s="1102" t="s">
        <v>6694</v>
      </c>
    </row>
    <row r="555" spans="2:26" ht="12.75" customHeight="1" x14ac:dyDescent="0.2">
      <c r="B555" s="2090" t="str">
        <f t="shared" si="17"/>
        <v>Literae54</v>
      </c>
      <c r="C555" s="1103"/>
      <c r="D555" s="521" t="s">
        <v>788</v>
      </c>
      <c r="E555" s="1099" t="s">
        <v>83</v>
      </c>
      <c r="F555" s="1099">
        <v>54</v>
      </c>
      <c r="G555" s="1108" t="s">
        <v>1690</v>
      </c>
      <c r="H555" s="1108" t="s">
        <v>1537</v>
      </c>
      <c r="I555" s="1109" t="s">
        <v>1606</v>
      </c>
      <c r="J555" s="1099">
        <v>6</v>
      </c>
      <c r="K555" s="1099">
        <v>9</v>
      </c>
      <c r="L555" s="1099">
        <v>12</v>
      </c>
      <c r="M555" s="1104">
        <v>15</v>
      </c>
      <c r="N555" s="1099">
        <v>240</v>
      </c>
      <c r="O555" s="1099">
        <v>360</v>
      </c>
      <c r="P555" s="1099">
        <v>480</v>
      </c>
      <c r="Q555" s="1104">
        <v>600</v>
      </c>
      <c r="R555" s="1099">
        <v>15</v>
      </c>
      <c r="S555" s="1099">
        <v>20</v>
      </c>
      <c r="T555" s="1099">
        <v>25</v>
      </c>
      <c r="U555" s="1104">
        <v>30</v>
      </c>
      <c r="V555" s="1101" t="s">
        <v>6695</v>
      </c>
      <c r="W555" s="1101" t="s">
        <v>6696</v>
      </c>
      <c r="X555" s="1101" t="s">
        <v>6697</v>
      </c>
      <c r="Y555" s="1101" t="s">
        <v>6698</v>
      </c>
      <c r="Z555" s="1102" t="s">
        <v>6699</v>
      </c>
    </row>
    <row r="556" spans="2:26" ht="12.75" customHeight="1" x14ac:dyDescent="0.2">
      <c r="B556" s="2090" t="str">
        <f t="shared" si="17"/>
        <v>Literae64</v>
      </c>
      <c r="C556" s="1103"/>
      <c r="D556" s="521" t="s">
        <v>789</v>
      </c>
      <c r="E556" s="1099" t="s">
        <v>83</v>
      </c>
      <c r="F556" s="1099">
        <v>64</v>
      </c>
      <c r="G556" s="1108" t="s">
        <v>2446</v>
      </c>
      <c r="H556" s="1108" t="s">
        <v>1536</v>
      </c>
      <c r="I556" s="1109" t="s">
        <v>1606</v>
      </c>
      <c r="J556" s="1099">
        <v>7</v>
      </c>
      <c r="K556" s="1099">
        <v>10</v>
      </c>
      <c r="L556" s="1099">
        <v>13</v>
      </c>
      <c r="M556" s="1104">
        <v>15</v>
      </c>
      <c r="N556" s="1099">
        <v>120</v>
      </c>
      <c r="O556" s="1099">
        <v>260</v>
      </c>
      <c r="P556" s="1099">
        <v>380</v>
      </c>
      <c r="Q556" s="1104">
        <v>500</v>
      </c>
      <c r="R556" s="1099">
        <v>10</v>
      </c>
      <c r="S556" s="1099">
        <v>20</v>
      </c>
      <c r="T556" s="1099">
        <v>30</v>
      </c>
      <c r="U556" s="1104">
        <v>40</v>
      </c>
      <c r="V556" s="1101" t="s">
        <v>6700</v>
      </c>
      <c r="W556" s="1101" t="s">
        <v>6701</v>
      </c>
      <c r="X556" s="1101" t="s">
        <v>6702</v>
      </c>
      <c r="Y556" s="1101" t="s">
        <v>6703</v>
      </c>
      <c r="Z556" s="1102" t="s">
        <v>6704</v>
      </c>
    </row>
    <row r="557" spans="2:26" ht="12.75" customHeight="1" x14ac:dyDescent="0.2">
      <c r="B557" s="2090" t="str">
        <f t="shared" si="17"/>
        <v>Literae74</v>
      </c>
      <c r="C557" s="1103"/>
      <c r="D557" s="521" t="s">
        <v>790</v>
      </c>
      <c r="E557" s="1099" t="s">
        <v>83</v>
      </c>
      <c r="F557" s="1099">
        <v>74</v>
      </c>
      <c r="G557" s="1108" t="s">
        <v>1690</v>
      </c>
      <c r="H557" s="1108" t="s">
        <v>1536</v>
      </c>
      <c r="I557" s="1109" t="s">
        <v>1606</v>
      </c>
      <c r="J557" s="1099">
        <v>10</v>
      </c>
      <c r="K557" s="1099">
        <v>12</v>
      </c>
      <c r="L557" s="1099">
        <v>14</v>
      </c>
      <c r="M557" s="1104">
        <v>16</v>
      </c>
      <c r="N557" s="1099">
        <v>280</v>
      </c>
      <c r="O557" s="1099">
        <v>320</v>
      </c>
      <c r="P557" s="1099">
        <v>480</v>
      </c>
      <c r="Q557" s="1104">
        <v>700</v>
      </c>
      <c r="R557" s="1099" t="s">
        <v>1690</v>
      </c>
      <c r="S557" s="1099" t="s">
        <v>1690</v>
      </c>
      <c r="T557" s="1099" t="s">
        <v>1690</v>
      </c>
      <c r="U557" s="1104" t="s">
        <v>1690</v>
      </c>
      <c r="V557" s="1101" t="s">
        <v>4920</v>
      </c>
      <c r="W557" s="1101" t="s">
        <v>4779</v>
      </c>
      <c r="X557" s="1101" t="s">
        <v>4953</v>
      </c>
      <c r="Y557" s="1101" t="s">
        <v>4954</v>
      </c>
      <c r="Z557" s="1102" t="s">
        <v>6705</v>
      </c>
    </row>
    <row r="558" spans="2:26" ht="12.75" customHeight="1" x14ac:dyDescent="0.2">
      <c r="B558" s="2090" t="str">
        <f t="shared" si="17"/>
        <v>Literae84</v>
      </c>
      <c r="C558" s="1103"/>
      <c r="D558" s="521" t="s">
        <v>791</v>
      </c>
      <c r="E558" s="1099" t="s">
        <v>83</v>
      </c>
      <c r="F558" s="1099">
        <v>84</v>
      </c>
      <c r="G558" s="1108" t="s">
        <v>2446</v>
      </c>
      <c r="H558" s="1108" t="s">
        <v>1536</v>
      </c>
      <c r="I558" s="1109" t="s">
        <v>1606</v>
      </c>
      <c r="J558" s="1099">
        <v>10</v>
      </c>
      <c r="K558" s="1099">
        <v>12</v>
      </c>
      <c r="L558" s="1099">
        <v>14</v>
      </c>
      <c r="M558" s="1104">
        <v>17</v>
      </c>
      <c r="N558" s="1099">
        <v>400</v>
      </c>
      <c r="O558" s="1099">
        <v>600</v>
      </c>
      <c r="P558" s="1099">
        <v>800</v>
      </c>
      <c r="Q558" s="1104">
        <v>1200</v>
      </c>
      <c r="R558" s="1099">
        <v>40</v>
      </c>
      <c r="S558" s="1099">
        <v>60</v>
      </c>
      <c r="T558" s="1099">
        <v>80</v>
      </c>
      <c r="U558" s="1104">
        <v>120</v>
      </c>
      <c r="V558" s="1101" t="s">
        <v>4996</v>
      </c>
      <c r="W558" s="1101" t="s">
        <v>5036</v>
      </c>
      <c r="X558" s="1101" t="s">
        <v>6706</v>
      </c>
      <c r="Y558" s="1101" t="s">
        <v>5763</v>
      </c>
      <c r="Z558" s="1102" t="s">
        <v>6707</v>
      </c>
    </row>
    <row r="559" spans="2:26" ht="12.75" customHeight="1" x14ac:dyDescent="0.2">
      <c r="B559" s="2090" t="str">
        <f t="shared" si="17"/>
        <v>Literae94</v>
      </c>
      <c r="C559" s="1103"/>
      <c r="D559" s="521" t="s">
        <v>792</v>
      </c>
      <c r="E559" s="1099" t="s">
        <v>83</v>
      </c>
      <c r="F559" s="1099">
        <v>94</v>
      </c>
      <c r="G559" s="1108" t="s">
        <v>1690</v>
      </c>
      <c r="H559" s="1108" t="s">
        <v>1537</v>
      </c>
      <c r="I559" s="1109" t="s">
        <v>1606</v>
      </c>
      <c r="J559" s="1099">
        <v>12</v>
      </c>
      <c r="K559" s="1099">
        <v>15</v>
      </c>
      <c r="L559" s="1099">
        <v>17</v>
      </c>
      <c r="M559" s="1104">
        <v>19</v>
      </c>
      <c r="N559" s="1099">
        <v>500</v>
      </c>
      <c r="O559" s="1099">
        <v>900</v>
      </c>
      <c r="P559" s="1099">
        <v>1400</v>
      </c>
      <c r="Q559" s="1104">
        <v>2500</v>
      </c>
      <c r="R559" s="1099" t="s">
        <v>1690</v>
      </c>
      <c r="S559" s="1099" t="s">
        <v>1690</v>
      </c>
      <c r="T559" s="1099" t="s">
        <v>1690</v>
      </c>
      <c r="U559" s="1104" t="s">
        <v>1690</v>
      </c>
      <c r="V559" s="1101" t="s">
        <v>4968</v>
      </c>
      <c r="W559" s="1101" t="s">
        <v>4969</v>
      </c>
      <c r="X559" s="1101" t="s">
        <v>4864</v>
      </c>
      <c r="Y559" s="1101" t="s">
        <v>4697</v>
      </c>
      <c r="Z559" s="1102" t="s">
        <v>6708</v>
      </c>
    </row>
    <row r="560" spans="2:26" ht="12.75" customHeight="1" x14ac:dyDescent="0.2">
      <c r="B560" s="2090" t="str">
        <f t="shared" si="17"/>
        <v/>
      </c>
      <c r="C560" s="1103"/>
      <c r="D560" s="521" t="s">
        <v>793</v>
      </c>
      <c r="E560" s="1099"/>
      <c r="F560" s="1099"/>
      <c r="G560" s="1108"/>
      <c r="H560" s="1108"/>
      <c r="I560" s="1109"/>
      <c r="J560" s="1099"/>
      <c r="K560" s="1099"/>
      <c r="L560" s="1099"/>
      <c r="M560" s="1104"/>
      <c r="N560" s="1099"/>
      <c r="O560" s="1099"/>
      <c r="P560" s="1099"/>
      <c r="Q560" s="1104"/>
      <c r="R560" s="1099"/>
      <c r="S560" s="1099"/>
      <c r="T560" s="1099"/>
      <c r="U560" s="1104"/>
      <c r="V560" s="1101"/>
      <c r="W560" s="1101"/>
      <c r="X560" s="1101"/>
      <c r="Y560" s="1101"/>
      <c r="Z560" s="1102"/>
    </row>
    <row r="561" spans="2:26" ht="12.75" customHeight="1" x14ac:dyDescent="0.2">
      <c r="B561" s="2090" t="str">
        <f t="shared" si="17"/>
        <v>Muerte4</v>
      </c>
      <c r="C561" s="1103"/>
      <c r="D561" s="521" t="s">
        <v>794</v>
      </c>
      <c r="E561" s="1099" t="s">
        <v>84</v>
      </c>
      <c r="F561" s="1099">
        <v>4</v>
      </c>
      <c r="G561" s="1108" t="s">
        <v>1690</v>
      </c>
      <c r="H561" s="1108" t="s">
        <v>1536</v>
      </c>
      <c r="I561" s="1109" t="s">
        <v>1606</v>
      </c>
      <c r="J561" s="1099">
        <v>4</v>
      </c>
      <c r="K561" s="1099">
        <v>8</v>
      </c>
      <c r="L561" s="1099">
        <v>10</v>
      </c>
      <c r="M561" s="1104">
        <v>12</v>
      </c>
      <c r="N561" s="1099">
        <v>50</v>
      </c>
      <c r="O561" s="1099">
        <v>80</v>
      </c>
      <c r="P561" s="1099">
        <v>100</v>
      </c>
      <c r="Q561" s="1104">
        <v>120</v>
      </c>
      <c r="R561" s="1099" t="s">
        <v>1690</v>
      </c>
      <c r="S561" s="1099" t="s">
        <v>1690</v>
      </c>
      <c r="T561" s="1099" t="s">
        <v>1690</v>
      </c>
      <c r="U561" s="1104" t="s">
        <v>1690</v>
      </c>
      <c r="V561" s="1101" t="s">
        <v>2062</v>
      </c>
      <c r="W561" s="1101" t="s">
        <v>2067</v>
      </c>
      <c r="X561" s="1101" t="s">
        <v>2069</v>
      </c>
      <c r="Y561" s="1101" t="s">
        <v>2070</v>
      </c>
      <c r="Z561" s="1102" t="s">
        <v>6709</v>
      </c>
    </row>
    <row r="562" spans="2:26" ht="12.75" customHeight="1" x14ac:dyDescent="0.2">
      <c r="B562" s="2090" t="str">
        <f t="shared" si="17"/>
        <v>Muerte14</v>
      </c>
      <c r="C562" s="1103"/>
      <c r="D562" s="521" t="s">
        <v>795</v>
      </c>
      <c r="E562" s="1099" t="s">
        <v>84</v>
      </c>
      <c r="F562" s="1099">
        <v>14</v>
      </c>
      <c r="G562" s="1108" t="s">
        <v>3010</v>
      </c>
      <c r="H562" s="1108" t="s">
        <v>1536</v>
      </c>
      <c r="I562" s="1109" t="s">
        <v>1607</v>
      </c>
      <c r="J562" s="1099">
        <v>6</v>
      </c>
      <c r="K562" s="1099">
        <v>9</v>
      </c>
      <c r="L562" s="1099">
        <v>12</v>
      </c>
      <c r="M562" s="1104">
        <v>14</v>
      </c>
      <c r="N562" s="1099">
        <v>60</v>
      </c>
      <c r="O562" s="1099">
        <v>90</v>
      </c>
      <c r="P562" s="1099">
        <v>120</v>
      </c>
      <c r="Q562" s="1104">
        <v>140</v>
      </c>
      <c r="R562" s="1099">
        <v>10</v>
      </c>
      <c r="S562" s="1099">
        <v>10</v>
      </c>
      <c r="T562" s="1099">
        <v>15</v>
      </c>
      <c r="U562" s="1104">
        <v>15</v>
      </c>
      <c r="V562" s="1101" t="s">
        <v>6710</v>
      </c>
      <c r="W562" s="1101" t="s">
        <v>6711</v>
      </c>
      <c r="X562" s="1101" t="s">
        <v>6712</v>
      </c>
      <c r="Y562" s="1101" t="s">
        <v>6713</v>
      </c>
      <c r="Z562" s="1102" t="s">
        <v>6714</v>
      </c>
    </row>
    <row r="563" spans="2:26" ht="12.75" customHeight="1" x14ac:dyDescent="0.2">
      <c r="B563" s="2090" t="str">
        <f t="shared" si="17"/>
        <v>Muerte24</v>
      </c>
      <c r="C563" s="1103"/>
      <c r="D563" s="521" t="s">
        <v>796</v>
      </c>
      <c r="E563" s="1099" t="s">
        <v>84</v>
      </c>
      <c r="F563" s="1099">
        <v>24</v>
      </c>
      <c r="G563" s="1108" t="s">
        <v>1690</v>
      </c>
      <c r="H563" s="1108" t="s">
        <v>5310</v>
      </c>
      <c r="I563" s="1109" t="s">
        <v>1606</v>
      </c>
      <c r="J563" s="1099">
        <v>7</v>
      </c>
      <c r="K563" s="1099">
        <v>9</v>
      </c>
      <c r="L563" s="1099">
        <v>11</v>
      </c>
      <c r="M563" s="1104">
        <v>13</v>
      </c>
      <c r="N563" s="1099">
        <v>80</v>
      </c>
      <c r="O563" s="1099">
        <v>100</v>
      </c>
      <c r="P563" s="1099">
        <v>120</v>
      </c>
      <c r="Q563" s="1104">
        <v>140</v>
      </c>
      <c r="R563" s="1099" t="s">
        <v>1690</v>
      </c>
      <c r="S563" s="1099" t="s">
        <v>1690</v>
      </c>
      <c r="T563" s="1099" t="s">
        <v>1690</v>
      </c>
      <c r="U563" s="1104" t="s">
        <v>1690</v>
      </c>
      <c r="V563" s="1101" t="s">
        <v>6715</v>
      </c>
      <c r="W563" s="1101" t="s">
        <v>6455</v>
      </c>
      <c r="X563" s="1101" t="s">
        <v>6716</v>
      </c>
      <c r="Y563" s="1101" t="s">
        <v>6717</v>
      </c>
      <c r="Z563" s="1102" t="s">
        <v>6718</v>
      </c>
    </row>
    <row r="564" spans="2:26" ht="12.75" customHeight="1" x14ac:dyDescent="0.2">
      <c r="B564" s="2090" t="str">
        <f t="shared" si="17"/>
        <v>Muerte34</v>
      </c>
      <c r="C564" s="1103"/>
      <c r="D564" s="521" t="s">
        <v>797</v>
      </c>
      <c r="E564" s="1099" t="s">
        <v>84</v>
      </c>
      <c r="F564" s="1099">
        <v>34</v>
      </c>
      <c r="G564" s="1108" t="s">
        <v>1690</v>
      </c>
      <c r="H564" s="1108" t="s">
        <v>1537</v>
      </c>
      <c r="I564" s="1109" t="s">
        <v>1606</v>
      </c>
      <c r="J564" s="1099">
        <v>7</v>
      </c>
      <c r="K564" s="1099">
        <v>9</v>
      </c>
      <c r="L564" s="1099">
        <v>11</v>
      </c>
      <c r="M564" s="1104">
        <v>13</v>
      </c>
      <c r="N564" s="1099">
        <v>60</v>
      </c>
      <c r="O564" s="1099">
        <v>80</v>
      </c>
      <c r="P564" s="1099">
        <v>100</v>
      </c>
      <c r="Q564" s="1104">
        <v>120</v>
      </c>
      <c r="R564" s="1099" t="s">
        <v>1690</v>
      </c>
      <c r="S564" s="1099" t="s">
        <v>1690</v>
      </c>
      <c r="T564" s="1099" t="s">
        <v>1690</v>
      </c>
      <c r="U564" s="1104" t="s">
        <v>1690</v>
      </c>
      <c r="V564" s="1101" t="s">
        <v>4969</v>
      </c>
      <c r="W564" s="1101" t="s">
        <v>4864</v>
      </c>
      <c r="X564" s="1101" t="s">
        <v>4697</v>
      </c>
      <c r="Y564" s="1101" t="s">
        <v>4865</v>
      </c>
      <c r="Z564" s="1102" t="s">
        <v>6719</v>
      </c>
    </row>
    <row r="565" spans="2:26" ht="12.75" customHeight="1" x14ac:dyDescent="0.2">
      <c r="B565" s="2090" t="str">
        <f t="shared" si="17"/>
        <v>Muerte44</v>
      </c>
      <c r="C565" s="1103"/>
      <c r="D565" s="521" t="s">
        <v>798</v>
      </c>
      <c r="E565" s="1099" t="s">
        <v>84</v>
      </c>
      <c r="F565" s="1099">
        <v>44</v>
      </c>
      <c r="G565" s="1108" t="s">
        <v>1690</v>
      </c>
      <c r="H565" s="1108" t="s">
        <v>5406</v>
      </c>
      <c r="I565" s="1109" t="s">
        <v>1606</v>
      </c>
      <c r="J565" s="1099">
        <v>7</v>
      </c>
      <c r="K565" s="1099">
        <v>10</v>
      </c>
      <c r="L565" s="1099">
        <v>13</v>
      </c>
      <c r="M565" s="1104">
        <v>15</v>
      </c>
      <c r="N565" s="1099">
        <v>60</v>
      </c>
      <c r="O565" s="1099">
        <v>90</v>
      </c>
      <c r="P565" s="1099">
        <v>120</v>
      </c>
      <c r="Q565" s="1104">
        <v>150</v>
      </c>
      <c r="R565" s="1099" t="s">
        <v>1690</v>
      </c>
      <c r="S565" s="1099" t="s">
        <v>1690</v>
      </c>
      <c r="T565" s="1099" t="s">
        <v>1690</v>
      </c>
      <c r="U565" s="1104" t="s">
        <v>1690</v>
      </c>
      <c r="V565" s="1101" t="s">
        <v>6720</v>
      </c>
      <c r="W565" s="1101" t="s">
        <v>6721</v>
      </c>
      <c r="X565" s="1101" t="s">
        <v>6722</v>
      </c>
      <c r="Y565" s="1101" t="s">
        <v>6723</v>
      </c>
      <c r="Z565" s="1102" t="s">
        <v>6724</v>
      </c>
    </row>
    <row r="566" spans="2:26" ht="12.75" customHeight="1" x14ac:dyDescent="0.2">
      <c r="B566" s="2090" t="str">
        <f t="shared" si="17"/>
        <v>Muerte54</v>
      </c>
      <c r="C566" s="1103"/>
      <c r="D566" s="521" t="s">
        <v>604</v>
      </c>
      <c r="E566" s="1099" t="s">
        <v>84</v>
      </c>
      <c r="F566" s="1099">
        <v>54</v>
      </c>
      <c r="G566" s="1108" t="s">
        <v>1690</v>
      </c>
      <c r="H566" s="1108" t="s">
        <v>1536</v>
      </c>
      <c r="I566" s="1109" t="s">
        <v>1606</v>
      </c>
      <c r="J566" s="1099">
        <v>7</v>
      </c>
      <c r="K566" s="1099">
        <v>10</v>
      </c>
      <c r="L566" s="1099">
        <v>13</v>
      </c>
      <c r="M566" s="1104">
        <v>15</v>
      </c>
      <c r="N566" s="1099">
        <v>80</v>
      </c>
      <c r="O566" s="1099">
        <v>100</v>
      </c>
      <c r="P566" s="1099">
        <v>120</v>
      </c>
      <c r="Q566" s="1104">
        <v>150</v>
      </c>
      <c r="R566" s="1099">
        <v>10</v>
      </c>
      <c r="S566" s="1099">
        <v>10</v>
      </c>
      <c r="T566" s="1099">
        <v>15</v>
      </c>
      <c r="U566" s="1104">
        <v>15</v>
      </c>
      <c r="V566" s="1101" t="s">
        <v>6725</v>
      </c>
      <c r="W566" s="1101" t="s">
        <v>6726</v>
      </c>
      <c r="X566" s="1101" t="s">
        <v>6727</v>
      </c>
      <c r="Y566" s="1101" t="s">
        <v>6728</v>
      </c>
      <c r="Z566" s="1102" t="s">
        <v>6729</v>
      </c>
    </row>
    <row r="567" spans="2:26" ht="12.75" customHeight="1" x14ac:dyDescent="0.2">
      <c r="B567" s="2090" t="str">
        <f t="shared" si="17"/>
        <v>Muerte64</v>
      </c>
      <c r="C567" s="1103"/>
      <c r="D567" s="521" t="s">
        <v>799</v>
      </c>
      <c r="E567" s="1099" t="s">
        <v>84</v>
      </c>
      <c r="F567" s="1099">
        <v>64</v>
      </c>
      <c r="G567" s="1108" t="s">
        <v>1690</v>
      </c>
      <c r="H567" s="1108" t="s">
        <v>1535</v>
      </c>
      <c r="I567" s="1109" t="s">
        <v>1606</v>
      </c>
      <c r="J567" s="1099">
        <v>8</v>
      </c>
      <c r="K567" s="1099">
        <v>10</v>
      </c>
      <c r="L567" s="1099">
        <v>13</v>
      </c>
      <c r="M567" s="1104">
        <v>15</v>
      </c>
      <c r="N567" s="1099">
        <v>120</v>
      </c>
      <c r="O567" s="1099">
        <v>150</v>
      </c>
      <c r="P567" s="1099">
        <v>200</v>
      </c>
      <c r="Q567" s="1104">
        <v>260</v>
      </c>
      <c r="R567" s="1099" t="s">
        <v>1690</v>
      </c>
      <c r="S567" s="1099" t="s">
        <v>1690</v>
      </c>
      <c r="T567" s="1099" t="s">
        <v>1690</v>
      </c>
      <c r="U567" s="1104" t="s">
        <v>1690</v>
      </c>
      <c r="V567" s="1101" t="s">
        <v>6730</v>
      </c>
      <c r="W567" s="1101" t="s">
        <v>6731</v>
      </c>
      <c r="X567" s="1101" t="s">
        <v>6732</v>
      </c>
      <c r="Y567" s="1101" t="s">
        <v>6733</v>
      </c>
      <c r="Z567" s="1102" t="s">
        <v>6734</v>
      </c>
    </row>
    <row r="568" spans="2:26" ht="12.75" customHeight="1" x14ac:dyDescent="0.2">
      <c r="B568" s="2090" t="str">
        <f t="shared" si="17"/>
        <v>Muerte74</v>
      </c>
      <c r="C568" s="1103"/>
      <c r="D568" s="521" t="s">
        <v>800</v>
      </c>
      <c r="E568" s="1099" t="s">
        <v>84</v>
      </c>
      <c r="F568" s="1099">
        <v>74</v>
      </c>
      <c r="G568" s="1108" t="s">
        <v>3010</v>
      </c>
      <c r="H568" s="1108" t="s">
        <v>6735</v>
      </c>
      <c r="I568" s="1109" t="s">
        <v>1606</v>
      </c>
      <c r="J568" s="1099">
        <v>9</v>
      </c>
      <c r="K568" s="1099">
        <v>11</v>
      </c>
      <c r="L568" s="1099">
        <v>13</v>
      </c>
      <c r="M568" s="1104">
        <v>15</v>
      </c>
      <c r="N568" s="1099">
        <v>150</v>
      </c>
      <c r="O568" s="1099">
        <v>250</v>
      </c>
      <c r="P568" s="1099">
        <v>350</v>
      </c>
      <c r="Q568" s="1104">
        <v>500</v>
      </c>
      <c r="R568" s="1099">
        <v>15</v>
      </c>
      <c r="S568" s="1099">
        <v>25</v>
      </c>
      <c r="T568" s="1099">
        <v>35</v>
      </c>
      <c r="U568" s="1104">
        <v>50</v>
      </c>
      <c r="V568" s="1101" t="s">
        <v>4968</v>
      </c>
      <c r="W568" s="1101" t="s">
        <v>4864</v>
      </c>
      <c r="X568" s="1101" t="s">
        <v>4865</v>
      </c>
      <c r="Y568" s="1101" t="s">
        <v>4866</v>
      </c>
      <c r="Z568" s="1102" t="s">
        <v>6736</v>
      </c>
    </row>
    <row r="569" spans="2:26" ht="12.75" customHeight="1" x14ac:dyDescent="0.2">
      <c r="B569" s="2090" t="str">
        <f t="shared" si="17"/>
        <v>Muerte84</v>
      </c>
      <c r="C569" s="1103"/>
      <c r="D569" s="521" t="s">
        <v>801</v>
      </c>
      <c r="E569" s="1099" t="s">
        <v>84</v>
      </c>
      <c r="F569" s="1099">
        <v>84</v>
      </c>
      <c r="G569" s="1108" t="s">
        <v>1690</v>
      </c>
      <c r="H569" s="1108" t="s">
        <v>5310</v>
      </c>
      <c r="I569" s="1109" t="s">
        <v>1607</v>
      </c>
      <c r="J569" s="1099">
        <v>10</v>
      </c>
      <c r="K569" s="1099">
        <v>12</v>
      </c>
      <c r="L569" s="1099">
        <v>14</v>
      </c>
      <c r="M569" s="1104">
        <v>16</v>
      </c>
      <c r="N569" s="1099">
        <v>350</v>
      </c>
      <c r="O569" s="1099">
        <v>500</v>
      </c>
      <c r="P569" s="1099">
        <v>800</v>
      </c>
      <c r="Q569" s="1104">
        <v>1200</v>
      </c>
      <c r="R569" s="1099">
        <v>15</v>
      </c>
      <c r="S569" s="1099">
        <v>25</v>
      </c>
      <c r="T569" s="1099">
        <v>40</v>
      </c>
      <c r="U569" s="1104">
        <v>60</v>
      </c>
      <c r="V569" s="1101" t="s">
        <v>6737</v>
      </c>
      <c r="W569" s="1101" t="s">
        <v>6738</v>
      </c>
      <c r="X569" s="1101" t="s">
        <v>6739</v>
      </c>
      <c r="Y569" s="1101" t="s">
        <v>6740</v>
      </c>
      <c r="Z569" s="1102" t="s">
        <v>6741</v>
      </c>
    </row>
    <row r="570" spans="2:26" ht="12.75" customHeight="1" x14ac:dyDescent="0.2">
      <c r="B570" s="2090" t="str">
        <f t="shared" si="17"/>
        <v>Muerte94</v>
      </c>
      <c r="C570" s="1103"/>
      <c r="D570" s="521" t="s">
        <v>802</v>
      </c>
      <c r="E570" s="1099" t="s">
        <v>84</v>
      </c>
      <c r="F570" s="1099">
        <v>94</v>
      </c>
      <c r="G570" s="1108" t="s">
        <v>3010</v>
      </c>
      <c r="H570" s="1108" t="s">
        <v>5336</v>
      </c>
      <c r="I570" s="1109" t="s">
        <v>1606</v>
      </c>
      <c r="J570" s="1099">
        <v>12</v>
      </c>
      <c r="K570" s="1099">
        <v>14</v>
      </c>
      <c r="L570" s="1099">
        <v>16</v>
      </c>
      <c r="M570" s="1104">
        <v>18</v>
      </c>
      <c r="N570" s="1099">
        <v>400</v>
      </c>
      <c r="O570" s="1099">
        <v>750</v>
      </c>
      <c r="P570" s="1099">
        <v>1200</v>
      </c>
      <c r="Q570" s="1104">
        <v>2000</v>
      </c>
      <c r="R570" s="1099">
        <v>40</v>
      </c>
      <c r="S570" s="1099">
        <v>75</v>
      </c>
      <c r="T570" s="1099">
        <v>120</v>
      </c>
      <c r="U570" s="1104">
        <v>200</v>
      </c>
      <c r="V570" s="1101" t="s">
        <v>6742</v>
      </c>
      <c r="W570" s="1101" t="s">
        <v>6743</v>
      </c>
      <c r="X570" s="1101" t="s">
        <v>6744</v>
      </c>
      <c r="Y570" s="1101" t="s">
        <v>6745</v>
      </c>
      <c r="Z570" s="1102" t="s">
        <v>6746</v>
      </c>
    </row>
    <row r="571" spans="2:26" ht="12.75" customHeight="1" x14ac:dyDescent="0.2">
      <c r="B571" s="2090" t="str">
        <f t="shared" si="17"/>
        <v/>
      </c>
      <c r="C571" s="1103"/>
      <c r="D571" s="521" t="s">
        <v>803</v>
      </c>
      <c r="E571" s="1099"/>
      <c r="F571" s="1099"/>
      <c r="G571" s="1108"/>
      <c r="H571" s="1108"/>
      <c r="I571" s="1109"/>
      <c r="J571" s="1099"/>
      <c r="K571" s="1099"/>
      <c r="L571" s="1099"/>
      <c r="M571" s="1104"/>
      <c r="N571" s="1099"/>
      <c r="O571" s="1099"/>
      <c r="P571" s="1099"/>
      <c r="Q571" s="1104"/>
      <c r="R571" s="1099"/>
      <c r="S571" s="1099"/>
      <c r="T571" s="1099"/>
      <c r="U571" s="1104"/>
      <c r="V571" s="1101"/>
      <c r="W571" s="1101"/>
      <c r="X571" s="1101"/>
      <c r="Y571" s="1101"/>
      <c r="Z571" s="1102"/>
    </row>
    <row r="572" spans="2:26" ht="12.75" customHeight="1" x14ac:dyDescent="0.2">
      <c r="B572" s="2090" t="str">
        <f t="shared" si="17"/>
        <v>Musical4</v>
      </c>
      <c r="C572" s="1103"/>
      <c r="D572" s="521" t="s">
        <v>804</v>
      </c>
      <c r="E572" s="1099" t="s">
        <v>85</v>
      </c>
      <c r="F572" s="1099">
        <v>4</v>
      </c>
      <c r="G572" s="1108" t="s">
        <v>1690</v>
      </c>
      <c r="H572" s="1108" t="s">
        <v>1536</v>
      </c>
      <c r="I572" s="1109" t="s">
        <v>1606</v>
      </c>
      <c r="J572" s="1099">
        <v>5</v>
      </c>
      <c r="K572" s="1099">
        <v>8</v>
      </c>
      <c r="L572" s="1099">
        <v>10</v>
      </c>
      <c r="M572" s="1104">
        <v>12</v>
      </c>
      <c r="N572" s="1099">
        <v>30</v>
      </c>
      <c r="O572" s="1099">
        <v>50</v>
      </c>
      <c r="P572" s="1099">
        <v>70</v>
      </c>
      <c r="Q572" s="1104">
        <v>100</v>
      </c>
      <c r="R572" s="1099" t="s">
        <v>1690</v>
      </c>
      <c r="S572" s="1099" t="s">
        <v>1690</v>
      </c>
      <c r="T572" s="1099" t="s">
        <v>1690</v>
      </c>
      <c r="U572" s="1104" t="s">
        <v>1690</v>
      </c>
      <c r="V572" s="1101" t="s">
        <v>6747</v>
      </c>
      <c r="W572" s="1101" t="s">
        <v>6748</v>
      </c>
      <c r="X572" s="1101" t="s">
        <v>6749</v>
      </c>
      <c r="Y572" s="1101" t="s">
        <v>6750</v>
      </c>
      <c r="Z572" s="1102" t="s">
        <v>6751</v>
      </c>
    </row>
    <row r="573" spans="2:26" ht="12.75" customHeight="1" x14ac:dyDescent="0.2">
      <c r="B573" s="2090" t="str">
        <f t="shared" si="17"/>
        <v>Musical14</v>
      </c>
      <c r="C573" s="1103"/>
      <c r="D573" s="521" t="s">
        <v>805</v>
      </c>
      <c r="E573" s="1099" t="s">
        <v>85</v>
      </c>
      <c r="F573" s="1099">
        <v>14</v>
      </c>
      <c r="G573" s="1108" t="s">
        <v>1690</v>
      </c>
      <c r="H573" s="1108" t="s">
        <v>1536</v>
      </c>
      <c r="I573" s="1109" t="s">
        <v>1606</v>
      </c>
      <c r="J573" s="1099">
        <v>5</v>
      </c>
      <c r="K573" s="1099">
        <v>8</v>
      </c>
      <c r="L573" s="1099">
        <v>10</v>
      </c>
      <c r="M573" s="1104">
        <v>12</v>
      </c>
      <c r="N573" s="1099">
        <v>40</v>
      </c>
      <c r="O573" s="1099">
        <v>60</v>
      </c>
      <c r="P573" s="1099">
        <v>80</v>
      </c>
      <c r="Q573" s="1104">
        <v>100</v>
      </c>
      <c r="R573" s="1099">
        <v>5</v>
      </c>
      <c r="S573" s="1099">
        <v>5</v>
      </c>
      <c r="T573" s="1099">
        <v>5</v>
      </c>
      <c r="U573" s="1104">
        <v>10</v>
      </c>
      <c r="V573" s="1101" t="s">
        <v>6316</v>
      </c>
      <c r="W573" s="1101" t="s">
        <v>6752</v>
      </c>
      <c r="X573" s="1101" t="s">
        <v>6632</v>
      </c>
      <c r="Y573" s="1101" t="s">
        <v>6753</v>
      </c>
      <c r="Z573" s="1102" t="s">
        <v>6754</v>
      </c>
    </row>
    <row r="574" spans="2:26" ht="12.75" customHeight="1" x14ac:dyDescent="0.2">
      <c r="B574" s="2090" t="str">
        <f t="shared" si="17"/>
        <v>Musical24</v>
      </c>
      <c r="C574" s="1103"/>
      <c r="D574" s="521" t="s">
        <v>806</v>
      </c>
      <c r="E574" s="1099" t="s">
        <v>85</v>
      </c>
      <c r="F574" s="1099">
        <v>24</v>
      </c>
      <c r="G574" s="1108" t="s">
        <v>1690</v>
      </c>
      <c r="H574" s="1108" t="s">
        <v>1536</v>
      </c>
      <c r="I574" s="1109" t="s">
        <v>1606</v>
      </c>
      <c r="J574" s="1099">
        <v>6</v>
      </c>
      <c r="K574" s="1099">
        <v>8</v>
      </c>
      <c r="L574" s="1099">
        <v>10</v>
      </c>
      <c r="M574" s="1104">
        <v>12</v>
      </c>
      <c r="N574" s="1099">
        <v>50</v>
      </c>
      <c r="O574" s="1099">
        <v>70</v>
      </c>
      <c r="P574" s="1099">
        <v>80</v>
      </c>
      <c r="Q574" s="1104">
        <v>120</v>
      </c>
      <c r="R574" s="1099">
        <v>5</v>
      </c>
      <c r="S574" s="1099">
        <v>5</v>
      </c>
      <c r="T574" s="1099">
        <v>5</v>
      </c>
      <c r="U574" s="1104">
        <v>10</v>
      </c>
      <c r="V574" s="1101" t="s">
        <v>6755</v>
      </c>
      <c r="W574" s="1101" t="s">
        <v>6756</v>
      </c>
      <c r="X574" s="1101" t="s">
        <v>6757</v>
      </c>
      <c r="Y574" s="1101" t="s">
        <v>6758</v>
      </c>
      <c r="Z574" s="1102" t="s">
        <v>6759</v>
      </c>
    </row>
    <row r="575" spans="2:26" ht="12.75" customHeight="1" x14ac:dyDescent="0.2">
      <c r="B575" s="2090" t="str">
        <f t="shared" si="17"/>
        <v>Musical34</v>
      </c>
      <c r="C575" s="1103"/>
      <c r="D575" s="521" t="s">
        <v>807</v>
      </c>
      <c r="E575" s="1099" t="s">
        <v>85</v>
      </c>
      <c r="F575" s="1099">
        <v>34</v>
      </c>
      <c r="G575" s="1108" t="s">
        <v>1690</v>
      </c>
      <c r="H575" s="1108" t="s">
        <v>1534</v>
      </c>
      <c r="I575" s="1109" t="s">
        <v>1606</v>
      </c>
      <c r="J575" s="1099">
        <v>7</v>
      </c>
      <c r="K575" s="1099">
        <v>9</v>
      </c>
      <c r="L575" s="1099">
        <v>11</v>
      </c>
      <c r="M575" s="1104">
        <v>13</v>
      </c>
      <c r="N575" s="1099">
        <v>60</v>
      </c>
      <c r="O575" s="1099">
        <v>90</v>
      </c>
      <c r="P575" s="1099">
        <v>120</v>
      </c>
      <c r="Q575" s="1104">
        <v>150</v>
      </c>
      <c r="R575" s="1099">
        <v>5</v>
      </c>
      <c r="S575" s="1099">
        <v>5</v>
      </c>
      <c r="T575" s="1099">
        <v>5</v>
      </c>
      <c r="U575" s="1104">
        <v>10</v>
      </c>
      <c r="V575" s="1101" t="s">
        <v>6760</v>
      </c>
      <c r="W575" s="1101" t="s">
        <v>6761</v>
      </c>
      <c r="X575" s="1101" t="s">
        <v>6762</v>
      </c>
      <c r="Y575" s="1101" t="s">
        <v>6298</v>
      </c>
      <c r="Z575" s="1102" t="s">
        <v>6763</v>
      </c>
    </row>
    <row r="576" spans="2:26" ht="12.75" customHeight="1" x14ac:dyDescent="0.2">
      <c r="B576" s="2090" t="str">
        <f t="shared" si="17"/>
        <v>Musical44</v>
      </c>
      <c r="C576" s="1103"/>
      <c r="D576" s="521" t="s">
        <v>808</v>
      </c>
      <c r="E576" s="1099" t="s">
        <v>85</v>
      </c>
      <c r="F576" s="1099">
        <v>44</v>
      </c>
      <c r="G576" s="1108" t="s">
        <v>1690</v>
      </c>
      <c r="H576" s="1108" t="s">
        <v>1537</v>
      </c>
      <c r="I576" s="1109" t="s">
        <v>1606</v>
      </c>
      <c r="J576" s="1099">
        <v>7</v>
      </c>
      <c r="K576" s="1099">
        <v>9</v>
      </c>
      <c r="L576" s="1099">
        <v>11</v>
      </c>
      <c r="M576" s="1104">
        <v>13</v>
      </c>
      <c r="N576" s="1099">
        <v>100</v>
      </c>
      <c r="O576" s="1099">
        <v>160</v>
      </c>
      <c r="P576" s="1099">
        <v>220</v>
      </c>
      <c r="Q576" s="1104">
        <v>280</v>
      </c>
      <c r="R576" s="1099">
        <v>5</v>
      </c>
      <c r="S576" s="1099">
        <v>10</v>
      </c>
      <c r="T576" s="1099">
        <v>15</v>
      </c>
      <c r="U576" s="1104">
        <v>20</v>
      </c>
      <c r="V576" s="1101" t="s">
        <v>6764</v>
      </c>
      <c r="W576" s="1101" t="s">
        <v>6765</v>
      </c>
      <c r="X576" s="1101" t="s">
        <v>6766</v>
      </c>
      <c r="Y576" s="1101" t="s">
        <v>6767</v>
      </c>
      <c r="Z576" s="1102" t="s">
        <v>6768</v>
      </c>
    </row>
    <row r="577" spans="2:26" ht="12.75" customHeight="1" x14ac:dyDescent="0.2">
      <c r="B577" s="2090" t="str">
        <f t="shared" si="17"/>
        <v>Musical54</v>
      </c>
      <c r="C577" s="1103"/>
      <c r="D577" s="521" t="s">
        <v>809</v>
      </c>
      <c r="E577" s="1099" t="s">
        <v>85</v>
      </c>
      <c r="F577" s="1099">
        <v>54</v>
      </c>
      <c r="G577" s="1108" t="s">
        <v>1690</v>
      </c>
      <c r="H577" s="1108" t="s">
        <v>1537</v>
      </c>
      <c r="I577" s="1109" t="s">
        <v>1606</v>
      </c>
      <c r="J577" s="1099">
        <v>7</v>
      </c>
      <c r="K577" s="1099">
        <v>9</v>
      </c>
      <c r="L577" s="1099">
        <v>11</v>
      </c>
      <c r="M577" s="1104">
        <v>13</v>
      </c>
      <c r="N577" s="1099">
        <v>100</v>
      </c>
      <c r="O577" s="1099">
        <v>160</v>
      </c>
      <c r="P577" s="1099">
        <v>220</v>
      </c>
      <c r="Q577" s="1104">
        <v>280</v>
      </c>
      <c r="R577" s="1099">
        <v>5</v>
      </c>
      <c r="S577" s="1099">
        <v>10</v>
      </c>
      <c r="T577" s="1099">
        <v>15</v>
      </c>
      <c r="U577" s="1104">
        <v>20</v>
      </c>
      <c r="V577" s="1101" t="s">
        <v>6769</v>
      </c>
      <c r="W577" s="1101" t="s">
        <v>6770</v>
      </c>
      <c r="X577" s="1101" t="s">
        <v>6771</v>
      </c>
      <c r="Y577" s="1101" t="s">
        <v>6772</v>
      </c>
      <c r="Z577" s="1102" t="s">
        <v>6773</v>
      </c>
    </row>
    <row r="578" spans="2:26" ht="12.75" customHeight="1" x14ac:dyDescent="0.2">
      <c r="B578" s="2090" t="str">
        <f t="shared" si="17"/>
        <v>Musical64</v>
      </c>
      <c r="C578" s="1103"/>
      <c r="D578" s="521" t="s">
        <v>810</v>
      </c>
      <c r="E578" s="1099" t="s">
        <v>85</v>
      </c>
      <c r="F578" s="1099">
        <v>64</v>
      </c>
      <c r="G578" s="1108" t="s">
        <v>1690</v>
      </c>
      <c r="H578" s="1108" t="s">
        <v>1536</v>
      </c>
      <c r="I578" s="1109" t="s">
        <v>1606</v>
      </c>
      <c r="J578" s="1099">
        <v>8</v>
      </c>
      <c r="K578" s="1099">
        <v>10</v>
      </c>
      <c r="L578" s="1099">
        <v>12</v>
      </c>
      <c r="M578" s="1104">
        <v>14</v>
      </c>
      <c r="N578" s="1099">
        <v>120</v>
      </c>
      <c r="O578" s="1099">
        <v>180</v>
      </c>
      <c r="P578" s="1099">
        <v>240</v>
      </c>
      <c r="Q578" s="1104">
        <v>300</v>
      </c>
      <c r="R578" s="1099">
        <v>5</v>
      </c>
      <c r="S578" s="1099">
        <v>10</v>
      </c>
      <c r="T578" s="1099">
        <v>15</v>
      </c>
      <c r="U578" s="1104">
        <v>20</v>
      </c>
      <c r="V578" s="1101" t="s">
        <v>6774</v>
      </c>
      <c r="W578" s="1101" t="s">
        <v>6775</v>
      </c>
      <c r="X578" s="1101" t="s">
        <v>6776</v>
      </c>
      <c r="Y578" s="1101" t="s">
        <v>6777</v>
      </c>
      <c r="Z578" s="1102" t="s">
        <v>6778</v>
      </c>
    </row>
    <row r="579" spans="2:26" ht="12.75" customHeight="1" x14ac:dyDescent="0.2">
      <c r="B579" s="2090" t="str">
        <f t="shared" si="17"/>
        <v>Musical74</v>
      </c>
      <c r="C579" s="1103"/>
      <c r="D579" s="521" t="s">
        <v>811</v>
      </c>
      <c r="E579" s="1099" t="s">
        <v>85</v>
      </c>
      <c r="F579" s="1099">
        <v>74</v>
      </c>
      <c r="G579" s="1108" t="s">
        <v>1690</v>
      </c>
      <c r="H579" s="1108" t="s">
        <v>1536</v>
      </c>
      <c r="I579" s="1109" t="s">
        <v>1606</v>
      </c>
      <c r="J579" s="1099">
        <v>8</v>
      </c>
      <c r="K579" s="1099">
        <v>10</v>
      </c>
      <c r="L579" s="1099">
        <v>12</v>
      </c>
      <c r="M579" s="1104">
        <v>14</v>
      </c>
      <c r="N579" s="1099">
        <v>120</v>
      </c>
      <c r="O579" s="1099">
        <v>180</v>
      </c>
      <c r="P579" s="1099">
        <v>240</v>
      </c>
      <c r="Q579" s="1104">
        <v>300</v>
      </c>
      <c r="R579" s="1099">
        <v>10</v>
      </c>
      <c r="S579" s="1099">
        <v>15</v>
      </c>
      <c r="T579" s="1099">
        <v>20</v>
      </c>
      <c r="U579" s="1104">
        <v>30</v>
      </c>
      <c r="V579" s="1101" t="s">
        <v>5658</v>
      </c>
      <c r="W579" s="1101" t="s">
        <v>4770</v>
      </c>
      <c r="X579" s="1101" t="s">
        <v>4884</v>
      </c>
      <c r="Y579" s="1101" t="s">
        <v>4771</v>
      </c>
      <c r="Z579" s="1102" t="s">
        <v>6779</v>
      </c>
    </row>
    <row r="580" spans="2:26" ht="12.75" customHeight="1" x14ac:dyDescent="0.2">
      <c r="B580" s="2090" t="str">
        <f t="shared" si="17"/>
        <v>Musical84</v>
      </c>
      <c r="C580" s="1103"/>
      <c r="D580" s="521" t="s">
        <v>812</v>
      </c>
      <c r="E580" s="1099" t="s">
        <v>85</v>
      </c>
      <c r="F580" s="1099">
        <v>84</v>
      </c>
      <c r="G580" s="1108" t="s">
        <v>1690</v>
      </c>
      <c r="H580" s="1108" t="s">
        <v>1536</v>
      </c>
      <c r="I580" s="1109" t="s">
        <v>1606</v>
      </c>
      <c r="J580" s="1099">
        <v>8</v>
      </c>
      <c r="K580" s="1099">
        <v>10</v>
      </c>
      <c r="L580" s="1099">
        <v>12</v>
      </c>
      <c r="M580" s="1104">
        <v>14</v>
      </c>
      <c r="N580" s="1099">
        <v>120</v>
      </c>
      <c r="O580" s="1099">
        <v>180</v>
      </c>
      <c r="P580" s="1099">
        <v>240</v>
      </c>
      <c r="Q580" s="1104">
        <v>300</v>
      </c>
      <c r="R580" s="1099">
        <v>5</v>
      </c>
      <c r="S580" s="1099">
        <v>10</v>
      </c>
      <c r="T580" s="1099">
        <v>15</v>
      </c>
      <c r="U580" s="1104">
        <v>20</v>
      </c>
      <c r="V580" s="1101" t="s">
        <v>6780</v>
      </c>
      <c r="W580" s="1101" t="s">
        <v>6781</v>
      </c>
      <c r="X580" s="1101" t="s">
        <v>6782</v>
      </c>
      <c r="Y580" s="1101" t="s">
        <v>6783</v>
      </c>
      <c r="Z580" s="1102" t="s">
        <v>6784</v>
      </c>
    </row>
    <row r="581" spans="2:26" ht="12.75" customHeight="1" x14ac:dyDescent="0.2">
      <c r="B581" s="2090" t="str">
        <f t="shared" si="17"/>
        <v>Musical94</v>
      </c>
      <c r="C581" s="1103"/>
      <c r="D581" s="521" t="s">
        <v>813</v>
      </c>
      <c r="E581" s="1099" t="s">
        <v>85</v>
      </c>
      <c r="F581" s="1099">
        <v>94</v>
      </c>
      <c r="G581" s="1108" t="s">
        <v>1690</v>
      </c>
      <c r="H581" s="1108" t="s">
        <v>1537</v>
      </c>
      <c r="I581" s="1109" t="s">
        <v>1606</v>
      </c>
      <c r="J581" s="1099">
        <v>8</v>
      </c>
      <c r="K581" s="1099">
        <v>10</v>
      </c>
      <c r="L581" s="1099">
        <v>12</v>
      </c>
      <c r="M581" s="1104">
        <v>14</v>
      </c>
      <c r="N581" s="1099">
        <v>300</v>
      </c>
      <c r="O581" s="1099">
        <v>450</v>
      </c>
      <c r="P581" s="1099">
        <v>600</v>
      </c>
      <c r="Q581" s="1104">
        <v>800</v>
      </c>
      <c r="R581" s="1099">
        <v>5</v>
      </c>
      <c r="S581" s="1099">
        <v>10</v>
      </c>
      <c r="T581" s="1099">
        <v>15</v>
      </c>
      <c r="U581" s="1104">
        <v>20</v>
      </c>
      <c r="V581" s="1101" t="s">
        <v>5364</v>
      </c>
      <c r="W581" s="1101" t="s">
        <v>6785</v>
      </c>
      <c r="X581" s="1101" t="s">
        <v>6786</v>
      </c>
      <c r="Y581" s="1101" t="s">
        <v>6787</v>
      </c>
      <c r="Z581" s="1102" t="s">
        <v>6788</v>
      </c>
    </row>
    <row r="582" spans="2:26" ht="12.75" customHeight="1" x14ac:dyDescent="0.2">
      <c r="B582" s="2090" t="str">
        <f t="shared" si="17"/>
        <v/>
      </c>
      <c r="C582" s="1103"/>
      <c r="D582" s="521" t="s">
        <v>814</v>
      </c>
      <c r="E582" s="1099"/>
      <c r="F582" s="1099"/>
      <c r="G582" s="1108"/>
      <c r="H582" s="1108"/>
      <c r="I582" s="1109"/>
      <c r="J582" s="1099"/>
      <c r="K582" s="1099"/>
      <c r="L582" s="1099"/>
      <c r="M582" s="1104"/>
      <c r="N582" s="1099"/>
      <c r="O582" s="1099"/>
      <c r="P582" s="1099"/>
      <c r="Q582" s="1104"/>
      <c r="R582" s="1099"/>
      <c r="S582" s="1099"/>
      <c r="T582" s="1099"/>
      <c r="U582" s="1104"/>
      <c r="V582" s="1101"/>
      <c r="W582" s="1101"/>
      <c r="X582" s="1101"/>
      <c r="Y582" s="1101"/>
      <c r="Z582" s="1102"/>
    </row>
    <row r="583" spans="2:26" ht="12.75" customHeight="1" x14ac:dyDescent="0.2">
      <c r="B583" s="2090" t="str">
        <f t="shared" si="17"/>
        <v>Nobleza4</v>
      </c>
      <c r="C583" s="1103"/>
      <c r="D583" s="521" t="s">
        <v>815</v>
      </c>
      <c r="E583" s="1099" t="s">
        <v>86</v>
      </c>
      <c r="F583" s="1099">
        <v>4</v>
      </c>
      <c r="G583" s="1108" t="s">
        <v>2446</v>
      </c>
      <c r="H583" s="1108" t="s">
        <v>1536</v>
      </c>
      <c r="I583" s="1109" t="s">
        <v>1606</v>
      </c>
      <c r="J583" s="1099">
        <v>5</v>
      </c>
      <c r="K583" s="1099">
        <v>8</v>
      </c>
      <c r="L583" s="1099">
        <v>10</v>
      </c>
      <c r="M583" s="1104">
        <v>12</v>
      </c>
      <c r="N583" s="1099">
        <v>30</v>
      </c>
      <c r="O583" s="1099">
        <v>50</v>
      </c>
      <c r="P583" s="1099">
        <v>80</v>
      </c>
      <c r="Q583" s="1104">
        <v>120</v>
      </c>
      <c r="R583" s="1099">
        <v>5</v>
      </c>
      <c r="S583" s="1099">
        <v>5</v>
      </c>
      <c r="T583" s="1099">
        <v>5</v>
      </c>
      <c r="U583" s="1104">
        <v>10</v>
      </c>
      <c r="V583" s="1101" t="s">
        <v>5305</v>
      </c>
      <c r="W583" s="1101" t="s">
        <v>6789</v>
      </c>
      <c r="X583" s="1101" t="s">
        <v>6790</v>
      </c>
      <c r="Y583" s="1101" t="s">
        <v>6791</v>
      </c>
      <c r="Z583" s="1102" t="s">
        <v>6792</v>
      </c>
    </row>
    <row r="584" spans="2:26" ht="12.75" customHeight="1" x14ac:dyDescent="0.2">
      <c r="B584" s="2090" t="str">
        <f t="shared" ref="B584:B647" si="18">E584&amp;F584</f>
        <v>Nobleza14</v>
      </c>
      <c r="C584" s="1103"/>
      <c r="D584" s="521" t="s">
        <v>816</v>
      </c>
      <c r="E584" s="1099" t="s">
        <v>86</v>
      </c>
      <c r="F584" s="1099">
        <v>14</v>
      </c>
      <c r="G584" s="1108" t="s">
        <v>2446</v>
      </c>
      <c r="H584" s="1108" t="s">
        <v>6793</v>
      </c>
      <c r="I584" s="1109" t="s">
        <v>1606</v>
      </c>
      <c r="J584" s="1099">
        <v>5</v>
      </c>
      <c r="K584" s="1099">
        <v>8</v>
      </c>
      <c r="L584" s="1099">
        <v>10</v>
      </c>
      <c r="M584" s="1104">
        <v>12</v>
      </c>
      <c r="N584" s="1099">
        <v>40</v>
      </c>
      <c r="O584" s="1099">
        <v>60</v>
      </c>
      <c r="P584" s="1099">
        <v>90</v>
      </c>
      <c r="Q584" s="1104">
        <v>120</v>
      </c>
      <c r="R584" s="1099">
        <v>5</v>
      </c>
      <c r="S584" s="1099">
        <v>5</v>
      </c>
      <c r="T584" s="1099">
        <v>5</v>
      </c>
      <c r="U584" s="1104">
        <v>10</v>
      </c>
      <c r="V584" s="1101" t="s">
        <v>6794</v>
      </c>
      <c r="W584" s="1101" t="s">
        <v>6795</v>
      </c>
      <c r="X584" s="1101" t="s">
        <v>6796</v>
      </c>
      <c r="Y584" s="1101" t="s">
        <v>6797</v>
      </c>
      <c r="Z584" s="1102" t="s">
        <v>6798</v>
      </c>
    </row>
    <row r="585" spans="2:26" ht="12.75" customHeight="1" x14ac:dyDescent="0.2">
      <c r="B585" s="2090" t="str">
        <f t="shared" si="18"/>
        <v>Nobleza24</v>
      </c>
      <c r="C585" s="1103"/>
      <c r="D585" s="521" t="s">
        <v>817</v>
      </c>
      <c r="E585" s="1099" t="s">
        <v>86</v>
      </c>
      <c r="F585" s="1099">
        <v>24</v>
      </c>
      <c r="G585" s="1108" t="s">
        <v>1690</v>
      </c>
      <c r="H585" s="1108" t="s">
        <v>1536</v>
      </c>
      <c r="I585" s="1109" t="s">
        <v>1606</v>
      </c>
      <c r="J585" s="1099">
        <v>6</v>
      </c>
      <c r="K585" s="1099">
        <v>9</v>
      </c>
      <c r="L585" s="1099">
        <v>11</v>
      </c>
      <c r="M585" s="1104">
        <v>13</v>
      </c>
      <c r="N585" s="1099">
        <v>60</v>
      </c>
      <c r="O585" s="1099">
        <v>90</v>
      </c>
      <c r="P585" s="1099">
        <v>120</v>
      </c>
      <c r="Q585" s="1104">
        <v>150</v>
      </c>
      <c r="R585" s="1099" t="s">
        <v>1690</v>
      </c>
      <c r="S585" s="1099" t="s">
        <v>1690</v>
      </c>
      <c r="T585" s="1099" t="s">
        <v>1690</v>
      </c>
      <c r="U585" s="1104" t="s">
        <v>1690</v>
      </c>
      <c r="V585" s="1101" t="s">
        <v>6799</v>
      </c>
      <c r="W585" s="1101" t="s">
        <v>6800</v>
      </c>
      <c r="X585" s="1101" t="s">
        <v>6801</v>
      </c>
      <c r="Y585" s="1101" t="s">
        <v>6802</v>
      </c>
      <c r="Z585" s="1102" t="s">
        <v>6803</v>
      </c>
    </row>
    <row r="586" spans="2:26" ht="12.75" customHeight="1" x14ac:dyDescent="0.2">
      <c r="B586" s="2090" t="str">
        <f t="shared" si="18"/>
        <v>Nobleza34</v>
      </c>
      <c r="C586" s="1103"/>
      <c r="D586" s="521" t="s">
        <v>818</v>
      </c>
      <c r="E586" s="1099" t="s">
        <v>86</v>
      </c>
      <c r="F586" s="1099">
        <v>34</v>
      </c>
      <c r="G586" s="1108" t="s">
        <v>2446</v>
      </c>
      <c r="H586" s="1108" t="s">
        <v>1536</v>
      </c>
      <c r="I586" s="1109" t="s">
        <v>1606</v>
      </c>
      <c r="J586" s="1099">
        <v>6</v>
      </c>
      <c r="K586" s="1099">
        <v>9</v>
      </c>
      <c r="L586" s="1099">
        <v>11</v>
      </c>
      <c r="M586" s="1104">
        <v>13</v>
      </c>
      <c r="N586" s="1099">
        <v>60</v>
      </c>
      <c r="O586" s="1099">
        <v>90</v>
      </c>
      <c r="P586" s="1099">
        <v>120</v>
      </c>
      <c r="Q586" s="1104">
        <v>150</v>
      </c>
      <c r="R586" s="1099">
        <v>5</v>
      </c>
      <c r="S586" s="1099">
        <v>5</v>
      </c>
      <c r="T586" s="1099">
        <v>5</v>
      </c>
      <c r="U586" s="1104">
        <v>10</v>
      </c>
      <c r="V586" s="1101" t="s">
        <v>5305</v>
      </c>
      <c r="W586" s="1101" t="s">
        <v>6804</v>
      </c>
      <c r="X586" s="1101" t="s">
        <v>6805</v>
      </c>
      <c r="Y586" s="1101" t="s">
        <v>6806</v>
      </c>
      <c r="Z586" s="1102" t="s">
        <v>6807</v>
      </c>
    </row>
    <row r="587" spans="2:26" ht="12.75" customHeight="1" x14ac:dyDescent="0.2">
      <c r="B587" s="2090" t="str">
        <f t="shared" si="18"/>
        <v>Nobleza44</v>
      </c>
      <c r="C587" s="1103"/>
      <c r="D587" s="521" t="s">
        <v>819</v>
      </c>
      <c r="E587" s="1099" t="s">
        <v>86</v>
      </c>
      <c r="F587" s="1099">
        <v>44</v>
      </c>
      <c r="G587" s="1108" t="s">
        <v>1690</v>
      </c>
      <c r="H587" s="1108" t="s">
        <v>1537</v>
      </c>
      <c r="I587" s="1109" t="s">
        <v>1606</v>
      </c>
      <c r="J587" s="1099">
        <v>7</v>
      </c>
      <c r="K587" s="1099">
        <v>10</v>
      </c>
      <c r="L587" s="1099">
        <v>12</v>
      </c>
      <c r="M587" s="1104">
        <v>14</v>
      </c>
      <c r="N587" s="1099">
        <v>80</v>
      </c>
      <c r="O587" s="1099">
        <v>100</v>
      </c>
      <c r="P587" s="1099">
        <v>120</v>
      </c>
      <c r="Q587" s="1104">
        <v>140</v>
      </c>
      <c r="R587" s="1099" t="s">
        <v>1690</v>
      </c>
      <c r="S587" s="1099" t="s">
        <v>1690</v>
      </c>
      <c r="T587" s="1099" t="s">
        <v>1690</v>
      </c>
      <c r="U587" s="1104" t="s">
        <v>1690</v>
      </c>
      <c r="V587" s="1101" t="s">
        <v>6808</v>
      </c>
      <c r="W587" s="1101" t="s">
        <v>6809</v>
      </c>
      <c r="X587" s="1101" t="s">
        <v>6810</v>
      </c>
      <c r="Y587" s="1101" t="s">
        <v>6811</v>
      </c>
      <c r="Z587" s="1102" t="s">
        <v>6812</v>
      </c>
    </row>
    <row r="588" spans="2:26" ht="12.75" customHeight="1" x14ac:dyDescent="0.2">
      <c r="B588" s="2090" t="str">
        <f t="shared" si="18"/>
        <v>Nobleza54</v>
      </c>
      <c r="C588" s="1103"/>
      <c r="D588" s="521" t="s">
        <v>820</v>
      </c>
      <c r="E588" s="1099" t="s">
        <v>86</v>
      </c>
      <c r="F588" s="1099">
        <v>54</v>
      </c>
      <c r="G588" s="1108" t="s">
        <v>1690</v>
      </c>
      <c r="H588" s="1108" t="s">
        <v>1537</v>
      </c>
      <c r="I588" s="1109" t="s">
        <v>1606</v>
      </c>
      <c r="J588" s="1099">
        <v>7</v>
      </c>
      <c r="K588" s="1099">
        <v>10</v>
      </c>
      <c r="L588" s="1099">
        <v>12</v>
      </c>
      <c r="M588" s="1104">
        <v>14</v>
      </c>
      <c r="N588" s="1099">
        <v>80</v>
      </c>
      <c r="O588" s="1099">
        <v>100</v>
      </c>
      <c r="P588" s="1099">
        <v>120</v>
      </c>
      <c r="Q588" s="1104">
        <v>150</v>
      </c>
      <c r="R588" s="1099">
        <v>10</v>
      </c>
      <c r="S588" s="1099">
        <v>10</v>
      </c>
      <c r="T588" s="1099">
        <v>15</v>
      </c>
      <c r="U588" s="1104">
        <v>15</v>
      </c>
      <c r="V588" s="1101" t="s">
        <v>6808</v>
      </c>
      <c r="W588" s="1101" t="s">
        <v>6809</v>
      </c>
      <c r="X588" s="1101" t="s">
        <v>6810</v>
      </c>
      <c r="Y588" s="1101" t="s">
        <v>6811</v>
      </c>
      <c r="Z588" s="1102" t="s">
        <v>6813</v>
      </c>
    </row>
    <row r="589" spans="2:26" ht="12.75" customHeight="1" x14ac:dyDescent="0.2">
      <c r="B589" s="2090" t="str">
        <f t="shared" si="18"/>
        <v>Nobleza64</v>
      </c>
      <c r="C589" s="1103"/>
      <c r="D589" s="521" t="s">
        <v>821</v>
      </c>
      <c r="E589" s="1099" t="s">
        <v>86</v>
      </c>
      <c r="F589" s="1099">
        <v>64</v>
      </c>
      <c r="G589" s="1108" t="s">
        <v>2446</v>
      </c>
      <c r="H589" s="1108" t="s">
        <v>1537</v>
      </c>
      <c r="I589" s="1109" t="s">
        <v>1606</v>
      </c>
      <c r="J589" s="1099">
        <v>8</v>
      </c>
      <c r="K589" s="1099">
        <v>11</v>
      </c>
      <c r="L589" s="1099">
        <v>13</v>
      </c>
      <c r="M589" s="1104">
        <v>15</v>
      </c>
      <c r="N589" s="1099">
        <v>100</v>
      </c>
      <c r="O589" s="1099">
        <v>150</v>
      </c>
      <c r="P589" s="1099">
        <v>200</v>
      </c>
      <c r="Q589" s="1104">
        <v>250</v>
      </c>
      <c r="R589" s="1099">
        <v>5</v>
      </c>
      <c r="S589" s="1099">
        <v>10</v>
      </c>
      <c r="T589" s="1099">
        <v>15</v>
      </c>
      <c r="U589" s="1104">
        <v>15</v>
      </c>
      <c r="V589" s="1101" t="s">
        <v>6808</v>
      </c>
      <c r="W589" s="1101" t="s">
        <v>6809</v>
      </c>
      <c r="X589" s="1101" t="s">
        <v>6810</v>
      </c>
      <c r="Y589" s="1101" t="s">
        <v>6811</v>
      </c>
      <c r="Z589" s="1102" t="s">
        <v>6814</v>
      </c>
    </row>
    <row r="590" spans="2:26" ht="12.75" customHeight="1" x14ac:dyDescent="0.2">
      <c r="B590" s="2090" t="str">
        <f t="shared" si="18"/>
        <v>Nobleza74</v>
      </c>
      <c r="C590" s="1103"/>
      <c r="D590" s="521" t="s">
        <v>822</v>
      </c>
      <c r="E590" s="1099" t="s">
        <v>86</v>
      </c>
      <c r="F590" s="1099">
        <v>74</v>
      </c>
      <c r="G590" s="1108" t="s">
        <v>5107</v>
      </c>
      <c r="H590" s="1108" t="s">
        <v>1537</v>
      </c>
      <c r="I590" s="1109" t="s">
        <v>1606</v>
      </c>
      <c r="J590" s="1099">
        <v>9</v>
      </c>
      <c r="K590" s="1099">
        <v>12</v>
      </c>
      <c r="L590" s="1099">
        <v>14</v>
      </c>
      <c r="M590" s="1104">
        <v>16</v>
      </c>
      <c r="N590" s="1099">
        <v>120</v>
      </c>
      <c r="O590" s="1099">
        <v>150</v>
      </c>
      <c r="P590" s="1099">
        <v>200</v>
      </c>
      <c r="Q590" s="1104">
        <v>250</v>
      </c>
      <c r="R590" s="1099">
        <v>10</v>
      </c>
      <c r="S590" s="1099">
        <v>10</v>
      </c>
      <c r="T590" s="1099">
        <v>15</v>
      </c>
      <c r="U590" s="1104">
        <v>20</v>
      </c>
      <c r="V590" s="1101" t="s">
        <v>6815</v>
      </c>
      <c r="W590" s="1101" t="s">
        <v>6816</v>
      </c>
      <c r="X590" s="1101" t="s">
        <v>6817</v>
      </c>
      <c r="Y590" s="1101" t="s">
        <v>6818</v>
      </c>
      <c r="Z590" s="1102" t="s">
        <v>6819</v>
      </c>
    </row>
    <row r="591" spans="2:26" ht="12.75" customHeight="1" x14ac:dyDescent="0.2">
      <c r="B591" s="2090" t="str">
        <f t="shared" si="18"/>
        <v>Nobleza84</v>
      </c>
      <c r="C591" s="1103"/>
      <c r="D591" s="521" t="s">
        <v>823</v>
      </c>
      <c r="E591" s="1099" t="s">
        <v>86</v>
      </c>
      <c r="F591" s="1099">
        <v>84</v>
      </c>
      <c r="G591" s="1108" t="s">
        <v>2446</v>
      </c>
      <c r="H591" s="1108" t="s">
        <v>1536</v>
      </c>
      <c r="I591" s="1109" t="s">
        <v>1606</v>
      </c>
      <c r="J591" s="1099">
        <v>9</v>
      </c>
      <c r="K591" s="1099">
        <v>12</v>
      </c>
      <c r="L591" s="1099">
        <v>14</v>
      </c>
      <c r="M591" s="1104">
        <v>16</v>
      </c>
      <c r="N591" s="1099">
        <v>120</v>
      </c>
      <c r="O591" s="1099">
        <v>150</v>
      </c>
      <c r="P591" s="1099">
        <v>200</v>
      </c>
      <c r="Q591" s="1104">
        <v>250</v>
      </c>
      <c r="R591" s="1099">
        <v>15</v>
      </c>
      <c r="S591" s="1099">
        <v>15</v>
      </c>
      <c r="T591" s="1099">
        <v>20</v>
      </c>
      <c r="U591" s="1104">
        <v>25</v>
      </c>
      <c r="V591" s="1101" t="s">
        <v>6820</v>
      </c>
      <c r="W591" s="1101" t="s">
        <v>6821</v>
      </c>
      <c r="X591" s="1101" t="s">
        <v>6822</v>
      </c>
      <c r="Y591" s="1101" t="s">
        <v>6823</v>
      </c>
      <c r="Z591" s="1102" t="s">
        <v>6824</v>
      </c>
    </row>
    <row r="592" spans="2:26" ht="12.75" customHeight="1" x14ac:dyDescent="0.2">
      <c r="B592" s="2090" t="str">
        <f t="shared" si="18"/>
        <v>Nobleza94</v>
      </c>
      <c r="C592" s="1103"/>
      <c r="D592" s="521" t="s">
        <v>824</v>
      </c>
      <c r="E592" s="1099" t="s">
        <v>86</v>
      </c>
      <c r="F592" s="1099">
        <v>94</v>
      </c>
      <c r="G592" s="1108" t="s">
        <v>2446</v>
      </c>
      <c r="H592" s="1108" t="s">
        <v>1536</v>
      </c>
      <c r="I592" s="1109" t="s">
        <v>1606</v>
      </c>
      <c r="J592" s="1099">
        <v>9</v>
      </c>
      <c r="K592" s="1099">
        <v>12</v>
      </c>
      <c r="L592" s="1099">
        <v>14</v>
      </c>
      <c r="M592" s="1104">
        <v>16</v>
      </c>
      <c r="N592" s="1099">
        <v>120</v>
      </c>
      <c r="O592" s="1099">
        <v>150</v>
      </c>
      <c r="P592" s="1099">
        <v>200</v>
      </c>
      <c r="Q592" s="1104">
        <v>250</v>
      </c>
      <c r="R592" s="1099">
        <v>10</v>
      </c>
      <c r="S592" s="1099">
        <v>10</v>
      </c>
      <c r="T592" s="1099">
        <v>15</v>
      </c>
      <c r="U592" s="1104">
        <v>20</v>
      </c>
      <c r="V592" s="1101" t="s">
        <v>6825</v>
      </c>
      <c r="W592" s="1101" t="s">
        <v>6826</v>
      </c>
      <c r="X592" s="1101" t="s">
        <v>6827</v>
      </c>
      <c r="Y592" s="1101" t="s">
        <v>6828</v>
      </c>
      <c r="Z592" s="1102" t="s">
        <v>6829</v>
      </c>
    </row>
    <row r="593" spans="2:26" ht="12.75" customHeight="1" x14ac:dyDescent="0.2">
      <c r="B593" s="2090" t="str">
        <f t="shared" si="18"/>
        <v/>
      </c>
      <c r="C593" s="1103"/>
      <c r="D593" s="521" t="s">
        <v>825</v>
      </c>
      <c r="E593" s="1099"/>
      <c r="F593" s="1099"/>
      <c r="G593" s="1108"/>
      <c r="H593" s="1108"/>
      <c r="I593" s="1109"/>
      <c r="J593" s="1099"/>
      <c r="K593" s="1099"/>
      <c r="L593" s="1099"/>
      <c r="M593" s="1104"/>
      <c r="N593" s="1099"/>
      <c r="O593" s="1099"/>
      <c r="P593" s="1099"/>
      <c r="Q593" s="1104"/>
      <c r="R593" s="1099"/>
      <c r="S593" s="1099"/>
      <c r="T593" s="1099"/>
      <c r="U593" s="1104"/>
      <c r="V593" s="1101"/>
      <c r="W593" s="1101"/>
      <c r="X593" s="1101"/>
      <c r="Y593" s="1101"/>
      <c r="Z593" s="1102"/>
    </row>
    <row r="594" spans="2:26" ht="12.75" customHeight="1" x14ac:dyDescent="0.2">
      <c r="B594" s="2090" t="str">
        <f t="shared" si="18"/>
        <v>Paz4</v>
      </c>
      <c r="C594" s="1103"/>
      <c r="D594" s="521" t="s">
        <v>826</v>
      </c>
      <c r="E594" s="1099" t="s">
        <v>87</v>
      </c>
      <c r="F594" s="1099">
        <v>4</v>
      </c>
      <c r="G594" s="1108" t="s">
        <v>1690</v>
      </c>
      <c r="H594" s="1108" t="s">
        <v>1881</v>
      </c>
      <c r="I594" s="1109" t="s">
        <v>1607</v>
      </c>
      <c r="J594" s="1099">
        <v>6</v>
      </c>
      <c r="K594" s="1099">
        <v>8</v>
      </c>
      <c r="L594" s="1099">
        <v>10</v>
      </c>
      <c r="M594" s="1104">
        <v>14</v>
      </c>
      <c r="N594" s="1099">
        <v>50</v>
      </c>
      <c r="O594" s="1099">
        <v>100</v>
      </c>
      <c r="P594" s="1099">
        <v>160</v>
      </c>
      <c r="Q594" s="1104">
        <v>240</v>
      </c>
      <c r="R594" s="1099">
        <v>5</v>
      </c>
      <c r="S594" s="1099">
        <v>15</v>
      </c>
      <c r="T594" s="1099">
        <v>20</v>
      </c>
      <c r="U594" s="1104">
        <v>25</v>
      </c>
      <c r="V594" s="1101" t="s">
        <v>6830</v>
      </c>
      <c r="W594" s="1101" t="s">
        <v>6831</v>
      </c>
      <c r="X594" s="1101" t="s">
        <v>6832</v>
      </c>
      <c r="Y594" s="1101" t="s">
        <v>6833</v>
      </c>
      <c r="Z594" s="1102" t="s">
        <v>6834</v>
      </c>
    </row>
    <row r="595" spans="2:26" ht="12.75" customHeight="1" x14ac:dyDescent="0.2">
      <c r="B595" s="2090" t="str">
        <f t="shared" si="18"/>
        <v>Paz14</v>
      </c>
      <c r="C595" s="1103"/>
      <c r="D595" s="521" t="s">
        <v>827</v>
      </c>
      <c r="E595" s="1099" t="s">
        <v>87</v>
      </c>
      <c r="F595" s="1099">
        <v>14</v>
      </c>
      <c r="G595" s="1108" t="s">
        <v>2446</v>
      </c>
      <c r="H595" s="1108" t="s">
        <v>1536</v>
      </c>
      <c r="I595" s="1109" t="s">
        <v>1607</v>
      </c>
      <c r="J595" s="1099">
        <v>6</v>
      </c>
      <c r="K595" s="1099">
        <v>9</v>
      </c>
      <c r="L595" s="1099">
        <v>12</v>
      </c>
      <c r="M595" s="1104">
        <v>15</v>
      </c>
      <c r="N595" s="1099">
        <v>120</v>
      </c>
      <c r="O595" s="1099">
        <v>180</v>
      </c>
      <c r="P595" s="1099">
        <v>240</v>
      </c>
      <c r="Q595" s="1104">
        <v>300</v>
      </c>
      <c r="R595" s="1099">
        <v>15</v>
      </c>
      <c r="S595" s="1099">
        <v>20</v>
      </c>
      <c r="T595" s="1099">
        <v>25</v>
      </c>
      <c r="U595" s="1104">
        <v>30</v>
      </c>
      <c r="V595" s="1101" t="s">
        <v>6835</v>
      </c>
      <c r="W595" s="1101" t="s">
        <v>6836</v>
      </c>
      <c r="X595" s="1101" t="s">
        <v>6837</v>
      </c>
      <c r="Y595" s="1101" t="s">
        <v>6838</v>
      </c>
      <c r="Z595" s="1102" t="s">
        <v>6839</v>
      </c>
    </row>
    <row r="596" spans="2:26" ht="12.75" customHeight="1" x14ac:dyDescent="0.2">
      <c r="B596" s="2090" t="str">
        <f t="shared" si="18"/>
        <v>Paz24</v>
      </c>
      <c r="C596" s="1103"/>
      <c r="D596" s="521" t="s">
        <v>828</v>
      </c>
      <c r="E596" s="1099" t="s">
        <v>87</v>
      </c>
      <c r="F596" s="1099">
        <v>24</v>
      </c>
      <c r="G596" s="1108" t="s">
        <v>1690</v>
      </c>
      <c r="H596" s="1108" t="s">
        <v>1536</v>
      </c>
      <c r="I596" s="1109" t="s">
        <v>1606</v>
      </c>
      <c r="J596" s="1099">
        <v>6</v>
      </c>
      <c r="K596" s="1099">
        <v>8</v>
      </c>
      <c r="L596" s="1099">
        <v>10</v>
      </c>
      <c r="M596" s="1104">
        <v>12</v>
      </c>
      <c r="N596" s="1099">
        <v>60</v>
      </c>
      <c r="O596" s="1099">
        <v>100</v>
      </c>
      <c r="P596" s="1099">
        <v>140</v>
      </c>
      <c r="Q596" s="1104">
        <v>200</v>
      </c>
      <c r="R596" s="1099">
        <v>10</v>
      </c>
      <c r="S596" s="1099">
        <v>10</v>
      </c>
      <c r="T596" s="1099">
        <v>15</v>
      </c>
      <c r="U596" s="1104">
        <v>20</v>
      </c>
      <c r="V596" s="1101" t="s">
        <v>6840</v>
      </c>
      <c r="W596" s="1101" t="s">
        <v>6841</v>
      </c>
      <c r="X596" s="1101" t="s">
        <v>6842</v>
      </c>
      <c r="Y596" s="1101" t="s">
        <v>6843</v>
      </c>
      <c r="Z596" s="1102" t="s">
        <v>6844</v>
      </c>
    </row>
    <row r="597" spans="2:26" ht="12.75" customHeight="1" x14ac:dyDescent="0.2">
      <c r="B597" s="2090" t="str">
        <f t="shared" si="18"/>
        <v>Paz34</v>
      </c>
      <c r="C597" s="1103"/>
      <c r="D597" s="521" t="s">
        <v>829</v>
      </c>
      <c r="E597" s="1099" t="s">
        <v>87</v>
      </c>
      <c r="F597" s="1099">
        <v>34</v>
      </c>
      <c r="G597" s="1108" t="s">
        <v>1690</v>
      </c>
      <c r="H597" s="1108" t="s">
        <v>1538</v>
      </c>
      <c r="I597" s="1109" t="s">
        <v>1606</v>
      </c>
      <c r="J597" s="1099">
        <v>8</v>
      </c>
      <c r="K597" s="1099">
        <v>10</v>
      </c>
      <c r="L597" s="1099">
        <v>12</v>
      </c>
      <c r="M597" s="1104">
        <v>14</v>
      </c>
      <c r="N597" s="1099">
        <v>80</v>
      </c>
      <c r="O597" s="1099">
        <v>100</v>
      </c>
      <c r="P597" s="1099">
        <v>120</v>
      </c>
      <c r="Q597" s="1104">
        <v>140</v>
      </c>
      <c r="R597" s="1099">
        <v>10</v>
      </c>
      <c r="S597" s="1099">
        <v>10</v>
      </c>
      <c r="T597" s="1099">
        <v>15</v>
      </c>
      <c r="U597" s="1104">
        <v>15</v>
      </c>
      <c r="V597" s="1101" t="s">
        <v>6845</v>
      </c>
      <c r="W597" s="1101" t="s">
        <v>6846</v>
      </c>
      <c r="X597" s="1101" t="s">
        <v>6847</v>
      </c>
      <c r="Y597" s="1101" t="s">
        <v>6848</v>
      </c>
      <c r="Z597" s="1102" t="s">
        <v>6849</v>
      </c>
    </row>
    <row r="598" spans="2:26" ht="12.75" customHeight="1" x14ac:dyDescent="0.2">
      <c r="B598" s="2090" t="str">
        <f t="shared" si="18"/>
        <v>Paz44</v>
      </c>
      <c r="C598" s="1103"/>
      <c r="D598" s="521" t="s">
        <v>830</v>
      </c>
      <c r="E598" s="1099" t="s">
        <v>87</v>
      </c>
      <c r="F598" s="1099">
        <v>44</v>
      </c>
      <c r="G598" s="1108" t="s">
        <v>2446</v>
      </c>
      <c r="H598" s="1108" t="s">
        <v>1537</v>
      </c>
      <c r="I598" s="1109" t="s">
        <v>1606</v>
      </c>
      <c r="J598" s="1099">
        <v>8</v>
      </c>
      <c r="K598" s="1099">
        <v>10</v>
      </c>
      <c r="L598" s="1099">
        <v>12</v>
      </c>
      <c r="M598" s="1104">
        <v>14</v>
      </c>
      <c r="N598" s="1099">
        <v>160</v>
      </c>
      <c r="O598" s="1099">
        <v>220</v>
      </c>
      <c r="P598" s="1099">
        <v>280</v>
      </c>
      <c r="Q598" s="1104">
        <v>300</v>
      </c>
      <c r="R598" s="1099">
        <v>20</v>
      </c>
      <c r="S598" s="1099">
        <v>25</v>
      </c>
      <c r="T598" s="1099">
        <v>30</v>
      </c>
      <c r="U598" s="1104">
        <v>30</v>
      </c>
      <c r="V598" s="1101" t="s">
        <v>6845</v>
      </c>
      <c r="W598" s="1101" t="s">
        <v>6846</v>
      </c>
      <c r="X598" s="1101" t="s">
        <v>6847</v>
      </c>
      <c r="Y598" s="1101" t="s">
        <v>6848</v>
      </c>
      <c r="Z598" s="1102" t="s">
        <v>6850</v>
      </c>
    </row>
    <row r="599" spans="2:26" ht="12.75" customHeight="1" x14ac:dyDescent="0.2">
      <c r="B599" s="2090" t="str">
        <f t="shared" si="18"/>
        <v>Paz54</v>
      </c>
      <c r="C599" s="1103"/>
      <c r="D599" s="521" t="s">
        <v>831</v>
      </c>
      <c r="E599" s="1099" t="s">
        <v>87</v>
      </c>
      <c r="F599" s="1099">
        <v>54</v>
      </c>
      <c r="G599" s="1108" t="s">
        <v>1690</v>
      </c>
      <c r="H599" s="1108" t="s">
        <v>1537</v>
      </c>
      <c r="I599" s="1109" t="s">
        <v>1607</v>
      </c>
      <c r="J599" s="1099">
        <v>8</v>
      </c>
      <c r="K599" s="1099">
        <v>10</v>
      </c>
      <c r="L599" s="1099">
        <v>12</v>
      </c>
      <c r="M599" s="1104">
        <v>14</v>
      </c>
      <c r="N599" s="1099">
        <v>100</v>
      </c>
      <c r="O599" s="1099">
        <v>180</v>
      </c>
      <c r="P599" s="1099">
        <v>260</v>
      </c>
      <c r="Q599" s="1104">
        <v>340</v>
      </c>
      <c r="R599" s="1099" t="s">
        <v>1690</v>
      </c>
      <c r="S599" s="1099" t="s">
        <v>1690</v>
      </c>
      <c r="T599" s="1099" t="s">
        <v>1690</v>
      </c>
      <c r="U599" s="1104" t="s">
        <v>1690</v>
      </c>
      <c r="V599" s="1101" t="s">
        <v>4968</v>
      </c>
      <c r="W599" s="1101" t="s">
        <v>4864</v>
      </c>
      <c r="X599" s="1101" t="s">
        <v>4865</v>
      </c>
      <c r="Y599" s="1101" t="s">
        <v>4866</v>
      </c>
      <c r="Z599" s="1102" t="s">
        <v>6851</v>
      </c>
    </row>
    <row r="600" spans="2:26" ht="12.75" customHeight="1" x14ac:dyDescent="0.2">
      <c r="B600" s="2090" t="str">
        <f t="shared" si="18"/>
        <v>Paz64</v>
      </c>
      <c r="C600" s="1103"/>
      <c r="D600" s="521" t="s">
        <v>832</v>
      </c>
      <c r="E600" s="1099" t="s">
        <v>87</v>
      </c>
      <c r="F600" s="1099">
        <v>64</v>
      </c>
      <c r="G600" s="1108" t="s">
        <v>1690</v>
      </c>
      <c r="H600" s="1108" t="s">
        <v>1536</v>
      </c>
      <c r="I600" s="1109" t="s">
        <v>1606</v>
      </c>
      <c r="J600" s="1099">
        <v>6</v>
      </c>
      <c r="K600" s="1099">
        <v>9</v>
      </c>
      <c r="L600" s="1099">
        <v>12</v>
      </c>
      <c r="M600" s="1104">
        <v>15</v>
      </c>
      <c r="N600" s="1099">
        <v>50</v>
      </c>
      <c r="O600" s="1099">
        <v>80</v>
      </c>
      <c r="P600" s="1099">
        <v>110</v>
      </c>
      <c r="Q600" s="1104">
        <v>140</v>
      </c>
      <c r="R600" s="1099">
        <v>10</v>
      </c>
      <c r="S600" s="1099">
        <v>10</v>
      </c>
      <c r="T600" s="1099">
        <v>15</v>
      </c>
      <c r="U600" s="1104">
        <v>15</v>
      </c>
      <c r="V600" s="1101" t="s">
        <v>6852</v>
      </c>
      <c r="W600" s="1101" t="s">
        <v>6853</v>
      </c>
      <c r="X600" s="1101" t="s">
        <v>6854</v>
      </c>
      <c r="Y600" s="1101" t="s">
        <v>6855</v>
      </c>
      <c r="Z600" s="1102" t="s">
        <v>6856</v>
      </c>
    </row>
    <row r="601" spans="2:26" ht="12.75" customHeight="1" x14ac:dyDescent="0.2">
      <c r="B601" s="2090" t="str">
        <f t="shared" si="18"/>
        <v>Paz74</v>
      </c>
      <c r="C601" s="1103"/>
      <c r="D601" s="521" t="s">
        <v>833</v>
      </c>
      <c r="E601" s="1099" t="s">
        <v>87</v>
      </c>
      <c r="F601" s="1099">
        <v>74</v>
      </c>
      <c r="G601" s="1108" t="s">
        <v>1690</v>
      </c>
      <c r="H601" s="1108" t="s">
        <v>1881</v>
      </c>
      <c r="I601" s="1109" t="s">
        <v>1607</v>
      </c>
      <c r="J601" s="1099">
        <v>9</v>
      </c>
      <c r="K601" s="1099">
        <v>11</v>
      </c>
      <c r="L601" s="1099">
        <v>13</v>
      </c>
      <c r="M601" s="1104">
        <v>15</v>
      </c>
      <c r="N601" s="1099">
        <v>150</v>
      </c>
      <c r="O601" s="1099">
        <v>250</v>
      </c>
      <c r="P601" s="1099">
        <v>350</v>
      </c>
      <c r="Q601" s="1104">
        <v>450</v>
      </c>
      <c r="R601" s="1099">
        <v>15</v>
      </c>
      <c r="S601" s="1099">
        <v>25</v>
      </c>
      <c r="T601" s="1099">
        <v>35</v>
      </c>
      <c r="U601" s="1104">
        <v>45</v>
      </c>
      <c r="V601" s="1101" t="s">
        <v>6857</v>
      </c>
      <c r="W601" s="1101" t="s">
        <v>6858</v>
      </c>
      <c r="X601" s="1101" t="s">
        <v>6859</v>
      </c>
      <c r="Y601" s="1101" t="s">
        <v>6860</v>
      </c>
      <c r="Z601" s="1102" t="s">
        <v>6861</v>
      </c>
    </row>
    <row r="602" spans="2:26" ht="12.75" customHeight="1" x14ac:dyDescent="0.2">
      <c r="B602" s="2090" t="str">
        <f t="shared" si="18"/>
        <v>Paz84</v>
      </c>
      <c r="C602" s="1103"/>
      <c r="D602" s="521" t="s">
        <v>834</v>
      </c>
      <c r="E602" s="1099" t="s">
        <v>87</v>
      </c>
      <c r="F602" s="1099">
        <v>84</v>
      </c>
      <c r="G602" s="1108" t="s">
        <v>1690</v>
      </c>
      <c r="H602" s="1108" t="s">
        <v>1535</v>
      </c>
      <c r="I602" s="1109" t="s">
        <v>1606</v>
      </c>
      <c r="J602" s="1099">
        <v>9</v>
      </c>
      <c r="K602" s="1099">
        <v>11</v>
      </c>
      <c r="L602" s="1099">
        <v>13</v>
      </c>
      <c r="M602" s="1104">
        <v>15</v>
      </c>
      <c r="N602" s="1099">
        <v>120</v>
      </c>
      <c r="O602" s="1099">
        <v>180</v>
      </c>
      <c r="P602" s="1099">
        <v>240</v>
      </c>
      <c r="Q602" s="1104">
        <v>300</v>
      </c>
      <c r="R602" s="1099">
        <v>20</v>
      </c>
      <c r="S602" s="1099">
        <v>20</v>
      </c>
      <c r="T602" s="1099">
        <v>25</v>
      </c>
      <c r="U602" s="1104">
        <v>30</v>
      </c>
      <c r="V602" s="1101" t="s">
        <v>4968</v>
      </c>
      <c r="W602" s="1101" t="s">
        <v>4969</v>
      </c>
      <c r="X602" s="1101" t="s">
        <v>4864</v>
      </c>
      <c r="Y602" s="1101" t="s">
        <v>4697</v>
      </c>
      <c r="Z602" s="1102" t="s">
        <v>6862</v>
      </c>
    </row>
    <row r="603" spans="2:26" ht="12.75" customHeight="1" x14ac:dyDescent="0.2">
      <c r="B603" s="2090" t="str">
        <f t="shared" si="18"/>
        <v>Paz94</v>
      </c>
      <c r="C603" s="1103"/>
      <c r="D603" s="521" t="s">
        <v>835</v>
      </c>
      <c r="E603" s="1099" t="s">
        <v>87</v>
      </c>
      <c r="F603" s="1099">
        <v>94</v>
      </c>
      <c r="G603" s="1108" t="s">
        <v>2446</v>
      </c>
      <c r="H603" s="1108" t="s">
        <v>1537</v>
      </c>
      <c r="I603" s="1109" t="s">
        <v>1606</v>
      </c>
      <c r="J603" s="1099">
        <v>8</v>
      </c>
      <c r="K603" s="1099">
        <v>10</v>
      </c>
      <c r="L603" s="1099">
        <v>12</v>
      </c>
      <c r="M603" s="1104">
        <v>14</v>
      </c>
      <c r="N603" s="1099">
        <v>350</v>
      </c>
      <c r="O603" s="1099">
        <v>600</v>
      </c>
      <c r="P603" s="1099">
        <v>1000</v>
      </c>
      <c r="Q603" s="1104">
        <v>1600</v>
      </c>
      <c r="R603" s="1099">
        <v>35</v>
      </c>
      <c r="S603" s="1099">
        <v>60</v>
      </c>
      <c r="T603" s="1099">
        <v>100</v>
      </c>
      <c r="U603" s="1104">
        <v>160</v>
      </c>
      <c r="V603" s="1101" t="s">
        <v>6863</v>
      </c>
      <c r="W603" s="1101" t="s">
        <v>6864</v>
      </c>
      <c r="X603" s="1101" t="s">
        <v>6865</v>
      </c>
      <c r="Y603" s="1101" t="s">
        <v>6866</v>
      </c>
      <c r="Z603" s="1102" t="s">
        <v>6867</v>
      </c>
    </row>
    <row r="604" spans="2:26" ht="12.75" customHeight="1" x14ac:dyDescent="0.2">
      <c r="B604" s="2090" t="str">
        <f t="shared" si="18"/>
        <v/>
      </c>
      <c r="C604" s="1103"/>
      <c r="D604" s="521" t="s">
        <v>836</v>
      </c>
      <c r="E604" s="1099"/>
      <c r="F604" s="1099"/>
      <c r="G604" s="1108"/>
      <c r="H604" s="1108"/>
      <c r="I604" s="1109"/>
      <c r="J604" s="1099"/>
      <c r="K604" s="1099"/>
      <c r="L604" s="1099"/>
      <c r="M604" s="1104"/>
      <c r="N604" s="1099"/>
      <c r="O604" s="1099"/>
      <c r="P604" s="1099"/>
      <c r="Q604" s="1104"/>
      <c r="R604" s="1099"/>
      <c r="S604" s="1099"/>
      <c r="T604" s="1099"/>
      <c r="U604" s="1104"/>
      <c r="V604" s="1101"/>
      <c r="W604" s="1101"/>
      <c r="X604" s="1101"/>
      <c r="Y604" s="1101"/>
      <c r="Z604" s="1102"/>
    </row>
    <row r="605" spans="2:26" ht="12.75" customHeight="1" x14ac:dyDescent="0.2">
      <c r="B605" s="2090" t="str">
        <f t="shared" si="18"/>
        <v>Pecado4</v>
      </c>
      <c r="C605" s="1103"/>
      <c r="D605" s="521" t="s">
        <v>837</v>
      </c>
      <c r="E605" s="1099" t="s">
        <v>88</v>
      </c>
      <c r="F605" s="1099">
        <v>4</v>
      </c>
      <c r="G605" s="1108" t="s">
        <v>1690</v>
      </c>
      <c r="H605" s="1108" t="s">
        <v>1538</v>
      </c>
      <c r="I605" s="1109" t="s">
        <v>1606</v>
      </c>
      <c r="J605" s="1099">
        <v>6</v>
      </c>
      <c r="K605" s="1099">
        <v>8</v>
      </c>
      <c r="L605" s="1099">
        <v>10</v>
      </c>
      <c r="M605" s="1104">
        <v>12</v>
      </c>
      <c r="N605" s="1099">
        <v>40</v>
      </c>
      <c r="O605" s="1099">
        <v>60</v>
      </c>
      <c r="P605" s="1099">
        <v>90</v>
      </c>
      <c r="Q605" s="1104">
        <v>120</v>
      </c>
      <c r="R605" s="1099" t="s">
        <v>1690</v>
      </c>
      <c r="S605" s="1099" t="s">
        <v>1690</v>
      </c>
      <c r="T605" s="1099" t="s">
        <v>1690</v>
      </c>
      <c r="U605" s="1104" t="s">
        <v>1690</v>
      </c>
      <c r="V605" s="1101" t="s">
        <v>4968</v>
      </c>
      <c r="W605" s="1101" t="s">
        <v>4969</v>
      </c>
      <c r="X605" s="1101" t="s">
        <v>4864</v>
      </c>
      <c r="Y605" s="1101" t="s">
        <v>4697</v>
      </c>
      <c r="Z605" s="1102" t="s">
        <v>6868</v>
      </c>
    </row>
    <row r="606" spans="2:26" ht="12.75" customHeight="1" x14ac:dyDescent="0.2">
      <c r="B606" s="2090" t="str">
        <f t="shared" si="18"/>
        <v>Pecado14</v>
      </c>
      <c r="C606" s="1103"/>
      <c r="D606" s="521" t="s">
        <v>838</v>
      </c>
      <c r="E606" s="1099" t="s">
        <v>88</v>
      </c>
      <c r="F606" s="1099">
        <v>14</v>
      </c>
      <c r="G606" s="1108" t="s">
        <v>2446</v>
      </c>
      <c r="H606" s="1108" t="s">
        <v>1535</v>
      </c>
      <c r="I606" s="1109" t="s">
        <v>1606</v>
      </c>
      <c r="J606" s="1099">
        <v>6</v>
      </c>
      <c r="K606" s="1099">
        <v>8</v>
      </c>
      <c r="L606" s="1099">
        <v>10</v>
      </c>
      <c r="M606" s="1104">
        <v>12</v>
      </c>
      <c r="N606" s="1099">
        <v>50</v>
      </c>
      <c r="O606" s="1099">
        <v>70</v>
      </c>
      <c r="P606" s="1099">
        <v>100</v>
      </c>
      <c r="Q606" s="1104">
        <v>140</v>
      </c>
      <c r="R606" s="1099">
        <v>5</v>
      </c>
      <c r="S606" s="1099">
        <v>10</v>
      </c>
      <c r="T606" s="1099">
        <v>10</v>
      </c>
      <c r="U606" s="1104">
        <v>15</v>
      </c>
      <c r="V606" s="1101" t="s">
        <v>4968</v>
      </c>
      <c r="W606" s="1101" t="s">
        <v>4969</v>
      </c>
      <c r="X606" s="1101" t="s">
        <v>4864</v>
      </c>
      <c r="Y606" s="1101" t="s">
        <v>4697</v>
      </c>
      <c r="Z606" s="1102" t="s">
        <v>6869</v>
      </c>
    </row>
    <row r="607" spans="2:26" ht="12.75" customHeight="1" x14ac:dyDescent="0.2">
      <c r="B607" s="2090" t="str">
        <f t="shared" si="18"/>
        <v>Pecado24</v>
      </c>
      <c r="C607" s="1103"/>
      <c r="D607" s="521" t="s">
        <v>839</v>
      </c>
      <c r="E607" s="1099" t="s">
        <v>88</v>
      </c>
      <c r="F607" s="1099">
        <v>24</v>
      </c>
      <c r="G607" s="1108" t="s">
        <v>1690</v>
      </c>
      <c r="H607" s="1108" t="s">
        <v>1536</v>
      </c>
      <c r="I607" s="1109" t="s">
        <v>1606</v>
      </c>
      <c r="J607" s="1099">
        <v>7</v>
      </c>
      <c r="K607" s="1099">
        <v>9</v>
      </c>
      <c r="L607" s="1099">
        <v>11</v>
      </c>
      <c r="M607" s="1104">
        <v>13</v>
      </c>
      <c r="N607" s="1099">
        <v>60</v>
      </c>
      <c r="O607" s="1099">
        <v>100</v>
      </c>
      <c r="P607" s="1099">
        <v>140</v>
      </c>
      <c r="Q607" s="1104">
        <v>180</v>
      </c>
      <c r="R607" s="1099">
        <v>5</v>
      </c>
      <c r="S607" s="1099">
        <v>5</v>
      </c>
      <c r="T607" s="1099">
        <v>10</v>
      </c>
      <c r="U607" s="1104">
        <v>10</v>
      </c>
      <c r="V607" s="1101" t="s">
        <v>6870</v>
      </c>
      <c r="W607" s="1101" t="s">
        <v>6871</v>
      </c>
      <c r="X607" s="1101" t="s">
        <v>6872</v>
      </c>
      <c r="Y607" s="1101" t="s">
        <v>6873</v>
      </c>
      <c r="Z607" s="1102" t="s">
        <v>6874</v>
      </c>
    </row>
    <row r="608" spans="2:26" ht="12.75" customHeight="1" x14ac:dyDescent="0.2">
      <c r="B608" s="2090" t="str">
        <f t="shared" si="18"/>
        <v>Pecado34</v>
      </c>
      <c r="C608" s="1103"/>
      <c r="D608" s="521" t="s">
        <v>840</v>
      </c>
      <c r="E608" s="1099" t="s">
        <v>88</v>
      </c>
      <c r="F608" s="1099">
        <v>34</v>
      </c>
      <c r="G608" s="1108" t="s">
        <v>1690</v>
      </c>
      <c r="H608" s="1108" t="s">
        <v>1535</v>
      </c>
      <c r="I608" s="1109" t="s">
        <v>1606</v>
      </c>
      <c r="J608" s="1099">
        <v>7</v>
      </c>
      <c r="K608" s="1099">
        <v>9</v>
      </c>
      <c r="L608" s="1099">
        <v>11</v>
      </c>
      <c r="M608" s="1104">
        <v>13</v>
      </c>
      <c r="N608" s="1099">
        <v>60</v>
      </c>
      <c r="O608" s="1099">
        <v>100</v>
      </c>
      <c r="P608" s="1099">
        <v>120</v>
      </c>
      <c r="Q608" s="1104">
        <v>150</v>
      </c>
      <c r="R608" s="1099">
        <v>5</v>
      </c>
      <c r="S608" s="1099">
        <v>5</v>
      </c>
      <c r="T608" s="1099">
        <v>10</v>
      </c>
      <c r="U608" s="1104">
        <v>10</v>
      </c>
      <c r="V608" s="1101" t="s">
        <v>4969</v>
      </c>
      <c r="W608" s="1101" t="s">
        <v>4864</v>
      </c>
      <c r="X608" s="1101" t="s">
        <v>4697</v>
      </c>
      <c r="Y608" s="1101" t="s">
        <v>4865</v>
      </c>
      <c r="Z608" s="1102" t="s">
        <v>6875</v>
      </c>
    </row>
    <row r="609" spans="2:26" ht="12.75" customHeight="1" x14ac:dyDescent="0.2">
      <c r="B609" s="2090" t="str">
        <f t="shared" si="18"/>
        <v>Pecado44</v>
      </c>
      <c r="C609" s="1103"/>
      <c r="D609" s="521" t="s">
        <v>841</v>
      </c>
      <c r="E609" s="1099" t="s">
        <v>88</v>
      </c>
      <c r="F609" s="1099">
        <v>44</v>
      </c>
      <c r="G609" s="1108" t="s">
        <v>1690</v>
      </c>
      <c r="H609" s="1108" t="s">
        <v>1537</v>
      </c>
      <c r="I609" s="1109" t="s">
        <v>1606</v>
      </c>
      <c r="J609" s="1099">
        <v>8</v>
      </c>
      <c r="K609" s="1099">
        <v>10</v>
      </c>
      <c r="L609" s="1099">
        <v>12</v>
      </c>
      <c r="M609" s="1104">
        <v>14</v>
      </c>
      <c r="N609" s="1099">
        <v>50</v>
      </c>
      <c r="O609" s="1099">
        <v>80</v>
      </c>
      <c r="P609" s="1099">
        <v>120</v>
      </c>
      <c r="Q609" s="1104">
        <v>260</v>
      </c>
      <c r="R609" s="1099" t="s">
        <v>1690</v>
      </c>
      <c r="S609" s="1099" t="s">
        <v>1690</v>
      </c>
      <c r="T609" s="1099" t="s">
        <v>1690</v>
      </c>
      <c r="U609" s="1104" t="s">
        <v>1690</v>
      </c>
      <c r="V609" s="1101" t="s">
        <v>6876</v>
      </c>
      <c r="W609" s="1101" t="s">
        <v>6877</v>
      </c>
      <c r="X609" s="1101" t="s">
        <v>6878</v>
      </c>
      <c r="Y609" s="1101" t="s">
        <v>6879</v>
      </c>
      <c r="Z609" s="1102" t="s">
        <v>6880</v>
      </c>
    </row>
    <row r="610" spans="2:26" ht="12.75" customHeight="1" x14ac:dyDescent="0.2">
      <c r="B610" s="2090" t="str">
        <f t="shared" si="18"/>
        <v>Pecado54</v>
      </c>
      <c r="C610" s="1103"/>
      <c r="D610" s="521" t="s">
        <v>842</v>
      </c>
      <c r="E610" s="1099" t="s">
        <v>88</v>
      </c>
      <c r="F610" s="1099">
        <v>54</v>
      </c>
      <c r="G610" s="1108" t="s">
        <v>1690</v>
      </c>
      <c r="H610" s="1108" t="s">
        <v>1536</v>
      </c>
      <c r="I610" s="1109" t="s">
        <v>1606</v>
      </c>
      <c r="J610" s="1099">
        <v>7</v>
      </c>
      <c r="K610" s="1099">
        <v>9</v>
      </c>
      <c r="L610" s="1099">
        <v>11</v>
      </c>
      <c r="M610" s="1104">
        <v>13</v>
      </c>
      <c r="N610" s="1099">
        <v>60</v>
      </c>
      <c r="O610" s="1099">
        <v>80</v>
      </c>
      <c r="P610" s="1099">
        <v>100</v>
      </c>
      <c r="Q610" s="1104">
        <v>120</v>
      </c>
      <c r="R610" s="1099">
        <v>5</v>
      </c>
      <c r="S610" s="1099">
        <v>5</v>
      </c>
      <c r="T610" s="1099">
        <v>10</v>
      </c>
      <c r="U610" s="1104">
        <v>10</v>
      </c>
      <c r="V610" s="1101" t="s">
        <v>5006</v>
      </c>
      <c r="W610" s="1101" t="s">
        <v>4968</v>
      </c>
      <c r="X610" s="1101" t="s">
        <v>4969</v>
      </c>
      <c r="Y610" s="1101" t="s">
        <v>4864</v>
      </c>
      <c r="Z610" s="1102" t="s">
        <v>6881</v>
      </c>
    </row>
    <row r="611" spans="2:26" ht="12.75" customHeight="1" x14ac:dyDescent="0.2">
      <c r="B611" s="2090" t="str">
        <f t="shared" si="18"/>
        <v>Pecado64</v>
      </c>
      <c r="C611" s="1103"/>
      <c r="D611" s="521" t="s">
        <v>843</v>
      </c>
      <c r="E611" s="1099" t="s">
        <v>88</v>
      </c>
      <c r="F611" s="1099">
        <v>64</v>
      </c>
      <c r="G611" s="1108" t="s">
        <v>1690</v>
      </c>
      <c r="H611" s="1108" t="s">
        <v>1535</v>
      </c>
      <c r="I611" s="1109" t="s">
        <v>1606</v>
      </c>
      <c r="J611" s="1099">
        <v>7</v>
      </c>
      <c r="K611" s="1099">
        <v>9</v>
      </c>
      <c r="L611" s="1099">
        <v>11</v>
      </c>
      <c r="M611" s="1104">
        <v>13</v>
      </c>
      <c r="N611" s="1099">
        <v>80</v>
      </c>
      <c r="O611" s="1099">
        <v>100</v>
      </c>
      <c r="P611" s="1099">
        <v>120</v>
      </c>
      <c r="Q611" s="1104">
        <v>150</v>
      </c>
      <c r="R611" s="1099">
        <v>5</v>
      </c>
      <c r="S611" s="1099">
        <v>5</v>
      </c>
      <c r="T611" s="1099">
        <v>10</v>
      </c>
      <c r="U611" s="1104">
        <v>10</v>
      </c>
      <c r="V611" s="1101" t="s">
        <v>6882</v>
      </c>
      <c r="W611" s="1101" t="s">
        <v>6883</v>
      </c>
      <c r="X611" s="1101" t="s">
        <v>6884</v>
      </c>
      <c r="Y611" s="1101" t="s">
        <v>6885</v>
      </c>
      <c r="Z611" s="1102" t="s">
        <v>6886</v>
      </c>
    </row>
    <row r="612" spans="2:26" ht="12.75" customHeight="1" x14ac:dyDescent="0.2">
      <c r="B612" s="2090" t="str">
        <f t="shared" si="18"/>
        <v>Pecado74</v>
      </c>
      <c r="C612" s="1103"/>
      <c r="D612" s="521" t="s">
        <v>844</v>
      </c>
      <c r="E612" s="1099" t="s">
        <v>88</v>
      </c>
      <c r="F612" s="1099">
        <v>74</v>
      </c>
      <c r="G612" s="1108" t="s">
        <v>1690</v>
      </c>
      <c r="H612" s="1108" t="s">
        <v>1535</v>
      </c>
      <c r="I612" s="1109" t="s">
        <v>1606</v>
      </c>
      <c r="J612" s="1099">
        <v>8</v>
      </c>
      <c r="K612" s="1099">
        <v>10</v>
      </c>
      <c r="L612" s="1099">
        <v>12</v>
      </c>
      <c r="M612" s="1104">
        <v>14</v>
      </c>
      <c r="N612" s="1099">
        <v>100</v>
      </c>
      <c r="O612" s="1099">
        <v>140</v>
      </c>
      <c r="P612" s="1099">
        <v>180</v>
      </c>
      <c r="Q612" s="1104">
        <v>220</v>
      </c>
      <c r="R612" s="1099">
        <v>5</v>
      </c>
      <c r="S612" s="1099">
        <v>5</v>
      </c>
      <c r="T612" s="1099">
        <v>10</v>
      </c>
      <c r="U612" s="1104">
        <v>10</v>
      </c>
      <c r="V612" s="1101" t="s">
        <v>4968</v>
      </c>
      <c r="W612" s="1101" t="s">
        <v>4969</v>
      </c>
      <c r="X612" s="1101" t="s">
        <v>4864</v>
      </c>
      <c r="Y612" s="1101" t="s">
        <v>4697</v>
      </c>
      <c r="Z612" s="1102" t="s">
        <v>6887</v>
      </c>
    </row>
    <row r="613" spans="2:26" ht="12.75" customHeight="1" x14ac:dyDescent="0.2">
      <c r="B613" s="2090" t="str">
        <f t="shared" si="18"/>
        <v>Pecado84</v>
      </c>
      <c r="C613" s="1103"/>
      <c r="D613" s="521" t="s">
        <v>845</v>
      </c>
      <c r="E613" s="1099" t="s">
        <v>88</v>
      </c>
      <c r="F613" s="1099">
        <v>84</v>
      </c>
      <c r="G613" s="1108" t="s">
        <v>1690</v>
      </c>
      <c r="H613" s="1108" t="s">
        <v>1535</v>
      </c>
      <c r="I613" s="1109" t="s">
        <v>1606</v>
      </c>
      <c r="J613" s="1099">
        <v>9</v>
      </c>
      <c r="K613" s="1099">
        <v>11</v>
      </c>
      <c r="L613" s="1099">
        <v>13</v>
      </c>
      <c r="M613" s="1104">
        <v>15</v>
      </c>
      <c r="N613" s="1099">
        <v>100</v>
      </c>
      <c r="O613" s="1099">
        <v>150</v>
      </c>
      <c r="P613" s="1099">
        <v>200</v>
      </c>
      <c r="Q613" s="1104">
        <v>250</v>
      </c>
      <c r="R613" s="1099">
        <v>5</v>
      </c>
      <c r="S613" s="1099">
        <v>5</v>
      </c>
      <c r="T613" s="1099">
        <v>10</v>
      </c>
      <c r="U613" s="1104">
        <v>10</v>
      </c>
      <c r="V613" s="1101" t="s">
        <v>4968</v>
      </c>
      <c r="W613" s="1101" t="s">
        <v>4969</v>
      </c>
      <c r="X613" s="1101" t="s">
        <v>4864</v>
      </c>
      <c r="Y613" s="1101" t="s">
        <v>4697</v>
      </c>
      <c r="Z613" s="1102" t="s">
        <v>6888</v>
      </c>
    </row>
    <row r="614" spans="2:26" ht="12.75" customHeight="1" x14ac:dyDescent="0.2">
      <c r="B614" s="2090" t="str">
        <f t="shared" si="18"/>
        <v>Pecado94</v>
      </c>
      <c r="C614" s="1103"/>
      <c r="D614" s="521" t="s">
        <v>846</v>
      </c>
      <c r="E614" s="1099" t="s">
        <v>88</v>
      </c>
      <c r="F614" s="1099">
        <v>94</v>
      </c>
      <c r="G614" s="1108" t="s">
        <v>1690</v>
      </c>
      <c r="H614" s="1108" t="s">
        <v>1535</v>
      </c>
      <c r="I614" s="1109" t="s">
        <v>1606</v>
      </c>
      <c r="J614" s="1099">
        <v>10</v>
      </c>
      <c r="K614" s="1099">
        <v>12</v>
      </c>
      <c r="L614" s="1099">
        <v>14</v>
      </c>
      <c r="M614" s="1104">
        <v>16</v>
      </c>
      <c r="N614" s="1099">
        <v>120</v>
      </c>
      <c r="O614" s="1099">
        <v>180</v>
      </c>
      <c r="P614" s="1099">
        <v>260</v>
      </c>
      <c r="Q614" s="1104">
        <v>320</v>
      </c>
      <c r="R614" s="1099" t="s">
        <v>1690</v>
      </c>
      <c r="S614" s="1099" t="s">
        <v>1690</v>
      </c>
      <c r="T614" s="1099" t="s">
        <v>1690</v>
      </c>
      <c r="U614" s="1104" t="s">
        <v>1690</v>
      </c>
      <c r="V614" s="1101" t="s">
        <v>4968</v>
      </c>
      <c r="W614" s="1101" t="s">
        <v>4969</v>
      </c>
      <c r="X614" s="1101" t="s">
        <v>4864</v>
      </c>
      <c r="Y614" s="1101" t="s">
        <v>4697</v>
      </c>
      <c r="Z614" s="1102" t="s">
        <v>6889</v>
      </c>
    </row>
    <row r="615" spans="2:26" ht="12.75" customHeight="1" x14ac:dyDescent="0.2">
      <c r="B615" s="2090" t="str">
        <f t="shared" si="18"/>
        <v/>
      </c>
      <c r="C615" s="1103"/>
      <c r="D615" s="521" t="s">
        <v>847</v>
      </c>
      <c r="E615" s="1099"/>
      <c r="F615" s="1099"/>
      <c r="G615" s="1108"/>
      <c r="H615" s="1108"/>
      <c r="I615" s="1109"/>
      <c r="J615" s="1099"/>
      <c r="K615" s="1099"/>
      <c r="L615" s="1099"/>
      <c r="M615" s="1104"/>
      <c r="N615" s="1099"/>
      <c r="O615" s="1099"/>
      <c r="P615" s="1099"/>
      <c r="Q615" s="1104"/>
      <c r="R615" s="1099"/>
      <c r="S615" s="1099"/>
      <c r="T615" s="1099"/>
      <c r="U615" s="1104"/>
      <c r="V615" s="1101"/>
      <c r="W615" s="1101"/>
      <c r="X615" s="1101"/>
      <c r="Y615" s="1101"/>
      <c r="Z615" s="1102"/>
    </row>
    <row r="616" spans="2:26" ht="12.75" customHeight="1" x14ac:dyDescent="0.2">
      <c r="B616" s="2090" t="str">
        <f t="shared" si="18"/>
        <v>Conocimiento4</v>
      </c>
      <c r="C616" s="1103"/>
      <c r="D616" s="521" t="s">
        <v>848</v>
      </c>
      <c r="E616" s="1099" t="s">
        <v>89</v>
      </c>
      <c r="F616" s="1099">
        <v>4</v>
      </c>
      <c r="G616" s="1108" t="s">
        <v>1690</v>
      </c>
      <c r="H616" s="1108" t="s">
        <v>1536</v>
      </c>
      <c r="I616" s="1109" t="s">
        <v>1606</v>
      </c>
      <c r="J616" s="1099">
        <v>5</v>
      </c>
      <c r="K616" s="1099">
        <v>7</v>
      </c>
      <c r="L616" s="1099">
        <v>9</v>
      </c>
      <c r="M616" s="1104">
        <v>11</v>
      </c>
      <c r="N616" s="1099">
        <v>30</v>
      </c>
      <c r="O616" s="1099">
        <v>60</v>
      </c>
      <c r="P616" s="1099">
        <v>90</v>
      </c>
      <c r="Q616" s="1104">
        <v>120</v>
      </c>
      <c r="R616" s="1099" t="s">
        <v>1690</v>
      </c>
      <c r="S616" s="1099" t="s">
        <v>1690</v>
      </c>
      <c r="T616" s="1099" t="s">
        <v>1690</v>
      </c>
      <c r="U616" s="1104" t="s">
        <v>1690</v>
      </c>
      <c r="V616" s="1101" t="s">
        <v>6890</v>
      </c>
      <c r="W616" s="1101" t="s">
        <v>6891</v>
      </c>
      <c r="X616" s="1101" t="s">
        <v>6892</v>
      </c>
      <c r="Y616" s="1101" t="s">
        <v>6893</v>
      </c>
      <c r="Z616" s="1102" t="s">
        <v>6894</v>
      </c>
    </row>
    <row r="617" spans="2:26" ht="12.75" customHeight="1" x14ac:dyDescent="0.2">
      <c r="B617" s="2090" t="str">
        <f t="shared" si="18"/>
        <v>Conocimiento14</v>
      </c>
      <c r="C617" s="1103"/>
      <c r="D617" s="521" t="s">
        <v>89</v>
      </c>
      <c r="E617" s="1099" t="s">
        <v>89</v>
      </c>
      <c r="F617" s="1099">
        <v>14</v>
      </c>
      <c r="G617" s="1108" t="s">
        <v>1690</v>
      </c>
      <c r="H617" s="1108" t="s">
        <v>1536</v>
      </c>
      <c r="I617" s="1109" t="s">
        <v>1606</v>
      </c>
      <c r="J617" s="1099">
        <v>6</v>
      </c>
      <c r="K617" s="1099">
        <v>9</v>
      </c>
      <c r="L617" s="1099">
        <v>11</v>
      </c>
      <c r="M617" s="1104">
        <v>13</v>
      </c>
      <c r="N617" s="1099">
        <v>40</v>
      </c>
      <c r="O617" s="1099">
        <v>80</v>
      </c>
      <c r="P617" s="1099">
        <v>120</v>
      </c>
      <c r="Q617" s="1104">
        <v>160</v>
      </c>
      <c r="R617" s="1099">
        <v>5</v>
      </c>
      <c r="S617" s="1099">
        <v>10</v>
      </c>
      <c r="T617" s="1099">
        <v>15</v>
      </c>
      <c r="U617" s="1104">
        <v>20</v>
      </c>
      <c r="V617" s="1101" t="s">
        <v>6895</v>
      </c>
      <c r="W617" s="1101" t="s">
        <v>6896</v>
      </c>
      <c r="X617" s="1101" t="s">
        <v>6897</v>
      </c>
      <c r="Y617" s="1101" t="s">
        <v>6898</v>
      </c>
      <c r="Z617" s="1102" t="s">
        <v>6899</v>
      </c>
    </row>
    <row r="618" spans="2:26" ht="12.75" customHeight="1" x14ac:dyDescent="0.2">
      <c r="B618" s="2090" t="str">
        <f t="shared" si="18"/>
        <v>Conocimiento24</v>
      </c>
      <c r="C618" s="1103"/>
      <c r="D618" s="521" t="s">
        <v>849</v>
      </c>
      <c r="E618" s="1099" t="s">
        <v>89</v>
      </c>
      <c r="F618" s="1099">
        <v>24</v>
      </c>
      <c r="G618" s="1108" t="s">
        <v>1690</v>
      </c>
      <c r="H618" s="1108" t="s">
        <v>1538</v>
      </c>
      <c r="I618" s="1109" t="s">
        <v>1606</v>
      </c>
      <c r="J618" s="1099">
        <v>7</v>
      </c>
      <c r="K618" s="1099">
        <v>9</v>
      </c>
      <c r="L618" s="1099">
        <v>11</v>
      </c>
      <c r="M618" s="1104">
        <v>13</v>
      </c>
      <c r="N618" s="1099">
        <v>60</v>
      </c>
      <c r="O618" s="1099">
        <v>100</v>
      </c>
      <c r="P618" s="1099">
        <v>140</v>
      </c>
      <c r="Q618" s="1104">
        <v>180</v>
      </c>
      <c r="R618" s="1099" t="s">
        <v>1690</v>
      </c>
      <c r="S618" s="1099" t="s">
        <v>1690</v>
      </c>
      <c r="T618" s="1099" t="s">
        <v>1690</v>
      </c>
      <c r="U618" s="1104" t="s">
        <v>1690</v>
      </c>
      <c r="V618" s="1101" t="s">
        <v>5092</v>
      </c>
      <c r="W618" s="1101" t="s">
        <v>5093</v>
      </c>
      <c r="X618" s="1101" t="s">
        <v>5094</v>
      </c>
      <c r="Y618" s="1101" t="s">
        <v>5118</v>
      </c>
      <c r="Z618" s="1102" t="s">
        <v>6900</v>
      </c>
    </row>
    <row r="619" spans="2:26" ht="12.75" customHeight="1" x14ac:dyDescent="0.2">
      <c r="B619" s="2090" t="str">
        <f t="shared" si="18"/>
        <v>Conocimiento34</v>
      </c>
      <c r="C619" s="1103"/>
      <c r="D619" s="521" t="s">
        <v>850</v>
      </c>
      <c r="E619" s="1099" t="s">
        <v>89</v>
      </c>
      <c r="F619" s="1099">
        <v>34</v>
      </c>
      <c r="G619" s="1108" t="s">
        <v>2446</v>
      </c>
      <c r="H619" s="1108" t="s">
        <v>1538</v>
      </c>
      <c r="I619" s="1109" t="s">
        <v>1606</v>
      </c>
      <c r="J619" s="1099">
        <v>7</v>
      </c>
      <c r="K619" s="1099">
        <v>9</v>
      </c>
      <c r="L619" s="1099">
        <v>11</v>
      </c>
      <c r="M619" s="1104">
        <v>13</v>
      </c>
      <c r="N619" s="1099">
        <v>80</v>
      </c>
      <c r="O619" s="1099">
        <v>120</v>
      </c>
      <c r="P619" s="1099">
        <v>160</v>
      </c>
      <c r="Q619" s="1104">
        <v>200</v>
      </c>
      <c r="R619" s="1099">
        <v>10</v>
      </c>
      <c r="S619" s="1099">
        <v>15</v>
      </c>
      <c r="T619" s="1099">
        <v>20</v>
      </c>
      <c r="U619" s="1104">
        <v>20</v>
      </c>
      <c r="V619" s="1101" t="s">
        <v>6901</v>
      </c>
      <c r="W619" s="1101" t="s">
        <v>5126</v>
      </c>
      <c r="X619" s="1101" t="s">
        <v>5092</v>
      </c>
      <c r="Y619" s="1101" t="s">
        <v>5093</v>
      </c>
      <c r="Z619" s="1102" t="s">
        <v>6902</v>
      </c>
    </row>
    <row r="620" spans="2:26" ht="12.75" customHeight="1" x14ac:dyDescent="0.2">
      <c r="B620" s="2090" t="str">
        <f t="shared" si="18"/>
        <v>Conocimiento44</v>
      </c>
      <c r="C620" s="1103"/>
      <c r="D620" s="521" t="s">
        <v>851</v>
      </c>
      <c r="E620" s="1099" t="s">
        <v>89</v>
      </c>
      <c r="F620" s="1099">
        <v>44</v>
      </c>
      <c r="G620" s="1108" t="s">
        <v>1690</v>
      </c>
      <c r="H620" s="1108" t="s">
        <v>1536</v>
      </c>
      <c r="I620" s="1109" t="s">
        <v>1606</v>
      </c>
      <c r="J620" s="1099">
        <v>8</v>
      </c>
      <c r="K620" s="1099">
        <v>10</v>
      </c>
      <c r="L620" s="1099">
        <v>12</v>
      </c>
      <c r="M620" s="1104">
        <v>14</v>
      </c>
      <c r="N620" s="1099">
        <v>100</v>
      </c>
      <c r="O620" s="1099">
        <v>150</v>
      </c>
      <c r="P620" s="1099">
        <v>200</v>
      </c>
      <c r="Q620" s="1104">
        <v>250</v>
      </c>
      <c r="R620" s="1099" t="s">
        <v>1690</v>
      </c>
      <c r="S620" s="1099" t="s">
        <v>1690</v>
      </c>
      <c r="T620" s="1099" t="s">
        <v>1690</v>
      </c>
      <c r="U620" s="1104" t="s">
        <v>1690</v>
      </c>
      <c r="V620" s="1101" t="s">
        <v>6903</v>
      </c>
      <c r="W620" s="1101" t="s">
        <v>6904</v>
      </c>
      <c r="X620" s="1101" t="s">
        <v>6905</v>
      </c>
      <c r="Y620" s="1101" t="s">
        <v>6906</v>
      </c>
      <c r="Z620" s="1102" t="s">
        <v>6907</v>
      </c>
    </row>
    <row r="621" spans="2:26" ht="12.75" customHeight="1" x14ac:dyDescent="0.2">
      <c r="B621" s="2090" t="str">
        <f t="shared" si="18"/>
        <v>Conocimiento54</v>
      </c>
      <c r="C621" s="1103"/>
      <c r="D621" s="521" t="s">
        <v>852</v>
      </c>
      <c r="E621" s="1099" t="s">
        <v>89</v>
      </c>
      <c r="F621" s="1099">
        <v>54</v>
      </c>
      <c r="G621" s="1108" t="s">
        <v>1690</v>
      </c>
      <c r="H621" s="1108" t="s">
        <v>1537</v>
      </c>
      <c r="I621" s="1109" t="s">
        <v>1606</v>
      </c>
      <c r="J621" s="1099">
        <v>7</v>
      </c>
      <c r="K621" s="1099">
        <v>9</v>
      </c>
      <c r="L621" s="1099">
        <v>11</v>
      </c>
      <c r="M621" s="1104">
        <v>13</v>
      </c>
      <c r="N621" s="1099">
        <v>80</v>
      </c>
      <c r="O621" s="1099">
        <v>120</v>
      </c>
      <c r="P621" s="1099">
        <v>160</v>
      </c>
      <c r="Q621" s="1104">
        <v>200</v>
      </c>
      <c r="R621" s="1099">
        <v>5</v>
      </c>
      <c r="S621" s="1099">
        <v>10</v>
      </c>
      <c r="T621" s="1099">
        <v>20</v>
      </c>
      <c r="U621" s="1104">
        <v>20</v>
      </c>
      <c r="V621" s="1101" t="s">
        <v>6908</v>
      </c>
      <c r="W621" s="1101" t="s">
        <v>6909</v>
      </c>
      <c r="X621" s="1101" t="s">
        <v>6910</v>
      </c>
      <c r="Y621" s="1101" t="s">
        <v>6911</v>
      </c>
      <c r="Z621" s="1102" t="s">
        <v>6912</v>
      </c>
    </row>
    <row r="622" spans="2:26" ht="12.75" customHeight="1" x14ac:dyDescent="0.2">
      <c r="B622" s="2090" t="str">
        <f t="shared" si="18"/>
        <v>Conocimiento64</v>
      </c>
      <c r="C622" s="1103"/>
      <c r="D622" s="521" t="s">
        <v>853</v>
      </c>
      <c r="E622" s="1099" t="s">
        <v>89</v>
      </c>
      <c r="F622" s="1099">
        <v>64</v>
      </c>
      <c r="G622" s="1108" t="s">
        <v>2446</v>
      </c>
      <c r="H622" s="1108" t="s">
        <v>1537</v>
      </c>
      <c r="I622" s="1109" t="s">
        <v>1606</v>
      </c>
      <c r="J622" s="1099">
        <v>8</v>
      </c>
      <c r="K622" s="1099">
        <v>10</v>
      </c>
      <c r="L622" s="1099">
        <v>12</v>
      </c>
      <c r="M622" s="1104">
        <v>14</v>
      </c>
      <c r="N622" s="1099">
        <v>100</v>
      </c>
      <c r="O622" s="1099">
        <v>150</v>
      </c>
      <c r="P622" s="1099">
        <v>200</v>
      </c>
      <c r="Q622" s="1104">
        <v>250</v>
      </c>
      <c r="R622" s="1099">
        <v>10</v>
      </c>
      <c r="S622" s="1099">
        <v>20</v>
      </c>
      <c r="T622" s="1099">
        <v>30</v>
      </c>
      <c r="U622" s="1104">
        <v>40</v>
      </c>
      <c r="V622" s="1101" t="s">
        <v>6913</v>
      </c>
      <c r="W622" s="1101" t="s">
        <v>6914</v>
      </c>
      <c r="X622" s="1101" t="s">
        <v>6915</v>
      </c>
      <c r="Y622" s="1101" t="s">
        <v>6916</v>
      </c>
      <c r="Z622" s="1102" t="s">
        <v>6917</v>
      </c>
    </row>
    <row r="623" spans="2:26" ht="12.75" customHeight="1" x14ac:dyDescent="0.2">
      <c r="B623" s="2090" t="str">
        <f t="shared" si="18"/>
        <v>Conocimiento74</v>
      </c>
      <c r="C623" s="1103"/>
      <c r="D623" s="521" t="s">
        <v>854</v>
      </c>
      <c r="E623" s="1099" t="s">
        <v>89</v>
      </c>
      <c r="F623" s="1099">
        <v>74</v>
      </c>
      <c r="G623" s="1108" t="s">
        <v>1690</v>
      </c>
      <c r="H623" s="1108" t="s">
        <v>1536</v>
      </c>
      <c r="I623" s="1109" t="s">
        <v>1606</v>
      </c>
      <c r="J623" s="1099">
        <v>6</v>
      </c>
      <c r="K623" s="1099">
        <v>9</v>
      </c>
      <c r="L623" s="1099">
        <v>11</v>
      </c>
      <c r="M623" s="1104">
        <v>13</v>
      </c>
      <c r="N623" s="1099">
        <v>60</v>
      </c>
      <c r="O623" s="1099">
        <v>100</v>
      </c>
      <c r="P623" s="1099">
        <v>140</v>
      </c>
      <c r="Q623" s="1104">
        <v>200</v>
      </c>
      <c r="R623" s="1099">
        <v>5</v>
      </c>
      <c r="S623" s="1099">
        <v>10</v>
      </c>
      <c r="T623" s="1099">
        <v>15</v>
      </c>
      <c r="U623" s="1104">
        <v>20</v>
      </c>
      <c r="V623" s="1101" t="s">
        <v>6918</v>
      </c>
      <c r="W623" s="1101" t="s">
        <v>6919</v>
      </c>
      <c r="X623" s="1101" t="s">
        <v>6920</v>
      </c>
      <c r="Y623" s="1101" t="s">
        <v>6921</v>
      </c>
      <c r="Z623" s="1102" t="s">
        <v>6922</v>
      </c>
    </row>
    <row r="624" spans="2:26" ht="12.75" customHeight="1" x14ac:dyDescent="0.2">
      <c r="B624" s="2090" t="str">
        <f t="shared" si="18"/>
        <v>Conocimiento84</v>
      </c>
      <c r="C624" s="1103"/>
      <c r="D624" s="521" t="s">
        <v>855</v>
      </c>
      <c r="E624" s="1099" t="s">
        <v>89</v>
      </c>
      <c r="F624" s="1099">
        <v>84</v>
      </c>
      <c r="G624" s="1108" t="s">
        <v>2446</v>
      </c>
      <c r="H624" s="1108" t="s">
        <v>1535</v>
      </c>
      <c r="I624" s="1109" t="s">
        <v>1606</v>
      </c>
      <c r="J624" s="1099">
        <v>8</v>
      </c>
      <c r="K624" s="1099">
        <v>10</v>
      </c>
      <c r="L624" s="1099">
        <v>12</v>
      </c>
      <c r="M624" s="1104">
        <v>14</v>
      </c>
      <c r="N624" s="1099">
        <v>100</v>
      </c>
      <c r="O624" s="1099">
        <v>150</v>
      </c>
      <c r="P624" s="1099">
        <v>200</v>
      </c>
      <c r="Q624" s="1104">
        <v>250</v>
      </c>
      <c r="R624" s="1099">
        <v>5</v>
      </c>
      <c r="S624" s="1099">
        <v>10</v>
      </c>
      <c r="T624" s="1099">
        <v>15</v>
      </c>
      <c r="U624" s="1104">
        <v>20</v>
      </c>
      <c r="V624" s="1101" t="s">
        <v>6923</v>
      </c>
      <c r="W624" s="1101" t="s">
        <v>6924</v>
      </c>
      <c r="X624" s="1101" t="s">
        <v>6925</v>
      </c>
      <c r="Y624" s="1101" t="s">
        <v>6926</v>
      </c>
      <c r="Z624" s="1102" t="s">
        <v>6927</v>
      </c>
    </row>
    <row r="625" spans="2:26" ht="12.75" customHeight="1" x14ac:dyDescent="0.2">
      <c r="B625" s="2090" t="str">
        <f t="shared" si="18"/>
        <v>Conocimiento94</v>
      </c>
      <c r="C625" s="1103"/>
      <c r="D625" s="521" t="s">
        <v>856</v>
      </c>
      <c r="E625" s="1099" t="s">
        <v>89</v>
      </c>
      <c r="F625" s="1099">
        <v>94</v>
      </c>
      <c r="G625" s="1108" t="s">
        <v>1690</v>
      </c>
      <c r="H625" s="1108" t="s">
        <v>1536</v>
      </c>
      <c r="I625" s="1109" t="s">
        <v>1606</v>
      </c>
      <c r="J625" s="1099">
        <v>10</v>
      </c>
      <c r="K625" s="1099">
        <v>12</v>
      </c>
      <c r="L625" s="1099">
        <v>14</v>
      </c>
      <c r="M625" s="1104">
        <v>16</v>
      </c>
      <c r="N625" s="1099">
        <v>400</v>
      </c>
      <c r="O625" s="1099">
        <v>600</v>
      </c>
      <c r="P625" s="1099">
        <v>800</v>
      </c>
      <c r="Q625" s="1104">
        <v>1000</v>
      </c>
      <c r="R625" s="1099">
        <v>40</v>
      </c>
      <c r="S625" s="1099">
        <v>60</v>
      </c>
      <c r="T625" s="1099">
        <v>80</v>
      </c>
      <c r="U625" s="1104">
        <v>100</v>
      </c>
      <c r="V625" s="1101" t="s">
        <v>6928</v>
      </c>
      <c r="W625" s="1101" t="s">
        <v>6929</v>
      </c>
      <c r="X625" s="1101" t="s">
        <v>6930</v>
      </c>
      <c r="Y625" s="1101" t="s">
        <v>6931</v>
      </c>
      <c r="Z625" s="1102" t="s">
        <v>6932</v>
      </c>
    </row>
    <row r="626" spans="2:26" ht="12.75" customHeight="1" x14ac:dyDescent="0.2">
      <c r="B626" s="2090" t="str">
        <f t="shared" si="18"/>
        <v/>
      </c>
      <c r="C626" s="1103"/>
      <c r="D626" s="521" t="s">
        <v>857</v>
      </c>
      <c r="E626" s="1099"/>
      <c r="F626" s="1099"/>
      <c r="G626" s="1108"/>
      <c r="H626" s="1108"/>
      <c r="I626" s="1109"/>
      <c r="J626" s="1099"/>
      <c r="K626" s="1099"/>
      <c r="L626" s="1099"/>
      <c r="M626" s="1104"/>
      <c r="N626" s="1099"/>
      <c r="O626" s="1099"/>
      <c r="P626" s="1099"/>
      <c r="Q626" s="1104"/>
      <c r="R626" s="1099"/>
      <c r="S626" s="1099"/>
      <c r="T626" s="1099"/>
      <c r="U626" s="1104"/>
      <c r="V626" s="1101"/>
      <c r="W626" s="1101"/>
      <c r="X626" s="1101"/>
      <c r="Y626" s="1101"/>
      <c r="Z626" s="1102"/>
    </row>
    <row r="627" spans="2:26" ht="12.75" customHeight="1" x14ac:dyDescent="0.2">
      <c r="B627" s="2090" t="str">
        <f t="shared" si="18"/>
        <v>Sangre4</v>
      </c>
      <c r="C627" s="1103"/>
      <c r="D627" s="521" t="s">
        <v>858</v>
      </c>
      <c r="E627" s="1099" t="s">
        <v>90</v>
      </c>
      <c r="F627" s="1099">
        <v>4</v>
      </c>
      <c r="G627" s="1108" t="s">
        <v>1690</v>
      </c>
      <c r="H627" s="1108" t="s">
        <v>1535</v>
      </c>
      <c r="I627" s="1109" t="s">
        <v>1606</v>
      </c>
      <c r="J627" s="1099">
        <v>5</v>
      </c>
      <c r="K627" s="1099">
        <v>8</v>
      </c>
      <c r="L627" s="1099">
        <v>10</v>
      </c>
      <c r="M627" s="1104">
        <v>13</v>
      </c>
      <c r="N627" s="1099">
        <v>30</v>
      </c>
      <c r="O627" s="1099">
        <v>60</v>
      </c>
      <c r="P627" s="1099">
        <v>100</v>
      </c>
      <c r="Q627" s="1104">
        <v>150</v>
      </c>
      <c r="R627" s="1099" t="s">
        <v>1690</v>
      </c>
      <c r="S627" s="1099" t="s">
        <v>1690</v>
      </c>
      <c r="T627" s="1099" t="s">
        <v>1690</v>
      </c>
      <c r="U627" s="1104" t="s">
        <v>1690</v>
      </c>
      <c r="V627" s="1101" t="s">
        <v>4967</v>
      </c>
      <c r="W627" s="1101" t="s">
        <v>5006</v>
      </c>
      <c r="X627" s="1101" t="s">
        <v>4968</v>
      </c>
      <c r="Y627" s="1101" t="s">
        <v>4864</v>
      </c>
      <c r="Z627" s="1102" t="s">
        <v>6933</v>
      </c>
    </row>
    <row r="628" spans="2:26" ht="12.75" customHeight="1" x14ac:dyDescent="0.2">
      <c r="B628" s="2090" t="str">
        <f t="shared" si="18"/>
        <v>Sangre14</v>
      </c>
      <c r="C628" s="1103"/>
      <c r="D628" s="521" t="s">
        <v>859</v>
      </c>
      <c r="E628" s="1099" t="s">
        <v>90</v>
      </c>
      <c r="F628" s="1099">
        <v>14</v>
      </c>
      <c r="G628" s="1108" t="s">
        <v>1690</v>
      </c>
      <c r="H628" s="1108" t="s">
        <v>1536</v>
      </c>
      <c r="I628" s="1109" t="s">
        <v>1606</v>
      </c>
      <c r="J628" s="1099">
        <v>6</v>
      </c>
      <c r="K628" s="1099">
        <v>8</v>
      </c>
      <c r="L628" s="1099">
        <v>10</v>
      </c>
      <c r="M628" s="1104">
        <v>13</v>
      </c>
      <c r="N628" s="1099">
        <v>40</v>
      </c>
      <c r="O628" s="1099">
        <v>80</v>
      </c>
      <c r="P628" s="1099">
        <v>120</v>
      </c>
      <c r="Q628" s="1104">
        <v>160</v>
      </c>
      <c r="R628" s="1099" t="s">
        <v>1690</v>
      </c>
      <c r="S628" s="1099" t="s">
        <v>1690</v>
      </c>
      <c r="T628" s="1099" t="s">
        <v>1690</v>
      </c>
      <c r="U628" s="1104" t="s">
        <v>1690</v>
      </c>
      <c r="V628" s="1101" t="s">
        <v>6934</v>
      </c>
      <c r="W628" s="1101" t="s">
        <v>6935</v>
      </c>
      <c r="X628" s="1101" t="s">
        <v>6936</v>
      </c>
      <c r="Y628" s="1101" t="s">
        <v>6937</v>
      </c>
      <c r="Z628" s="1102" t="s">
        <v>6938</v>
      </c>
    </row>
    <row r="629" spans="2:26" ht="12.75" customHeight="1" x14ac:dyDescent="0.2">
      <c r="B629" s="2090" t="str">
        <f t="shared" si="18"/>
        <v>Sangre24</v>
      </c>
      <c r="C629" s="1103"/>
      <c r="D629" s="521" t="s">
        <v>2252</v>
      </c>
      <c r="E629" s="1099" t="s">
        <v>90</v>
      </c>
      <c r="F629" s="1099">
        <v>24</v>
      </c>
      <c r="G629" s="1108" t="s">
        <v>2446</v>
      </c>
      <c r="H629" s="1108" t="s">
        <v>1536</v>
      </c>
      <c r="I629" s="1109" t="s">
        <v>1606</v>
      </c>
      <c r="J629" s="1099">
        <v>6</v>
      </c>
      <c r="K629" s="1099">
        <v>9</v>
      </c>
      <c r="L629" s="1099">
        <v>12</v>
      </c>
      <c r="M629" s="1104">
        <v>15</v>
      </c>
      <c r="N629" s="1099">
        <v>50</v>
      </c>
      <c r="O629" s="1099">
        <v>90</v>
      </c>
      <c r="P629" s="1099">
        <v>120</v>
      </c>
      <c r="Q629" s="1104">
        <v>150</v>
      </c>
      <c r="R629" s="1099">
        <v>5</v>
      </c>
      <c r="S629" s="1099">
        <v>20</v>
      </c>
      <c r="T629" s="1099">
        <v>25</v>
      </c>
      <c r="U629" s="1104">
        <v>30</v>
      </c>
      <c r="V629" s="1101" t="s">
        <v>6939</v>
      </c>
      <c r="W629" s="1101" t="s">
        <v>6940</v>
      </c>
      <c r="X629" s="1101" t="s">
        <v>6941</v>
      </c>
      <c r="Y629" s="1101" t="s">
        <v>6942</v>
      </c>
      <c r="Z629" s="1102" t="s">
        <v>6943</v>
      </c>
    </row>
    <row r="630" spans="2:26" ht="12.75" customHeight="1" x14ac:dyDescent="0.2">
      <c r="B630" s="2090" t="str">
        <f t="shared" si="18"/>
        <v>Sangre34</v>
      </c>
      <c r="C630" s="1103"/>
      <c r="D630" s="521" t="s">
        <v>860</v>
      </c>
      <c r="E630" s="1099" t="s">
        <v>90</v>
      </c>
      <c r="F630" s="1099">
        <v>34</v>
      </c>
      <c r="G630" s="1108" t="s">
        <v>1690</v>
      </c>
      <c r="H630" s="1108" t="s">
        <v>1536</v>
      </c>
      <c r="I630" s="1109" t="s">
        <v>1606</v>
      </c>
      <c r="J630" s="1099">
        <v>6</v>
      </c>
      <c r="K630" s="1099">
        <v>9</v>
      </c>
      <c r="L630" s="1099">
        <v>12</v>
      </c>
      <c r="M630" s="1104">
        <v>15</v>
      </c>
      <c r="N630" s="1099">
        <v>80</v>
      </c>
      <c r="O630" s="1099">
        <v>120</v>
      </c>
      <c r="P630" s="1099">
        <v>160</v>
      </c>
      <c r="Q630" s="1104">
        <v>200</v>
      </c>
      <c r="R630" s="1099">
        <v>10</v>
      </c>
      <c r="S630" s="1099">
        <v>40</v>
      </c>
      <c r="T630" s="1099">
        <v>50</v>
      </c>
      <c r="U630" s="1104">
        <v>60</v>
      </c>
      <c r="V630" s="1101" t="s">
        <v>6944</v>
      </c>
      <c r="W630" s="1101" t="s">
        <v>6945</v>
      </c>
      <c r="X630" s="1101" t="s">
        <v>6946</v>
      </c>
      <c r="Y630" s="1101" t="s">
        <v>6947</v>
      </c>
      <c r="Z630" s="1102" t="s">
        <v>6948</v>
      </c>
    </row>
    <row r="631" spans="2:26" ht="12.75" customHeight="1" x14ac:dyDescent="0.2">
      <c r="B631" s="2090" t="str">
        <f t="shared" si="18"/>
        <v>Sangre44</v>
      </c>
      <c r="C631" s="1103"/>
      <c r="D631" s="521" t="s">
        <v>861</v>
      </c>
      <c r="E631" s="1099" t="s">
        <v>90</v>
      </c>
      <c r="F631" s="1099">
        <v>44</v>
      </c>
      <c r="G631" s="1108" t="s">
        <v>1690</v>
      </c>
      <c r="H631" s="1108" t="s">
        <v>1536</v>
      </c>
      <c r="I631" s="1109" t="s">
        <v>1606</v>
      </c>
      <c r="J631" s="1099">
        <v>6</v>
      </c>
      <c r="K631" s="1099">
        <v>8</v>
      </c>
      <c r="L631" s="1099">
        <v>10</v>
      </c>
      <c r="M631" s="1104">
        <v>12</v>
      </c>
      <c r="N631" s="1099">
        <v>40</v>
      </c>
      <c r="O631" s="1099">
        <v>60</v>
      </c>
      <c r="P631" s="1099">
        <v>80</v>
      </c>
      <c r="Q631" s="1104">
        <v>100</v>
      </c>
      <c r="R631" s="1099" t="s">
        <v>1690</v>
      </c>
      <c r="S631" s="1099" t="s">
        <v>1690</v>
      </c>
      <c r="T631" s="1099" t="s">
        <v>1690</v>
      </c>
      <c r="U631" s="1104" t="s">
        <v>1690</v>
      </c>
      <c r="V631" s="1101" t="s">
        <v>6949</v>
      </c>
      <c r="W631" s="1101" t="s">
        <v>6950</v>
      </c>
      <c r="X631" s="1101" t="s">
        <v>6951</v>
      </c>
      <c r="Y631" s="1101" t="s">
        <v>6952</v>
      </c>
      <c r="Z631" s="1102" t="s">
        <v>6953</v>
      </c>
    </row>
    <row r="632" spans="2:26" ht="12.75" customHeight="1" x14ac:dyDescent="0.2">
      <c r="B632" s="2090" t="str">
        <f t="shared" si="18"/>
        <v>Sangre54</v>
      </c>
      <c r="C632" s="1103"/>
      <c r="D632" s="521" t="s">
        <v>862</v>
      </c>
      <c r="E632" s="1099" t="s">
        <v>90</v>
      </c>
      <c r="F632" s="1099">
        <v>54</v>
      </c>
      <c r="G632" s="1108" t="s">
        <v>1690</v>
      </c>
      <c r="H632" s="1108" t="s">
        <v>1535</v>
      </c>
      <c r="I632" s="1109" t="s">
        <v>1606</v>
      </c>
      <c r="J632" s="1099">
        <v>6</v>
      </c>
      <c r="K632" s="1099">
        <v>9</v>
      </c>
      <c r="L632" s="1099">
        <v>12</v>
      </c>
      <c r="M632" s="1104">
        <v>15</v>
      </c>
      <c r="N632" s="1099">
        <v>100</v>
      </c>
      <c r="O632" s="1099">
        <v>150</v>
      </c>
      <c r="P632" s="1099">
        <v>200</v>
      </c>
      <c r="Q632" s="1104">
        <v>250</v>
      </c>
      <c r="R632" s="1099">
        <v>10</v>
      </c>
      <c r="S632" s="1099">
        <v>15</v>
      </c>
      <c r="T632" s="1099">
        <v>20</v>
      </c>
      <c r="U632" s="1104">
        <v>25</v>
      </c>
      <c r="V632" s="1101" t="s">
        <v>6954</v>
      </c>
      <c r="W632" s="1101" t="s">
        <v>6955</v>
      </c>
      <c r="X632" s="1101" t="s">
        <v>6956</v>
      </c>
      <c r="Y632" s="1101" t="s">
        <v>6957</v>
      </c>
      <c r="Z632" s="1102" t="s">
        <v>6958</v>
      </c>
    </row>
    <row r="633" spans="2:26" ht="12.75" customHeight="1" x14ac:dyDescent="0.2">
      <c r="B633" s="2090" t="str">
        <f t="shared" si="18"/>
        <v>Sangre64</v>
      </c>
      <c r="C633" s="1103"/>
      <c r="D633" s="521" t="s">
        <v>863</v>
      </c>
      <c r="E633" s="1099" t="s">
        <v>90</v>
      </c>
      <c r="F633" s="1099">
        <v>64</v>
      </c>
      <c r="G633" s="1108" t="s">
        <v>1690</v>
      </c>
      <c r="H633" s="1108" t="s">
        <v>1536</v>
      </c>
      <c r="I633" s="1109" t="s">
        <v>1606</v>
      </c>
      <c r="J633" s="1099">
        <v>8</v>
      </c>
      <c r="K633" s="1099">
        <v>10</v>
      </c>
      <c r="L633" s="1099">
        <v>12</v>
      </c>
      <c r="M633" s="1104">
        <v>15</v>
      </c>
      <c r="N633" s="1099">
        <v>150</v>
      </c>
      <c r="O633" s="1099">
        <v>200</v>
      </c>
      <c r="P633" s="1099">
        <v>250</v>
      </c>
      <c r="Q633" s="1104">
        <v>300</v>
      </c>
      <c r="R633" s="1099">
        <v>10</v>
      </c>
      <c r="S633" s="1099">
        <v>10</v>
      </c>
      <c r="T633" s="1099">
        <v>15</v>
      </c>
      <c r="U633" s="1104">
        <v>15</v>
      </c>
      <c r="V633" s="1101" t="s">
        <v>6959</v>
      </c>
      <c r="W633" s="1101" t="s">
        <v>6960</v>
      </c>
      <c r="X633" s="1101" t="s">
        <v>6961</v>
      </c>
      <c r="Y633" s="1101" t="s">
        <v>6962</v>
      </c>
      <c r="Z633" s="1102" t="s">
        <v>6963</v>
      </c>
    </row>
    <row r="634" spans="2:26" ht="12.75" customHeight="1" x14ac:dyDescent="0.2">
      <c r="B634" s="2090" t="str">
        <f t="shared" si="18"/>
        <v>Sangre74</v>
      </c>
      <c r="C634" s="1103"/>
      <c r="D634" s="521" t="s">
        <v>864</v>
      </c>
      <c r="E634" s="1099" t="s">
        <v>90</v>
      </c>
      <c r="F634" s="1099">
        <v>74</v>
      </c>
      <c r="G634" s="1108" t="s">
        <v>1690</v>
      </c>
      <c r="H634" s="1108" t="s">
        <v>1535</v>
      </c>
      <c r="I634" s="1109" t="s">
        <v>1606</v>
      </c>
      <c r="J634" s="1099">
        <v>10</v>
      </c>
      <c r="K634" s="1099">
        <v>13</v>
      </c>
      <c r="L634" s="1099">
        <v>15</v>
      </c>
      <c r="M634" s="1104">
        <v>17</v>
      </c>
      <c r="N634" s="1099">
        <v>280</v>
      </c>
      <c r="O634" s="1099">
        <v>320</v>
      </c>
      <c r="P634" s="1099">
        <v>360</v>
      </c>
      <c r="Q634" s="1104">
        <v>400</v>
      </c>
      <c r="R634" s="1099" t="s">
        <v>1690</v>
      </c>
      <c r="S634" s="1099" t="s">
        <v>1690</v>
      </c>
      <c r="T634" s="1099" t="s">
        <v>1690</v>
      </c>
      <c r="U634" s="1104" t="s">
        <v>1690</v>
      </c>
      <c r="V634" s="1101" t="s">
        <v>6964</v>
      </c>
      <c r="W634" s="1101" t="s">
        <v>6965</v>
      </c>
      <c r="X634" s="1101" t="s">
        <v>6966</v>
      </c>
      <c r="Y634" s="1101" t="s">
        <v>6967</v>
      </c>
      <c r="Z634" s="1102" t="s">
        <v>6968</v>
      </c>
    </row>
    <row r="635" spans="2:26" ht="12.75" customHeight="1" x14ac:dyDescent="0.2">
      <c r="B635" s="2090" t="str">
        <f t="shared" si="18"/>
        <v>Sangre84</v>
      </c>
      <c r="C635" s="1103"/>
      <c r="D635" s="521" t="s">
        <v>865</v>
      </c>
      <c r="E635" s="1099" t="s">
        <v>90</v>
      </c>
      <c r="F635" s="1099">
        <v>84</v>
      </c>
      <c r="G635" s="1108" t="s">
        <v>1690</v>
      </c>
      <c r="H635" s="1108" t="s">
        <v>1536</v>
      </c>
      <c r="I635" s="1109" t="s">
        <v>1607</v>
      </c>
      <c r="J635" s="1099">
        <v>10</v>
      </c>
      <c r="K635" s="1099">
        <v>12</v>
      </c>
      <c r="L635" s="1099">
        <v>15</v>
      </c>
      <c r="M635" s="1104">
        <v>17</v>
      </c>
      <c r="N635" s="1099">
        <v>200</v>
      </c>
      <c r="O635" s="1099">
        <v>240</v>
      </c>
      <c r="P635" s="1099">
        <v>300</v>
      </c>
      <c r="Q635" s="1104">
        <v>340</v>
      </c>
      <c r="R635" s="1099">
        <v>40</v>
      </c>
      <c r="S635" s="1099">
        <v>50</v>
      </c>
      <c r="T635" s="1099">
        <v>60</v>
      </c>
      <c r="U635" s="1104">
        <v>70</v>
      </c>
      <c r="V635" s="1101" t="s">
        <v>6969</v>
      </c>
      <c r="W635" s="1101" t="s">
        <v>6970</v>
      </c>
      <c r="X635" s="1101" t="s">
        <v>6971</v>
      </c>
      <c r="Y635" s="1101" t="s">
        <v>6972</v>
      </c>
      <c r="Z635" s="1102" t="s">
        <v>6973</v>
      </c>
    </row>
    <row r="636" spans="2:26" ht="12.75" customHeight="1" x14ac:dyDescent="0.2">
      <c r="B636" s="2090" t="str">
        <f t="shared" si="18"/>
        <v>Sangre94</v>
      </c>
      <c r="C636" s="1103"/>
      <c r="D636" s="521" t="s">
        <v>866</v>
      </c>
      <c r="E636" s="1099" t="s">
        <v>90</v>
      </c>
      <c r="F636" s="1099">
        <v>94</v>
      </c>
      <c r="G636" s="1108" t="s">
        <v>1690</v>
      </c>
      <c r="H636" s="1108" t="s">
        <v>1535</v>
      </c>
      <c r="I636" s="1109" t="s">
        <v>1606</v>
      </c>
      <c r="J636" s="1099">
        <v>10</v>
      </c>
      <c r="K636" s="1099">
        <v>13</v>
      </c>
      <c r="L636" s="1099">
        <v>15</v>
      </c>
      <c r="M636" s="1104">
        <v>17</v>
      </c>
      <c r="N636" s="1099">
        <v>280</v>
      </c>
      <c r="O636" s="1099">
        <v>320</v>
      </c>
      <c r="P636" s="1099">
        <v>360</v>
      </c>
      <c r="Q636" s="1104">
        <v>400</v>
      </c>
      <c r="R636" s="1099" t="s">
        <v>1690</v>
      </c>
      <c r="S636" s="1099" t="s">
        <v>1690</v>
      </c>
      <c r="T636" s="1099" t="s">
        <v>1690</v>
      </c>
      <c r="U636" s="1104" t="s">
        <v>1690</v>
      </c>
      <c r="V636" s="1101" t="s">
        <v>6974</v>
      </c>
      <c r="W636" s="1101" t="s">
        <v>6975</v>
      </c>
      <c r="X636" s="1101" t="s">
        <v>6976</v>
      </c>
      <c r="Y636" s="1101" t="s">
        <v>6977</v>
      </c>
      <c r="Z636" s="1102" t="s">
        <v>6978</v>
      </c>
    </row>
    <row r="637" spans="2:26" ht="12.75" customHeight="1" x14ac:dyDescent="0.2">
      <c r="B637" s="2090" t="str">
        <f t="shared" si="18"/>
        <v/>
      </c>
      <c r="C637" s="1103"/>
      <c r="D637" s="521" t="s">
        <v>867</v>
      </c>
      <c r="E637" s="1099"/>
      <c r="F637" s="1099"/>
      <c r="G637" s="1108"/>
      <c r="H637" s="1108"/>
      <c r="I637" s="1109"/>
      <c r="J637" s="1099"/>
      <c r="K637" s="1099"/>
      <c r="L637" s="1099"/>
      <c r="M637" s="1104"/>
      <c r="N637" s="1099"/>
      <c r="O637" s="1099"/>
      <c r="P637" s="1099"/>
      <c r="Q637" s="1104"/>
      <c r="R637" s="1099"/>
      <c r="S637" s="1099"/>
      <c r="T637" s="1099"/>
      <c r="U637" s="1104"/>
      <c r="V637" s="1101"/>
      <c r="W637" s="1101"/>
      <c r="X637" s="1101"/>
      <c r="Y637" s="1101"/>
      <c r="Z637" s="1102"/>
    </row>
    <row r="638" spans="2:26" ht="12.75" customHeight="1" x14ac:dyDescent="0.2">
      <c r="B638" s="2090" t="str">
        <f t="shared" si="18"/>
        <v>Sueños4</v>
      </c>
      <c r="C638" s="1103"/>
      <c r="D638" s="521" t="s">
        <v>868</v>
      </c>
      <c r="E638" s="1099" t="s">
        <v>91</v>
      </c>
      <c r="F638" s="1099">
        <v>4</v>
      </c>
      <c r="G638" s="1108" t="s">
        <v>1690</v>
      </c>
      <c r="H638" s="1108" t="s">
        <v>1538</v>
      </c>
      <c r="I638" s="1109" t="s">
        <v>1606</v>
      </c>
      <c r="J638" s="1099">
        <v>5</v>
      </c>
      <c r="K638" s="1099">
        <v>8</v>
      </c>
      <c r="L638" s="1099">
        <v>10</v>
      </c>
      <c r="M638" s="1104">
        <v>12</v>
      </c>
      <c r="N638" s="1099">
        <v>40</v>
      </c>
      <c r="O638" s="1099">
        <v>60</v>
      </c>
      <c r="P638" s="1099">
        <v>80</v>
      </c>
      <c r="Q638" s="1104">
        <v>100</v>
      </c>
      <c r="R638" s="1099" t="s">
        <v>1690</v>
      </c>
      <c r="S638" s="1099" t="s">
        <v>1690</v>
      </c>
      <c r="T638" s="1099" t="s">
        <v>1690</v>
      </c>
      <c r="U638" s="1104" t="s">
        <v>1690</v>
      </c>
      <c r="V638" s="1101" t="s">
        <v>6979</v>
      </c>
      <c r="W638" s="1101" t="s">
        <v>6980</v>
      </c>
      <c r="X638" s="1101" t="s">
        <v>6981</v>
      </c>
      <c r="Y638" s="1101" t="s">
        <v>6982</v>
      </c>
      <c r="Z638" s="1102" t="s">
        <v>8654</v>
      </c>
    </row>
    <row r="639" spans="2:26" ht="12.75" customHeight="1" x14ac:dyDescent="0.2">
      <c r="B639" s="2090" t="str">
        <f t="shared" si="18"/>
        <v>Sueños14</v>
      </c>
      <c r="C639" s="1103"/>
      <c r="D639" s="521" t="s">
        <v>869</v>
      </c>
      <c r="E639" s="1099" t="s">
        <v>91</v>
      </c>
      <c r="F639" s="1099">
        <v>14</v>
      </c>
      <c r="G639" s="1108" t="s">
        <v>2446</v>
      </c>
      <c r="H639" s="1108" t="s">
        <v>1536</v>
      </c>
      <c r="I639" s="1109" t="s">
        <v>1606</v>
      </c>
      <c r="J639" s="1099">
        <v>5</v>
      </c>
      <c r="K639" s="1099">
        <v>8</v>
      </c>
      <c r="L639" s="1099">
        <v>10</v>
      </c>
      <c r="M639" s="1104">
        <v>12</v>
      </c>
      <c r="N639" s="1099">
        <v>60</v>
      </c>
      <c r="O639" s="1099">
        <v>80</v>
      </c>
      <c r="P639" s="1099">
        <v>100</v>
      </c>
      <c r="Q639" s="1104">
        <v>120</v>
      </c>
      <c r="R639" s="1099">
        <v>5</v>
      </c>
      <c r="S639" s="1099">
        <v>5</v>
      </c>
      <c r="T639" s="1099">
        <v>5</v>
      </c>
      <c r="U639" s="1104">
        <v>10</v>
      </c>
      <c r="V639" s="1101" t="s">
        <v>6983</v>
      </c>
      <c r="W639" s="1101" t="s">
        <v>6984</v>
      </c>
      <c r="X639" s="1101" t="s">
        <v>6985</v>
      </c>
      <c r="Y639" s="1101" t="s">
        <v>6986</v>
      </c>
      <c r="Z639" s="1102" t="s">
        <v>8655</v>
      </c>
    </row>
    <row r="640" spans="2:26" ht="12.75" customHeight="1" x14ac:dyDescent="0.2">
      <c r="B640" s="2090" t="str">
        <f t="shared" si="18"/>
        <v>Sueños24</v>
      </c>
      <c r="C640" s="1103"/>
      <c r="D640" s="521" t="s">
        <v>870</v>
      </c>
      <c r="E640" s="1099" t="s">
        <v>91</v>
      </c>
      <c r="F640" s="1099">
        <v>24</v>
      </c>
      <c r="G640" s="1108" t="s">
        <v>2446</v>
      </c>
      <c r="H640" s="1108" t="s">
        <v>1535</v>
      </c>
      <c r="I640" s="1109" t="s">
        <v>1606</v>
      </c>
      <c r="J640" s="1099">
        <v>6</v>
      </c>
      <c r="K640" s="1099">
        <v>8</v>
      </c>
      <c r="L640" s="1099">
        <v>10</v>
      </c>
      <c r="M640" s="1104">
        <v>12</v>
      </c>
      <c r="N640" s="1099">
        <v>60</v>
      </c>
      <c r="O640" s="1099">
        <v>80</v>
      </c>
      <c r="P640" s="1099">
        <v>100</v>
      </c>
      <c r="Q640" s="1104">
        <v>120</v>
      </c>
      <c r="R640" s="1099">
        <v>10</v>
      </c>
      <c r="S640" s="1099">
        <v>10</v>
      </c>
      <c r="T640" s="1099">
        <v>10</v>
      </c>
      <c r="U640" s="1104">
        <v>15</v>
      </c>
      <c r="V640" s="1101" t="s">
        <v>4969</v>
      </c>
      <c r="W640" s="1101" t="s">
        <v>4864</v>
      </c>
      <c r="X640" s="1101" t="s">
        <v>4697</v>
      </c>
      <c r="Y640" s="1101" t="s">
        <v>8656</v>
      </c>
      <c r="Z640" s="1102" t="s">
        <v>8657</v>
      </c>
    </row>
    <row r="641" spans="2:26" ht="12.75" customHeight="1" x14ac:dyDescent="0.2">
      <c r="B641" s="2090" t="str">
        <f t="shared" si="18"/>
        <v>Sueños34</v>
      </c>
      <c r="C641" s="1103"/>
      <c r="D641" s="521" t="s">
        <v>871</v>
      </c>
      <c r="E641" s="1099" t="s">
        <v>91</v>
      </c>
      <c r="F641" s="1099">
        <v>34</v>
      </c>
      <c r="G641" s="1108" t="s">
        <v>1690</v>
      </c>
      <c r="H641" s="1108" t="s">
        <v>1535</v>
      </c>
      <c r="I641" s="1109" t="s">
        <v>1606</v>
      </c>
      <c r="J641" s="1099">
        <v>7</v>
      </c>
      <c r="K641" s="1099">
        <v>9</v>
      </c>
      <c r="L641" s="1099">
        <v>11</v>
      </c>
      <c r="M641" s="1104">
        <v>13</v>
      </c>
      <c r="N641" s="1099">
        <v>80</v>
      </c>
      <c r="O641" s="1099">
        <v>100</v>
      </c>
      <c r="P641" s="1099">
        <v>120</v>
      </c>
      <c r="Q641" s="1104">
        <v>140</v>
      </c>
      <c r="R641" s="1099">
        <v>10</v>
      </c>
      <c r="S641" s="1099">
        <v>10</v>
      </c>
      <c r="T641" s="1099">
        <v>10</v>
      </c>
      <c r="U641" s="1104">
        <v>15</v>
      </c>
      <c r="V641" s="1101" t="s">
        <v>4647</v>
      </c>
      <c r="W641" s="1101" t="s">
        <v>6987</v>
      </c>
      <c r="X641" s="1101" t="s">
        <v>6988</v>
      </c>
      <c r="Y641" s="1101" t="s">
        <v>6989</v>
      </c>
      <c r="Z641" s="1102" t="s">
        <v>8658</v>
      </c>
    </row>
    <row r="642" spans="2:26" ht="12.75" customHeight="1" x14ac:dyDescent="0.2">
      <c r="B642" s="2090" t="str">
        <f t="shared" si="18"/>
        <v>Sueños44</v>
      </c>
      <c r="C642" s="1103"/>
      <c r="D642" s="521" t="s">
        <v>872</v>
      </c>
      <c r="E642" s="1099" t="s">
        <v>91</v>
      </c>
      <c r="F642" s="1099">
        <v>44</v>
      </c>
      <c r="G642" s="1108" t="s">
        <v>2446</v>
      </c>
      <c r="H642" s="1108" t="s">
        <v>1536</v>
      </c>
      <c r="I642" s="1109" t="s">
        <v>1606</v>
      </c>
      <c r="J642" s="1099">
        <v>10</v>
      </c>
      <c r="K642" s="1099">
        <v>12</v>
      </c>
      <c r="L642" s="1099">
        <v>14</v>
      </c>
      <c r="M642" s="1104">
        <v>16</v>
      </c>
      <c r="N642" s="1099">
        <v>100</v>
      </c>
      <c r="O642" s="1099">
        <v>120</v>
      </c>
      <c r="P642" s="1099">
        <v>140</v>
      </c>
      <c r="Q642" s="1104">
        <v>160</v>
      </c>
      <c r="R642" s="1099">
        <v>30</v>
      </c>
      <c r="S642" s="1099">
        <v>30</v>
      </c>
      <c r="T642" s="1099">
        <v>40</v>
      </c>
      <c r="U642" s="1104">
        <v>40</v>
      </c>
      <c r="V642" s="1101" t="s">
        <v>6990</v>
      </c>
      <c r="W642" s="1101" t="s">
        <v>6991</v>
      </c>
      <c r="X642" s="1101" t="s">
        <v>6992</v>
      </c>
      <c r="Y642" s="1101" t="s">
        <v>8659</v>
      </c>
      <c r="Z642" s="1102" t="s">
        <v>8660</v>
      </c>
    </row>
    <row r="643" spans="2:26" ht="12.75" customHeight="1" x14ac:dyDescent="0.2">
      <c r="B643" s="2090" t="str">
        <f t="shared" si="18"/>
        <v>Sueños54</v>
      </c>
      <c r="C643" s="1103"/>
      <c r="D643" s="521" t="s">
        <v>873</v>
      </c>
      <c r="E643" s="1099" t="s">
        <v>91</v>
      </c>
      <c r="F643" s="1099">
        <v>54</v>
      </c>
      <c r="G643" s="1108" t="s">
        <v>2446</v>
      </c>
      <c r="H643" s="1108" t="s">
        <v>1535</v>
      </c>
      <c r="I643" s="1109" t="s">
        <v>1606</v>
      </c>
      <c r="J643" s="1099">
        <v>7</v>
      </c>
      <c r="K643" s="1099">
        <v>9</v>
      </c>
      <c r="L643" s="1099">
        <v>11</v>
      </c>
      <c r="M643" s="1104">
        <v>13</v>
      </c>
      <c r="N643" s="1099">
        <v>100</v>
      </c>
      <c r="O643" s="1099">
        <v>140</v>
      </c>
      <c r="P643" s="1099">
        <v>180</v>
      </c>
      <c r="Q643" s="1104">
        <v>240</v>
      </c>
      <c r="R643" s="1099">
        <v>10</v>
      </c>
      <c r="S643" s="1099">
        <v>20</v>
      </c>
      <c r="T643" s="1099">
        <v>20</v>
      </c>
      <c r="U643" s="1104">
        <v>25</v>
      </c>
      <c r="V643" s="1101" t="s">
        <v>4967</v>
      </c>
      <c r="W643" s="1101" t="s">
        <v>5006</v>
      </c>
      <c r="X643" s="1101" t="s">
        <v>4968</v>
      </c>
      <c r="Y643" s="1101" t="s">
        <v>4969</v>
      </c>
      <c r="Z643" s="1102" t="s">
        <v>8661</v>
      </c>
    </row>
    <row r="644" spans="2:26" ht="12.75" customHeight="1" x14ac:dyDescent="0.2">
      <c r="B644" s="2090" t="str">
        <f t="shared" si="18"/>
        <v>Sueños64</v>
      </c>
      <c r="C644" s="1103"/>
      <c r="D644" s="521" t="s">
        <v>874</v>
      </c>
      <c r="E644" s="1099" t="s">
        <v>91</v>
      </c>
      <c r="F644" s="1099">
        <v>64</v>
      </c>
      <c r="G644" s="1108" t="s">
        <v>2446</v>
      </c>
      <c r="H644" s="1108" t="s">
        <v>1536</v>
      </c>
      <c r="I644" s="1109" t="s">
        <v>1606</v>
      </c>
      <c r="J644" s="1099">
        <v>10</v>
      </c>
      <c r="K644" s="1099">
        <v>12</v>
      </c>
      <c r="L644" s="1099">
        <v>14</v>
      </c>
      <c r="M644" s="1104">
        <v>16</v>
      </c>
      <c r="N644" s="1099">
        <v>200</v>
      </c>
      <c r="O644" s="1099">
        <v>240</v>
      </c>
      <c r="P644" s="1099">
        <v>280</v>
      </c>
      <c r="Q644" s="1104">
        <v>320</v>
      </c>
      <c r="R644" s="1099">
        <v>40</v>
      </c>
      <c r="S644" s="1099">
        <v>50</v>
      </c>
      <c r="T644" s="1099">
        <v>60</v>
      </c>
      <c r="U644" s="1104">
        <v>70</v>
      </c>
      <c r="V644" s="1101" t="s">
        <v>6993</v>
      </c>
      <c r="W644" s="1101" t="s">
        <v>6994</v>
      </c>
      <c r="X644" s="1101" t="s">
        <v>6995</v>
      </c>
      <c r="Y644" s="1101" t="s">
        <v>6996</v>
      </c>
      <c r="Z644" s="1102" t="s">
        <v>6997</v>
      </c>
    </row>
    <row r="645" spans="2:26" ht="12.75" customHeight="1" x14ac:dyDescent="0.2">
      <c r="B645" s="2090" t="str">
        <f t="shared" si="18"/>
        <v>Sueños74</v>
      </c>
      <c r="C645" s="1103"/>
      <c r="D645" s="521" t="s">
        <v>875</v>
      </c>
      <c r="E645" s="1099" t="s">
        <v>91</v>
      </c>
      <c r="F645" s="1099">
        <v>74</v>
      </c>
      <c r="G645" s="1108" t="s">
        <v>1690</v>
      </c>
      <c r="H645" s="1108" t="s">
        <v>1535</v>
      </c>
      <c r="I645" s="1109" t="s">
        <v>1606</v>
      </c>
      <c r="J645" s="1099">
        <v>10</v>
      </c>
      <c r="K645" s="1099">
        <v>12</v>
      </c>
      <c r="L645" s="1099">
        <v>14</v>
      </c>
      <c r="M645" s="1104">
        <v>16</v>
      </c>
      <c r="N645" s="1099">
        <v>100</v>
      </c>
      <c r="O645" s="1099">
        <v>120</v>
      </c>
      <c r="P645" s="1099">
        <v>140</v>
      </c>
      <c r="Q645" s="1104">
        <v>160</v>
      </c>
      <c r="R645" s="1099" t="s">
        <v>1690</v>
      </c>
      <c r="S645" s="1099" t="s">
        <v>1690</v>
      </c>
      <c r="T645" s="1099" t="s">
        <v>1690</v>
      </c>
      <c r="U645" s="1104" t="s">
        <v>1690</v>
      </c>
      <c r="V645" s="1101" t="s">
        <v>5006</v>
      </c>
      <c r="W645" s="1101" t="s">
        <v>4968</v>
      </c>
      <c r="X645" s="1101" t="s">
        <v>4969</v>
      </c>
      <c r="Y645" s="1101" t="s">
        <v>4864</v>
      </c>
      <c r="Z645" s="1102" t="s">
        <v>6998</v>
      </c>
    </row>
    <row r="646" spans="2:26" ht="12.75" customHeight="1" x14ac:dyDescent="0.2">
      <c r="B646" s="2090" t="str">
        <f t="shared" si="18"/>
        <v>Sueños84</v>
      </c>
      <c r="C646" s="1103"/>
      <c r="D646" s="521" t="s">
        <v>876</v>
      </c>
      <c r="E646" s="1099" t="s">
        <v>91</v>
      </c>
      <c r="F646" s="1099">
        <v>84</v>
      </c>
      <c r="G646" s="1108" t="s">
        <v>2446</v>
      </c>
      <c r="H646" s="1108" t="s">
        <v>1536</v>
      </c>
      <c r="I646" s="1109" t="s">
        <v>1606</v>
      </c>
      <c r="J646" s="1099">
        <v>13</v>
      </c>
      <c r="K646" s="1099">
        <v>15</v>
      </c>
      <c r="L646" s="1099">
        <v>17</v>
      </c>
      <c r="M646" s="1104">
        <v>19</v>
      </c>
      <c r="N646" s="1099">
        <v>400</v>
      </c>
      <c r="O646" s="1099">
        <v>500</v>
      </c>
      <c r="P646" s="1099">
        <v>700</v>
      </c>
      <c r="Q646" s="1104">
        <v>900</v>
      </c>
      <c r="R646" s="1099">
        <v>80</v>
      </c>
      <c r="S646" s="1099">
        <v>100</v>
      </c>
      <c r="T646" s="1099">
        <v>140</v>
      </c>
      <c r="U646" s="1104">
        <v>180</v>
      </c>
      <c r="V646" s="1101" t="s">
        <v>6999</v>
      </c>
      <c r="W646" s="1101" t="s">
        <v>7000</v>
      </c>
      <c r="X646" s="1101" t="s">
        <v>7001</v>
      </c>
      <c r="Y646" s="1101" t="s">
        <v>7002</v>
      </c>
      <c r="Z646" s="1102" t="s">
        <v>7003</v>
      </c>
    </row>
    <row r="647" spans="2:26" ht="12.75" customHeight="1" x14ac:dyDescent="0.2">
      <c r="B647" s="2090" t="str">
        <f t="shared" si="18"/>
        <v>Sueños94</v>
      </c>
      <c r="C647" s="1103"/>
      <c r="D647" s="521" t="s">
        <v>877</v>
      </c>
      <c r="E647" s="1099" t="s">
        <v>91</v>
      </c>
      <c r="F647" s="1099">
        <v>94</v>
      </c>
      <c r="G647" s="1108" t="s">
        <v>2446</v>
      </c>
      <c r="H647" s="1108" t="s">
        <v>1536</v>
      </c>
      <c r="I647" s="1109" t="s">
        <v>1606</v>
      </c>
      <c r="J647" s="1099">
        <v>12</v>
      </c>
      <c r="K647" s="1099">
        <v>14</v>
      </c>
      <c r="L647" s="1099">
        <v>16</v>
      </c>
      <c r="M647" s="1104">
        <v>18</v>
      </c>
      <c r="N647" s="1099">
        <v>300</v>
      </c>
      <c r="O647" s="1099">
        <v>600</v>
      </c>
      <c r="P647" s="1099">
        <v>900</v>
      </c>
      <c r="Q647" s="1104">
        <v>1200</v>
      </c>
      <c r="R647" s="1099">
        <v>50</v>
      </c>
      <c r="S647" s="1099">
        <v>60</v>
      </c>
      <c r="T647" s="1099">
        <v>65</v>
      </c>
      <c r="U647" s="1104">
        <v>75</v>
      </c>
      <c r="V647" s="1101" t="s">
        <v>7004</v>
      </c>
      <c r="W647" s="1101" t="s">
        <v>7005</v>
      </c>
      <c r="X647" s="1101" t="s">
        <v>7006</v>
      </c>
      <c r="Y647" s="1101" t="s">
        <v>7007</v>
      </c>
      <c r="Z647" s="1102" t="s">
        <v>8662</v>
      </c>
    </row>
    <row r="648" spans="2:26" ht="12.75" customHeight="1" x14ac:dyDescent="0.2">
      <c r="B648" s="2090" t="str">
        <f t="shared" ref="B648:B680" si="19">E648&amp;F648</f>
        <v/>
      </c>
      <c r="C648" s="1103"/>
      <c r="D648" s="521" t="s">
        <v>878</v>
      </c>
      <c r="E648" s="1099"/>
      <c r="F648" s="1099"/>
      <c r="G648" s="1108"/>
      <c r="H648" s="1108"/>
      <c r="I648" s="1109"/>
      <c r="J648" s="1099"/>
      <c r="K648" s="1099"/>
      <c r="L648" s="1099"/>
      <c r="M648" s="1104"/>
      <c r="N648" s="1099"/>
      <c r="O648" s="1099"/>
      <c r="P648" s="1099"/>
      <c r="Q648" s="1104"/>
      <c r="R648" s="1099"/>
      <c r="S648" s="1099"/>
      <c r="T648" s="1099"/>
      <c r="U648" s="1104"/>
      <c r="V648" s="1101"/>
      <c r="W648" s="1101"/>
      <c r="X648" s="1101"/>
      <c r="Y648" s="1101"/>
      <c r="Z648" s="1102"/>
    </row>
    <row r="649" spans="2:26" ht="12.75" customHeight="1" x14ac:dyDescent="0.2">
      <c r="B649" s="2090" t="str">
        <f t="shared" si="19"/>
        <v>Tiempo4</v>
      </c>
      <c r="C649" s="1103"/>
      <c r="D649" s="521" t="s">
        <v>879</v>
      </c>
      <c r="E649" s="1099" t="s">
        <v>92</v>
      </c>
      <c r="F649" s="1099">
        <v>4</v>
      </c>
      <c r="G649" s="1108" t="s">
        <v>1690</v>
      </c>
      <c r="H649" s="1108" t="s">
        <v>1536</v>
      </c>
      <c r="I649" s="1109" t="s">
        <v>1606</v>
      </c>
      <c r="J649" s="1099">
        <v>5</v>
      </c>
      <c r="K649" s="1099">
        <v>7</v>
      </c>
      <c r="L649" s="1099">
        <v>10</v>
      </c>
      <c r="M649" s="1104">
        <v>12</v>
      </c>
      <c r="N649" s="1099">
        <v>30</v>
      </c>
      <c r="O649" s="1099">
        <v>50</v>
      </c>
      <c r="P649" s="1099">
        <v>70</v>
      </c>
      <c r="Q649" s="1104">
        <v>90</v>
      </c>
      <c r="R649" s="1099" t="s">
        <v>1690</v>
      </c>
      <c r="S649" s="1099" t="s">
        <v>1690</v>
      </c>
      <c r="T649" s="1099" t="s">
        <v>1690</v>
      </c>
      <c r="U649" s="1104" t="s">
        <v>1690</v>
      </c>
      <c r="V649" s="1101" t="s">
        <v>7008</v>
      </c>
      <c r="W649" s="1101" t="s">
        <v>7009</v>
      </c>
      <c r="X649" s="1101" t="s">
        <v>7010</v>
      </c>
      <c r="Y649" s="1101" t="s">
        <v>7011</v>
      </c>
      <c r="Z649" s="1102" t="s">
        <v>7012</v>
      </c>
    </row>
    <row r="650" spans="2:26" ht="12.75" customHeight="1" x14ac:dyDescent="0.2">
      <c r="B650" s="2090" t="str">
        <f t="shared" si="19"/>
        <v>Tiempo14</v>
      </c>
      <c r="C650" s="1103"/>
      <c r="D650" s="521" t="s">
        <v>880</v>
      </c>
      <c r="E650" s="1099" t="s">
        <v>92</v>
      </c>
      <c r="F650" s="1099">
        <v>14</v>
      </c>
      <c r="G650" s="1108" t="s">
        <v>1690</v>
      </c>
      <c r="H650" s="1108" t="s">
        <v>1536</v>
      </c>
      <c r="I650" s="1109" t="s">
        <v>1606</v>
      </c>
      <c r="J650" s="1099">
        <v>7</v>
      </c>
      <c r="K650" s="1099">
        <v>10</v>
      </c>
      <c r="L650" s="1099">
        <v>12</v>
      </c>
      <c r="M650" s="1104">
        <v>15</v>
      </c>
      <c r="N650" s="1099">
        <v>100</v>
      </c>
      <c r="O650" s="1099">
        <v>140</v>
      </c>
      <c r="P650" s="1099">
        <v>180</v>
      </c>
      <c r="Q650" s="1104">
        <v>240</v>
      </c>
      <c r="R650" s="1099">
        <v>10</v>
      </c>
      <c r="S650" s="1099">
        <v>15</v>
      </c>
      <c r="T650" s="1099">
        <v>20</v>
      </c>
      <c r="U650" s="1104">
        <v>25</v>
      </c>
      <c r="V650" s="1101" t="s">
        <v>7013</v>
      </c>
      <c r="W650" s="1101" t="s">
        <v>7014</v>
      </c>
      <c r="X650" s="1101" t="s">
        <v>7015</v>
      </c>
      <c r="Y650" s="1101" t="s">
        <v>7016</v>
      </c>
      <c r="Z650" s="1102" t="s">
        <v>7017</v>
      </c>
    </row>
    <row r="651" spans="2:26" ht="12.75" customHeight="1" x14ac:dyDescent="0.2">
      <c r="B651" s="2090" t="str">
        <f t="shared" si="19"/>
        <v>Tiempo24</v>
      </c>
      <c r="C651" s="1103"/>
      <c r="D651" s="521" t="s">
        <v>881</v>
      </c>
      <c r="E651" s="1099" t="s">
        <v>92</v>
      </c>
      <c r="F651" s="1099">
        <v>24</v>
      </c>
      <c r="G651" s="1108" t="s">
        <v>1690</v>
      </c>
      <c r="H651" s="1108" t="s">
        <v>1536</v>
      </c>
      <c r="I651" s="1109" t="s">
        <v>1606</v>
      </c>
      <c r="J651" s="1099">
        <v>7</v>
      </c>
      <c r="K651" s="1099">
        <v>10</v>
      </c>
      <c r="L651" s="1099">
        <v>12</v>
      </c>
      <c r="M651" s="1104">
        <v>15</v>
      </c>
      <c r="N651" s="1099">
        <v>100</v>
      </c>
      <c r="O651" s="1099">
        <v>150</v>
      </c>
      <c r="P651" s="1099">
        <v>200</v>
      </c>
      <c r="Q651" s="1104">
        <v>250</v>
      </c>
      <c r="R651" s="1099">
        <v>10</v>
      </c>
      <c r="S651" s="1099">
        <v>15</v>
      </c>
      <c r="T651" s="1099">
        <v>20</v>
      </c>
      <c r="U651" s="1104">
        <v>25</v>
      </c>
      <c r="V651" s="1101" t="s">
        <v>7018</v>
      </c>
      <c r="W651" s="1101" t="s">
        <v>7019</v>
      </c>
      <c r="X651" s="1101" t="s">
        <v>7020</v>
      </c>
      <c r="Y651" s="1101" t="s">
        <v>7021</v>
      </c>
      <c r="Z651" s="1102" t="s">
        <v>7022</v>
      </c>
    </row>
    <row r="652" spans="2:26" ht="12.75" customHeight="1" x14ac:dyDescent="0.2">
      <c r="B652" s="2090" t="str">
        <f t="shared" si="19"/>
        <v>Tiempo34</v>
      </c>
      <c r="C652" s="1103"/>
      <c r="D652" s="521" t="s">
        <v>882</v>
      </c>
      <c r="E652" s="1099" t="s">
        <v>92</v>
      </c>
      <c r="F652" s="1099">
        <v>34</v>
      </c>
      <c r="G652" s="1108" t="s">
        <v>1690</v>
      </c>
      <c r="H652" s="1108" t="s">
        <v>1537</v>
      </c>
      <c r="I652" s="1109" t="s">
        <v>1606</v>
      </c>
      <c r="J652" s="1099">
        <v>8</v>
      </c>
      <c r="K652" s="1099">
        <v>11</v>
      </c>
      <c r="L652" s="1099">
        <v>13</v>
      </c>
      <c r="M652" s="1104">
        <v>15</v>
      </c>
      <c r="N652" s="1099">
        <v>150</v>
      </c>
      <c r="O652" s="1099">
        <v>200</v>
      </c>
      <c r="P652" s="1099">
        <v>280</v>
      </c>
      <c r="Q652" s="1104">
        <v>380</v>
      </c>
      <c r="R652" s="1099">
        <v>15</v>
      </c>
      <c r="S652" s="1099">
        <v>20</v>
      </c>
      <c r="T652" s="1099">
        <v>30</v>
      </c>
      <c r="U652" s="1104">
        <v>40</v>
      </c>
      <c r="V652" s="1101" t="s">
        <v>7023</v>
      </c>
      <c r="W652" s="1101" t="s">
        <v>7024</v>
      </c>
      <c r="X652" s="1101" t="s">
        <v>7025</v>
      </c>
      <c r="Y652" s="1101" t="s">
        <v>7026</v>
      </c>
      <c r="Z652" s="1102" t="s">
        <v>7027</v>
      </c>
    </row>
    <row r="653" spans="2:26" ht="12.75" customHeight="1" x14ac:dyDescent="0.2">
      <c r="B653" s="2090" t="str">
        <f t="shared" si="19"/>
        <v>Tiempo44</v>
      </c>
      <c r="C653" s="1103"/>
      <c r="D653" s="521" t="s">
        <v>883</v>
      </c>
      <c r="E653" s="1099" t="s">
        <v>92</v>
      </c>
      <c r="F653" s="1099">
        <v>44</v>
      </c>
      <c r="G653" s="1108" t="s">
        <v>2446</v>
      </c>
      <c r="H653" s="1108" t="s">
        <v>1537</v>
      </c>
      <c r="I653" s="1109" t="s">
        <v>1606</v>
      </c>
      <c r="J653" s="1099">
        <v>9</v>
      </c>
      <c r="K653" s="1099">
        <v>12</v>
      </c>
      <c r="L653" s="1099">
        <v>14</v>
      </c>
      <c r="M653" s="1104">
        <v>16</v>
      </c>
      <c r="N653" s="1099">
        <v>200</v>
      </c>
      <c r="O653" s="1099">
        <v>300</v>
      </c>
      <c r="P653" s="1099">
        <v>400</v>
      </c>
      <c r="Q653" s="1104">
        <v>500</v>
      </c>
      <c r="R653" s="1099">
        <v>40</v>
      </c>
      <c r="S653" s="1099">
        <v>60</v>
      </c>
      <c r="T653" s="1099">
        <v>80</v>
      </c>
      <c r="U653" s="1104">
        <v>100</v>
      </c>
      <c r="V653" s="1101" t="s">
        <v>7028</v>
      </c>
      <c r="W653" s="1101" t="s">
        <v>7029</v>
      </c>
      <c r="X653" s="1101" t="s">
        <v>7030</v>
      </c>
      <c r="Y653" s="1101" t="s">
        <v>7031</v>
      </c>
      <c r="Z653" s="1102" t="s">
        <v>7032</v>
      </c>
    </row>
    <row r="654" spans="2:26" ht="12.75" customHeight="1" x14ac:dyDescent="0.2">
      <c r="B654" s="2090" t="str">
        <f t="shared" si="19"/>
        <v>Tiempo54</v>
      </c>
      <c r="C654" s="1103"/>
      <c r="D654" s="521" t="s">
        <v>884</v>
      </c>
      <c r="E654" s="1099" t="s">
        <v>92</v>
      </c>
      <c r="F654" s="1099">
        <v>54</v>
      </c>
      <c r="G654" s="1108" t="s">
        <v>1690</v>
      </c>
      <c r="H654" s="1108" t="s">
        <v>1535</v>
      </c>
      <c r="I654" s="1109" t="s">
        <v>1606</v>
      </c>
      <c r="J654" s="1099">
        <v>10</v>
      </c>
      <c r="K654" s="1099">
        <v>13</v>
      </c>
      <c r="L654" s="1099">
        <v>15</v>
      </c>
      <c r="M654" s="1104">
        <v>17</v>
      </c>
      <c r="N654" s="1099">
        <v>250</v>
      </c>
      <c r="O654" s="1099">
        <v>350</v>
      </c>
      <c r="P654" s="1099">
        <v>450</v>
      </c>
      <c r="Q654" s="1104">
        <v>600</v>
      </c>
      <c r="R654" s="1099" t="s">
        <v>1690</v>
      </c>
      <c r="S654" s="1099" t="s">
        <v>1690</v>
      </c>
      <c r="T654" s="1099" t="s">
        <v>1690</v>
      </c>
      <c r="U654" s="1104" t="s">
        <v>1690</v>
      </c>
      <c r="V654" s="1101" t="s">
        <v>7033</v>
      </c>
      <c r="W654" s="1101" t="s">
        <v>7034</v>
      </c>
      <c r="X654" s="1101" t="s">
        <v>7035</v>
      </c>
      <c r="Y654" s="1101" t="s">
        <v>7036</v>
      </c>
      <c r="Z654" s="1102" t="s">
        <v>7037</v>
      </c>
    </row>
    <row r="655" spans="2:26" ht="12.75" customHeight="1" x14ac:dyDescent="0.2">
      <c r="B655" s="2090" t="str">
        <f t="shared" si="19"/>
        <v>Tiempo64</v>
      </c>
      <c r="C655" s="1103"/>
      <c r="D655" s="521" t="s">
        <v>885</v>
      </c>
      <c r="E655" s="1099" t="s">
        <v>92</v>
      </c>
      <c r="F655" s="1099">
        <v>64</v>
      </c>
      <c r="G655" s="1108" t="s">
        <v>1690</v>
      </c>
      <c r="H655" s="1108" t="s">
        <v>1536</v>
      </c>
      <c r="I655" s="1109" t="s">
        <v>1606</v>
      </c>
      <c r="J655" s="1099">
        <v>11</v>
      </c>
      <c r="K655" s="1099">
        <v>14</v>
      </c>
      <c r="L655" s="1099">
        <v>16</v>
      </c>
      <c r="M655" s="1104">
        <v>18</v>
      </c>
      <c r="N655" s="1099">
        <v>200</v>
      </c>
      <c r="O655" s="1099">
        <v>350</v>
      </c>
      <c r="P655" s="1099">
        <v>500</v>
      </c>
      <c r="Q655" s="1104">
        <v>800</v>
      </c>
      <c r="R655" s="1099" t="s">
        <v>1690</v>
      </c>
      <c r="S655" s="1099" t="s">
        <v>1690</v>
      </c>
      <c r="T655" s="1099" t="s">
        <v>1690</v>
      </c>
      <c r="U655" s="1104" t="s">
        <v>1690</v>
      </c>
      <c r="V655" s="1101" t="s">
        <v>7038</v>
      </c>
      <c r="W655" s="1101" t="s">
        <v>7039</v>
      </c>
      <c r="X655" s="1101" t="s">
        <v>7040</v>
      </c>
      <c r="Y655" s="1101" t="s">
        <v>7041</v>
      </c>
      <c r="Z655" s="1102" t="s">
        <v>7042</v>
      </c>
    </row>
    <row r="656" spans="2:26" ht="12.75" customHeight="1" x14ac:dyDescent="0.2">
      <c r="B656" s="2090" t="str">
        <f t="shared" si="19"/>
        <v>Tiempo74</v>
      </c>
      <c r="C656" s="1103"/>
      <c r="D656" s="521" t="s">
        <v>886</v>
      </c>
      <c r="E656" s="1099" t="s">
        <v>92</v>
      </c>
      <c r="F656" s="1099">
        <v>74</v>
      </c>
      <c r="G656" s="1108" t="s">
        <v>1690</v>
      </c>
      <c r="H656" s="1108" t="s">
        <v>1535</v>
      </c>
      <c r="I656" s="1109" t="s">
        <v>1606</v>
      </c>
      <c r="J656" s="1099">
        <v>11</v>
      </c>
      <c r="K656" s="1099">
        <v>14</v>
      </c>
      <c r="L656" s="1099">
        <v>16</v>
      </c>
      <c r="M656" s="1104">
        <v>18</v>
      </c>
      <c r="N656" s="1099">
        <v>250</v>
      </c>
      <c r="O656" s="1099">
        <v>350</v>
      </c>
      <c r="P656" s="1099">
        <v>450</v>
      </c>
      <c r="Q656" s="1104">
        <v>600</v>
      </c>
      <c r="R656" s="1099" t="s">
        <v>1690</v>
      </c>
      <c r="S656" s="1099" t="s">
        <v>1690</v>
      </c>
      <c r="T656" s="1099" t="s">
        <v>1690</v>
      </c>
      <c r="U656" s="1104" t="s">
        <v>1690</v>
      </c>
      <c r="V656" s="1101" t="s">
        <v>7043</v>
      </c>
      <c r="W656" s="1101" t="s">
        <v>7044</v>
      </c>
      <c r="X656" s="1101" t="s">
        <v>7045</v>
      </c>
      <c r="Y656" s="1101" t="s">
        <v>7046</v>
      </c>
      <c r="Z656" s="1102" t="s">
        <v>7047</v>
      </c>
    </row>
    <row r="657" spans="2:26" ht="12.75" customHeight="1" x14ac:dyDescent="0.2">
      <c r="B657" s="2090" t="str">
        <f t="shared" si="19"/>
        <v>Tiempo84</v>
      </c>
      <c r="C657" s="1103"/>
      <c r="D657" s="521" t="s">
        <v>887</v>
      </c>
      <c r="E657" s="1099" t="s">
        <v>92</v>
      </c>
      <c r="F657" s="1099">
        <v>84</v>
      </c>
      <c r="G657" s="1108" t="s">
        <v>1690</v>
      </c>
      <c r="H657" s="1108" t="s">
        <v>1536</v>
      </c>
      <c r="I657" s="1109" t="s">
        <v>1606</v>
      </c>
      <c r="J657" s="1099">
        <v>11</v>
      </c>
      <c r="K657" s="1099">
        <v>14</v>
      </c>
      <c r="L657" s="1099">
        <v>16</v>
      </c>
      <c r="M657" s="1104">
        <v>18</v>
      </c>
      <c r="N657" s="1099">
        <v>400</v>
      </c>
      <c r="O657" s="1099">
        <v>600</v>
      </c>
      <c r="P657" s="1099">
        <v>900</v>
      </c>
      <c r="Q657" s="1104">
        <v>1400</v>
      </c>
      <c r="R657" s="1099">
        <v>40</v>
      </c>
      <c r="S657" s="1099">
        <v>60</v>
      </c>
      <c r="T657" s="1099">
        <v>90</v>
      </c>
      <c r="U657" s="1104">
        <v>140</v>
      </c>
      <c r="V657" s="1101" t="s">
        <v>7048</v>
      </c>
      <c r="W657" s="1101" t="s">
        <v>7049</v>
      </c>
      <c r="X657" s="1101" t="s">
        <v>7050</v>
      </c>
      <c r="Y657" s="1101" t="s">
        <v>7051</v>
      </c>
      <c r="Z657" s="1102" t="s">
        <v>7052</v>
      </c>
    </row>
    <row r="658" spans="2:26" ht="12.75" customHeight="1" x14ac:dyDescent="0.2">
      <c r="B658" s="2090" t="str">
        <f t="shared" si="19"/>
        <v>Tiempo94</v>
      </c>
      <c r="C658" s="1103"/>
      <c r="D658" s="521" t="s">
        <v>888</v>
      </c>
      <c r="E658" s="1099" t="s">
        <v>92</v>
      </c>
      <c r="F658" s="1099">
        <v>94</v>
      </c>
      <c r="G658" s="1108" t="s">
        <v>1690</v>
      </c>
      <c r="H658" s="1108" t="s">
        <v>1536</v>
      </c>
      <c r="I658" s="1109" t="s">
        <v>1606</v>
      </c>
      <c r="J658" s="1099">
        <v>12</v>
      </c>
      <c r="K658" s="1099">
        <v>15</v>
      </c>
      <c r="L658" s="1099">
        <v>17</v>
      </c>
      <c r="M658" s="1104">
        <v>19</v>
      </c>
      <c r="N658" s="1099">
        <v>500</v>
      </c>
      <c r="O658" s="1099">
        <v>800</v>
      </c>
      <c r="P658" s="1099">
        <v>1250</v>
      </c>
      <c r="Q658" s="1104">
        <v>2500</v>
      </c>
      <c r="R658" s="1099" t="s">
        <v>1690</v>
      </c>
      <c r="S658" s="1099" t="s">
        <v>1690</v>
      </c>
      <c r="T658" s="1099" t="s">
        <v>1690</v>
      </c>
      <c r="U658" s="1104" t="s">
        <v>1690</v>
      </c>
      <c r="V658" s="1101" t="s">
        <v>7053</v>
      </c>
      <c r="W658" s="1101" t="s">
        <v>7054</v>
      </c>
      <c r="X658" s="1101" t="s">
        <v>7055</v>
      </c>
      <c r="Y658" s="1101" t="s">
        <v>7056</v>
      </c>
      <c r="Z658" s="1102" t="s">
        <v>7057</v>
      </c>
    </row>
    <row r="659" spans="2:26" ht="12.75" customHeight="1" x14ac:dyDescent="0.2">
      <c r="B659" s="2090" t="str">
        <f t="shared" si="19"/>
        <v/>
      </c>
      <c r="C659" s="1103"/>
      <c r="D659" s="521" t="s">
        <v>889</v>
      </c>
      <c r="E659" s="1099"/>
      <c r="F659" s="1099"/>
      <c r="G659" s="1108"/>
      <c r="H659" s="1108"/>
      <c r="I659" s="1109"/>
      <c r="J659" s="1099"/>
      <c r="K659" s="1099"/>
      <c r="L659" s="1099"/>
      <c r="M659" s="1104"/>
      <c r="N659" s="1099"/>
      <c r="O659" s="1099"/>
      <c r="P659" s="1099"/>
      <c r="Q659" s="1104"/>
      <c r="R659" s="1099"/>
      <c r="S659" s="1099"/>
      <c r="T659" s="1099"/>
      <c r="U659" s="1104"/>
      <c r="V659" s="1101"/>
      <c r="W659" s="1101"/>
      <c r="X659" s="1101"/>
      <c r="Y659" s="1101"/>
      <c r="Z659" s="1102"/>
    </row>
    <row r="660" spans="2:26" ht="12.75" customHeight="1" x14ac:dyDescent="0.2">
      <c r="B660" s="2090" t="str">
        <f t="shared" si="19"/>
        <v>Umbral4</v>
      </c>
      <c r="C660" s="1103"/>
      <c r="D660" s="521" t="s">
        <v>890</v>
      </c>
      <c r="E660" s="1099" t="s">
        <v>2433</v>
      </c>
      <c r="F660" s="1099">
        <v>4</v>
      </c>
      <c r="G660" s="1108" t="s">
        <v>1690</v>
      </c>
      <c r="H660" s="1108" t="s">
        <v>1538</v>
      </c>
      <c r="I660" s="1109" t="s">
        <v>1606</v>
      </c>
      <c r="J660" s="1099">
        <v>5</v>
      </c>
      <c r="K660" s="1099">
        <v>8</v>
      </c>
      <c r="L660" s="1099">
        <v>11</v>
      </c>
      <c r="M660" s="1104">
        <v>14</v>
      </c>
      <c r="N660" s="1099">
        <v>30</v>
      </c>
      <c r="O660" s="1099">
        <v>60</v>
      </c>
      <c r="P660" s="1099">
        <v>90</v>
      </c>
      <c r="Q660" s="1104">
        <v>120</v>
      </c>
      <c r="R660" s="1099">
        <v>5</v>
      </c>
      <c r="S660" s="1099">
        <v>5</v>
      </c>
      <c r="T660" s="1099">
        <v>5</v>
      </c>
      <c r="U660" s="1104">
        <v>10</v>
      </c>
      <c r="V660" s="1101" t="s">
        <v>7058</v>
      </c>
      <c r="W660" s="1101" t="s">
        <v>7059</v>
      </c>
      <c r="X660" s="1101" t="s">
        <v>7060</v>
      </c>
      <c r="Y660" s="1101" t="s">
        <v>7061</v>
      </c>
      <c r="Z660" s="1102" t="s">
        <v>7062</v>
      </c>
    </row>
    <row r="661" spans="2:26" ht="12.75" customHeight="1" x14ac:dyDescent="0.2">
      <c r="B661" s="2090" t="str">
        <f t="shared" si="19"/>
        <v>Umbral14</v>
      </c>
      <c r="C661" s="1103"/>
      <c r="D661" s="521" t="s">
        <v>891</v>
      </c>
      <c r="E661" s="1099" t="s">
        <v>2433</v>
      </c>
      <c r="F661" s="1099">
        <v>14</v>
      </c>
      <c r="G661" s="1108" t="s">
        <v>1690</v>
      </c>
      <c r="H661" s="1108" t="s">
        <v>1536</v>
      </c>
      <c r="I661" s="1109" t="s">
        <v>1606</v>
      </c>
      <c r="J661" s="1099">
        <v>6</v>
      </c>
      <c r="K661" s="1099">
        <v>9</v>
      </c>
      <c r="L661" s="1099">
        <v>12</v>
      </c>
      <c r="M661" s="1104">
        <v>15</v>
      </c>
      <c r="N661" s="1099">
        <v>40</v>
      </c>
      <c r="O661" s="1099">
        <v>70</v>
      </c>
      <c r="P661" s="1099">
        <v>100</v>
      </c>
      <c r="Q661" s="1104">
        <v>130</v>
      </c>
      <c r="R661" s="1099" t="s">
        <v>1690</v>
      </c>
      <c r="S661" s="1099" t="s">
        <v>1690</v>
      </c>
      <c r="T661" s="1099" t="s">
        <v>1690</v>
      </c>
      <c r="U661" s="1104" t="s">
        <v>1690</v>
      </c>
      <c r="V661" s="1101" t="s">
        <v>4852</v>
      </c>
      <c r="W661" s="1101" t="s">
        <v>7063</v>
      </c>
      <c r="X661" s="1101" t="s">
        <v>5464</v>
      </c>
      <c r="Y661" s="1101" t="s">
        <v>5465</v>
      </c>
      <c r="Z661" s="1102" t="s">
        <v>7064</v>
      </c>
    </row>
    <row r="662" spans="2:26" ht="12.75" customHeight="1" x14ac:dyDescent="0.2">
      <c r="B662" s="2090" t="str">
        <f t="shared" si="19"/>
        <v>Umbral24</v>
      </c>
      <c r="C662" s="1103"/>
      <c r="D662" s="521" t="s">
        <v>892</v>
      </c>
      <c r="E662" s="1099" t="s">
        <v>2433</v>
      </c>
      <c r="F662" s="1099">
        <v>24</v>
      </c>
      <c r="G662" s="1108" t="s">
        <v>1690</v>
      </c>
      <c r="H662" s="1108" t="s">
        <v>1537</v>
      </c>
      <c r="I662" s="1109" t="s">
        <v>1606</v>
      </c>
      <c r="J662" s="1099">
        <v>6</v>
      </c>
      <c r="K662" s="1099">
        <v>9</v>
      </c>
      <c r="L662" s="1099">
        <v>12</v>
      </c>
      <c r="M662" s="1104">
        <v>15</v>
      </c>
      <c r="N662" s="1099">
        <v>60</v>
      </c>
      <c r="O662" s="1099">
        <v>100</v>
      </c>
      <c r="P662" s="1099">
        <v>160</v>
      </c>
      <c r="Q662" s="1104">
        <v>200</v>
      </c>
      <c r="R662" s="1099">
        <v>5</v>
      </c>
      <c r="S662" s="1099">
        <v>5</v>
      </c>
      <c r="T662" s="1099">
        <v>10</v>
      </c>
      <c r="U662" s="1104">
        <v>10</v>
      </c>
      <c r="V662" s="1101" t="s">
        <v>4774</v>
      </c>
      <c r="W662" s="1101" t="s">
        <v>4581</v>
      </c>
      <c r="X662" s="1101" t="s">
        <v>7065</v>
      </c>
      <c r="Y662" s="1101" t="s">
        <v>7066</v>
      </c>
      <c r="Z662" s="1102" t="s">
        <v>7067</v>
      </c>
    </row>
    <row r="663" spans="2:26" ht="12.75" customHeight="1" x14ac:dyDescent="0.2">
      <c r="B663" s="2090" t="str">
        <f t="shared" si="19"/>
        <v>Umbral34</v>
      </c>
      <c r="C663" s="1103"/>
      <c r="D663" s="521" t="s">
        <v>893</v>
      </c>
      <c r="E663" s="1099" t="s">
        <v>2433</v>
      </c>
      <c r="F663" s="1099">
        <v>34</v>
      </c>
      <c r="G663" s="1108" t="s">
        <v>1690</v>
      </c>
      <c r="H663" s="1108" t="s">
        <v>1535</v>
      </c>
      <c r="I663" s="1109" t="s">
        <v>1606</v>
      </c>
      <c r="J663" s="1099">
        <v>7</v>
      </c>
      <c r="K663" s="1099">
        <v>10</v>
      </c>
      <c r="L663" s="1099">
        <v>13</v>
      </c>
      <c r="M663" s="1104">
        <v>15</v>
      </c>
      <c r="N663" s="1099">
        <v>80</v>
      </c>
      <c r="O663" s="1099">
        <v>100</v>
      </c>
      <c r="P663" s="1099">
        <v>120</v>
      </c>
      <c r="Q663" s="1104">
        <v>140</v>
      </c>
      <c r="R663" s="1099">
        <v>5</v>
      </c>
      <c r="S663" s="1099">
        <v>10</v>
      </c>
      <c r="T663" s="1099">
        <v>15</v>
      </c>
      <c r="U663" s="1104">
        <v>20</v>
      </c>
      <c r="V663" s="1101" t="s">
        <v>5951</v>
      </c>
      <c r="W663" s="1101" t="s">
        <v>5952</v>
      </c>
      <c r="X663" s="1101" t="s">
        <v>5953</v>
      </c>
      <c r="Y663" s="1101" t="s">
        <v>5954</v>
      </c>
      <c r="Z663" s="1102" t="s">
        <v>7068</v>
      </c>
    </row>
    <row r="664" spans="2:26" ht="12.75" customHeight="1" x14ac:dyDescent="0.2">
      <c r="B664" s="2090" t="str">
        <f t="shared" si="19"/>
        <v>Umbral44</v>
      </c>
      <c r="C664" s="1103"/>
      <c r="D664" s="521" t="s">
        <v>894</v>
      </c>
      <c r="E664" s="1099" t="s">
        <v>2433</v>
      </c>
      <c r="F664" s="1099">
        <v>44</v>
      </c>
      <c r="G664" s="1108" t="s">
        <v>2446</v>
      </c>
      <c r="H664" s="1108" t="s">
        <v>1535</v>
      </c>
      <c r="I664" s="1109" t="s">
        <v>1606</v>
      </c>
      <c r="J664" s="1099">
        <v>7</v>
      </c>
      <c r="K664" s="1099">
        <v>10</v>
      </c>
      <c r="L664" s="1099">
        <v>13</v>
      </c>
      <c r="M664" s="1104">
        <v>15</v>
      </c>
      <c r="N664" s="1099">
        <v>100</v>
      </c>
      <c r="O664" s="1099">
        <v>140</v>
      </c>
      <c r="P664" s="1099">
        <v>180</v>
      </c>
      <c r="Q664" s="1104">
        <v>240</v>
      </c>
      <c r="R664" s="1099">
        <v>10</v>
      </c>
      <c r="S664" s="1099">
        <v>15</v>
      </c>
      <c r="T664" s="1099">
        <v>20</v>
      </c>
      <c r="U664" s="1104">
        <v>25</v>
      </c>
      <c r="V664" s="1101" t="s">
        <v>5951</v>
      </c>
      <c r="W664" s="1101" t="s">
        <v>5953</v>
      </c>
      <c r="X664" s="1101" t="s">
        <v>7069</v>
      </c>
      <c r="Y664" s="1101" t="s">
        <v>7070</v>
      </c>
      <c r="Z664" s="1102" t="s">
        <v>8663</v>
      </c>
    </row>
    <row r="665" spans="2:26" ht="12.75" customHeight="1" x14ac:dyDescent="0.2">
      <c r="B665" s="2090" t="str">
        <f t="shared" si="19"/>
        <v>Umbral54</v>
      </c>
      <c r="C665" s="1103"/>
      <c r="D665" s="521" t="s">
        <v>895</v>
      </c>
      <c r="E665" s="1099" t="s">
        <v>2433</v>
      </c>
      <c r="F665" s="1099">
        <v>54</v>
      </c>
      <c r="G665" s="1108" t="s">
        <v>2446</v>
      </c>
      <c r="H665" s="1108" t="s">
        <v>1535</v>
      </c>
      <c r="I665" s="1109" t="s">
        <v>1606</v>
      </c>
      <c r="J665" s="1099">
        <v>6</v>
      </c>
      <c r="K665" s="1099">
        <v>9</v>
      </c>
      <c r="L665" s="1099">
        <v>12</v>
      </c>
      <c r="M665" s="1104">
        <v>15</v>
      </c>
      <c r="N665" s="1099">
        <v>120</v>
      </c>
      <c r="O665" s="1099">
        <v>180</v>
      </c>
      <c r="P665" s="1099">
        <v>240</v>
      </c>
      <c r="Q665" s="1104">
        <v>300</v>
      </c>
      <c r="R665" s="1099">
        <v>15</v>
      </c>
      <c r="S665" s="1099">
        <v>20</v>
      </c>
      <c r="T665" s="1099">
        <v>25</v>
      </c>
      <c r="U665" s="1104">
        <v>30</v>
      </c>
      <c r="V665" s="1101" t="s">
        <v>7071</v>
      </c>
      <c r="W665" s="1101" t="s">
        <v>7072</v>
      </c>
      <c r="X665" s="1101" t="s">
        <v>7073</v>
      </c>
      <c r="Y665" s="1101" t="s">
        <v>7074</v>
      </c>
      <c r="Z665" s="1102" t="s">
        <v>7075</v>
      </c>
    </row>
    <row r="666" spans="2:26" ht="12.75" customHeight="1" x14ac:dyDescent="0.2">
      <c r="B666" s="2090" t="str">
        <f t="shared" si="19"/>
        <v>Umbral64</v>
      </c>
      <c r="C666" s="1103"/>
      <c r="D666" s="521" t="s">
        <v>896</v>
      </c>
      <c r="E666" s="1099" t="s">
        <v>2433</v>
      </c>
      <c r="F666" s="1099">
        <v>64</v>
      </c>
      <c r="G666" s="1108" t="s">
        <v>1690</v>
      </c>
      <c r="H666" s="1108" t="s">
        <v>1535</v>
      </c>
      <c r="I666" s="1109" t="s">
        <v>1606</v>
      </c>
      <c r="J666" s="1099">
        <v>8</v>
      </c>
      <c r="K666" s="1099">
        <v>10</v>
      </c>
      <c r="L666" s="1099">
        <v>12</v>
      </c>
      <c r="M666" s="1104">
        <v>15</v>
      </c>
      <c r="N666" s="1099">
        <v>80</v>
      </c>
      <c r="O666" s="1099">
        <v>140</v>
      </c>
      <c r="P666" s="1099">
        <v>200</v>
      </c>
      <c r="Q666" s="1104">
        <v>240</v>
      </c>
      <c r="R666" s="1099">
        <v>10</v>
      </c>
      <c r="S666" s="1099">
        <v>15</v>
      </c>
      <c r="T666" s="1099">
        <v>20</v>
      </c>
      <c r="U666" s="1104">
        <v>25</v>
      </c>
      <c r="V666" s="1101" t="s">
        <v>7076</v>
      </c>
      <c r="W666" s="1101" t="s">
        <v>7077</v>
      </c>
      <c r="X666" s="1101" t="s">
        <v>7078</v>
      </c>
      <c r="Y666" s="1101" t="s">
        <v>7079</v>
      </c>
      <c r="Z666" s="1102" t="s">
        <v>7080</v>
      </c>
    </row>
    <row r="667" spans="2:26" ht="12.75" customHeight="1" x14ac:dyDescent="0.2">
      <c r="B667" s="2090" t="str">
        <f t="shared" si="19"/>
        <v>Umbral74</v>
      </c>
      <c r="C667" s="1103"/>
      <c r="D667" s="521" t="s">
        <v>897</v>
      </c>
      <c r="E667" s="1099" t="s">
        <v>2433</v>
      </c>
      <c r="F667" s="1099">
        <v>74</v>
      </c>
      <c r="G667" s="1108" t="s">
        <v>1690</v>
      </c>
      <c r="H667" s="1108" t="s">
        <v>1537</v>
      </c>
      <c r="I667" s="1109" t="s">
        <v>1606</v>
      </c>
      <c r="J667" s="1099">
        <v>10</v>
      </c>
      <c r="K667" s="1099">
        <v>12</v>
      </c>
      <c r="L667" s="1099">
        <v>14</v>
      </c>
      <c r="M667" s="1104">
        <v>16</v>
      </c>
      <c r="N667" s="1099">
        <v>200</v>
      </c>
      <c r="O667" s="1099">
        <v>300</v>
      </c>
      <c r="P667" s="1099">
        <v>400</v>
      </c>
      <c r="Q667" s="1104">
        <v>500</v>
      </c>
      <c r="R667" s="1099" t="s">
        <v>1690</v>
      </c>
      <c r="S667" s="1099" t="s">
        <v>1690</v>
      </c>
      <c r="T667" s="1099" t="s">
        <v>1690</v>
      </c>
      <c r="U667" s="1104" t="s">
        <v>1690</v>
      </c>
      <c r="V667" s="1101" t="s">
        <v>7066</v>
      </c>
      <c r="W667" s="1101" t="s">
        <v>7081</v>
      </c>
      <c r="X667" s="1101" t="s">
        <v>7082</v>
      </c>
      <c r="Y667" s="1101" t="s">
        <v>7083</v>
      </c>
      <c r="Z667" s="1102" t="s">
        <v>7084</v>
      </c>
    </row>
    <row r="668" spans="2:26" ht="12.75" customHeight="1" x14ac:dyDescent="0.2">
      <c r="B668" s="2090" t="str">
        <f t="shared" si="19"/>
        <v>Umbral84</v>
      </c>
      <c r="C668" s="1103"/>
      <c r="D668" s="521" t="s">
        <v>898</v>
      </c>
      <c r="E668" s="1099" t="s">
        <v>2433</v>
      </c>
      <c r="F668" s="1099">
        <v>84</v>
      </c>
      <c r="G668" s="1108" t="s">
        <v>1690</v>
      </c>
      <c r="H668" s="1108" t="s">
        <v>1537</v>
      </c>
      <c r="I668" s="1109" t="s">
        <v>1606</v>
      </c>
      <c r="J668" s="1099">
        <v>10</v>
      </c>
      <c r="K668" s="1099">
        <v>12</v>
      </c>
      <c r="L668" s="1099">
        <v>15</v>
      </c>
      <c r="M668" s="1104">
        <v>18</v>
      </c>
      <c r="N668" s="1099">
        <v>150</v>
      </c>
      <c r="O668" s="1099">
        <v>250</v>
      </c>
      <c r="P668" s="1099">
        <v>500</v>
      </c>
      <c r="Q668" s="1104">
        <v>700</v>
      </c>
      <c r="R668" s="1099">
        <v>15</v>
      </c>
      <c r="S668" s="1099">
        <v>25</v>
      </c>
      <c r="T668" s="1099">
        <v>50</v>
      </c>
      <c r="U668" s="1104">
        <v>70</v>
      </c>
      <c r="V668" s="1101" t="s">
        <v>7085</v>
      </c>
      <c r="W668" s="1101" t="s">
        <v>7086</v>
      </c>
      <c r="X668" s="1101" t="s">
        <v>7087</v>
      </c>
      <c r="Y668" s="1101" t="s">
        <v>7088</v>
      </c>
      <c r="Z668" s="1102" t="s">
        <v>7089</v>
      </c>
    </row>
    <row r="669" spans="2:26" ht="12.75" customHeight="1" x14ac:dyDescent="0.2">
      <c r="B669" s="2090" t="str">
        <f t="shared" si="19"/>
        <v>Umbral94</v>
      </c>
      <c r="C669" s="1103"/>
      <c r="D669" s="521" t="s">
        <v>899</v>
      </c>
      <c r="E669" s="1099" t="s">
        <v>2433</v>
      </c>
      <c r="F669" s="1099">
        <v>94</v>
      </c>
      <c r="G669" s="1108" t="s">
        <v>1690</v>
      </c>
      <c r="H669" s="1108" t="s">
        <v>1537</v>
      </c>
      <c r="I669" s="1109" t="s">
        <v>1606</v>
      </c>
      <c r="J669" s="1099">
        <v>11</v>
      </c>
      <c r="K669" s="1099">
        <v>13</v>
      </c>
      <c r="L669" s="1099">
        <v>15</v>
      </c>
      <c r="M669" s="1104">
        <v>17</v>
      </c>
      <c r="N669" s="1099">
        <v>250</v>
      </c>
      <c r="O669" s="1099">
        <v>350</v>
      </c>
      <c r="P669" s="1099">
        <v>450</v>
      </c>
      <c r="Q669" s="1104">
        <v>600</v>
      </c>
      <c r="R669" s="1099" t="s">
        <v>1690</v>
      </c>
      <c r="S669" s="1099" t="s">
        <v>1690</v>
      </c>
      <c r="T669" s="1099" t="s">
        <v>1690</v>
      </c>
      <c r="U669" s="1104" t="s">
        <v>1690</v>
      </c>
      <c r="V669" s="1101" t="s">
        <v>4982</v>
      </c>
      <c r="W669" s="1101" t="s">
        <v>5977</v>
      </c>
      <c r="X669" s="1101" t="s">
        <v>4984</v>
      </c>
      <c r="Y669" s="1101" t="s">
        <v>7090</v>
      </c>
      <c r="Z669" s="1102" t="s">
        <v>7091</v>
      </c>
    </row>
    <row r="670" spans="2:26" ht="12.75" customHeight="1" x14ac:dyDescent="0.2">
      <c r="B670" s="2090" t="str">
        <f t="shared" si="19"/>
        <v/>
      </c>
      <c r="C670" s="1103"/>
      <c r="D670" s="521" t="s">
        <v>900</v>
      </c>
      <c r="E670" s="1099"/>
      <c r="F670" s="1099"/>
      <c r="G670" s="1108"/>
      <c r="H670" s="1108"/>
      <c r="I670" s="1109"/>
      <c r="J670" s="1099"/>
      <c r="K670" s="1099"/>
      <c r="L670" s="1099"/>
      <c r="M670" s="1104"/>
      <c r="N670" s="1099"/>
      <c r="O670" s="1099"/>
      <c r="P670" s="1099"/>
      <c r="Q670" s="1104"/>
      <c r="R670" s="1099"/>
      <c r="S670" s="1099"/>
      <c r="T670" s="1099"/>
      <c r="U670" s="1104"/>
      <c r="V670" s="1101"/>
      <c r="W670" s="1101"/>
      <c r="X670" s="1101"/>
      <c r="Y670" s="1101"/>
      <c r="Z670" s="1102"/>
    </row>
    <row r="671" spans="2:26" ht="12.75" customHeight="1" x14ac:dyDescent="0.2">
      <c r="B671" s="2090" t="str">
        <f t="shared" si="19"/>
        <v>Vacío4</v>
      </c>
      <c r="C671" s="1103"/>
      <c r="D671" s="521" t="s">
        <v>901</v>
      </c>
      <c r="E671" s="1099" t="s">
        <v>93</v>
      </c>
      <c r="F671" s="1099">
        <v>4</v>
      </c>
      <c r="G671" s="1108" t="s">
        <v>1690</v>
      </c>
      <c r="H671" s="1108" t="s">
        <v>1535</v>
      </c>
      <c r="I671" s="1109" t="s">
        <v>1606</v>
      </c>
      <c r="J671" s="1099">
        <v>5</v>
      </c>
      <c r="K671" s="1099">
        <v>8</v>
      </c>
      <c r="L671" s="1099">
        <v>11</v>
      </c>
      <c r="M671" s="1104">
        <v>14</v>
      </c>
      <c r="N671" s="1099">
        <v>30</v>
      </c>
      <c r="O671" s="1099">
        <v>60</v>
      </c>
      <c r="P671" s="1099">
        <v>90</v>
      </c>
      <c r="Q671" s="1104">
        <v>120</v>
      </c>
      <c r="R671" s="1099" t="s">
        <v>1690</v>
      </c>
      <c r="S671" s="1099" t="s">
        <v>1690</v>
      </c>
      <c r="T671" s="1099" t="s">
        <v>1690</v>
      </c>
      <c r="U671" s="1104" t="s">
        <v>1690</v>
      </c>
      <c r="V671" s="1101" t="s">
        <v>7092</v>
      </c>
      <c r="W671" s="1101" t="s">
        <v>7093</v>
      </c>
      <c r="X671" s="1101" t="s">
        <v>7094</v>
      </c>
      <c r="Y671" s="1101" t="s">
        <v>7095</v>
      </c>
      <c r="Z671" s="1102" t="s">
        <v>7096</v>
      </c>
    </row>
    <row r="672" spans="2:26" ht="12.75" customHeight="1" x14ac:dyDescent="0.2">
      <c r="B672" s="2090" t="str">
        <f t="shared" si="19"/>
        <v>Vacío14</v>
      </c>
      <c r="C672" s="1103"/>
      <c r="D672" s="521" t="s">
        <v>902</v>
      </c>
      <c r="E672" s="1099" t="s">
        <v>93</v>
      </c>
      <c r="F672" s="1099">
        <v>14</v>
      </c>
      <c r="G672" s="1108" t="s">
        <v>1690</v>
      </c>
      <c r="H672" s="1108" t="s">
        <v>1534</v>
      </c>
      <c r="I672" s="1109" t="s">
        <v>1606</v>
      </c>
      <c r="J672" s="1099">
        <v>6</v>
      </c>
      <c r="K672" s="1099">
        <v>9</v>
      </c>
      <c r="L672" s="1099">
        <v>12</v>
      </c>
      <c r="M672" s="1104">
        <v>15</v>
      </c>
      <c r="N672" s="1099">
        <v>30</v>
      </c>
      <c r="O672" s="1099">
        <v>60</v>
      </c>
      <c r="P672" s="1099">
        <v>90</v>
      </c>
      <c r="Q672" s="1104">
        <v>120</v>
      </c>
      <c r="R672" s="1099" t="s">
        <v>1690</v>
      </c>
      <c r="S672" s="1099" t="s">
        <v>1690</v>
      </c>
      <c r="T672" s="1099" t="s">
        <v>1690</v>
      </c>
      <c r="U672" s="1104" t="s">
        <v>1690</v>
      </c>
      <c r="V672" s="1101" t="s">
        <v>7097</v>
      </c>
      <c r="W672" s="1101" t="s">
        <v>7098</v>
      </c>
      <c r="X672" s="1101" t="s">
        <v>7099</v>
      </c>
      <c r="Y672" s="1101" t="s">
        <v>7100</v>
      </c>
      <c r="Z672" s="1102" t="s">
        <v>7101</v>
      </c>
    </row>
    <row r="673" spans="2:26" ht="12.75" customHeight="1" x14ac:dyDescent="0.2">
      <c r="B673" s="2090" t="str">
        <f t="shared" si="19"/>
        <v>Vacío24</v>
      </c>
      <c r="C673" s="1103"/>
      <c r="D673" s="521" t="s">
        <v>903</v>
      </c>
      <c r="E673" s="1099" t="s">
        <v>93</v>
      </c>
      <c r="F673" s="1099">
        <v>24</v>
      </c>
      <c r="G673" s="1108" t="s">
        <v>1690</v>
      </c>
      <c r="H673" s="1108" t="s">
        <v>1881</v>
      </c>
      <c r="I673" s="1109" t="s">
        <v>1607</v>
      </c>
      <c r="J673" s="1099">
        <v>6</v>
      </c>
      <c r="K673" s="1099">
        <v>9</v>
      </c>
      <c r="L673" s="1099">
        <v>12</v>
      </c>
      <c r="M673" s="1104">
        <v>15</v>
      </c>
      <c r="N673" s="1099">
        <v>50</v>
      </c>
      <c r="O673" s="1099">
        <v>90</v>
      </c>
      <c r="P673" s="1099">
        <v>120</v>
      </c>
      <c r="Q673" s="1104">
        <v>150</v>
      </c>
      <c r="R673" s="1099">
        <v>5</v>
      </c>
      <c r="S673" s="1099">
        <v>20</v>
      </c>
      <c r="T673" s="1099">
        <v>25</v>
      </c>
      <c r="U673" s="1104">
        <v>30</v>
      </c>
      <c r="V673" s="1101" t="s">
        <v>7102</v>
      </c>
      <c r="W673" s="1101" t="s">
        <v>7103</v>
      </c>
      <c r="X673" s="1101" t="s">
        <v>7104</v>
      </c>
      <c r="Y673" s="1101" t="s">
        <v>7105</v>
      </c>
      <c r="Z673" s="1102" t="s">
        <v>7106</v>
      </c>
    </row>
    <row r="674" spans="2:26" ht="12.75" customHeight="1" x14ac:dyDescent="0.2">
      <c r="B674" s="2090" t="str">
        <f t="shared" si="19"/>
        <v>Vacío34</v>
      </c>
      <c r="C674" s="1103"/>
      <c r="D674" s="521" t="s">
        <v>904</v>
      </c>
      <c r="E674" s="1099" t="s">
        <v>93</v>
      </c>
      <c r="F674" s="1099">
        <v>34</v>
      </c>
      <c r="G674" s="1108" t="s">
        <v>1690</v>
      </c>
      <c r="H674" s="1108" t="s">
        <v>1537</v>
      </c>
      <c r="I674" s="1109" t="s">
        <v>1606</v>
      </c>
      <c r="J674" s="1099">
        <v>7</v>
      </c>
      <c r="K674" s="1099">
        <v>10</v>
      </c>
      <c r="L674" s="1099">
        <v>13</v>
      </c>
      <c r="M674" s="1104">
        <v>15</v>
      </c>
      <c r="N674" s="1099">
        <v>80</v>
      </c>
      <c r="O674" s="1099">
        <v>120</v>
      </c>
      <c r="P674" s="1099">
        <v>180</v>
      </c>
      <c r="Q674" s="1104">
        <v>240</v>
      </c>
      <c r="R674" s="1099">
        <v>5</v>
      </c>
      <c r="S674" s="1099">
        <v>10</v>
      </c>
      <c r="T674" s="1099">
        <v>15</v>
      </c>
      <c r="U674" s="1104">
        <v>20</v>
      </c>
      <c r="V674" s="1101" t="s">
        <v>7107</v>
      </c>
      <c r="W674" s="1101" t="s">
        <v>5961</v>
      </c>
      <c r="X674" s="1101" t="s">
        <v>7108</v>
      </c>
      <c r="Y674" s="1101" t="s">
        <v>7109</v>
      </c>
      <c r="Z674" s="1102" t="s">
        <v>7110</v>
      </c>
    </row>
    <row r="675" spans="2:26" ht="12.75" customHeight="1" x14ac:dyDescent="0.2">
      <c r="B675" s="2090" t="str">
        <f t="shared" si="19"/>
        <v>Vacío44</v>
      </c>
      <c r="C675" s="1103"/>
      <c r="D675" s="521" t="s">
        <v>10081</v>
      </c>
      <c r="E675" s="1099" t="s">
        <v>93</v>
      </c>
      <c r="F675" s="1099">
        <v>44</v>
      </c>
      <c r="G675" s="1108" t="s">
        <v>1690</v>
      </c>
      <c r="H675" s="1108" t="s">
        <v>1534</v>
      </c>
      <c r="I675" s="1109" t="s">
        <v>1606</v>
      </c>
      <c r="J675" s="1099">
        <v>6</v>
      </c>
      <c r="K675" s="1099">
        <v>9</v>
      </c>
      <c r="L675" s="1099">
        <v>12</v>
      </c>
      <c r="M675" s="1104">
        <v>15</v>
      </c>
      <c r="N675" s="1099">
        <v>100</v>
      </c>
      <c r="O675" s="1099">
        <v>150</v>
      </c>
      <c r="P675" s="1099">
        <v>200</v>
      </c>
      <c r="Q675" s="1104">
        <v>250</v>
      </c>
      <c r="R675" s="1099">
        <v>5</v>
      </c>
      <c r="S675" s="1099">
        <v>10</v>
      </c>
      <c r="T675" s="1099">
        <v>10</v>
      </c>
      <c r="U675" s="1104">
        <v>15</v>
      </c>
      <c r="V675" s="1101" t="s">
        <v>6034</v>
      </c>
      <c r="W675" s="1101" t="s">
        <v>4618</v>
      </c>
      <c r="X675" s="1101" t="s">
        <v>7111</v>
      </c>
      <c r="Y675" s="1101" t="s">
        <v>5438</v>
      </c>
      <c r="Z675" s="1102" t="s">
        <v>7112</v>
      </c>
    </row>
    <row r="676" spans="2:26" ht="12.75" customHeight="1" x14ac:dyDescent="0.2">
      <c r="B676" s="2090" t="str">
        <f t="shared" si="19"/>
        <v>Vacío54</v>
      </c>
      <c r="C676" s="1103"/>
      <c r="D676" s="521" t="s">
        <v>905</v>
      </c>
      <c r="E676" s="1099" t="s">
        <v>93</v>
      </c>
      <c r="F676" s="1099">
        <v>54</v>
      </c>
      <c r="G676" s="1108" t="s">
        <v>2446</v>
      </c>
      <c r="H676" s="1108" t="s">
        <v>1536</v>
      </c>
      <c r="I676" s="1109" t="s">
        <v>1606</v>
      </c>
      <c r="J676" s="1099">
        <v>6</v>
      </c>
      <c r="K676" s="1099">
        <v>9</v>
      </c>
      <c r="L676" s="1099">
        <v>12</v>
      </c>
      <c r="M676" s="1104">
        <v>15</v>
      </c>
      <c r="N676" s="1099">
        <v>120</v>
      </c>
      <c r="O676" s="1099">
        <v>180</v>
      </c>
      <c r="P676" s="1099">
        <v>240</v>
      </c>
      <c r="Q676" s="1104">
        <v>350</v>
      </c>
      <c r="R676" s="1099">
        <v>15</v>
      </c>
      <c r="S676" s="1099">
        <v>20</v>
      </c>
      <c r="T676" s="1099">
        <v>25</v>
      </c>
      <c r="U676" s="1104">
        <v>35</v>
      </c>
      <c r="V676" s="1101" t="s">
        <v>7113</v>
      </c>
      <c r="W676" s="1101" t="s">
        <v>7114</v>
      </c>
      <c r="X676" s="1101" t="s">
        <v>7115</v>
      </c>
      <c r="Y676" s="1101" t="s">
        <v>7116</v>
      </c>
      <c r="Z676" s="1102" t="s">
        <v>7117</v>
      </c>
    </row>
    <row r="677" spans="2:26" ht="12.75" customHeight="1" x14ac:dyDescent="0.2">
      <c r="B677" s="2090" t="str">
        <f t="shared" si="19"/>
        <v>Vacío64</v>
      </c>
      <c r="C677" s="1103"/>
      <c r="D677" s="521" t="s">
        <v>906</v>
      </c>
      <c r="E677" s="1099" t="s">
        <v>93</v>
      </c>
      <c r="F677" s="1099">
        <v>64</v>
      </c>
      <c r="G677" s="1108" t="s">
        <v>1690</v>
      </c>
      <c r="H677" s="1108" t="s">
        <v>1537</v>
      </c>
      <c r="I677" s="1109" t="s">
        <v>1606</v>
      </c>
      <c r="J677" s="1099">
        <v>8</v>
      </c>
      <c r="K677" s="1099">
        <v>10</v>
      </c>
      <c r="L677" s="1099">
        <v>12</v>
      </c>
      <c r="M677" s="1104">
        <v>15</v>
      </c>
      <c r="N677" s="1099">
        <v>150</v>
      </c>
      <c r="O677" s="1099">
        <v>250</v>
      </c>
      <c r="P677" s="1099">
        <v>350</v>
      </c>
      <c r="Q677" s="1104">
        <v>500</v>
      </c>
      <c r="R677" s="1099">
        <v>15</v>
      </c>
      <c r="S677" s="1099">
        <v>25</v>
      </c>
      <c r="T677" s="1099">
        <v>35</v>
      </c>
      <c r="U677" s="1104">
        <v>50</v>
      </c>
      <c r="V677" s="1101" t="s">
        <v>7118</v>
      </c>
      <c r="W677" s="1101" t="s">
        <v>7119</v>
      </c>
      <c r="X677" s="1101" t="s">
        <v>7120</v>
      </c>
      <c r="Y677" s="1101" t="s">
        <v>7121</v>
      </c>
      <c r="Z677" s="1102" t="s">
        <v>7122</v>
      </c>
    </row>
    <row r="678" spans="2:26" ht="12.75" customHeight="1" x14ac:dyDescent="0.2">
      <c r="B678" s="2090" t="str">
        <f t="shared" si="19"/>
        <v>Vacío74</v>
      </c>
      <c r="C678" s="1103"/>
      <c r="D678" s="521" t="s">
        <v>907</v>
      </c>
      <c r="E678" s="1099" t="s">
        <v>93</v>
      </c>
      <c r="F678" s="1099">
        <v>74</v>
      </c>
      <c r="G678" s="1108" t="s">
        <v>1690</v>
      </c>
      <c r="H678" s="1108" t="s">
        <v>1534</v>
      </c>
      <c r="I678" s="1109" t="s">
        <v>1606</v>
      </c>
      <c r="J678" s="1099">
        <v>10</v>
      </c>
      <c r="K678" s="1099">
        <v>12</v>
      </c>
      <c r="L678" s="1099">
        <v>14</v>
      </c>
      <c r="M678" s="1104">
        <v>16</v>
      </c>
      <c r="N678" s="1099">
        <v>140</v>
      </c>
      <c r="O678" s="1099">
        <v>200</v>
      </c>
      <c r="P678" s="1099">
        <v>280</v>
      </c>
      <c r="Q678" s="1104">
        <v>400</v>
      </c>
      <c r="R678" s="1099">
        <v>15</v>
      </c>
      <c r="S678" s="1099">
        <v>20</v>
      </c>
      <c r="T678" s="1099">
        <v>30</v>
      </c>
      <c r="U678" s="1104">
        <v>40</v>
      </c>
      <c r="V678" s="1101" t="s">
        <v>7123</v>
      </c>
      <c r="W678" s="1101" t="s">
        <v>7124</v>
      </c>
      <c r="X678" s="1101" t="s">
        <v>7125</v>
      </c>
      <c r="Y678" s="1101" t="s">
        <v>7126</v>
      </c>
      <c r="Z678" s="1102" t="s">
        <v>7127</v>
      </c>
    </row>
    <row r="679" spans="2:26" ht="12.75" customHeight="1" x14ac:dyDescent="0.2">
      <c r="B679" s="2090" t="str">
        <f t="shared" si="19"/>
        <v>Vacío84</v>
      </c>
      <c r="C679" s="1103"/>
      <c r="D679" s="521" t="s">
        <v>908</v>
      </c>
      <c r="E679" s="1099" t="s">
        <v>93</v>
      </c>
      <c r="F679" s="1099">
        <v>84</v>
      </c>
      <c r="G679" s="1108" t="s">
        <v>1690</v>
      </c>
      <c r="H679" s="1108" t="s">
        <v>1534</v>
      </c>
      <c r="I679" s="1109" t="s">
        <v>1606</v>
      </c>
      <c r="J679" s="1099">
        <v>14</v>
      </c>
      <c r="K679" s="1099">
        <v>16</v>
      </c>
      <c r="L679" s="1099">
        <v>18</v>
      </c>
      <c r="M679" s="1104">
        <v>20</v>
      </c>
      <c r="N679" s="1099">
        <v>250</v>
      </c>
      <c r="O679" s="1099">
        <v>500</v>
      </c>
      <c r="P679" s="1099">
        <v>750</v>
      </c>
      <c r="Q679" s="1104">
        <v>1000</v>
      </c>
      <c r="R679" s="1099" t="s">
        <v>1690</v>
      </c>
      <c r="S679" s="1099" t="s">
        <v>1690</v>
      </c>
      <c r="T679" s="1099" t="s">
        <v>1690</v>
      </c>
      <c r="U679" s="1104" t="s">
        <v>1690</v>
      </c>
      <c r="V679" s="1101" t="s">
        <v>7128</v>
      </c>
      <c r="W679" s="1101" t="s">
        <v>7129</v>
      </c>
      <c r="X679" s="1101" t="s">
        <v>7130</v>
      </c>
      <c r="Y679" s="1101" t="s">
        <v>7131</v>
      </c>
      <c r="Z679" s="1102" t="s">
        <v>7132</v>
      </c>
    </row>
    <row r="680" spans="2:26" ht="12.75" customHeight="1" thickBot="1" x14ac:dyDescent="0.25">
      <c r="B680" s="2090" t="str">
        <f t="shared" si="19"/>
        <v>Vacío94</v>
      </c>
      <c r="C680" s="1111"/>
      <c r="D680" s="524" t="s">
        <v>909</v>
      </c>
      <c r="E680" s="1112" t="s">
        <v>93</v>
      </c>
      <c r="F680" s="1112">
        <v>94</v>
      </c>
      <c r="G680" s="1113" t="s">
        <v>1690</v>
      </c>
      <c r="H680" s="1113" t="s">
        <v>1536</v>
      </c>
      <c r="I680" s="1114" t="s">
        <v>1607</v>
      </c>
      <c r="J680" s="1112">
        <v>11</v>
      </c>
      <c r="K680" s="1112">
        <v>13</v>
      </c>
      <c r="L680" s="1112">
        <v>15</v>
      </c>
      <c r="M680" s="1115">
        <v>18</v>
      </c>
      <c r="N680" s="1112">
        <v>300</v>
      </c>
      <c r="O680" s="1112">
        <v>500</v>
      </c>
      <c r="P680" s="1112">
        <v>800</v>
      </c>
      <c r="Q680" s="1115">
        <v>1200</v>
      </c>
      <c r="R680" s="1112">
        <v>30</v>
      </c>
      <c r="S680" s="1112">
        <v>50</v>
      </c>
      <c r="T680" s="1112">
        <v>80</v>
      </c>
      <c r="U680" s="1115">
        <v>120</v>
      </c>
      <c r="V680" s="1116" t="s">
        <v>7133</v>
      </c>
      <c r="W680" s="1116" t="s">
        <v>7134</v>
      </c>
      <c r="X680" s="1116" t="s">
        <v>7135</v>
      </c>
      <c r="Y680" s="1116" t="s">
        <v>7136</v>
      </c>
      <c r="Z680" s="1117" t="s">
        <v>7137</v>
      </c>
    </row>
  </sheetData>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39">
        <v>1</v>
      </c>
    </row>
    <row r="2" spans="1:27" ht="12.75" customHeight="1" x14ac:dyDescent="0.2">
      <c r="A2" s="540">
        <v>2</v>
      </c>
      <c r="C2" s="4382" t="s">
        <v>2997</v>
      </c>
      <c r="D2" s="4383"/>
      <c r="E2" s="4383"/>
      <c r="F2" s="4383"/>
      <c r="G2" s="4384"/>
      <c r="I2" s="4385" t="s">
        <v>2998</v>
      </c>
      <c r="J2" s="4386"/>
      <c r="L2" s="5394" t="s">
        <v>2999</v>
      </c>
    </row>
    <row r="3" spans="1:27" x14ac:dyDescent="0.2">
      <c r="A3" s="540">
        <v>3</v>
      </c>
      <c r="C3" s="4385"/>
      <c r="D3" s="4386"/>
      <c r="E3" s="4386"/>
      <c r="F3" s="4386"/>
      <c r="G3" s="4387"/>
      <c r="I3" s="4385"/>
      <c r="J3" s="4386"/>
      <c r="L3" s="5395"/>
    </row>
    <row r="4" spans="1:27" ht="13.5" thickBot="1" x14ac:dyDescent="0.25">
      <c r="A4" s="540">
        <v>4</v>
      </c>
      <c r="C4" s="541" t="s">
        <v>3000</v>
      </c>
      <c r="D4" s="2042" t="s">
        <v>3001</v>
      </c>
      <c r="E4" s="2043" t="s">
        <v>3002</v>
      </c>
      <c r="F4" s="2043" t="s">
        <v>3003</v>
      </c>
      <c r="G4" s="2044" t="s">
        <v>1751</v>
      </c>
      <c r="I4" s="542" t="s">
        <v>3004</v>
      </c>
      <c r="J4" s="543" t="s">
        <v>3005</v>
      </c>
      <c r="L4" s="544" t="s">
        <v>1690</v>
      </c>
    </row>
    <row r="5" spans="1:27" ht="13.5" thickTop="1" x14ac:dyDescent="0.2">
      <c r="A5" s="540">
        <v>5</v>
      </c>
      <c r="C5" s="2045" t="s">
        <v>1922</v>
      </c>
      <c r="D5" s="2046" t="s">
        <v>3006</v>
      </c>
      <c r="E5" s="2047" t="s">
        <v>3007</v>
      </c>
      <c r="F5" s="2047" t="s">
        <v>3008</v>
      </c>
      <c r="G5" s="2048" t="s">
        <v>3009</v>
      </c>
      <c r="I5" s="545">
        <v>0</v>
      </c>
      <c r="J5" s="546">
        <v>20</v>
      </c>
      <c r="L5" s="544" t="s">
        <v>3010</v>
      </c>
    </row>
    <row r="6" spans="1:27" ht="13.5" thickBot="1" x14ac:dyDescent="0.25">
      <c r="A6" s="540">
        <v>6</v>
      </c>
      <c r="C6" s="2049" t="s">
        <v>1925</v>
      </c>
      <c r="D6" s="2050" t="s">
        <v>3011</v>
      </c>
      <c r="E6" s="2051" t="s">
        <v>3012</v>
      </c>
      <c r="F6" s="2051" t="s">
        <v>3013</v>
      </c>
      <c r="G6" s="2052" t="s">
        <v>3014</v>
      </c>
      <c r="I6" s="547">
        <v>50</v>
      </c>
      <c r="J6" s="548">
        <v>30</v>
      </c>
      <c r="L6" s="549" t="s">
        <v>3015</v>
      </c>
    </row>
    <row r="7" spans="1:27" x14ac:dyDescent="0.2">
      <c r="A7" s="540">
        <v>7</v>
      </c>
      <c r="C7" s="2053" t="s">
        <v>1929</v>
      </c>
      <c r="D7" s="2054" t="s">
        <v>3016</v>
      </c>
      <c r="E7" s="2051" t="s">
        <v>3017</v>
      </c>
      <c r="F7" s="2051" t="s">
        <v>3018</v>
      </c>
      <c r="G7" s="2052" t="s">
        <v>3019</v>
      </c>
      <c r="I7" s="547">
        <v>100</v>
      </c>
      <c r="J7" s="548">
        <v>40</v>
      </c>
    </row>
    <row r="8" spans="1:27" x14ac:dyDescent="0.2">
      <c r="A8" s="540">
        <v>8</v>
      </c>
      <c r="C8" s="2049" t="s">
        <v>2024</v>
      </c>
      <c r="D8" s="2050" t="s">
        <v>3020</v>
      </c>
      <c r="E8" s="2051" t="s">
        <v>3021</v>
      </c>
      <c r="F8" s="2051" t="s">
        <v>3022</v>
      </c>
      <c r="G8" s="2052" t="s">
        <v>3023</v>
      </c>
      <c r="I8" s="545">
        <v>150</v>
      </c>
      <c r="J8" s="546">
        <v>50</v>
      </c>
    </row>
    <row r="9" spans="1:27" x14ac:dyDescent="0.2">
      <c r="A9" s="540">
        <v>9</v>
      </c>
      <c r="C9" s="2053" t="s">
        <v>2019</v>
      </c>
      <c r="D9" s="2054" t="s">
        <v>3024</v>
      </c>
      <c r="E9" s="2051" t="s">
        <v>3025</v>
      </c>
      <c r="F9" s="2051" t="s">
        <v>3026</v>
      </c>
      <c r="G9" s="2052" t="s">
        <v>3027</v>
      </c>
      <c r="I9" s="547">
        <v>200</v>
      </c>
      <c r="J9" s="548">
        <v>60</v>
      </c>
    </row>
    <row r="10" spans="1:27" x14ac:dyDescent="0.2">
      <c r="A10" s="540">
        <v>10</v>
      </c>
      <c r="C10" s="2049" t="s">
        <v>2020</v>
      </c>
      <c r="D10" s="2050" t="s">
        <v>3028</v>
      </c>
      <c r="E10" s="2051" t="s">
        <v>3029</v>
      </c>
      <c r="F10" s="2051" t="s">
        <v>3030</v>
      </c>
      <c r="G10" s="2052" t="s">
        <v>3031</v>
      </c>
      <c r="I10" s="547">
        <v>250</v>
      </c>
      <c r="J10" s="548">
        <v>70</v>
      </c>
    </row>
    <row r="11" spans="1:27" x14ac:dyDescent="0.2">
      <c r="A11" s="540">
        <v>11</v>
      </c>
      <c r="C11" s="2053" t="s">
        <v>3032</v>
      </c>
      <c r="D11" s="2054" t="s">
        <v>3033</v>
      </c>
      <c r="E11" s="2051" t="s">
        <v>3034</v>
      </c>
      <c r="F11" s="2051" t="s">
        <v>3035</v>
      </c>
      <c r="G11" s="2052" t="s">
        <v>3036</v>
      </c>
      <c r="I11" s="545">
        <v>300</v>
      </c>
      <c r="J11" s="546">
        <v>80</v>
      </c>
    </row>
    <row r="12" spans="1:27" ht="13.5" thickBot="1" x14ac:dyDescent="0.25">
      <c r="A12" s="540">
        <v>12</v>
      </c>
      <c r="C12" s="2055" t="s">
        <v>2031</v>
      </c>
      <c r="D12" s="2056" t="s">
        <v>3037</v>
      </c>
      <c r="E12" s="2057" t="s">
        <v>3038</v>
      </c>
      <c r="F12" s="2057" t="s">
        <v>3039</v>
      </c>
      <c r="G12" s="2041" t="s">
        <v>3040</v>
      </c>
      <c r="I12" s="547">
        <v>350</v>
      </c>
      <c r="J12" s="548">
        <v>90</v>
      </c>
    </row>
    <row r="13" spans="1:27" ht="13.5" thickBot="1" x14ac:dyDescent="0.25">
      <c r="A13" s="540">
        <v>13</v>
      </c>
      <c r="I13" s="550">
        <v>400</v>
      </c>
      <c r="J13" s="551">
        <v>100</v>
      </c>
      <c r="W13" s="552"/>
      <c r="Y13" s="552"/>
    </row>
    <row r="14" spans="1:27" ht="12.75" customHeight="1" thickBot="1" x14ac:dyDescent="0.25">
      <c r="A14" s="540">
        <v>30</v>
      </c>
    </row>
    <row r="15" spans="1:27" ht="12.75" customHeight="1" x14ac:dyDescent="0.2">
      <c r="A15" s="540">
        <v>15</v>
      </c>
      <c r="C15" s="4382" t="s">
        <v>2636</v>
      </c>
      <c r="D15" s="4384"/>
      <c r="F15" s="4382" t="s">
        <v>3041</v>
      </c>
      <c r="G15" s="4383"/>
      <c r="H15" s="4383"/>
      <c r="I15" s="4383"/>
      <c r="J15" s="4383"/>
      <c r="K15" s="4383"/>
      <c r="L15" s="4383"/>
      <c r="M15" s="4383"/>
      <c r="N15" s="4384"/>
      <c r="AA15" s="552"/>
    </row>
    <row r="16" spans="1:27" x14ac:dyDescent="0.2">
      <c r="A16" s="540">
        <v>16</v>
      </c>
      <c r="C16" s="4385"/>
      <c r="D16" s="4387"/>
      <c r="F16" s="4385"/>
      <c r="G16" s="4386"/>
      <c r="H16" s="4386"/>
      <c r="I16" s="4386"/>
      <c r="J16" s="4386"/>
      <c r="K16" s="4386"/>
      <c r="L16" s="4386"/>
      <c r="M16" s="4386"/>
      <c r="N16" s="4387"/>
      <c r="AA16" s="552"/>
    </row>
    <row r="17" spans="1:27" x14ac:dyDescent="0.2">
      <c r="A17" s="540">
        <v>17</v>
      </c>
      <c r="C17" s="556" t="s">
        <v>1751</v>
      </c>
      <c r="D17" s="554" t="s">
        <v>2637</v>
      </c>
      <c r="E17" s="555">
        <v>1</v>
      </c>
      <c r="F17" s="556"/>
      <c r="G17" s="557" t="s">
        <v>1922</v>
      </c>
      <c r="H17" s="558" t="s">
        <v>1925</v>
      </c>
      <c r="I17" s="559" t="s">
        <v>1929</v>
      </c>
      <c r="J17" s="558" t="s">
        <v>2024</v>
      </c>
      <c r="K17" s="559" t="s">
        <v>2019</v>
      </c>
      <c r="L17" s="558" t="s">
        <v>2020</v>
      </c>
      <c r="M17" s="559" t="s">
        <v>3032</v>
      </c>
      <c r="N17" s="560" t="s">
        <v>2031</v>
      </c>
      <c r="AA17" s="552"/>
    </row>
    <row r="18" spans="1:27" x14ac:dyDescent="0.2">
      <c r="A18" s="540">
        <v>18</v>
      </c>
      <c r="C18" s="1723" t="s">
        <v>3042</v>
      </c>
      <c r="D18" s="561">
        <f>COUNTIF(Sheele!$C$33:$J$36,C18)</f>
        <v>0</v>
      </c>
      <c r="E18" s="555">
        <v>2</v>
      </c>
      <c r="F18" s="562" t="s">
        <v>3043</v>
      </c>
      <c r="G18" s="563">
        <v>8</v>
      </c>
      <c r="H18" s="563">
        <v>8</v>
      </c>
      <c r="I18" s="563">
        <v>6</v>
      </c>
      <c r="J18" s="563">
        <v>6</v>
      </c>
      <c r="K18" s="563">
        <v>5</v>
      </c>
      <c r="L18" s="564">
        <v>5</v>
      </c>
      <c r="M18" s="563">
        <v>7</v>
      </c>
      <c r="N18" s="546">
        <v>6</v>
      </c>
      <c r="AA18" s="565"/>
    </row>
    <row r="19" spans="1:27" x14ac:dyDescent="0.2">
      <c r="A19" s="540">
        <v>19</v>
      </c>
      <c r="C19" s="1723" t="s">
        <v>3044</v>
      </c>
      <c r="D19" s="561">
        <f>COUNTIF(Sheele!$C$33:$J$36,C19)</f>
        <v>0</v>
      </c>
      <c r="E19" s="555">
        <v>3</v>
      </c>
      <c r="F19" s="562" t="s">
        <v>3045</v>
      </c>
      <c r="G19" s="563">
        <v>2</v>
      </c>
      <c r="H19" s="563">
        <v>3</v>
      </c>
      <c r="I19" s="563">
        <v>4</v>
      </c>
      <c r="J19" s="563">
        <v>5</v>
      </c>
      <c r="K19" s="563">
        <v>2</v>
      </c>
      <c r="L19" s="564">
        <v>2</v>
      </c>
      <c r="M19" s="563">
        <v>3</v>
      </c>
      <c r="N19" s="546">
        <v>2</v>
      </c>
      <c r="AA19" s="565"/>
    </row>
    <row r="20" spans="1:27" x14ac:dyDescent="0.2">
      <c r="A20" s="540">
        <v>20</v>
      </c>
      <c r="C20" s="1723" t="s">
        <v>3046</v>
      </c>
      <c r="D20" s="561">
        <f>COUNTIF(Sheele!$C$33:$J$36,C20)</f>
        <v>0</v>
      </c>
      <c r="E20" s="555">
        <v>4</v>
      </c>
      <c r="F20" s="562" t="s">
        <v>3047</v>
      </c>
      <c r="G20" s="563">
        <v>8</v>
      </c>
      <c r="H20" s="563">
        <v>6</v>
      </c>
      <c r="I20" s="563">
        <v>5</v>
      </c>
      <c r="J20" s="563">
        <v>6</v>
      </c>
      <c r="K20" s="563">
        <v>6</v>
      </c>
      <c r="L20" s="564">
        <v>6</v>
      </c>
      <c r="M20" s="563">
        <v>6</v>
      </c>
      <c r="N20" s="546">
        <v>8</v>
      </c>
      <c r="AA20" s="565"/>
    </row>
    <row r="21" spans="1:27" x14ac:dyDescent="0.2">
      <c r="A21" s="540">
        <v>21</v>
      </c>
      <c r="C21" s="1723" t="s">
        <v>3048</v>
      </c>
      <c r="D21" s="561">
        <f>COUNTIF(Sheele!$C$33:$J$36,C21)</f>
        <v>0</v>
      </c>
      <c r="E21" s="555">
        <v>5</v>
      </c>
      <c r="F21" s="562" t="s">
        <v>3049</v>
      </c>
      <c r="G21" s="563">
        <v>2</v>
      </c>
      <c r="H21" s="563">
        <v>3</v>
      </c>
      <c r="I21" s="563">
        <v>4</v>
      </c>
      <c r="J21" s="563">
        <v>6</v>
      </c>
      <c r="K21" s="563">
        <v>2</v>
      </c>
      <c r="L21" s="564">
        <v>2</v>
      </c>
      <c r="M21" s="563">
        <v>4</v>
      </c>
      <c r="N21" s="546">
        <v>2</v>
      </c>
      <c r="AA21" s="565"/>
    </row>
    <row r="22" spans="1:27" x14ac:dyDescent="0.2">
      <c r="A22" s="540">
        <v>22</v>
      </c>
      <c r="C22" s="1723" t="s">
        <v>3050</v>
      </c>
      <c r="D22" s="561">
        <f>COUNTIF(Sheele!$C$33:$J$36,C22)</f>
        <v>0</v>
      </c>
      <c r="E22" s="555">
        <v>6</v>
      </c>
      <c r="F22" s="562" t="s">
        <v>3051</v>
      </c>
      <c r="G22" s="563">
        <v>8</v>
      </c>
      <c r="H22" s="563">
        <v>8</v>
      </c>
      <c r="I22" s="563">
        <v>7</v>
      </c>
      <c r="J22" s="563">
        <v>6</v>
      </c>
      <c r="K22" s="563">
        <v>9</v>
      </c>
      <c r="L22" s="564">
        <v>9</v>
      </c>
      <c r="M22" s="563">
        <v>7</v>
      </c>
      <c r="N22" s="546">
        <v>9</v>
      </c>
      <c r="AA22" s="565"/>
    </row>
    <row r="23" spans="1:27" x14ac:dyDescent="0.2">
      <c r="A23" s="540">
        <v>23</v>
      </c>
      <c r="C23" s="1723" t="s">
        <v>3052</v>
      </c>
      <c r="D23" s="561">
        <f>COUNTIF(Sheele!$C$33:$J$36,C23)</f>
        <v>0</v>
      </c>
      <c r="E23" s="555">
        <v>7</v>
      </c>
      <c r="F23" s="562" t="s">
        <v>3053</v>
      </c>
      <c r="G23" s="563">
        <v>6</v>
      </c>
      <c r="H23" s="563">
        <v>6</v>
      </c>
      <c r="I23" s="563">
        <v>5</v>
      </c>
      <c r="J23" s="563">
        <v>6</v>
      </c>
      <c r="K23" s="563">
        <v>7</v>
      </c>
      <c r="L23" s="564">
        <v>7</v>
      </c>
      <c r="M23" s="563">
        <v>8</v>
      </c>
      <c r="N23" s="546">
        <v>10</v>
      </c>
      <c r="AA23" s="565"/>
    </row>
    <row r="24" spans="1:27" x14ac:dyDescent="0.2">
      <c r="A24" s="540">
        <v>24</v>
      </c>
      <c r="C24" s="1723" t="s">
        <v>3054</v>
      </c>
      <c r="D24" s="561">
        <f>COUNTIF(Sheele!$C$33:$J$36,C24)</f>
        <v>0</v>
      </c>
      <c r="E24" s="555">
        <v>8</v>
      </c>
      <c r="F24" s="562" t="s">
        <v>3055</v>
      </c>
      <c r="G24" s="563">
        <v>8</v>
      </c>
      <c r="H24" s="563">
        <v>8</v>
      </c>
      <c r="I24" s="563">
        <v>8</v>
      </c>
      <c r="J24" s="563">
        <v>8</v>
      </c>
      <c r="K24" s="563">
        <v>9</v>
      </c>
      <c r="L24" s="564">
        <v>9</v>
      </c>
      <c r="M24" s="563">
        <v>8</v>
      </c>
      <c r="N24" s="546">
        <v>8</v>
      </c>
      <c r="AA24" s="565"/>
    </row>
    <row r="25" spans="1:27" ht="13.5" thickBot="1" x14ac:dyDescent="0.25">
      <c r="A25" s="540">
        <v>25</v>
      </c>
      <c r="C25" s="1724" t="s">
        <v>3056</v>
      </c>
      <c r="D25" s="566">
        <f>COUNTIF(Sheele!$C$33:$J$36,C25)</f>
        <v>0</v>
      </c>
      <c r="E25" s="555">
        <v>9</v>
      </c>
      <c r="F25" s="567" t="s">
        <v>3057</v>
      </c>
      <c r="G25" s="568">
        <v>6</v>
      </c>
      <c r="H25" s="568">
        <v>6</v>
      </c>
      <c r="I25" s="568">
        <v>5</v>
      </c>
      <c r="J25" s="568">
        <v>6</v>
      </c>
      <c r="K25" s="568">
        <v>8</v>
      </c>
      <c r="L25" s="569">
        <v>8</v>
      </c>
      <c r="M25" s="568">
        <v>6</v>
      </c>
      <c r="N25" s="570">
        <v>7</v>
      </c>
    </row>
    <row r="26" spans="1:27" ht="13.5" thickBot="1" x14ac:dyDescent="0.25">
      <c r="A26" s="540">
        <v>26</v>
      </c>
    </row>
    <row r="27" spans="1:27" ht="15.75" customHeight="1" x14ac:dyDescent="0.2">
      <c r="A27" s="540">
        <v>27</v>
      </c>
      <c r="C27" s="4382" t="s">
        <v>3058</v>
      </c>
      <c r="D27" s="4383"/>
      <c r="E27" s="4383"/>
      <c r="F27" s="4383"/>
      <c r="G27" s="4383"/>
      <c r="H27" s="4383"/>
      <c r="I27" s="4383"/>
      <c r="J27" s="4383"/>
      <c r="K27" s="4384"/>
    </row>
    <row r="28" spans="1:27" ht="12.75" customHeight="1" thickBot="1" x14ac:dyDescent="0.25">
      <c r="A28" s="540">
        <v>28</v>
      </c>
      <c r="C28" s="5396"/>
      <c r="D28" s="5397"/>
      <c r="E28" s="5397"/>
      <c r="F28" s="5397"/>
      <c r="G28" s="5397"/>
      <c r="H28" s="5397"/>
      <c r="I28" s="5397"/>
      <c r="J28" s="5397"/>
      <c r="K28" s="5398"/>
    </row>
    <row r="29" spans="1:27" ht="12.75" customHeight="1" x14ac:dyDescent="0.2">
      <c r="A29" s="540">
        <v>29</v>
      </c>
      <c r="B29" s="1484">
        <v>1</v>
      </c>
      <c r="C29" s="1356" t="s">
        <v>1684</v>
      </c>
      <c r="D29" s="553" t="s">
        <v>1922</v>
      </c>
      <c r="E29" s="571" t="s">
        <v>1925</v>
      </c>
      <c r="F29" s="553" t="s">
        <v>1929</v>
      </c>
      <c r="G29" s="571" t="s">
        <v>2024</v>
      </c>
      <c r="H29" s="553" t="s">
        <v>2019</v>
      </c>
      <c r="I29" s="571" t="s">
        <v>2020</v>
      </c>
      <c r="J29" s="553" t="s">
        <v>3032</v>
      </c>
      <c r="K29" s="572" t="s">
        <v>2031</v>
      </c>
    </row>
    <row r="30" spans="1:27" ht="12.75" customHeight="1" x14ac:dyDescent="0.2">
      <c r="A30" s="540">
        <v>30</v>
      </c>
      <c r="B30" s="1484">
        <v>2</v>
      </c>
      <c r="C30" s="1365" t="s">
        <v>1714</v>
      </c>
      <c r="D30" s="1472">
        <v>60</v>
      </c>
      <c r="E30" s="1472"/>
      <c r="F30" s="1472">
        <v>20</v>
      </c>
      <c r="G30" s="1472"/>
      <c r="H30" s="1472"/>
      <c r="I30" s="1472"/>
      <c r="J30" s="1472"/>
      <c r="K30" s="1473"/>
    </row>
    <row r="31" spans="1:27" x14ac:dyDescent="0.2">
      <c r="A31" s="540">
        <v>31</v>
      </c>
      <c r="B31" s="1484">
        <v>3</v>
      </c>
      <c r="C31" s="1364" t="s">
        <v>1716</v>
      </c>
      <c r="D31" s="1474"/>
      <c r="E31" s="1474"/>
      <c r="F31" s="1474"/>
      <c r="G31" s="1474"/>
      <c r="H31" s="1474"/>
      <c r="I31" s="1474"/>
      <c r="J31" s="1474"/>
      <c r="K31" s="1475"/>
    </row>
    <row r="32" spans="1:27" x14ac:dyDescent="0.2">
      <c r="A32" s="540">
        <v>32</v>
      </c>
      <c r="B32" s="1484">
        <v>4</v>
      </c>
      <c r="C32" s="1363" t="s">
        <v>1719</v>
      </c>
      <c r="D32" s="1476"/>
      <c r="E32" s="1476"/>
      <c r="F32" s="1476"/>
      <c r="G32" s="1476"/>
      <c r="H32" s="1476"/>
      <c r="I32" s="1476"/>
      <c r="J32" s="1476"/>
      <c r="K32" s="1477"/>
    </row>
    <row r="33" spans="1:11" x14ac:dyDescent="0.2">
      <c r="A33" s="540">
        <v>33</v>
      </c>
      <c r="B33" s="1484">
        <v>5</v>
      </c>
      <c r="C33" s="1364" t="s">
        <v>1723</v>
      </c>
      <c r="D33" s="1474"/>
      <c r="E33" s="1474"/>
      <c r="F33" s="1474"/>
      <c r="G33" s="1474"/>
      <c r="H33" s="1474"/>
      <c r="I33" s="1474"/>
      <c r="J33" s="1474"/>
      <c r="K33" s="1475"/>
    </row>
    <row r="34" spans="1:11" x14ac:dyDescent="0.2">
      <c r="A34" s="540">
        <v>34</v>
      </c>
      <c r="B34" s="1484">
        <v>6</v>
      </c>
      <c r="C34" s="1363" t="s">
        <v>1726</v>
      </c>
      <c r="D34" s="1476"/>
      <c r="E34" s="1476"/>
      <c r="F34" s="1476"/>
      <c r="G34" s="1476"/>
      <c r="H34" s="1476"/>
      <c r="I34" s="1476"/>
      <c r="J34" s="1476"/>
      <c r="K34" s="1477"/>
    </row>
    <row r="35" spans="1:11" x14ac:dyDescent="0.2">
      <c r="A35" s="540">
        <v>35</v>
      </c>
      <c r="B35" s="1484">
        <v>7</v>
      </c>
      <c r="C35" s="1364" t="s">
        <v>1729</v>
      </c>
      <c r="D35" s="1474"/>
      <c r="E35" s="1474"/>
      <c r="F35" s="1474"/>
      <c r="G35" s="1474"/>
      <c r="H35" s="1474"/>
      <c r="I35" s="1474"/>
      <c r="J35" s="1474"/>
      <c r="K35" s="1475"/>
    </row>
    <row r="36" spans="1:11" ht="12.75" customHeight="1" x14ac:dyDescent="0.2">
      <c r="A36" s="540">
        <v>36</v>
      </c>
      <c r="B36" s="1484">
        <v>8</v>
      </c>
      <c r="C36" s="1363" t="s">
        <v>7754</v>
      </c>
      <c r="D36" s="1476"/>
      <c r="E36" s="1476"/>
      <c r="F36" s="1476"/>
      <c r="G36" s="1476"/>
      <c r="H36" s="1476"/>
      <c r="I36" s="1476"/>
      <c r="J36" s="1476"/>
      <c r="K36" s="1477"/>
    </row>
    <row r="37" spans="1:11" x14ac:dyDescent="0.2">
      <c r="A37" s="540">
        <v>37</v>
      </c>
      <c r="B37" s="1484">
        <v>9</v>
      </c>
      <c r="C37" s="1367" t="s">
        <v>1733</v>
      </c>
      <c r="D37" s="1480"/>
      <c r="E37" s="1480"/>
      <c r="F37" s="1480"/>
      <c r="G37" s="1480"/>
      <c r="H37" s="1480">
        <v>20</v>
      </c>
      <c r="I37" s="1480"/>
      <c r="J37" s="1480">
        <v>20</v>
      </c>
      <c r="K37" s="1481"/>
    </row>
    <row r="38" spans="1:11" x14ac:dyDescent="0.2">
      <c r="A38" s="540">
        <v>38</v>
      </c>
      <c r="B38" s="1484">
        <v>10</v>
      </c>
      <c r="C38" s="1363" t="s">
        <v>1735</v>
      </c>
      <c r="D38" s="1476"/>
      <c r="E38" s="1476"/>
      <c r="F38" s="1476"/>
      <c r="G38" s="1476"/>
      <c r="H38" s="1476"/>
      <c r="I38" s="1476">
        <v>20</v>
      </c>
      <c r="J38" s="1476"/>
      <c r="K38" s="1477"/>
    </row>
    <row r="39" spans="1:11" x14ac:dyDescent="0.2">
      <c r="A39" s="540">
        <v>39</v>
      </c>
      <c r="B39" s="1484">
        <v>11</v>
      </c>
      <c r="C39" s="1364" t="s">
        <v>1738</v>
      </c>
      <c r="D39" s="1474"/>
      <c r="E39" s="1474"/>
      <c r="F39" s="1474"/>
      <c r="G39" s="1474"/>
      <c r="H39" s="1474"/>
      <c r="I39" s="1474"/>
      <c r="J39" s="1474"/>
      <c r="K39" s="1475"/>
    </row>
    <row r="40" spans="1:11" x14ac:dyDescent="0.2">
      <c r="A40" s="540">
        <v>40</v>
      </c>
      <c r="B40" s="1484">
        <v>12</v>
      </c>
      <c r="C40" s="1363" t="s">
        <v>1740</v>
      </c>
      <c r="D40" s="1476"/>
      <c r="E40" s="1476">
        <v>40</v>
      </c>
      <c r="F40" s="1476"/>
      <c r="G40" s="1476"/>
      <c r="H40" s="1476">
        <v>20</v>
      </c>
      <c r="I40" s="1476"/>
      <c r="J40" s="1476">
        <v>20</v>
      </c>
      <c r="K40" s="1477">
        <v>80</v>
      </c>
    </row>
    <row r="41" spans="1:11" x14ac:dyDescent="0.2">
      <c r="A41" s="540">
        <v>41</v>
      </c>
      <c r="B41" s="1484">
        <v>13</v>
      </c>
      <c r="C41" s="1364" t="s">
        <v>1085</v>
      </c>
      <c r="D41" s="1474"/>
      <c r="E41" s="1474"/>
      <c r="F41" s="1474"/>
      <c r="G41" s="1474"/>
      <c r="H41" s="1474"/>
      <c r="I41" s="1474"/>
      <c r="J41" s="1474"/>
      <c r="K41" s="1475"/>
    </row>
    <row r="42" spans="1:11" x14ac:dyDescent="0.2">
      <c r="A42" s="540">
        <v>42</v>
      </c>
      <c r="B42" s="1484">
        <v>14</v>
      </c>
      <c r="C42" s="1363" t="s">
        <v>1086</v>
      </c>
      <c r="D42" s="1476"/>
      <c r="E42" s="1476"/>
      <c r="F42" s="1476"/>
      <c r="G42" s="1476"/>
      <c r="H42" s="1476"/>
      <c r="I42" s="1476"/>
      <c r="J42" s="1476"/>
      <c r="K42" s="1477"/>
    </row>
    <row r="43" spans="1:11" ht="12.75" customHeight="1" x14ac:dyDescent="0.2">
      <c r="A43" s="540">
        <v>43</v>
      </c>
      <c r="B43" s="1484">
        <v>15</v>
      </c>
      <c r="C43" s="1366" t="s">
        <v>1087</v>
      </c>
      <c r="D43" s="1478"/>
      <c r="E43" s="1478"/>
      <c r="F43" s="1478"/>
      <c r="G43" s="1478"/>
      <c r="H43" s="1478"/>
      <c r="I43" s="1478"/>
      <c r="J43" s="1478"/>
      <c r="K43" s="1479"/>
    </row>
    <row r="44" spans="1:11" ht="15.75" customHeight="1" x14ac:dyDescent="0.2">
      <c r="A44" s="540">
        <v>44</v>
      </c>
      <c r="B44" s="1484">
        <v>16</v>
      </c>
      <c r="C44" s="1365" t="s">
        <v>1742</v>
      </c>
      <c r="D44" s="1472">
        <v>30</v>
      </c>
      <c r="E44" s="1472">
        <v>40</v>
      </c>
      <c r="F44" s="1472">
        <v>40</v>
      </c>
      <c r="G44" s="1472">
        <v>30</v>
      </c>
      <c r="H44" s="1472">
        <v>80</v>
      </c>
      <c r="I44" s="1472">
        <v>60</v>
      </c>
      <c r="J44" s="1472">
        <v>40</v>
      </c>
      <c r="K44" s="1473">
        <v>40</v>
      </c>
    </row>
    <row r="45" spans="1:11" ht="12.75" customHeight="1" x14ac:dyDescent="0.2">
      <c r="A45" s="540">
        <v>45</v>
      </c>
      <c r="B45" s="1484">
        <v>17</v>
      </c>
      <c r="C45" s="1364" t="s">
        <v>1743</v>
      </c>
      <c r="D45" s="1474">
        <v>10</v>
      </c>
      <c r="E45" s="1474">
        <v>20</v>
      </c>
      <c r="F45" s="1474">
        <v>20</v>
      </c>
      <c r="G45" s="1474">
        <v>10</v>
      </c>
      <c r="H45" s="1474">
        <v>60</v>
      </c>
      <c r="I45" s="1474">
        <v>40</v>
      </c>
      <c r="J45" s="1474">
        <v>20</v>
      </c>
      <c r="K45" s="1475">
        <v>20</v>
      </c>
    </row>
    <row r="46" spans="1:11" ht="12.75" customHeight="1" x14ac:dyDescent="0.2">
      <c r="A46" s="540">
        <v>46</v>
      </c>
      <c r="B46" s="1484">
        <v>18</v>
      </c>
      <c r="C46" s="1368" t="s">
        <v>1744</v>
      </c>
      <c r="D46" s="1482"/>
      <c r="E46" s="1482"/>
      <c r="F46" s="1482"/>
      <c r="G46" s="1482">
        <v>10</v>
      </c>
      <c r="H46" s="1482"/>
      <c r="I46" s="1482"/>
      <c r="J46" s="1482"/>
      <c r="K46" s="1483"/>
    </row>
    <row r="47" spans="1:11" ht="12.75" customHeight="1" x14ac:dyDescent="0.2">
      <c r="A47" s="540">
        <v>47</v>
      </c>
      <c r="B47" s="1484">
        <v>19</v>
      </c>
      <c r="C47" s="1367" t="s">
        <v>1746</v>
      </c>
      <c r="D47" s="1480"/>
      <c r="E47" s="1480"/>
      <c r="F47" s="1480"/>
      <c r="G47" s="1480"/>
      <c r="H47" s="1480">
        <v>20</v>
      </c>
      <c r="I47" s="1480"/>
      <c r="J47" s="1480">
        <v>40</v>
      </c>
      <c r="K47" s="1481"/>
    </row>
    <row r="48" spans="1:11" x14ac:dyDescent="0.2">
      <c r="A48" s="540">
        <v>48</v>
      </c>
      <c r="B48" s="1484">
        <v>20</v>
      </c>
      <c r="C48" s="1363" t="s">
        <v>1747</v>
      </c>
      <c r="D48" s="1476"/>
      <c r="E48" s="1476"/>
      <c r="F48" s="1476"/>
      <c r="G48" s="1476">
        <v>80</v>
      </c>
      <c r="H48" s="1476"/>
      <c r="I48" s="1476"/>
      <c r="J48" s="1476"/>
      <c r="K48" s="1477"/>
    </row>
    <row r="49" spans="1:11" ht="16.5" customHeight="1" x14ac:dyDescent="0.2">
      <c r="A49" s="540">
        <v>49</v>
      </c>
      <c r="B49" s="1484">
        <v>21</v>
      </c>
      <c r="C49" s="1364" t="s">
        <v>2993</v>
      </c>
      <c r="D49" s="1474"/>
      <c r="E49" s="1474"/>
      <c r="F49" s="1474"/>
      <c r="G49" s="1474"/>
      <c r="H49" s="1474"/>
      <c r="I49" s="1474"/>
      <c r="J49" s="1474"/>
      <c r="K49" s="1475"/>
    </row>
    <row r="50" spans="1:11" x14ac:dyDescent="0.2">
      <c r="A50" s="540">
        <v>50</v>
      </c>
      <c r="B50" s="1484">
        <v>22</v>
      </c>
      <c r="C50" s="1363" t="s">
        <v>1748</v>
      </c>
      <c r="D50" s="1476"/>
      <c r="E50" s="1476"/>
      <c r="F50" s="1476"/>
      <c r="G50" s="1476"/>
      <c r="H50" s="1476"/>
      <c r="I50" s="1476"/>
      <c r="J50" s="1476">
        <v>80</v>
      </c>
      <c r="K50" s="1477"/>
    </row>
    <row r="51" spans="1:11" x14ac:dyDescent="0.2">
      <c r="A51" s="540">
        <v>51</v>
      </c>
      <c r="B51" s="1484">
        <v>23</v>
      </c>
      <c r="C51" s="1364" t="s">
        <v>1750</v>
      </c>
      <c r="D51" s="1474"/>
      <c r="E51" s="1474"/>
      <c r="F51" s="1474"/>
      <c r="G51" s="1474"/>
      <c r="H51" s="1474"/>
      <c r="I51" s="1474"/>
      <c r="J51" s="1474"/>
      <c r="K51" s="1475"/>
    </row>
    <row r="52" spans="1:11" x14ac:dyDescent="0.2">
      <c r="A52" s="540">
        <v>52</v>
      </c>
      <c r="B52" s="1484">
        <v>24</v>
      </c>
      <c r="C52" s="1363" t="s">
        <v>1088</v>
      </c>
      <c r="D52" s="1476"/>
      <c r="E52" s="1476"/>
      <c r="F52" s="1476"/>
      <c r="G52" s="1476"/>
      <c r="H52" s="1476"/>
      <c r="I52" s="1476"/>
      <c r="J52" s="1476"/>
      <c r="K52" s="1477"/>
    </row>
    <row r="53" spans="1:11" x14ac:dyDescent="0.2">
      <c r="A53" s="540">
        <v>53</v>
      </c>
      <c r="B53" s="1484">
        <v>25</v>
      </c>
      <c r="C53" s="1364" t="s">
        <v>1753</v>
      </c>
      <c r="D53" s="1474"/>
      <c r="E53" s="1474"/>
      <c r="F53" s="1474"/>
      <c r="G53" s="1474"/>
      <c r="H53" s="1474"/>
      <c r="I53" s="1474"/>
      <c r="J53" s="1474">
        <v>20</v>
      </c>
      <c r="K53" s="1475"/>
    </row>
    <row r="54" spans="1:11" x14ac:dyDescent="0.2">
      <c r="A54" s="540">
        <v>54</v>
      </c>
      <c r="B54" s="1484">
        <v>26</v>
      </c>
      <c r="C54" s="1363" t="s">
        <v>1754</v>
      </c>
      <c r="D54" s="1476"/>
      <c r="E54" s="1476"/>
      <c r="F54" s="1476"/>
      <c r="G54" s="1476">
        <v>20</v>
      </c>
      <c r="H54" s="1476"/>
      <c r="I54" s="1476"/>
      <c r="J54" s="1476"/>
      <c r="K54" s="1477"/>
    </row>
    <row r="55" spans="1:11" x14ac:dyDescent="0.2">
      <c r="A55" s="540">
        <v>55</v>
      </c>
      <c r="B55" s="1484">
        <v>27</v>
      </c>
      <c r="C55" s="1364" t="s">
        <v>1755</v>
      </c>
      <c r="D55" s="1474"/>
      <c r="E55" s="1474">
        <v>60</v>
      </c>
      <c r="F55" s="1474"/>
      <c r="G55" s="1474"/>
      <c r="H55" s="1474"/>
      <c r="I55" s="1474"/>
      <c r="J55" s="1474"/>
      <c r="K55" s="1475"/>
    </row>
    <row r="56" spans="1:11" x14ac:dyDescent="0.2">
      <c r="A56" s="540">
        <v>56</v>
      </c>
      <c r="B56" s="1484">
        <v>28</v>
      </c>
      <c r="C56" s="1363" t="s">
        <v>1756</v>
      </c>
      <c r="D56" s="1476"/>
      <c r="E56" s="1476"/>
      <c r="F56" s="1476"/>
      <c r="G56" s="1476"/>
      <c r="H56" s="1476"/>
      <c r="I56" s="1476"/>
      <c r="J56" s="1476"/>
      <c r="K56" s="1477"/>
    </row>
    <row r="57" spans="1:11" x14ac:dyDescent="0.2">
      <c r="A57" s="540">
        <v>57</v>
      </c>
      <c r="B57" s="1484">
        <v>29</v>
      </c>
      <c r="C57" s="1364" t="s">
        <v>1757</v>
      </c>
      <c r="D57" s="1474"/>
      <c r="E57" s="1474"/>
      <c r="F57" s="1474"/>
      <c r="G57" s="1474">
        <v>20</v>
      </c>
      <c r="H57" s="1474"/>
      <c r="I57" s="1474"/>
      <c r="J57" s="1474"/>
      <c r="K57" s="1475"/>
    </row>
    <row r="58" spans="1:11" ht="12.75" customHeight="1" x14ac:dyDescent="0.2">
      <c r="A58" s="540">
        <v>58</v>
      </c>
      <c r="B58" s="1484">
        <v>30</v>
      </c>
      <c r="C58" s="1368" t="s">
        <v>1758</v>
      </c>
      <c r="D58" s="1482">
        <v>80</v>
      </c>
      <c r="E58" s="1482">
        <v>80</v>
      </c>
      <c r="F58" s="1482">
        <v>80</v>
      </c>
      <c r="G58" s="1482">
        <v>60</v>
      </c>
      <c r="H58" s="1482">
        <v>100</v>
      </c>
      <c r="I58" s="1482">
        <v>100</v>
      </c>
      <c r="J58" s="1482">
        <v>80</v>
      </c>
      <c r="K58" s="1483">
        <v>80</v>
      </c>
    </row>
    <row r="59" spans="1:11" x14ac:dyDescent="0.2">
      <c r="A59" s="540">
        <v>59</v>
      </c>
      <c r="B59" s="1484">
        <v>31</v>
      </c>
      <c r="C59" s="1367" t="s">
        <v>1760</v>
      </c>
      <c r="D59" s="1480"/>
      <c r="E59" s="1480">
        <v>40</v>
      </c>
      <c r="F59" s="1480"/>
      <c r="G59" s="1480"/>
      <c r="H59" s="1480"/>
      <c r="I59" s="1480"/>
      <c r="J59" s="1480"/>
      <c r="K59" s="1481"/>
    </row>
    <row r="60" spans="1:11" x14ac:dyDescent="0.2">
      <c r="A60" s="540">
        <v>60</v>
      </c>
      <c r="B60" s="1484">
        <v>32</v>
      </c>
      <c r="C60" s="1363" t="s">
        <v>1761</v>
      </c>
      <c r="D60" s="1476"/>
      <c r="E60" s="1476"/>
      <c r="F60" s="1476">
        <v>20</v>
      </c>
      <c r="G60" s="1476">
        <v>60</v>
      </c>
      <c r="H60" s="1476"/>
      <c r="I60" s="1476"/>
      <c r="J60" s="1476"/>
      <c r="K60" s="1477"/>
    </row>
    <row r="61" spans="1:11" ht="12.75" customHeight="1" x14ac:dyDescent="0.2">
      <c r="A61" s="540">
        <v>61</v>
      </c>
      <c r="B61" s="1484">
        <v>33</v>
      </c>
      <c r="C61" s="1364" t="s">
        <v>1764</v>
      </c>
      <c r="D61" s="1474"/>
      <c r="E61" s="1474"/>
      <c r="F61" s="1474">
        <v>20</v>
      </c>
      <c r="G61" s="1474">
        <v>40</v>
      </c>
      <c r="H61" s="1474"/>
      <c r="I61" s="1474"/>
      <c r="J61" s="1474"/>
      <c r="K61" s="1475"/>
    </row>
    <row r="62" spans="1:11" x14ac:dyDescent="0.2">
      <c r="A62" s="540">
        <v>62</v>
      </c>
      <c r="B62" s="1484">
        <v>34</v>
      </c>
      <c r="C62" s="1365" t="s">
        <v>1768</v>
      </c>
      <c r="D62" s="1472"/>
      <c r="E62" s="1472"/>
      <c r="F62" s="1472"/>
      <c r="G62" s="1472">
        <v>20</v>
      </c>
      <c r="H62" s="1472"/>
      <c r="I62" s="1472"/>
      <c r="J62" s="1472"/>
      <c r="K62" s="1473"/>
    </row>
    <row r="63" spans="1:11" x14ac:dyDescent="0.2">
      <c r="A63" s="540">
        <v>63</v>
      </c>
      <c r="B63" s="1484">
        <v>35</v>
      </c>
      <c r="C63" s="1364" t="s">
        <v>1770</v>
      </c>
      <c r="D63" s="1474"/>
      <c r="E63" s="1474"/>
      <c r="F63" s="1474"/>
      <c r="G63" s="1474"/>
      <c r="H63" s="1474"/>
      <c r="I63" s="1474"/>
      <c r="J63" s="1474"/>
      <c r="K63" s="1475">
        <v>20</v>
      </c>
    </row>
    <row r="64" spans="1:11" x14ac:dyDescent="0.2">
      <c r="A64" s="540">
        <v>64</v>
      </c>
      <c r="B64" s="1484">
        <v>36</v>
      </c>
      <c r="C64" s="1363" t="s">
        <v>1772</v>
      </c>
      <c r="D64" s="1476"/>
      <c r="E64" s="1476"/>
      <c r="F64" s="1476"/>
      <c r="G64" s="1476"/>
      <c r="H64" s="1476"/>
      <c r="I64" s="1476">
        <v>20</v>
      </c>
      <c r="J64" s="1476"/>
      <c r="K64" s="1477">
        <v>20</v>
      </c>
    </row>
    <row r="65" spans="1:11" x14ac:dyDescent="0.2">
      <c r="A65" s="540">
        <v>65</v>
      </c>
      <c r="B65" s="1484">
        <v>37</v>
      </c>
      <c r="C65" s="1364" t="s">
        <v>1774</v>
      </c>
      <c r="D65" s="1474">
        <v>40</v>
      </c>
      <c r="E65" s="1474"/>
      <c r="F65" s="1474"/>
      <c r="G65" s="1474"/>
      <c r="H65" s="1474"/>
      <c r="I65" s="1474">
        <v>60</v>
      </c>
      <c r="J65" s="1474"/>
      <c r="K65" s="1475">
        <v>20</v>
      </c>
    </row>
    <row r="66" spans="1:11" x14ac:dyDescent="0.2">
      <c r="A66" s="540">
        <v>66</v>
      </c>
      <c r="B66" s="1484">
        <v>38</v>
      </c>
      <c r="C66" s="1363" t="s">
        <v>1776</v>
      </c>
      <c r="D66" s="1476"/>
      <c r="E66" s="1476"/>
      <c r="F66" s="1476"/>
      <c r="G66" s="1476"/>
      <c r="H66" s="1476"/>
      <c r="I66" s="1476">
        <v>60</v>
      </c>
      <c r="J66" s="1476"/>
      <c r="K66" s="1477">
        <v>20</v>
      </c>
    </row>
    <row r="67" spans="1:11" x14ac:dyDescent="0.2">
      <c r="A67" s="540">
        <v>67</v>
      </c>
      <c r="B67" s="1484">
        <v>39</v>
      </c>
      <c r="C67" s="1364" t="s">
        <v>1778</v>
      </c>
      <c r="D67" s="1474"/>
      <c r="E67" s="1474"/>
      <c r="F67" s="1474"/>
      <c r="G67" s="1474"/>
      <c r="H67" s="1474"/>
      <c r="I67" s="1474"/>
      <c r="J67" s="1474"/>
      <c r="K67" s="1475"/>
    </row>
    <row r="68" spans="1:11" ht="16.5" customHeight="1" x14ac:dyDescent="0.2">
      <c r="A68" s="540">
        <v>68</v>
      </c>
      <c r="B68" s="1484">
        <v>40</v>
      </c>
      <c r="C68" s="1363" t="s">
        <v>1779</v>
      </c>
      <c r="D68" s="1476"/>
      <c r="E68" s="1476">
        <v>20</v>
      </c>
      <c r="F68" s="1476"/>
      <c r="G68" s="1476"/>
      <c r="H68" s="1476"/>
      <c r="I68" s="1476"/>
      <c r="J68" s="1476">
        <v>80</v>
      </c>
      <c r="K68" s="1477"/>
    </row>
    <row r="69" spans="1:11" x14ac:dyDescent="0.2">
      <c r="A69" s="540">
        <v>69</v>
      </c>
      <c r="B69" s="1484">
        <v>41</v>
      </c>
      <c r="C69" s="1367" t="s">
        <v>1781</v>
      </c>
      <c r="D69" s="1480"/>
      <c r="E69" s="1480"/>
      <c r="F69" s="1480"/>
      <c r="G69" s="1480"/>
      <c r="H69" s="1480">
        <v>20</v>
      </c>
      <c r="I69" s="1480"/>
      <c r="J69" s="1480"/>
      <c r="K69" s="1481"/>
    </row>
    <row r="70" spans="1:11" x14ac:dyDescent="0.2">
      <c r="A70" s="540">
        <v>70</v>
      </c>
      <c r="B70" s="1484">
        <v>42</v>
      </c>
      <c r="C70" s="1363" t="s">
        <v>1782</v>
      </c>
      <c r="D70" s="1476">
        <v>40</v>
      </c>
      <c r="E70" s="1476"/>
      <c r="F70" s="1476"/>
      <c r="G70" s="1476"/>
      <c r="H70" s="1476"/>
      <c r="I70" s="1476"/>
      <c r="J70" s="1476"/>
      <c r="K70" s="1477"/>
    </row>
    <row r="71" spans="1:11" x14ac:dyDescent="0.2">
      <c r="A71" s="540">
        <v>71</v>
      </c>
      <c r="B71" s="1484">
        <v>43</v>
      </c>
      <c r="C71" s="1364" t="s">
        <v>1783</v>
      </c>
      <c r="D71" s="1474"/>
      <c r="E71" s="1474"/>
      <c r="F71" s="1474">
        <v>20</v>
      </c>
      <c r="G71" s="1474">
        <v>20</v>
      </c>
      <c r="H71" s="1474"/>
      <c r="I71" s="1474"/>
      <c r="J71" s="1474"/>
      <c r="K71" s="1475"/>
    </row>
    <row r="72" spans="1:11" x14ac:dyDescent="0.2">
      <c r="A72" s="540">
        <v>72</v>
      </c>
      <c r="B72" s="1484">
        <v>44</v>
      </c>
      <c r="C72" s="1363" t="s">
        <v>1082</v>
      </c>
      <c r="D72" s="1476"/>
      <c r="E72" s="1476"/>
      <c r="F72" s="1476"/>
      <c r="G72" s="1476"/>
      <c r="H72" s="1476"/>
      <c r="I72" s="1476"/>
      <c r="J72" s="1476"/>
      <c r="K72" s="1477"/>
    </row>
    <row r="73" spans="1:11" x14ac:dyDescent="0.2">
      <c r="A73" s="540">
        <v>73</v>
      </c>
      <c r="B73" s="1484">
        <v>45</v>
      </c>
      <c r="C73" s="1364" t="s">
        <v>1083</v>
      </c>
      <c r="D73" s="1474"/>
      <c r="E73" s="1474"/>
      <c r="F73" s="1474"/>
      <c r="G73" s="1474"/>
      <c r="H73" s="1474"/>
      <c r="I73" s="1474"/>
      <c r="J73" s="1474"/>
      <c r="K73" s="1475"/>
    </row>
    <row r="74" spans="1:11" x14ac:dyDescent="0.2">
      <c r="A74" s="540">
        <v>74</v>
      </c>
      <c r="B74" s="1484">
        <v>46</v>
      </c>
      <c r="C74" s="1363" t="s">
        <v>1084</v>
      </c>
      <c r="D74" s="1476"/>
      <c r="E74" s="1476"/>
      <c r="F74" s="1476"/>
      <c r="G74" s="1476"/>
      <c r="H74" s="1476"/>
      <c r="I74" s="1476"/>
      <c r="J74" s="1476"/>
      <c r="K74" s="1477"/>
    </row>
    <row r="75" spans="1:11" x14ac:dyDescent="0.2">
      <c r="A75" s="540">
        <v>75</v>
      </c>
      <c r="B75" s="1484">
        <v>47</v>
      </c>
      <c r="C75" s="1364" t="s">
        <v>1784</v>
      </c>
      <c r="D75" s="1474"/>
      <c r="E75" s="1474"/>
      <c r="F75" s="1474"/>
      <c r="G75" s="1474"/>
      <c r="H75" s="1474">
        <v>20</v>
      </c>
      <c r="I75" s="1474"/>
      <c r="J75" s="1474"/>
      <c r="K75" s="1475"/>
    </row>
    <row r="76" spans="1:11" x14ac:dyDescent="0.2">
      <c r="A76" s="540">
        <v>76</v>
      </c>
      <c r="B76" s="1484">
        <v>48</v>
      </c>
      <c r="C76" s="1363" t="s">
        <v>1787</v>
      </c>
      <c r="D76" s="1476">
        <v>20</v>
      </c>
      <c r="E76" s="1476"/>
      <c r="F76" s="1476"/>
      <c r="G76" s="1476"/>
      <c r="H76" s="1476"/>
      <c r="I76" s="1476">
        <v>20</v>
      </c>
      <c r="J76" s="1476"/>
      <c r="K76" s="1477"/>
    </row>
    <row r="77" spans="1:11" x14ac:dyDescent="0.2">
      <c r="A77" s="540">
        <v>77</v>
      </c>
      <c r="B77" s="1484">
        <v>49</v>
      </c>
      <c r="C77" s="1364" t="s">
        <v>7755</v>
      </c>
      <c r="D77" s="1474"/>
      <c r="E77" s="1474"/>
      <c r="F77" s="1474"/>
      <c r="G77" s="1474"/>
      <c r="H77" s="1474"/>
      <c r="I77" s="1474"/>
      <c r="J77" s="1474"/>
      <c r="K77" s="1475"/>
    </row>
    <row r="78" spans="1:11" x14ac:dyDescent="0.2">
      <c r="A78" s="540">
        <v>78</v>
      </c>
      <c r="B78" s="1484">
        <v>50</v>
      </c>
      <c r="C78" s="1363" t="s">
        <v>7756</v>
      </c>
      <c r="D78" s="1476"/>
      <c r="E78" s="1476"/>
      <c r="F78" s="1476"/>
      <c r="G78" s="1476"/>
      <c r="H78" s="1476"/>
      <c r="I78" s="1476"/>
      <c r="J78" s="1476"/>
      <c r="K78" s="1477"/>
    </row>
    <row r="79" spans="1:11" x14ac:dyDescent="0.2">
      <c r="A79" s="540">
        <v>79</v>
      </c>
      <c r="B79" s="1484">
        <v>51</v>
      </c>
      <c r="C79" s="1364" t="s">
        <v>7757</v>
      </c>
      <c r="D79" s="1474"/>
      <c r="E79" s="1474"/>
      <c r="F79" s="1474"/>
      <c r="G79" s="1474"/>
      <c r="H79" s="1474"/>
      <c r="I79" s="1474"/>
      <c r="J79" s="1474"/>
      <c r="K79" s="1475"/>
    </row>
    <row r="80" spans="1:11" x14ac:dyDescent="0.2">
      <c r="A80" s="540">
        <v>80</v>
      </c>
      <c r="B80" s="1484">
        <v>52</v>
      </c>
      <c r="C80" s="1363" t="s">
        <v>7758</v>
      </c>
      <c r="D80" s="1476"/>
      <c r="E80" s="1476"/>
      <c r="F80" s="1476"/>
      <c r="G80" s="1476"/>
      <c r="H80" s="1476"/>
      <c r="I80" s="1476"/>
      <c r="J80" s="1476"/>
      <c r="K80" s="1477"/>
    </row>
    <row r="81" spans="1:18" x14ac:dyDescent="0.2">
      <c r="A81" s="540">
        <v>81</v>
      </c>
      <c r="B81" s="1484">
        <v>53</v>
      </c>
      <c r="C81" s="1367" t="str">
        <f>IF(PDs!E177="","",PDs!E177)</f>
        <v/>
      </c>
      <c r="D81" s="1480"/>
      <c r="E81" s="1480"/>
      <c r="F81" s="1480"/>
      <c r="G81" s="1480"/>
      <c r="H81" s="1480"/>
      <c r="I81" s="1480"/>
      <c r="J81" s="1480"/>
      <c r="K81" s="1481"/>
    </row>
    <row r="82" spans="1:18" x14ac:dyDescent="0.2">
      <c r="A82" s="540">
        <v>82</v>
      </c>
      <c r="B82" s="1484">
        <v>54</v>
      </c>
      <c r="C82" s="1363" t="str">
        <f>IF(PDs!E178="","",PDs!E178)</f>
        <v/>
      </c>
      <c r="D82" s="1476"/>
      <c r="E82" s="1476"/>
      <c r="F82" s="1476"/>
      <c r="G82" s="1476"/>
      <c r="H82" s="1476"/>
      <c r="I82" s="1476"/>
      <c r="J82" s="1476"/>
      <c r="K82" s="1477"/>
    </row>
    <row r="83" spans="1:18" x14ac:dyDescent="0.2">
      <c r="A83" s="540">
        <v>83</v>
      </c>
      <c r="B83" s="1484">
        <v>55</v>
      </c>
      <c r="C83" s="1364" t="str">
        <f>IF(PDs!E179="","",PDs!E179)</f>
        <v/>
      </c>
      <c r="D83" s="1474"/>
      <c r="E83" s="1474"/>
      <c r="F83" s="1474"/>
      <c r="G83" s="1474"/>
      <c r="H83" s="1474"/>
      <c r="I83" s="1474"/>
      <c r="J83" s="1474"/>
      <c r="K83" s="1475"/>
    </row>
    <row r="84" spans="1:18" x14ac:dyDescent="0.2">
      <c r="A84" s="540">
        <v>84</v>
      </c>
      <c r="B84" s="1484">
        <v>56</v>
      </c>
      <c r="C84" s="1363" t="str">
        <f>IF(PDs!E180="","",PDs!E180)</f>
        <v/>
      </c>
      <c r="D84" s="1476"/>
      <c r="E84" s="1476"/>
      <c r="F84" s="1476"/>
      <c r="G84" s="1476"/>
      <c r="H84" s="1476"/>
      <c r="I84" s="1476"/>
      <c r="J84" s="1476"/>
      <c r="K84" s="1477"/>
    </row>
    <row r="85" spans="1:18" x14ac:dyDescent="0.2">
      <c r="A85" s="540">
        <v>85</v>
      </c>
      <c r="B85" s="1484">
        <v>57</v>
      </c>
      <c r="C85" s="1364" t="str">
        <f>IF(PDs!E181="","",PDs!E181)</f>
        <v/>
      </c>
      <c r="D85" s="1474"/>
      <c r="E85" s="1474"/>
      <c r="F85" s="1474"/>
      <c r="G85" s="1474"/>
      <c r="H85" s="1474"/>
      <c r="I85" s="1474"/>
      <c r="J85" s="1474"/>
      <c r="K85" s="1475"/>
    </row>
    <row r="86" spans="1:18" ht="13.5" thickBot="1" x14ac:dyDescent="0.25">
      <c r="A86" s="540">
        <v>86</v>
      </c>
      <c r="B86" s="1484">
        <v>58</v>
      </c>
      <c r="C86" s="1569" t="str">
        <f>IF(PDs!E182="","",PDs!E182)</f>
        <v/>
      </c>
      <c r="D86" s="1570"/>
      <c r="E86" s="1570"/>
      <c r="F86" s="1570"/>
      <c r="G86" s="1570"/>
      <c r="H86" s="1570"/>
      <c r="I86" s="1570"/>
      <c r="J86" s="1570"/>
      <c r="K86" s="1571"/>
    </row>
    <row r="89" spans="1:18" ht="15.75" x14ac:dyDescent="0.2">
      <c r="C89" s="5400" t="s">
        <v>3059</v>
      </c>
      <c r="D89" s="5401"/>
      <c r="E89" s="5401"/>
      <c r="F89" s="5401"/>
      <c r="G89" s="573" t="s">
        <v>3060</v>
      </c>
      <c r="H89" s="574"/>
      <c r="I89" s="575"/>
      <c r="J89" s="575"/>
      <c r="K89" s="575"/>
      <c r="L89" s="575"/>
      <c r="M89" s="575"/>
      <c r="N89" s="575"/>
      <c r="O89" s="575"/>
      <c r="P89" s="575"/>
      <c r="Q89" s="575"/>
      <c r="R89" s="5388" t="s">
        <v>3061</v>
      </c>
    </row>
    <row r="90" spans="1:18" ht="13.5" thickBot="1" x14ac:dyDescent="0.25">
      <c r="C90" s="5390" t="s">
        <v>3062</v>
      </c>
      <c r="D90" s="5390"/>
      <c r="E90" s="5390"/>
      <c r="F90" s="577" t="s">
        <v>2637</v>
      </c>
      <c r="G90" s="576" t="s">
        <v>3063</v>
      </c>
      <c r="H90" s="577" t="s">
        <v>3064</v>
      </c>
      <c r="I90" s="553"/>
      <c r="J90" s="553"/>
      <c r="K90" s="553"/>
      <c r="L90" s="5391" t="s">
        <v>1861</v>
      </c>
      <c r="M90" s="5391"/>
      <c r="N90" s="5391"/>
      <c r="O90" s="5391"/>
      <c r="P90" s="5391"/>
      <c r="Q90" s="5391"/>
      <c r="R90" s="5389"/>
    </row>
    <row r="91" spans="1:18" x14ac:dyDescent="0.2">
      <c r="B91" s="578">
        <f>H91</f>
        <v>0</v>
      </c>
      <c r="C91" s="1829" t="s">
        <v>3065</v>
      </c>
      <c r="D91" s="1829"/>
      <c r="E91" s="1829"/>
      <c r="F91" s="1830"/>
      <c r="G91" s="1831"/>
      <c r="H91" s="1831"/>
      <c r="I91" s="1831"/>
      <c r="J91" s="1831"/>
      <c r="K91" s="1831"/>
      <c r="L91" s="1832"/>
      <c r="M91" s="1831"/>
      <c r="N91" s="1831"/>
      <c r="O91" s="1831"/>
      <c r="P91" s="1831"/>
      <c r="Q91" s="1831"/>
      <c r="R91" s="1833"/>
    </row>
    <row r="92" spans="1:18" x14ac:dyDescent="0.2">
      <c r="B92" s="581">
        <f t="shared" ref="B92:B155" si="0">H92</f>
        <v>0</v>
      </c>
      <c r="C92" s="579" t="s">
        <v>3066</v>
      </c>
      <c r="D92" s="579"/>
      <c r="E92" s="579"/>
      <c r="F92" s="580">
        <f>COUNTIF(Sheele!$C$20:$F$29,C92)</f>
        <v>0</v>
      </c>
      <c r="G92" s="1815">
        <v>1</v>
      </c>
      <c r="H92" s="1815">
        <f>IF(OR($F92=0,$G92=0),0,MAX($H$91:H91)+1)</f>
        <v>0</v>
      </c>
      <c r="I92" s="1815" t="s">
        <v>1766</v>
      </c>
      <c r="J92" s="1817" t="s">
        <v>1766</v>
      </c>
      <c r="K92" s="1815" t="s">
        <v>1766</v>
      </c>
      <c r="L92" s="5392" t="s">
        <v>3067</v>
      </c>
      <c r="M92" s="5393"/>
      <c r="N92" s="5393"/>
      <c r="O92" s="5393"/>
      <c r="P92" s="5393"/>
      <c r="Q92" s="5393"/>
      <c r="R92" s="1834" t="s">
        <v>1766</v>
      </c>
    </row>
    <row r="93" spans="1:18" x14ac:dyDescent="0.2">
      <c r="B93" s="581">
        <f t="shared" si="0"/>
        <v>0</v>
      </c>
      <c r="C93" s="579" t="s">
        <v>3068</v>
      </c>
      <c r="D93" s="579"/>
      <c r="E93" s="579"/>
      <c r="F93" s="580">
        <f>COUNTIF(Sheele!$C$20:$F$29,C93)</f>
        <v>0</v>
      </c>
      <c r="G93" s="1815">
        <v>1</v>
      </c>
      <c r="H93" s="1815">
        <f>IF(OR($F93=0,$G93=0),0,MAX($H$91:H92)+1)</f>
        <v>0</v>
      </c>
      <c r="I93" s="1815" t="s">
        <v>1766</v>
      </c>
      <c r="J93" s="1815" t="s">
        <v>1766</v>
      </c>
      <c r="K93" s="1815" t="s">
        <v>1766</v>
      </c>
      <c r="L93" s="5392" t="s">
        <v>3069</v>
      </c>
      <c r="M93" s="5393"/>
      <c r="N93" s="5393"/>
      <c r="O93" s="5393"/>
      <c r="P93" s="5393"/>
      <c r="Q93" s="5393"/>
      <c r="R93" s="1834" t="s">
        <v>1766</v>
      </c>
    </row>
    <row r="94" spans="1:18" x14ac:dyDescent="0.2">
      <c r="B94" s="581">
        <f t="shared" si="0"/>
        <v>0</v>
      </c>
      <c r="C94" s="579" t="s">
        <v>3070</v>
      </c>
      <c r="D94" s="579"/>
      <c r="E94" s="579"/>
      <c r="F94" s="580">
        <f>COUNTIF(Sheele!$C$20:$F$29,C94)</f>
        <v>0</v>
      </c>
      <c r="G94" s="1815">
        <v>1</v>
      </c>
      <c r="H94" s="1815">
        <f>IF(OR($F94=0,$G94=0),0,MAX($H$91:H93)+1)</f>
        <v>0</v>
      </c>
      <c r="I94" s="1815" t="s">
        <v>1766</v>
      </c>
      <c r="J94" s="1817" t="s">
        <v>1766</v>
      </c>
      <c r="K94" s="1815" t="s">
        <v>1766</v>
      </c>
      <c r="L94" s="5392" t="s">
        <v>3071</v>
      </c>
      <c r="M94" s="5393"/>
      <c r="N94" s="5393"/>
      <c r="O94" s="5393"/>
      <c r="P94" s="5393"/>
      <c r="Q94" s="5393"/>
      <c r="R94" s="1834" t="s">
        <v>1766</v>
      </c>
    </row>
    <row r="95" spans="1:18" x14ac:dyDescent="0.2">
      <c r="B95" s="581">
        <f t="shared" si="0"/>
        <v>0</v>
      </c>
      <c r="C95" s="579" t="s">
        <v>3072</v>
      </c>
      <c r="D95" s="579"/>
      <c r="E95" s="579"/>
      <c r="F95" s="580">
        <f>COUNTIF(Sheele!$C$20:$F$29,C95)</f>
        <v>0</v>
      </c>
      <c r="G95" s="1815">
        <v>1</v>
      </c>
      <c r="H95" s="1815">
        <f>IF(OR($F95=0,$G95=0),0,MAX($H$91:H94)+1)</f>
        <v>0</v>
      </c>
      <c r="I95" s="1815" t="s">
        <v>1766</v>
      </c>
      <c r="J95" s="1817" t="s">
        <v>1766</v>
      </c>
      <c r="K95" s="1815" t="s">
        <v>1766</v>
      </c>
      <c r="L95" s="5392" t="s">
        <v>3073</v>
      </c>
      <c r="M95" s="5393"/>
      <c r="N95" s="5393"/>
      <c r="O95" s="5393"/>
      <c r="P95" s="5393"/>
      <c r="Q95" s="5393"/>
      <c r="R95" s="1834" t="s">
        <v>1766</v>
      </c>
    </row>
    <row r="96" spans="1:18" x14ac:dyDescent="0.2">
      <c r="B96" s="581">
        <f t="shared" si="0"/>
        <v>0</v>
      </c>
      <c r="C96" s="579" t="s">
        <v>3074</v>
      </c>
      <c r="D96" s="579"/>
      <c r="E96" s="579"/>
      <c r="F96" s="580">
        <f>COUNTIF(Sheele!$C$20:$F$29,C96)</f>
        <v>0</v>
      </c>
      <c r="G96" s="1815">
        <v>1</v>
      </c>
      <c r="H96" s="1815">
        <f>IF(OR($F96=0,$G96=0),0,MAX($H$91:H95)+1)</f>
        <v>0</v>
      </c>
      <c r="I96" s="1815" t="s">
        <v>1766</v>
      </c>
      <c r="J96" s="1815" t="s">
        <v>1766</v>
      </c>
      <c r="K96" s="1815" t="s">
        <v>1766</v>
      </c>
      <c r="L96" s="5399" t="s">
        <v>3075</v>
      </c>
      <c r="M96" s="5393"/>
      <c r="N96" s="5393"/>
      <c r="O96" s="5393"/>
      <c r="P96" s="5393"/>
      <c r="Q96" s="5393"/>
      <c r="R96" s="1834" t="s">
        <v>1766</v>
      </c>
    </row>
    <row r="97" spans="2:18" x14ac:dyDescent="0.2">
      <c r="B97" s="581">
        <f t="shared" si="0"/>
        <v>0</v>
      </c>
      <c r="C97" s="579" t="s">
        <v>3076</v>
      </c>
      <c r="D97" s="579"/>
      <c r="E97" s="579"/>
      <c r="F97" s="580"/>
      <c r="G97" s="1815"/>
      <c r="H97" s="1815"/>
      <c r="I97" s="1815" t="s">
        <v>1766</v>
      </c>
      <c r="J97" s="1817" t="s">
        <v>1766</v>
      </c>
      <c r="K97" s="1815" t="s">
        <v>1766</v>
      </c>
      <c r="L97" s="5392"/>
      <c r="M97" s="5393"/>
      <c r="N97" s="5393"/>
      <c r="O97" s="5393"/>
      <c r="P97" s="5393"/>
      <c r="Q97" s="5393"/>
      <c r="R97" s="1835"/>
    </row>
    <row r="98" spans="2:18" x14ac:dyDescent="0.2">
      <c r="B98" s="581">
        <f t="shared" si="0"/>
        <v>0</v>
      </c>
      <c r="C98" s="579" t="s">
        <v>3077</v>
      </c>
      <c r="D98" s="579"/>
      <c r="E98" s="579"/>
      <c r="F98" s="580">
        <f>COUNTIF(Sheele!$C$20:$F$29,C98)</f>
        <v>0</v>
      </c>
      <c r="G98" s="1815"/>
      <c r="H98" s="1815">
        <f>IF(OR($F98=0,$G98=0),0,MAX($H$91:H97)+1)</f>
        <v>0</v>
      </c>
      <c r="I98" s="1815" t="s">
        <v>1766</v>
      </c>
      <c r="J98" s="1815" t="s">
        <v>1766</v>
      </c>
      <c r="K98" s="1815" t="s">
        <v>1766</v>
      </c>
      <c r="L98" s="5392" t="s">
        <v>3078</v>
      </c>
      <c r="M98" s="5393"/>
      <c r="N98" s="5393"/>
      <c r="O98" s="5393"/>
      <c r="P98" s="5393"/>
      <c r="Q98" s="5393"/>
      <c r="R98" s="1835"/>
    </row>
    <row r="99" spans="2:18" x14ac:dyDescent="0.2">
      <c r="B99" s="581">
        <f t="shared" si="0"/>
        <v>0</v>
      </c>
      <c r="C99" s="579" t="s">
        <v>3079</v>
      </c>
      <c r="D99" s="579"/>
      <c r="E99" s="579"/>
      <c r="F99" s="580">
        <f>COUNTIF(Sheele!$C$20:$F$29,C99)</f>
        <v>0</v>
      </c>
      <c r="G99" s="1815"/>
      <c r="H99" s="1815">
        <f>IF(OR($F99=0,$G99=0),0,MAX($H$91:H98)+1)</f>
        <v>0</v>
      </c>
      <c r="I99" s="1815" t="s">
        <v>1766</v>
      </c>
      <c r="J99" s="1815" t="s">
        <v>1766</v>
      </c>
      <c r="K99" s="1815" t="s">
        <v>1766</v>
      </c>
      <c r="L99" s="5392" t="s">
        <v>3080</v>
      </c>
      <c r="M99" s="5393"/>
      <c r="N99" s="5393"/>
      <c r="O99" s="5393"/>
      <c r="P99" s="5393"/>
      <c r="Q99" s="5393"/>
      <c r="R99" s="1835"/>
    </row>
    <row r="100" spans="2:18" x14ac:dyDescent="0.2">
      <c r="B100" s="581">
        <f t="shared" si="0"/>
        <v>0</v>
      </c>
      <c r="C100" s="579" t="s">
        <v>3081</v>
      </c>
      <c r="D100" s="579"/>
      <c r="E100" s="579"/>
      <c r="F100" s="580">
        <f>COUNTIF(Sheele!$C$20:$F$29,C100)</f>
        <v>0</v>
      </c>
      <c r="G100" s="1815"/>
      <c r="H100" s="1815">
        <f>IF(OR($F100=0,$G100=0),0,MAX($H$91:H99)+1)</f>
        <v>0</v>
      </c>
      <c r="I100" s="1815" t="s">
        <v>1766</v>
      </c>
      <c r="J100" s="1817" t="s">
        <v>1766</v>
      </c>
      <c r="K100" s="1815" t="s">
        <v>1766</v>
      </c>
      <c r="L100" s="5392" t="s">
        <v>3082</v>
      </c>
      <c r="M100" s="5393"/>
      <c r="N100" s="5393"/>
      <c r="O100" s="5393"/>
      <c r="P100" s="5393"/>
      <c r="Q100" s="5393"/>
      <c r="R100" s="1835"/>
    </row>
    <row r="101" spans="2:18" x14ac:dyDescent="0.2">
      <c r="B101" s="581">
        <f t="shared" si="0"/>
        <v>0</v>
      </c>
      <c r="C101" s="579" t="s">
        <v>3083</v>
      </c>
      <c r="D101" s="579"/>
      <c r="E101" s="582"/>
      <c r="F101" s="580">
        <f>COUNTIF(Sheele!$C$20:$F$29,C101)</f>
        <v>0</v>
      </c>
      <c r="G101" s="1815"/>
      <c r="H101" s="1815">
        <f>IF(OR($F101=0,$G101=0),0,MAX($H$91:H100)+1)</f>
        <v>0</v>
      </c>
      <c r="I101" s="1815" t="s">
        <v>1766</v>
      </c>
      <c r="J101" s="1817" t="s">
        <v>1766</v>
      </c>
      <c r="K101" s="1815" t="s">
        <v>1766</v>
      </c>
      <c r="L101" s="5399" t="s">
        <v>3084</v>
      </c>
      <c r="M101" s="5393"/>
      <c r="N101" s="5393"/>
      <c r="O101" s="5393"/>
      <c r="P101" s="5393"/>
      <c r="Q101" s="5393"/>
      <c r="R101" s="1835"/>
    </row>
    <row r="102" spans="2:18" x14ac:dyDescent="0.2">
      <c r="B102" s="581">
        <f t="shared" si="0"/>
        <v>0</v>
      </c>
      <c r="C102" s="579" t="s">
        <v>3085</v>
      </c>
      <c r="D102" s="579"/>
      <c r="E102" s="579"/>
      <c r="F102" s="580"/>
      <c r="G102" s="1815"/>
      <c r="H102" s="1815"/>
      <c r="I102" s="1815" t="s">
        <v>1766</v>
      </c>
      <c r="J102" s="1815" t="s">
        <v>1766</v>
      </c>
      <c r="K102" s="1815" t="s">
        <v>1766</v>
      </c>
      <c r="L102" s="5392"/>
      <c r="M102" s="5393"/>
      <c r="N102" s="5393"/>
      <c r="O102" s="5393"/>
      <c r="P102" s="5393"/>
      <c r="Q102" s="5393"/>
      <c r="R102" s="1835"/>
    </row>
    <row r="103" spans="2:18" x14ac:dyDescent="0.2">
      <c r="B103" s="581">
        <f t="shared" si="0"/>
        <v>0</v>
      </c>
      <c r="C103" s="579" t="s">
        <v>3086</v>
      </c>
      <c r="D103" s="579"/>
      <c r="E103" s="579"/>
      <c r="F103" s="580">
        <f>COUNTIF(Sheele!$C$20:$F$29,C103)</f>
        <v>0</v>
      </c>
      <c r="G103" s="1815"/>
      <c r="H103" s="1815">
        <f>IF(OR($F103=0,$G103=0),0,MAX($H$91:H102)+1)</f>
        <v>0</v>
      </c>
      <c r="I103" s="1815" t="s">
        <v>1766</v>
      </c>
      <c r="J103" s="1817" t="s">
        <v>1766</v>
      </c>
      <c r="K103" s="1815" t="s">
        <v>1766</v>
      </c>
      <c r="L103" s="5399" t="s">
        <v>3087</v>
      </c>
      <c r="M103" s="5393"/>
      <c r="N103" s="5393"/>
      <c r="O103" s="5393"/>
      <c r="P103" s="5393"/>
      <c r="Q103" s="5393"/>
      <c r="R103" s="1834" t="s">
        <v>1766</v>
      </c>
    </row>
    <row r="104" spans="2:18" x14ac:dyDescent="0.2">
      <c r="B104" s="581">
        <f t="shared" si="0"/>
        <v>0</v>
      </c>
      <c r="C104" s="579" t="s">
        <v>3088</v>
      </c>
      <c r="D104" s="579"/>
      <c r="E104" s="579"/>
      <c r="F104" s="580">
        <f>COUNTIF(Sheele!$C$20:$F$29,C104)</f>
        <v>0</v>
      </c>
      <c r="G104" s="1815"/>
      <c r="H104" s="1815">
        <f>IF(OR($F104=0,$G104=0),0,MAX($H$91:H103)+1)</f>
        <v>0</v>
      </c>
      <c r="I104" s="1815" t="s">
        <v>1766</v>
      </c>
      <c r="J104" s="1815" t="s">
        <v>1766</v>
      </c>
      <c r="K104" s="1815" t="s">
        <v>1766</v>
      </c>
      <c r="L104" s="5399" t="s">
        <v>3089</v>
      </c>
      <c r="M104" s="5393"/>
      <c r="N104" s="5393"/>
      <c r="O104" s="5393"/>
      <c r="P104" s="5393"/>
      <c r="Q104" s="5393"/>
      <c r="R104" s="1834" t="s">
        <v>1766</v>
      </c>
    </row>
    <row r="105" spans="2:18" x14ac:dyDescent="0.2">
      <c r="B105" s="581">
        <f t="shared" si="0"/>
        <v>0</v>
      </c>
      <c r="C105" s="579" t="s">
        <v>3090</v>
      </c>
      <c r="D105" s="579"/>
      <c r="E105" s="579"/>
      <c r="F105" s="580">
        <f>COUNTIF(Sheele!$C$20:$F$29,C105)</f>
        <v>0</v>
      </c>
      <c r="G105" s="1815"/>
      <c r="H105" s="1815">
        <f>IF(OR($F105=0,$G105=0),0,MAX($H$91:H104)+1)</f>
        <v>0</v>
      </c>
      <c r="I105" s="1815" t="s">
        <v>1766</v>
      </c>
      <c r="J105" s="1817" t="s">
        <v>1766</v>
      </c>
      <c r="K105" s="1815" t="s">
        <v>1766</v>
      </c>
      <c r="L105" s="5399" t="s">
        <v>3091</v>
      </c>
      <c r="M105" s="5393"/>
      <c r="N105" s="5393"/>
      <c r="O105" s="5393"/>
      <c r="P105" s="5393"/>
      <c r="Q105" s="5393"/>
      <c r="R105" s="1834" t="s">
        <v>1766</v>
      </c>
    </row>
    <row r="106" spans="2:18" x14ac:dyDescent="0.2">
      <c r="B106" s="581">
        <f t="shared" si="0"/>
        <v>0</v>
      </c>
      <c r="C106" s="579" t="s">
        <v>3092</v>
      </c>
      <c r="D106" s="579"/>
      <c r="E106" s="579"/>
      <c r="F106" s="580"/>
      <c r="G106" s="1815"/>
      <c r="H106" s="1815"/>
      <c r="I106" s="1815" t="s">
        <v>1766</v>
      </c>
      <c r="J106" s="1815" t="s">
        <v>1766</v>
      </c>
      <c r="K106" s="1815" t="s">
        <v>1766</v>
      </c>
      <c r="L106" s="5392"/>
      <c r="M106" s="5393"/>
      <c r="N106" s="5393"/>
      <c r="O106" s="5393"/>
      <c r="P106" s="5393"/>
      <c r="Q106" s="5393"/>
      <c r="R106" s="1835"/>
    </row>
    <row r="107" spans="2:18" x14ac:dyDescent="0.2">
      <c r="B107" s="581">
        <f t="shared" si="0"/>
        <v>0</v>
      </c>
      <c r="C107" s="579" t="s">
        <v>3093</v>
      </c>
      <c r="D107" s="579"/>
      <c r="E107" s="579"/>
      <c r="F107" s="580">
        <f>COUNTIF(Sheele!$C$20:$F$29,C107)</f>
        <v>0</v>
      </c>
      <c r="G107" s="1815"/>
      <c r="H107" s="1815">
        <f>IF(OR($F107=0,$G107=0),0,MAX($H$91:H106)+1)</f>
        <v>0</v>
      </c>
      <c r="I107" s="1815" t="s">
        <v>1766</v>
      </c>
      <c r="J107" s="1817" t="s">
        <v>1766</v>
      </c>
      <c r="K107" s="1815" t="s">
        <v>1766</v>
      </c>
      <c r="L107" s="5392" t="s">
        <v>3094</v>
      </c>
      <c r="M107" s="5393"/>
      <c r="N107" s="5393"/>
      <c r="O107" s="5393"/>
      <c r="P107" s="5393"/>
      <c r="Q107" s="5393"/>
      <c r="R107" s="1834" t="s">
        <v>1766</v>
      </c>
    </row>
    <row r="108" spans="2:18" x14ac:dyDescent="0.2">
      <c r="B108" s="581">
        <f t="shared" si="0"/>
        <v>0</v>
      </c>
      <c r="C108" s="579" t="s">
        <v>3095</v>
      </c>
      <c r="D108" s="579"/>
      <c r="E108" s="579"/>
      <c r="F108" s="580">
        <f>COUNTIF(Sheele!$C$20:$F$29,C108)</f>
        <v>0</v>
      </c>
      <c r="G108" s="1815"/>
      <c r="H108" s="1815">
        <f>IF(OR($F108=0,$G108=0),0,MAX($H$91:H107)+1)</f>
        <v>0</v>
      </c>
      <c r="I108" s="1815" t="s">
        <v>1766</v>
      </c>
      <c r="J108" s="1815" t="s">
        <v>1766</v>
      </c>
      <c r="K108" s="1815" t="s">
        <v>1766</v>
      </c>
      <c r="L108" s="5399" t="s">
        <v>3096</v>
      </c>
      <c r="M108" s="5393"/>
      <c r="N108" s="5393"/>
      <c r="O108" s="5393"/>
      <c r="P108" s="5393"/>
      <c r="Q108" s="5393"/>
      <c r="R108" s="1834" t="s">
        <v>1766</v>
      </c>
    </row>
    <row r="109" spans="2:18" ht="13.5" thickBot="1" x14ac:dyDescent="0.25">
      <c r="B109" s="581">
        <f t="shared" si="0"/>
        <v>0</v>
      </c>
      <c r="C109" s="579" t="s">
        <v>3097</v>
      </c>
      <c r="D109" s="579"/>
      <c r="E109" s="579"/>
      <c r="F109" s="580">
        <f>COUNTIF(Sheele!$C$20:$F$29,C109)</f>
        <v>0</v>
      </c>
      <c r="G109" s="1815"/>
      <c r="H109" s="1815">
        <f>IF(OR($F109=0,$G109=0),0,MAX($H$91:H108)+1)</f>
        <v>0</v>
      </c>
      <c r="I109" s="1815" t="s">
        <v>1766</v>
      </c>
      <c r="J109" s="1817" t="s">
        <v>1766</v>
      </c>
      <c r="K109" s="1815" t="s">
        <v>1766</v>
      </c>
      <c r="L109" s="5405" t="s">
        <v>3098</v>
      </c>
      <c r="M109" s="5406"/>
      <c r="N109" s="5406"/>
      <c r="O109" s="5406"/>
      <c r="P109" s="5406"/>
      <c r="Q109" s="5406"/>
      <c r="R109" s="1834" t="s">
        <v>1766</v>
      </c>
    </row>
    <row r="110" spans="2:18" ht="13.5" thickBot="1" x14ac:dyDescent="0.25">
      <c r="B110" s="581">
        <f>G110</f>
        <v>0</v>
      </c>
      <c r="C110" s="5402" t="s">
        <v>3099</v>
      </c>
      <c r="D110" s="5403"/>
      <c r="E110" s="5403"/>
      <c r="F110" s="583" t="s">
        <v>3100</v>
      </c>
      <c r="G110" s="584"/>
      <c r="H110" s="585">
        <f>COUNTIF(H91:H109,"&gt;0")</f>
        <v>0</v>
      </c>
      <c r="I110" s="595"/>
      <c r="J110" s="1836"/>
      <c r="K110" s="1836"/>
      <c r="L110" s="1836"/>
      <c r="M110" s="595"/>
      <c r="N110" s="1836"/>
      <c r="O110" s="1836"/>
      <c r="P110" s="1836"/>
      <c r="Q110" s="595"/>
      <c r="R110" s="1837"/>
    </row>
    <row r="111" spans="2:18" x14ac:dyDescent="0.2">
      <c r="B111" s="581">
        <f t="shared" si="0"/>
        <v>0</v>
      </c>
      <c r="C111" s="1826" t="s">
        <v>3006</v>
      </c>
      <c r="D111" s="586"/>
      <c r="E111" s="586"/>
      <c r="F111" s="587"/>
      <c r="G111" s="588"/>
      <c r="H111" s="589"/>
      <c r="I111" s="590" t="s">
        <v>3101</v>
      </c>
      <c r="J111" s="591" t="s">
        <v>3102</v>
      </c>
      <c r="K111" s="592" t="s">
        <v>1882</v>
      </c>
      <c r="L111" s="5404" t="s">
        <v>1861</v>
      </c>
      <c r="M111" s="5404"/>
      <c r="N111" s="5404"/>
      <c r="O111" s="5404"/>
      <c r="P111" s="5404"/>
      <c r="Q111" s="5404"/>
      <c r="R111" s="1838"/>
    </row>
    <row r="112" spans="2:18" x14ac:dyDescent="0.2">
      <c r="B112" s="581">
        <f t="shared" si="0"/>
        <v>0</v>
      </c>
      <c r="C112" s="593" t="s">
        <v>3103</v>
      </c>
      <c r="D112" s="593"/>
      <c r="E112" s="593"/>
      <c r="F112" s="580">
        <f>COUNTIF(Sheele!$G$20:$J$29,C112)</f>
        <v>0</v>
      </c>
      <c r="G112" s="1815">
        <v>1</v>
      </c>
      <c r="H112" s="1815">
        <f>IF(OR($F112=0,$G112=0),0,MAX($H$111:H111)+1)</f>
        <v>0</v>
      </c>
      <c r="I112" s="1814">
        <v>250</v>
      </c>
      <c r="J112" s="1815">
        <f>50+Sheele!N10</f>
        <v>100</v>
      </c>
      <c r="K112" s="1818">
        <f>Sheele!N21*2</f>
        <v>50</v>
      </c>
      <c r="L112" s="5393" t="s">
        <v>3104</v>
      </c>
      <c r="M112" s="5393"/>
      <c r="N112" s="5393"/>
      <c r="O112" s="5393"/>
      <c r="P112" s="5393"/>
      <c r="Q112" s="5393"/>
      <c r="R112" s="1834" t="s">
        <v>1766</v>
      </c>
    </row>
    <row r="113" spans="2:18" x14ac:dyDescent="0.2">
      <c r="B113" s="581">
        <f t="shared" si="0"/>
        <v>0</v>
      </c>
      <c r="C113" s="593" t="s">
        <v>3105</v>
      </c>
      <c r="D113" s="593"/>
      <c r="E113" s="593"/>
      <c r="F113" s="580">
        <f>COUNTIF(Sheele!$G$20:$J$29,C113)</f>
        <v>0</v>
      </c>
      <c r="G113" s="1815">
        <v>1</v>
      </c>
      <c r="H113" s="1815">
        <f>IF(OR($F113=0,$G113=0),0,MAX($H$111:H112)+1)</f>
        <v>0</v>
      </c>
      <c r="I113" s="1814">
        <v>100</v>
      </c>
      <c r="J113" s="1815">
        <f>Sheele!N10</f>
        <v>50</v>
      </c>
      <c r="K113" s="1818">
        <v>60</v>
      </c>
      <c r="L113" s="5393" t="s">
        <v>3106</v>
      </c>
      <c r="M113" s="5393"/>
      <c r="N113" s="5393"/>
      <c r="O113" s="5393"/>
      <c r="P113" s="5393"/>
      <c r="Q113" s="5393"/>
      <c r="R113" s="1834" t="s">
        <v>1766</v>
      </c>
    </row>
    <row r="114" spans="2:18" x14ac:dyDescent="0.2">
      <c r="B114" s="581">
        <f t="shared" si="0"/>
        <v>0</v>
      </c>
      <c r="C114" s="593" t="s">
        <v>3107</v>
      </c>
      <c r="D114" s="593"/>
      <c r="E114" s="593"/>
      <c r="F114" s="580">
        <f>COUNTIF(Sheele!$G$20:$J$29,C114)</f>
        <v>0</v>
      </c>
      <c r="G114" s="1815">
        <v>1</v>
      </c>
      <c r="H114" s="1815">
        <f>IF(OR($F114=0,$G114=0),0,MAX($H$111:H113)+1)</f>
        <v>0</v>
      </c>
      <c r="I114" s="1814">
        <v>100</v>
      </c>
      <c r="J114" s="1815" t="s">
        <v>1766</v>
      </c>
      <c r="K114" s="1818" t="s">
        <v>1766</v>
      </c>
      <c r="L114" s="5393" t="s">
        <v>3108</v>
      </c>
      <c r="M114" s="5393"/>
      <c r="N114" s="5393"/>
      <c r="O114" s="5393"/>
      <c r="P114" s="5393"/>
      <c r="Q114" s="5393"/>
      <c r="R114" s="1834" t="s">
        <v>1766</v>
      </c>
    </row>
    <row r="115" spans="2:18" x14ac:dyDescent="0.2">
      <c r="B115" s="581">
        <f t="shared" si="0"/>
        <v>0</v>
      </c>
      <c r="C115" s="593" t="s">
        <v>3109</v>
      </c>
      <c r="D115" s="593"/>
      <c r="E115" s="593"/>
      <c r="F115" s="580">
        <f>COUNTIF(Sheele!$G$20:$J$29,C115)</f>
        <v>0</v>
      </c>
      <c r="G115" s="1815">
        <v>1</v>
      </c>
      <c r="H115" s="1815">
        <f>IF(OR($F115=0,$G115=0),0,MAX($H$111:H114)+1)</f>
        <v>0</v>
      </c>
      <c r="I115" s="1814">
        <v>20</v>
      </c>
      <c r="J115" s="1815">
        <f>Sheele!N10</f>
        <v>50</v>
      </c>
      <c r="K115" s="1818" t="str">
        <f>"+"&amp;Sheele!H15</f>
        <v>+10</v>
      </c>
      <c r="L115" s="5393" t="s">
        <v>3110</v>
      </c>
      <c r="M115" s="5393"/>
      <c r="N115" s="5393"/>
      <c r="O115" s="5393"/>
      <c r="P115" s="5393"/>
      <c r="Q115" s="5393"/>
      <c r="R115" s="1834" t="s">
        <v>1766</v>
      </c>
    </row>
    <row r="116" spans="2:18" x14ac:dyDescent="0.2">
      <c r="B116" s="581">
        <f t="shared" si="0"/>
        <v>0</v>
      </c>
      <c r="C116" s="593" t="s">
        <v>116</v>
      </c>
      <c r="D116" s="593"/>
      <c r="E116" s="593"/>
      <c r="F116" s="580">
        <f>COUNTIF(Sheele!$G$20:$J$29,C116)</f>
        <v>0</v>
      </c>
      <c r="G116" s="1815">
        <v>1</v>
      </c>
      <c r="H116" s="1815">
        <f>IF(OR($F116=0,$G116=0),0,MAX($H$111:H115)+1)</f>
        <v>0</v>
      </c>
      <c r="I116" s="1814" t="s">
        <v>1766</v>
      </c>
      <c r="J116" s="1815" t="s">
        <v>1766</v>
      </c>
      <c r="K116" s="1818" t="s">
        <v>1766</v>
      </c>
      <c r="L116" s="5393" t="s">
        <v>3111</v>
      </c>
      <c r="M116" s="5393"/>
      <c r="N116" s="5393"/>
      <c r="O116" s="5393"/>
      <c r="P116" s="5393"/>
      <c r="Q116" s="5393"/>
      <c r="R116" s="1834" t="s">
        <v>1766</v>
      </c>
    </row>
    <row r="117" spans="2:18" x14ac:dyDescent="0.2">
      <c r="B117" s="581">
        <f t="shared" si="0"/>
        <v>0</v>
      </c>
      <c r="C117" s="593" t="s">
        <v>3112</v>
      </c>
      <c r="D117" s="593"/>
      <c r="E117" s="593"/>
      <c r="F117" s="580">
        <f>COUNTIF(Sheele!$G$20:$J$29,C117)</f>
        <v>0</v>
      </c>
      <c r="G117" s="1815"/>
      <c r="H117" s="1815">
        <f>IF(OR($F117=0,$G117=0),0,MAX($H$111:H116)+1)</f>
        <v>0</v>
      </c>
      <c r="I117" s="1814" t="s">
        <v>1766</v>
      </c>
      <c r="J117" s="1815" t="s">
        <v>1766</v>
      </c>
      <c r="K117" s="1818" t="s">
        <v>1766</v>
      </c>
      <c r="L117" s="5393" t="s">
        <v>3113</v>
      </c>
      <c r="M117" s="5393"/>
      <c r="N117" s="5393"/>
      <c r="O117" s="5393"/>
      <c r="P117" s="5393"/>
      <c r="Q117" s="5393"/>
      <c r="R117" s="1834" t="s">
        <v>1766</v>
      </c>
    </row>
    <row r="118" spans="2:18" x14ac:dyDescent="0.2">
      <c r="B118" s="581">
        <f t="shared" si="0"/>
        <v>0</v>
      </c>
      <c r="C118" s="593" t="s">
        <v>3114</v>
      </c>
      <c r="D118" s="593"/>
      <c r="E118" s="593"/>
      <c r="F118" s="580">
        <f>COUNTIF(Sheele!$G$20:$J$29,C118)</f>
        <v>0</v>
      </c>
      <c r="G118" s="1815">
        <v>1</v>
      </c>
      <c r="H118" s="1815">
        <f>IF(OR($F118=0,$G118=0),0,MAX($H$111:H117)+1)</f>
        <v>0</v>
      </c>
      <c r="I118" s="1814" t="s">
        <v>1766</v>
      </c>
      <c r="J118" s="1815" t="s">
        <v>1766</v>
      </c>
      <c r="K118" s="1818" t="str">
        <f>"+"&amp;Sheele!H15</f>
        <v>+10</v>
      </c>
      <c r="L118" s="5407" t="str">
        <f>"+2 FUE al alcance y +"&amp;Sheele!H15&amp;" al daño de proyectiles de quien esté en contacto con ella."</f>
        <v>+2 FUE al alcance y +10 al daño de proyectiles de quien esté en contacto con ella.</v>
      </c>
      <c r="M118" s="5393"/>
      <c r="N118" s="5393"/>
      <c r="O118" s="5393"/>
      <c r="P118" s="5393"/>
      <c r="Q118" s="5393"/>
      <c r="R118" s="1834" t="s">
        <v>1690</v>
      </c>
    </row>
    <row r="119" spans="2:18" x14ac:dyDescent="0.2">
      <c r="B119" s="581">
        <f t="shared" si="0"/>
        <v>0</v>
      </c>
      <c r="C119" s="593" t="s">
        <v>3115</v>
      </c>
      <c r="D119" s="593"/>
      <c r="E119" s="593"/>
      <c r="F119" s="580">
        <f>COUNTIF(Sheele!$G$20:$J$29,C119)</f>
        <v>0</v>
      </c>
      <c r="G119" s="1815"/>
      <c r="H119" s="1815">
        <f>IF(OR($F119=0,$G119=0),0,MAX($H$111:H118)+1)</f>
        <v>0</v>
      </c>
      <c r="I119" s="1814" t="s">
        <v>1766</v>
      </c>
      <c r="J119" s="1815" t="s">
        <v>1766</v>
      </c>
      <c r="K119" s="1818" t="s">
        <v>1766</v>
      </c>
      <c r="L119" s="5407" t="s">
        <v>3116</v>
      </c>
      <c r="M119" s="5393"/>
      <c r="N119" s="5393"/>
      <c r="O119" s="5393"/>
      <c r="P119" s="5393"/>
      <c r="Q119" s="5393"/>
      <c r="R119" s="1834" t="s">
        <v>1766</v>
      </c>
    </row>
    <row r="120" spans="2:18" x14ac:dyDescent="0.2">
      <c r="B120" s="581">
        <f t="shared" si="0"/>
        <v>0</v>
      </c>
      <c r="C120" s="593" t="s">
        <v>3117</v>
      </c>
      <c r="D120" s="593"/>
      <c r="E120" s="593"/>
      <c r="F120" s="580">
        <f>COUNTIF(Sheele!$G$20:$J$29,C120)</f>
        <v>0</v>
      </c>
      <c r="G120" s="1815">
        <v>1</v>
      </c>
      <c r="H120" s="1815">
        <f>IF(OR($F120=0,$G120=0),0,MAX($H$111:H119)+1)</f>
        <v>0</v>
      </c>
      <c r="I120" s="594" t="s">
        <v>3118</v>
      </c>
      <c r="J120" s="1815" t="s">
        <v>1766</v>
      </c>
      <c r="K120" s="1818" t="s">
        <v>1766</v>
      </c>
      <c r="L120" s="5393" t="str">
        <f>"Aquel en contacto RF "&amp;Sheele!N21*2+Sheele!H15&amp;" o daño igual al nivel de fracaso. Inmune a ataques físicos"</f>
        <v>Aquel en contacto RF 60 o daño igual al nivel de fracaso. Inmune a ataques físicos</v>
      </c>
      <c r="M120" s="5393"/>
      <c r="N120" s="5393"/>
      <c r="O120" s="5393"/>
      <c r="P120" s="5393"/>
      <c r="Q120" s="5393"/>
      <c r="R120" s="1834" t="s">
        <v>1766</v>
      </c>
    </row>
    <row r="121" spans="2:18" x14ac:dyDescent="0.2">
      <c r="B121" s="581">
        <f t="shared" si="0"/>
        <v>0</v>
      </c>
      <c r="C121" s="593" t="s">
        <v>3119</v>
      </c>
      <c r="D121" s="593"/>
      <c r="E121" s="593"/>
      <c r="F121" s="580">
        <f>COUNTIF(Sheele!$G$20:$J$29,C121)</f>
        <v>0</v>
      </c>
      <c r="G121" s="1815"/>
      <c r="H121" s="1815">
        <f>IF(OR($F121=0,$G121=0),0,MAX($H$111:H120)+1)</f>
        <v>0</v>
      </c>
      <c r="I121" s="1814" t="s">
        <v>1766</v>
      </c>
      <c r="J121" s="1815" t="s">
        <v>1766</v>
      </c>
      <c r="K121" s="1818" t="s">
        <v>1766</v>
      </c>
      <c r="L121" s="5408" t="s">
        <v>3120</v>
      </c>
      <c r="M121" s="5406"/>
      <c r="N121" s="5406"/>
      <c r="O121" s="5406"/>
      <c r="P121" s="5406"/>
      <c r="Q121" s="5406"/>
      <c r="R121" s="1834" t="s">
        <v>1766</v>
      </c>
    </row>
    <row r="122" spans="2:18" x14ac:dyDescent="0.2">
      <c r="B122" s="581">
        <f t="shared" si="0"/>
        <v>0</v>
      </c>
      <c r="C122" s="1826" t="s">
        <v>3011</v>
      </c>
      <c r="D122" s="595"/>
      <c r="E122" s="595"/>
      <c r="F122" s="587"/>
      <c r="G122" s="592"/>
      <c r="H122" s="591"/>
      <c r="I122" s="596" t="s">
        <v>3101</v>
      </c>
      <c r="J122" s="589" t="s">
        <v>3102</v>
      </c>
      <c r="K122" s="588" t="s">
        <v>1882</v>
      </c>
      <c r="L122" s="5404" t="s">
        <v>1861</v>
      </c>
      <c r="M122" s="5404"/>
      <c r="N122" s="5404"/>
      <c r="O122" s="5404"/>
      <c r="P122" s="5404"/>
      <c r="Q122" s="5404"/>
      <c r="R122" s="1837"/>
    </row>
    <row r="123" spans="2:18" x14ac:dyDescent="0.2">
      <c r="B123" s="581">
        <f t="shared" si="0"/>
        <v>0</v>
      </c>
      <c r="C123" s="593" t="s">
        <v>3121</v>
      </c>
      <c r="D123" s="593"/>
      <c r="E123" s="593"/>
      <c r="F123" s="580">
        <f>COUNTIF(Sheele!$G$20:$J$29,C123)</f>
        <v>0</v>
      </c>
      <c r="G123" s="1815">
        <v>1</v>
      </c>
      <c r="H123" s="1815">
        <f>IF(OR($F123=0,$G123=0),0,MAX($H$111:H122)+1)</f>
        <v>0</v>
      </c>
      <c r="I123" s="1814" t="s">
        <v>3122</v>
      </c>
      <c r="J123" s="1815">
        <f>Sheele!N10</f>
        <v>50</v>
      </c>
      <c r="K123" s="1818">
        <v>50</v>
      </c>
      <c r="L123" s="5393" t="s">
        <v>3123</v>
      </c>
      <c r="M123" s="5393"/>
      <c r="N123" s="5393"/>
      <c r="O123" s="5393"/>
      <c r="P123" s="5393"/>
      <c r="Q123" s="5393"/>
      <c r="R123" s="1834" t="s">
        <v>1766</v>
      </c>
    </row>
    <row r="124" spans="2:18" x14ac:dyDescent="0.2">
      <c r="B124" s="581">
        <f t="shared" si="0"/>
        <v>0</v>
      </c>
      <c r="C124" s="593" t="s">
        <v>3124</v>
      </c>
      <c r="D124" s="593"/>
      <c r="E124" s="593"/>
      <c r="F124" s="580">
        <f>COUNTIF(Sheele!$G$20:$J$29,C124)</f>
        <v>0</v>
      </c>
      <c r="G124" s="1815">
        <v>1</v>
      </c>
      <c r="H124" s="1815">
        <f>IF(OR($F124=0,$G124=0),0,MAX($H$111:H123)+1)</f>
        <v>0</v>
      </c>
      <c r="I124" s="1814" t="s">
        <v>3122</v>
      </c>
      <c r="J124" s="1815">
        <f>Sheele!N10</f>
        <v>50</v>
      </c>
      <c r="K124" s="1818">
        <f>Sheele!N21</f>
        <v>25</v>
      </c>
      <c r="L124" s="5393" t="str">
        <f>"Ataque CON, Área "&amp;Sheele!N21&amp;"m. Aquellos en contacto son inmunes. Impacto FUE "&amp;Sheele!G15</f>
        <v>Ataque CON, Área 25m. Aquellos en contacto son inmunes. Impacto FUE 8</v>
      </c>
      <c r="M124" s="5393"/>
      <c r="N124" s="5393"/>
      <c r="O124" s="5393"/>
      <c r="P124" s="5393"/>
      <c r="Q124" s="5393"/>
      <c r="R124" s="1834" t="s">
        <v>1766</v>
      </c>
    </row>
    <row r="125" spans="2:18" x14ac:dyDescent="0.2">
      <c r="B125" s="581">
        <f t="shared" si="0"/>
        <v>0</v>
      </c>
      <c r="C125" s="593" t="s">
        <v>3125</v>
      </c>
      <c r="D125" s="593"/>
      <c r="E125" s="593"/>
      <c r="F125" s="580">
        <f>COUNTIF(Sheele!$G$20:$J$29,C125)</f>
        <v>0</v>
      </c>
      <c r="G125" s="1815">
        <v>1</v>
      </c>
      <c r="H125" s="1815">
        <f>IF(OR($F125=0,$G125=0),0,MAX($H$111:H124)+1)</f>
        <v>0</v>
      </c>
      <c r="I125" s="1814">
        <v>30</v>
      </c>
      <c r="J125" s="1815" t="s">
        <v>1766</v>
      </c>
      <c r="K125" s="1818" t="s">
        <v>1766</v>
      </c>
      <c r="L125" s="5393" t="s">
        <v>3126</v>
      </c>
      <c r="M125" s="5393"/>
      <c r="N125" s="5393"/>
      <c r="O125" s="5393"/>
      <c r="P125" s="5393"/>
      <c r="Q125" s="5393"/>
      <c r="R125" s="1834" t="s">
        <v>1766</v>
      </c>
    </row>
    <row r="126" spans="2:18" x14ac:dyDescent="0.2">
      <c r="B126" s="581">
        <f t="shared" si="0"/>
        <v>0</v>
      </c>
      <c r="C126" s="593" t="s">
        <v>3127</v>
      </c>
      <c r="D126" s="593"/>
      <c r="E126" s="593"/>
      <c r="F126" s="580">
        <f>COUNTIF(Sheele!$G$20:$J$29,C126)</f>
        <v>0</v>
      </c>
      <c r="G126" s="1815">
        <v>1</v>
      </c>
      <c r="H126" s="1815">
        <f>IF(OR($F126=0,$G126=0),0,MAX($H$111:H125)+1)</f>
        <v>0</v>
      </c>
      <c r="I126" s="1814">
        <v>100</v>
      </c>
      <c r="J126" s="1815" t="s">
        <v>1766</v>
      </c>
      <c r="K126" s="1818" t="s">
        <v>1766</v>
      </c>
      <c r="L126" s="5393" t="str">
        <f>"Ataque automático 50m. RM o RF "&amp;Sheele!N21*2+Sheele!H15&amp;", -5 por cada TA en FRI. Parálisis total si &gt; 40"</f>
        <v>Ataque automático 50m. RM o RF 60, -5 por cada TA en FRI. Parálisis total si &gt; 40</v>
      </c>
      <c r="M126" s="5393"/>
      <c r="N126" s="5393"/>
      <c r="O126" s="5393"/>
      <c r="P126" s="5393"/>
      <c r="Q126" s="5393"/>
      <c r="R126" s="1834" t="s">
        <v>1766</v>
      </c>
    </row>
    <row r="127" spans="2:18" x14ac:dyDescent="0.2">
      <c r="B127" s="581">
        <f t="shared" si="0"/>
        <v>0</v>
      </c>
      <c r="C127" s="593" t="s">
        <v>3128</v>
      </c>
      <c r="D127" s="593"/>
      <c r="E127" s="593"/>
      <c r="F127" s="580">
        <f>COUNTIF(Sheele!$G$20:$J$29,C127)</f>
        <v>0</v>
      </c>
      <c r="G127" s="1815">
        <v>1</v>
      </c>
      <c r="H127" s="1815">
        <f>IF(OR($F127=0,$G127=0),0,MAX($H$111:H126)+1)</f>
        <v>0</v>
      </c>
      <c r="I127" s="1814">
        <v>150</v>
      </c>
      <c r="J127" s="1815">
        <f>Sheele!N10+50</f>
        <v>100</v>
      </c>
      <c r="K127" s="1818" t="s">
        <v>1766</v>
      </c>
      <c r="L127" s="5393" t="s">
        <v>3129</v>
      </c>
      <c r="M127" s="5393"/>
      <c r="N127" s="5393"/>
      <c r="O127" s="5393"/>
      <c r="P127" s="5393"/>
      <c r="Q127" s="5393"/>
      <c r="R127" s="1834" t="s">
        <v>1766</v>
      </c>
    </row>
    <row r="128" spans="2:18" x14ac:dyDescent="0.2">
      <c r="B128" s="581">
        <f t="shared" si="0"/>
        <v>0</v>
      </c>
      <c r="C128" s="593" t="s">
        <v>3130</v>
      </c>
      <c r="D128" s="593"/>
      <c r="E128" s="593"/>
      <c r="F128" s="580">
        <f>COUNTIF(Sheele!$G$20:$J$29,C128)</f>
        <v>0</v>
      </c>
      <c r="G128" s="1815">
        <v>1</v>
      </c>
      <c r="H128" s="1815">
        <f>IF(OR($F128=0,$G128=0),0,MAX($H$111:H127)+1)</f>
        <v>0</v>
      </c>
      <c r="I128" s="1814" t="s">
        <v>1766</v>
      </c>
      <c r="J128" s="1815" t="s">
        <v>1766</v>
      </c>
      <c r="K128" s="1818" t="s">
        <v>1766</v>
      </c>
      <c r="L128" s="5393" t="s">
        <v>3131</v>
      </c>
      <c r="M128" s="5393"/>
      <c r="N128" s="5393"/>
      <c r="O128" s="5393"/>
      <c r="P128" s="5393"/>
      <c r="Q128" s="5393"/>
      <c r="R128" s="1834" t="s">
        <v>1766</v>
      </c>
    </row>
    <row r="129" spans="2:19" x14ac:dyDescent="0.2">
      <c r="B129" s="581">
        <f t="shared" si="0"/>
        <v>0</v>
      </c>
      <c r="C129" s="593" t="s">
        <v>3132</v>
      </c>
      <c r="D129" s="593"/>
      <c r="E129" s="593"/>
      <c r="F129" s="580">
        <f>COUNTIF(Sheele!$G$20:$J$29,C129)</f>
        <v>0</v>
      </c>
      <c r="G129" s="1815">
        <v>1</v>
      </c>
      <c r="H129" s="1815">
        <f>IF(OR($F129=0,$G129=0),0,MAX($H$111:H128)+1)</f>
        <v>0</v>
      </c>
      <c r="I129" s="1814"/>
      <c r="J129" s="1815" t="s">
        <v>1766</v>
      </c>
      <c r="K129" s="1818" t="s">
        <v>1766</v>
      </c>
      <c r="L129" s="5393" t="s">
        <v>3133</v>
      </c>
      <c r="M129" s="5393"/>
      <c r="N129" s="5393"/>
      <c r="O129" s="5393"/>
      <c r="P129" s="5393"/>
      <c r="Q129" s="5393"/>
      <c r="R129" s="1834" t="s">
        <v>1690</v>
      </c>
    </row>
    <row r="130" spans="2:19" x14ac:dyDescent="0.2">
      <c r="B130" s="581">
        <f t="shared" si="0"/>
        <v>0</v>
      </c>
      <c r="C130" s="593" t="s">
        <v>3115</v>
      </c>
      <c r="D130" s="593"/>
      <c r="E130" s="593"/>
      <c r="F130" s="580">
        <f>COUNTIF(Sheele!$G$20:$J$29,C130)</f>
        <v>0</v>
      </c>
      <c r="G130" s="1815"/>
      <c r="H130" s="1815">
        <f>IF(OR($F130=0,$G130=0),0,MAX($H$111:H129)+1)</f>
        <v>0</v>
      </c>
      <c r="I130" s="1814" t="s">
        <v>1766</v>
      </c>
      <c r="J130" s="1815" t="s">
        <v>1766</v>
      </c>
      <c r="K130" s="1818" t="s">
        <v>1766</v>
      </c>
      <c r="L130" s="5407" t="s">
        <v>3116</v>
      </c>
      <c r="M130" s="5393"/>
      <c r="N130" s="5393"/>
      <c r="O130" s="5393"/>
      <c r="P130" s="5393"/>
      <c r="Q130" s="5393"/>
      <c r="R130" s="1834" t="s">
        <v>1766</v>
      </c>
    </row>
    <row r="131" spans="2:19" x14ac:dyDescent="0.2">
      <c r="B131" s="581">
        <f t="shared" si="0"/>
        <v>0</v>
      </c>
      <c r="C131" s="593" t="s">
        <v>3134</v>
      </c>
      <c r="D131" s="593"/>
      <c r="E131" s="593"/>
      <c r="F131" s="580">
        <f>COUNTIF(Sheele!$G$20:$J$29,C131)</f>
        <v>0</v>
      </c>
      <c r="G131" s="1815">
        <v>1</v>
      </c>
      <c r="H131" s="1815">
        <f>IF(OR($F131=0,$G131=0),0,MAX($H$111:H130)+1)</f>
        <v>0</v>
      </c>
      <c r="I131" s="1814">
        <v>10</v>
      </c>
      <c r="J131" s="1815" t="s">
        <v>1766</v>
      </c>
      <c r="K131" s="1818" t="s">
        <v>1766</v>
      </c>
      <c r="L131" s="5393" t="s">
        <v>3135</v>
      </c>
      <c r="M131" s="5393"/>
      <c r="N131" s="5393"/>
      <c r="O131" s="5393"/>
      <c r="P131" s="5393"/>
      <c r="Q131" s="5393"/>
      <c r="R131" s="1834" t="s">
        <v>1766</v>
      </c>
      <c r="S131" s="599"/>
    </row>
    <row r="132" spans="2:19" x14ac:dyDescent="0.2">
      <c r="B132" s="581">
        <f t="shared" si="0"/>
        <v>0</v>
      </c>
      <c r="C132" s="593" t="s">
        <v>1677</v>
      </c>
      <c r="D132" s="593"/>
      <c r="E132" s="593"/>
      <c r="F132" s="580">
        <f>COUNTIF(Sheele!$G$20:$J$29,C132)</f>
        <v>0</v>
      </c>
      <c r="G132" s="1815"/>
      <c r="H132" s="1815">
        <f>IF(OR($F132=0,$G132=0),0,MAX($H$111:H131)+1)</f>
        <v>0</v>
      </c>
      <c r="I132" s="1814" t="s">
        <v>1766</v>
      </c>
      <c r="J132" s="1815" t="s">
        <v>1766</v>
      </c>
      <c r="K132" s="1818" t="s">
        <v>1766</v>
      </c>
      <c r="L132" s="5406" t="s">
        <v>3136</v>
      </c>
      <c r="M132" s="5406"/>
      <c r="N132" s="5406"/>
      <c r="O132" s="5406"/>
      <c r="P132" s="5406"/>
      <c r="Q132" s="5406"/>
      <c r="R132" s="1834" t="s">
        <v>1766</v>
      </c>
      <c r="S132" s="599"/>
    </row>
    <row r="133" spans="2:19" x14ac:dyDescent="0.2">
      <c r="B133" s="581">
        <f t="shared" si="0"/>
        <v>0</v>
      </c>
      <c r="C133" s="1826" t="s">
        <v>3016</v>
      </c>
      <c r="D133" s="595"/>
      <c r="E133" s="595"/>
      <c r="F133" s="587"/>
      <c r="G133" s="592"/>
      <c r="H133" s="591"/>
      <c r="I133" s="596" t="s">
        <v>3101</v>
      </c>
      <c r="J133" s="589" t="s">
        <v>3102</v>
      </c>
      <c r="K133" s="588" t="s">
        <v>1882</v>
      </c>
      <c r="L133" s="5404" t="s">
        <v>1861</v>
      </c>
      <c r="M133" s="5404"/>
      <c r="N133" s="5404"/>
      <c r="O133" s="5404"/>
      <c r="P133" s="5404"/>
      <c r="Q133" s="5404"/>
      <c r="R133" s="1837"/>
      <c r="S133" s="599"/>
    </row>
    <row r="134" spans="2:19" x14ac:dyDescent="0.2">
      <c r="B134" s="581">
        <f t="shared" si="0"/>
        <v>0</v>
      </c>
      <c r="C134" s="593" t="s">
        <v>3137</v>
      </c>
      <c r="D134" s="593"/>
      <c r="E134" s="593"/>
      <c r="F134" s="580">
        <f>COUNTIF(Sheele!$G$20:$J$29,C134)</f>
        <v>0</v>
      </c>
      <c r="G134" s="1815">
        <v>1</v>
      </c>
      <c r="H134" s="1815">
        <f>IF(OR($F134=0,$G134=0),0,MAX($H$111:H133)+1)</f>
        <v>0</v>
      </c>
      <c r="I134" s="1814">
        <v>100</v>
      </c>
      <c r="J134" s="1815">
        <f>Sheele!N10+50</f>
        <v>100</v>
      </c>
      <c r="K134" s="1818">
        <f>Sheele!N21*2</f>
        <v>50</v>
      </c>
      <c r="L134" s="5393" t="s">
        <v>3138</v>
      </c>
      <c r="M134" s="5393"/>
      <c r="N134" s="5393"/>
      <c r="O134" s="5393"/>
      <c r="P134" s="5393"/>
      <c r="Q134" s="5393"/>
      <c r="R134" s="1834" t="s">
        <v>1766</v>
      </c>
      <c r="S134" s="599"/>
    </row>
    <row r="135" spans="2:19" x14ac:dyDescent="0.2">
      <c r="B135" s="581">
        <f t="shared" si="0"/>
        <v>0</v>
      </c>
      <c r="C135" s="593" t="s">
        <v>3139</v>
      </c>
      <c r="D135" s="593"/>
      <c r="E135" s="593"/>
      <c r="F135" s="580">
        <f>COUNTIF(Sheele!$G$20:$J$29,C135)</f>
        <v>0</v>
      </c>
      <c r="G135" s="1815">
        <v>1</v>
      </c>
      <c r="H135" s="1815">
        <f>IF(OR($F135=0,$G135=0),0,MAX($H$111:H134)+1)</f>
        <v>0</v>
      </c>
      <c r="I135" s="1814">
        <v>100</v>
      </c>
      <c r="J135" s="1815" t="s">
        <v>1766</v>
      </c>
      <c r="K135" s="1818" t="s">
        <v>1766</v>
      </c>
      <c r="L135" s="5393" t="s">
        <v>3140</v>
      </c>
      <c r="M135" s="5393"/>
      <c r="N135" s="5393"/>
      <c r="O135" s="5393"/>
      <c r="P135" s="5393"/>
      <c r="Q135" s="5393"/>
      <c r="R135" s="1834" t="s">
        <v>1766</v>
      </c>
      <c r="S135" s="599"/>
    </row>
    <row r="136" spans="2:19" x14ac:dyDescent="0.2">
      <c r="B136" s="581">
        <f t="shared" si="0"/>
        <v>0</v>
      </c>
      <c r="C136" s="593" t="s">
        <v>3141</v>
      </c>
      <c r="D136" s="593"/>
      <c r="E136" s="593"/>
      <c r="F136" s="580">
        <f>COUNTIF(Sheele!$G$20:$J$29,C136)</f>
        <v>0</v>
      </c>
      <c r="G136" s="1815">
        <v>1</v>
      </c>
      <c r="H136" s="1815">
        <f>IF(OR($F136=0,$G136=0),0,MAX($H$111:H135)+1)</f>
        <v>0</v>
      </c>
      <c r="I136" s="1814">
        <v>50</v>
      </c>
      <c r="J136" s="1815" t="s">
        <v>1766</v>
      </c>
      <c r="K136" s="1818" t="s">
        <v>1766</v>
      </c>
      <c r="L136" s="5393" t="s">
        <v>3142</v>
      </c>
      <c r="M136" s="5393"/>
      <c r="N136" s="5393"/>
      <c r="O136" s="5393"/>
      <c r="P136" s="5393"/>
      <c r="Q136" s="5393"/>
      <c r="R136" s="1834" t="s">
        <v>1766</v>
      </c>
      <c r="S136" s="599"/>
    </row>
    <row r="137" spans="2:19" x14ac:dyDescent="0.2">
      <c r="B137" s="581">
        <f t="shared" si="0"/>
        <v>0</v>
      </c>
      <c r="C137" s="593" t="s">
        <v>3143</v>
      </c>
      <c r="D137" s="593"/>
      <c r="E137" s="593"/>
      <c r="F137" s="580">
        <f>COUNTIF(Sheele!$G$20:$J$29,C137)</f>
        <v>0</v>
      </c>
      <c r="G137" s="1815">
        <v>1</v>
      </c>
      <c r="H137" s="1815">
        <f>IF(OR($F137=0,$G137=0),0,MAX($H$111:H136)+1)</f>
        <v>0</v>
      </c>
      <c r="I137" s="1814">
        <v>50</v>
      </c>
      <c r="J137" s="1815">
        <f>Sheele!N10</f>
        <v>50</v>
      </c>
      <c r="K137" s="1818">
        <f>Sheele!N21</f>
        <v>25</v>
      </c>
      <c r="L137" s="5393" t="str">
        <f>"Area CAL "&amp;Sheele!G16&amp;"m. Cada aatque sucesivo dobla el área y +10 daño"</f>
        <v>Area CAL 6m. Cada aatque sucesivo dobla el área y +10 daño</v>
      </c>
      <c r="M137" s="5393"/>
      <c r="N137" s="5393"/>
      <c r="O137" s="5393"/>
      <c r="P137" s="5393"/>
      <c r="Q137" s="5393"/>
      <c r="R137" s="1834" t="s">
        <v>1766</v>
      </c>
      <c r="S137" s="599"/>
    </row>
    <row r="138" spans="2:19" x14ac:dyDescent="0.2">
      <c r="B138" s="581">
        <f t="shared" si="0"/>
        <v>0</v>
      </c>
      <c r="C138" s="593" t="s">
        <v>3144</v>
      </c>
      <c r="D138" s="593"/>
      <c r="E138" s="593"/>
      <c r="F138" s="580">
        <f>COUNTIF(Sheele!$G$20:$J$29,C138)</f>
        <v>0</v>
      </c>
      <c r="G138" s="1815">
        <v>1</v>
      </c>
      <c r="H138" s="1815">
        <f>IF(OR($F138=0,$G138=0),0,MAX($H$111:H137)+1)</f>
        <v>0</v>
      </c>
      <c r="I138" s="1814" t="s">
        <v>1766</v>
      </c>
      <c r="J138" s="1815">
        <f>Sheele!N10</f>
        <v>50</v>
      </c>
      <c r="K138" s="1818" t="s">
        <v>1766</v>
      </c>
      <c r="L138" s="5393" t="str">
        <f>"La Sheele controla el fuego de hasta "&amp;Sheele!G15&amp;" intensidades. Puede atacar con él."</f>
        <v>La Sheele controla el fuego de hasta 8 intensidades. Puede atacar con él.</v>
      </c>
      <c r="M138" s="5393"/>
      <c r="N138" s="5393"/>
      <c r="O138" s="5393"/>
      <c r="P138" s="5393"/>
      <c r="Q138" s="5393"/>
      <c r="R138" s="1834" t="s">
        <v>1766</v>
      </c>
      <c r="S138" s="599"/>
    </row>
    <row r="139" spans="2:19" x14ac:dyDescent="0.2">
      <c r="B139" s="581">
        <f t="shared" si="0"/>
        <v>0</v>
      </c>
      <c r="C139" s="593" t="s">
        <v>3115</v>
      </c>
      <c r="D139" s="593"/>
      <c r="E139" s="593"/>
      <c r="F139" s="580">
        <f>COUNTIF(Sheele!$G$20:$J$29,C139)</f>
        <v>0</v>
      </c>
      <c r="G139" s="1815"/>
      <c r="H139" s="1815">
        <f>IF(OR($F139=0,$G139=0),0,MAX($H$111:H138)+1)</f>
        <v>0</v>
      </c>
      <c r="I139" s="1814" t="s">
        <v>1766</v>
      </c>
      <c r="J139" s="1815" t="s">
        <v>1766</v>
      </c>
      <c r="K139" s="1818" t="s">
        <v>1766</v>
      </c>
      <c r="L139" s="5407" t="s">
        <v>3116</v>
      </c>
      <c r="M139" s="5393"/>
      <c r="N139" s="5393"/>
      <c r="O139" s="5393"/>
      <c r="P139" s="5393"/>
      <c r="Q139" s="5393"/>
      <c r="R139" s="1834" t="s">
        <v>1766</v>
      </c>
      <c r="S139" s="599"/>
    </row>
    <row r="140" spans="2:19" x14ac:dyDescent="0.2">
      <c r="B140" s="581">
        <f t="shared" si="0"/>
        <v>0</v>
      </c>
      <c r="C140" s="593" t="s">
        <v>3145</v>
      </c>
      <c r="D140" s="593"/>
      <c r="E140" s="593"/>
      <c r="F140" s="580">
        <f>COUNTIF(Sheele!$G$20:$J$29,C140)</f>
        <v>0</v>
      </c>
      <c r="G140" s="1815">
        <v>1</v>
      </c>
      <c r="H140" s="1815">
        <f>IF(OR($F140=0,$G140=0),0,MAX($H$111:H139)+1)</f>
        <v>0</v>
      </c>
      <c r="I140" s="1814" t="s">
        <v>1766</v>
      </c>
      <c r="J140" s="1817" t="s">
        <v>1766</v>
      </c>
      <c r="K140" s="1818" t="s">
        <v>1766</v>
      </c>
      <c r="L140" s="5393" t="str">
        <f>"Aquel en contacto puede usar CAL como crítico secundario en sus armas, y éstas tienen +"&amp;Sheele!H15&amp;" daño."</f>
        <v>Aquel en contacto puede usar CAL como crítico secundario en sus armas, y éstas tienen +10 daño.</v>
      </c>
      <c r="M140" s="5393"/>
      <c r="N140" s="5393"/>
      <c r="O140" s="5393"/>
      <c r="P140" s="5393"/>
      <c r="Q140" s="5393"/>
      <c r="R140" s="1834" t="s">
        <v>1690</v>
      </c>
      <c r="S140" s="599"/>
    </row>
    <row r="141" spans="2:19" x14ac:dyDescent="0.2">
      <c r="B141" s="581">
        <f t="shared" si="0"/>
        <v>0</v>
      </c>
      <c r="C141" s="593" t="s">
        <v>3146</v>
      </c>
      <c r="D141" s="593"/>
      <c r="E141" s="593"/>
      <c r="F141" s="580">
        <f>COUNTIF(Sheele!$G$20:$J$29,C141)</f>
        <v>0</v>
      </c>
      <c r="G141" s="1815">
        <v>1</v>
      </c>
      <c r="H141" s="1815">
        <f>IF(OR($F141=0,$G141=0),0,MAX($H$111:H140)+1)</f>
        <v>0</v>
      </c>
      <c r="I141" s="594" t="s">
        <v>3118</v>
      </c>
      <c r="J141" s="1817" t="s">
        <v>1766</v>
      </c>
      <c r="K141" s="1818" t="s">
        <v>1766</v>
      </c>
      <c r="L141" s="5393" t="str">
        <f>"A voluntad, solo vulnerable a energía o frío. En contacto RF "&amp;Sheele!N21*2+Sheele!H15&amp;" o daño = nivel fracaso."</f>
        <v>A voluntad, solo vulnerable a energía o frío. En contacto RF 60 o daño = nivel fracaso.</v>
      </c>
      <c r="M141" s="5393"/>
      <c r="N141" s="5393"/>
      <c r="O141" s="5393"/>
      <c r="P141" s="5393"/>
      <c r="Q141" s="5393"/>
      <c r="R141" s="1834" t="s">
        <v>1766</v>
      </c>
      <c r="S141" s="599"/>
    </row>
    <row r="142" spans="2:19" x14ac:dyDescent="0.2">
      <c r="B142" s="581">
        <f t="shared" si="0"/>
        <v>0</v>
      </c>
      <c r="C142" s="593" t="s">
        <v>3147</v>
      </c>
      <c r="D142" s="593"/>
      <c r="E142" s="593"/>
      <c r="F142" s="580">
        <f>COUNTIF(Sheele!$G$20:$J$29,C142)</f>
        <v>0</v>
      </c>
      <c r="G142" s="1815">
        <v>1</v>
      </c>
      <c r="H142" s="1815">
        <f>IF(OR($F142=0,$G142=0),0,MAX($H$111:H141)+1)</f>
        <v>0</v>
      </c>
      <c r="I142" s="1814" t="s">
        <v>1766</v>
      </c>
      <c r="J142" s="1815" t="s">
        <v>1766</v>
      </c>
      <c r="K142" s="598" t="s">
        <v>3148</v>
      </c>
      <c r="L142" s="5407" t="s">
        <v>3149</v>
      </c>
      <c r="M142" s="5393"/>
      <c r="N142" s="5393"/>
      <c r="O142" s="5393"/>
      <c r="P142" s="5393"/>
      <c r="Q142" s="5393"/>
      <c r="R142" s="1834" t="s">
        <v>1690</v>
      </c>
      <c r="S142" s="599"/>
    </row>
    <row r="143" spans="2:19" x14ac:dyDescent="0.2">
      <c r="B143" s="581">
        <f t="shared" si="0"/>
        <v>0</v>
      </c>
      <c r="C143" s="593" t="s">
        <v>3150</v>
      </c>
      <c r="D143" s="593"/>
      <c r="E143" s="593"/>
      <c r="F143" s="580">
        <f>COUNTIF(Sheele!$G$20:$J$29,C143)</f>
        <v>0</v>
      </c>
      <c r="G143" s="1815"/>
      <c r="H143" s="1815">
        <f>IF(OR($F143=0,$G143=0),0,MAX($H$111:H142)+1)</f>
        <v>0</v>
      </c>
      <c r="I143" s="1814" t="s">
        <v>1766</v>
      </c>
      <c r="J143" s="1817" t="s">
        <v>1766</v>
      </c>
      <c r="K143" s="1818" t="s">
        <v>1766</v>
      </c>
      <c r="L143" s="5408" t="s">
        <v>3151</v>
      </c>
      <c r="M143" s="5406"/>
      <c r="N143" s="5406"/>
      <c r="O143" s="5406"/>
      <c r="P143" s="5406"/>
      <c r="Q143" s="5406"/>
      <c r="R143" s="1834" t="s">
        <v>1766</v>
      </c>
      <c r="S143" s="599"/>
    </row>
    <row r="144" spans="2:19" x14ac:dyDescent="0.2">
      <c r="B144" s="581">
        <f t="shared" si="0"/>
        <v>0</v>
      </c>
      <c r="C144" s="1826" t="s">
        <v>3020</v>
      </c>
      <c r="D144" s="595"/>
      <c r="E144" s="595"/>
      <c r="F144" s="587"/>
      <c r="G144" s="592"/>
      <c r="H144" s="591"/>
      <c r="I144" s="596" t="s">
        <v>3101</v>
      </c>
      <c r="J144" s="589" t="s">
        <v>3102</v>
      </c>
      <c r="K144" s="588" t="s">
        <v>1882</v>
      </c>
      <c r="L144" s="5404" t="s">
        <v>1861</v>
      </c>
      <c r="M144" s="5404"/>
      <c r="N144" s="5404"/>
      <c r="O144" s="5404"/>
      <c r="P144" s="5404"/>
      <c r="Q144" s="5404"/>
      <c r="R144" s="1837"/>
      <c r="S144" s="599"/>
    </row>
    <row r="145" spans="2:19" x14ac:dyDescent="0.2">
      <c r="B145" s="581">
        <f t="shared" si="0"/>
        <v>0</v>
      </c>
      <c r="C145" s="593" t="s">
        <v>3152</v>
      </c>
      <c r="D145" s="593"/>
      <c r="E145" s="593"/>
      <c r="F145" s="580">
        <f>COUNTIF(Sheele!$G$20:$J$29,C145)</f>
        <v>0</v>
      </c>
      <c r="G145" s="1815">
        <v>1</v>
      </c>
      <c r="H145" s="1815">
        <f>IF(OR($F145=0,$G145=0),0,MAX($H$111:H144)+1)</f>
        <v>0</v>
      </c>
      <c r="I145" s="1814">
        <v>150</v>
      </c>
      <c r="J145" s="1815" t="s">
        <v>1766</v>
      </c>
      <c r="K145" s="1818">
        <f>ROUNDUP(Sheele!N21*3/10,1)*10</f>
        <v>75</v>
      </c>
      <c r="L145" s="5393" t="s">
        <v>3153</v>
      </c>
      <c r="M145" s="5393"/>
      <c r="N145" s="5393"/>
      <c r="O145" s="5393"/>
      <c r="P145" s="5393"/>
      <c r="Q145" s="5393"/>
      <c r="R145" s="1834" t="s">
        <v>1766</v>
      </c>
      <c r="S145" s="599"/>
    </row>
    <row r="146" spans="2:19" x14ac:dyDescent="0.2">
      <c r="B146" s="581">
        <f t="shared" si="0"/>
        <v>0</v>
      </c>
      <c r="C146" s="593" t="s">
        <v>3154</v>
      </c>
      <c r="D146" s="593"/>
      <c r="E146" s="593"/>
      <c r="F146" s="580">
        <f>COUNTIF(Sheele!$G$20:$J$29,C146)</f>
        <v>0</v>
      </c>
      <c r="G146" s="1815">
        <v>1</v>
      </c>
      <c r="H146" s="1815">
        <f>IF(OR($F146=0,$G146=0),0,MAX($H$111:H145)+1)</f>
        <v>0</v>
      </c>
      <c r="I146" s="1814">
        <v>150</v>
      </c>
      <c r="J146" s="1815" t="s">
        <v>1766</v>
      </c>
      <c r="K146" s="1818" t="s">
        <v>1766</v>
      </c>
      <c r="L146" s="5393" t="str">
        <f>"Ataque automático  25m. RM "&amp;Sheele!N21*2+Sheele!H15&amp;" o -50 turno y x0.5 movimiento"</f>
        <v>Ataque automático  25m. RM 60 o -50 turno y x0.5 movimiento</v>
      </c>
      <c r="M146" s="5393"/>
      <c r="N146" s="5393"/>
      <c r="O146" s="5393"/>
      <c r="P146" s="5393"/>
      <c r="Q146" s="5393"/>
      <c r="R146" s="1834" t="s">
        <v>1766</v>
      </c>
      <c r="S146" s="599"/>
    </row>
    <row r="147" spans="2:19" x14ac:dyDescent="0.2">
      <c r="B147" s="581">
        <f t="shared" si="0"/>
        <v>0</v>
      </c>
      <c r="C147" s="593" t="s">
        <v>3155</v>
      </c>
      <c r="D147" s="593"/>
      <c r="E147" s="593"/>
      <c r="F147" s="580">
        <f>COUNTIF(Sheele!$G$20:$J$29,C147)</f>
        <v>0</v>
      </c>
      <c r="G147" s="1815">
        <v>1</v>
      </c>
      <c r="H147" s="1815">
        <f>IF(OR($F147=0,$G147=0),0,MAX($H$111:H146)+1)</f>
        <v>0</v>
      </c>
      <c r="I147" s="1814">
        <v>150</v>
      </c>
      <c r="J147" s="1815" t="s">
        <v>1766</v>
      </c>
      <c r="K147" s="598" t="s">
        <v>1766</v>
      </c>
      <c r="L147" s="5393" t="s">
        <v>3156</v>
      </c>
      <c r="M147" s="5393"/>
      <c r="N147" s="5393"/>
      <c r="O147" s="5393"/>
      <c r="P147" s="5393"/>
      <c r="Q147" s="5393"/>
      <c r="R147" s="1834" t="s">
        <v>1766</v>
      </c>
      <c r="S147" s="599"/>
    </row>
    <row r="148" spans="2:19" x14ac:dyDescent="0.2">
      <c r="B148" s="581">
        <f t="shared" si="0"/>
        <v>0</v>
      </c>
      <c r="C148" s="593" t="s">
        <v>3157</v>
      </c>
      <c r="D148" s="593"/>
      <c r="E148" s="593"/>
      <c r="F148" s="580">
        <f>COUNTIF(Sheele!$G$20:$J$29,C148)</f>
        <v>0</v>
      </c>
      <c r="G148" s="1815">
        <v>1</v>
      </c>
      <c r="H148" s="1815">
        <f>IF(OR($F148=0,$G148=0),0,MAX($H$111:H147)+1)</f>
        <v>0</v>
      </c>
      <c r="I148" s="1814">
        <v>80</v>
      </c>
      <c r="J148" s="1815" t="s">
        <v>1766</v>
      </c>
      <c r="K148" s="1818" t="s">
        <v>1766</v>
      </c>
      <c r="L148" s="5393" t="str">
        <f>"Area "&amp;Sheele!N21*2&amp;"m. Construcciones e individuos sobre el suelo control de AGI "&amp;Sheele!E12*2&amp;" o derribados"</f>
        <v>Area 50m. Construcciones e individuos sobre el suelo control de AGI 4 o derribados</v>
      </c>
      <c r="M148" s="5393"/>
      <c r="N148" s="5393"/>
      <c r="O148" s="5393"/>
      <c r="P148" s="5393"/>
      <c r="Q148" s="5393"/>
      <c r="R148" s="1834" t="s">
        <v>1766</v>
      </c>
      <c r="S148" s="599"/>
    </row>
    <row r="149" spans="2:19" x14ac:dyDescent="0.2">
      <c r="B149" s="581">
        <f t="shared" si="0"/>
        <v>0</v>
      </c>
      <c r="C149" s="593" t="s">
        <v>3158</v>
      </c>
      <c r="D149" s="593"/>
      <c r="E149" s="593"/>
      <c r="F149" s="580">
        <f>COUNTIF(Sheele!$G$20:$J$29,C149)</f>
        <v>0</v>
      </c>
      <c r="G149" s="1815"/>
      <c r="H149" s="1815">
        <f>IF(OR($F149=0,$G149=0),0,MAX($H$111:H148)+1)</f>
        <v>0</v>
      </c>
      <c r="I149" s="1814" t="s">
        <v>1766</v>
      </c>
      <c r="J149" s="1815" t="s">
        <v>1766</v>
      </c>
      <c r="K149" s="598" t="s">
        <v>1766</v>
      </c>
      <c r="L149" s="5407" t="s">
        <v>3159</v>
      </c>
      <c r="M149" s="5393"/>
      <c r="N149" s="5393"/>
      <c r="O149" s="5393"/>
      <c r="P149" s="5393"/>
      <c r="Q149" s="5393"/>
      <c r="R149" s="1834" t="s">
        <v>1766</v>
      </c>
      <c r="S149" s="599"/>
    </row>
    <row r="150" spans="2:19" x14ac:dyDescent="0.2">
      <c r="B150" s="581">
        <f t="shared" si="0"/>
        <v>0</v>
      </c>
      <c r="C150" s="593" t="s">
        <v>3160</v>
      </c>
      <c r="D150" s="593"/>
      <c r="E150" s="593"/>
      <c r="F150" s="580">
        <f>COUNTIF(Sheele!$G$20:$J$29,C150)</f>
        <v>0</v>
      </c>
      <c r="G150" s="1815">
        <v>1</v>
      </c>
      <c r="H150" s="1815">
        <f>IF(OR($F150=0,$G150=0),0,MAX($H$111:H149)+1)</f>
        <v>0</v>
      </c>
      <c r="I150" s="1814" t="s">
        <v>1766</v>
      </c>
      <c r="J150" s="1815" t="s">
        <v>1766</v>
      </c>
      <c r="K150" s="1818" t="s">
        <v>1766</v>
      </c>
      <c r="L150" s="5393" t="s">
        <v>3161</v>
      </c>
      <c r="M150" s="5393"/>
      <c r="N150" s="5393"/>
      <c r="O150" s="5393"/>
      <c r="P150" s="5393"/>
      <c r="Q150" s="5393"/>
      <c r="R150" s="1834" t="s">
        <v>1690</v>
      </c>
      <c r="S150" s="599"/>
    </row>
    <row r="151" spans="2:19" x14ac:dyDescent="0.2">
      <c r="B151" s="581">
        <f t="shared" si="0"/>
        <v>0</v>
      </c>
      <c r="C151" s="593" t="s">
        <v>3162</v>
      </c>
      <c r="D151" s="593"/>
      <c r="E151" s="593"/>
      <c r="F151" s="580">
        <f>COUNTIF(Sheele!$G$20:$J$29,C151)</f>
        <v>0</v>
      </c>
      <c r="G151" s="1815">
        <v>1</v>
      </c>
      <c r="H151" s="1815">
        <f>IF(OR($F151=0,$G151=0),0,MAX($H$111:H150)+1)</f>
        <v>0</v>
      </c>
      <c r="I151" s="1814">
        <v>150</v>
      </c>
      <c r="J151" s="1817">
        <f>Sheele!N10+50</f>
        <v>100</v>
      </c>
      <c r="K151" s="1818"/>
      <c r="L151" s="5393" t="str">
        <f>"Ataque 100m. De lograr daño, Control FUE "&amp;Sheele!E12+Sheele!E15+Sheele!E16&amp;" -1 por TA CON. 10 daño/fallo (50 a acumulación)"</f>
        <v>Ataque 100m. De lograr daño, Control FUE 16 -1 por TA CON. 10 daño/fallo (50 a acumulación)</v>
      </c>
      <c r="M151" s="5393"/>
      <c r="N151" s="5393"/>
      <c r="O151" s="5393"/>
      <c r="P151" s="5393"/>
      <c r="Q151" s="5393"/>
      <c r="R151" s="1834" t="s">
        <v>1766</v>
      </c>
      <c r="S151" s="599"/>
    </row>
    <row r="152" spans="2:19" x14ac:dyDescent="0.2">
      <c r="B152" s="581">
        <f t="shared" si="0"/>
        <v>0</v>
      </c>
      <c r="C152" s="593" t="s">
        <v>3115</v>
      </c>
      <c r="D152" s="593"/>
      <c r="E152" s="593"/>
      <c r="F152" s="580">
        <f>COUNTIF(Sheele!$G$20:$J$29,C152)</f>
        <v>0</v>
      </c>
      <c r="G152" s="1815"/>
      <c r="H152" s="1815">
        <f>IF(OR($F152=0,$G152=0),0,MAX($H$111:H151)+1)</f>
        <v>0</v>
      </c>
      <c r="I152" s="1814" t="s">
        <v>1766</v>
      </c>
      <c r="J152" s="1817" t="s">
        <v>1766</v>
      </c>
      <c r="K152" s="1818" t="s">
        <v>1766</v>
      </c>
      <c r="L152" s="5407" t="s">
        <v>3116</v>
      </c>
      <c r="M152" s="5393"/>
      <c r="N152" s="5393"/>
      <c r="O152" s="5393"/>
      <c r="P152" s="5393"/>
      <c r="Q152" s="5393"/>
      <c r="R152" s="1834" t="s">
        <v>1766</v>
      </c>
      <c r="S152" s="599"/>
    </row>
    <row r="153" spans="2:19" x14ac:dyDescent="0.2">
      <c r="B153" s="581">
        <f t="shared" si="0"/>
        <v>0</v>
      </c>
      <c r="C153" s="593" t="s">
        <v>3163</v>
      </c>
      <c r="D153" s="593"/>
      <c r="E153" s="593"/>
      <c r="F153" s="580">
        <f>COUNTIF(Sheele!$G$20:$J$29,C153)</f>
        <v>0</v>
      </c>
      <c r="G153" s="1815">
        <v>1</v>
      </c>
      <c r="H153" s="1815">
        <f>IF(OR($F153=0,$G153=0),0,MAX($H$111:H152)+1)</f>
        <v>0</v>
      </c>
      <c r="I153" s="1814" t="s">
        <v>1766</v>
      </c>
      <c r="J153" s="1815" t="s">
        <v>1766</v>
      </c>
      <c r="K153" s="1818" t="s">
        <v>1766</v>
      </c>
      <c r="L153" s="5393" t="str">
        <f>"Movimiento subterráneo de Tipo "&amp;Sheele!L31</f>
        <v>Movimiento subterráneo de Tipo 8</v>
      </c>
      <c r="M153" s="5393"/>
      <c r="N153" s="5393"/>
      <c r="O153" s="5393"/>
      <c r="P153" s="5393"/>
      <c r="Q153" s="5393"/>
      <c r="R153" s="1834" t="s">
        <v>1766</v>
      </c>
      <c r="S153" s="599"/>
    </row>
    <row r="154" spans="2:19" x14ac:dyDescent="0.2">
      <c r="B154" s="581">
        <f t="shared" si="0"/>
        <v>0</v>
      </c>
      <c r="C154" s="593" t="s">
        <v>3164</v>
      </c>
      <c r="D154" s="593"/>
      <c r="E154" s="593"/>
      <c r="F154" s="580">
        <f>COUNTIF(Sheele!$G$20:$J$29,C154)</f>
        <v>0</v>
      </c>
      <c r="G154" s="1815">
        <v>1</v>
      </c>
      <c r="H154" s="1815">
        <f>IF(OR($F154=0,$G154=0),0,MAX($H$111:H153)+1)</f>
        <v>0</v>
      </c>
      <c r="I154" s="1814" t="s">
        <v>1766</v>
      </c>
      <c r="J154" s="1815" t="s">
        <v>1766</v>
      </c>
      <c r="K154" s="1818" t="s">
        <v>1766</v>
      </c>
      <c r="L154" s="5406" t="s">
        <v>3165</v>
      </c>
      <c r="M154" s="5406"/>
      <c r="N154" s="5406"/>
      <c r="O154" s="5406"/>
      <c r="P154" s="5406"/>
      <c r="Q154" s="5406"/>
      <c r="R154" s="1834" t="s">
        <v>1690</v>
      </c>
      <c r="S154" s="599"/>
    </row>
    <row r="155" spans="2:19" x14ac:dyDescent="0.2">
      <c r="B155" s="581">
        <f t="shared" si="0"/>
        <v>0</v>
      </c>
      <c r="C155" s="1826" t="s">
        <v>3024</v>
      </c>
      <c r="D155" s="595"/>
      <c r="E155" s="595"/>
      <c r="F155" s="587"/>
      <c r="G155" s="592"/>
      <c r="H155" s="591"/>
      <c r="I155" s="596" t="s">
        <v>3101</v>
      </c>
      <c r="J155" s="589" t="s">
        <v>3102</v>
      </c>
      <c r="K155" s="588" t="s">
        <v>1882</v>
      </c>
      <c r="L155" s="5404" t="s">
        <v>1861</v>
      </c>
      <c r="M155" s="5404"/>
      <c r="N155" s="5404"/>
      <c r="O155" s="5404"/>
      <c r="P155" s="5404"/>
      <c r="Q155" s="5404"/>
      <c r="R155" s="1837"/>
    </row>
    <row r="156" spans="2:19" ht="15.75" customHeight="1" x14ac:dyDescent="0.2">
      <c r="B156" s="581">
        <f t="shared" ref="B156:B199" si="1">H156</f>
        <v>0</v>
      </c>
      <c r="C156" s="593" t="s">
        <v>3166</v>
      </c>
      <c r="D156" s="593"/>
      <c r="E156" s="593"/>
      <c r="F156" s="580">
        <f>COUNTIF(Sheele!$G$20:$J$29,C156)</f>
        <v>0</v>
      </c>
      <c r="G156" s="1815">
        <v>1</v>
      </c>
      <c r="H156" s="1815">
        <f>IF(OR($F156=0,$G156=0),0,MAX($H$111:H155)+1)</f>
        <v>0</v>
      </c>
      <c r="I156" s="1814">
        <v>250</v>
      </c>
      <c r="J156" s="1815">
        <f>Sheele!N10</f>
        <v>50</v>
      </c>
      <c r="K156" s="1818">
        <v>40</v>
      </c>
      <c r="L156" s="5393" t="str">
        <f>"Crea "&amp;Sheele!G15&amp;" proyectiles durante máximo "&amp;Sheele!G16&amp;" asaltos. Máximo "&amp;ROUNDDOWN(Sheele!G11/2,0)&amp;" ataques/ turno. Ataca en ENE."</f>
        <v>Crea 8 proyectiles durante máximo 6 asaltos. Máximo 4 ataques/ turno. Ataca en ENE.</v>
      </c>
      <c r="M156" s="5393"/>
      <c r="N156" s="5393"/>
      <c r="O156" s="5393"/>
      <c r="P156" s="5393"/>
      <c r="Q156" s="5393"/>
      <c r="R156" s="1834" t="s">
        <v>1766</v>
      </c>
    </row>
    <row r="157" spans="2:19" ht="12.75" customHeight="1" x14ac:dyDescent="0.2">
      <c r="B157" s="581">
        <f t="shared" si="1"/>
        <v>0</v>
      </c>
      <c r="C157" s="593" t="s">
        <v>3167</v>
      </c>
      <c r="D157" s="593"/>
      <c r="E157" s="593"/>
      <c r="F157" s="580">
        <f>COUNTIF(Sheele!$G$20:$J$29,C157)</f>
        <v>0</v>
      </c>
      <c r="G157" s="1815">
        <v>1</v>
      </c>
      <c r="H157" s="1815">
        <f>IF(OR($F157=0,$G157=0),0,MAX($H$111:H156)+1)</f>
        <v>0</v>
      </c>
      <c r="I157" s="1814">
        <v>250</v>
      </c>
      <c r="J157" s="1815" t="str">
        <f>Sheele!N10&amp;"+"</f>
        <v>50+</v>
      </c>
      <c r="K157" s="1818">
        <f>Sheele!N21</f>
        <v>25</v>
      </c>
      <c r="L157" s="5393" t="str">
        <f>"Ataque ENE. +15 Proy cada asalto que lo prepare, máximo "&amp;Sheele!G15&amp;" asaltos."</f>
        <v>Ataque ENE. +15 Proy cada asalto que lo prepare, máximo 8 asaltos.</v>
      </c>
      <c r="M157" s="5393"/>
      <c r="N157" s="5393"/>
      <c r="O157" s="5393"/>
      <c r="P157" s="5393"/>
      <c r="Q157" s="5393"/>
      <c r="R157" s="1834" t="s">
        <v>1766</v>
      </c>
    </row>
    <row r="158" spans="2:19" x14ac:dyDescent="0.2">
      <c r="B158" s="581">
        <f t="shared" si="1"/>
        <v>0</v>
      </c>
      <c r="C158" s="593" t="s">
        <v>292</v>
      </c>
      <c r="D158" s="593"/>
      <c r="E158" s="593"/>
      <c r="F158" s="580">
        <f>COUNTIF(Sheele!$G$20:$J$29,C158)</f>
        <v>0</v>
      </c>
      <c r="G158" s="1815">
        <v>1</v>
      </c>
      <c r="H158" s="1815">
        <f>IF(OR($F158=0,$G158=0),0,MAX($H$111:H157)+1)</f>
        <v>0</v>
      </c>
      <c r="I158" s="1814">
        <v>250</v>
      </c>
      <c r="J158" s="1817" t="s">
        <v>1766</v>
      </c>
      <c r="K158" s="1818" t="s">
        <v>1766</v>
      </c>
      <c r="L158" s="5393" t="str">
        <f>"5 asaltos. +"&amp;Sheele!H15*2&amp;" a toda acción y al ACT transferible. Después, -50 ata (10/ asalto)"</f>
        <v>5 asaltos. +20 a toda acción y al ACT transferible. Después, -50 ata (10/ asalto)</v>
      </c>
      <c r="M158" s="5393"/>
      <c r="N158" s="5393"/>
      <c r="O158" s="5393"/>
      <c r="P158" s="5393"/>
      <c r="Q158" s="5393"/>
      <c r="R158" s="1834" t="s">
        <v>1766</v>
      </c>
    </row>
    <row r="159" spans="2:19" x14ac:dyDescent="0.2">
      <c r="B159" s="581">
        <f t="shared" si="1"/>
        <v>0</v>
      </c>
      <c r="C159" s="593" t="s">
        <v>3168</v>
      </c>
      <c r="D159" s="593"/>
      <c r="E159" s="593"/>
      <c r="F159" s="580">
        <f>COUNTIF(Sheele!$G$20:$J$29,C159)</f>
        <v>0</v>
      </c>
      <c r="G159" s="1815">
        <v>1</v>
      </c>
      <c r="H159" s="1815">
        <f>IF(OR($F159=0,$G159=0),0,MAX($H$111:H158)+1)</f>
        <v>0</v>
      </c>
      <c r="I159" s="1814">
        <v>10</v>
      </c>
      <c r="J159" s="1815" t="s">
        <v>1766</v>
      </c>
      <c r="K159" s="1818" t="s">
        <v>1766</v>
      </c>
      <c r="L159" s="5393" t="str">
        <f>"Cura "&amp;Sheele!N21&amp;" PV o elimina penalizadores por el mismo valor. 1 uso/ persona/ día."</f>
        <v>Cura 25 PV o elimina penalizadores por el mismo valor. 1 uso/ persona/ día.</v>
      </c>
      <c r="M159" s="5393"/>
      <c r="N159" s="5393"/>
      <c r="O159" s="5393"/>
      <c r="P159" s="5393"/>
      <c r="Q159" s="5393"/>
      <c r="R159" s="1834" t="s">
        <v>1766</v>
      </c>
    </row>
    <row r="160" spans="2:19" x14ac:dyDescent="0.2">
      <c r="B160" s="581">
        <f t="shared" si="1"/>
        <v>0</v>
      </c>
      <c r="C160" s="593" t="s">
        <v>3169</v>
      </c>
      <c r="D160" s="593"/>
      <c r="E160" s="593"/>
      <c r="F160" s="580">
        <f>COUNTIF(Sheele!$G$20:$J$29,C160)</f>
        <v>0</v>
      </c>
      <c r="G160" s="1815">
        <v>1</v>
      </c>
      <c r="H160" s="1815">
        <f>IF(OR($F160=0,$G160=0),0,MAX($H$111:H159)+1)</f>
        <v>0</v>
      </c>
      <c r="I160" s="1814" t="s">
        <v>1766</v>
      </c>
      <c r="J160" s="1817" t="s">
        <v>1766</v>
      </c>
      <c r="K160" s="1818" t="s">
        <v>1766</v>
      </c>
      <c r="L160" s="5393" t="s">
        <v>3170</v>
      </c>
      <c r="M160" s="5393"/>
      <c r="N160" s="5393"/>
      <c r="O160" s="5393"/>
      <c r="P160" s="5393"/>
      <c r="Q160" s="5393"/>
      <c r="R160" s="1834" t="s">
        <v>1766</v>
      </c>
    </row>
    <row r="161" spans="2:18" x14ac:dyDescent="0.2">
      <c r="B161" s="581">
        <f t="shared" si="1"/>
        <v>0</v>
      </c>
      <c r="C161" s="593" t="s">
        <v>1538</v>
      </c>
      <c r="D161" s="593"/>
      <c r="E161" s="593"/>
      <c r="F161" s="580">
        <f>COUNTIF(Sheele!$G$20:$J$29,C161)</f>
        <v>0</v>
      </c>
      <c r="G161" s="1815"/>
      <c r="H161" s="1815">
        <f>IF(OR($F161=0,$G161=0),0,MAX($H$111:H160)+1)</f>
        <v>0</v>
      </c>
      <c r="I161" s="1814" t="s">
        <v>1766</v>
      </c>
      <c r="J161" s="1815" t="s">
        <v>1766</v>
      </c>
      <c r="K161" s="1818" t="s">
        <v>1766</v>
      </c>
      <c r="L161" s="5407" t="s">
        <v>3171</v>
      </c>
      <c r="M161" s="5393"/>
      <c r="N161" s="5393"/>
      <c r="O161" s="5393"/>
      <c r="P161" s="5393"/>
      <c r="Q161" s="5393"/>
      <c r="R161" s="1834" t="s">
        <v>1766</v>
      </c>
    </row>
    <row r="162" spans="2:18" x14ac:dyDescent="0.2">
      <c r="B162" s="581">
        <f t="shared" si="1"/>
        <v>0</v>
      </c>
      <c r="C162" s="593" t="s">
        <v>3172</v>
      </c>
      <c r="D162" s="593"/>
      <c r="E162" s="593"/>
      <c r="F162" s="580">
        <f>COUNTIF(Sheele!$G$20:$J$29,C162)</f>
        <v>0</v>
      </c>
      <c r="G162" s="1815">
        <v>1</v>
      </c>
      <c r="H162" s="1815">
        <f>IF(OR($F162=0,$G162=0),0,MAX($H$111:H161)+1)</f>
        <v>0</v>
      </c>
      <c r="I162" s="1814" t="s">
        <v>1766</v>
      </c>
      <c r="J162" s="1817" t="s">
        <v>1766</v>
      </c>
      <c r="K162" s="1818" t="s">
        <v>1766</v>
      </c>
      <c r="L162" s="5407" t="s">
        <v>3173</v>
      </c>
      <c r="M162" s="5393"/>
      <c r="N162" s="5393"/>
      <c r="O162" s="5393"/>
      <c r="P162" s="5393"/>
      <c r="Q162" s="5393"/>
      <c r="R162" s="1834" t="s">
        <v>1690</v>
      </c>
    </row>
    <row r="163" spans="2:18" x14ac:dyDescent="0.2">
      <c r="B163" s="581">
        <f t="shared" si="1"/>
        <v>0</v>
      </c>
      <c r="C163" s="593" t="s">
        <v>3115</v>
      </c>
      <c r="D163" s="593"/>
      <c r="E163" s="593"/>
      <c r="F163" s="580">
        <f>COUNTIF(Sheele!$G$20:$J$29,C163)</f>
        <v>0</v>
      </c>
      <c r="G163" s="1815"/>
      <c r="H163" s="1815">
        <f>IF(OR($F163=0,$G163=0),0,MAX($H$111:H162)+1)</f>
        <v>0</v>
      </c>
      <c r="I163" s="1814" t="s">
        <v>1766</v>
      </c>
      <c r="J163" s="1815" t="s">
        <v>1766</v>
      </c>
      <c r="K163" s="1818" t="s">
        <v>1766</v>
      </c>
      <c r="L163" s="5407" t="s">
        <v>3116</v>
      </c>
      <c r="M163" s="5393"/>
      <c r="N163" s="5393"/>
      <c r="O163" s="5393"/>
      <c r="P163" s="5393"/>
      <c r="Q163" s="5393"/>
      <c r="R163" s="1834" t="s">
        <v>1766</v>
      </c>
    </row>
    <row r="164" spans="2:18" x14ac:dyDescent="0.2">
      <c r="B164" s="581">
        <f t="shared" si="1"/>
        <v>0</v>
      </c>
      <c r="C164" s="593" t="s">
        <v>3174</v>
      </c>
      <c r="D164" s="593"/>
      <c r="E164" s="593"/>
      <c r="F164" s="580">
        <f>COUNTIF(Sheele!$G$20:$J$29,C164)</f>
        <v>0</v>
      </c>
      <c r="G164" s="1815">
        <v>1</v>
      </c>
      <c r="H164" s="1815">
        <f>IF(OR($F164=0,$G164=0),0,MAX($H$111:H163)+1)</f>
        <v>0</v>
      </c>
      <c r="I164" s="1814" t="s">
        <v>1766</v>
      </c>
      <c r="J164" s="1817" t="s">
        <v>1766</v>
      </c>
      <c r="K164" s="1818" t="s">
        <v>1766</v>
      </c>
      <c r="L164" s="5393" t="str">
        <f>"A voluntad. inmune a los ataques físicos. Puede cegar 1 turno por cada 10 de fallo en RM "&amp;Sheele!N21*2+Sheele!H15</f>
        <v>A voluntad. inmune a los ataques físicos. Puede cegar 1 turno por cada 10 de fallo en RM 60</v>
      </c>
      <c r="M164" s="5393"/>
      <c r="N164" s="5393"/>
      <c r="O164" s="5393"/>
      <c r="P164" s="5393"/>
      <c r="Q164" s="5393"/>
      <c r="R164" s="1834" t="s">
        <v>1766</v>
      </c>
    </row>
    <row r="165" spans="2:18" x14ac:dyDescent="0.2">
      <c r="B165" s="581">
        <f t="shared" si="1"/>
        <v>0</v>
      </c>
      <c r="C165" s="593" t="s">
        <v>3175</v>
      </c>
      <c r="D165" s="593"/>
      <c r="E165" s="593"/>
      <c r="F165" s="580">
        <f>COUNTIF(Sheele!$G$20:$J$29,C165)</f>
        <v>0</v>
      </c>
      <c r="G165" s="1815"/>
      <c r="H165" s="1815">
        <f>IF(OR($F165=0,$G165=0),0,MAX($H$111:H164)+1)</f>
        <v>0</v>
      </c>
      <c r="I165" s="1814" t="s">
        <v>1766</v>
      </c>
      <c r="J165" s="1815" t="s">
        <v>1766</v>
      </c>
      <c r="K165" s="1818" t="s">
        <v>1766</v>
      </c>
      <c r="L165" s="5408" t="s">
        <v>3176</v>
      </c>
      <c r="M165" s="5406"/>
      <c r="N165" s="5406"/>
      <c r="O165" s="5406"/>
      <c r="P165" s="5406"/>
      <c r="Q165" s="5406"/>
      <c r="R165" s="1834" t="s">
        <v>1766</v>
      </c>
    </row>
    <row r="166" spans="2:18" x14ac:dyDescent="0.2">
      <c r="B166" s="1825">
        <f t="shared" si="1"/>
        <v>0</v>
      </c>
      <c r="C166" s="1826" t="s">
        <v>3028</v>
      </c>
      <c r="D166" s="595"/>
      <c r="E166" s="595"/>
      <c r="F166" s="587"/>
      <c r="G166" s="592"/>
      <c r="H166" s="591"/>
      <c r="I166" s="596" t="s">
        <v>3101</v>
      </c>
      <c r="J166" s="589" t="s">
        <v>3102</v>
      </c>
      <c r="K166" s="588" t="s">
        <v>1882</v>
      </c>
      <c r="L166" s="5404" t="s">
        <v>1861</v>
      </c>
      <c r="M166" s="5404"/>
      <c r="N166" s="5404"/>
      <c r="O166" s="5404"/>
      <c r="P166" s="5404"/>
      <c r="Q166" s="5404"/>
      <c r="R166" s="1837"/>
    </row>
    <row r="167" spans="2:18" x14ac:dyDescent="0.2">
      <c r="B167" s="1825">
        <f t="shared" si="1"/>
        <v>0</v>
      </c>
      <c r="C167" s="593" t="s">
        <v>3177</v>
      </c>
      <c r="D167" s="593"/>
      <c r="E167" s="593"/>
      <c r="F167" s="580">
        <f>COUNTIF(Sheele!$G$20:$J$29,C167)</f>
        <v>0</v>
      </c>
      <c r="G167" s="1815"/>
      <c r="H167" s="1815">
        <f>IF(OR($F167=0,$G167=0),0,MAX($H$111:H166)+1)</f>
        <v>0</v>
      </c>
      <c r="I167" s="1814"/>
      <c r="J167" s="1815"/>
      <c r="K167" s="1818"/>
      <c r="L167" s="5409" t="s">
        <v>3178</v>
      </c>
      <c r="M167" s="5410"/>
      <c r="N167" s="5410"/>
      <c r="O167" s="5410"/>
      <c r="P167" s="5410"/>
      <c r="Q167" s="5410"/>
      <c r="R167" s="1834" t="s">
        <v>1766</v>
      </c>
    </row>
    <row r="168" spans="2:18" x14ac:dyDescent="0.2">
      <c r="B168" s="1825">
        <f t="shared" si="1"/>
        <v>0</v>
      </c>
      <c r="C168" s="593" t="s">
        <v>3179</v>
      </c>
      <c r="D168" s="593"/>
      <c r="E168" s="593"/>
      <c r="F168" s="580">
        <f>COUNTIF(Sheele!$G$20:$J$29,C168)</f>
        <v>0</v>
      </c>
      <c r="G168" s="1815">
        <v>1</v>
      </c>
      <c r="H168" s="1815">
        <f>IF(OR($F168=0,$G168=0),0,MAX($H$111:H167)+1)</f>
        <v>0</v>
      </c>
      <c r="I168" s="1814">
        <v>300</v>
      </c>
      <c r="J168" s="1815">
        <f>Sheele!$N$10</f>
        <v>50</v>
      </c>
      <c r="K168" s="1818">
        <f>Sheele!N21*2</f>
        <v>50</v>
      </c>
      <c r="L168" s="5393" t="s">
        <v>3180</v>
      </c>
      <c r="M168" s="5393"/>
      <c r="N168" s="5393"/>
      <c r="O168" s="5393"/>
      <c r="P168" s="5393"/>
      <c r="Q168" s="5393"/>
      <c r="R168" s="1834" t="s">
        <v>1766</v>
      </c>
    </row>
    <row r="169" spans="2:18" x14ac:dyDescent="0.2">
      <c r="B169" s="1825">
        <f t="shared" si="1"/>
        <v>0</v>
      </c>
      <c r="C169" s="593" t="s">
        <v>3181</v>
      </c>
      <c r="D169" s="593"/>
      <c r="E169" s="593"/>
      <c r="F169" s="580">
        <f>COUNTIF(Sheele!$G$20:$J$29,C169)</f>
        <v>0</v>
      </c>
      <c r="G169" s="1815">
        <v>1</v>
      </c>
      <c r="H169" s="1815">
        <f>IF(OR($F169=0,$G169=0),0,MAX($H$111:H168)+1)</f>
        <v>0</v>
      </c>
      <c r="I169" s="1814">
        <v>250</v>
      </c>
      <c r="J169" s="1815">
        <f>Sheele!$N$12+100</f>
        <v>150</v>
      </c>
      <c r="K169" s="1818" t="s">
        <v>1766</v>
      </c>
      <c r="L169" s="5393" t="str">
        <f>"Defensa. RM "&amp;Sheele!N21*2+Sheele!H15&amp;" (Pres·2+ POD) o -50 a toda acción que se recupera a 10/asalto"</f>
        <v>Defensa. RM 60 (Pres·2+ POD) o -50 a toda acción que se recupera a 10/asalto</v>
      </c>
      <c r="M169" s="5393"/>
      <c r="N169" s="5393"/>
      <c r="O169" s="5393"/>
      <c r="P169" s="5393"/>
      <c r="Q169" s="5393"/>
      <c r="R169" s="1834" t="s">
        <v>1766</v>
      </c>
    </row>
    <row r="170" spans="2:18" x14ac:dyDescent="0.2">
      <c r="B170" s="1825">
        <f t="shared" si="1"/>
        <v>0</v>
      </c>
      <c r="C170" s="593" t="s">
        <v>3182</v>
      </c>
      <c r="D170" s="593"/>
      <c r="E170" s="593"/>
      <c r="F170" s="580">
        <f>COUNTIF(Sheele!$G$20:$J$29,C170)</f>
        <v>0</v>
      </c>
      <c r="G170" s="1815">
        <v>1</v>
      </c>
      <c r="H170" s="1815">
        <f>IF(OR($F170=0,$G170=0),0,MAX($H$111:H169)+1)</f>
        <v>0</v>
      </c>
      <c r="I170" s="1814">
        <v>20</v>
      </c>
      <c r="J170" s="1815" t="s">
        <v>1766</v>
      </c>
      <c r="K170" s="1818" t="s">
        <v>1766</v>
      </c>
      <c r="L170" s="5393" t="s">
        <v>3183</v>
      </c>
      <c r="M170" s="5393"/>
      <c r="N170" s="5393"/>
      <c r="O170" s="5393"/>
      <c r="P170" s="5393"/>
      <c r="Q170" s="5393"/>
      <c r="R170" s="1834" t="s">
        <v>1766</v>
      </c>
    </row>
    <row r="171" spans="2:18" x14ac:dyDescent="0.2">
      <c r="B171" s="1825">
        <f t="shared" si="1"/>
        <v>0</v>
      </c>
      <c r="C171" s="593" t="s">
        <v>3184</v>
      </c>
      <c r="D171" s="593"/>
      <c r="E171" s="593"/>
      <c r="F171" s="580">
        <f>COUNTIF(Sheele!$G$20:$J$29,C171)</f>
        <v>0</v>
      </c>
      <c r="G171" s="1815">
        <v>1</v>
      </c>
      <c r="H171" s="1815">
        <f>IF(OR($F171=0,$G171=0),0,MAX($H$111:H170)+1)</f>
        <v>0</v>
      </c>
      <c r="I171" s="1814">
        <v>200</v>
      </c>
      <c r="J171" s="1815" t="s">
        <v>1766</v>
      </c>
      <c r="K171" s="1818" t="s">
        <v>1766</v>
      </c>
      <c r="L171" s="5393" t="str">
        <f>"Un blanco a 50m. RM "&amp;Sheele!N21*2&amp;" (Pres·2) o sufre -"&amp;Sheele!H15*2&amp;" (POD·2) a toda acción."</f>
        <v>Un blanco a 50m. RM 50 (Pres·2) o sufre -20 (POD·2) a toda acción.</v>
      </c>
      <c r="M171" s="5393"/>
      <c r="N171" s="5393"/>
      <c r="O171" s="5393"/>
      <c r="P171" s="5393"/>
      <c r="Q171" s="5393"/>
      <c r="R171" s="1834" t="s">
        <v>1766</v>
      </c>
    </row>
    <row r="172" spans="2:18" x14ac:dyDescent="0.2">
      <c r="B172" s="1825">
        <f t="shared" si="1"/>
        <v>0</v>
      </c>
      <c r="C172" s="593" t="s">
        <v>3185</v>
      </c>
      <c r="D172" s="593"/>
      <c r="E172" s="593"/>
      <c r="F172" s="580">
        <f>COUNTIF(Sheele!$G$20:$J$29,C172)</f>
        <v>0</v>
      </c>
      <c r="G172" s="1815">
        <v>1</v>
      </c>
      <c r="H172" s="1815">
        <f>IF(OR($F172=0,$G172=0),0,MAX($H$111:H171)+1)</f>
        <v>0</v>
      </c>
      <c r="I172" s="1814">
        <v>250</v>
      </c>
      <c r="J172" s="1815" t="s">
        <v>1766</v>
      </c>
      <c r="K172" s="1818" t="s">
        <v>1766</v>
      </c>
      <c r="L172" s="5393" t="str">
        <f>"5 asaltos. +"&amp;Sheele!H15*2&amp;" (POD·2) ATA y al ACT trasferible. Al finalizar, -50 ATA (-10/asalto)"</f>
        <v>5 asaltos. +20 (POD·2) ATA y al ACT trasferible. Al finalizar, -50 ATA (-10/asalto)</v>
      </c>
      <c r="M172" s="5393"/>
      <c r="N172" s="5393"/>
      <c r="O172" s="5393"/>
      <c r="P172" s="5393"/>
      <c r="Q172" s="5393"/>
      <c r="R172" s="1834" t="s">
        <v>1766</v>
      </c>
    </row>
    <row r="173" spans="2:18" x14ac:dyDescent="0.2">
      <c r="B173" s="1825">
        <f t="shared" si="1"/>
        <v>0</v>
      </c>
      <c r="C173" s="593" t="s">
        <v>3186</v>
      </c>
      <c r="D173" s="593"/>
      <c r="E173" s="593"/>
      <c r="F173" s="580">
        <f>COUNTIF(Sheele!$G$20:$J$29,C173)</f>
        <v>0</v>
      </c>
      <c r="G173" s="1815">
        <v>1</v>
      </c>
      <c r="H173" s="1815">
        <f>IF(OR($F173=0,$G173=0),0,MAX($H$111:H172)+1)</f>
        <v>0</v>
      </c>
      <c r="I173" s="1814" t="s">
        <v>1766</v>
      </c>
      <c r="J173" s="1817" t="s">
        <v>1766</v>
      </c>
      <c r="K173" s="1818" t="s">
        <v>1766</v>
      </c>
      <c r="L173" s="5393" t="str">
        <f>"Objetivo durmiendo. RM "&amp;Sheele!N21*2+Sheele!H15&amp;" (Pres·2+ POD) o malos sueños. En la Vigilia es más potente"</f>
        <v>Objetivo durmiendo. RM 60 (Pres·2+ POD) o malos sueños. En la Vigilia es más potente</v>
      </c>
      <c r="M173" s="5393"/>
      <c r="N173" s="5393"/>
      <c r="O173" s="5393"/>
      <c r="P173" s="5393"/>
      <c r="Q173" s="5393"/>
      <c r="R173" s="1834" t="s">
        <v>1766</v>
      </c>
    </row>
    <row r="174" spans="2:18" x14ac:dyDescent="0.2">
      <c r="B174" s="1825">
        <f t="shared" si="1"/>
        <v>0</v>
      </c>
      <c r="C174" s="593" t="s">
        <v>3187</v>
      </c>
      <c r="D174" s="593"/>
      <c r="E174" s="593"/>
      <c r="F174" s="580">
        <f>COUNTIF(Sheele!$G$20:$J$29,C174)</f>
        <v>0</v>
      </c>
      <c r="G174" s="1815">
        <v>1</v>
      </c>
      <c r="H174" s="1815">
        <f>IF(OR($F174=0,$G174=0),0,MAX($H$111:H173)+1)</f>
        <v>0</v>
      </c>
      <c r="I174" s="1814" t="s">
        <v>1766</v>
      </c>
      <c r="J174" s="1815" t="s">
        <v>1766</v>
      </c>
      <c r="K174" s="1818" t="s">
        <v>1766</v>
      </c>
      <c r="L174" s="5393" t="s">
        <v>3188</v>
      </c>
      <c r="M174" s="5393"/>
      <c r="N174" s="5393"/>
      <c r="O174" s="5393"/>
      <c r="P174" s="5393"/>
      <c r="Q174" s="5393"/>
      <c r="R174" s="1834" t="s">
        <v>1690</v>
      </c>
    </row>
    <row r="175" spans="2:18" x14ac:dyDescent="0.2">
      <c r="B175" s="1825">
        <f t="shared" si="1"/>
        <v>0</v>
      </c>
      <c r="C175" s="593" t="s">
        <v>3115</v>
      </c>
      <c r="D175" s="593"/>
      <c r="E175" s="593"/>
      <c r="F175" s="580">
        <f>COUNTIF(Sheele!$G$20:$J$29,C175)</f>
        <v>0</v>
      </c>
      <c r="G175" s="1815"/>
      <c r="H175" s="1815">
        <f>IF(OR($F175=0,$G175=0),0,MAX($H$111:H174)+1)</f>
        <v>0</v>
      </c>
      <c r="I175" s="1814" t="s">
        <v>1766</v>
      </c>
      <c r="J175" s="1817" t="s">
        <v>1766</v>
      </c>
      <c r="K175" s="1818" t="s">
        <v>1766</v>
      </c>
      <c r="L175" s="5407" t="s">
        <v>3116</v>
      </c>
      <c r="M175" s="5393"/>
      <c r="N175" s="5393"/>
      <c r="O175" s="5393"/>
      <c r="P175" s="5393"/>
      <c r="Q175" s="5393"/>
      <c r="R175" s="1834" t="s">
        <v>1766</v>
      </c>
    </row>
    <row r="176" spans="2:18" x14ac:dyDescent="0.2">
      <c r="B176" s="1825">
        <f t="shared" si="1"/>
        <v>0</v>
      </c>
      <c r="C176" s="593" t="s">
        <v>3189</v>
      </c>
      <c r="D176" s="593"/>
      <c r="E176" s="593"/>
      <c r="F176" s="580">
        <f>COUNTIF(Sheele!$G$20:$J$29,C176)</f>
        <v>0</v>
      </c>
      <c r="G176" s="1815">
        <v>1</v>
      </c>
      <c r="H176" s="1815">
        <f>IF(OR($F176=0,$G176=0),0,MAX($H$111:H175)+1)</f>
        <v>0</v>
      </c>
      <c r="I176" s="1814" t="s">
        <v>1766</v>
      </c>
      <c r="J176" s="1815" t="s">
        <v>1766</v>
      </c>
      <c r="K176" s="1818">
        <f>Sheele!N21+Sheele!H12</f>
        <v>5</v>
      </c>
      <c r="L176" s="5406" t="str">
        <f>"Puede atacar y defender usando su proyección. Daño base "&amp;Sheele!N21+Sheele!H12</f>
        <v>Puede atacar y defender usando su proyección. Daño base 5</v>
      </c>
      <c r="M176" s="5406"/>
      <c r="N176" s="5406"/>
      <c r="O176" s="5406"/>
      <c r="P176" s="5406"/>
      <c r="Q176" s="5406"/>
      <c r="R176" s="1834"/>
    </row>
    <row r="177" spans="2:18" x14ac:dyDescent="0.2">
      <c r="B177" s="581">
        <f t="shared" si="1"/>
        <v>0</v>
      </c>
      <c r="C177" s="1826" t="s">
        <v>3033</v>
      </c>
      <c r="D177" s="595"/>
      <c r="E177" s="595"/>
      <c r="F177" s="587"/>
      <c r="G177" s="592"/>
      <c r="H177" s="591"/>
      <c r="I177" s="596" t="s">
        <v>3101</v>
      </c>
      <c r="J177" s="589" t="s">
        <v>3102</v>
      </c>
      <c r="K177" s="588" t="s">
        <v>1882</v>
      </c>
      <c r="L177" s="5404" t="s">
        <v>1861</v>
      </c>
      <c r="M177" s="5404"/>
      <c r="N177" s="5404"/>
      <c r="O177" s="5404"/>
      <c r="P177" s="5404"/>
      <c r="Q177" s="5404"/>
      <c r="R177" s="1837"/>
    </row>
    <row r="178" spans="2:18" x14ac:dyDescent="0.2">
      <c r="B178" s="581">
        <f t="shared" si="1"/>
        <v>0</v>
      </c>
      <c r="C178" s="593" t="s">
        <v>3190</v>
      </c>
      <c r="D178" s="593"/>
      <c r="E178" s="593"/>
      <c r="F178" s="580">
        <f>COUNTIF(Sheele!$G$20:$J$29,C178)</f>
        <v>0</v>
      </c>
      <c r="G178" s="1815">
        <v>1</v>
      </c>
      <c r="H178" s="1815">
        <f>IF(OR($F178=0,$G178=0),0,MAX($H$111:H177)+1)</f>
        <v>0</v>
      </c>
      <c r="I178" s="1814" t="s">
        <v>3191</v>
      </c>
      <c r="J178" s="1815">
        <f>50+Sheele!N10</f>
        <v>100</v>
      </c>
      <c r="K178" s="598" t="s">
        <v>1766</v>
      </c>
      <c r="L178" s="5393" t="str">
        <f>"Ataque de presa de FUE "&amp;Sheele!G15&amp;". Se puede mantener pagando el coste de zeon."</f>
        <v>Ataque de presa de FUE 8. Se puede mantener pagando el coste de zeon.</v>
      </c>
      <c r="M178" s="5393"/>
      <c r="N178" s="5393"/>
      <c r="O178" s="5393"/>
      <c r="P178" s="5393"/>
      <c r="Q178" s="5393"/>
      <c r="R178" s="1834" t="s">
        <v>1766</v>
      </c>
    </row>
    <row r="179" spans="2:18" x14ac:dyDescent="0.2">
      <c r="B179" s="581">
        <f t="shared" si="1"/>
        <v>0</v>
      </c>
      <c r="C179" s="593" t="s">
        <v>3192</v>
      </c>
      <c r="D179" s="593"/>
      <c r="E179" s="593"/>
      <c r="F179" s="580">
        <f>COUNTIF(Sheele!$G$20:$J$29,C179)</f>
        <v>0</v>
      </c>
      <c r="G179" s="1815">
        <v>1</v>
      </c>
      <c r="H179" s="1815">
        <f>IF(OR($F179=0,$G179=0),0,MAX($H$111:H178)+1)</f>
        <v>0</v>
      </c>
      <c r="I179" s="1814">
        <v>50</v>
      </c>
      <c r="J179" s="1817">
        <f>Sheele!$N$12</f>
        <v>50</v>
      </c>
      <c r="K179" s="1818" t="s">
        <v>1766</v>
      </c>
      <c r="L179" s="5393" t="str">
        <f>"Escudo de aguante "&amp;10*Sheele!N21&amp;", que dura máximo "&amp;Sheele!G16&amp;" asaltos."</f>
        <v>Escudo de aguante 250, que dura máximo 6 asaltos.</v>
      </c>
      <c r="M179" s="5393"/>
      <c r="N179" s="5393"/>
      <c r="O179" s="5393"/>
      <c r="P179" s="5393"/>
      <c r="Q179" s="5393"/>
      <c r="R179" s="1834" t="s">
        <v>1766</v>
      </c>
    </row>
    <row r="180" spans="2:18" x14ac:dyDescent="0.2">
      <c r="B180" s="581">
        <f t="shared" si="1"/>
        <v>0</v>
      </c>
      <c r="C180" s="593" t="s">
        <v>3193</v>
      </c>
      <c r="D180" s="593"/>
      <c r="E180" s="593"/>
      <c r="F180" s="580">
        <f>COUNTIF(Sheele!$G$20:$J$29,C180)</f>
        <v>0</v>
      </c>
      <c r="G180" s="1815">
        <v>1</v>
      </c>
      <c r="H180" s="1815">
        <f>IF(OR($F180=0,$G180=0),0,MAX($H$111:H179)+1)</f>
        <v>0</v>
      </c>
      <c r="I180" s="1814">
        <v>50</v>
      </c>
      <c r="J180" s="1817" t="s">
        <v>1766</v>
      </c>
      <c r="K180" s="1818" t="s">
        <v>1766</v>
      </c>
      <c r="L180" s="5393" t="s">
        <v>3194</v>
      </c>
      <c r="M180" s="5393"/>
      <c r="N180" s="5393"/>
      <c r="O180" s="5393"/>
      <c r="P180" s="5393"/>
      <c r="Q180" s="5393"/>
      <c r="R180" s="1834" t="s">
        <v>1766</v>
      </c>
    </row>
    <row r="181" spans="2:18" ht="12.75" customHeight="1" x14ac:dyDescent="0.2">
      <c r="B181" s="581">
        <f t="shared" si="1"/>
        <v>0</v>
      </c>
      <c r="C181" s="593" t="s">
        <v>3195</v>
      </c>
      <c r="D181" s="593"/>
      <c r="E181" s="593"/>
      <c r="F181" s="580">
        <f>COUNTIF(Sheele!$G$20:$J$29,C181)</f>
        <v>0</v>
      </c>
      <c r="G181" s="1815">
        <v>1</v>
      </c>
      <c r="H181" s="1815">
        <f>IF(OR($F181=0,$G181=0),0,MAX($H$111:H180)+1)</f>
        <v>0</v>
      </c>
      <c r="I181" s="1814">
        <v>10</v>
      </c>
      <c r="J181" s="1815" t="s">
        <v>1766</v>
      </c>
      <c r="K181" s="1818" t="s">
        <v>1766</v>
      </c>
      <c r="L181" s="5393" t="str">
        <f>"Cura "&amp;Sheele!N21*2&amp;" PV. 1 uso/ persona/ día."</f>
        <v>Cura 50 PV. 1 uso/ persona/ día.</v>
      </c>
      <c r="M181" s="5393"/>
      <c r="N181" s="5393"/>
      <c r="O181" s="5393"/>
      <c r="P181" s="5393"/>
      <c r="Q181" s="5393"/>
      <c r="R181" s="1834" t="s">
        <v>1766</v>
      </c>
    </row>
    <row r="182" spans="2:18" ht="13.5" customHeight="1" x14ac:dyDescent="0.2">
      <c r="B182" s="581">
        <f t="shared" si="1"/>
        <v>0</v>
      </c>
      <c r="C182" s="593" t="s">
        <v>3124</v>
      </c>
      <c r="D182" s="593"/>
      <c r="E182" s="593"/>
      <c r="F182" s="580">
        <f>COUNTIF(Sheele!$G$20:$J$29,C182)</f>
        <v>0</v>
      </c>
      <c r="G182" s="1815">
        <v>1</v>
      </c>
      <c r="H182" s="1815">
        <f>IF(OR($F182=0,$G182=0),0,MAX($H$111:H181)+1)</f>
        <v>0</v>
      </c>
      <c r="I182" s="1814">
        <v>150</v>
      </c>
      <c r="J182" s="1815">
        <f>Sheele!N10</f>
        <v>50</v>
      </c>
      <c r="K182" s="1818">
        <f>Sheele!N21</f>
        <v>25</v>
      </c>
      <c r="L182" s="5393" t="s">
        <v>3196</v>
      </c>
      <c r="M182" s="5393"/>
      <c r="N182" s="5393"/>
      <c r="O182" s="5393"/>
      <c r="P182" s="5393"/>
      <c r="Q182" s="5393"/>
      <c r="R182" s="1834" t="s">
        <v>1766</v>
      </c>
    </row>
    <row r="183" spans="2:18" x14ac:dyDescent="0.2">
      <c r="B183" s="581">
        <f t="shared" si="1"/>
        <v>0</v>
      </c>
      <c r="C183" s="593" t="s">
        <v>3197</v>
      </c>
      <c r="D183" s="593"/>
      <c r="E183" s="593"/>
      <c r="F183" s="580">
        <f>COUNTIF(Sheele!$G$20:$J$29,C183)</f>
        <v>0</v>
      </c>
      <c r="G183" s="1815">
        <v>1</v>
      </c>
      <c r="H183" s="1815">
        <f>IF(OR($F183=0,$G183=0),0,MAX($H$111:H182)+1)</f>
        <v>0</v>
      </c>
      <c r="I183" s="1816" t="s">
        <v>1766</v>
      </c>
      <c r="J183" s="1815" t="s">
        <v>1766</v>
      </c>
      <c r="K183" s="1818" t="s">
        <v>1766</v>
      </c>
      <c r="L183" s="5407" t="s">
        <v>3198</v>
      </c>
      <c r="M183" s="5393"/>
      <c r="N183" s="5393"/>
      <c r="O183" s="5393"/>
      <c r="P183" s="5393"/>
      <c r="Q183" s="5393"/>
      <c r="R183" s="1834" t="s">
        <v>1690</v>
      </c>
    </row>
    <row r="184" spans="2:18" x14ac:dyDescent="0.2">
      <c r="B184" s="581">
        <f t="shared" si="1"/>
        <v>0</v>
      </c>
      <c r="C184" s="593" t="s">
        <v>3199</v>
      </c>
      <c r="D184" s="593"/>
      <c r="E184" s="593"/>
      <c r="F184" s="580">
        <f>COUNTIF(Sheele!$G$20:$J$29,C184)</f>
        <v>0</v>
      </c>
      <c r="G184" s="1815">
        <v>1</v>
      </c>
      <c r="H184" s="1815">
        <f>IF(OR($F184=0,$G184=0),0,MAX($H$111:H183)+1)</f>
        <v>0</v>
      </c>
      <c r="I184" s="1816" t="s">
        <v>1766</v>
      </c>
      <c r="J184" s="1817" t="s">
        <v>1766</v>
      </c>
      <c r="K184" s="1818" t="s">
        <v>1766</v>
      </c>
      <c r="L184" s="5393" t="s">
        <v>3200</v>
      </c>
      <c r="M184" s="5393"/>
      <c r="N184" s="5393"/>
      <c r="O184" s="5393"/>
      <c r="P184" s="5393"/>
      <c r="Q184" s="5393"/>
      <c r="R184" s="1834" t="s">
        <v>1690</v>
      </c>
    </row>
    <row r="185" spans="2:18" x14ac:dyDescent="0.2">
      <c r="B185" s="581">
        <f t="shared" si="1"/>
        <v>0</v>
      </c>
      <c r="C185" s="593" t="s">
        <v>3115</v>
      </c>
      <c r="D185" s="593"/>
      <c r="E185" s="593"/>
      <c r="F185" s="580">
        <f>COUNTIF(Sheele!$G$20:$J$29,C185)</f>
        <v>0</v>
      </c>
      <c r="G185" s="1815"/>
      <c r="H185" s="1815">
        <f>IF(OR($F185=0,$G185=0),0,MAX($H$111:H184)+1)</f>
        <v>0</v>
      </c>
      <c r="I185" s="1814" t="s">
        <v>1766</v>
      </c>
      <c r="J185" s="1817" t="s">
        <v>1766</v>
      </c>
      <c r="K185" s="1818" t="s">
        <v>1766</v>
      </c>
      <c r="L185" s="5407" t="s">
        <v>3116</v>
      </c>
      <c r="M185" s="5393"/>
      <c r="N185" s="5393"/>
      <c r="O185" s="5393"/>
      <c r="P185" s="5393"/>
      <c r="Q185" s="5393"/>
      <c r="R185" s="1834" t="s">
        <v>1766</v>
      </c>
    </row>
    <row r="186" spans="2:18" x14ac:dyDescent="0.2">
      <c r="B186" s="581">
        <f t="shared" si="1"/>
        <v>0</v>
      </c>
      <c r="C186" s="593" t="s">
        <v>3201</v>
      </c>
      <c r="D186" s="593"/>
      <c r="E186" s="593"/>
      <c r="F186" s="580">
        <f>COUNTIF(Sheele!$G$20:$J$29,C186)</f>
        <v>0</v>
      </c>
      <c r="G186" s="1815">
        <v>1</v>
      </c>
      <c r="H186" s="1815">
        <f>IF(OR($F186=0,$G186=0),0,MAX($H$111:H185)+1)</f>
        <v>0</v>
      </c>
      <c r="I186" s="1814">
        <v>20</v>
      </c>
      <c r="J186" s="1817" t="s">
        <v>1766</v>
      </c>
      <c r="K186" s="1818" t="s">
        <v>1766</v>
      </c>
      <c r="L186" s="5393" t="s">
        <v>3202</v>
      </c>
      <c r="M186" s="5393"/>
      <c r="N186" s="5393"/>
      <c r="O186" s="5393"/>
      <c r="P186" s="5393"/>
      <c r="Q186" s="5393"/>
      <c r="R186" s="1834" t="s">
        <v>1766</v>
      </c>
    </row>
    <row r="187" spans="2:18" x14ac:dyDescent="0.2">
      <c r="B187" s="581">
        <f t="shared" si="1"/>
        <v>0</v>
      </c>
      <c r="C187" s="593" t="s">
        <v>3203</v>
      </c>
      <c r="D187" s="593"/>
      <c r="E187" s="593"/>
      <c r="F187" s="580">
        <f>COUNTIF(Sheele!$G$20:$J$29,C187)</f>
        <v>0</v>
      </c>
      <c r="G187" s="1815"/>
      <c r="H187" s="1815">
        <f>IF(OR($F187=0,$G187=0),0,MAX($H$111:H186)+1)</f>
        <v>0</v>
      </c>
      <c r="I187" s="1814" t="s">
        <v>1766</v>
      </c>
      <c r="J187" s="1817" t="s">
        <v>1766</v>
      </c>
      <c r="K187" s="1818" t="s">
        <v>1766</v>
      </c>
      <c r="L187" s="5408" t="s">
        <v>3204</v>
      </c>
      <c r="M187" s="5406"/>
      <c r="N187" s="5406"/>
      <c r="O187" s="5406"/>
      <c r="P187" s="5406"/>
      <c r="Q187" s="5406"/>
      <c r="R187" s="1834" t="s">
        <v>1766</v>
      </c>
    </row>
    <row r="188" spans="2:18" x14ac:dyDescent="0.2">
      <c r="B188" s="581">
        <f t="shared" si="1"/>
        <v>0</v>
      </c>
      <c r="C188" s="1826" t="s">
        <v>3037</v>
      </c>
      <c r="D188" s="595"/>
      <c r="E188" s="595"/>
      <c r="F188" s="587"/>
      <c r="G188" s="592"/>
      <c r="H188" s="591"/>
      <c r="I188" s="596" t="s">
        <v>3101</v>
      </c>
      <c r="J188" s="589" t="s">
        <v>3102</v>
      </c>
      <c r="K188" s="588" t="s">
        <v>1882</v>
      </c>
      <c r="L188" s="5404" t="s">
        <v>1861</v>
      </c>
      <c r="M188" s="5404"/>
      <c r="N188" s="5404"/>
      <c r="O188" s="5404"/>
      <c r="P188" s="5404"/>
      <c r="Q188" s="5404"/>
      <c r="R188" s="1837"/>
    </row>
    <row r="189" spans="2:18" x14ac:dyDescent="0.2">
      <c r="B189" s="581">
        <f t="shared" si="1"/>
        <v>0</v>
      </c>
      <c r="C189" s="593" t="s">
        <v>3205</v>
      </c>
      <c r="D189" s="593"/>
      <c r="E189" s="593"/>
      <c r="F189" s="580">
        <f>COUNTIF(Sheele!$G$20:$J$29,C189)</f>
        <v>0</v>
      </c>
      <c r="G189" s="1815">
        <v>1</v>
      </c>
      <c r="H189" s="1815">
        <f>IF(OR($F189=0,$G189=0),0,MAX($H$111:H188)+1)</f>
        <v>0</v>
      </c>
      <c r="I189" s="1814">
        <v>100</v>
      </c>
      <c r="J189" s="1815">
        <f>Sheele!N10+50</f>
        <v>100</v>
      </c>
      <c r="K189" s="1818">
        <f>Sheele!N21*2</f>
        <v>50</v>
      </c>
      <c r="L189" s="5393" t="s">
        <v>3206</v>
      </c>
      <c r="M189" s="5393"/>
      <c r="N189" s="5393"/>
      <c r="O189" s="5393"/>
      <c r="P189" s="5393"/>
      <c r="Q189" s="5393"/>
      <c r="R189" s="1834" t="s">
        <v>1766</v>
      </c>
    </row>
    <row r="190" spans="2:18" x14ac:dyDescent="0.2">
      <c r="B190" s="581">
        <f t="shared" si="1"/>
        <v>0</v>
      </c>
      <c r="C190" s="593" t="s">
        <v>3207</v>
      </c>
      <c r="D190" s="593"/>
      <c r="E190" s="593"/>
      <c r="F190" s="580">
        <f>COUNTIF(Sheele!$G$20:$J$29,C190)</f>
        <v>0</v>
      </c>
      <c r="G190" s="1815">
        <v>1</v>
      </c>
      <c r="H190" s="1815">
        <f>IF(OR($F190=0,$G190=0),0,MAX($H$111:H189)+1)</f>
        <v>0</v>
      </c>
      <c r="I190" s="1814">
        <v>200</v>
      </c>
      <c r="J190" s="1817" t="s">
        <v>1766</v>
      </c>
      <c r="K190" s="1818" t="s">
        <v>1766</v>
      </c>
      <c r="L190" s="5393" t="s">
        <v>3208</v>
      </c>
      <c r="M190" s="5393"/>
      <c r="N190" s="5393"/>
      <c r="O190" s="5393"/>
      <c r="P190" s="5393"/>
      <c r="Q190" s="5393"/>
      <c r="R190" s="1834" t="s">
        <v>1766</v>
      </c>
    </row>
    <row r="191" spans="2:18" x14ac:dyDescent="0.2">
      <c r="B191" s="581">
        <f t="shared" si="1"/>
        <v>0</v>
      </c>
      <c r="C191" s="593" t="s">
        <v>3209</v>
      </c>
      <c r="D191" s="593"/>
      <c r="E191" s="593"/>
      <c r="F191" s="580">
        <f>COUNTIF(Sheele!$G$20:$J$29,C191)</f>
        <v>0</v>
      </c>
      <c r="G191" s="1815">
        <v>1</v>
      </c>
      <c r="H191" s="1815">
        <f>IF(OR($F191=0,$G191=0),0,MAX($H$111:H190)+1)</f>
        <v>0</v>
      </c>
      <c r="I191" s="1814" t="s">
        <v>1766</v>
      </c>
      <c r="J191" s="1817" t="s">
        <v>1766</v>
      </c>
      <c r="K191" s="1818" t="s">
        <v>1766</v>
      </c>
      <c r="L191" s="5393" t="s">
        <v>3210</v>
      </c>
      <c r="M191" s="5393"/>
      <c r="N191" s="5393"/>
      <c r="O191" s="5393"/>
      <c r="P191" s="5393"/>
      <c r="Q191" s="5393"/>
      <c r="R191" s="1834" t="s">
        <v>1766</v>
      </c>
    </row>
    <row r="192" spans="2:18" x14ac:dyDescent="0.2">
      <c r="B192" s="581">
        <f t="shared" si="1"/>
        <v>0</v>
      </c>
      <c r="C192" s="593" t="s">
        <v>3211</v>
      </c>
      <c r="D192" s="593"/>
      <c r="E192" s="593"/>
      <c r="F192" s="580">
        <f>COUNTIF(Sheele!$G$20:$J$29,C192)</f>
        <v>0</v>
      </c>
      <c r="G192" s="1815">
        <v>1</v>
      </c>
      <c r="H192" s="1815">
        <f>IF(OR($F192=0,$G192=0),0,MAX($H$111:H191)+1)</f>
        <v>0</v>
      </c>
      <c r="I192" s="1814">
        <v>100</v>
      </c>
      <c r="J192" s="1817" t="s">
        <v>1766</v>
      </c>
      <c r="K192" s="1818" t="s">
        <v>1766</v>
      </c>
      <c r="L192" s="5393" t="str">
        <f>"Area automática 25m. RM "&amp;Sheele!N21*2+Sheele!H15&amp;" o -[fracaso] a hab. perceptivas y -0.5*[fracaso] ata."</f>
        <v>Area automática 25m. RM 60 o -[fracaso] a hab. perceptivas y -0.5*[fracaso] ata.</v>
      </c>
      <c r="M192" s="5393"/>
      <c r="N192" s="5393"/>
      <c r="O192" s="5393"/>
      <c r="P192" s="5393"/>
      <c r="Q192" s="5393"/>
      <c r="R192" s="1834" t="s">
        <v>1766</v>
      </c>
    </row>
    <row r="193" spans="2:18" x14ac:dyDescent="0.2">
      <c r="B193" s="581">
        <f t="shared" si="1"/>
        <v>0</v>
      </c>
      <c r="C193" s="593" t="s">
        <v>3212</v>
      </c>
      <c r="D193" s="593"/>
      <c r="E193" s="593"/>
      <c r="F193" s="580">
        <f>COUNTIF(Sheele!$G$20:$J$29,C193)</f>
        <v>0</v>
      </c>
      <c r="G193" s="1815">
        <v>1</v>
      </c>
      <c r="H193" s="1815">
        <f>IF(OR($F193=0,$G193=0),0,MAX($H$111:H192)+1)</f>
        <v>0</v>
      </c>
      <c r="I193" s="1814" t="s">
        <v>1766</v>
      </c>
      <c r="J193" s="1817" t="s">
        <v>1766</v>
      </c>
      <c r="K193" s="1818" t="s">
        <v>1766</v>
      </c>
      <c r="L193" s="5393" t="s">
        <v>3213</v>
      </c>
      <c r="M193" s="5393"/>
      <c r="N193" s="5393"/>
      <c r="O193" s="5393"/>
      <c r="P193" s="5393"/>
      <c r="Q193" s="5393"/>
      <c r="R193" s="1834" t="s">
        <v>1766</v>
      </c>
    </row>
    <row r="194" spans="2:18" x14ac:dyDescent="0.2">
      <c r="B194" s="581">
        <f t="shared" si="1"/>
        <v>0</v>
      </c>
      <c r="C194" s="593" t="s">
        <v>3214</v>
      </c>
      <c r="D194" s="593"/>
      <c r="E194" s="593"/>
      <c r="F194" s="580">
        <f>COUNTIF(Sheele!$G$20:$J$29,C194)</f>
        <v>0</v>
      </c>
      <c r="G194" s="1815">
        <v>1</v>
      </c>
      <c r="H194" s="1815">
        <f>IF(OR($F194=0,$G194=0),0,MAX($H$111:H193)+1)</f>
        <v>0</v>
      </c>
      <c r="I194" s="1814" t="s">
        <v>1766</v>
      </c>
      <c r="J194" s="1817" t="s">
        <v>1766</v>
      </c>
      <c r="K194" s="1818" t="s">
        <v>1766</v>
      </c>
      <c r="L194" s="5407" t="s">
        <v>3215</v>
      </c>
      <c r="M194" s="5393"/>
      <c r="N194" s="5393"/>
      <c r="O194" s="5393"/>
      <c r="P194" s="5393"/>
      <c r="Q194" s="5393"/>
      <c r="R194" s="1834" t="s">
        <v>1690</v>
      </c>
    </row>
    <row r="195" spans="2:18" x14ac:dyDescent="0.2">
      <c r="B195" s="581">
        <f t="shared" si="1"/>
        <v>0</v>
      </c>
      <c r="C195" s="593" t="s">
        <v>3216</v>
      </c>
      <c r="D195" s="593"/>
      <c r="E195" s="593"/>
      <c r="F195" s="580">
        <f>COUNTIF(Sheele!$G$20:$J$29,C195)</f>
        <v>0</v>
      </c>
      <c r="G195" s="1815">
        <v>1</v>
      </c>
      <c r="H195" s="1815">
        <f>IF(OR($F195=0,$G195=0),0,MAX($H$111:H194)+1)</f>
        <v>0</v>
      </c>
      <c r="I195" s="1814">
        <v>200</v>
      </c>
      <c r="J195" s="1817" t="str">
        <f>"+10/c"</f>
        <v>+10/c</v>
      </c>
      <c r="K195" s="1818" t="s">
        <v>1766</v>
      </c>
      <c r="L195" s="5393" t="str">
        <f>"Defensa. Crea "&amp;Sheele!G15&amp;" copias. Se desvanece 1/ turno y 1/ defensa. Area las destruye todas."</f>
        <v>Defensa. Crea 8 copias. Se desvanece 1/ turno y 1/ defensa. Area las destruye todas.</v>
      </c>
      <c r="M195" s="5393"/>
      <c r="N195" s="5393"/>
      <c r="O195" s="5393"/>
      <c r="P195" s="5393"/>
      <c r="Q195" s="5393"/>
      <c r="R195" s="1834" t="s">
        <v>1766</v>
      </c>
    </row>
    <row r="196" spans="2:18" x14ac:dyDescent="0.2">
      <c r="B196" s="581">
        <f t="shared" si="1"/>
        <v>0</v>
      </c>
      <c r="C196" s="593" t="s">
        <v>3217</v>
      </c>
      <c r="D196" s="593"/>
      <c r="E196" s="593"/>
      <c r="F196" s="580">
        <f>COUNTIF(Sheele!$G$20:$J$29,C196)</f>
        <v>0</v>
      </c>
      <c r="G196" s="1815">
        <v>1</v>
      </c>
      <c r="H196" s="1815">
        <f>IF(OR($F196=0,$G196=0),0,MAX($H$111:H195)+1)</f>
        <v>0</v>
      </c>
      <c r="I196" s="1814" t="s">
        <v>1766</v>
      </c>
      <c r="J196" s="1817" t="s">
        <v>1766</v>
      </c>
      <c r="K196" s="1818" t="s">
        <v>1766</v>
      </c>
      <c r="L196" s="5393" t="s">
        <v>3218</v>
      </c>
      <c r="M196" s="5393"/>
      <c r="N196" s="5393"/>
      <c r="O196" s="5393"/>
      <c r="P196" s="5393"/>
      <c r="Q196" s="5393"/>
      <c r="R196" s="1834"/>
    </row>
    <row r="197" spans="2:18" x14ac:dyDescent="0.2">
      <c r="B197" s="581">
        <f t="shared" si="1"/>
        <v>0</v>
      </c>
      <c r="C197" s="593" t="s">
        <v>3115</v>
      </c>
      <c r="D197" s="593"/>
      <c r="E197" s="593"/>
      <c r="F197" s="580">
        <f>COUNTIF(Sheele!$G$20:$J$29,C197)</f>
        <v>0</v>
      </c>
      <c r="G197" s="1815"/>
      <c r="H197" s="1815">
        <f>IF(OR($F197=0,$G197=0),0,MAX($H$111:H196)+1)</f>
        <v>0</v>
      </c>
      <c r="I197" s="1814" t="s">
        <v>1766</v>
      </c>
      <c r="J197" s="1817" t="s">
        <v>1766</v>
      </c>
      <c r="K197" s="1818" t="s">
        <v>1766</v>
      </c>
      <c r="L197" s="5407" t="s">
        <v>3116</v>
      </c>
      <c r="M197" s="5393"/>
      <c r="N197" s="5393"/>
      <c r="O197" s="5393"/>
      <c r="P197" s="5393"/>
      <c r="Q197" s="5393"/>
      <c r="R197" s="1834" t="s">
        <v>1766</v>
      </c>
    </row>
    <row r="198" spans="2:18" ht="13.5" thickBot="1" x14ac:dyDescent="0.25">
      <c r="B198" s="600">
        <f t="shared" si="1"/>
        <v>0</v>
      </c>
      <c r="C198" s="601" t="s">
        <v>3219</v>
      </c>
      <c r="D198" s="601"/>
      <c r="E198" s="601"/>
      <c r="F198" s="1347">
        <f>COUNTIF(Sheele!$G$20:$J$29,C198)</f>
        <v>0</v>
      </c>
      <c r="G198" s="568">
        <v>1</v>
      </c>
      <c r="H198" s="568">
        <f>IF(OR($F198=0,$G198=0),0,MAX($H$111:H197)+1)</f>
        <v>0</v>
      </c>
      <c r="I198" s="1819" t="s">
        <v>3220</v>
      </c>
      <c r="J198" s="1839" t="s">
        <v>1766</v>
      </c>
      <c r="K198" s="1820" t="s">
        <v>1766</v>
      </c>
      <c r="L198" s="5421" t="str">
        <f>"Solo vulnerable a destrucción de sortilegios. Grado Base, valor zeonico "&amp;Sheele!P29</f>
        <v>Solo vulnerable a destrucción de sortilegios. Grado Base, valor zeonico 50</v>
      </c>
      <c r="M198" s="5421"/>
      <c r="N198" s="5421"/>
      <c r="O198" s="5421"/>
      <c r="P198" s="5421"/>
      <c r="Q198" s="5421"/>
      <c r="R198" s="1840"/>
    </row>
    <row r="199" spans="2:18" ht="13.5" thickBot="1" x14ac:dyDescent="0.25">
      <c r="B199" s="602">
        <f t="shared" si="1"/>
        <v>0</v>
      </c>
      <c r="F199" s="1827" t="s">
        <v>3221</v>
      </c>
      <c r="G199" s="1828"/>
      <c r="H199" s="566">
        <f>COUNTIF(H112:H198,"&gt;0")</f>
        <v>0</v>
      </c>
    </row>
    <row r="200" spans="2:18" ht="13.5" thickBot="1" x14ac:dyDescent="0.25"/>
    <row r="201" spans="2:18" x14ac:dyDescent="0.2">
      <c r="B201" s="5433" t="s">
        <v>3222</v>
      </c>
      <c r="C201" s="5434"/>
      <c r="D201" s="5434"/>
      <c r="E201" s="5434"/>
      <c r="F201" s="5434"/>
      <c r="G201" s="5434"/>
      <c r="H201" s="5434"/>
      <c r="I201" s="5434"/>
      <c r="J201" s="5434"/>
      <c r="K201" s="5434"/>
      <c r="L201" s="5434"/>
      <c r="M201" s="5435"/>
    </row>
    <row r="202" spans="2:18" x14ac:dyDescent="0.2">
      <c r="B202" s="5436"/>
      <c r="C202" s="5437"/>
      <c r="D202" s="5437"/>
      <c r="E202" s="5437"/>
      <c r="F202" s="5437"/>
      <c r="G202" s="5437"/>
      <c r="H202" s="5437"/>
      <c r="I202" s="5437"/>
      <c r="J202" s="5437"/>
      <c r="K202" s="5437"/>
      <c r="L202" s="5437"/>
      <c r="M202" s="5438"/>
    </row>
    <row r="203" spans="2:18" x14ac:dyDescent="0.2">
      <c r="B203" s="1355"/>
      <c r="C203" s="1270">
        <v>1</v>
      </c>
      <c r="D203" s="1270">
        <v>2</v>
      </c>
      <c r="E203" s="1270">
        <v>3</v>
      </c>
      <c r="F203" s="1270">
        <v>4</v>
      </c>
      <c r="G203" s="1270">
        <v>5</v>
      </c>
      <c r="H203" s="1270">
        <v>6</v>
      </c>
      <c r="I203" s="1270">
        <v>7</v>
      </c>
      <c r="J203" s="1270">
        <v>8</v>
      </c>
      <c r="K203" s="1352" t="s">
        <v>7699</v>
      </c>
      <c r="L203" s="5415" t="s">
        <v>3223</v>
      </c>
      <c r="M203" s="5416"/>
    </row>
    <row r="204" spans="2:18" x14ac:dyDescent="0.2">
      <c r="B204" s="1351"/>
      <c r="C204" s="5413" t="s">
        <v>1922</v>
      </c>
      <c r="D204" s="5414"/>
      <c r="E204" s="1354" t="str">
        <f t="array" ref="E204:H204">TRANSPOSE(C205:D208)</f>
        <v>Vuelo Místico 10</v>
      </c>
      <c r="F204" s="1354" t="str">
        <v>Movimiento Defensivo</v>
      </c>
      <c r="G204" s="1354" t="str">
        <v xml:space="preserve"> </v>
      </c>
      <c r="H204" s="1354" t="str">
        <v xml:space="preserve"> </v>
      </c>
      <c r="I204" s="1353"/>
      <c r="J204" s="1350"/>
      <c r="K204" s="1345"/>
      <c r="L204" s="5417"/>
      <c r="M204" s="5418"/>
    </row>
    <row r="205" spans="2:18" x14ac:dyDescent="0.2">
      <c r="B205" s="597"/>
      <c r="C205" s="5411" t="s">
        <v>3224</v>
      </c>
      <c r="D205" s="5412"/>
      <c r="E205" s="5423" t="s">
        <v>3225</v>
      </c>
      <c r="F205" s="5423"/>
      <c r="G205" s="5423"/>
      <c r="H205" s="5423"/>
      <c r="I205" s="5423"/>
      <c r="J205" s="5423"/>
      <c r="K205" s="580" t="s">
        <v>1766</v>
      </c>
      <c r="L205" s="5419">
        <v>10</v>
      </c>
      <c r="M205" s="5420"/>
    </row>
    <row r="206" spans="2:18" x14ac:dyDescent="0.2">
      <c r="B206" s="597"/>
      <c r="C206" s="5411" t="s">
        <v>3226</v>
      </c>
      <c r="D206" s="5412"/>
      <c r="E206" s="5423" t="s">
        <v>3227</v>
      </c>
      <c r="F206" s="5424"/>
      <c r="G206" s="5424"/>
      <c r="H206" s="5424"/>
      <c r="I206" s="5424"/>
      <c r="J206" s="5424"/>
      <c r="K206" s="580" t="s">
        <v>1766</v>
      </c>
      <c r="L206" s="5419"/>
      <c r="M206" s="5420"/>
    </row>
    <row r="207" spans="2:18" x14ac:dyDescent="0.2">
      <c r="B207" s="545"/>
      <c r="C207" s="5392" t="s">
        <v>3228</v>
      </c>
      <c r="D207" s="5422"/>
      <c r="E207" s="5423"/>
      <c r="F207" s="5424"/>
      <c r="G207" s="5424"/>
      <c r="H207" s="5424"/>
      <c r="I207" s="5424"/>
      <c r="J207" s="5424"/>
      <c r="K207" s="580"/>
      <c r="L207" s="5392"/>
      <c r="M207" s="5427"/>
    </row>
    <row r="208" spans="2:18" x14ac:dyDescent="0.2">
      <c r="B208" s="545"/>
      <c r="C208" s="5392" t="s">
        <v>3228</v>
      </c>
      <c r="D208" s="5422"/>
      <c r="E208" s="5423"/>
      <c r="F208" s="5424"/>
      <c r="G208" s="5424"/>
      <c r="H208" s="5424"/>
      <c r="I208" s="5424"/>
      <c r="J208" s="5424"/>
      <c r="K208" s="580"/>
      <c r="L208" s="5392"/>
      <c r="M208" s="5427"/>
    </row>
    <row r="209" spans="2:13" x14ac:dyDescent="0.2">
      <c r="B209" s="1351"/>
      <c r="C209" s="5413" t="s">
        <v>1925</v>
      </c>
      <c r="D209" s="5414"/>
      <c r="E209" s="1354" t="str">
        <f t="array" ref="E209:H209">TRANSPOSE(C210:D213)</f>
        <v>Vuelo Místico 4</v>
      </c>
      <c r="F209" s="1354" t="str">
        <v>Movimiento Acuático</v>
      </c>
      <c r="G209" s="1354" t="str">
        <v>Respiración Acuática</v>
      </c>
      <c r="H209" s="1354" t="str">
        <v>Resistencia Física</v>
      </c>
      <c r="I209" s="1349"/>
      <c r="J209" s="1350"/>
      <c r="K209" s="1348"/>
      <c r="L209" s="5425"/>
      <c r="M209" s="5426"/>
    </row>
    <row r="210" spans="2:13" x14ac:dyDescent="0.2">
      <c r="B210" s="597"/>
      <c r="C210" s="5411" t="s">
        <v>3229</v>
      </c>
      <c r="D210" s="5412"/>
      <c r="E210" s="5423" t="s">
        <v>3230</v>
      </c>
      <c r="F210" s="5423"/>
      <c r="G210" s="5423"/>
      <c r="H210" s="5423"/>
      <c r="I210" s="5423"/>
      <c r="J210" s="5423"/>
      <c r="K210" s="580" t="s">
        <v>1766</v>
      </c>
      <c r="L210" s="5419">
        <v>4</v>
      </c>
      <c r="M210" s="5420"/>
    </row>
    <row r="211" spans="2:13" x14ac:dyDescent="0.2">
      <c r="B211" s="597"/>
      <c r="C211" s="5411" t="s">
        <v>3231</v>
      </c>
      <c r="D211" s="5412"/>
      <c r="E211" s="5423" t="s">
        <v>3232</v>
      </c>
      <c r="F211" s="5424"/>
      <c r="G211" s="5424"/>
      <c r="H211" s="5424"/>
      <c r="I211" s="5424"/>
      <c r="J211" s="5424"/>
      <c r="K211" s="580" t="s">
        <v>1766</v>
      </c>
      <c r="L211" s="5419"/>
      <c r="M211" s="5420"/>
    </row>
    <row r="212" spans="2:13" x14ac:dyDescent="0.2">
      <c r="B212" s="545"/>
      <c r="C212" s="5392" t="s">
        <v>3233</v>
      </c>
      <c r="D212" s="5422"/>
      <c r="E212" s="5423" t="s">
        <v>3234</v>
      </c>
      <c r="F212" s="5424"/>
      <c r="G212" s="5424"/>
      <c r="H212" s="5424"/>
      <c r="I212" s="5424"/>
      <c r="J212" s="5424"/>
      <c r="K212" s="580" t="s">
        <v>1766</v>
      </c>
      <c r="L212" s="5419"/>
      <c r="M212" s="5420"/>
    </row>
    <row r="213" spans="2:13" x14ac:dyDescent="0.2">
      <c r="B213" s="545"/>
      <c r="C213" s="5392" t="s">
        <v>3235</v>
      </c>
      <c r="D213" s="5422"/>
      <c r="E213" s="5423" t="s">
        <v>3236</v>
      </c>
      <c r="F213" s="5424"/>
      <c r="G213" s="5424"/>
      <c r="H213" s="5424"/>
      <c r="I213" s="5424"/>
      <c r="J213" s="5424"/>
      <c r="K213" s="580" t="s">
        <v>1766</v>
      </c>
      <c r="L213" s="5419"/>
      <c r="M213" s="5420"/>
    </row>
    <row r="214" spans="2:13" x14ac:dyDescent="0.2">
      <c r="B214" s="1351"/>
      <c r="C214" s="5413" t="s">
        <v>1929</v>
      </c>
      <c r="D214" s="5414"/>
      <c r="E214" s="1354" t="str">
        <f t="array" ref="E214:H214">TRANSPOSE(C215:D218)</f>
        <v>Vuelo Místico 6</v>
      </c>
      <c r="F214" s="1354" t="str">
        <v>Control de Llamas</v>
      </c>
      <c r="G214" s="1354" t="str">
        <v xml:space="preserve"> </v>
      </c>
      <c r="H214" s="1354" t="str">
        <v xml:space="preserve"> </v>
      </c>
      <c r="I214" s="1349"/>
      <c r="J214" s="1350"/>
      <c r="K214" s="1348"/>
      <c r="L214" s="5425"/>
      <c r="M214" s="5426"/>
    </row>
    <row r="215" spans="2:13" x14ac:dyDescent="0.2">
      <c r="B215" s="597"/>
      <c r="C215" s="5411" t="s">
        <v>3237</v>
      </c>
      <c r="D215" s="5412"/>
      <c r="E215" s="5423" t="s">
        <v>3238</v>
      </c>
      <c r="F215" s="5423"/>
      <c r="G215" s="5423"/>
      <c r="H215" s="5423"/>
      <c r="I215" s="5423"/>
      <c r="J215" s="5423"/>
      <c r="K215" s="580" t="s">
        <v>1766</v>
      </c>
      <c r="L215" s="5419">
        <v>6</v>
      </c>
      <c r="M215" s="5420"/>
    </row>
    <row r="216" spans="2:13" x14ac:dyDescent="0.2">
      <c r="B216" s="597"/>
      <c r="C216" s="5411" t="s">
        <v>3239</v>
      </c>
      <c r="D216" s="5412"/>
      <c r="E216" s="5423" t="str">
        <f>"Controlar llamas de intensidades no superiores a "&amp;Sheele!G15/2&amp;". Puede atacar con ellas."</f>
        <v>Controlar llamas de intensidades no superiores a 4. Puede atacar con ellas.</v>
      </c>
      <c r="F216" s="5424"/>
      <c r="G216" s="5424"/>
      <c r="H216" s="5424"/>
      <c r="I216" s="5424"/>
      <c r="J216" s="5424"/>
      <c r="K216" s="580" t="s">
        <v>1766</v>
      </c>
      <c r="L216" s="5419"/>
      <c r="M216" s="5420"/>
    </row>
    <row r="217" spans="2:13" x14ac:dyDescent="0.2">
      <c r="B217" s="545"/>
      <c r="C217" s="5392" t="s">
        <v>3228</v>
      </c>
      <c r="D217" s="5422"/>
      <c r="E217" s="5423"/>
      <c r="F217" s="5424"/>
      <c r="G217" s="5424"/>
      <c r="H217" s="5424"/>
      <c r="I217" s="5424"/>
      <c r="J217" s="5424"/>
      <c r="K217" s="580"/>
      <c r="L217" s="5392"/>
      <c r="M217" s="5427"/>
    </row>
    <row r="218" spans="2:13" x14ac:dyDescent="0.2">
      <c r="B218" s="545"/>
      <c r="C218" s="5392" t="s">
        <v>3228</v>
      </c>
      <c r="D218" s="5422"/>
      <c r="E218" s="5423"/>
      <c r="F218" s="5424"/>
      <c r="G218" s="5424"/>
      <c r="H218" s="5424"/>
      <c r="I218" s="5424"/>
      <c r="J218" s="5424"/>
      <c r="K218" s="580"/>
      <c r="L218" s="5392"/>
      <c r="M218" s="5427"/>
    </row>
    <row r="219" spans="2:13" x14ac:dyDescent="0.2">
      <c r="B219" s="1351"/>
      <c r="C219" s="5413" t="s">
        <v>2024</v>
      </c>
      <c r="D219" s="5414"/>
      <c r="E219" s="1354" t="str">
        <f t="array" ref="E219:H219">TRANSPOSE(C220:D223)</f>
        <v>Vuelo Místico 4</v>
      </c>
      <c r="F219" s="1354" t="str">
        <v>Resistencia</v>
      </c>
      <c r="G219" s="1354" t="str">
        <v xml:space="preserve"> </v>
      </c>
      <c r="H219" s="1354" t="str">
        <v xml:space="preserve"> </v>
      </c>
      <c r="I219" s="1349"/>
      <c r="J219" s="1350"/>
      <c r="K219" s="1348"/>
      <c r="L219" s="5425"/>
      <c r="M219" s="5426"/>
    </row>
    <row r="220" spans="2:13" x14ac:dyDescent="0.2">
      <c r="B220" s="597"/>
      <c r="C220" s="5411" t="s">
        <v>3229</v>
      </c>
      <c r="D220" s="5412"/>
      <c r="E220" s="5423" t="s">
        <v>3230</v>
      </c>
      <c r="F220" s="5423"/>
      <c r="G220" s="5423"/>
      <c r="H220" s="5423"/>
      <c r="I220" s="5423"/>
      <c r="J220" s="5423"/>
      <c r="K220" s="580" t="s">
        <v>1766</v>
      </c>
      <c r="L220" s="5419">
        <v>4</v>
      </c>
      <c r="M220" s="5420"/>
    </row>
    <row r="221" spans="2:13" x14ac:dyDescent="0.2">
      <c r="B221" s="597"/>
      <c r="C221" s="5411" t="s">
        <v>3175</v>
      </c>
      <c r="D221" s="5412"/>
      <c r="E221" s="5423" t="s">
        <v>3240</v>
      </c>
      <c r="F221" s="5424"/>
      <c r="G221" s="5424"/>
      <c r="H221" s="5424"/>
      <c r="I221" s="5424"/>
      <c r="J221" s="5424"/>
      <c r="K221" s="580" t="s">
        <v>1766</v>
      </c>
      <c r="L221" s="5419"/>
      <c r="M221" s="5420"/>
    </row>
    <row r="222" spans="2:13" x14ac:dyDescent="0.2">
      <c r="B222" s="545"/>
      <c r="C222" s="5392" t="s">
        <v>3228</v>
      </c>
      <c r="D222" s="5422"/>
      <c r="E222" s="5423"/>
      <c r="F222" s="5424"/>
      <c r="G222" s="5424"/>
      <c r="H222" s="5424"/>
      <c r="I222" s="5424"/>
      <c r="J222" s="5424"/>
      <c r="K222" s="580"/>
      <c r="L222" s="5392"/>
      <c r="M222" s="5427"/>
    </row>
    <row r="223" spans="2:13" x14ac:dyDescent="0.2">
      <c r="B223" s="545"/>
      <c r="C223" s="5392" t="s">
        <v>3228</v>
      </c>
      <c r="D223" s="5422"/>
      <c r="E223" s="5423"/>
      <c r="F223" s="5424"/>
      <c r="G223" s="5424"/>
      <c r="H223" s="5424"/>
      <c r="I223" s="5424"/>
      <c r="J223" s="5424"/>
      <c r="K223" s="580"/>
      <c r="L223" s="5392"/>
      <c r="M223" s="5427"/>
    </row>
    <row r="224" spans="2:13" x14ac:dyDescent="0.2">
      <c r="B224" s="1351"/>
      <c r="C224" s="5413" t="s">
        <v>2019</v>
      </c>
      <c r="D224" s="5414"/>
      <c r="E224" s="1354" t="str">
        <f t="array" ref="E224:H224">TRANSPOSE(C225:D228)</f>
        <v>Vuelo  Místico 6</v>
      </c>
      <c r="F224" s="1354" t="str">
        <v>Visión de Luz</v>
      </c>
      <c r="G224" s="1354" t="str">
        <v>Luminosa</v>
      </c>
      <c r="H224" s="1354" t="str">
        <v xml:space="preserve"> </v>
      </c>
      <c r="I224" s="1349"/>
      <c r="J224" s="1350"/>
      <c r="K224" s="1348"/>
      <c r="L224" s="5425"/>
      <c r="M224" s="5426"/>
    </row>
    <row r="225" spans="2:13" x14ac:dyDescent="0.2">
      <c r="B225" s="597"/>
      <c r="C225" s="5411" t="s">
        <v>3241</v>
      </c>
      <c r="D225" s="5412"/>
      <c r="E225" s="5423" t="s">
        <v>3238</v>
      </c>
      <c r="F225" s="5423"/>
      <c r="G225" s="5423"/>
      <c r="H225" s="5423"/>
      <c r="I225" s="5423"/>
      <c r="J225" s="5423"/>
      <c r="K225" s="580" t="s">
        <v>1766</v>
      </c>
      <c r="L225" s="5419">
        <v>6</v>
      </c>
      <c r="M225" s="5420"/>
    </row>
    <row r="226" spans="2:13" x14ac:dyDescent="0.2">
      <c r="B226" s="597"/>
      <c r="C226" s="5411" t="s">
        <v>3242</v>
      </c>
      <c r="D226" s="5412"/>
      <c r="E226" s="5423" t="s">
        <v>3243</v>
      </c>
      <c r="F226" s="5424"/>
      <c r="G226" s="5424"/>
      <c r="H226" s="5424"/>
      <c r="I226" s="5424"/>
      <c r="J226" s="5424"/>
      <c r="K226" s="580" t="s">
        <v>1766</v>
      </c>
      <c r="L226" s="5419"/>
      <c r="M226" s="5420"/>
    </row>
    <row r="227" spans="2:13" x14ac:dyDescent="0.2">
      <c r="B227" s="545"/>
      <c r="C227" s="5392" t="s">
        <v>3244</v>
      </c>
      <c r="D227" s="5422"/>
      <c r="E227" s="5423" t="s">
        <v>3245</v>
      </c>
      <c r="F227" s="5424"/>
      <c r="G227" s="5424"/>
      <c r="H227" s="5424"/>
      <c r="I227" s="5424"/>
      <c r="J227" s="5424"/>
      <c r="K227" s="580" t="s">
        <v>1766</v>
      </c>
      <c r="L227" s="5419"/>
      <c r="M227" s="5420"/>
    </row>
    <row r="228" spans="2:13" x14ac:dyDescent="0.2">
      <c r="B228" s="545"/>
      <c r="C228" s="5392" t="s">
        <v>3228</v>
      </c>
      <c r="D228" s="5422"/>
      <c r="E228" s="5423"/>
      <c r="F228" s="5424"/>
      <c r="G228" s="5424"/>
      <c r="H228" s="5424"/>
      <c r="I228" s="5424"/>
      <c r="J228" s="5424"/>
      <c r="K228" s="580"/>
      <c r="L228" s="5392"/>
      <c r="M228" s="5427"/>
    </row>
    <row r="229" spans="2:13" x14ac:dyDescent="0.2">
      <c r="B229" s="1351"/>
      <c r="C229" s="5413" t="s">
        <v>2020</v>
      </c>
      <c r="D229" s="5414"/>
      <c r="E229" s="1354" t="str">
        <f t="array" ref="E229:H229">TRANSPOSE(C230:D233)</f>
        <v>Vuelo Místico 8</v>
      </c>
      <c r="F229" s="1354" t="str">
        <v>Visión oscura</v>
      </c>
      <c r="G229" s="1354" t="str">
        <v>Invisible en la Sombra</v>
      </c>
      <c r="H229" s="1354" t="str">
        <v xml:space="preserve"> </v>
      </c>
      <c r="I229" s="1349"/>
      <c r="J229" s="1350"/>
      <c r="K229" s="1348"/>
      <c r="L229" s="5425"/>
      <c r="M229" s="5426"/>
    </row>
    <row r="230" spans="2:13" x14ac:dyDescent="0.2">
      <c r="B230" s="597"/>
      <c r="C230" s="5411" t="s">
        <v>3246</v>
      </c>
      <c r="D230" s="5412"/>
      <c r="E230" s="5423" t="s">
        <v>3247</v>
      </c>
      <c r="F230" s="5423"/>
      <c r="G230" s="5423"/>
      <c r="H230" s="5423"/>
      <c r="I230" s="5423"/>
      <c r="J230" s="5423"/>
      <c r="K230" s="580" t="s">
        <v>1766</v>
      </c>
      <c r="L230" s="5419">
        <v>8</v>
      </c>
      <c r="M230" s="5420"/>
    </row>
    <row r="231" spans="2:13" x14ac:dyDescent="0.2">
      <c r="B231" s="597"/>
      <c r="C231" s="5411" t="s">
        <v>3248</v>
      </c>
      <c r="D231" s="5412"/>
      <c r="E231" s="5423" t="s">
        <v>3249</v>
      </c>
      <c r="F231" s="5424"/>
      <c r="G231" s="5424"/>
      <c r="H231" s="5424"/>
      <c r="I231" s="5424"/>
      <c r="J231" s="5424"/>
      <c r="K231" s="580" t="s">
        <v>1766</v>
      </c>
      <c r="L231" s="5419"/>
      <c r="M231" s="5420"/>
    </row>
    <row r="232" spans="2:13" x14ac:dyDescent="0.2">
      <c r="B232" s="545"/>
      <c r="C232" s="5392" t="s">
        <v>3250</v>
      </c>
      <c r="D232" s="5422"/>
      <c r="E232" s="5423" t="s">
        <v>3251</v>
      </c>
      <c r="F232" s="5424"/>
      <c r="G232" s="5424"/>
      <c r="H232" s="5424"/>
      <c r="I232" s="5424"/>
      <c r="J232" s="5424"/>
      <c r="K232" s="580" t="s">
        <v>1766</v>
      </c>
      <c r="L232" s="5419"/>
      <c r="M232" s="5420"/>
    </row>
    <row r="233" spans="2:13" x14ac:dyDescent="0.2">
      <c r="B233" s="545"/>
      <c r="C233" s="5392" t="s">
        <v>3228</v>
      </c>
      <c r="D233" s="5422"/>
      <c r="E233" s="5423"/>
      <c r="F233" s="5424"/>
      <c r="G233" s="5424"/>
      <c r="H233" s="5424"/>
      <c r="I233" s="5424"/>
      <c r="J233" s="5424"/>
      <c r="K233" s="580"/>
      <c r="L233" s="5392"/>
      <c r="M233" s="5427"/>
    </row>
    <row r="234" spans="2:13" x14ac:dyDescent="0.2">
      <c r="B234" s="1351"/>
      <c r="C234" s="5413" t="s">
        <v>3032</v>
      </c>
      <c r="D234" s="5414"/>
      <c r="E234" s="1354" t="str">
        <f t="array" ref="E234:H234">TRANSPOSE(C235:D238)</f>
        <v>Vuelo Místico 6</v>
      </c>
      <c r="F234" s="1354" t="str">
        <v>Naturaleza Sanadora</v>
      </c>
      <c r="G234" s="1354" t="str">
        <v xml:space="preserve"> </v>
      </c>
      <c r="H234" s="1354" t="str">
        <v xml:space="preserve"> </v>
      </c>
      <c r="I234" s="1349"/>
      <c r="J234" s="1350"/>
      <c r="K234" s="1348"/>
      <c r="L234" s="5425"/>
      <c r="M234" s="5426"/>
    </row>
    <row r="235" spans="2:13" x14ac:dyDescent="0.2">
      <c r="B235" s="597"/>
      <c r="C235" s="5411" t="s">
        <v>3237</v>
      </c>
      <c r="D235" s="5412"/>
      <c r="E235" s="5423" t="s">
        <v>3238</v>
      </c>
      <c r="F235" s="5423"/>
      <c r="G235" s="5423"/>
      <c r="H235" s="5423"/>
      <c r="I235" s="5423"/>
      <c r="J235" s="5423"/>
      <c r="K235" s="580" t="s">
        <v>1766</v>
      </c>
      <c r="L235" s="5419">
        <v>6</v>
      </c>
      <c r="M235" s="5420"/>
    </row>
    <row r="236" spans="2:13" x14ac:dyDescent="0.2">
      <c r="B236" s="597"/>
      <c r="C236" s="5411" t="s">
        <v>3252</v>
      </c>
      <c r="D236" s="5412"/>
      <c r="E236" s="5423" t="s">
        <v>3253</v>
      </c>
      <c r="F236" s="5424"/>
      <c r="G236" s="5424"/>
      <c r="H236" s="5424"/>
      <c r="I236" s="5424"/>
      <c r="J236" s="5424"/>
      <c r="K236" s="580" t="s">
        <v>1766</v>
      </c>
      <c r="L236" s="5419"/>
      <c r="M236" s="5420"/>
    </row>
    <row r="237" spans="2:13" x14ac:dyDescent="0.2">
      <c r="B237" s="545"/>
      <c r="C237" s="5392" t="s">
        <v>3228</v>
      </c>
      <c r="D237" s="5422"/>
      <c r="E237" s="5423"/>
      <c r="F237" s="5424"/>
      <c r="G237" s="5424"/>
      <c r="H237" s="5424"/>
      <c r="I237" s="5424"/>
      <c r="J237" s="5424"/>
      <c r="K237" s="580"/>
      <c r="L237" s="5392"/>
      <c r="M237" s="5427"/>
    </row>
    <row r="238" spans="2:13" x14ac:dyDescent="0.2">
      <c r="B238" s="545"/>
      <c r="C238" s="5392" t="s">
        <v>3228</v>
      </c>
      <c r="D238" s="5422"/>
      <c r="E238" s="5423"/>
      <c r="F238" s="5424"/>
      <c r="G238" s="5424"/>
      <c r="H238" s="5424"/>
      <c r="I238" s="5424"/>
      <c r="J238" s="5424"/>
      <c r="K238" s="580"/>
      <c r="L238" s="5392"/>
      <c r="M238" s="5427"/>
    </row>
    <row r="239" spans="2:13" x14ac:dyDescent="0.2">
      <c r="B239" s="1351"/>
      <c r="C239" s="5413" t="s">
        <v>2031</v>
      </c>
      <c r="D239" s="5414"/>
      <c r="E239" s="1354" t="str">
        <f t="array" ref="E239:H239">TRANSPOSE(C240:D243)</f>
        <v>Vuelo Místico 6</v>
      </c>
      <c r="F239" s="1354" t="str">
        <v>La que Todo lo Ve</v>
      </c>
      <c r="G239" s="1354" t="str">
        <v>Destellos de Ilusión</v>
      </c>
      <c r="H239" s="1354" t="str">
        <v xml:space="preserve"> </v>
      </c>
      <c r="I239" s="1349"/>
      <c r="J239" s="1350"/>
      <c r="K239" s="1348"/>
      <c r="L239" s="5425"/>
      <c r="M239" s="5426"/>
    </row>
    <row r="240" spans="2:13" x14ac:dyDescent="0.2">
      <c r="B240" s="597"/>
      <c r="C240" s="5411" t="s">
        <v>3237</v>
      </c>
      <c r="D240" s="5412"/>
      <c r="E240" s="5423" t="s">
        <v>3238</v>
      </c>
      <c r="F240" s="5423"/>
      <c r="G240" s="5423"/>
      <c r="H240" s="5423"/>
      <c r="I240" s="5423"/>
      <c r="J240" s="5423"/>
      <c r="K240" s="580" t="s">
        <v>1766</v>
      </c>
      <c r="L240" s="5419">
        <v>6</v>
      </c>
      <c r="M240" s="5420"/>
    </row>
    <row r="241" spans="2:13" x14ac:dyDescent="0.2">
      <c r="B241" s="597"/>
      <c r="C241" s="5411" t="s">
        <v>3254</v>
      </c>
      <c r="D241" s="5412"/>
      <c r="E241" s="5423" t="s">
        <v>3255</v>
      </c>
      <c r="F241" s="5424"/>
      <c r="G241" s="5424"/>
      <c r="H241" s="5424"/>
      <c r="I241" s="5424"/>
      <c r="J241" s="5424"/>
      <c r="K241" s="580" t="s">
        <v>1766</v>
      </c>
      <c r="L241" s="5419"/>
      <c r="M241" s="5420"/>
    </row>
    <row r="242" spans="2:13" x14ac:dyDescent="0.2">
      <c r="B242" s="545"/>
      <c r="C242" s="5392" t="s">
        <v>3256</v>
      </c>
      <c r="D242" s="5422"/>
      <c r="E242" s="5423" t="s">
        <v>3257</v>
      </c>
      <c r="F242" s="5424"/>
      <c r="G242" s="5424"/>
      <c r="H242" s="5424"/>
      <c r="I242" s="5424"/>
      <c r="J242" s="5424"/>
      <c r="K242" s="580" t="s">
        <v>1766</v>
      </c>
      <c r="L242" s="5419"/>
      <c r="M242" s="5420"/>
    </row>
    <row r="243" spans="2:13" ht="13.5" thickBot="1" x14ac:dyDescent="0.25">
      <c r="B243" s="1346"/>
      <c r="C243" s="5430" t="s">
        <v>3228</v>
      </c>
      <c r="D243" s="5431"/>
      <c r="E243" s="5428"/>
      <c r="F243" s="5429"/>
      <c r="G243" s="5429"/>
      <c r="H243" s="5429"/>
      <c r="I243" s="5429"/>
      <c r="J243" s="5429"/>
      <c r="K243" s="1347"/>
      <c r="L243" s="5430"/>
      <c r="M243" s="5432"/>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BJ293"/>
  <sheetViews>
    <sheetView topLeftCell="A157" zoomScaleNormal="100" workbookViewId="0">
      <selection activeCell="P162" sqref="P162"/>
    </sheetView>
  </sheetViews>
  <sheetFormatPr defaultColWidth="11.42578125" defaultRowHeight="12.75" x14ac:dyDescent="0.2"/>
  <cols>
    <col min="1" max="1" width="3.140625" style="2027" customWidth="1"/>
    <col min="2" max="2" width="4.7109375" style="1075" customWidth="1"/>
    <col min="3" max="3" width="9.5703125" style="1075" customWidth="1"/>
    <col min="4" max="4" width="24" style="1075" customWidth="1"/>
    <col min="5" max="5" width="10.140625" style="1075" customWidth="1"/>
    <col min="6" max="7" width="9.5703125" style="1075" customWidth="1"/>
    <col min="8" max="8" width="23.140625" style="1075" customWidth="1"/>
    <col min="9" max="18" width="3.7109375" style="1075" customWidth="1"/>
    <col min="19" max="19" width="7" style="1075" customWidth="1"/>
    <col min="20" max="20" width="4.42578125" style="1075" customWidth="1"/>
    <col min="21" max="21" width="4.28515625" style="1075" customWidth="1"/>
    <col min="22" max="22" width="4.28515625" style="2026" customWidth="1"/>
    <col min="23" max="32" width="4.28515625" style="1075" customWidth="1"/>
    <col min="33" max="33" width="6.28515625" style="1075" customWidth="1"/>
    <col min="35" max="35" width="9.5703125" style="2092" customWidth="1"/>
    <col min="36" max="256" width="9.5703125" style="1075" customWidth="1"/>
    <col min="257" max="16384" width="11.42578125" style="1075"/>
  </cols>
  <sheetData>
    <row r="1" spans="1:62" ht="12.75" customHeight="1" x14ac:dyDescent="0.2">
      <c r="A1" s="2027">
        <v>1</v>
      </c>
    </row>
    <row r="2" spans="1:62" ht="12.75" customHeight="1" thickBot="1" x14ac:dyDescent="0.25">
      <c r="A2" s="2027">
        <v>2</v>
      </c>
      <c r="B2" s="1076"/>
      <c r="C2" s="1076"/>
      <c r="S2" s="1081"/>
      <c r="T2" s="1081"/>
      <c r="AL2" s="1081"/>
      <c r="AM2" s="1081"/>
      <c r="AN2" s="1081"/>
      <c r="AO2" s="1081"/>
      <c r="AP2" s="1081"/>
      <c r="AQ2" s="1081"/>
      <c r="AR2" s="1081"/>
      <c r="AS2" s="1081"/>
      <c r="AT2" s="1081"/>
      <c r="AU2" s="1081"/>
      <c r="AV2" s="1081"/>
      <c r="AW2" s="1081"/>
      <c r="AX2" s="1081"/>
      <c r="AY2" s="1081"/>
      <c r="AZ2" s="1081"/>
      <c r="BA2" s="1081"/>
      <c r="BB2" s="1081"/>
      <c r="BC2" s="1081"/>
      <c r="BD2" s="1081"/>
      <c r="BE2" s="1081"/>
      <c r="BF2" s="1081"/>
      <c r="BG2" s="1076"/>
      <c r="BH2" s="1076"/>
      <c r="BI2" s="1076"/>
      <c r="BJ2" s="1076"/>
    </row>
    <row r="3" spans="1:62" ht="12.75" customHeight="1" x14ac:dyDescent="0.2">
      <c r="A3" s="2027">
        <v>3</v>
      </c>
      <c r="B3" s="1080"/>
      <c r="C3" s="2297" t="s">
        <v>7138</v>
      </c>
      <c r="D3" s="2298"/>
      <c r="E3" s="2298"/>
      <c r="F3" s="2298"/>
      <c r="G3" s="2298"/>
      <c r="H3" s="2298"/>
      <c r="I3" s="2298"/>
      <c r="J3" s="2298"/>
      <c r="K3" s="2298"/>
      <c r="L3" s="2298"/>
      <c r="M3" s="2298"/>
      <c r="N3" s="2298"/>
      <c r="O3" s="2298"/>
      <c r="P3" s="2298"/>
      <c r="Q3" s="2298"/>
      <c r="R3" s="2299"/>
      <c r="S3" s="1081"/>
      <c r="T3" s="1081"/>
      <c r="U3" s="5439" t="s">
        <v>8800</v>
      </c>
      <c r="V3" s="5439"/>
      <c r="W3" s="5439"/>
      <c r="X3" s="5439"/>
      <c r="Y3" s="5439"/>
      <c r="Z3" s="5439"/>
      <c r="AA3" s="5439"/>
      <c r="AB3" s="5439"/>
      <c r="AC3" s="5439"/>
      <c r="AD3" s="5439"/>
      <c r="AE3" s="5439"/>
      <c r="AF3" s="5439"/>
      <c r="AG3" s="5439"/>
      <c r="AO3" s="1081"/>
      <c r="AP3" s="1081"/>
      <c r="AQ3" s="1081"/>
      <c r="AR3" s="1081"/>
      <c r="AS3" s="1081"/>
      <c r="AT3" s="1081"/>
      <c r="AU3" s="1081"/>
      <c r="AV3" s="1081"/>
      <c r="AW3" s="1081"/>
      <c r="AX3" s="1081"/>
      <c r="AY3" s="1081"/>
      <c r="AZ3" s="1081"/>
      <c r="BA3" s="1081"/>
      <c r="BB3" s="1081"/>
      <c r="BC3" s="1081"/>
      <c r="BD3" s="1081"/>
      <c r="BE3" s="1081"/>
      <c r="BF3" s="1081"/>
      <c r="BG3" s="1076"/>
      <c r="BH3" s="1076"/>
      <c r="BI3" s="1076"/>
      <c r="BJ3" s="1076"/>
    </row>
    <row r="4" spans="1:62" ht="12.75" customHeight="1" thickBot="1" x14ac:dyDescent="0.25">
      <c r="A4" s="2027">
        <v>4</v>
      </c>
      <c r="B4" s="1080"/>
      <c r="C4" s="2300"/>
      <c r="D4" s="2301"/>
      <c r="E4" s="2301"/>
      <c r="F4" s="2301"/>
      <c r="G4" s="2301"/>
      <c r="H4" s="2301"/>
      <c r="I4" s="2301"/>
      <c r="J4" s="2301"/>
      <c r="K4" s="2301"/>
      <c r="L4" s="2301"/>
      <c r="M4" s="2301"/>
      <c r="N4" s="2301"/>
      <c r="O4" s="2301"/>
      <c r="P4" s="2301"/>
      <c r="Q4" s="2301"/>
      <c r="R4" s="2302"/>
      <c r="S4" s="1086"/>
      <c r="T4" s="1086"/>
      <c r="U4" s="5439"/>
      <c r="V4" s="5439"/>
      <c r="W4" s="5439"/>
      <c r="X4" s="5439"/>
      <c r="Y4" s="5439"/>
      <c r="Z4" s="5439"/>
      <c r="AA4" s="5439"/>
      <c r="AB4" s="5439"/>
      <c r="AC4" s="5439"/>
      <c r="AD4" s="5439"/>
      <c r="AE4" s="5439"/>
      <c r="AF4" s="5439"/>
      <c r="AG4" s="5439"/>
      <c r="AO4" s="5380"/>
      <c r="AP4" s="5380"/>
      <c r="AQ4" s="1086"/>
      <c r="AR4" s="5380"/>
      <c r="AS4" s="5380"/>
      <c r="AT4" s="1086"/>
      <c r="AU4" s="5380"/>
      <c r="AV4" s="5380"/>
      <c r="AW4" s="1086"/>
      <c r="AX4" s="5380"/>
      <c r="AY4" s="5380"/>
      <c r="AZ4" s="1086"/>
      <c r="BA4" s="5380"/>
      <c r="BB4" s="5380"/>
      <c r="BC4" s="1086"/>
      <c r="BD4" s="5380"/>
      <c r="BE4" s="5380"/>
      <c r="BF4" s="1086"/>
      <c r="BG4" s="1076"/>
      <c r="BH4" s="1076"/>
      <c r="BI4" s="1076"/>
      <c r="BJ4" s="1076"/>
    </row>
    <row r="5" spans="1:62" ht="12.75" customHeight="1" x14ac:dyDescent="0.2">
      <c r="A5" s="2027">
        <v>5</v>
      </c>
      <c r="B5" s="5441" t="s">
        <v>8555</v>
      </c>
      <c r="C5" s="1083"/>
      <c r="D5" s="706">
        <v>1</v>
      </c>
      <c r="E5" s="706">
        <v>2</v>
      </c>
      <c r="F5" s="706">
        <v>3</v>
      </c>
      <c r="G5" s="706">
        <v>4</v>
      </c>
      <c r="H5" s="706">
        <v>5</v>
      </c>
      <c r="I5" s="706">
        <v>6</v>
      </c>
      <c r="J5" s="706">
        <v>7</v>
      </c>
      <c r="K5" s="706">
        <v>8</v>
      </c>
      <c r="L5" s="1084">
        <v>9</v>
      </c>
      <c r="M5" s="1084">
        <v>10</v>
      </c>
      <c r="N5" s="1084">
        <v>11</v>
      </c>
      <c r="O5" s="1084">
        <v>12</v>
      </c>
      <c r="P5" s="1084">
        <v>13</v>
      </c>
      <c r="Q5" s="1084">
        <v>14</v>
      </c>
      <c r="R5" s="1085">
        <v>15</v>
      </c>
      <c r="S5" s="5441" t="s">
        <v>8554</v>
      </c>
      <c r="T5" s="1091"/>
      <c r="U5" s="706"/>
      <c r="V5" s="706">
        <v>1</v>
      </c>
      <c r="W5" s="706">
        <v>2</v>
      </c>
      <c r="X5" s="706">
        <v>3</v>
      </c>
      <c r="Y5" s="706">
        <v>4</v>
      </c>
      <c r="Z5" s="706">
        <v>5</v>
      </c>
      <c r="AA5" s="706">
        <v>6</v>
      </c>
      <c r="AB5" s="706">
        <v>7</v>
      </c>
      <c r="AC5" s="706">
        <v>8</v>
      </c>
      <c r="AD5" s="1084">
        <v>9</v>
      </c>
      <c r="AE5" s="1084">
        <v>10</v>
      </c>
      <c r="AF5" s="1084"/>
      <c r="AG5" s="5440" t="s">
        <v>8802</v>
      </c>
      <c r="AO5" s="5387"/>
      <c r="AP5" s="5387"/>
      <c r="AQ5" s="1091"/>
      <c r="AR5" s="5387"/>
      <c r="AS5" s="5387"/>
      <c r="AT5" s="1091"/>
      <c r="AU5" s="5387"/>
      <c r="AV5" s="5387"/>
      <c r="AW5" s="1091"/>
      <c r="AX5" s="5387"/>
      <c r="AY5" s="5387"/>
      <c r="AZ5" s="1091"/>
      <c r="BA5" s="5387"/>
      <c r="BB5" s="5387"/>
      <c r="BC5" s="1091"/>
      <c r="BD5" s="5387"/>
      <c r="BE5" s="5387"/>
      <c r="BF5" s="1091"/>
      <c r="BG5" s="1076"/>
      <c r="BH5" s="1076"/>
      <c r="BI5" s="1076"/>
      <c r="BJ5" s="1076"/>
    </row>
    <row r="6" spans="1:62" ht="12.75" customHeight="1" thickBot="1" x14ac:dyDescent="0.25">
      <c r="A6" s="2027">
        <v>6</v>
      </c>
      <c r="B6" s="5442"/>
      <c r="C6" s="1089"/>
      <c r="D6" s="1090" t="s">
        <v>1752</v>
      </c>
      <c r="E6" s="1090" t="s">
        <v>119</v>
      </c>
      <c r="F6" s="1090" t="s">
        <v>1712</v>
      </c>
      <c r="G6" s="1090" t="s">
        <v>7139</v>
      </c>
      <c r="H6" s="1090" t="s">
        <v>3303</v>
      </c>
      <c r="I6" s="1090" t="s">
        <v>8787</v>
      </c>
      <c r="J6" s="1090" t="s">
        <v>8788</v>
      </c>
      <c r="K6" s="1090" t="s">
        <v>8789</v>
      </c>
      <c r="L6" s="1090" t="s">
        <v>8798</v>
      </c>
      <c r="M6" s="1090" t="s">
        <v>8790</v>
      </c>
      <c r="N6" s="1090" t="s">
        <v>8791</v>
      </c>
      <c r="O6" s="1090" t="s">
        <v>8792</v>
      </c>
      <c r="P6" s="1090" t="s">
        <v>8793</v>
      </c>
      <c r="Q6" s="1090" t="s">
        <v>8794</v>
      </c>
      <c r="R6" s="1118" t="s">
        <v>8795</v>
      </c>
      <c r="S6" s="5442"/>
      <c r="U6" s="553" t="s">
        <v>8799</v>
      </c>
      <c r="V6" s="553" t="s">
        <v>8787</v>
      </c>
      <c r="W6" s="553" t="s">
        <v>8788</v>
      </c>
      <c r="X6" s="553" t="s">
        <v>8789</v>
      </c>
      <c r="Y6" s="553" t="s">
        <v>8798</v>
      </c>
      <c r="Z6" s="553" t="s">
        <v>8790</v>
      </c>
      <c r="AA6" s="553" t="s">
        <v>8791</v>
      </c>
      <c r="AB6" s="553" t="s">
        <v>8792</v>
      </c>
      <c r="AC6" s="553" t="s">
        <v>8793</v>
      </c>
      <c r="AD6" s="553" t="s">
        <v>8794</v>
      </c>
      <c r="AE6" s="553" t="s">
        <v>8795</v>
      </c>
      <c r="AF6" s="553" t="s">
        <v>8801</v>
      </c>
      <c r="AG6" s="5440"/>
      <c r="AH6" s="2386" t="s">
        <v>8059</v>
      </c>
    </row>
    <row r="7" spans="1:62" ht="12.75" customHeight="1" x14ac:dyDescent="0.2">
      <c r="A7" s="2027">
        <v>7</v>
      </c>
      <c r="B7" s="2019">
        <f>IF(OR(S7=0),0,SUM($S$6:S7))</f>
        <v>0</v>
      </c>
      <c r="C7" s="1103"/>
      <c r="D7" s="519" t="s">
        <v>120</v>
      </c>
      <c r="E7" s="1095"/>
      <c r="F7" s="1096"/>
      <c r="G7" s="1096"/>
      <c r="H7" s="1097"/>
      <c r="I7" s="1095"/>
      <c r="J7" s="1095"/>
      <c r="K7" s="1095"/>
      <c r="L7" s="1095"/>
      <c r="M7" s="1095"/>
      <c r="N7" s="1095"/>
      <c r="O7" s="1095"/>
      <c r="P7" s="1095"/>
      <c r="Q7" s="1095"/>
      <c r="R7" s="1119"/>
      <c r="S7" s="2023">
        <f>S8</f>
        <v>0</v>
      </c>
      <c r="U7" s="1095" t="str">
        <f>IF(OR(G7="No",ISNUMBER(SEARCH("&gt;",#REF!))),"",INDEX($I$6:$R$6,SUMPRODUCT(--(ISNUMBER(SEARCH("Fatiga",$I7:$R7))))+1))</f>
        <v>RUT</v>
      </c>
      <c r="V7" s="2303"/>
      <c r="W7" s="2303"/>
      <c r="X7" s="2303"/>
      <c r="Y7" s="2303"/>
      <c r="Z7" s="2303"/>
      <c r="AA7" s="2303"/>
      <c r="AB7" s="2303"/>
      <c r="AC7" s="2303"/>
      <c r="AD7" s="2303"/>
      <c r="AE7" s="2303"/>
      <c r="AF7" s="2303">
        <f>IF(ISNUMBER(SEARCH("&gt;",#REF!)),0,COUNTIF(Psíquicos!$AD$16:$AH$61,#REF!))</f>
        <v>0</v>
      </c>
      <c r="AG7" s="1095" t="str">
        <f>IF(AF7=0,"",VLOOKUP(#REF!,Psíquicos!$AD$11:$AK$64,8,FALSE))</f>
        <v/>
      </c>
      <c r="AH7" s="2393"/>
      <c r="AI7" s="2387" t="s">
        <v>120</v>
      </c>
    </row>
    <row r="8" spans="1:62" ht="12.75" customHeight="1" x14ac:dyDescent="0.2">
      <c r="A8" s="2027">
        <v>8</v>
      </c>
      <c r="B8" s="2019">
        <f>IF(OR(S8=0),0,SUM($S$6:S8))</f>
        <v>0</v>
      </c>
      <c r="C8" s="1103"/>
      <c r="D8" s="521" t="s">
        <v>121</v>
      </c>
      <c r="E8" s="1095" t="s">
        <v>99</v>
      </c>
      <c r="F8" s="1096">
        <v>1</v>
      </c>
      <c r="G8" s="1096" t="s">
        <v>3010</v>
      </c>
      <c r="H8" s="1097" t="s">
        <v>1607</v>
      </c>
      <c r="I8" s="1095" t="s">
        <v>7140</v>
      </c>
      <c r="J8" s="1095" t="s">
        <v>7141</v>
      </c>
      <c r="K8" s="1095" t="s">
        <v>7142</v>
      </c>
      <c r="L8" s="1095" t="s">
        <v>7143</v>
      </c>
      <c r="M8" s="1095" t="s">
        <v>7144</v>
      </c>
      <c r="N8" s="1095" t="s">
        <v>7145</v>
      </c>
      <c r="O8" s="1095" t="s">
        <v>7146</v>
      </c>
      <c r="P8" s="1095" t="s">
        <v>7147</v>
      </c>
      <c r="Q8" s="1095" t="s">
        <v>7148</v>
      </c>
      <c r="R8" s="1119" t="s">
        <v>7149</v>
      </c>
      <c r="S8" s="2021">
        <f>IF(COUNTIF(Psíquicos!$C$25:$E$36,E8)=0,0,1)</f>
        <v>0</v>
      </c>
      <c r="U8" s="1095" t="str">
        <f>INDEX($I$6:$R$6,SUMPRODUCT(ISNUMBER(SEARCH("Fatiga",I8:R8))*1)+1)</f>
        <v>MED</v>
      </c>
      <c r="V8" s="2303"/>
      <c r="W8" s="2303"/>
      <c r="X8" s="2303" t="str">
        <f t="shared" ref="X8:AE8" si="0">MID(K8,5,LEN(K8))</f>
        <v>10</v>
      </c>
      <c r="Y8" s="2303" t="str">
        <f t="shared" si="0"/>
        <v>30</v>
      </c>
      <c r="Z8" s="2303" t="str">
        <f t="shared" si="0"/>
        <v>50</v>
      </c>
      <c r="AA8" s="2303" t="str">
        <f t="shared" si="0"/>
        <v>80</v>
      </c>
      <c r="AB8" s="2303" t="str">
        <f t="shared" si="0"/>
        <v>120</v>
      </c>
      <c r="AC8" s="2303" t="str">
        <f t="shared" si="0"/>
        <v>160</v>
      </c>
      <c r="AD8" s="2303" t="str">
        <f t="shared" si="0"/>
        <v>200</v>
      </c>
      <c r="AE8" s="2303" t="str">
        <f t="shared" si="0"/>
        <v>240</v>
      </c>
      <c r="AF8" s="2303">
        <f>IF(ISNUMBER(SEARCH("&gt;",#REF!)),0,COUNTIF(Psíquicos!$AD$16:$AH$61,#REF!))</f>
        <v>0</v>
      </c>
      <c r="AG8" s="1095" t="str">
        <f>IF(AF8=0,"",VLOOKUP(#REF!,Psíquicos!$AD$11:$AK$64,8,FALSE))</f>
        <v/>
      </c>
      <c r="AH8" s="2393">
        <f>VALUE(IF('Tablas psiquica'!$AF8&gt;0,INDEX('Tablas psiquica'!$V8:$AE8,MATCH('Tablas psiquica'!$AG8,'Tablas psiquica'!$V$6:$AE$6,0)),0))</f>
        <v>0</v>
      </c>
      <c r="AI8" s="2387" t="s">
        <v>121</v>
      </c>
    </row>
    <row r="9" spans="1:62" ht="12.75" customHeight="1" x14ac:dyDescent="0.2">
      <c r="A9" s="2027">
        <v>9</v>
      </c>
      <c r="B9" s="2019">
        <f>IF(OR(S9=0),0,SUM($S$6:S9))</f>
        <v>0</v>
      </c>
      <c r="C9" s="1103"/>
      <c r="D9" s="521" t="s">
        <v>122</v>
      </c>
      <c r="E9" s="1095" t="s">
        <v>99</v>
      </c>
      <c r="F9" s="1096">
        <v>1</v>
      </c>
      <c r="G9" s="1096" t="s">
        <v>3010</v>
      </c>
      <c r="H9" s="1097" t="s">
        <v>1606</v>
      </c>
      <c r="I9" s="1095" t="s">
        <v>7140</v>
      </c>
      <c r="J9" s="1095" t="s">
        <v>7141</v>
      </c>
      <c r="K9" s="1095" t="s">
        <v>7150</v>
      </c>
      <c r="L9" s="1095" t="s">
        <v>7151</v>
      </c>
      <c r="M9" s="1095" t="s">
        <v>7152</v>
      </c>
      <c r="N9" s="1095" t="s">
        <v>7153</v>
      </c>
      <c r="O9" s="1095" t="s">
        <v>7154</v>
      </c>
      <c r="P9" s="1095" t="s">
        <v>7155</v>
      </c>
      <c r="Q9" s="1095" t="s">
        <v>7156</v>
      </c>
      <c r="R9" s="1119" t="s">
        <v>7157</v>
      </c>
      <c r="S9" s="2021">
        <f>IF(COUNTIF(Psíquicos!$C$25:$E$36,E9)=0,0,1)</f>
        <v>0</v>
      </c>
      <c r="U9" s="1095" t="str">
        <f t="shared" ref="U9:U72" si="1">INDEX($I$6:$R$6,SUMPRODUCT(ISNUMBER(SEARCH("Fatiga",I9:R9))*1)+1)</f>
        <v>MED</v>
      </c>
      <c r="V9" s="2303"/>
      <c r="W9" s="2303"/>
      <c r="X9" s="2303"/>
      <c r="Y9" s="2303"/>
      <c r="Z9" s="2303"/>
      <c r="AA9" s="2303"/>
      <c r="AB9" s="2303"/>
      <c r="AC9" s="2303"/>
      <c r="AD9" s="2303"/>
      <c r="AE9" s="2303"/>
      <c r="AF9" s="2303">
        <f>IF(ISNUMBER(SEARCH("&gt;",#REF!)),0,COUNTIF(Psíquicos!$AD$16:$AH$61,#REF!))</f>
        <v>0</v>
      </c>
      <c r="AG9" s="1095" t="str">
        <f>IF(AF9=0,"",VLOOKUP(#REF!,Psíquicos!$AD$11:$AK$64,8,FALSE))</f>
        <v/>
      </c>
      <c r="AH9" s="2393"/>
      <c r="AI9" s="2388" t="s">
        <v>122</v>
      </c>
    </row>
    <row r="10" spans="1:62" ht="12.75" customHeight="1" x14ac:dyDescent="0.2">
      <c r="A10" s="2027">
        <v>10</v>
      </c>
      <c r="B10" s="2019">
        <f>IF(OR(S10=0),0,SUM($S$6:S10))</f>
        <v>0</v>
      </c>
      <c r="C10" s="1103"/>
      <c r="D10" s="521" t="s">
        <v>123</v>
      </c>
      <c r="E10" s="1095" t="s">
        <v>99</v>
      </c>
      <c r="F10" s="1096">
        <v>1</v>
      </c>
      <c r="G10" s="1096" t="s">
        <v>3010</v>
      </c>
      <c r="H10" s="1097" t="s">
        <v>1606</v>
      </c>
      <c r="I10" s="1095" t="s">
        <v>7140</v>
      </c>
      <c r="J10" s="1095" t="s">
        <v>7141</v>
      </c>
      <c r="K10" s="1095" t="s">
        <v>7158</v>
      </c>
      <c r="L10" s="1095" t="s">
        <v>7159</v>
      </c>
      <c r="M10" s="1095" t="s">
        <v>7160</v>
      </c>
      <c r="N10" s="1095" t="s">
        <v>7161</v>
      </c>
      <c r="O10" s="1095" t="s">
        <v>7162</v>
      </c>
      <c r="P10" s="1095" t="s">
        <v>7163</v>
      </c>
      <c r="Q10" s="1095" t="s">
        <v>7164</v>
      </c>
      <c r="R10" s="1119" t="s">
        <v>7165</v>
      </c>
      <c r="S10" s="2021">
        <f>IF(COUNTIF(Psíquicos!$C$25:$E$36,E10)=0,0,1)</f>
        <v>0</v>
      </c>
      <c r="U10" s="1095" t="str">
        <f t="shared" si="1"/>
        <v>MED</v>
      </c>
      <c r="V10" s="2303"/>
      <c r="W10" s="2303"/>
      <c r="X10" s="2303"/>
      <c r="Y10" s="2303"/>
      <c r="Z10" s="2303"/>
      <c r="AA10" s="2303"/>
      <c r="AB10" s="2303"/>
      <c r="AC10" s="2303"/>
      <c r="AD10" s="2303"/>
      <c r="AE10" s="2303"/>
      <c r="AF10" s="2303">
        <f>IF(ISNUMBER(SEARCH("&gt;",#REF!)),0,COUNTIF(Psíquicos!$AD$16:$AH$61,#REF!))</f>
        <v>0</v>
      </c>
      <c r="AG10" s="1095" t="str">
        <f>IF(AF10=0,"",VLOOKUP(#REF!,Psíquicos!$AD$11:$AK$64,8,FALSE))</f>
        <v/>
      </c>
      <c r="AH10" s="2393"/>
      <c r="AI10" s="2388" t="s">
        <v>123</v>
      </c>
    </row>
    <row r="11" spans="1:62" ht="12.75" customHeight="1" x14ac:dyDescent="0.2">
      <c r="A11" s="2027">
        <v>11</v>
      </c>
      <c r="B11" s="2019">
        <f>IF(OR(S11=0),0,SUM($S$6:S11))</f>
        <v>0</v>
      </c>
      <c r="C11" s="1103"/>
      <c r="D11" s="521" t="s">
        <v>124</v>
      </c>
      <c r="E11" s="1095" t="s">
        <v>99</v>
      </c>
      <c r="F11" s="1096">
        <v>1</v>
      </c>
      <c r="G11" s="1096" t="s">
        <v>3010</v>
      </c>
      <c r="H11" s="1097" t="s">
        <v>1606</v>
      </c>
      <c r="I11" s="1095" t="s">
        <v>7166</v>
      </c>
      <c r="J11" s="1095" t="s">
        <v>7141</v>
      </c>
      <c r="K11" s="1095" t="s">
        <v>7167</v>
      </c>
      <c r="L11" s="1095" t="s">
        <v>7168</v>
      </c>
      <c r="M11" s="1095" t="s">
        <v>7169</v>
      </c>
      <c r="N11" s="1095" t="s">
        <v>7170</v>
      </c>
      <c r="O11" s="1095" t="s">
        <v>7171</v>
      </c>
      <c r="P11" s="1095" t="s">
        <v>7172</v>
      </c>
      <c r="Q11" s="1095" t="s">
        <v>7173</v>
      </c>
      <c r="R11" s="1119" t="s">
        <v>7174</v>
      </c>
      <c r="S11" s="2021">
        <f>IF(COUNTIF(Psíquicos!$C$25:$E$36,E11)=0,0,1)</f>
        <v>0</v>
      </c>
      <c r="U11" s="1095" t="str">
        <f t="shared" si="1"/>
        <v>MED</v>
      </c>
      <c r="V11" s="2303"/>
      <c r="W11" s="2303"/>
      <c r="X11" s="2303"/>
      <c r="Y11" s="2303"/>
      <c r="Z11" s="2303"/>
      <c r="AA11" s="2303"/>
      <c r="AB11" s="2303"/>
      <c r="AC11" s="2303"/>
      <c r="AD11" s="2303"/>
      <c r="AE11" s="2303"/>
      <c r="AF11" s="2303">
        <f>IF(ISNUMBER(SEARCH("&gt;",#REF!)),0,COUNTIF(Psíquicos!$AD$16:$AH$61,#REF!))</f>
        <v>0</v>
      </c>
      <c r="AG11" s="1095" t="str">
        <f>IF(AF11=0,"",VLOOKUP(#REF!,Psíquicos!$AD$11:$AK$64,8,FALSE))</f>
        <v/>
      </c>
      <c r="AH11" s="2393"/>
      <c r="AI11" s="2388" t="s">
        <v>124</v>
      </c>
    </row>
    <row r="12" spans="1:62" ht="12.75" customHeight="1" x14ac:dyDescent="0.2">
      <c r="A12" s="2027">
        <v>12</v>
      </c>
      <c r="B12" s="2019">
        <f>IF(OR(S12=0),0,SUM($S$6:S12))</f>
        <v>0</v>
      </c>
      <c r="C12" s="1103"/>
      <c r="D12" s="521" t="s">
        <v>125</v>
      </c>
      <c r="E12" s="1095" t="s">
        <v>99</v>
      </c>
      <c r="F12" s="1096">
        <v>1</v>
      </c>
      <c r="G12" s="1096" t="s">
        <v>3010</v>
      </c>
      <c r="H12" s="1097" t="s">
        <v>1606</v>
      </c>
      <c r="I12" s="1095" t="s">
        <v>7140</v>
      </c>
      <c r="J12" s="1095" t="s">
        <v>7141</v>
      </c>
      <c r="K12" s="1095" t="s">
        <v>7175</v>
      </c>
      <c r="L12" s="1095" t="s">
        <v>7158</v>
      </c>
      <c r="M12" s="1095" t="s">
        <v>7159</v>
      </c>
      <c r="N12" s="1095" t="s">
        <v>7160</v>
      </c>
      <c r="O12" s="1095" t="s">
        <v>7161</v>
      </c>
      <c r="P12" s="1095" t="s">
        <v>7162</v>
      </c>
      <c r="Q12" s="1095" t="s">
        <v>7163</v>
      </c>
      <c r="R12" s="1119" t="s">
        <v>7164</v>
      </c>
      <c r="S12" s="2021">
        <f>IF(COUNTIF(Psíquicos!$C$25:$E$36,E12)=0,0,1)</f>
        <v>0</v>
      </c>
      <c r="U12" s="1095" t="str">
        <f t="shared" si="1"/>
        <v>MED</v>
      </c>
      <c r="V12" s="2303"/>
      <c r="W12" s="2303"/>
      <c r="X12" s="2303"/>
      <c r="Y12" s="2303"/>
      <c r="Z12" s="2303"/>
      <c r="AA12" s="2303"/>
      <c r="AB12" s="2303"/>
      <c r="AC12" s="2303"/>
      <c r="AD12" s="2303"/>
      <c r="AE12" s="2303"/>
      <c r="AF12" s="2303">
        <f>IF(ISNUMBER(SEARCH("&gt;",#REF!)),0,COUNTIF(Psíquicos!$AD$16:$AH$61,#REF!))</f>
        <v>0</v>
      </c>
      <c r="AG12" s="1095" t="str">
        <f>IF(AF12=0,"",VLOOKUP(#REF!,Psíquicos!$AD$11:$AK$64,8,FALSE))</f>
        <v/>
      </c>
      <c r="AH12" s="2393"/>
      <c r="AI12" s="2388" t="s">
        <v>125</v>
      </c>
    </row>
    <row r="13" spans="1:62" ht="12.75" customHeight="1" x14ac:dyDescent="0.2">
      <c r="A13" s="2027">
        <v>13</v>
      </c>
      <c r="B13" s="2019">
        <f>IF(OR(S13=0),0,SUM($S$6:S13))</f>
        <v>0</v>
      </c>
      <c r="C13" s="1103"/>
      <c r="D13" s="521" t="s">
        <v>126</v>
      </c>
      <c r="E13" s="1095" t="s">
        <v>99</v>
      </c>
      <c r="F13" s="1096">
        <v>1</v>
      </c>
      <c r="G13" s="1096" t="s">
        <v>3010</v>
      </c>
      <c r="H13" s="1097" t="s">
        <v>1606</v>
      </c>
      <c r="I13" s="1095" t="s">
        <v>7176</v>
      </c>
      <c r="J13" s="1095" t="s">
        <v>7140</v>
      </c>
      <c r="K13" s="1095" t="s">
        <v>7175</v>
      </c>
      <c r="L13" s="1095" t="s">
        <v>7158</v>
      </c>
      <c r="M13" s="1095" t="s">
        <v>7159</v>
      </c>
      <c r="N13" s="1095" t="s">
        <v>7160</v>
      </c>
      <c r="O13" s="1095" t="s">
        <v>7161</v>
      </c>
      <c r="P13" s="1095" t="s">
        <v>7162</v>
      </c>
      <c r="Q13" s="1095" t="s">
        <v>7163</v>
      </c>
      <c r="R13" s="1119" t="s">
        <v>7164</v>
      </c>
      <c r="S13" s="2021">
        <f>IF(COUNTIF(Psíquicos!$C$25:$E$36,E13)=0,0,1)</f>
        <v>0</v>
      </c>
      <c r="U13" s="1095" t="str">
        <f t="shared" si="1"/>
        <v>MED</v>
      </c>
      <c r="V13" s="2303"/>
      <c r="W13" s="2303"/>
      <c r="X13" s="2303"/>
      <c r="Y13" s="2303"/>
      <c r="Z13" s="2303"/>
      <c r="AA13" s="2303"/>
      <c r="AB13" s="2303"/>
      <c r="AC13" s="2303"/>
      <c r="AD13" s="2303"/>
      <c r="AE13" s="2303"/>
      <c r="AF13" s="2303">
        <f>IF(ISNUMBER(SEARCH("&gt;",#REF!)),0,COUNTIF(Psíquicos!$AD$16:$AH$61,#REF!))</f>
        <v>0</v>
      </c>
      <c r="AG13" s="1095" t="str">
        <f>IF(AF13=0,"",VLOOKUP(#REF!,Psíquicos!$AD$11:$AK$64,8,FALSE))</f>
        <v/>
      </c>
      <c r="AH13" s="2393"/>
      <c r="AI13" s="2388" t="s">
        <v>126</v>
      </c>
    </row>
    <row r="14" spans="1:62" ht="12.75" customHeight="1" x14ac:dyDescent="0.2">
      <c r="A14" s="2027">
        <v>14</v>
      </c>
      <c r="B14" s="2019">
        <f>IF(OR(S14=0),0,SUM($S$6:S14))</f>
        <v>0</v>
      </c>
      <c r="C14" s="1103"/>
      <c r="D14" s="521" t="s">
        <v>127</v>
      </c>
      <c r="E14" s="1095" t="s">
        <v>99</v>
      </c>
      <c r="F14" s="1096">
        <v>2</v>
      </c>
      <c r="G14" s="1096" t="s">
        <v>3010</v>
      </c>
      <c r="H14" s="1097" t="s">
        <v>1606</v>
      </c>
      <c r="I14" s="1095" t="s">
        <v>7177</v>
      </c>
      <c r="J14" s="1095" t="s">
        <v>7176</v>
      </c>
      <c r="K14" s="1095" t="s">
        <v>7140</v>
      </c>
      <c r="L14" s="1095" t="s">
        <v>7158</v>
      </c>
      <c r="M14" s="1095" t="s">
        <v>7159</v>
      </c>
      <c r="N14" s="1095" t="s">
        <v>7160</v>
      </c>
      <c r="O14" s="1095" t="s">
        <v>7161</v>
      </c>
      <c r="P14" s="1095" t="s">
        <v>7162</v>
      </c>
      <c r="Q14" s="1095" t="s">
        <v>7163</v>
      </c>
      <c r="R14" s="1119" t="s">
        <v>7165</v>
      </c>
      <c r="S14" s="2021">
        <f>IF(COUNTIF(Psíquicos!$C$25:$E$36,E14)=0,0,1)</f>
        <v>0</v>
      </c>
      <c r="U14" s="1095" t="str">
        <f t="shared" si="1"/>
        <v>DIF</v>
      </c>
      <c r="V14" s="2303"/>
      <c r="W14" s="2303"/>
      <c r="X14" s="2303"/>
      <c r="Y14" s="2303"/>
      <c r="Z14" s="2303"/>
      <c r="AA14" s="2303"/>
      <c r="AB14" s="2303"/>
      <c r="AC14" s="2303"/>
      <c r="AD14" s="2303"/>
      <c r="AE14" s="2303"/>
      <c r="AF14" s="2303">
        <f>IF(ISNUMBER(SEARCH("&gt;",#REF!)),0,COUNTIF(Psíquicos!$AD$16:$AH$61,#REF!))</f>
        <v>0</v>
      </c>
      <c r="AG14" s="1095" t="str">
        <f>IF(AF14=0,"",VLOOKUP(#REF!,Psíquicos!$AD$11:$AK$64,8,FALSE))</f>
        <v/>
      </c>
      <c r="AH14" s="2393"/>
      <c r="AI14" s="2388" t="s">
        <v>127</v>
      </c>
    </row>
    <row r="15" spans="1:62" ht="12.75" customHeight="1" x14ac:dyDescent="0.2">
      <c r="A15" s="2027">
        <v>15</v>
      </c>
      <c r="B15" s="2019">
        <f>IF(OR(S15=0),0,SUM($S$6:S15))</f>
        <v>0</v>
      </c>
      <c r="C15" s="1103"/>
      <c r="D15" s="521" t="s">
        <v>128</v>
      </c>
      <c r="E15" s="1095" t="s">
        <v>99</v>
      </c>
      <c r="F15" s="1096">
        <v>2</v>
      </c>
      <c r="G15" s="1096" t="s">
        <v>1690</v>
      </c>
      <c r="H15" s="1097" t="s">
        <v>1606</v>
      </c>
      <c r="I15" s="1095" t="s">
        <v>7178</v>
      </c>
      <c r="J15" s="1095" t="s">
        <v>7176</v>
      </c>
      <c r="K15" s="1095" t="s">
        <v>7140</v>
      </c>
      <c r="L15" s="1095" t="s">
        <v>7159</v>
      </c>
      <c r="M15" s="1095" t="s">
        <v>7160</v>
      </c>
      <c r="N15" s="1095" t="s">
        <v>7161</v>
      </c>
      <c r="O15" s="1095" t="s">
        <v>7162</v>
      </c>
      <c r="P15" s="1095" t="s">
        <v>7163</v>
      </c>
      <c r="Q15" s="1095" t="s">
        <v>7164</v>
      </c>
      <c r="R15" s="1119" t="s">
        <v>7179</v>
      </c>
      <c r="S15" s="2021">
        <f>IF(COUNTIF(Psíquicos!$C$25:$E$36,E15)=0,0,1)</f>
        <v>0</v>
      </c>
      <c r="U15" s="1095" t="str">
        <f t="shared" si="1"/>
        <v>DIF</v>
      </c>
      <c r="V15" s="2303"/>
      <c r="W15" s="2303"/>
      <c r="X15" s="2303"/>
      <c r="Y15" s="2303"/>
      <c r="Z15" s="2303"/>
      <c r="AA15" s="2303"/>
      <c r="AB15" s="2303"/>
      <c r="AC15" s="2303"/>
      <c r="AD15" s="2303"/>
      <c r="AE15" s="2303"/>
      <c r="AF15" s="2303">
        <f>IF(ISNUMBER(SEARCH("&gt;",#REF!)),0,COUNTIF(Psíquicos!$AD$16:$AH$61,#REF!))</f>
        <v>0</v>
      </c>
      <c r="AG15" s="1095" t="str">
        <f>IF(AF15=0,"",VLOOKUP(#REF!,Psíquicos!$AD$11:$AK$64,8,FALSE))</f>
        <v/>
      </c>
      <c r="AH15" s="2393"/>
      <c r="AI15" s="2388" t="s">
        <v>128</v>
      </c>
    </row>
    <row r="16" spans="1:62" ht="12.75" customHeight="1" x14ac:dyDescent="0.2">
      <c r="A16" s="2027">
        <v>16</v>
      </c>
      <c r="B16" s="2019">
        <f>IF(OR(S16=0),0,SUM($S$6:S16))</f>
        <v>0</v>
      </c>
      <c r="C16" s="1103"/>
      <c r="D16" s="521" t="s">
        <v>129</v>
      </c>
      <c r="E16" s="1095" t="s">
        <v>99</v>
      </c>
      <c r="F16" s="1096">
        <v>2</v>
      </c>
      <c r="G16" s="1096" t="s">
        <v>3010</v>
      </c>
      <c r="H16" s="1097" t="s">
        <v>1606</v>
      </c>
      <c r="I16" s="1095" t="s">
        <v>7177</v>
      </c>
      <c r="J16" s="1095" t="s">
        <v>7176</v>
      </c>
      <c r="K16" s="1095" t="s">
        <v>7140</v>
      </c>
      <c r="L16" s="1095" t="s">
        <v>7150</v>
      </c>
      <c r="M16" s="1095" t="s">
        <v>7151</v>
      </c>
      <c r="N16" s="1095" t="s">
        <v>7152</v>
      </c>
      <c r="O16" s="1095" t="s">
        <v>7153</v>
      </c>
      <c r="P16" s="1095" t="s">
        <v>7154</v>
      </c>
      <c r="Q16" s="1095" t="s">
        <v>7155</v>
      </c>
      <c r="R16" s="1119" t="s">
        <v>7157</v>
      </c>
      <c r="S16" s="2021">
        <f>IF(COUNTIF(Psíquicos!$C$25:$E$36,E16)=0,0,1)</f>
        <v>0</v>
      </c>
      <c r="U16" s="1095" t="str">
        <f t="shared" si="1"/>
        <v>DIF</v>
      </c>
      <c r="V16" s="2303"/>
      <c r="W16" s="2303"/>
      <c r="X16" s="2303"/>
      <c r="Y16" s="2303"/>
      <c r="Z16" s="2303"/>
      <c r="AA16" s="2303"/>
      <c r="AB16" s="2303"/>
      <c r="AC16" s="2303"/>
      <c r="AD16" s="2303"/>
      <c r="AE16" s="2303"/>
      <c r="AF16" s="2303">
        <f>IF(ISNUMBER(SEARCH("&gt;",#REF!)),0,COUNTIF(Psíquicos!$AD$16:$AH$61,#REF!))</f>
        <v>0</v>
      </c>
      <c r="AG16" s="1095" t="str">
        <f>IF(AF16=0,"",VLOOKUP(#REF!,Psíquicos!$AD$11:$AK$64,8,FALSE))</f>
        <v/>
      </c>
      <c r="AH16" s="2393"/>
      <c r="AI16" s="2388" t="s">
        <v>129</v>
      </c>
    </row>
    <row r="17" spans="1:35" ht="12.75" customHeight="1" x14ac:dyDescent="0.2">
      <c r="A17" s="2027">
        <v>17</v>
      </c>
      <c r="B17" s="2019">
        <f>IF(OR(S17=0),0,SUM($S$6:S17))</f>
        <v>0</v>
      </c>
      <c r="C17" s="1103"/>
      <c r="D17" s="521" t="s">
        <v>130</v>
      </c>
      <c r="E17" s="1095" t="s">
        <v>99</v>
      </c>
      <c r="F17" s="1096">
        <v>2</v>
      </c>
      <c r="G17" s="1096" t="s">
        <v>1690</v>
      </c>
      <c r="H17" s="1097" t="s">
        <v>1606</v>
      </c>
      <c r="I17" s="1095" t="s">
        <v>7178</v>
      </c>
      <c r="J17" s="1095" t="s">
        <v>7177</v>
      </c>
      <c r="K17" s="1095" t="s">
        <v>7176</v>
      </c>
      <c r="L17" s="1095" t="s">
        <v>7140</v>
      </c>
      <c r="M17" s="1095" t="s">
        <v>7158</v>
      </c>
      <c r="N17" s="1095" t="s">
        <v>7159</v>
      </c>
      <c r="O17" s="1095" t="s">
        <v>7160</v>
      </c>
      <c r="P17" s="1095" t="s">
        <v>7161</v>
      </c>
      <c r="Q17" s="1095" t="s">
        <v>7162</v>
      </c>
      <c r="R17" s="1119" t="s">
        <v>7163</v>
      </c>
      <c r="S17" s="2021">
        <f>IF(COUNTIF(Psíquicos!$C$25:$E$36,E17)=0,0,1)</f>
        <v>0</v>
      </c>
      <c r="U17" s="1095" t="str">
        <f t="shared" si="1"/>
        <v>MDF</v>
      </c>
      <c r="V17" s="2303"/>
      <c r="W17" s="2303"/>
      <c r="X17" s="2303"/>
      <c r="Y17" s="2303"/>
      <c r="Z17" s="2303"/>
      <c r="AA17" s="2303"/>
      <c r="AB17" s="2303"/>
      <c r="AC17" s="2303"/>
      <c r="AD17" s="2303"/>
      <c r="AE17" s="2303"/>
      <c r="AF17" s="2303">
        <f>IF(ISNUMBER(SEARCH("&gt;",#REF!)),0,COUNTIF(Psíquicos!$AD$16:$AH$61,#REF!))</f>
        <v>0</v>
      </c>
      <c r="AG17" s="1095" t="str">
        <f>IF(AF17=0,"",VLOOKUP(#REF!,Psíquicos!$AD$11:$AK$64,8,FALSE))</f>
        <v/>
      </c>
      <c r="AH17" s="2393"/>
      <c r="AI17" s="2388" t="s">
        <v>130</v>
      </c>
    </row>
    <row r="18" spans="1:35" ht="12.75" customHeight="1" x14ac:dyDescent="0.2">
      <c r="A18" s="2027">
        <v>18</v>
      </c>
      <c r="B18" s="2019">
        <f>IF(OR(S18=0),0,SUM($S$6:S18))</f>
        <v>0</v>
      </c>
      <c r="C18" s="1103"/>
      <c r="D18" s="521" t="s">
        <v>131</v>
      </c>
      <c r="E18" s="1095" t="s">
        <v>99</v>
      </c>
      <c r="F18" s="1096">
        <v>2</v>
      </c>
      <c r="G18" s="1096" t="s">
        <v>3010</v>
      </c>
      <c r="H18" s="1097" t="s">
        <v>1606</v>
      </c>
      <c r="I18" s="1095" t="s">
        <v>7178</v>
      </c>
      <c r="J18" s="1095" t="s">
        <v>7177</v>
      </c>
      <c r="K18" s="1095" t="s">
        <v>7176</v>
      </c>
      <c r="L18" s="1095" t="s">
        <v>7140</v>
      </c>
      <c r="M18" s="1095" t="s">
        <v>7180</v>
      </c>
      <c r="N18" s="1095" t="s">
        <v>7181</v>
      </c>
      <c r="O18" s="1095" t="s">
        <v>7182</v>
      </c>
      <c r="P18" s="1095" t="s">
        <v>7183</v>
      </c>
      <c r="Q18" s="1095" t="s">
        <v>7184</v>
      </c>
      <c r="R18" s="1119" t="s">
        <v>7157</v>
      </c>
      <c r="S18" s="2021">
        <f>IF(COUNTIF(Psíquicos!$C$25:$E$36,E18)=0,0,1)</f>
        <v>0</v>
      </c>
      <c r="U18" s="1095" t="str">
        <f t="shared" si="1"/>
        <v>MDF</v>
      </c>
      <c r="V18" s="2303"/>
      <c r="W18" s="2303"/>
      <c r="X18" s="2303"/>
      <c r="Y18" s="2303"/>
      <c r="Z18" s="2303"/>
      <c r="AA18" s="2303"/>
      <c r="AB18" s="2303"/>
      <c r="AC18" s="2303"/>
      <c r="AD18" s="2303"/>
      <c r="AE18" s="2303"/>
      <c r="AF18" s="2303">
        <f>IF(ISNUMBER(SEARCH("&gt;",#REF!)),0,COUNTIF(Psíquicos!$AD$16:$AH$61,#REF!))</f>
        <v>0</v>
      </c>
      <c r="AG18" s="1095" t="str">
        <f>IF(AF18=0,"",VLOOKUP(#REF!,Psíquicos!$AD$11:$AK$64,8,FALSE))</f>
        <v/>
      </c>
      <c r="AH18" s="2393"/>
      <c r="AI18" s="2388" t="s">
        <v>131</v>
      </c>
    </row>
    <row r="19" spans="1:35" ht="12.75" customHeight="1" x14ac:dyDescent="0.2">
      <c r="A19" s="2027">
        <v>19</v>
      </c>
      <c r="B19" s="2019">
        <f>IF(OR(S19=0),0,SUM($S$6:S19))</f>
        <v>0</v>
      </c>
      <c r="C19" s="1103"/>
      <c r="D19" s="521" t="s">
        <v>132</v>
      </c>
      <c r="E19" s="1095" t="s">
        <v>99</v>
      </c>
      <c r="F19" s="1096">
        <v>2</v>
      </c>
      <c r="G19" s="1096" t="s">
        <v>3010</v>
      </c>
      <c r="H19" s="1097" t="s">
        <v>1606</v>
      </c>
      <c r="I19" s="1095" t="s">
        <v>7178</v>
      </c>
      <c r="J19" s="1095" t="s">
        <v>7177</v>
      </c>
      <c r="K19" s="1095" t="s">
        <v>7176</v>
      </c>
      <c r="L19" s="1095" t="s">
        <v>7140</v>
      </c>
      <c r="M19" s="1095" t="s">
        <v>7185</v>
      </c>
      <c r="N19" s="1095" t="s">
        <v>7186</v>
      </c>
      <c r="O19" s="1095" t="s">
        <v>7187</v>
      </c>
      <c r="P19" s="1095" t="s">
        <v>7188</v>
      </c>
      <c r="Q19" s="1095" t="s">
        <v>7189</v>
      </c>
      <c r="R19" s="1119" t="s">
        <v>7190</v>
      </c>
      <c r="S19" s="2021">
        <f>IF(COUNTIF(Psíquicos!$C$25:$E$36,E19)=0,0,1)</f>
        <v>0</v>
      </c>
      <c r="U19" s="1095" t="str">
        <f t="shared" si="1"/>
        <v>MDF</v>
      </c>
      <c r="V19" s="2303"/>
      <c r="W19" s="2303"/>
      <c r="X19" s="2303"/>
      <c r="Y19" s="2303"/>
      <c r="Z19" s="2303"/>
      <c r="AA19" s="2303"/>
      <c r="AB19" s="2303"/>
      <c r="AC19" s="2303"/>
      <c r="AD19" s="2303"/>
      <c r="AE19" s="2303"/>
      <c r="AF19" s="2303">
        <f>IF(ISNUMBER(SEARCH("&gt;",#REF!)),0,COUNTIF(Psíquicos!$AD$16:$AH$61,#REF!))</f>
        <v>0</v>
      </c>
      <c r="AG19" s="1095" t="str">
        <f>IF(AF19=0,"",VLOOKUP(#REF!,Psíquicos!$AD$11:$AK$64,8,FALSE))</f>
        <v/>
      </c>
      <c r="AH19" s="2393"/>
      <c r="AI19" s="2388" t="s">
        <v>132</v>
      </c>
    </row>
    <row r="20" spans="1:35" ht="12.75" customHeight="1" x14ac:dyDescent="0.2">
      <c r="A20" s="2027">
        <v>20</v>
      </c>
      <c r="B20" s="2019">
        <f>IF(OR(S20=0),0,SUM($S$6:S20))</f>
        <v>0</v>
      </c>
      <c r="C20" s="1103"/>
      <c r="D20" s="521" t="s">
        <v>133</v>
      </c>
      <c r="E20" s="1095" t="s">
        <v>99</v>
      </c>
      <c r="F20" s="1096">
        <v>3</v>
      </c>
      <c r="G20" s="1096" t="s">
        <v>3010</v>
      </c>
      <c r="H20" s="1097" t="s">
        <v>1606</v>
      </c>
      <c r="I20" s="1095" t="s">
        <v>7191</v>
      </c>
      <c r="J20" s="1095" t="s">
        <v>7178</v>
      </c>
      <c r="K20" s="1095" t="s">
        <v>7177</v>
      </c>
      <c r="L20" s="1095" t="s">
        <v>7176</v>
      </c>
      <c r="M20" s="1095" t="s">
        <v>7158</v>
      </c>
      <c r="N20" s="1095" t="s">
        <v>7159</v>
      </c>
      <c r="O20" s="1095" t="s">
        <v>7160</v>
      </c>
      <c r="P20" s="1095" t="s">
        <v>7161</v>
      </c>
      <c r="Q20" s="1095" t="s">
        <v>7162</v>
      </c>
      <c r="R20" s="1119" t="s">
        <v>7164</v>
      </c>
      <c r="S20" s="2021">
        <f>IF(COUNTIF(Psíquicos!$C$25:$E$36,E20)=0,0,1)</f>
        <v>0</v>
      </c>
      <c r="U20" s="1095" t="str">
        <f t="shared" si="1"/>
        <v>MDF</v>
      </c>
      <c r="V20" s="2303"/>
      <c r="W20" s="2303"/>
      <c r="X20" s="2303"/>
      <c r="Y20" s="2303"/>
      <c r="Z20" s="2303"/>
      <c r="AA20" s="2303"/>
      <c r="AB20" s="2303"/>
      <c r="AC20" s="2303"/>
      <c r="AD20" s="2303"/>
      <c r="AE20" s="2303"/>
      <c r="AF20" s="2303">
        <f>IF(ISNUMBER(SEARCH("&gt;",#REF!)),0,COUNTIF(Psíquicos!$AD$16:$AH$61,#REF!))</f>
        <v>0</v>
      </c>
      <c r="AG20" s="1095" t="str">
        <f>IF(AF20=0,"",VLOOKUP(#REF!,Psíquicos!$AD$11:$AK$64,8,FALSE))</f>
        <v/>
      </c>
      <c r="AH20" s="2393"/>
      <c r="AI20" s="2388" t="s">
        <v>133</v>
      </c>
    </row>
    <row r="21" spans="1:35" ht="12.75" customHeight="1" x14ac:dyDescent="0.2">
      <c r="A21" s="2027">
        <v>21</v>
      </c>
      <c r="B21" s="2019">
        <f>IF(OR(S21=0),0,SUM($S$6:S21))</f>
        <v>0</v>
      </c>
      <c r="C21" s="1103"/>
      <c r="D21" s="521" t="s">
        <v>134</v>
      </c>
      <c r="E21" s="1095" t="s">
        <v>99</v>
      </c>
      <c r="F21" s="1096">
        <v>3</v>
      </c>
      <c r="G21" s="1096" t="s">
        <v>1690</v>
      </c>
      <c r="H21" s="1097" t="s">
        <v>1606</v>
      </c>
      <c r="I21" s="1095" t="s">
        <v>7192</v>
      </c>
      <c r="J21" s="1095" t="s">
        <v>7191</v>
      </c>
      <c r="K21" s="1095" t="s">
        <v>7178</v>
      </c>
      <c r="L21" s="1095" t="s">
        <v>7177</v>
      </c>
      <c r="M21" s="1095" t="s">
        <v>7176</v>
      </c>
      <c r="N21" s="1095" t="s">
        <v>7160</v>
      </c>
      <c r="O21" s="1095" t="s">
        <v>7161</v>
      </c>
      <c r="P21" s="1095" t="s">
        <v>7162</v>
      </c>
      <c r="Q21" s="1095" t="s">
        <v>7164</v>
      </c>
      <c r="R21" s="1119" t="s">
        <v>7165</v>
      </c>
      <c r="S21" s="2021">
        <f>IF(COUNTIF(Psíquicos!$C$25:$E$36,E21)=0,0,1)</f>
        <v>0</v>
      </c>
      <c r="U21" s="1095" t="str">
        <f t="shared" si="1"/>
        <v>ABS</v>
      </c>
      <c r="V21" s="2303"/>
      <c r="W21" s="2303"/>
      <c r="X21" s="2303"/>
      <c r="Y21" s="2303"/>
      <c r="Z21" s="2303"/>
      <c r="AA21" s="2303"/>
      <c r="AB21" s="2303"/>
      <c r="AC21" s="2303"/>
      <c r="AD21" s="2303"/>
      <c r="AE21" s="2303"/>
      <c r="AF21" s="2303">
        <f>IF(ISNUMBER(SEARCH("&gt;",#REF!)),0,COUNTIF(Psíquicos!$AD$16:$AH$61,#REF!))</f>
        <v>0</v>
      </c>
      <c r="AG21" s="1095" t="str">
        <f>IF(AF21=0,"",VLOOKUP(#REF!,Psíquicos!$AD$11:$AK$64,8,FALSE))</f>
        <v/>
      </c>
      <c r="AH21" s="2393"/>
      <c r="AI21" s="2388" t="s">
        <v>134</v>
      </c>
    </row>
    <row r="22" spans="1:35" ht="12.75" customHeight="1" x14ac:dyDescent="0.2">
      <c r="A22" s="2027">
        <v>22</v>
      </c>
      <c r="B22" s="2019">
        <f>IF(OR(S22=0),0,SUM($S$6:S22))</f>
        <v>0</v>
      </c>
      <c r="C22" s="1103"/>
      <c r="D22" s="521" t="s">
        <v>135</v>
      </c>
      <c r="E22" s="1095" t="s">
        <v>99</v>
      </c>
      <c r="F22" s="1096">
        <v>3</v>
      </c>
      <c r="G22" s="1096" t="s">
        <v>3010</v>
      </c>
      <c r="H22" s="1097" t="s">
        <v>1606</v>
      </c>
      <c r="I22" s="1095" t="s">
        <v>7192</v>
      </c>
      <c r="J22" s="1095" t="s">
        <v>7191</v>
      </c>
      <c r="K22" s="1095" t="s">
        <v>7178</v>
      </c>
      <c r="L22" s="1095" t="s">
        <v>7176</v>
      </c>
      <c r="M22" s="1095" t="s">
        <v>7193</v>
      </c>
      <c r="N22" s="1095" t="s">
        <v>7150</v>
      </c>
      <c r="O22" s="1095" t="s">
        <v>7152</v>
      </c>
      <c r="P22" s="1095" t="s">
        <v>7153</v>
      </c>
      <c r="Q22" s="1095" t="s">
        <v>7154</v>
      </c>
      <c r="R22" s="1119" t="s">
        <v>7194</v>
      </c>
      <c r="S22" s="2021">
        <f>IF(COUNTIF(Psíquicos!$C$25:$E$36,E22)=0,0,1)</f>
        <v>0</v>
      </c>
      <c r="U22" s="1095" t="str">
        <f t="shared" si="1"/>
        <v>MDF</v>
      </c>
      <c r="V22" s="2303"/>
      <c r="W22" s="2303"/>
      <c r="X22" s="2303"/>
      <c r="Y22" s="2303"/>
      <c r="Z22" s="2303"/>
      <c r="AA22" s="2303"/>
      <c r="AB22" s="2303"/>
      <c r="AC22" s="2303"/>
      <c r="AD22" s="2303"/>
      <c r="AE22" s="2303"/>
      <c r="AF22" s="2303">
        <f>IF(ISNUMBER(SEARCH("&gt;",#REF!)),0,COUNTIF(Psíquicos!$AD$16:$AH$61,#REF!))</f>
        <v>0</v>
      </c>
      <c r="AG22" s="1095" t="str">
        <f>IF(AF22=0,"",VLOOKUP(#REF!,Psíquicos!$AD$11:$AK$64,8,FALSE))</f>
        <v/>
      </c>
      <c r="AH22" s="2393"/>
      <c r="AI22" s="2388" t="s">
        <v>135</v>
      </c>
    </row>
    <row r="23" spans="1:35" ht="12.75" customHeight="1" x14ac:dyDescent="0.2">
      <c r="A23" s="2027">
        <v>23</v>
      </c>
      <c r="B23" s="2019">
        <f>IF(OR(S23=0),0,SUM($S$6:S23))</f>
        <v>0</v>
      </c>
      <c r="C23" s="1103"/>
      <c r="D23" s="521" t="s">
        <v>136</v>
      </c>
      <c r="E23" s="1095"/>
      <c r="F23" s="1096"/>
      <c r="G23" s="1096"/>
      <c r="H23" s="1097"/>
      <c r="I23" s="1095"/>
      <c r="J23" s="1095"/>
      <c r="K23" s="1095"/>
      <c r="L23" s="1095"/>
      <c r="M23" s="1095"/>
      <c r="N23" s="1095"/>
      <c r="O23" s="1095"/>
      <c r="P23" s="1095"/>
      <c r="Q23" s="1095"/>
      <c r="R23" s="1119"/>
      <c r="S23" s="2021">
        <f>S24</f>
        <v>0</v>
      </c>
      <c r="U23" s="1095"/>
      <c r="V23" s="2303"/>
      <c r="W23" s="2303"/>
      <c r="X23" s="2303"/>
      <c r="Y23" s="2303"/>
      <c r="Z23" s="2303"/>
      <c r="AA23" s="2303"/>
      <c r="AB23" s="2303"/>
      <c r="AC23" s="2303"/>
      <c r="AD23" s="2303"/>
      <c r="AE23" s="2303"/>
      <c r="AF23" s="2303">
        <f>IF(ISNUMBER(SEARCH("&gt;",#REF!)),0,COUNTIF(Psíquicos!$AD$16:$AH$61,#REF!))</f>
        <v>0</v>
      </c>
      <c r="AG23" s="1095" t="str">
        <f>IF(AF23=0,"",VLOOKUP(#REF!,Psíquicos!$AD$11:$AK$64,8,FALSE))</f>
        <v/>
      </c>
      <c r="AH23" s="2393"/>
      <c r="AI23" s="2388" t="s">
        <v>136</v>
      </c>
    </row>
    <row r="24" spans="1:35" ht="12.75" customHeight="1" x14ac:dyDescent="0.2">
      <c r="A24" s="2027">
        <v>24</v>
      </c>
      <c r="B24" s="2019">
        <f>IF(OR(S24=0),0,SUM($S$6:S24))</f>
        <v>0</v>
      </c>
      <c r="C24" s="1103"/>
      <c r="D24" s="521" t="s">
        <v>137</v>
      </c>
      <c r="E24" s="1095" t="s">
        <v>101</v>
      </c>
      <c r="F24" s="1096">
        <v>1</v>
      </c>
      <c r="G24" s="1096" t="s">
        <v>3010</v>
      </c>
      <c r="H24" s="1097" t="s">
        <v>1606</v>
      </c>
      <c r="I24" s="1095" t="s">
        <v>7141</v>
      </c>
      <c r="J24" s="1095" t="s">
        <v>7195</v>
      </c>
      <c r="K24" s="1095" t="s">
        <v>7196</v>
      </c>
      <c r="L24" s="1095" t="s">
        <v>7197</v>
      </c>
      <c r="M24" s="1095" t="s">
        <v>7198</v>
      </c>
      <c r="N24" s="1095" t="s">
        <v>7199</v>
      </c>
      <c r="O24" s="1095" t="s">
        <v>7200</v>
      </c>
      <c r="P24" s="1095" t="s">
        <v>7201</v>
      </c>
      <c r="Q24" s="1095" t="s">
        <v>7202</v>
      </c>
      <c r="R24" s="1119" t="s">
        <v>7203</v>
      </c>
      <c r="S24" s="2021">
        <f>IF(COUNTIF(Psíquicos!$C$25:$E$36,E24)=0,0,1)</f>
        <v>0</v>
      </c>
      <c r="U24" s="1095" t="str">
        <f t="shared" si="1"/>
        <v>FAC</v>
      </c>
      <c r="V24" s="2303"/>
      <c r="W24" s="2303"/>
      <c r="X24" s="2303"/>
      <c r="Y24" s="2303"/>
      <c r="Z24" s="2303"/>
      <c r="AA24" s="2303"/>
      <c r="AB24" s="2303"/>
      <c r="AC24" s="2303"/>
      <c r="AD24" s="2303"/>
      <c r="AE24" s="2303"/>
      <c r="AF24" s="2303">
        <f>IF(ISNUMBER(SEARCH("&gt;",#REF!)),0,COUNTIF(Psíquicos!$AD$16:$AH$61,#REF!))</f>
        <v>0</v>
      </c>
      <c r="AG24" s="1095" t="str">
        <f>IF(AF24=0,"",VLOOKUP(#REF!,Psíquicos!$AD$11:$AK$64,8,FALSE))</f>
        <v/>
      </c>
      <c r="AH24" s="2393"/>
      <c r="AI24" s="2388" t="s">
        <v>137</v>
      </c>
    </row>
    <row r="25" spans="1:35" ht="12.75" customHeight="1" x14ac:dyDescent="0.2">
      <c r="A25" s="2027">
        <v>25</v>
      </c>
      <c r="B25" s="2019">
        <f>IF(OR(S25=0),0,SUM($S$6:S25))</f>
        <v>0</v>
      </c>
      <c r="C25" s="1103"/>
      <c r="D25" s="521" t="s">
        <v>138</v>
      </c>
      <c r="E25" s="1095" t="s">
        <v>101</v>
      </c>
      <c r="F25" s="1096">
        <v>1</v>
      </c>
      <c r="G25" s="1096" t="s">
        <v>1690</v>
      </c>
      <c r="H25" s="1097" t="s">
        <v>1606</v>
      </c>
      <c r="I25" s="1095" t="s">
        <v>7140</v>
      </c>
      <c r="J25" s="1095" t="s">
        <v>7141</v>
      </c>
      <c r="K25" s="1095" t="s">
        <v>7204</v>
      </c>
      <c r="L25" s="1095" t="s">
        <v>7205</v>
      </c>
      <c r="M25" s="1095" t="s">
        <v>7206</v>
      </c>
      <c r="N25" s="1095" t="s">
        <v>7207</v>
      </c>
      <c r="O25" s="1095" t="s">
        <v>7208</v>
      </c>
      <c r="P25" s="1095" t="s">
        <v>7209</v>
      </c>
      <c r="Q25" s="1095" t="s">
        <v>7210</v>
      </c>
      <c r="R25" s="1119" t="s">
        <v>7211</v>
      </c>
      <c r="S25" s="2021">
        <f>IF(COUNTIF(Psíquicos!$C$25:$E$36,E25)=0,0,1)</f>
        <v>0</v>
      </c>
      <c r="U25" s="1095" t="str">
        <f t="shared" si="1"/>
        <v>MED</v>
      </c>
      <c r="V25" s="2303"/>
      <c r="W25" s="2303"/>
      <c r="X25" s="2303"/>
      <c r="Y25" s="2303"/>
      <c r="Z25" s="2303"/>
      <c r="AA25" s="2303"/>
      <c r="AB25" s="2303"/>
      <c r="AC25" s="2303"/>
      <c r="AD25" s="2303"/>
      <c r="AE25" s="2303"/>
      <c r="AF25" s="2303">
        <f>IF(ISNUMBER(SEARCH("&gt;",#REF!)),0,COUNTIF(Psíquicos!$AD$16:$AH$61,#REF!))</f>
        <v>0</v>
      </c>
      <c r="AG25" s="1095" t="str">
        <f>IF(AF25=0,"",VLOOKUP(#REF!,Psíquicos!$AD$11:$AK$64,8,FALSE))</f>
        <v/>
      </c>
      <c r="AH25" s="2393"/>
      <c r="AI25" s="2388" t="s">
        <v>138</v>
      </c>
    </row>
    <row r="26" spans="1:35" ht="12.75" customHeight="1" x14ac:dyDescent="0.2">
      <c r="A26" s="2027">
        <v>26</v>
      </c>
      <c r="B26" s="2019">
        <f>IF(OR(S26=0),0,SUM($S$6:S26))</f>
        <v>0</v>
      </c>
      <c r="C26" s="1103"/>
      <c r="D26" s="521" t="s">
        <v>139</v>
      </c>
      <c r="E26" s="1095" t="s">
        <v>101</v>
      </c>
      <c r="F26" s="1096">
        <v>1</v>
      </c>
      <c r="G26" s="1096" t="s">
        <v>3010</v>
      </c>
      <c r="H26" s="1097" t="s">
        <v>1607</v>
      </c>
      <c r="I26" s="1095" t="s">
        <v>7140</v>
      </c>
      <c r="J26" s="1095" t="s">
        <v>7141</v>
      </c>
      <c r="K26" s="1095" t="s">
        <v>7212</v>
      </c>
      <c r="L26" s="1095" t="s">
        <v>7213</v>
      </c>
      <c r="M26" s="1095" t="s">
        <v>7214</v>
      </c>
      <c r="N26" s="1095" t="s">
        <v>7215</v>
      </c>
      <c r="O26" s="1095" t="s">
        <v>7216</v>
      </c>
      <c r="P26" s="1095" t="s">
        <v>7217</v>
      </c>
      <c r="Q26" s="1095" t="s">
        <v>7218</v>
      </c>
      <c r="R26" s="1119" t="s">
        <v>7219</v>
      </c>
      <c r="S26" s="2021">
        <f>IF(COUNTIF(Psíquicos!$C$25:$E$36,E26)=0,0,1)</f>
        <v>0</v>
      </c>
      <c r="U26" s="1095" t="str">
        <f t="shared" si="1"/>
        <v>MED</v>
      </c>
      <c r="V26" s="2303"/>
      <c r="W26" s="2303"/>
      <c r="X26" s="2303"/>
      <c r="Y26" s="2303"/>
      <c r="Z26" s="2303"/>
      <c r="AA26" s="2303"/>
      <c r="AB26" s="2303"/>
      <c r="AC26" s="2303"/>
      <c r="AD26" s="2303"/>
      <c r="AE26" s="2303"/>
      <c r="AF26" s="2303">
        <f>IF(ISNUMBER(SEARCH("&gt;",#REF!)),0,COUNTIF(Psíquicos!$AD$16:$AH$61,#REF!))</f>
        <v>0</v>
      </c>
      <c r="AG26" s="1095" t="str">
        <f>IF(AF26=0,"",VLOOKUP(#REF!,Psíquicos!$AD$11:$AK$64,8,FALSE))</f>
        <v/>
      </c>
      <c r="AH26" s="2393"/>
      <c r="AI26" s="2388" t="s">
        <v>139</v>
      </c>
    </row>
    <row r="27" spans="1:35" ht="12.75" customHeight="1" x14ac:dyDescent="0.2">
      <c r="A27" s="2027">
        <v>27</v>
      </c>
      <c r="B27" s="2019">
        <f>IF(OR(S27=0),0,SUM($S$6:S27))</f>
        <v>0</v>
      </c>
      <c r="C27" s="1103"/>
      <c r="D27" s="521" t="s">
        <v>140</v>
      </c>
      <c r="E27" s="1095" t="s">
        <v>101</v>
      </c>
      <c r="F27" s="1096">
        <v>1</v>
      </c>
      <c r="G27" s="1096" t="s">
        <v>3010</v>
      </c>
      <c r="H27" s="1097" t="s">
        <v>1607</v>
      </c>
      <c r="I27" s="1095" t="s">
        <v>7140</v>
      </c>
      <c r="J27" s="1095" t="s">
        <v>7141</v>
      </c>
      <c r="K27" s="1095" t="s">
        <v>7220</v>
      </c>
      <c r="L27" s="1095" t="s">
        <v>5691</v>
      </c>
      <c r="M27" s="1095" t="s">
        <v>5692</v>
      </c>
      <c r="N27" s="1095" t="s">
        <v>5693</v>
      </c>
      <c r="O27" s="1095" t="s">
        <v>5694</v>
      </c>
      <c r="P27" s="1095" t="s">
        <v>7221</v>
      </c>
      <c r="Q27" s="1095" t="s">
        <v>7222</v>
      </c>
      <c r="R27" s="1119" t="s">
        <v>7223</v>
      </c>
      <c r="S27" s="2021">
        <f>IF(COUNTIF(Psíquicos!$C$25:$E$36,E27)=0,0,1)</f>
        <v>0</v>
      </c>
      <c r="U27" s="1095" t="str">
        <f t="shared" si="1"/>
        <v>MED</v>
      </c>
      <c r="V27" s="2303"/>
      <c r="W27" s="2303"/>
      <c r="X27" s="2303" t="str">
        <f t="shared" ref="X27:AE27" si="2">MID(K27,4,LEN(K27))</f>
        <v>1</v>
      </c>
      <c r="Y27" s="2303" t="str">
        <f t="shared" si="2"/>
        <v>2</v>
      </c>
      <c r="Z27" s="2303" t="str">
        <f t="shared" si="2"/>
        <v>4</v>
      </c>
      <c r="AA27" s="2303" t="str">
        <f t="shared" si="2"/>
        <v>6</v>
      </c>
      <c r="AB27" s="2303" t="str">
        <f t="shared" si="2"/>
        <v>8</v>
      </c>
      <c r="AC27" s="2303" t="str">
        <f t="shared" si="2"/>
        <v>10</v>
      </c>
      <c r="AD27" s="2303" t="str">
        <f t="shared" si="2"/>
        <v>12</v>
      </c>
      <c r="AE27" s="2303" t="str">
        <f t="shared" si="2"/>
        <v>14</v>
      </c>
      <c r="AF27" s="2303">
        <f>IF(ISNUMBER(SEARCH("&gt;",#REF!)),0,COUNTIF(Psíquicos!$AD$16:$AH$61,#REF!))</f>
        <v>0</v>
      </c>
      <c r="AG27" s="1095" t="str">
        <f>IF(AF27=0,"",VLOOKUP(#REF!,Psíquicos!$AD$11:$AK$64,8,FALSE))</f>
        <v/>
      </c>
      <c r="AH27" s="2393">
        <f>VALUE(IF('Tablas psiquica'!$AF27&gt;0,INDEX('Tablas psiquica'!$V27:$AE27,MATCH('Tablas psiquica'!$AG27,'Tablas psiquica'!$V$6:$AE$6,0)),0))</f>
        <v>0</v>
      </c>
      <c r="AI27" s="2388" t="s">
        <v>140</v>
      </c>
    </row>
    <row r="28" spans="1:35" ht="12.75" customHeight="1" x14ac:dyDescent="0.2">
      <c r="A28" s="2027">
        <v>28</v>
      </c>
      <c r="B28" s="2019">
        <f>IF(OR(S28=0),0,SUM($S$6:S28))</f>
        <v>0</v>
      </c>
      <c r="C28" s="1103"/>
      <c r="D28" s="521" t="s">
        <v>141</v>
      </c>
      <c r="E28" s="1095" t="s">
        <v>101</v>
      </c>
      <c r="F28" s="1096">
        <v>1</v>
      </c>
      <c r="G28" s="1096" t="s">
        <v>3010</v>
      </c>
      <c r="H28" s="1097" t="s">
        <v>1606</v>
      </c>
      <c r="I28" s="1095" t="s">
        <v>7140</v>
      </c>
      <c r="J28" s="1095" t="s">
        <v>7141</v>
      </c>
      <c r="K28" s="1095" t="s">
        <v>7224</v>
      </c>
      <c r="L28" s="1095" t="s">
        <v>7204</v>
      </c>
      <c r="M28" s="1095" t="s">
        <v>7205</v>
      </c>
      <c r="N28" s="1095" t="s">
        <v>7225</v>
      </c>
      <c r="O28" s="1095" t="s">
        <v>7226</v>
      </c>
      <c r="P28" s="1095" t="s">
        <v>7227</v>
      </c>
      <c r="Q28" s="1095" t="s">
        <v>7228</v>
      </c>
      <c r="R28" s="1119" t="s">
        <v>7229</v>
      </c>
      <c r="S28" s="2021">
        <f>IF(COUNTIF(Psíquicos!$C$25:$E$36,E28)=0,0,1)</f>
        <v>0</v>
      </c>
      <c r="U28" s="1095" t="str">
        <f t="shared" si="1"/>
        <v>MED</v>
      </c>
      <c r="V28" s="2303"/>
      <c r="W28" s="2303"/>
      <c r="X28" s="2304"/>
      <c r="Y28" s="2304"/>
      <c r="Z28" s="2304"/>
      <c r="AA28" s="2304"/>
      <c r="AB28" s="2303"/>
      <c r="AC28" s="2303"/>
      <c r="AD28" s="2303"/>
      <c r="AE28" s="2304"/>
      <c r="AF28" s="2303">
        <f>IF(ISNUMBER(SEARCH("&gt;",#REF!)),0,COUNTIF(Psíquicos!$AD$16:$AH$61,#REF!))</f>
        <v>0</v>
      </c>
      <c r="AG28" s="1095" t="str">
        <f>IF(AF28=0,"",VLOOKUP(#REF!,Psíquicos!$AD$11:$AK$64,8,FALSE))</f>
        <v/>
      </c>
      <c r="AH28" s="2393"/>
      <c r="AI28" s="2388" t="s">
        <v>141</v>
      </c>
    </row>
    <row r="29" spans="1:35" ht="12.75" customHeight="1" x14ac:dyDescent="0.2">
      <c r="A29" s="2027">
        <v>29</v>
      </c>
      <c r="B29" s="2019">
        <f>IF(OR(S29=0),0,SUM($S$6:S29))</f>
        <v>0</v>
      </c>
      <c r="C29" s="1103"/>
      <c r="D29" s="521" t="s">
        <v>142</v>
      </c>
      <c r="E29" s="1095" t="s">
        <v>101</v>
      </c>
      <c r="F29" s="1096">
        <v>2</v>
      </c>
      <c r="G29" s="1096" t="s">
        <v>1690</v>
      </c>
      <c r="H29" s="1097" t="s">
        <v>1606</v>
      </c>
      <c r="I29" s="1095" t="s">
        <v>7176</v>
      </c>
      <c r="J29" s="1095" t="s">
        <v>7140</v>
      </c>
      <c r="K29" s="1095" t="s">
        <v>7141</v>
      </c>
      <c r="L29" s="1106" t="s">
        <v>8489</v>
      </c>
      <c r="M29" s="1106" t="s">
        <v>8490</v>
      </c>
      <c r="N29" s="1106" t="s">
        <v>8491</v>
      </c>
      <c r="O29" s="1106" t="s">
        <v>8492</v>
      </c>
      <c r="P29" s="1106" t="s">
        <v>8493</v>
      </c>
      <c r="Q29" s="1106" t="s">
        <v>8494</v>
      </c>
      <c r="R29" s="1990" t="s">
        <v>8495</v>
      </c>
      <c r="S29" s="2021">
        <f>IF(COUNTIF(Psíquicos!$C$25:$E$36,E29)=0,0,1)</f>
        <v>0</v>
      </c>
      <c r="U29" s="1095" t="str">
        <f t="shared" si="1"/>
        <v>DIF</v>
      </c>
      <c r="V29" s="2303"/>
      <c r="W29" s="2303"/>
      <c r="X29" s="2303"/>
      <c r="Y29" s="2303"/>
      <c r="Z29" s="2303"/>
      <c r="AA29" s="2303"/>
      <c r="AB29" s="2303"/>
      <c r="AC29" s="2303"/>
      <c r="AD29" s="2303"/>
      <c r="AE29" s="2303"/>
      <c r="AF29" s="2303">
        <f>IF(ISNUMBER(SEARCH("&gt;",#REF!)),0,COUNTIF(Psíquicos!$AD$16:$AH$61,#REF!))</f>
        <v>0</v>
      </c>
      <c r="AG29" s="1095" t="str">
        <f>IF(AF29=0,"",VLOOKUP(#REF!,Psíquicos!$AD$11:$AK$64,8,FALSE))</f>
        <v/>
      </c>
      <c r="AH29" s="2393"/>
      <c r="AI29" s="2388" t="s">
        <v>142</v>
      </c>
    </row>
    <row r="30" spans="1:35" ht="12.75" customHeight="1" x14ac:dyDescent="0.2">
      <c r="A30" s="2027">
        <v>30</v>
      </c>
      <c r="B30" s="2019">
        <f>IF(OR(S30=0),0,SUM($S$6:S30))</f>
        <v>0</v>
      </c>
      <c r="C30" s="1103"/>
      <c r="D30" s="521" t="s">
        <v>143</v>
      </c>
      <c r="E30" s="1095" t="s">
        <v>101</v>
      </c>
      <c r="F30" s="1096">
        <v>2</v>
      </c>
      <c r="G30" s="1096" t="s">
        <v>3010</v>
      </c>
      <c r="H30" s="1097" t="s">
        <v>1606</v>
      </c>
      <c r="I30" s="1095" t="s">
        <v>7176</v>
      </c>
      <c r="J30" s="1095" t="s">
        <v>7140</v>
      </c>
      <c r="K30" s="1095" t="s">
        <v>7141</v>
      </c>
      <c r="L30" s="1095" t="s">
        <v>7230</v>
      </c>
      <c r="M30" s="1095" t="s">
        <v>7231</v>
      </c>
      <c r="N30" s="1095" t="s">
        <v>7232</v>
      </c>
      <c r="O30" s="1095" t="s">
        <v>7233</v>
      </c>
      <c r="P30" s="1095" t="s">
        <v>7234</v>
      </c>
      <c r="Q30" s="1095" t="s">
        <v>7235</v>
      </c>
      <c r="R30" s="1119" t="s">
        <v>7236</v>
      </c>
      <c r="S30" s="2021">
        <f>IF(COUNTIF(Psíquicos!$C$25:$E$36,E30)=0,0,1)</f>
        <v>0</v>
      </c>
      <c r="U30" s="1095" t="str">
        <f t="shared" si="1"/>
        <v>DIF</v>
      </c>
      <c r="V30" s="2303"/>
      <c r="W30" s="2303"/>
      <c r="X30" s="2303"/>
      <c r="Y30" s="2303"/>
      <c r="Z30" s="2303"/>
      <c r="AA30" s="2303"/>
      <c r="AB30" s="2303"/>
      <c r="AC30" s="2303"/>
      <c r="AD30" s="2303"/>
      <c r="AE30" s="2303"/>
      <c r="AF30" s="2303">
        <f>IF(ISNUMBER(SEARCH("&gt;",#REF!)),0,COUNTIF(Psíquicos!$AD$16:$AH$61,#REF!))</f>
        <v>0</v>
      </c>
      <c r="AG30" s="1095" t="str">
        <f>IF(AF30=0,"",VLOOKUP(#REF!,Psíquicos!$AD$11:$AK$64,8,FALSE))</f>
        <v/>
      </c>
      <c r="AH30" s="2393"/>
      <c r="AI30" s="2388" t="s">
        <v>143</v>
      </c>
    </row>
    <row r="31" spans="1:35" ht="12.75" customHeight="1" x14ac:dyDescent="0.2">
      <c r="A31" s="2027">
        <v>31</v>
      </c>
      <c r="B31" s="2019">
        <f>IF(OR(S31=0),0,SUM($S$6:S31))</f>
        <v>0</v>
      </c>
      <c r="C31" s="1103"/>
      <c r="D31" s="521" t="s">
        <v>144</v>
      </c>
      <c r="E31" s="1095" t="s">
        <v>101</v>
      </c>
      <c r="F31" s="1096">
        <v>2</v>
      </c>
      <c r="G31" s="1096" t="s">
        <v>3010</v>
      </c>
      <c r="H31" s="1097" t="s">
        <v>1606</v>
      </c>
      <c r="I31" s="1095" t="s">
        <v>7178</v>
      </c>
      <c r="J31" s="1095" t="s">
        <v>7177</v>
      </c>
      <c r="K31" s="1095" t="s">
        <v>7176</v>
      </c>
      <c r="L31" s="1095" t="s">
        <v>7140</v>
      </c>
      <c r="M31" s="1095" t="s">
        <v>7237</v>
      </c>
      <c r="N31" s="1095" t="s">
        <v>7238</v>
      </c>
      <c r="O31" s="1095" t="s">
        <v>7239</v>
      </c>
      <c r="P31" s="1095" t="s">
        <v>7240</v>
      </c>
      <c r="Q31" s="1095" t="s">
        <v>7241</v>
      </c>
      <c r="R31" s="1119" t="s">
        <v>7242</v>
      </c>
      <c r="S31" s="2021">
        <f>IF(COUNTIF(Psíquicos!$C$25:$E$36,E31)=0,0,1)</f>
        <v>0</v>
      </c>
      <c r="U31" s="1095" t="str">
        <f t="shared" si="1"/>
        <v>MDF</v>
      </c>
      <c r="V31" s="2303"/>
      <c r="W31" s="2303"/>
      <c r="X31" s="2303"/>
      <c r="Y31" s="2303"/>
      <c r="Z31" s="2303"/>
      <c r="AA31" s="2303"/>
      <c r="AB31" s="2303"/>
      <c r="AC31" s="2303"/>
      <c r="AD31" s="2303"/>
      <c r="AE31" s="2303"/>
      <c r="AF31" s="2303">
        <f>IF(ISNUMBER(SEARCH("&gt;",#REF!)),0,COUNTIF(Psíquicos!$AD$16:$AH$61,#REF!))</f>
        <v>0</v>
      </c>
      <c r="AG31" s="1095" t="str">
        <f>IF(AF31=0,"",VLOOKUP(#REF!,Psíquicos!$AD$11:$AK$64,8,FALSE))</f>
        <v/>
      </c>
      <c r="AH31" s="2393"/>
      <c r="AI31" s="2388" t="s">
        <v>144</v>
      </c>
    </row>
    <row r="32" spans="1:35" ht="12.75" customHeight="1" x14ac:dyDescent="0.2">
      <c r="A32" s="2027">
        <v>32</v>
      </c>
      <c r="B32" s="2019">
        <f>IF(OR(S32=0),0,SUM($S$6:S32))</f>
        <v>0</v>
      </c>
      <c r="C32" s="1103"/>
      <c r="D32" s="521" t="s">
        <v>145</v>
      </c>
      <c r="E32" s="1095" t="s">
        <v>101</v>
      </c>
      <c r="F32" s="1096">
        <v>2</v>
      </c>
      <c r="G32" s="1096" t="s">
        <v>1690</v>
      </c>
      <c r="H32" s="1097" t="s">
        <v>1606</v>
      </c>
      <c r="I32" s="1095" t="s">
        <v>7178</v>
      </c>
      <c r="J32" s="1095" t="s">
        <v>7177</v>
      </c>
      <c r="K32" s="1095" t="s">
        <v>7176</v>
      </c>
      <c r="L32" s="1095" t="s">
        <v>7140</v>
      </c>
      <c r="M32" s="1095" t="s">
        <v>7243</v>
      </c>
      <c r="N32" s="1095" t="s">
        <v>7244</v>
      </c>
      <c r="O32" s="1095" t="s">
        <v>7245</v>
      </c>
      <c r="P32" s="1095" t="s">
        <v>7246</v>
      </c>
      <c r="Q32" s="1095" t="s">
        <v>7247</v>
      </c>
      <c r="R32" s="1119" t="s">
        <v>7248</v>
      </c>
      <c r="S32" s="2021">
        <f>IF(COUNTIF(Psíquicos!$C$25:$E$36,E32)=0,0,1)</f>
        <v>0</v>
      </c>
      <c r="U32" s="1095" t="str">
        <f t="shared" si="1"/>
        <v>MDF</v>
      </c>
      <c r="V32" s="2303"/>
      <c r="W32" s="2303"/>
      <c r="X32" s="2303"/>
      <c r="Y32" s="2303"/>
      <c r="Z32" s="2303"/>
      <c r="AA32" s="2303"/>
      <c r="AB32" s="2303"/>
      <c r="AC32" s="2303"/>
      <c r="AD32" s="2303"/>
      <c r="AE32" s="2303"/>
      <c r="AF32" s="2303">
        <f>IF(ISNUMBER(SEARCH("&gt;",#REF!)),0,COUNTIF(Psíquicos!$AD$16:$AH$61,#REF!))</f>
        <v>0</v>
      </c>
      <c r="AG32" s="1095" t="str">
        <f>IF(AF32=0,"",VLOOKUP(#REF!,Psíquicos!$AD$11:$AK$64,8,FALSE))</f>
        <v/>
      </c>
      <c r="AH32" s="2393"/>
      <c r="AI32" s="2388" t="s">
        <v>145</v>
      </c>
    </row>
    <row r="33" spans="1:35" ht="12.75" customHeight="1" x14ac:dyDescent="0.2">
      <c r="A33" s="2027">
        <v>33</v>
      </c>
      <c r="B33" s="2019">
        <f>IF(OR(S33=0),0,SUM($S$6:S33))</f>
        <v>0</v>
      </c>
      <c r="C33" s="1103"/>
      <c r="D33" s="521" t="s">
        <v>146</v>
      </c>
      <c r="E33" s="1095" t="s">
        <v>101</v>
      </c>
      <c r="F33" s="1096">
        <v>2</v>
      </c>
      <c r="G33" s="1096" t="s">
        <v>3010</v>
      </c>
      <c r="H33" s="1097" t="s">
        <v>1606</v>
      </c>
      <c r="I33" s="1095" t="s">
        <v>7176</v>
      </c>
      <c r="J33" s="1095" t="s">
        <v>7140</v>
      </c>
      <c r="K33" s="1095" t="s">
        <v>7141</v>
      </c>
      <c r="L33" s="1095" t="s">
        <v>6261</v>
      </c>
      <c r="M33" s="1095" t="s">
        <v>6262</v>
      </c>
      <c r="N33" s="1095" t="s">
        <v>6263</v>
      </c>
      <c r="O33" s="1095" t="s">
        <v>7249</v>
      </c>
      <c r="P33" s="1095" t="s">
        <v>7250</v>
      </c>
      <c r="Q33" s="1095" t="s">
        <v>7251</v>
      </c>
      <c r="R33" s="1119" t="s">
        <v>7252</v>
      </c>
      <c r="S33" s="2021">
        <f>IF(COUNTIF(Psíquicos!$C$25:$E$36,E33)=0,0,1)</f>
        <v>0</v>
      </c>
      <c r="U33" s="1095" t="str">
        <f t="shared" si="1"/>
        <v>DIF</v>
      </c>
      <c r="V33" s="2303"/>
      <c r="W33" s="2303"/>
      <c r="X33" s="2303"/>
      <c r="Y33" s="2303" t="str">
        <f t="shared" ref="Y33:AE33" si="3">MID(L33,SEARCH("lo ",L33)+3,LEN(L33))</f>
        <v>6</v>
      </c>
      <c r="Z33" s="2303" t="str">
        <f t="shared" si="3"/>
        <v>8</v>
      </c>
      <c r="AA33" s="2303" t="str">
        <f t="shared" si="3"/>
        <v>10</v>
      </c>
      <c r="AB33" s="2303" t="str">
        <f t="shared" si="3"/>
        <v>12</v>
      </c>
      <c r="AC33" s="2303" t="str">
        <f t="shared" si="3"/>
        <v>14</v>
      </c>
      <c r="AD33" s="2303" t="str">
        <f t="shared" si="3"/>
        <v>16</v>
      </c>
      <c r="AE33" s="2303" t="str">
        <f t="shared" si="3"/>
        <v>18</v>
      </c>
      <c r="AF33" s="2303">
        <f>IF(ISNUMBER(SEARCH("&gt;",#REF!)),0,COUNTIF(Psíquicos!$AD$16:$AH$61,#REF!))</f>
        <v>0</v>
      </c>
      <c r="AG33" s="1095" t="str">
        <f>IF(AF33=0,"",VLOOKUP(#REF!,Psíquicos!$AD$11:$AK$64,8,FALSE))</f>
        <v/>
      </c>
      <c r="AH33" s="2393"/>
      <c r="AI33" s="2388" t="s">
        <v>146</v>
      </c>
    </row>
    <row r="34" spans="1:35" ht="12.75" customHeight="1" x14ac:dyDescent="0.2">
      <c r="A34" s="2027">
        <v>34</v>
      </c>
      <c r="B34" s="2019">
        <f>IF(OR(S34=0),0,SUM($S$6:S34))</f>
        <v>0</v>
      </c>
      <c r="C34" s="1103"/>
      <c r="D34" s="521" t="s">
        <v>147</v>
      </c>
      <c r="E34" s="1095" t="s">
        <v>101</v>
      </c>
      <c r="F34" s="1096">
        <v>2</v>
      </c>
      <c r="G34" s="1096" t="s">
        <v>3010</v>
      </c>
      <c r="H34" s="1097" t="s">
        <v>1606</v>
      </c>
      <c r="I34" s="1095" t="s">
        <v>7177</v>
      </c>
      <c r="J34" s="1095" t="s">
        <v>7176</v>
      </c>
      <c r="K34" s="1095" t="s">
        <v>7140</v>
      </c>
      <c r="L34" s="1095" t="s">
        <v>7253</v>
      </c>
      <c r="M34" s="1095" t="s">
        <v>7254</v>
      </c>
      <c r="N34" s="1095" t="s">
        <v>7255</v>
      </c>
      <c r="O34" s="1095" t="s">
        <v>7256</v>
      </c>
      <c r="P34" s="1095" t="s">
        <v>7257</v>
      </c>
      <c r="Q34" s="1095" t="s">
        <v>7258</v>
      </c>
      <c r="R34" s="1119" t="s">
        <v>7259</v>
      </c>
      <c r="S34" s="2021">
        <f>IF(COUNTIF(Psíquicos!$C$25:$E$36,E34)=0,0,1)</f>
        <v>0</v>
      </c>
      <c r="U34" s="1095" t="str">
        <f t="shared" si="1"/>
        <v>DIF</v>
      </c>
      <c r="V34" s="2303"/>
      <c r="W34" s="2303"/>
      <c r="X34" s="2303"/>
      <c r="Y34" s="2303"/>
      <c r="Z34" s="2303"/>
      <c r="AA34" s="2303"/>
      <c r="AB34" s="2303"/>
      <c r="AC34" s="2303"/>
      <c r="AD34" s="2303"/>
      <c r="AE34" s="2303"/>
      <c r="AF34" s="2303">
        <f>IF(ISNUMBER(SEARCH("&gt;",#REF!)),0,COUNTIF(Psíquicos!$AD$16:$AH$61,#REF!))</f>
        <v>0</v>
      </c>
      <c r="AG34" s="1095" t="str">
        <f>IF(AF34=0,"",VLOOKUP(#REF!,Psíquicos!$AD$11:$AK$64,8,FALSE))</f>
        <v/>
      </c>
      <c r="AH34" s="2393"/>
      <c r="AI34" s="2388" t="s">
        <v>147</v>
      </c>
    </row>
    <row r="35" spans="1:35" ht="12.75" customHeight="1" x14ac:dyDescent="0.2">
      <c r="A35" s="2027">
        <v>35</v>
      </c>
      <c r="B35" s="2019">
        <f>IF(OR(S35=0),0,SUM($S$6:S35))</f>
        <v>0</v>
      </c>
      <c r="C35" s="1103"/>
      <c r="D35" s="521" t="s">
        <v>148</v>
      </c>
      <c r="E35" s="1095" t="s">
        <v>101</v>
      </c>
      <c r="F35" s="1096">
        <v>3</v>
      </c>
      <c r="G35" s="1096" t="s">
        <v>1690</v>
      </c>
      <c r="H35" s="1097" t="s">
        <v>1606</v>
      </c>
      <c r="I35" s="1095" t="s">
        <v>7192</v>
      </c>
      <c r="J35" s="1095" t="s">
        <v>7191</v>
      </c>
      <c r="K35" s="1095" t="s">
        <v>7178</v>
      </c>
      <c r="L35" s="1095" t="s">
        <v>7177</v>
      </c>
      <c r="M35" s="1095" t="s">
        <v>7176</v>
      </c>
      <c r="N35" s="1095" t="s">
        <v>7260</v>
      </c>
      <c r="O35" s="1095" t="s">
        <v>7261</v>
      </c>
      <c r="P35" s="1095" t="s">
        <v>7262</v>
      </c>
      <c r="Q35" s="1095" t="s">
        <v>7263</v>
      </c>
      <c r="R35" s="1119" t="s">
        <v>7264</v>
      </c>
      <c r="S35" s="2021">
        <f>IF(COUNTIF(Psíquicos!$C$25:$E$36,E35)=0,0,1)</f>
        <v>0</v>
      </c>
      <c r="U35" s="1095" t="str">
        <f t="shared" si="1"/>
        <v>ABS</v>
      </c>
      <c r="V35" s="2303"/>
      <c r="W35" s="2303"/>
      <c r="X35" s="2303"/>
      <c r="Y35" s="2303"/>
      <c r="Z35" s="2303"/>
      <c r="AA35" s="2303"/>
      <c r="AB35" s="2303"/>
      <c r="AC35" s="2303"/>
      <c r="AD35" s="2303"/>
      <c r="AE35" s="2303"/>
      <c r="AF35" s="2303">
        <f>IF(ISNUMBER(SEARCH("&gt;",#REF!)),0,COUNTIF(Psíquicos!$AD$16:$AH$61,#REF!))</f>
        <v>0</v>
      </c>
      <c r="AG35" s="1095" t="str">
        <f>IF(AF35=0,"",VLOOKUP(#REF!,Psíquicos!$AD$11:$AK$64,8,FALSE))</f>
        <v/>
      </c>
      <c r="AH35" s="2393"/>
      <c r="AI35" s="2388" t="s">
        <v>148</v>
      </c>
    </row>
    <row r="36" spans="1:35" ht="12.75" customHeight="1" x14ac:dyDescent="0.2">
      <c r="A36" s="2027">
        <v>36</v>
      </c>
      <c r="B36" s="2019">
        <f>IF(OR(S36=0),0,SUM($S$6:S36))</f>
        <v>0</v>
      </c>
      <c r="C36" s="1103"/>
      <c r="D36" s="521" t="s">
        <v>149</v>
      </c>
      <c r="E36" s="1095" t="s">
        <v>101</v>
      </c>
      <c r="F36" s="1096">
        <v>3</v>
      </c>
      <c r="G36" s="1096" t="s">
        <v>3010</v>
      </c>
      <c r="H36" s="1097" t="s">
        <v>1606</v>
      </c>
      <c r="I36" s="1095" t="s">
        <v>7265</v>
      </c>
      <c r="J36" s="1095" t="s">
        <v>7266</v>
      </c>
      <c r="K36" s="1095" t="s">
        <v>7192</v>
      </c>
      <c r="L36" s="1095" t="s">
        <v>7191</v>
      </c>
      <c r="M36" s="1095" t="s">
        <v>7178</v>
      </c>
      <c r="N36" s="1095" t="s">
        <v>7176</v>
      </c>
      <c r="O36" s="1095" t="s">
        <v>7267</v>
      </c>
      <c r="P36" s="1095" t="s">
        <v>7268</v>
      </c>
      <c r="Q36" s="1095" t="s">
        <v>7269</v>
      </c>
      <c r="R36" s="1119" t="s">
        <v>7270</v>
      </c>
      <c r="S36" s="2021">
        <f>IF(COUNTIF(Psíquicos!$C$25:$E$36,E36)=0,0,1)</f>
        <v>0</v>
      </c>
      <c r="U36" s="1095" t="str">
        <f t="shared" si="1"/>
        <v>CIM</v>
      </c>
      <c r="V36" s="2303"/>
      <c r="W36" s="2303"/>
      <c r="X36" s="2303"/>
      <c r="Y36" s="2303"/>
      <c r="Z36" s="2303"/>
      <c r="AA36" s="2303"/>
      <c r="AB36" s="2303"/>
      <c r="AC36" s="2303"/>
      <c r="AD36" s="2303"/>
      <c r="AE36" s="2303"/>
      <c r="AF36" s="2303">
        <f>IF(ISNUMBER(SEARCH("&gt;",#REF!)),0,COUNTIF(Psíquicos!$AD$16:$AH$61,#REF!))</f>
        <v>0</v>
      </c>
      <c r="AG36" s="1095" t="str">
        <f>IF(AF36=0,"",VLOOKUP(#REF!,Psíquicos!$AD$11:$AK$64,8,FALSE))</f>
        <v/>
      </c>
      <c r="AH36" s="2393"/>
      <c r="AI36" s="2388" t="s">
        <v>149</v>
      </c>
    </row>
    <row r="37" spans="1:35" ht="12.75" customHeight="1" x14ac:dyDescent="0.2">
      <c r="A37" s="2027">
        <v>37</v>
      </c>
      <c r="B37" s="2019">
        <f>IF(OR(S37=0),0,SUM($S$6:S37))</f>
        <v>0</v>
      </c>
      <c r="C37" s="1103"/>
      <c r="D37" s="521" t="s">
        <v>150</v>
      </c>
      <c r="E37" s="1095" t="s">
        <v>101</v>
      </c>
      <c r="F37" s="1096">
        <v>3</v>
      </c>
      <c r="G37" s="1096" t="s">
        <v>1690</v>
      </c>
      <c r="H37" s="1097" t="s">
        <v>1606</v>
      </c>
      <c r="I37" s="1095" t="s">
        <v>7265</v>
      </c>
      <c r="J37" s="1095" t="s">
        <v>7266</v>
      </c>
      <c r="K37" s="1095" t="s">
        <v>7192</v>
      </c>
      <c r="L37" s="1095" t="s">
        <v>7191</v>
      </c>
      <c r="M37" s="1095" t="s">
        <v>7178</v>
      </c>
      <c r="N37" s="1095" t="s">
        <v>7177</v>
      </c>
      <c r="O37" s="1095" t="s">
        <v>7176</v>
      </c>
      <c r="P37" s="1095" t="s">
        <v>7271</v>
      </c>
      <c r="Q37" s="1095" t="s">
        <v>7272</v>
      </c>
      <c r="R37" s="1119" t="s">
        <v>7273</v>
      </c>
      <c r="S37" s="2021">
        <f>IF(COUNTIF(Psíquicos!$C$25:$E$36,E37)=0,0,1)</f>
        <v>0</v>
      </c>
      <c r="U37" s="1095" t="str">
        <f t="shared" si="1"/>
        <v>IMP</v>
      </c>
      <c r="V37" s="2303"/>
      <c r="W37" s="2303"/>
      <c r="X37" s="2303"/>
      <c r="Y37" s="2303"/>
      <c r="Z37" s="2303"/>
      <c r="AA37" s="2303"/>
      <c r="AB37" s="2303"/>
      <c r="AC37" s="2303"/>
      <c r="AD37" s="2303"/>
      <c r="AE37" s="2303"/>
      <c r="AF37" s="2303">
        <f>IF(ISNUMBER(SEARCH("&gt;",#REF!)),0,COUNTIF(Psíquicos!$AD$16:$AH$61,#REF!))</f>
        <v>0</v>
      </c>
      <c r="AG37" s="1095" t="str">
        <f>IF(AF37=0,"",VLOOKUP(#REF!,Psíquicos!$AD$11:$AK$64,8,FALSE))</f>
        <v/>
      </c>
      <c r="AH37" s="2393"/>
      <c r="AI37" s="2388" t="s">
        <v>150</v>
      </c>
    </row>
    <row r="38" spans="1:35" ht="12.75" customHeight="1" x14ac:dyDescent="0.2">
      <c r="A38" s="2027">
        <v>38</v>
      </c>
      <c r="B38" s="2019">
        <f>IF(OR(S38=0),0,SUM($S$6:S38))</f>
        <v>0</v>
      </c>
      <c r="C38" s="1103"/>
      <c r="D38" s="521" t="s">
        <v>151</v>
      </c>
      <c r="E38" s="1095"/>
      <c r="F38" s="1096"/>
      <c r="G38" s="1096"/>
      <c r="H38" s="1097"/>
      <c r="I38" s="1095"/>
      <c r="J38" s="1095"/>
      <c r="K38" s="1095"/>
      <c r="L38" s="1095"/>
      <c r="M38" s="1095"/>
      <c r="N38" s="1095"/>
      <c r="O38" s="1095"/>
      <c r="P38" s="1095"/>
      <c r="Q38" s="1095"/>
      <c r="R38" s="1119"/>
      <c r="S38" s="2023">
        <f>S39</f>
        <v>0</v>
      </c>
      <c r="U38" s="1095"/>
      <c r="V38" s="2303"/>
      <c r="W38" s="2303"/>
      <c r="X38" s="2303"/>
      <c r="Y38" s="2303"/>
      <c r="Z38" s="2303"/>
      <c r="AA38" s="2303"/>
      <c r="AB38" s="2303"/>
      <c r="AC38" s="2303"/>
      <c r="AD38" s="2303"/>
      <c r="AE38" s="2303"/>
      <c r="AF38" s="2303">
        <f>IF(ISNUMBER(SEARCH("&gt;",#REF!)),0,COUNTIF(Psíquicos!$AD$16:$AH$61,#REF!))</f>
        <v>0</v>
      </c>
      <c r="AG38" s="1095" t="str">
        <f>IF(AF38=0,"",VLOOKUP(#REF!,Psíquicos!$AD$11:$AK$64,8,FALSE))</f>
        <v/>
      </c>
      <c r="AH38" s="2393"/>
      <c r="AI38" s="2388" t="s">
        <v>151</v>
      </c>
    </row>
    <row r="39" spans="1:35" ht="12.75" customHeight="1" x14ac:dyDescent="0.2">
      <c r="A39" s="2027">
        <v>39</v>
      </c>
      <c r="B39" s="2019">
        <f>IF(OR(S39=0),0,SUM($S$6:S39))</f>
        <v>0</v>
      </c>
      <c r="C39" s="1103"/>
      <c r="D39" s="521" t="s">
        <v>152</v>
      </c>
      <c r="E39" s="1095" t="s">
        <v>103</v>
      </c>
      <c r="F39" s="1096">
        <v>1</v>
      </c>
      <c r="G39" s="1096" t="s">
        <v>3010</v>
      </c>
      <c r="H39" s="1097" t="s">
        <v>1606</v>
      </c>
      <c r="I39" s="1095" t="s">
        <v>7141</v>
      </c>
      <c r="J39" s="1095" t="s">
        <v>4908</v>
      </c>
      <c r="K39" s="1095" t="s">
        <v>6157</v>
      </c>
      <c r="L39" s="1095" t="s">
        <v>4909</v>
      </c>
      <c r="M39" s="1095" t="s">
        <v>7274</v>
      </c>
      <c r="N39" s="1095" t="s">
        <v>4910</v>
      </c>
      <c r="O39" s="1095" t="s">
        <v>7275</v>
      </c>
      <c r="P39" s="1095" t="s">
        <v>7276</v>
      </c>
      <c r="Q39" s="1095" t="s">
        <v>4911</v>
      </c>
      <c r="R39" s="1119" t="s">
        <v>5633</v>
      </c>
      <c r="S39" s="2021">
        <f>IF(COUNTIF(Psíquicos!$C$25:$E$36,E39)=0,0,1)</f>
        <v>0</v>
      </c>
      <c r="U39" s="1095" t="str">
        <f t="shared" si="1"/>
        <v>FAC</v>
      </c>
      <c r="V39" s="2303"/>
      <c r="W39" s="2303"/>
      <c r="X39" s="2303"/>
      <c r="Y39" s="2303"/>
      <c r="Z39" s="2303"/>
      <c r="AA39" s="2303"/>
      <c r="AB39" s="2303"/>
      <c r="AC39" s="2303"/>
      <c r="AD39" s="2303"/>
      <c r="AE39" s="2303"/>
      <c r="AF39" s="2303">
        <f>IF(ISNUMBER(SEARCH("&gt;",#REF!)),0,COUNTIF(Psíquicos!$AD$16:$AH$61,#REF!))</f>
        <v>0</v>
      </c>
      <c r="AG39" s="1095" t="str">
        <f>IF(AF39=0,"",VLOOKUP(#REF!,Psíquicos!$AD$11:$AK$64,8,FALSE))</f>
        <v/>
      </c>
      <c r="AH39" s="2393"/>
      <c r="AI39" s="2388" t="s">
        <v>152</v>
      </c>
    </row>
    <row r="40" spans="1:35" ht="12.75" customHeight="1" x14ac:dyDescent="0.2">
      <c r="A40" s="2027">
        <v>40</v>
      </c>
      <c r="B40" s="2019">
        <f>IF(OR(S40=0),0,SUM($S$6:S40))</f>
        <v>0</v>
      </c>
      <c r="C40" s="1103"/>
      <c r="D40" s="521" t="s">
        <v>153</v>
      </c>
      <c r="E40" s="1095" t="s">
        <v>103</v>
      </c>
      <c r="F40" s="1096">
        <v>1</v>
      </c>
      <c r="G40" s="1096" t="s">
        <v>1690</v>
      </c>
      <c r="H40" s="1097" t="s">
        <v>1606</v>
      </c>
      <c r="I40" s="1095" t="s">
        <v>7141</v>
      </c>
      <c r="J40" s="1095" t="s">
        <v>7277</v>
      </c>
      <c r="K40" s="1095" t="s">
        <v>7278</v>
      </c>
      <c r="L40" s="1095" t="s">
        <v>7279</v>
      </c>
      <c r="M40" s="1095" t="s">
        <v>7280</v>
      </c>
      <c r="N40" s="1095" t="s">
        <v>7281</v>
      </c>
      <c r="O40" s="1095" t="s">
        <v>7282</v>
      </c>
      <c r="P40" s="1095" t="s">
        <v>7283</v>
      </c>
      <c r="Q40" s="1095" t="s">
        <v>7284</v>
      </c>
      <c r="R40" s="1119" t="s">
        <v>7285</v>
      </c>
      <c r="S40" s="2021">
        <f>IF(COUNTIF(Psíquicos!$C$25:$E$36,E40)=0,0,1)</f>
        <v>0</v>
      </c>
      <c r="U40" s="1095" t="str">
        <f t="shared" si="1"/>
        <v>FAC</v>
      </c>
      <c r="V40" s="2303"/>
      <c r="W40" s="2303"/>
      <c r="X40" s="2303"/>
      <c r="Y40" s="2303"/>
      <c r="Z40" s="2303"/>
      <c r="AA40" s="2303"/>
      <c r="AB40" s="2303"/>
      <c r="AC40" s="2303"/>
      <c r="AD40" s="2303"/>
      <c r="AE40" s="2303"/>
      <c r="AF40" s="2303">
        <f>IF(ISNUMBER(SEARCH("&gt;",#REF!)),0,COUNTIF(Psíquicos!$AD$16:$AH$61,#REF!))</f>
        <v>0</v>
      </c>
      <c r="AG40" s="1095" t="str">
        <f>IF(AF40=0,"",VLOOKUP(#REF!,Psíquicos!$AD$11:$AK$64,8,FALSE))</f>
        <v/>
      </c>
      <c r="AH40" s="2393"/>
      <c r="AI40" s="2388" t="s">
        <v>153</v>
      </c>
    </row>
    <row r="41" spans="1:35" ht="12.75" customHeight="1" x14ac:dyDescent="0.2">
      <c r="A41" s="2027">
        <v>41</v>
      </c>
      <c r="B41" s="2019">
        <f>IF(OR(S41=0),0,SUM($S$6:S41))</f>
        <v>0</v>
      </c>
      <c r="C41" s="1103"/>
      <c r="D41" s="521" t="s">
        <v>154</v>
      </c>
      <c r="E41" s="1095" t="s">
        <v>103</v>
      </c>
      <c r="F41" s="1096">
        <v>1</v>
      </c>
      <c r="G41" s="1096" t="s">
        <v>3010</v>
      </c>
      <c r="H41" s="1097" t="s">
        <v>1606</v>
      </c>
      <c r="I41" s="1095" t="s">
        <v>7140</v>
      </c>
      <c r="J41" s="1095" t="s">
        <v>7141</v>
      </c>
      <c r="K41" s="1095" t="s">
        <v>7286</v>
      </c>
      <c r="L41" s="1095" t="s">
        <v>7287</v>
      </c>
      <c r="M41" s="1095" t="s">
        <v>7288</v>
      </c>
      <c r="N41" s="1095" t="s">
        <v>7289</v>
      </c>
      <c r="O41" s="1095" t="s">
        <v>7290</v>
      </c>
      <c r="P41" s="1095" t="s">
        <v>7291</v>
      </c>
      <c r="Q41" s="1095" t="s">
        <v>7292</v>
      </c>
      <c r="R41" s="1119" t="s">
        <v>7293</v>
      </c>
      <c r="S41" s="2021">
        <f>IF(COUNTIF(Psíquicos!$C$25:$E$36,E41)=0,0,1)</f>
        <v>0</v>
      </c>
      <c r="U41" s="1095" t="str">
        <f t="shared" si="1"/>
        <v>MED</v>
      </c>
      <c r="V41" s="2303"/>
      <c r="W41" s="2303"/>
      <c r="X41" s="2303"/>
      <c r="Y41" s="2303"/>
      <c r="Z41" s="2303"/>
      <c r="AA41" s="2303"/>
      <c r="AB41" s="2303"/>
      <c r="AC41" s="2303"/>
      <c r="AD41" s="2303"/>
      <c r="AE41" s="2303"/>
      <c r="AF41" s="2303">
        <f>IF(ISNUMBER(SEARCH("&gt;",#REF!)),0,COUNTIF(Psíquicos!$AD$16:$AH$61,#REF!))</f>
        <v>0</v>
      </c>
      <c r="AG41" s="1095" t="str">
        <f>IF(AF41=0,"",VLOOKUP(#REF!,Psíquicos!$AD$11:$AK$64,8,FALSE))</f>
        <v/>
      </c>
      <c r="AH41" s="2393"/>
      <c r="AI41" s="2388" t="s">
        <v>154</v>
      </c>
    </row>
    <row r="42" spans="1:35" ht="12.75" customHeight="1" x14ac:dyDescent="0.2">
      <c r="A42" s="2027">
        <v>42</v>
      </c>
      <c r="B42" s="2019">
        <f>IF(OR(S42=0),0,SUM($S$6:S42))</f>
        <v>0</v>
      </c>
      <c r="C42" s="1103"/>
      <c r="D42" s="521" t="s">
        <v>155</v>
      </c>
      <c r="E42" s="1095" t="s">
        <v>103</v>
      </c>
      <c r="F42" s="1096">
        <v>1</v>
      </c>
      <c r="G42" s="1096" t="s">
        <v>1690</v>
      </c>
      <c r="H42" s="1097" t="s">
        <v>1606</v>
      </c>
      <c r="I42" s="1095" t="s">
        <v>7176</v>
      </c>
      <c r="J42" s="1095" t="s">
        <v>7140</v>
      </c>
      <c r="K42" s="1095" t="s">
        <v>7141</v>
      </c>
      <c r="L42" s="1095" t="s">
        <v>7294</v>
      </c>
      <c r="M42" s="1095" t="s">
        <v>7295</v>
      </c>
      <c r="N42" s="1095" t="s">
        <v>7296</v>
      </c>
      <c r="O42" s="1095" t="s">
        <v>7297</v>
      </c>
      <c r="P42" s="1095" t="s">
        <v>7298</v>
      </c>
      <c r="Q42" s="1095" t="s">
        <v>7299</v>
      </c>
      <c r="R42" s="1119" t="s">
        <v>7300</v>
      </c>
      <c r="S42" s="2021">
        <f>IF(COUNTIF(Psíquicos!$C$25:$E$36,E42)=0,0,1)</f>
        <v>0</v>
      </c>
      <c r="U42" s="1095" t="str">
        <f t="shared" si="1"/>
        <v>DIF</v>
      </c>
      <c r="V42" s="2303"/>
      <c r="W42" s="2303"/>
      <c r="X42" s="2303"/>
      <c r="Y42" s="2303"/>
      <c r="Z42" s="2303"/>
      <c r="AA42" s="2303"/>
      <c r="AB42" s="2303"/>
      <c r="AC42" s="2303"/>
      <c r="AD42" s="2303"/>
      <c r="AE42" s="2303"/>
      <c r="AF42" s="2303">
        <f>IF(ISNUMBER(SEARCH("&gt;",#REF!)),0,COUNTIF(Psíquicos!$AD$16:$AH$61,#REF!))</f>
        <v>0</v>
      </c>
      <c r="AG42" s="1095" t="str">
        <f>IF(AF42=0,"",VLOOKUP(#REF!,Psíquicos!$AD$11:$AK$64,8,FALSE))</f>
        <v/>
      </c>
      <c r="AH42" s="2393"/>
      <c r="AI42" s="2388" t="s">
        <v>155</v>
      </c>
    </row>
    <row r="43" spans="1:35" ht="12.75" customHeight="1" x14ac:dyDescent="0.2">
      <c r="A43" s="2027">
        <v>43</v>
      </c>
      <c r="B43" s="2019">
        <f>IF(OR(S43=0),0,SUM($S$6:S43))</f>
        <v>0</v>
      </c>
      <c r="C43" s="1103"/>
      <c r="D43" s="521" t="s">
        <v>156</v>
      </c>
      <c r="E43" s="1095" t="s">
        <v>103</v>
      </c>
      <c r="F43" s="1096">
        <v>2</v>
      </c>
      <c r="G43" s="1096" t="s">
        <v>3010</v>
      </c>
      <c r="H43" s="1097" t="s">
        <v>1606</v>
      </c>
      <c r="I43" s="1095" t="s">
        <v>7176</v>
      </c>
      <c r="J43" s="1095" t="s">
        <v>7140</v>
      </c>
      <c r="K43" s="1095" t="s">
        <v>7141</v>
      </c>
      <c r="L43" s="1095" t="s">
        <v>4909</v>
      </c>
      <c r="M43" s="1095" t="s">
        <v>4910</v>
      </c>
      <c r="N43" s="1095" t="s">
        <v>5632</v>
      </c>
      <c r="O43" s="1095" t="s">
        <v>4911</v>
      </c>
      <c r="P43" s="1095" t="s">
        <v>7301</v>
      </c>
      <c r="Q43" s="1095" t="s">
        <v>7302</v>
      </c>
      <c r="R43" s="1119" t="s">
        <v>7303</v>
      </c>
      <c r="S43" s="2021">
        <f>IF(COUNTIF(Psíquicos!$C$25:$E$36,E43)=0,0,1)</f>
        <v>0</v>
      </c>
      <c r="U43" s="1095" t="str">
        <f t="shared" si="1"/>
        <v>DIF</v>
      </c>
      <c r="V43" s="2303"/>
      <c r="W43" s="2303"/>
      <c r="X43" s="2303"/>
      <c r="Y43" s="2303"/>
      <c r="Z43" s="2303"/>
      <c r="AA43" s="2303"/>
      <c r="AB43" s="2303"/>
      <c r="AC43" s="2303"/>
      <c r="AD43" s="2303"/>
      <c r="AE43" s="2303"/>
      <c r="AF43" s="2303">
        <f>IF(ISNUMBER(SEARCH("&gt;",#REF!)),0,COUNTIF(Psíquicos!$AD$16:$AH$61,#REF!))</f>
        <v>0</v>
      </c>
      <c r="AG43" s="1095" t="str">
        <f>IF(AF43=0,"",VLOOKUP(#REF!,Psíquicos!$AD$11:$AK$64,8,FALSE))</f>
        <v/>
      </c>
      <c r="AH43" s="2393"/>
      <c r="AI43" s="2388" t="s">
        <v>156</v>
      </c>
    </row>
    <row r="44" spans="1:35" ht="12.75" customHeight="1" x14ac:dyDescent="0.2">
      <c r="A44" s="2027">
        <v>44</v>
      </c>
      <c r="B44" s="2019">
        <f>IF(OR(S44=0),0,SUM($S$6:S44))</f>
        <v>0</v>
      </c>
      <c r="C44" s="1103"/>
      <c r="D44" s="521" t="s">
        <v>157</v>
      </c>
      <c r="E44" s="1095" t="s">
        <v>103</v>
      </c>
      <c r="F44" s="1096">
        <v>2</v>
      </c>
      <c r="G44" s="1096" t="s">
        <v>3010</v>
      </c>
      <c r="H44" s="1097" t="s">
        <v>1607</v>
      </c>
      <c r="I44" s="1095" t="s">
        <v>7176</v>
      </c>
      <c r="J44" s="1095" t="s">
        <v>7140</v>
      </c>
      <c r="K44" s="1095" t="s">
        <v>7141</v>
      </c>
      <c r="L44" s="1095" t="s">
        <v>4909</v>
      </c>
      <c r="M44" s="1095" t="s">
        <v>4910</v>
      </c>
      <c r="N44" s="1095" t="s">
        <v>5632</v>
      </c>
      <c r="O44" s="1095" t="s">
        <v>4911</v>
      </c>
      <c r="P44" s="1095" t="s">
        <v>7301</v>
      </c>
      <c r="Q44" s="1095" t="s">
        <v>7302</v>
      </c>
      <c r="R44" s="1119" t="s">
        <v>7303</v>
      </c>
      <c r="S44" s="2021">
        <f>IF(COUNTIF(Psíquicos!$C$25:$E$36,E44)=0,0,1)</f>
        <v>0</v>
      </c>
      <c r="U44" s="1095" t="str">
        <f t="shared" si="1"/>
        <v>DIF</v>
      </c>
      <c r="V44" s="2303"/>
      <c r="W44" s="2303"/>
      <c r="X44" s="2303"/>
      <c r="Y44" s="2303"/>
      <c r="Z44" s="2303"/>
      <c r="AA44" s="2303"/>
      <c r="AB44" s="2303"/>
      <c r="AC44" s="2303"/>
      <c r="AD44" s="2303"/>
      <c r="AE44" s="2303"/>
      <c r="AF44" s="2303">
        <f>IF(ISNUMBER(SEARCH("&gt;",#REF!)),0,COUNTIF(Psíquicos!$AD$16:$AH$61,#REF!))</f>
        <v>0</v>
      </c>
      <c r="AG44" s="1095" t="str">
        <f>IF(AF44=0,"",VLOOKUP(#REF!,Psíquicos!$AD$11:$AK$64,8,FALSE))</f>
        <v/>
      </c>
      <c r="AH44" s="2393"/>
      <c r="AI44" s="2388" t="s">
        <v>157</v>
      </c>
    </row>
    <row r="45" spans="1:35" ht="12.75" customHeight="1" x14ac:dyDescent="0.2">
      <c r="A45" s="2027">
        <v>45</v>
      </c>
      <c r="B45" s="2019">
        <f>IF(OR(S45=0),0,SUM($S$6:S45))</f>
        <v>0</v>
      </c>
      <c r="C45" s="1103"/>
      <c r="D45" s="521" t="s">
        <v>158</v>
      </c>
      <c r="E45" s="1095" t="s">
        <v>103</v>
      </c>
      <c r="F45" s="1096">
        <v>2</v>
      </c>
      <c r="G45" s="1096" t="s">
        <v>3010</v>
      </c>
      <c r="H45" s="1097" t="s">
        <v>1606</v>
      </c>
      <c r="I45" s="1095" t="s">
        <v>7177</v>
      </c>
      <c r="J45" s="1095" t="s">
        <v>7176</v>
      </c>
      <c r="K45" s="1095" t="s">
        <v>7140</v>
      </c>
      <c r="L45" s="1095" t="s">
        <v>7141</v>
      </c>
      <c r="M45" s="1095" t="s">
        <v>7294</v>
      </c>
      <c r="N45" s="1095" t="s">
        <v>7295</v>
      </c>
      <c r="O45" s="1095" t="s">
        <v>7304</v>
      </c>
      <c r="P45" s="1095" t="s">
        <v>7305</v>
      </c>
      <c r="Q45" s="1095" t="s">
        <v>7306</v>
      </c>
      <c r="R45" s="1119" t="s">
        <v>7307</v>
      </c>
      <c r="S45" s="2021">
        <f>IF(COUNTIF(Psíquicos!$C$25:$E$36,E45)=0,0,1)</f>
        <v>0</v>
      </c>
      <c r="U45" s="1095" t="str">
        <f t="shared" si="1"/>
        <v>MDF</v>
      </c>
      <c r="V45" s="2303"/>
      <c r="W45" s="2303"/>
      <c r="X45" s="2303"/>
      <c r="Y45" s="2303"/>
      <c r="Z45" s="2303"/>
      <c r="AA45" s="2303"/>
      <c r="AB45" s="2303"/>
      <c r="AC45" s="2303"/>
      <c r="AD45" s="2303"/>
      <c r="AE45" s="2303"/>
      <c r="AF45" s="2303">
        <f>IF(ISNUMBER(SEARCH("&gt;",#REF!)),0,COUNTIF(Psíquicos!$AD$16:$AH$61,#REF!))</f>
        <v>0</v>
      </c>
      <c r="AG45" s="1095" t="str">
        <f>IF(AF45=0,"",VLOOKUP(#REF!,Psíquicos!$AD$11:$AK$64,8,FALSE))</f>
        <v/>
      </c>
      <c r="AH45" s="2393"/>
      <c r="AI45" s="2388" t="s">
        <v>158</v>
      </c>
    </row>
    <row r="46" spans="1:35" ht="12.75" customHeight="1" x14ac:dyDescent="0.2">
      <c r="A46" s="2027">
        <v>46</v>
      </c>
      <c r="B46" s="2019">
        <f>IF(OR(S46=0),0,SUM($S$6:S46))</f>
        <v>0</v>
      </c>
      <c r="C46" s="1103"/>
      <c r="D46" s="521" t="s">
        <v>159</v>
      </c>
      <c r="E46" s="1095" t="s">
        <v>103</v>
      </c>
      <c r="F46" s="1096">
        <v>2</v>
      </c>
      <c r="G46" s="1096" t="s">
        <v>3010</v>
      </c>
      <c r="H46" s="1097" t="s">
        <v>1606</v>
      </c>
      <c r="I46" s="1095" t="s">
        <v>7177</v>
      </c>
      <c r="J46" s="1095" t="s">
        <v>7176</v>
      </c>
      <c r="K46" s="1095" t="s">
        <v>7140</v>
      </c>
      <c r="L46" s="1095" t="s">
        <v>7141</v>
      </c>
      <c r="M46" s="1095" t="s">
        <v>7308</v>
      </c>
      <c r="N46" s="1095" t="s">
        <v>7309</v>
      </c>
      <c r="O46" s="1095" t="s">
        <v>7310</v>
      </c>
      <c r="P46" s="1095" t="s">
        <v>7311</v>
      </c>
      <c r="Q46" s="1095" t="s">
        <v>7312</v>
      </c>
      <c r="R46" s="1119" t="s">
        <v>7313</v>
      </c>
      <c r="S46" s="2021">
        <f>IF(COUNTIF(Psíquicos!$C$25:$E$36,E46)=0,0,1)</f>
        <v>0</v>
      </c>
      <c r="U46" s="1095" t="str">
        <f t="shared" si="1"/>
        <v>MDF</v>
      </c>
      <c r="V46" s="2303"/>
      <c r="W46" s="2303"/>
      <c r="X46" s="2303"/>
      <c r="Y46" s="2303"/>
      <c r="Z46" s="2303"/>
      <c r="AA46" s="2303"/>
      <c r="AB46" s="2303"/>
      <c r="AC46" s="2303"/>
      <c r="AD46" s="2303"/>
      <c r="AE46" s="2303"/>
      <c r="AF46" s="2303">
        <f>IF(ISNUMBER(SEARCH("&gt;",#REF!)),0,COUNTIF(Psíquicos!$AD$16:$AH$61,#REF!))</f>
        <v>0</v>
      </c>
      <c r="AG46" s="1095" t="str">
        <f>IF(AF46=0,"",VLOOKUP(#REF!,Psíquicos!$AD$11:$AK$64,8,FALSE))</f>
        <v/>
      </c>
      <c r="AH46" s="2393"/>
      <c r="AI46" s="2388" t="s">
        <v>159</v>
      </c>
    </row>
    <row r="47" spans="1:35" ht="12.75" customHeight="1" x14ac:dyDescent="0.2">
      <c r="A47" s="2027">
        <v>47</v>
      </c>
      <c r="B47" s="2019">
        <f>IF(OR(S47=0),0,SUM($S$6:S47))</f>
        <v>0</v>
      </c>
      <c r="C47" s="1103"/>
      <c r="D47" s="521" t="s">
        <v>160</v>
      </c>
      <c r="E47" s="1095" t="s">
        <v>103</v>
      </c>
      <c r="F47" s="1096">
        <v>3</v>
      </c>
      <c r="G47" s="1096" t="s">
        <v>1690</v>
      </c>
      <c r="H47" s="1097" t="s">
        <v>1606</v>
      </c>
      <c r="I47" s="1095" t="s">
        <v>7192</v>
      </c>
      <c r="J47" s="1095" t="s">
        <v>7191</v>
      </c>
      <c r="K47" s="1095" t="s">
        <v>7178</v>
      </c>
      <c r="L47" s="1095" t="s">
        <v>7177</v>
      </c>
      <c r="M47" s="1095" t="s">
        <v>7176</v>
      </c>
      <c r="N47" s="1095" t="s">
        <v>7314</v>
      </c>
      <c r="O47" s="1095" t="s">
        <v>7315</v>
      </c>
      <c r="P47" s="1095" t="s">
        <v>7316</v>
      </c>
      <c r="Q47" s="1095" t="s">
        <v>7317</v>
      </c>
      <c r="R47" s="1119" t="s">
        <v>7318</v>
      </c>
      <c r="S47" s="2021">
        <f>IF(COUNTIF(Psíquicos!$C$25:$E$36,E47)=0,0,1)</f>
        <v>0</v>
      </c>
      <c r="U47" s="1095" t="str">
        <f t="shared" si="1"/>
        <v>ABS</v>
      </c>
      <c r="V47" s="2303"/>
      <c r="W47" s="2303"/>
      <c r="X47" s="2303"/>
      <c r="Y47" s="2303"/>
      <c r="Z47" s="2303"/>
      <c r="AA47" s="2303"/>
      <c r="AB47" s="2303"/>
      <c r="AC47" s="2303"/>
      <c r="AD47" s="2303"/>
      <c r="AE47" s="2303"/>
      <c r="AF47" s="2303">
        <f>IF(ISNUMBER(SEARCH("&gt;",#REF!)),0,COUNTIF(Psíquicos!$AD$16:$AH$61,#REF!))</f>
        <v>0</v>
      </c>
      <c r="AG47" s="1095" t="str">
        <f>IF(AF47=0,"",VLOOKUP(#REF!,Psíquicos!$AD$11:$AK$64,8,FALSE))</f>
        <v/>
      </c>
      <c r="AH47" s="2393"/>
      <c r="AI47" s="2388" t="s">
        <v>160</v>
      </c>
    </row>
    <row r="48" spans="1:35" ht="12.75" customHeight="1" x14ac:dyDescent="0.2">
      <c r="A48" s="2027">
        <v>48</v>
      </c>
      <c r="B48" s="2019">
        <f>IF(OR(S48=0),0,SUM($S$6:S48))</f>
        <v>0</v>
      </c>
      <c r="C48" s="1103"/>
      <c r="D48" s="521" t="s">
        <v>161</v>
      </c>
      <c r="E48" s="1095" t="s">
        <v>103</v>
      </c>
      <c r="F48" s="1096">
        <v>3</v>
      </c>
      <c r="G48" s="1096" t="s">
        <v>3010</v>
      </c>
      <c r="H48" s="1097" t="s">
        <v>1606</v>
      </c>
      <c r="I48" s="1095" t="s">
        <v>7192</v>
      </c>
      <c r="J48" s="1095" t="s">
        <v>7191</v>
      </c>
      <c r="K48" s="1095" t="s">
        <v>7178</v>
      </c>
      <c r="L48" s="1095" t="s">
        <v>7319</v>
      </c>
      <c r="M48" s="1095" t="s">
        <v>7320</v>
      </c>
      <c r="N48" s="1095" t="s">
        <v>7321</v>
      </c>
      <c r="O48" s="1095" t="s">
        <v>6378</v>
      </c>
      <c r="P48" s="1095" t="s">
        <v>7322</v>
      </c>
      <c r="Q48" s="1095" t="s">
        <v>6379</v>
      </c>
      <c r="R48" s="1119" t="s">
        <v>7323</v>
      </c>
      <c r="S48" s="2021">
        <f>IF(COUNTIF(Psíquicos!$C$25:$E$36,E48)=0,0,1)</f>
        <v>0</v>
      </c>
      <c r="U48" s="1095" t="str">
        <f t="shared" si="1"/>
        <v>DIF</v>
      </c>
      <c r="V48" s="2303"/>
      <c r="W48" s="2303"/>
      <c r="X48" s="2303"/>
      <c r="Y48" s="2303"/>
      <c r="Z48" s="2303"/>
      <c r="AA48" s="2303"/>
      <c r="AB48" s="2303"/>
      <c r="AC48" s="2303"/>
      <c r="AD48" s="2303"/>
      <c r="AE48" s="2303"/>
      <c r="AF48" s="2303">
        <f>IF(ISNUMBER(SEARCH("&gt;",#REF!)),0,COUNTIF(Psíquicos!$AD$16:$AH$61,#REF!))</f>
        <v>0</v>
      </c>
      <c r="AG48" s="1095" t="str">
        <f>IF(AF48=0,"",VLOOKUP(#REF!,Psíquicos!$AD$11:$AK$64,8,FALSE))</f>
        <v/>
      </c>
      <c r="AH48" s="2393"/>
      <c r="AI48" s="2388" t="s">
        <v>161</v>
      </c>
    </row>
    <row r="49" spans="1:35" ht="12.75" customHeight="1" x14ac:dyDescent="0.2">
      <c r="A49" s="2027">
        <v>49</v>
      </c>
      <c r="B49" s="2019">
        <f>IF(OR(S49=0),0,SUM($S$6:S49))</f>
        <v>0</v>
      </c>
      <c r="C49" s="1103"/>
      <c r="D49" s="521" t="s">
        <v>162</v>
      </c>
      <c r="E49" s="1095" t="s">
        <v>103</v>
      </c>
      <c r="F49" s="1096">
        <v>3</v>
      </c>
      <c r="G49" s="1096" t="s">
        <v>3010</v>
      </c>
      <c r="H49" s="1097" t="s">
        <v>1606</v>
      </c>
      <c r="I49" s="1095" t="s">
        <v>7266</v>
      </c>
      <c r="J49" s="1095" t="s">
        <v>7192</v>
      </c>
      <c r="K49" s="1095" t="s">
        <v>7191</v>
      </c>
      <c r="L49" s="1095" t="s">
        <v>7178</v>
      </c>
      <c r="M49" s="1095" t="s">
        <v>7177</v>
      </c>
      <c r="N49" s="1095" t="s">
        <v>7176</v>
      </c>
      <c r="O49" s="1095" t="s">
        <v>7301</v>
      </c>
      <c r="P49" s="1095" t="s">
        <v>7302</v>
      </c>
      <c r="Q49" s="1095" t="s">
        <v>7303</v>
      </c>
      <c r="R49" s="1119" t="s">
        <v>7324</v>
      </c>
      <c r="S49" s="2021">
        <f>IF(COUNTIF(Psíquicos!$C$25:$E$36,E49)=0,0,1)</f>
        <v>0</v>
      </c>
      <c r="U49" s="1095" t="str">
        <f t="shared" si="1"/>
        <v>CIM</v>
      </c>
      <c r="V49" s="2303"/>
      <c r="W49" s="2303"/>
      <c r="X49" s="2303"/>
      <c r="Y49" s="2303"/>
      <c r="Z49" s="2303"/>
      <c r="AA49" s="2303"/>
      <c r="AB49" s="2303"/>
      <c r="AC49" s="2303"/>
      <c r="AD49" s="2303"/>
      <c r="AE49" s="2303"/>
      <c r="AF49" s="2303">
        <f>IF(ISNUMBER(SEARCH("&gt;",#REF!)),0,COUNTIF(Psíquicos!$AD$16:$AH$61,#REF!))</f>
        <v>0</v>
      </c>
      <c r="AG49" s="1095" t="str">
        <f>IF(AF49=0,"",VLOOKUP(#REF!,Psíquicos!$AD$11:$AK$64,8,FALSE))</f>
        <v/>
      </c>
      <c r="AH49" s="2393"/>
      <c r="AI49" s="2388" t="s">
        <v>162</v>
      </c>
    </row>
    <row r="50" spans="1:35" ht="12.75" customHeight="1" x14ac:dyDescent="0.2">
      <c r="A50" s="2027">
        <v>50</v>
      </c>
      <c r="B50" s="2019">
        <f>IF(OR(S50=0),0,SUM($S$6:S50))</f>
        <v>0</v>
      </c>
      <c r="C50" s="1103"/>
      <c r="D50" s="521" t="s">
        <v>163</v>
      </c>
      <c r="E50" s="1095"/>
      <c r="F50" s="1096"/>
      <c r="G50" s="1096"/>
      <c r="H50" s="1097"/>
      <c r="I50" s="1095"/>
      <c r="J50" s="1095"/>
      <c r="K50" s="1095"/>
      <c r="L50" s="1095"/>
      <c r="M50" s="1095"/>
      <c r="N50" s="1095"/>
      <c r="O50" s="1095"/>
      <c r="P50" s="1095"/>
      <c r="Q50" s="1095"/>
      <c r="R50" s="1119"/>
      <c r="S50" s="2023">
        <f>S51</f>
        <v>0</v>
      </c>
      <c r="U50" s="1095"/>
      <c r="V50" s="2303"/>
      <c r="W50" s="2303"/>
      <c r="X50" s="2303"/>
      <c r="Y50" s="2303"/>
      <c r="Z50" s="2303"/>
      <c r="AA50" s="2303"/>
      <c r="AB50" s="2303"/>
      <c r="AC50" s="2303"/>
      <c r="AD50" s="2303"/>
      <c r="AE50" s="2303"/>
      <c r="AF50" s="2303">
        <f>IF(ISNUMBER(SEARCH("&gt;",#REF!)),0,COUNTIF(Psíquicos!$AD$16:$AH$61,#REF!))</f>
        <v>0</v>
      </c>
      <c r="AG50" s="1095" t="str">
        <f>IF(AF50=0,"",VLOOKUP(#REF!,Psíquicos!$AD$11:$AK$64,8,FALSE))</f>
        <v/>
      </c>
      <c r="AH50" s="2393"/>
      <c r="AI50" s="2388" t="s">
        <v>163</v>
      </c>
    </row>
    <row r="51" spans="1:35" ht="12.75" customHeight="1" x14ac:dyDescent="0.2">
      <c r="A51" s="2027">
        <v>51</v>
      </c>
      <c r="B51" s="2019">
        <f>IF(OR(S51=0),0,SUM($S$6:S51))</f>
        <v>0</v>
      </c>
      <c r="C51" s="1103"/>
      <c r="D51" s="521" t="s">
        <v>164</v>
      </c>
      <c r="E51" s="1095" t="s">
        <v>105</v>
      </c>
      <c r="F51" s="1096">
        <v>1</v>
      </c>
      <c r="G51" s="1096" t="s">
        <v>3010</v>
      </c>
      <c r="H51" s="1097" t="s">
        <v>1606</v>
      </c>
      <c r="I51" s="1095" t="s">
        <v>7141</v>
      </c>
      <c r="J51" s="1095" t="s">
        <v>4908</v>
      </c>
      <c r="K51" s="1095" t="s">
        <v>6157</v>
      </c>
      <c r="L51" s="1095" t="s">
        <v>4909</v>
      </c>
      <c r="M51" s="1095" t="s">
        <v>7274</v>
      </c>
      <c r="N51" s="1095" t="s">
        <v>4910</v>
      </c>
      <c r="O51" s="1095" t="s">
        <v>7275</v>
      </c>
      <c r="P51" s="1095" t="s">
        <v>7276</v>
      </c>
      <c r="Q51" s="1095" t="s">
        <v>4911</v>
      </c>
      <c r="R51" s="1119" t="s">
        <v>5633</v>
      </c>
      <c r="S51" s="2021">
        <f>IF(COUNTIF(Psíquicos!$C$25:$E$36,E51)=0,0,1)</f>
        <v>0</v>
      </c>
      <c r="U51" s="1095" t="str">
        <f t="shared" si="1"/>
        <v>FAC</v>
      </c>
      <c r="V51" s="2303"/>
      <c r="W51" s="2303"/>
      <c r="X51" s="2303"/>
      <c r="Y51" s="2303"/>
      <c r="Z51" s="2303"/>
      <c r="AA51" s="2303"/>
      <c r="AB51" s="2303"/>
      <c r="AC51" s="2303"/>
      <c r="AD51" s="2303"/>
      <c r="AE51" s="2303"/>
      <c r="AF51" s="2303">
        <f>IF(ISNUMBER(SEARCH("&gt;",#REF!)),0,COUNTIF(Psíquicos!$AD$16:$AH$61,#REF!))</f>
        <v>0</v>
      </c>
      <c r="AG51" s="1095" t="str">
        <f>IF(AF51=0,"",VLOOKUP(#REF!,Psíquicos!$AD$11:$AK$64,8,FALSE))</f>
        <v/>
      </c>
      <c r="AH51" s="2393"/>
      <c r="AI51" s="2388" t="s">
        <v>164</v>
      </c>
    </row>
    <row r="52" spans="1:35" ht="12.75" customHeight="1" x14ac:dyDescent="0.2">
      <c r="A52" s="2027">
        <v>52</v>
      </c>
      <c r="B52" s="2019">
        <f>IF(OR(S52=0),0,SUM($S$6:S52))</f>
        <v>0</v>
      </c>
      <c r="C52" s="1103"/>
      <c r="D52" s="521" t="s">
        <v>165</v>
      </c>
      <c r="E52" s="1095" t="s">
        <v>105</v>
      </c>
      <c r="F52" s="1096">
        <v>1</v>
      </c>
      <c r="G52" s="1096" t="s">
        <v>3010</v>
      </c>
      <c r="H52" s="1097" t="s">
        <v>1606</v>
      </c>
      <c r="I52" s="1095" t="s">
        <v>7176</v>
      </c>
      <c r="J52" s="1095" t="s">
        <v>7140</v>
      </c>
      <c r="K52" s="1095" t="s">
        <v>7141</v>
      </c>
      <c r="L52" s="1095" t="s">
        <v>7325</v>
      </c>
      <c r="M52" s="1095" t="s">
        <v>7326</v>
      </c>
      <c r="N52" s="1095" t="s">
        <v>7327</v>
      </c>
      <c r="O52" s="1095" t="s">
        <v>7328</v>
      </c>
      <c r="P52" s="1095" t="s">
        <v>5637</v>
      </c>
      <c r="Q52" s="1095" t="s">
        <v>5639</v>
      </c>
      <c r="R52" s="1119" t="s">
        <v>7329</v>
      </c>
      <c r="S52" s="2021">
        <f>IF(COUNTIF(Psíquicos!$C$25:$E$36,E52)=0,0,1)</f>
        <v>0</v>
      </c>
      <c r="U52" s="1095" t="str">
        <f t="shared" si="1"/>
        <v>DIF</v>
      </c>
      <c r="V52" s="2303"/>
      <c r="W52" s="2303"/>
      <c r="X52" s="2303"/>
      <c r="Y52" s="2303"/>
      <c r="Z52" s="2303"/>
      <c r="AA52" s="2303"/>
      <c r="AB52" s="2303"/>
      <c r="AC52" s="2303"/>
      <c r="AD52" s="2303"/>
      <c r="AE52" s="2303"/>
      <c r="AF52" s="2303">
        <f>IF(ISNUMBER(SEARCH("&gt;",#REF!)),0,COUNTIF(Psíquicos!$AD$16:$AH$61,#REF!))</f>
        <v>0</v>
      </c>
      <c r="AG52" s="1095" t="str">
        <f>IF(AF52=0,"",VLOOKUP(#REF!,Psíquicos!$AD$11:$AK$64,8,FALSE))</f>
        <v/>
      </c>
      <c r="AH52" s="2393"/>
      <c r="AI52" s="2388" t="s">
        <v>165</v>
      </c>
    </row>
    <row r="53" spans="1:35" ht="12.75" customHeight="1" x14ac:dyDescent="0.2">
      <c r="A53" s="2027">
        <v>53</v>
      </c>
      <c r="B53" s="2019">
        <f>IF(OR(S53=0),0,SUM($S$6:S53))</f>
        <v>0</v>
      </c>
      <c r="C53" s="1103"/>
      <c r="D53" s="521" t="s">
        <v>166</v>
      </c>
      <c r="E53" s="1095" t="s">
        <v>105</v>
      </c>
      <c r="F53" s="1096">
        <v>1</v>
      </c>
      <c r="G53" s="1096" t="s">
        <v>3010</v>
      </c>
      <c r="H53" s="1097" t="s">
        <v>1606</v>
      </c>
      <c r="I53" s="1095" t="s">
        <v>7141</v>
      </c>
      <c r="J53" s="1095" t="s">
        <v>7277</v>
      </c>
      <c r="K53" s="1095" t="s">
        <v>7278</v>
      </c>
      <c r="L53" s="1095" t="s">
        <v>7279</v>
      </c>
      <c r="M53" s="1095" t="s">
        <v>7280</v>
      </c>
      <c r="N53" s="1095" t="s">
        <v>7281</v>
      </c>
      <c r="O53" s="1095" t="s">
        <v>7282</v>
      </c>
      <c r="P53" s="1095" t="s">
        <v>7283</v>
      </c>
      <c r="Q53" s="1095" t="s">
        <v>7284</v>
      </c>
      <c r="R53" s="1119" t="s">
        <v>7285</v>
      </c>
      <c r="S53" s="2021">
        <f>IF(COUNTIF(Psíquicos!$C$25:$E$36,E53)=0,0,1)</f>
        <v>0</v>
      </c>
      <c r="U53" s="1095" t="str">
        <f t="shared" si="1"/>
        <v>FAC</v>
      </c>
      <c r="V53" s="2303"/>
      <c r="W53" s="2303"/>
      <c r="X53" s="2303"/>
      <c r="Y53" s="2303"/>
      <c r="Z53" s="2303"/>
      <c r="AA53" s="2303"/>
      <c r="AB53" s="2303"/>
      <c r="AC53" s="2303"/>
      <c r="AD53" s="2303"/>
      <c r="AE53" s="2303"/>
      <c r="AF53" s="2303">
        <f>IF(ISNUMBER(SEARCH("&gt;",#REF!)),0,COUNTIF(Psíquicos!$AD$16:$AH$61,#REF!))</f>
        <v>0</v>
      </c>
      <c r="AG53" s="1095" t="str">
        <f>IF(AF53=0,"",VLOOKUP(#REF!,Psíquicos!$AD$11:$AK$64,8,FALSE))</f>
        <v/>
      </c>
      <c r="AH53" s="2393"/>
      <c r="AI53" s="2388" t="s">
        <v>166</v>
      </c>
    </row>
    <row r="54" spans="1:35" ht="12.75" customHeight="1" x14ac:dyDescent="0.2">
      <c r="A54" s="2027">
        <v>54</v>
      </c>
      <c r="B54" s="2019">
        <f>IF(OR(S54=0),0,SUM($S$6:S54))</f>
        <v>0</v>
      </c>
      <c r="C54" s="1103"/>
      <c r="D54" s="521" t="s">
        <v>167</v>
      </c>
      <c r="E54" s="1095" t="s">
        <v>105</v>
      </c>
      <c r="F54" s="1096">
        <v>1</v>
      </c>
      <c r="G54" s="1096" t="s">
        <v>1690</v>
      </c>
      <c r="H54" s="1097" t="s">
        <v>1606</v>
      </c>
      <c r="I54" s="1095" t="s">
        <v>7140</v>
      </c>
      <c r="J54" s="1095" t="s">
        <v>7141</v>
      </c>
      <c r="K54" s="1095" t="s">
        <v>7286</v>
      </c>
      <c r="L54" s="1095" t="s">
        <v>7287</v>
      </c>
      <c r="M54" s="1095" t="s">
        <v>7288</v>
      </c>
      <c r="N54" s="1095" t="s">
        <v>7289</v>
      </c>
      <c r="O54" s="1095" t="s">
        <v>7290</v>
      </c>
      <c r="P54" s="1095" t="s">
        <v>7291</v>
      </c>
      <c r="Q54" s="1095" t="s">
        <v>7292</v>
      </c>
      <c r="R54" s="1119" t="s">
        <v>7293</v>
      </c>
      <c r="S54" s="2021">
        <f>IF(COUNTIF(Psíquicos!$C$25:$E$36,E54)=0,0,1)</f>
        <v>0</v>
      </c>
      <c r="U54" s="1095" t="str">
        <f t="shared" si="1"/>
        <v>MED</v>
      </c>
      <c r="V54" s="2303"/>
      <c r="W54" s="2303"/>
      <c r="X54" s="2303"/>
      <c r="Y54" s="2303"/>
      <c r="Z54" s="2303"/>
      <c r="AA54" s="2303"/>
      <c r="AB54" s="2303"/>
      <c r="AC54" s="2303"/>
      <c r="AD54" s="2303"/>
      <c r="AE54" s="2303"/>
      <c r="AF54" s="2303">
        <f>IF(ISNUMBER(SEARCH("&gt;",#REF!)),0,COUNTIF(Psíquicos!$AD$16:$AH$61,#REF!))</f>
        <v>0</v>
      </c>
      <c r="AG54" s="1095" t="str">
        <f>IF(AF54=0,"",VLOOKUP(#REF!,Psíquicos!$AD$11:$AK$64,8,FALSE))</f>
        <v/>
      </c>
      <c r="AH54" s="2393"/>
      <c r="AI54" s="2388" t="s">
        <v>167</v>
      </c>
    </row>
    <row r="55" spans="1:35" ht="12.75" customHeight="1" x14ac:dyDescent="0.2">
      <c r="A55" s="2027">
        <v>55</v>
      </c>
      <c r="B55" s="2019">
        <f>IF(OR(S55=0),0,SUM($S$6:S55))</f>
        <v>0</v>
      </c>
      <c r="C55" s="1103"/>
      <c r="D55" s="521" t="s">
        <v>168</v>
      </c>
      <c r="E55" s="1095" t="s">
        <v>105</v>
      </c>
      <c r="F55" s="1096">
        <v>1</v>
      </c>
      <c r="G55" s="1096" t="s">
        <v>3010</v>
      </c>
      <c r="H55" s="1097" t="s">
        <v>1606</v>
      </c>
      <c r="I55" s="1095" t="s">
        <v>7178</v>
      </c>
      <c r="J55" s="1095" t="s">
        <v>7177</v>
      </c>
      <c r="K55" s="1095" t="s">
        <v>7176</v>
      </c>
      <c r="L55" s="1095" t="s">
        <v>7175</v>
      </c>
      <c r="M55" s="1095" t="s">
        <v>7158</v>
      </c>
      <c r="N55" s="1095" t="s">
        <v>7159</v>
      </c>
      <c r="O55" s="1095" t="s">
        <v>7160</v>
      </c>
      <c r="P55" s="1095" t="s">
        <v>7161</v>
      </c>
      <c r="Q55" s="1095" t="s">
        <v>7162</v>
      </c>
      <c r="R55" s="1119" t="s">
        <v>7164</v>
      </c>
      <c r="S55" s="2021">
        <f>IF(COUNTIF(Psíquicos!$C$25:$E$36,E55)=0,0,1)</f>
        <v>0</v>
      </c>
      <c r="U55" s="1095" t="str">
        <f t="shared" si="1"/>
        <v>DIF</v>
      </c>
      <c r="V55" s="2303"/>
      <c r="W55" s="2303"/>
      <c r="X55" s="2304"/>
      <c r="Y55" s="2304"/>
      <c r="Z55" s="2304"/>
      <c r="AA55" s="2304"/>
      <c r="AB55" s="2303"/>
      <c r="AC55" s="2303"/>
      <c r="AD55" s="2303"/>
      <c r="AE55" s="2304"/>
      <c r="AF55" s="2303">
        <f>IF(ISNUMBER(SEARCH("&gt;",#REF!)),0,COUNTIF(Psíquicos!$AD$16:$AH$61,#REF!))</f>
        <v>0</v>
      </c>
      <c r="AG55" s="1095" t="str">
        <f>IF(AF55=0,"",VLOOKUP(#REF!,Psíquicos!$AD$11:$AK$64,8,FALSE))</f>
        <v/>
      </c>
      <c r="AH55" s="2393"/>
      <c r="AI55" s="2388" t="s">
        <v>168</v>
      </c>
    </row>
    <row r="56" spans="1:35" ht="12.75" customHeight="1" x14ac:dyDescent="0.2">
      <c r="A56" s="2027">
        <v>56</v>
      </c>
      <c r="B56" s="2019">
        <f>IF(OR(S56=0),0,SUM($S$6:S56))</f>
        <v>0</v>
      </c>
      <c r="C56" s="1103"/>
      <c r="D56" s="521" t="s">
        <v>169</v>
      </c>
      <c r="E56" s="1095" t="s">
        <v>105</v>
      </c>
      <c r="F56" s="1096">
        <v>2</v>
      </c>
      <c r="G56" s="1096" t="s">
        <v>1690</v>
      </c>
      <c r="H56" s="1097" t="s">
        <v>1606</v>
      </c>
      <c r="I56" s="1095" t="s">
        <v>7178</v>
      </c>
      <c r="J56" s="1095" t="s">
        <v>7177</v>
      </c>
      <c r="K56" s="1095" t="s">
        <v>7176</v>
      </c>
      <c r="L56" s="1095" t="s">
        <v>7140</v>
      </c>
      <c r="M56" s="1095" t="s">
        <v>7141</v>
      </c>
      <c r="N56" s="1095" t="s">
        <v>6034</v>
      </c>
      <c r="O56" s="1095" t="s">
        <v>5128</v>
      </c>
      <c r="P56" s="1095" t="s">
        <v>4802</v>
      </c>
      <c r="Q56" s="1095" t="s">
        <v>7330</v>
      </c>
      <c r="R56" s="1119" t="s">
        <v>7331</v>
      </c>
      <c r="S56" s="2021">
        <f>IF(COUNTIF(Psíquicos!$C$25:$E$36,E56)=0,0,1)</f>
        <v>0</v>
      </c>
      <c r="U56" s="1095" t="str">
        <f t="shared" si="1"/>
        <v>ABS</v>
      </c>
      <c r="V56" s="2303"/>
      <c r="W56" s="2303"/>
      <c r="X56" s="2303"/>
      <c r="Y56" s="2303"/>
      <c r="Z56" s="2303"/>
      <c r="AA56" s="2303"/>
      <c r="AB56" s="2303"/>
      <c r="AC56" s="2303"/>
      <c r="AD56" s="2303"/>
      <c r="AE56" s="2303"/>
      <c r="AF56" s="2303">
        <f>IF(ISNUMBER(SEARCH("&gt;",#REF!)),0,COUNTIF(Psíquicos!$AD$16:$AH$61,#REF!))</f>
        <v>0</v>
      </c>
      <c r="AG56" s="1095" t="str">
        <f>IF(AF56=0,"",VLOOKUP(#REF!,Psíquicos!$AD$11:$AK$64,8,FALSE))</f>
        <v/>
      </c>
      <c r="AH56" s="2393"/>
      <c r="AI56" s="2388" t="s">
        <v>169</v>
      </c>
    </row>
    <row r="57" spans="1:35" ht="12.75" customHeight="1" x14ac:dyDescent="0.2">
      <c r="A57" s="2027">
        <v>57</v>
      </c>
      <c r="B57" s="2019">
        <f>IF(OR(S57=0),0,SUM($S$6:S57))</f>
        <v>0</v>
      </c>
      <c r="C57" s="1103"/>
      <c r="D57" s="521" t="s">
        <v>170</v>
      </c>
      <c r="E57" s="1095" t="s">
        <v>105</v>
      </c>
      <c r="F57" s="1096">
        <v>2</v>
      </c>
      <c r="G57" s="1096" t="s">
        <v>3010</v>
      </c>
      <c r="H57" s="1097" t="s">
        <v>1606</v>
      </c>
      <c r="I57" s="1095" t="s">
        <v>7177</v>
      </c>
      <c r="J57" s="1095" t="s">
        <v>7176</v>
      </c>
      <c r="K57" s="1095" t="s">
        <v>7140</v>
      </c>
      <c r="L57" s="1095" t="s">
        <v>7141</v>
      </c>
      <c r="M57" s="1095" t="s">
        <v>7332</v>
      </c>
      <c r="N57" s="1095" t="s">
        <v>7333</v>
      </c>
      <c r="O57" s="1095" t="s">
        <v>7334</v>
      </c>
      <c r="P57" s="1095" t="s">
        <v>7335</v>
      </c>
      <c r="Q57" s="1095" t="s">
        <v>7336</v>
      </c>
      <c r="R57" s="1119" t="s">
        <v>7337</v>
      </c>
      <c r="S57" s="2021">
        <f>IF(COUNTIF(Psíquicos!$C$25:$E$36,E57)=0,0,1)</f>
        <v>0</v>
      </c>
      <c r="U57" s="1095" t="str">
        <f t="shared" si="1"/>
        <v>MDF</v>
      </c>
      <c r="V57" s="2303"/>
      <c r="W57" s="2303"/>
      <c r="X57" s="2303"/>
      <c r="Y57" s="2303"/>
      <c r="Z57" s="2303"/>
      <c r="AA57" s="2303"/>
      <c r="AB57" s="2303"/>
      <c r="AC57" s="2303"/>
      <c r="AD57" s="2303"/>
      <c r="AE57" s="2303"/>
      <c r="AF57" s="2303">
        <f>IF(ISNUMBER(SEARCH("&gt;",#REF!)),0,COUNTIF(Psíquicos!$AD$16:$AH$61,#REF!))</f>
        <v>0</v>
      </c>
      <c r="AG57" s="1095" t="str">
        <f>IF(AF57=0,"",VLOOKUP(#REF!,Psíquicos!$AD$11:$AK$64,8,FALSE))</f>
        <v/>
      </c>
      <c r="AH57" s="2393"/>
      <c r="AI57" s="2388" t="s">
        <v>170</v>
      </c>
    </row>
    <row r="58" spans="1:35" ht="12.75" customHeight="1" x14ac:dyDescent="0.2">
      <c r="A58" s="2027">
        <v>58</v>
      </c>
      <c r="B58" s="2019">
        <f>IF(OR(S58=0),0,SUM($S$6:S58))</f>
        <v>0</v>
      </c>
      <c r="C58" s="1103"/>
      <c r="D58" s="521" t="s">
        <v>171</v>
      </c>
      <c r="E58" s="1095" t="s">
        <v>105</v>
      </c>
      <c r="F58" s="1096">
        <v>2</v>
      </c>
      <c r="G58" s="1096" t="s">
        <v>3010</v>
      </c>
      <c r="H58" s="1097" t="s">
        <v>1607</v>
      </c>
      <c r="I58" s="1095" t="s">
        <v>7177</v>
      </c>
      <c r="J58" s="1095" t="s">
        <v>7176</v>
      </c>
      <c r="K58" s="1095" t="s">
        <v>7140</v>
      </c>
      <c r="L58" s="1095" t="s">
        <v>7338</v>
      </c>
      <c r="M58" s="1095" t="s">
        <v>7339</v>
      </c>
      <c r="N58" s="1095" t="s">
        <v>7340</v>
      </c>
      <c r="O58" s="1095" t="s">
        <v>7341</v>
      </c>
      <c r="P58" s="1095" t="s">
        <v>7342</v>
      </c>
      <c r="Q58" s="1095" t="s">
        <v>7343</v>
      </c>
      <c r="R58" s="1119" t="s">
        <v>7344</v>
      </c>
      <c r="S58" s="2021">
        <f>IF(COUNTIF(Psíquicos!$C$25:$E$36,E58)=0,0,1)</f>
        <v>0</v>
      </c>
      <c r="U58" s="1095" t="str">
        <f t="shared" si="1"/>
        <v>DIF</v>
      </c>
      <c r="V58" s="2303"/>
      <c r="W58" s="2303"/>
      <c r="X58" s="2303"/>
      <c r="Y58" s="2303"/>
      <c r="Z58" s="2303"/>
      <c r="AA58" s="2303"/>
      <c r="AB58" s="2303"/>
      <c r="AC58" s="2303"/>
      <c r="AD58" s="2303"/>
      <c r="AE58" s="2303"/>
      <c r="AF58" s="2303">
        <f>IF(ISNUMBER(SEARCH("&gt;",#REF!)),0,COUNTIF(Psíquicos!$AD$16:$AH$61,#REF!))</f>
        <v>0</v>
      </c>
      <c r="AG58" s="1095" t="str">
        <f>IF(AF58=0,"",VLOOKUP(#REF!,Psíquicos!$AD$11:$AK$64,8,FALSE))</f>
        <v/>
      </c>
      <c r="AH58" s="2393"/>
      <c r="AI58" s="2388" t="s">
        <v>171</v>
      </c>
    </row>
    <row r="59" spans="1:35" ht="12.75" customHeight="1" x14ac:dyDescent="0.2">
      <c r="A59" s="2027">
        <v>59</v>
      </c>
      <c r="B59" s="2019">
        <f>IF(OR(S59=0),0,SUM($S$6:S59))</f>
        <v>0</v>
      </c>
      <c r="C59" s="1103"/>
      <c r="D59" s="521" t="s">
        <v>172</v>
      </c>
      <c r="E59" s="1095" t="s">
        <v>105</v>
      </c>
      <c r="F59" s="1096">
        <v>2</v>
      </c>
      <c r="G59" s="1096" t="s">
        <v>3010</v>
      </c>
      <c r="H59" s="1097" t="s">
        <v>1606</v>
      </c>
      <c r="I59" s="1095" t="s">
        <v>7191</v>
      </c>
      <c r="J59" s="1095" t="s">
        <v>7178</v>
      </c>
      <c r="K59" s="1095" t="s">
        <v>7177</v>
      </c>
      <c r="L59" s="1095" t="s">
        <v>7176</v>
      </c>
      <c r="M59" s="1095" t="s">
        <v>7140</v>
      </c>
      <c r="N59" s="1095" t="s">
        <v>7244</v>
      </c>
      <c r="O59" s="1095" t="s">
        <v>7245</v>
      </c>
      <c r="P59" s="1095" t="s">
        <v>7246</v>
      </c>
      <c r="Q59" s="1095" t="s">
        <v>7247</v>
      </c>
      <c r="R59" s="1119" t="s">
        <v>7248</v>
      </c>
      <c r="S59" s="2021">
        <f>IF(COUNTIF(Psíquicos!$C$25:$E$36,E59)=0,0,1)</f>
        <v>0</v>
      </c>
      <c r="U59" s="1095" t="str">
        <f t="shared" si="1"/>
        <v>ABS</v>
      </c>
      <c r="V59" s="2303"/>
      <c r="W59" s="2303"/>
      <c r="X59" s="2303"/>
      <c r="Y59" s="2303"/>
      <c r="Z59" s="2303"/>
      <c r="AA59" s="2303"/>
      <c r="AB59" s="2303"/>
      <c r="AC59" s="2303"/>
      <c r="AD59" s="2303"/>
      <c r="AE59" s="2303"/>
      <c r="AF59" s="2303">
        <f>IF(ISNUMBER(SEARCH("&gt;",#REF!)),0,COUNTIF(Psíquicos!$AD$16:$AH$61,#REF!))</f>
        <v>0</v>
      </c>
      <c r="AG59" s="1095" t="str">
        <f>IF(AF59=0,"",VLOOKUP(#REF!,Psíquicos!$AD$11:$AK$64,8,FALSE))</f>
        <v/>
      </c>
      <c r="AH59" s="2393"/>
      <c r="AI59" s="2388" t="s">
        <v>172</v>
      </c>
    </row>
    <row r="60" spans="1:35" ht="12.75" customHeight="1" x14ac:dyDescent="0.2">
      <c r="A60" s="2027">
        <v>60</v>
      </c>
      <c r="B60" s="2019">
        <f>IF(OR(S60=0),0,SUM($S$6:S60))</f>
        <v>0</v>
      </c>
      <c r="C60" s="1103"/>
      <c r="D60" s="521" t="s">
        <v>173</v>
      </c>
      <c r="E60" s="1095" t="s">
        <v>105</v>
      </c>
      <c r="F60" s="1096">
        <v>2</v>
      </c>
      <c r="G60" s="1096" t="s">
        <v>3010</v>
      </c>
      <c r="H60" s="1097" t="s">
        <v>1607</v>
      </c>
      <c r="I60" s="1095" t="s">
        <v>7176</v>
      </c>
      <c r="J60" s="1095" t="s">
        <v>7140</v>
      </c>
      <c r="K60" s="1095" t="s">
        <v>7141</v>
      </c>
      <c r="L60" s="1095" t="s">
        <v>4909</v>
      </c>
      <c r="M60" s="1095" t="s">
        <v>4910</v>
      </c>
      <c r="N60" s="1095" t="s">
        <v>5632</v>
      </c>
      <c r="O60" s="1095" t="s">
        <v>4911</v>
      </c>
      <c r="P60" s="1095" t="s">
        <v>7301</v>
      </c>
      <c r="Q60" s="1095" t="s">
        <v>7302</v>
      </c>
      <c r="R60" s="1119" t="s">
        <v>7303</v>
      </c>
      <c r="S60" s="2021">
        <f>IF(COUNTIF(Psíquicos!$C$25:$E$36,E60)=0,0,1)</f>
        <v>0</v>
      </c>
      <c r="U60" s="1095" t="str">
        <f t="shared" si="1"/>
        <v>DIF</v>
      </c>
      <c r="V60" s="2303"/>
      <c r="W60" s="2303"/>
      <c r="X60" s="2303"/>
      <c r="Y60" s="2303"/>
      <c r="Z60" s="2303"/>
      <c r="AA60" s="2303"/>
      <c r="AB60" s="2303"/>
      <c r="AC60" s="2303"/>
      <c r="AD60" s="2303"/>
      <c r="AE60" s="2303"/>
      <c r="AF60" s="2303">
        <f>IF(ISNUMBER(SEARCH("&gt;",#REF!)),0,COUNTIF(Psíquicos!$AD$16:$AH$61,#REF!))</f>
        <v>0</v>
      </c>
      <c r="AG60" s="1095" t="str">
        <f>IF(AF60=0,"",VLOOKUP(#REF!,Psíquicos!$AD$11:$AK$64,8,FALSE))</f>
        <v/>
      </c>
      <c r="AH60" s="2393"/>
      <c r="AI60" s="2388" t="s">
        <v>173</v>
      </c>
    </row>
    <row r="61" spans="1:35" ht="12.75" customHeight="1" x14ac:dyDescent="0.2">
      <c r="A61" s="2027">
        <v>61</v>
      </c>
      <c r="B61" s="2019">
        <f>IF(OR(S61=0),0,SUM($S$6:S61))</f>
        <v>0</v>
      </c>
      <c r="C61" s="1103"/>
      <c r="D61" s="521" t="s">
        <v>174</v>
      </c>
      <c r="E61" s="1095" t="s">
        <v>105</v>
      </c>
      <c r="F61" s="1096">
        <v>3</v>
      </c>
      <c r="G61" s="1096" t="s">
        <v>3010</v>
      </c>
      <c r="H61" s="1097" t="s">
        <v>1606</v>
      </c>
      <c r="I61" s="1095" t="s">
        <v>7192</v>
      </c>
      <c r="J61" s="1095" t="s">
        <v>7191</v>
      </c>
      <c r="K61" s="1095" t="s">
        <v>7178</v>
      </c>
      <c r="L61" s="1095" t="s">
        <v>7177</v>
      </c>
      <c r="M61" s="1095" t="s">
        <v>7176</v>
      </c>
      <c r="N61" s="1095" t="s">
        <v>7345</v>
      </c>
      <c r="O61" s="1095" t="s">
        <v>7346</v>
      </c>
      <c r="P61" s="1095" t="s">
        <v>7347</v>
      </c>
      <c r="Q61" s="1095" t="s">
        <v>7348</v>
      </c>
      <c r="R61" s="1119" t="s">
        <v>7349</v>
      </c>
      <c r="S61" s="2021">
        <f>IF(COUNTIF(Psíquicos!$C$25:$E$36,E61)=0,0,1)</f>
        <v>0</v>
      </c>
      <c r="U61" s="1095" t="str">
        <f t="shared" si="1"/>
        <v>ABS</v>
      </c>
      <c r="V61" s="2303"/>
      <c r="W61" s="2303"/>
      <c r="X61" s="2303"/>
      <c r="Y61" s="2303"/>
      <c r="Z61" s="2303"/>
      <c r="AA61" s="2303"/>
      <c r="AB61" s="2303"/>
      <c r="AC61" s="2303"/>
      <c r="AD61" s="2303"/>
      <c r="AE61" s="2303"/>
      <c r="AF61" s="2303">
        <f>IF(ISNUMBER(SEARCH("&gt;",#REF!)),0,COUNTIF(Psíquicos!$AD$16:$AH$61,#REF!))</f>
        <v>0</v>
      </c>
      <c r="AG61" s="1095" t="str">
        <f>IF(AF61=0,"",VLOOKUP(#REF!,Psíquicos!$AD$11:$AK$64,8,FALSE))</f>
        <v/>
      </c>
      <c r="AH61" s="2393"/>
      <c r="AI61" s="2388" t="s">
        <v>174</v>
      </c>
    </row>
    <row r="62" spans="1:35" ht="12.75" customHeight="1" x14ac:dyDescent="0.2">
      <c r="A62" s="2027">
        <v>62</v>
      </c>
      <c r="B62" s="2019">
        <f>IF(OR(S62=0),0,SUM($S$6:S62))</f>
        <v>0</v>
      </c>
      <c r="C62" s="1103"/>
      <c r="D62" s="521" t="s">
        <v>175</v>
      </c>
      <c r="E62" s="1095" t="s">
        <v>105</v>
      </c>
      <c r="F62" s="1096">
        <v>3</v>
      </c>
      <c r="G62" s="1096" t="s">
        <v>3010</v>
      </c>
      <c r="H62" s="1097" t="s">
        <v>1606</v>
      </c>
      <c r="I62" s="1095" t="s">
        <v>7192</v>
      </c>
      <c r="J62" s="1095" t="s">
        <v>7191</v>
      </c>
      <c r="K62" s="1095" t="s">
        <v>7178</v>
      </c>
      <c r="L62" s="1095" t="s">
        <v>7177</v>
      </c>
      <c r="M62" s="1095" t="s">
        <v>7176</v>
      </c>
      <c r="N62" s="1095" t="s">
        <v>7350</v>
      </c>
      <c r="O62" s="1095" t="s">
        <v>7351</v>
      </c>
      <c r="P62" s="1095" t="s">
        <v>7352</v>
      </c>
      <c r="Q62" s="1095" t="s">
        <v>7353</v>
      </c>
      <c r="R62" s="1119" t="s">
        <v>7354</v>
      </c>
      <c r="S62" s="2021">
        <f>IF(COUNTIF(Psíquicos!$C$25:$E$36,E62)=0,0,1)</f>
        <v>0</v>
      </c>
      <c r="U62" s="1095" t="str">
        <f t="shared" si="1"/>
        <v>ABS</v>
      </c>
      <c r="V62" s="2303"/>
      <c r="W62" s="2303"/>
      <c r="X62" s="2303"/>
      <c r="Y62" s="2303"/>
      <c r="Z62" s="2303"/>
      <c r="AA62" s="2303"/>
      <c r="AB62" s="2303"/>
      <c r="AC62" s="2303"/>
      <c r="AD62" s="2303"/>
      <c r="AE62" s="2303"/>
      <c r="AF62" s="2303">
        <f>IF(ISNUMBER(SEARCH("&gt;",#REF!)),0,COUNTIF(Psíquicos!$AD$16:$AH$61,#REF!))</f>
        <v>0</v>
      </c>
      <c r="AG62" s="1095" t="str">
        <f>IF(AF62=0,"",VLOOKUP(#REF!,Psíquicos!$AD$11:$AK$64,8,FALSE))</f>
        <v/>
      </c>
      <c r="AH62" s="2393"/>
      <c r="AI62" s="2388" t="s">
        <v>175</v>
      </c>
    </row>
    <row r="63" spans="1:35" ht="12.75" customHeight="1" x14ac:dyDescent="0.2">
      <c r="A63" s="2027">
        <v>63</v>
      </c>
      <c r="B63" s="2019">
        <f>IF(OR(S63=0),0,SUM($S$6:S63))</f>
        <v>0</v>
      </c>
      <c r="C63" s="1103"/>
      <c r="D63" s="521" t="s">
        <v>176</v>
      </c>
      <c r="E63" s="1095" t="s">
        <v>105</v>
      </c>
      <c r="F63" s="1096">
        <v>3</v>
      </c>
      <c r="G63" s="1096" t="s">
        <v>3010</v>
      </c>
      <c r="H63" s="1097" t="s">
        <v>1606</v>
      </c>
      <c r="I63" s="1095" t="s">
        <v>7266</v>
      </c>
      <c r="J63" s="1095" t="s">
        <v>7192</v>
      </c>
      <c r="K63" s="1095" t="s">
        <v>7191</v>
      </c>
      <c r="L63" s="1095" t="s">
        <v>7178</v>
      </c>
      <c r="M63" s="1095" t="s">
        <v>7177</v>
      </c>
      <c r="N63" s="1095" t="s">
        <v>7176</v>
      </c>
      <c r="O63" s="1095" t="s">
        <v>7301</v>
      </c>
      <c r="P63" s="1095" t="s">
        <v>7302</v>
      </c>
      <c r="Q63" s="1095" t="s">
        <v>7303</v>
      </c>
      <c r="R63" s="1119" t="s">
        <v>7324</v>
      </c>
      <c r="S63" s="2021">
        <f>IF(COUNTIF(Psíquicos!$C$25:$E$36,E63)=0,0,1)</f>
        <v>0</v>
      </c>
      <c r="U63" s="1095" t="str">
        <f t="shared" si="1"/>
        <v>CIM</v>
      </c>
      <c r="V63" s="2303"/>
      <c r="W63" s="2303"/>
      <c r="X63" s="2303"/>
      <c r="Y63" s="2303"/>
      <c r="Z63" s="2303"/>
      <c r="AA63" s="2303"/>
      <c r="AB63" s="2303"/>
      <c r="AC63" s="2303"/>
      <c r="AD63" s="2303"/>
      <c r="AE63" s="2303"/>
      <c r="AF63" s="2303">
        <f>IF(ISNUMBER(SEARCH("&gt;",#REF!)),0,COUNTIF(Psíquicos!$AD$16:$AH$61,#REF!))</f>
        <v>0</v>
      </c>
      <c r="AG63" s="1095" t="str">
        <f>IF(AF63=0,"",VLOOKUP(#REF!,Psíquicos!$AD$11:$AK$64,8,FALSE))</f>
        <v/>
      </c>
      <c r="AH63" s="2393"/>
      <c r="AI63" s="2388" t="s">
        <v>176</v>
      </c>
    </row>
    <row r="64" spans="1:35" ht="12.75" customHeight="1" x14ac:dyDescent="0.2">
      <c r="A64" s="2027">
        <v>64</v>
      </c>
      <c r="B64" s="2019">
        <f>IF(OR(S64=0),0,SUM($S$6:S64))</f>
        <v>0</v>
      </c>
      <c r="C64" s="1103"/>
      <c r="D64" s="521" t="s">
        <v>177</v>
      </c>
      <c r="E64" s="1095"/>
      <c r="F64" s="1096"/>
      <c r="G64" s="1096"/>
      <c r="H64" s="1097"/>
      <c r="I64" s="1095"/>
      <c r="J64" s="1095"/>
      <c r="K64" s="1095"/>
      <c r="L64" s="1095"/>
      <c r="M64" s="1095"/>
      <c r="N64" s="1095"/>
      <c r="O64" s="1095"/>
      <c r="P64" s="1095"/>
      <c r="Q64" s="1095"/>
      <c r="R64" s="1119"/>
      <c r="S64" s="2023">
        <f>S65</f>
        <v>0</v>
      </c>
      <c r="U64" s="1095"/>
      <c r="V64" s="2303"/>
      <c r="W64" s="2303"/>
      <c r="X64" s="2303"/>
      <c r="Y64" s="2303"/>
      <c r="Z64" s="2303"/>
      <c r="AA64" s="2303"/>
      <c r="AB64" s="2303"/>
      <c r="AC64" s="2303"/>
      <c r="AD64" s="2303"/>
      <c r="AE64" s="2303"/>
      <c r="AF64" s="2303">
        <f>IF(ISNUMBER(SEARCH("&gt;",#REF!)),0,COUNTIF(Psíquicos!$AD$16:$AH$61,#REF!))</f>
        <v>0</v>
      </c>
      <c r="AG64" s="1095" t="str">
        <f>IF(AF64=0,"",VLOOKUP(#REF!,Psíquicos!$AD$11:$AK$64,8,FALSE))</f>
        <v/>
      </c>
      <c r="AH64" s="2393"/>
      <c r="AI64" s="2388" t="s">
        <v>177</v>
      </c>
    </row>
    <row r="65" spans="1:35" ht="12.75" customHeight="1" x14ac:dyDescent="0.2">
      <c r="A65" s="2027">
        <v>65</v>
      </c>
      <c r="B65" s="2019">
        <f>IF(OR(S65=0),0,SUM($S$6:S65))</f>
        <v>0</v>
      </c>
      <c r="C65" s="1103"/>
      <c r="D65" s="521" t="s">
        <v>178</v>
      </c>
      <c r="E65" s="1095" t="s">
        <v>107</v>
      </c>
      <c r="F65" s="1096">
        <v>1</v>
      </c>
      <c r="G65" s="1096" t="s">
        <v>3010</v>
      </c>
      <c r="H65" s="1097" t="s">
        <v>1606</v>
      </c>
      <c r="I65" s="1095" t="s">
        <v>7140</v>
      </c>
      <c r="J65" s="1095" t="s">
        <v>7355</v>
      </c>
      <c r="K65" s="1095" t="s">
        <v>7356</v>
      </c>
      <c r="L65" s="1095" t="s">
        <v>7357</v>
      </c>
      <c r="M65" s="1095" t="s">
        <v>7358</v>
      </c>
      <c r="N65" s="1095" t="s">
        <v>7359</v>
      </c>
      <c r="O65" s="1095" t="s">
        <v>7360</v>
      </c>
      <c r="P65" s="1095" t="s">
        <v>7361</v>
      </c>
      <c r="Q65" s="1095" t="s">
        <v>7362</v>
      </c>
      <c r="R65" s="1119" t="s">
        <v>7363</v>
      </c>
      <c r="S65" s="2021">
        <f>IF(COUNTIF(Psíquicos!$C$25:$E$36,E65)=0,0,1)</f>
        <v>0</v>
      </c>
      <c r="U65" s="1095" t="str">
        <f t="shared" si="1"/>
        <v>FAC</v>
      </c>
      <c r="V65" s="2303" t="str">
        <f t="shared" ref="V65:V76" si="4">IF(ISNUMBER(_xlfn.NUMBERVALUE(MID(I65,SEARCH("+",I65)+1,3))),_xlfn.NUMBERVALUE(MID(I65,SEARCH("+",I65)+1,3)),"")</f>
        <v/>
      </c>
      <c r="W65" s="2303">
        <f t="shared" ref="W65:W76" si="5">IF(ISNUMBER(_xlfn.NUMBERVALUE(MID(J65,SEARCH("+",J65)+1,3))),_xlfn.NUMBERVALUE(MID(J65,SEARCH("+",J65)+1,3)),"")</f>
        <v>10</v>
      </c>
      <c r="X65" s="2303">
        <f t="shared" ref="X65:X76" si="6">IF(ISNUMBER(_xlfn.NUMBERVALUE(MID(K65,SEARCH("+",K65)+1,3))),_xlfn.NUMBERVALUE(MID(K65,SEARCH("+",K65)+1,3)),"")</f>
        <v>20</v>
      </c>
      <c r="Y65" s="2303">
        <f t="shared" ref="Y65:Y76" si="7">IF(ISNUMBER(_xlfn.NUMBERVALUE(MID(L65,SEARCH("+",L65)+1,3))),_xlfn.NUMBERVALUE(MID(L65,SEARCH("+",L65)+1,3)),"")</f>
        <v>40</v>
      </c>
      <c r="Z65" s="2303">
        <f t="shared" ref="Z65:Z76" si="8">IF(ISNUMBER(_xlfn.NUMBERVALUE(MID(M65,SEARCH("+",M65)+1,3))),_xlfn.NUMBERVALUE(MID(M65,SEARCH("+",M65)+1,3)),"")</f>
        <v>80</v>
      </c>
      <c r="AA65" s="2303">
        <f t="shared" ref="AA65:AA76" si="9">IF(ISNUMBER(_xlfn.NUMBERVALUE(MID(N65,SEARCH("+",N65)+1,3))),_xlfn.NUMBERVALUE(MID(N65,SEARCH("+",N65)+1,3)),"")</f>
        <v>120</v>
      </c>
      <c r="AB65" s="2303">
        <f t="shared" ref="AB65:AB76" si="10">IF(ISNUMBER(_xlfn.NUMBERVALUE(MID(O65,SEARCH("+",O65)+1,3))),_xlfn.NUMBERVALUE(MID(O65,SEARCH("+",O65)+1,3)),"")</f>
        <v>180</v>
      </c>
      <c r="AC65" s="2303">
        <f t="shared" ref="AC65:AC76" si="11">IF(ISNUMBER(_xlfn.NUMBERVALUE(MID(P65,SEARCH("+",P65)+1,3))),_xlfn.NUMBERVALUE(MID(P65,SEARCH("+",P65)+1,3)),"")</f>
        <v>220</v>
      </c>
      <c r="AD65" s="2303">
        <f t="shared" ref="AD65:AD76" si="12">IF(ISNUMBER(_xlfn.NUMBERVALUE(MID(Q65,SEARCH("+",Q65)+1,3))),_xlfn.NUMBERVALUE(MID(Q65,SEARCH("+",Q65)+1,3)),"")</f>
        <v>280</v>
      </c>
      <c r="AE65" s="2303">
        <f t="shared" ref="AE65:AE76" si="13">IF(ISNUMBER(_xlfn.NUMBERVALUE(MID(R65,SEARCH("+",R65)+1,3))),_xlfn.NUMBERVALUE(MID(R65,SEARCH("+",R65)+1,3)),"")</f>
        <v>320</v>
      </c>
      <c r="AF65" s="2303">
        <f>IF(ISNUMBER(SEARCH("&gt;",#REF!)),0,COUNTIF(Psíquicos!$AD$16:$AH$61,#REF!))</f>
        <v>0</v>
      </c>
      <c r="AG65" s="1095" t="str">
        <f>IF(AF65=0,"",VLOOKUP(#REF!,Psíquicos!$AD$11:$AK$64,8,FALSE))</f>
        <v/>
      </c>
      <c r="AH65" s="2393">
        <f>VALUE(IF('Tablas psiquica'!$AF65&gt;0,INDEX('Tablas psiquica'!$V65:$AE65,MATCH('Tablas psiquica'!$AG65,'Tablas psiquica'!$V$6:$AE$6,0)),0))</f>
        <v>0</v>
      </c>
      <c r="AI65" s="2388" t="s">
        <v>178</v>
      </c>
    </row>
    <row r="66" spans="1:35" ht="12.75" customHeight="1" x14ac:dyDescent="0.2">
      <c r="A66" s="2027">
        <v>66</v>
      </c>
      <c r="B66" s="2019">
        <f>IF(OR(S66=0),0,SUM($S$6:S66))</f>
        <v>0</v>
      </c>
      <c r="C66" s="1103"/>
      <c r="D66" s="521" t="s">
        <v>179</v>
      </c>
      <c r="E66" s="1095" t="s">
        <v>107</v>
      </c>
      <c r="F66" s="1096">
        <v>1</v>
      </c>
      <c r="G66" s="1096" t="s">
        <v>3010</v>
      </c>
      <c r="H66" s="1097" t="s">
        <v>1606</v>
      </c>
      <c r="I66" s="1095" t="s">
        <v>7140</v>
      </c>
      <c r="J66" s="1095" t="s">
        <v>7364</v>
      </c>
      <c r="K66" s="1095" t="s">
        <v>7365</v>
      </c>
      <c r="L66" s="1095" t="s">
        <v>7366</v>
      </c>
      <c r="M66" s="1095" t="s">
        <v>7367</v>
      </c>
      <c r="N66" s="1095" t="s">
        <v>7368</v>
      </c>
      <c r="O66" s="1095" t="s">
        <v>7369</v>
      </c>
      <c r="P66" s="1095" t="s">
        <v>7370</v>
      </c>
      <c r="Q66" s="1095" t="s">
        <v>7371</v>
      </c>
      <c r="R66" s="1119" t="s">
        <v>7372</v>
      </c>
      <c r="S66" s="2021">
        <f>IF(COUNTIF(Psíquicos!$C$25:$E$36,E66)=0,0,1)</f>
        <v>0</v>
      </c>
      <c r="U66" s="1095" t="str">
        <f t="shared" si="1"/>
        <v>FAC</v>
      </c>
      <c r="V66" s="2303" t="str">
        <f t="shared" si="4"/>
        <v/>
      </c>
      <c r="W66" s="2303">
        <f t="shared" si="5"/>
        <v>10</v>
      </c>
      <c r="X66" s="2303">
        <f t="shared" si="6"/>
        <v>20</v>
      </c>
      <c r="Y66" s="2303">
        <f t="shared" si="7"/>
        <v>40</v>
      </c>
      <c r="Z66" s="2303">
        <f t="shared" si="8"/>
        <v>80</v>
      </c>
      <c r="AA66" s="2303">
        <f t="shared" si="9"/>
        <v>120</v>
      </c>
      <c r="AB66" s="2303">
        <f t="shared" si="10"/>
        <v>180</v>
      </c>
      <c r="AC66" s="2303">
        <f t="shared" si="11"/>
        <v>220</v>
      </c>
      <c r="AD66" s="2303">
        <f t="shared" si="12"/>
        <v>280</v>
      </c>
      <c r="AE66" s="2303">
        <f t="shared" si="13"/>
        <v>320</v>
      </c>
      <c r="AF66" s="2303">
        <f>IF(ISNUMBER(SEARCH("&gt;",#REF!)),0,COUNTIF(Psíquicos!$AD$16:$AH$61,#REF!))</f>
        <v>0</v>
      </c>
      <c r="AG66" s="1095" t="str">
        <f>IF(AF66=0,"",VLOOKUP(#REF!,Psíquicos!$AD$11:$AK$64,8,FALSE))</f>
        <v/>
      </c>
      <c r="AH66" s="2393">
        <f>VALUE(IF('Tablas psiquica'!$AF66&gt;0,INDEX('Tablas psiquica'!$V66:$AE66,MATCH('Tablas psiquica'!$AG66,'Tablas psiquica'!$V$6:$AE$6,0)),0))</f>
        <v>0</v>
      </c>
      <c r="AI66" s="2388" t="s">
        <v>179</v>
      </c>
    </row>
    <row r="67" spans="1:35" ht="12.75" customHeight="1" x14ac:dyDescent="0.2">
      <c r="A67" s="2027">
        <v>67</v>
      </c>
      <c r="B67" s="2019">
        <f>IF(OR(S67=0),0,SUM($S$6:S67))</f>
        <v>0</v>
      </c>
      <c r="C67" s="1103"/>
      <c r="D67" s="521" t="s">
        <v>180</v>
      </c>
      <c r="E67" s="1095" t="s">
        <v>107</v>
      </c>
      <c r="F67" s="1096">
        <v>1</v>
      </c>
      <c r="G67" s="1096" t="s">
        <v>3010</v>
      </c>
      <c r="H67" s="1097" t="s">
        <v>1606</v>
      </c>
      <c r="I67" s="1095" t="s">
        <v>7176</v>
      </c>
      <c r="J67" s="1095" t="s">
        <v>7140</v>
      </c>
      <c r="K67" s="1095" t="s">
        <v>7373</v>
      </c>
      <c r="L67" s="1095" t="s">
        <v>7374</v>
      </c>
      <c r="M67" s="1095" t="s">
        <v>7375</v>
      </c>
      <c r="N67" s="1095" t="s">
        <v>7376</v>
      </c>
      <c r="O67" s="1095" t="s">
        <v>7377</v>
      </c>
      <c r="P67" s="1095" t="s">
        <v>7378</v>
      </c>
      <c r="Q67" s="1095" t="s">
        <v>7379</v>
      </c>
      <c r="R67" s="1119" t="s">
        <v>7380</v>
      </c>
      <c r="S67" s="2021">
        <f>IF(COUNTIF(Psíquicos!$C$25:$E$36,E67)=0,0,1)</f>
        <v>0</v>
      </c>
      <c r="U67" s="1095" t="str">
        <f t="shared" si="1"/>
        <v>MED</v>
      </c>
      <c r="V67" s="2303" t="str">
        <f t="shared" si="4"/>
        <v/>
      </c>
      <c r="W67" s="2303" t="str">
        <f t="shared" si="5"/>
        <v/>
      </c>
      <c r="X67" s="2303">
        <f t="shared" si="6"/>
        <v>1</v>
      </c>
      <c r="Y67" s="2303">
        <f t="shared" si="7"/>
        <v>2</v>
      </c>
      <c r="Z67" s="2303">
        <f t="shared" si="8"/>
        <v>3</v>
      </c>
      <c r="AA67" s="2303">
        <f t="shared" si="9"/>
        <v>4</v>
      </c>
      <c r="AB67" s="2303">
        <f t="shared" si="10"/>
        <v>5</v>
      </c>
      <c r="AC67" s="2303">
        <f t="shared" si="11"/>
        <v>6</v>
      </c>
      <c r="AD67" s="2303">
        <f t="shared" si="12"/>
        <v>8</v>
      </c>
      <c r="AE67" s="2303">
        <f t="shared" si="13"/>
        <v>10</v>
      </c>
      <c r="AF67" s="2303">
        <f>IF(ISNUMBER(SEARCH("&gt;",#REF!)),0,COUNTIF(Psíquicos!$AD$16:$AH$61,#REF!))</f>
        <v>0</v>
      </c>
      <c r="AG67" s="1095" t="str">
        <f>IF(AF67=0,"",VLOOKUP(#REF!,Psíquicos!$AD$11:$AK$64,8,FALSE))</f>
        <v/>
      </c>
      <c r="AH67" s="2393">
        <f>VALUE(IF('Tablas psiquica'!$AF67&gt;0,INDEX('Tablas psiquica'!$V67:$AE67,MATCH('Tablas psiquica'!$AG67,'Tablas psiquica'!$V$6:$AE$6,0)),0))</f>
        <v>0</v>
      </c>
      <c r="AI67" s="2388" t="s">
        <v>180</v>
      </c>
    </row>
    <row r="68" spans="1:35" ht="12.75" customHeight="1" x14ac:dyDescent="0.2">
      <c r="A68" s="2027">
        <v>68</v>
      </c>
      <c r="B68" s="2019">
        <f>IF(OR(S68=0),0,SUM($S$6:S68))</f>
        <v>0</v>
      </c>
      <c r="C68" s="1103"/>
      <c r="D68" s="521" t="s">
        <v>2001</v>
      </c>
      <c r="E68" s="1095" t="s">
        <v>107</v>
      </c>
      <c r="F68" s="1096">
        <v>1</v>
      </c>
      <c r="G68" s="1096" t="s">
        <v>3010</v>
      </c>
      <c r="H68" s="1097" t="s">
        <v>1606</v>
      </c>
      <c r="I68" s="1095" t="s">
        <v>7176</v>
      </c>
      <c r="J68" s="1095" t="s">
        <v>7140</v>
      </c>
      <c r="K68" s="1095" t="s">
        <v>2001</v>
      </c>
      <c r="L68" s="1095" t="s">
        <v>8805</v>
      </c>
      <c r="M68" s="1095" t="s">
        <v>7381</v>
      </c>
      <c r="N68" s="1095" t="s">
        <v>7382</v>
      </c>
      <c r="O68" s="1095" t="s">
        <v>7383</v>
      </c>
      <c r="P68" s="1095" t="s">
        <v>7384</v>
      </c>
      <c r="Q68" s="1095" t="s">
        <v>7385</v>
      </c>
      <c r="R68" s="1119" t="s">
        <v>7386</v>
      </c>
      <c r="S68" s="2021">
        <f>IF(COUNTIF(Psíquicos!$C$25:$E$36,E68)=0,0,1)</f>
        <v>0</v>
      </c>
      <c r="U68" s="1095" t="str">
        <f t="shared" si="1"/>
        <v>MED</v>
      </c>
      <c r="V68" s="2303" t="str">
        <f t="shared" si="4"/>
        <v/>
      </c>
      <c r="W68" s="2303" t="str">
        <f t="shared" si="5"/>
        <v/>
      </c>
      <c r="X68" s="2303">
        <v>0</v>
      </c>
      <c r="Y68" s="2303">
        <f t="shared" si="7"/>
        <v>5</v>
      </c>
      <c r="Z68" s="2303">
        <f t="shared" si="8"/>
        <v>10</v>
      </c>
      <c r="AA68" s="2303">
        <f t="shared" si="9"/>
        <v>20</v>
      </c>
      <c r="AB68" s="2303">
        <f t="shared" si="10"/>
        <v>30</v>
      </c>
      <c r="AC68" s="2303">
        <f t="shared" si="11"/>
        <v>40</v>
      </c>
      <c r="AD68" s="2303">
        <f t="shared" si="12"/>
        <v>60</v>
      </c>
      <c r="AE68" s="2303">
        <f t="shared" si="13"/>
        <v>80</v>
      </c>
      <c r="AF68" s="2303">
        <f>IF(ISNUMBER(SEARCH("&gt;",#REF!)),0,COUNTIF(Psíquicos!$AD$16:$AH$61,#REF!))</f>
        <v>0</v>
      </c>
      <c r="AG68" s="1095" t="str">
        <f>IF(AF68=0,"",VLOOKUP(#REF!,Psíquicos!$AD$11:$AK$64,8,FALSE))</f>
        <v/>
      </c>
      <c r="AH68" s="2393">
        <f>VALUE(IF('Tablas psiquica'!$AF68&gt;0,INDEX('Tablas psiquica'!$V68:$AE68,MATCH('Tablas psiquica'!$AG68,'Tablas psiquica'!$V$6:$AE$6,0)),0))</f>
        <v>0</v>
      </c>
      <c r="AI68" s="2388" t="s">
        <v>2001</v>
      </c>
    </row>
    <row r="69" spans="1:35" ht="12.75" customHeight="1" x14ac:dyDescent="0.2">
      <c r="A69" s="2027">
        <v>69</v>
      </c>
      <c r="B69" s="2019">
        <f>IF(OR(S69=0),0,SUM($S$6:S69))</f>
        <v>0</v>
      </c>
      <c r="C69" s="1103"/>
      <c r="D69" s="521" t="s">
        <v>181</v>
      </c>
      <c r="E69" s="1095" t="s">
        <v>107</v>
      </c>
      <c r="F69" s="1096">
        <v>1</v>
      </c>
      <c r="G69" s="1096" t="s">
        <v>3010</v>
      </c>
      <c r="H69" s="1097" t="s">
        <v>1606</v>
      </c>
      <c r="I69" s="1095" t="s">
        <v>7176</v>
      </c>
      <c r="J69" s="1095" t="s">
        <v>7140</v>
      </c>
      <c r="K69" s="1095" t="s">
        <v>7373</v>
      </c>
      <c r="L69" s="1095" t="s">
        <v>7387</v>
      </c>
      <c r="M69" s="1095" t="s">
        <v>7388</v>
      </c>
      <c r="N69" s="1095" t="s">
        <v>7389</v>
      </c>
      <c r="O69" s="1095" t="s">
        <v>7390</v>
      </c>
      <c r="P69" s="1095" t="s">
        <v>7391</v>
      </c>
      <c r="Q69" s="1095" t="s">
        <v>7392</v>
      </c>
      <c r="R69" s="1119" t="s">
        <v>7393</v>
      </c>
      <c r="S69" s="2021">
        <f>IF(COUNTIF(Psíquicos!$C$25:$E$36,E69)=0,0,1)</f>
        <v>0</v>
      </c>
      <c r="U69" s="1095" t="str">
        <f t="shared" si="1"/>
        <v>MED</v>
      </c>
      <c r="V69" s="2303" t="str">
        <f t="shared" si="4"/>
        <v/>
      </c>
      <c r="W69" s="2303" t="str">
        <f t="shared" si="5"/>
        <v/>
      </c>
      <c r="X69" s="2303">
        <f t="shared" si="6"/>
        <v>1</v>
      </c>
      <c r="Y69" s="2303">
        <f t="shared" si="7"/>
        <v>1</v>
      </c>
      <c r="Z69" s="2303">
        <f t="shared" si="8"/>
        <v>2</v>
      </c>
      <c r="AA69" s="2303">
        <f t="shared" si="9"/>
        <v>3</v>
      </c>
      <c r="AB69" s="2303">
        <f t="shared" si="10"/>
        <v>4</v>
      </c>
      <c r="AC69" s="2303">
        <f t="shared" si="11"/>
        <v>5</v>
      </c>
      <c r="AD69" s="2303">
        <f t="shared" si="12"/>
        <v>6</v>
      </c>
      <c r="AE69" s="2303">
        <f t="shared" si="13"/>
        <v>8</v>
      </c>
      <c r="AF69" s="2303">
        <f>IF(ISNUMBER(SEARCH("&gt;",#REF!)),0,COUNTIF(Psíquicos!$AD$16:$AH$61,#REF!))</f>
        <v>0</v>
      </c>
      <c r="AG69" s="1095" t="str">
        <f>IF(AF69=0,"",VLOOKUP(#REF!,Psíquicos!$AD$11:$AK$64,8,FALSE))</f>
        <v/>
      </c>
      <c r="AH69" s="2393">
        <f>VALUE(IF('Tablas psiquica'!$AF69&gt;0,INDEX('Tablas psiquica'!$V69:$AE69,MATCH('Tablas psiquica'!$AG69,'Tablas psiquica'!$V$6:$AE$6,0)),0))</f>
        <v>0</v>
      </c>
      <c r="AI69" s="2388" t="s">
        <v>181</v>
      </c>
    </row>
    <row r="70" spans="1:35" ht="12.75" customHeight="1" x14ac:dyDescent="0.2">
      <c r="A70" s="2027">
        <v>70</v>
      </c>
      <c r="B70" s="2019">
        <f>IF(OR(S70=0),0,SUM($S$6:S70))</f>
        <v>0</v>
      </c>
      <c r="C70" s="1103"/>
      <c r="D70" s="521" t="s">
        <v>182</v>
      </c>
      <c r="E70" s="1095" t="s">
        <v>107</v>
      </c>
      <c r="F70" s="1096">
        <v>1</v>
      </c>
      <c r="G70" s="1096" t="s">
        <v>3010</v>
      </c>
      <c r="H70" s="1097" t="s">
        <v>1606</v>
      </c>
      <c r="I70" s="1095" t="s">
        <v>7176</v>
      </c>
      <c r="J70" s="1095" t="s">
        <v>7140</v>
      </c>
      <c r="K70" s="1095" t="s">
        <v>7394</v>
      </c>
      <c r="L70" s="1095" t="s">
        <v>7395</v>
      </c>
      <c r="M70" s="1095" t="s">
        <v>7396</v>
      </c>
      <c r="N70" s="1095" t="s">
        <v>7397</v>
      </c>
      <c r="O70" s="1095" t="s">
        <v>7398</v>
      </c>
      <c r="P70" s="1095" t="s">
        <v>7399</v>
      </c>
      <c r="Q70" s="1095" t="s">
        <v>7400</v>
      </c>
      <c r="R70" s="1119" t="s">
        <v>7401</v>
      </c>
      <c r="S70" s="2021">
        <f>IF(COUNTIF(Psíquicos!$C$25:$E$36,E70)=0,0,1)</f>
        <v>0</v>
      </c>
      <c r="U70" s="1095" t="str">
        <f t="shared" si="1"/>
        <v>MED</v>
      </c>
      <c r="V70" s="2303" t="str">
        <f t="shared" si="4"/>
        <v/>
      </c>
      <c r="W70" s="2303" t="str">
        <f t="shared" si="5"/>
        <v/>
      </c>
      <c r="X70" s="2303">
        <f t="shared" si="6"/>
        <v>1</v>
      </c>
      <c r="Y70" s="2303">
        <f t="shared" si="7"/>
        <v>2</v>
      </c>
      <c r="Z70" s="2303">
        <f t="shared" si="8"/>
        <v>3</v>
      </c>
      <c r="AA70" s="2303">
        <f t="shared" si="9"/>
        <v>4</v>
      </c>
      <c r="AB70" s="2303">
        <f t="shared" si="10"/>
        <v>5</v>
      </c>
      <c r="AC70" s="2303">
        <f t="shared" si="11"/>
        <v>6</v>
      </c>
      <c r="AD70" s="2303">
        <f t="shared" si="12"/>
        <v>8</v>
      </c>
      <c r="AE70" s="2303">
        <f t="shared" si="13"/>
        <v>10</v>
      </c>
      <c r="AF70" s="2303">
        <f>IF(ISNUMBER(SEARCH("&gt;",#REF!)),0,COUNTIF(Psíquicos!$AD$16:$AH$61,#REF!))</f>
        <v>0</v>
      </c>
      <c r="AG70" s="1095" t="str">
        <f>IF(AF70=0,"",VLOOKUP(#REF!,Psíquicos!$AD$11:$AK$64,8,FALSE))</f>
        <v/>
      </c>
      <c r="AH70" s="2393">
        <f>VALUE(IF('Tablas psiquica'!$AF70&gt;0,INDEX('Tablas psiquica'!$V70:$AE70,MATCH('Tablas psiquica'!$AG70,'Tablas psiquica'!$V$6:$AE$6,0)),0))</f>
        <v>0</v>
      </c>
      <c r="AI70" s="2388" t="s">
        <v>182</v>
      </c>
    </row>
    <row r="71" spans="1:35" ht="12.75" customHeight="1" x14ac:dyDescent="0.2">
      <c r="A71" s="2027">
        <v>71</v>
      </c>
      <c r="B71" s="2019">
        <f>IF(OR(S71=0),0,SUM($S$6:S71))</f>
        <v>0</v>
      </c>
      <c r="C71" s="1103"/>
      <c r="D71" s="521" t="s">
        <v>183</v>
      </c>
      <c r="E71" s="1095" t="s">
        <v>107</v>
      </c>
      <c r="F71" s="1096">
        <v>2</v>
      </c>
      <c r="G71" s="1096" t="s">
        <v>3010</v>
      </c>
      <c r="H71" s="1097" t="s">
        <v>1606</v>
      </c>
      <c r="I71" s="1095" t="s">
        <v>7178</v>
      </c>
      <c r="J71" s="1095" t="s">
        <v>7176</v>
      </c>
      <c r="K71" s="1095" t="s">
        <v>7140</v>
      </c>
      <c r="L71" s="1095" t="s">
        <v>7402</v>
      </c>
      <c r="M71" s="1095" t="s">
        <v>7403</v>
      </c>
      <c r="N71" s="1095" t="s">
        <v>7404</v>
      </c>
      <c r="O71" s="1095" t="s">
        <v>7405</v>
      </c>
      <c r="P71" s="1095" t="s">
        <v>7406</v>
      </c>
      <c r="Q71" s="1095" t="s">
        <v>7407</v>
      </c>
      <c r="R71" s="1119" t="s">
        <v>7408</v>
      </c>
      <c r="S71" s="2021">
        <f>IF(COUNTIF(Psíquicos!$C$25:$E$36,E71)=0,0,1)</f>
        <v>0</v>
      </c>
      <c r="U71" s="1095" t="str">
        <f t="shared" si="1"/>
        <v>DIF</v>
      </c>
      <c r="V71" s="2303" t="str">
        <f t="shared" si="4"/>
        <v/>
      </c>
      <c r="W71" s="2303" t="str">
        <f t="shared" si="5"/>
        <v/>
      </c>
      <c r="X71" s="2303" t="str">
        <f t="shared" si="6"/>
        <v/>
      </c>
      <c r="Y71" s="2303">
        <f t="shared" si="7"/>
        <v>20</v>
      </c>
      <c r="Z71" s="2303">
        <f t="shared" si="8"/>
        <v>40</v>
      </c>
      <c r="AA71" s="2303">
        <f t="shared" si="9"/>
        <v>60</v>
      </c>
      <c r="AB71" s="2303">
        <f t="shared" si="10"/>
        <v>80</v>
      </c>
      <c r="AC71" s="2303">
        <f t="shared" si="11"/>
        <v>120</v>
      </c>
      <c r="AD71" s="2303">
        <f t="shared" si="12"/>
        <v>160</v>
      </c>
      <c r="AE71" s="2303">
        <f t="shared" si="13"/>
        <v>200</v>
      </c>
      <c r="AF71" s="2303">
        <f>IF(ISNUMBER(SEARCH("&gt;",#REF!)),0,COUNTIF(Psíquicos!$AD$16:$AH$61,#REF!))</f>
        <v>0</v>
      </c>
      <c r="AG71" s="1095" t="str">
        <f>IF(AF71=0,"",VLOOKUP(#REF!,Psíquicos!$AD$11:$AK$64,8,FALSE))</f>
        <v/>
      </c>
      <c r="AH71" s="2393">
        <f>VALUE(IF('Tablas psiquica'!$AF71&gt;0,INDEX('Tablas psiquica'!$V71:$AE71,MATCH('Tablas psiquica'!$AG71,'Tablas psiquica'!$V$6:$AE$6,0)),0))</f>
        <v>0</v>
      </c>
      <c r="AI71" s="2388" t="s">
        <v>183</v>
      </c>
    </row>
    <row r="72" spans="1:35" ht="12.75" customHeight="1" x14ac:dyDescent="0.2">
      <c r="A72" s="2027">
        <v>72</v>
      </c>
      <c r="B72" s="2019">
        <f>IF(OR(S72=0),0,SUM($S$6:S72))</f>
        <v>0</v>
      </c>
      <c r="C72" s="1103"/>
      <c r="D72" s="521" t="s">
        <v>184</v>
      </c>
      <c r="E72" s="1095" t="s">
        <v>107</v>
      </c>
      <c r="F72" s="1096">
        <v>2</v>
      </c>
      <c r="G72" s="1096" t="s">
        <v>3010</v>
      </c>
      <c r="H72" s="1097" t="s">
        <v>1606</v>
      </c>
      <c r="I72" s="1095" t="s">
        <v>7178</v>
      </c>
      <c r="J72" s="1095" t="s">
        <v>7176</v>
      </c>
      <c r="K72" s="1095" t="s">
        <v>7140</v>
      </c>
      <c r="L72" s="1095" t="s">
        <v>7409</v>
      </c>
      <c r="M72" s="1095" t="s">
        <v>7410</v>
      </c>
      <c r="N72" s="1095" t="s">
        <v>7411</v>
      </c>
      <c r="O72" s="1095" t="s">
        <v>7412</v>
      </c>
      <c r="P72" s="1095" t="s">
        <v>7413</v>
      </c>
      <c r="Q72" s="1095" t="s">
        <v>7414</v>
      </c>
      <c r="R72" s="1119" t="s">
        <v>7415</v>
      </c>
      <c r="S72" s="2021">
        <f>IF(COUNTIF(Psíquicos!$C$25:$E$36,E72)=0,0,1)</f>
        <v>0</v>
      </c>
      <c r="U72" s="1095" t="str">
        <f t="shared" si="1"/>
        <v>DIF</v>
      </c>
      <c r="V72" s="2303" t="str">
        <f t="shared" si="4"/>
        <v/>
      </c>
      <c r="W72" s="2303" t="str">
        <f t="shared" si="5"/>
        <v/>
      </c>
      <c r="X72" s="2303" t="str">
        <f t="shared" si="6"/>
        <v/>
      </c>
      <c r="Y72" s="2303">
        <f t="shared" si="7"/>
        <v>1</v>
      </c>
      <c r="Z72" s="2303">
        <f t="shared" si="8"/>
        <v>2</v>
      </c>
      <c r="AA72" s="2303">
        <f t="shared" si="9"/>
        <v>3</v>
      </c>
      <c r="AB72" s="2303">
        <f t="shared" si="10"/>
        <v>4</v>
      </c>
      <c r="AC72" s="2303">
        <f t="shared" si="11"/>
        <v>5</v>
      </c>
      <c r="AD72" s="2303">
        <f t="shared" si="12"/>
        <v>6</v>
      </c>
      <c r="AE72" s="2303">
        <f t="shared" si="13"/>
        <v>8</v>
      </c>
      <c r="AF72" s="2303">
        <f>IF(ISNUMBER(SEARCH("&gt;",#REF!)),0,COUNTIF(Psíquicos!$AD$16:$AH$61,#REF!))</f>
        <v>0</v>
      </c>
      <c r="AG72" s="1095" t="str">
        <f>IF(AF72=0,"",VLOOKUP(#REF!,Psíquicos!$AD$11:$AK$64,8,FALSE))</f>
        <v/>
      </c>
      <c r="AH72" s="2393">
        <f>VALUE(IF('Tablas psiquica'!$AF72&gt;0,INDEX('Tablas psiquica'!$V72:$AE72,MATCH('Tablas psiquica'!$AG72,'Tablas psiquica'!$V$6:$AE$6,0)),0))</f>
        <v>0</v>
      </c>
      <c r="AI72" s="2388" t="s">
        <v>184</v>
      </c>
    </row>
    <row r="73" spans="1:35" ht="12.75" customHeight="1" x14ac:dyDescent="0.2">
      <c r="A73" s="2027">
        <v>73</v>
      </c>
      <c r="B73" s="2019">
        <f>IF(OR(S73=0),0,SUM($S$6:S73))</f>
        <v>0</v>
      </c>
      <c r="C73" s="1103"/>
      <c r="D73" s="521" t="s">
        <v>185</v>
      </c>
      <c r="E73" s="1095" t="s">
        <v>107</v>
      </c>
      <c r="F73" s="1096">
        <v>2</v>
      </c>
      <c r="G73" s="1096" t="s">
        <v>3010</v>
      </c>
      <c r="H73" s="1097" t="s">
        <v>1607</v>
      </c>
      <c r="I73" s="1095" t="s">
        <v>7178</v>
      </c>
      <c r="J73" s="1095" t="s">
        <v>7176</v>
      </c>
      <c r="K73" s="1095" t="s">
        <v>7140</v>
      </c>
      <c r="L73" s="1095" t="s">
        <v>7416</v>
      </c>
      <c r="M73" s="1095" t="s">
        <v>7417</v>
      </c>
      <c r="N73" s="1095" t="s">
        <v>7418</v>
      </c>
      <c r="O73" s="1095" t="s">
        <v>7419</v>
      </c>
      <c r="P73" s="1095" t="s">
        <v>7420</v>
      </c>
      <c r="Q73" s="1095" t="s">
        <v>7421</v>
      </c>
      <c r="R73" s="1119" t="s">
        <v>7422</v>
      </c>
      <c r="S73" s="2021">
        <f>IF(COUNTIF(Psíquicos!$C$25:$E$36,E73)=0,0,1)</f>
        <v>0</v>
      </c>
      <c r="U73" s="1095" t="str">
        <f t="shared" ref="U73:U136" si="14">INDEX($I$6:$R$6,SUMPRODUCT(ISNUMBER(SEARCH("Fatiga",I73:R73))*1)+1)</f>
        <v>DIF</v>
      </c>
      <c r="V73" s="2303" t="str">
        <f t="shared" si="4"/>
        <v/>
      </c>
      <c r="W73" s="2303" t="str">
        <f t="shared" si="5"/>
        <v/>
      </c>
      <c r="X73" s="2303" t="str">
        <f t="shared" si="6"/>
        <v/>
      </c>
      <c r="Y73" s="2303">
        <f t="shared" si="7"/>
        <v>10</v>
      </c>
      <c r="Z73" s="2303">
        <f t="shared" si="8"/>
        <v>20</v>
      </c>
      <c r="AA73" s="2303">
        <f t="shared" si="9"/>
        <v>40</v>
      </c>
      <c r="AB73" s="2303">
        <f t="shared" si="10"/>
        <v>80</v>
      </c>
      <c r="AC73" s="2303">
        <f t="shared" si="11"/>
        <v>120</v>
      </c>
      <c r="AD73" s="2303">
        <f t="shared" si="12"/>
        <v>160</v>
      </c>
      <c r="AE73" s="2303">
        <f t="shared" si="13"/>
        <v>200</v>
      </c>
      <c r="AF73" s="2303">
        <f>IF(ISNUMBER(SEARCH("&gt;",#REF!)),0,COUNTIF(Psíquicos!$AD$16:$AH$61,#REF!))</f>
        <v>0</v>
      </c>
      <c r="AG73" s="1095" t="str">
        <f>IF(AF73=0,"",VLOOKUP(#REF!,Psíquicos!$AD$11:$AK$64,8,FALSE))</f>
        <v/>
      </c>
      <c r="AH73" s="2393">
        <f>VALUE(IF('Tablas psiquica'!$AF73&gt;0,INDEX('Tablas psiquica'!$V73:$AE73,MATCH('Tablas psiquica'!$AG73,'Tablas psiquica'!$V$6:$AE$6,0)),0))</f>
        <v>0</v>
      </c>
      <c r="AI73" s="2388" t="s">
        <v>185</v>
      </c>
    </row>
    <row r="74" spans="1:35" ht="12.75" customHeight="1" x14ac:dyDescent="0.2">
      <c r="A74" s="2027">
        <v>74</v>
      </c>
      <c r="B74" s="2019">
        <f>IF(OR(S74=0),0,SUM($S$6:S74))</f>
        <v>0</v>
      </c>
      <c r="C74" s="1103"/>
      <c r="D74" s="521" t="s">
        <v>1677</v>
      </c>
      <c r="E74" s="1095" t="s">
        <v>107</v>
      </c>
      <c r="F74" s="1096">
        <v>2</v>
      </c>
      <c r="G74" s="1096" t="s">
        <v>3010</v>
      </c>
      <c r="H74" s="1097" t="s">
        <v>1606</v>
      </c>
      <c r="I74" s="1095" t="s">
        <v>7178</v>
      </c>
      <c r="J74" s="1095" t="s">
        <v>7177</v>
      </c>
      <c r="K74" s="1095" t="s">
        <v>7176</v>
      </c>
      <c r="L74" s="1095" t="s">
        <v>7423</v>
      </c>
      <c r="M74" s="1095" t="s">
        <v>7424</v>
      </c>
      <c r="N74" s="1095" t="s">
        <v>7425</v>
      </c>
      <c r="O74" s="1095" t="s">
        <v>7426</v>
      </c>
      <c r="P74" s="1095" t="s">
        <v>7427</v>
      </c>
      <c r="Q74" s="1095" t="s">
        <v>7428</v>
      </c>
      <c r="R74" s="1119" t="s">
        <v>7429</v>
      </c>
      <c r="S74" s="2021">
        <f>IF(COUNTIF(Psíquicos!$C$25:$E$36,E74)=0,0,1)</f>
        <v>0</v>
      </c>
      <c r="U74" s="1095" t="str">
        <f t="shared" si="14"/>
        <v>DIF</v>
      </c>
      <c r="V74" s="2303" t="str">
        <f t="shared" si="4"/>
        <v/>
      </c>
      <c r="W74" s="2303" t="str">
        <f t="shared" si="5"/>
        <v/>
      </c>
      <c r="X74" s="2303" t="str">
        <f t="shared" si="6"/>
        <v/>
      </c>
      <c r="Y74" s="2303">
        <f t="shared" si="7"/>
        <v>1</v>
      </c>
      <c r="Z74" s="2303">
        <f t="shared" si="8"/>
        <v>2</v>
      </c>
      <c r="AA74" s="2303">
        <f t="shared" si="9"/>
        <v>4</v>
      </c>
      <c r="AB74" s="2303">
        <f t="shared" si="10"/>
        <v>6</v>
      </c>
      <c r="AC74" s="2303">
        <f t="shared" si="11"/>
        <v>8</v>
      </c>
      <c r="AD74" s="2303">
        <f t="shared" si="12"/>
        <v>10</v>
      </c>
      <c r="AE74" s="2303">
        <f t="shared" si="13"/>
        <v>12</v>
      </c>
      <c r="AF74" s="2303">
        <f>IF(ISNUMBER(SEARCH("&gt;",#REF!)),0,COUNTIF(Psíquicos!$AD$16:$AH$61,#REF!))</f>
        <v>0</v>
      </c>
      <c r="AG74" s="1095" t="str">
        <f>IF(AF74=0,"",VLOOKUP(#REF!,Psíquicos!$AD$11:$AK$64,8,FALSE))</f>
        <v/>
      </c>
      <c r="AH74" s="2393">
        <f>VALUE(IF('Tablas psiquica'!$AF74&gt;0,INDEX('Tablas psiquica'!$V74:$AE74,MATCH('Tablas psiquica'!$AG74,'Tablas psiquica'!$V$6:$AE$6,0)),0))</f>
        <v>0</v>
      </c>
      <c r="AI74" s="2388" t="s">
        <v>1677</v>
      </c>
    </row>
    <row r="75" spans="1:35" ht="12.75" customHeight="1" x14ac:dyDescent="0.2">
      <c r="A75" s="2027">
        <v>75</v>
      </c>
      <c r="B75" s="2019">
        <f>IF(OR(S75=0),0,SUM($S$6:S75))</f>
        <v>0</v>
      </c>
      <c r="C75" s="1103"/>
      <c r="D75" s="521" t="s">
        <v>186</v>
      </c>
      <c r="E75" s="1095" t="s">
        <v>107</v>
      </c>
      <c r="F75" s="1096">
        <v>3</v>
      </c>
      <c r="G75" s="1096" t="s">
        <v>1690</v>
      </c>
      <c r="H75" s="1097" t="s">
        <v>1606</v>
      </c>
      <c r="I75" s="1095" t="s">
        <v>7192</v>
      </c>
      <c r="J75" s="1095" t="s">
        <v>7191</v>
      </c>
      <c r="K75" s="1095" t="s">
        <v>7178</v>
      </c>
      <c r="L75" s="1095" t="s">
        <v>7177</v>
      </c>
      <c r="M75" s="1095" t="s">
        <v>7176</v>
      </c>
      <c r="N75" s="1095" t="s">
        <v>7430</v>
      </c>
      <c r="O75" s="1095" t="s">
        <v>7431</v>
      </c>
      <c r="P75" s="1095" t="s">
        <v>7432</v>
      </c>
      <c r="Q75" s="1095" t="s">
        <v>7433</v>
      </c>
      <c r="R75" s="1119" t="s">
        <v>7434</v>
      </c>
      <c r="S75" s="2021">
        <f>IF(COUNTIF(Psíquicos!$C$25:$E$36,E75)=0,0,1)</f>
        <v>0</v>
      </c>
      <c r="U75" s="1095" t="str">
        <f t="shared" si="14"/>
        <v>ABS</v>
      </c>
      <c r="V75" s="2303" t="str">
        <f t="shared" si="4"/>
        <v/>
      </c>
      <c r="W75" s="2303" t="str">
        <f t="shared" si="5"/>
        <v/>
      </c>
      <c r="X75" s="2303" t="str">
        <f t="shared" si="6"/>
        <v/>
      </c>
      <c r="Y75" s="2303" t="str">
        <f t="shared" si="7"/>
        <v/>
      </c>
      <c r="Z75" s="2303" t="str">
        <f t="shared" si="8"/>
        <v/>
      </c>
      <c r="AA75" s="2303" t="str">
        <f t="shared" si="9"/>
        <v/>
      </c>
      <c r="AB75" s="2303" t="str">
        <f t="shared" si="10"/>
        <v/>
      </c>
      <c r="AC75" s="2303" t="str">
        <f t="shared" si="11"/>
        <v/>
      </c>
      <c r="AD75" s="2303" t="str">
        <f t="shared" si="12"/>
        <v/>
      </c>
      <c r="AE75" s="2303" t="str">
        <f t="shared" si="13"/>
        <v/>
      </c>
      <c r="AF75" s="2303">
        <f>IF(ISNUMBER(SEARCH("&gt;",#REF!)),0,COUNTIF(Psíquicos!$AD$16:$AH$61,#REF!))</f>
        <v>0</v>
      </c>
      <c r="AG75" s="1095" t="str">
        <f>IF(AF75=0,"",VLOOKUP(#REF!,Psíquicos!$AD$11:$AK$64,8,FALSE))</f>
        <v/>
      </c>
      <c r="AH75" s="2393"/>
      <c r="AI75" s="2388" t="s">
        <v>186</v>
      </c>
    </row>
    <row r="76" spans="1:35" ht="12.75" customHeight="1" x14ac:dyDescent="0.2">
      <c r="A76" s="2027">
        <v>76</v>
      </c>
      <c r="B76" s="2019">
        <f>IF(OR(S76=0),0,SUM($S$6:S76))</f>
        <v>0</v>
      </c>
      <c r="C76" s="1103"/>
      <c r="D76" s="521" t="s">
        <v>187</v>
      </c>
      <c r="E76" s="1095" t="s">
        <v>107</v>
      </c>
      <c r="F76" s="1096">
        <v>3</v>
      </c>
      <c r="G76" s="1096" t="s">
        <v>3010</v>
      </c>
      <c r="H76" s="1097" t="s">
        <v>1606</v>
      </c>
      <c r="I76" s="1095" t="s">
        <v>7192</v>
      </c>
      <c r="J76" s="1095" t="s">
        <v>7191</v>
      </c>
      <c r="K76" s="1095" t="s">
        <v>7178</v>
      </c>
      <c r="L76" s="1095" t="s">
        <v>7177</v>
      </c>
      <c r="M76" s="1095" t="s">
        <v>7176</v>
      </c>
      <c r="N76" s="1095" t="s">
        <v>7435</v>
      </c>
      <c r="O76" s="1095" t="s">
        <v>7436</v>
      </c>
      <c r="P76" s="1095" t="s">
        <v>7437</v>
      </c>
      <c r="Q76" s="1095" t="s">
        <v>7438</v>
      </c>
      <c r="R76" s="1119" t="s">
        <v>7439</v>
      </c>
      <c r="S76" s="2021">
        <f>IF(COUNTIF(Psíquicos!$C$25:$E$36,E76)=0,0,1)</f>
        <v>0</v>
      </c>
      <c r="U76" s="1095" t="str">
        <f t="shared" si="14"/>
        <v>ABS</v>
      </c>
      <c r="V76" s="2303" t="str">
        <f t="shared" si="4"/>
        <v/>
      </c>
      <c r="W76" s="2303" t="str">
        <f t="shared" si="5"/>
        <v/>
      </c>
      <c r="X76" s="2303" t="str">
        <f t="shared" si="6"/>
        <v/>
      </c>
      <c r="Y76" s="2303" t="str">
        <f t="shared" si="7"/>
        <v/>
      </c>
      <c r="Z76" s="2303" t="str">
        <f t="shared" si="8"/>
        <v/>
      </c>
      <c r="AA76" s="2303">
        <f t="shared" si="9"/>
        <v>1</v>
      </c>
      <c r="AB76" s="2303">
        <f t="shared" si="10"/>
        <v>2</v>
      </c>
      <c r="AC76" s="2303">
        <f t="shared" si="11"/>
        <v>4</v>
      </c>
      <c r="AD76" s="2303">
        <f t="shared" si="12"/>
        <v>6</v>
      </c>
      <c r="AE76" s="2303">
        <f t="shared" si="13"/>
        <v>8</v>
      </c>
      <c r="AF76" s="2303">
        <f>IF(ISNUMBER(SEARCH("&gt;",#REF!)),0,COUNTIF(Psíquicos!$AD$16:$AH$61,#REF!))</f>
        <v>0</v>
      </c>
      <c r="AG76" s="1095" t="str">
        <f>IF(AF76=0,"",VLOOKUP(#REF!,Psíquicos!$AD$11:$AK$64,8,FALSE))</f>
        <v/>
      </c>
      <c r="AH76" s="2393">
        <f>VALUE(IF('Tablas psiquica'!$AF76&gt;0,INDEX('Tablas psiquica'!$V76:$AE76,MATCH('Tablas psiquica'!$AG76,'Tablas psiquica'!$V$6:$AE$6,0)),0))</f>
        <v>0</v>
      </c>
      <c r="AI76" s="2388" t="s">
        <v>187</v>
      </c>
    </row>
    <row r="77" spans="1:35" ht="12.75" customHeight="1" x14ac:dyDescent="0.2">
      <c r="A77" s="2027">
        <v>77</v>
      </c>
      <c r="B77" s="2019">
        <f>IF(OR(S77=0),0,SUM($S$6:S77))</f>
        <v>0</v>
      </c>
      <c r="C77" s="1103"/>
      <c r="D77" s="521" t="s">
        <v>188</v>
      </c>
      <c r="E77" s="1095" t="s">
        <v>107</v>
      </c>
      <c r="F77" s="1096">
        <v>3</v>
      </c>
      <c r="G77" s="1096" t="s">
        <v>3010</v>
      </c>
      <c r="H77" s="1097" t="s">
        <v>1606</v>
      </c>
      <c r="I77" s="1095" t="s">
        <v>7192</v>
      </c>
      <c r="J77" s="1095" t="s">
        <v>7191</v>
      </c>
      <c r="K77" s="1095" t="s">
        <v>7178</v>
      </c>
      <c r="L77" s="1095" t="s">
        <v>7177</v>
      </c>
      <c r="M77" s="1095" t="s">
        <v>7176</v>
      </c>
      <c r="N77" s="1095" t="s">
        <v>7440</v>
      </c>
      <c r="O77" s="1095" t="s">
        <v>7441</v>
      </c>
      <c r="P77" s="1095" t="s">
        <v>7442</v>
      </c>
      <c r="Q77" s="1095" t="s">
        <v>7443</v>
      </c>
      <c r="R77" s="1119" t="s">
        <v>7444</v>
      </c>
      <c r="S77" s="2021">
        <f>IF(COUNTIF(Psíquicos!$C$25:$E$36,E77)=0,0,1)</f>
        <v>0</v>
      </c>
      <c r="U77" s="1095" t="str">
        <f t="shared" si="14"/>
        <v>ABS</v>
      </c>
      <c r="V77" s="2303"/>
      <c r="W77" s="2303"/>
      <c r="X77" s="2303"/>
      <c r="Y77" s="2303"/>
      <c r="Z77" s="2303"/>
      <c r="AA77" s="2303"/>
      <c r="AB77" s="2303"/>
      <c r="AC77" s="2303"/>
      <c r="AD77" s="2303"/>
      <c r="AE77" s="2303"/>
      <c r="AF77" s="2303">
        <f>IF(ISNUMBER(SEARCH("&gt;",#REF!)),0,COUNTIF(Psíquicos!$AD$16:$AH$61,#REF!))</f>
        <v>0</v>
      </c>
      <c r="AG77" s="1095" t="str">
        <f>IF(AF77=0,"",VLOOKUP(#REF!,Psíquicos!$AD$11:$AK$64,8,FALSE))</f>
        <v/>
      </c>
      <c r="AH77" s="2393"/>
      <c r="AI77" s="2388" t="s">
        <v>188</v>
      </c>
    </row>
    <row r="78" spans="1:35" ht="12.75" customHeight="1" x14ac:dyDescent="0.2">
      <c r="A78" s="2027">
        <v>78</v>
      </c>
      <c r="B78" s="2019">
        <f>IF(OR(S78=0),0,SUM($S$6:S78))</f>
        <v>0</v>
      </c>
      <c r="C78" s="1103"/>
      <c r="D78" s="521" t="s">
        <v>189</v>
      </c>
      <c r="E78" s="1095"/>
      <c r="F78" s="1096"/>
      <c r="G78" s="1096"/>
      <c r="H78" s="1097"/>
      <c r="I78" s="1095"/>
      <c r="J78" s="1095"/>
      <c r="K78" s="1095"/>
      <c r="L78" s="1095"/>
      <c r="M78" s="1095"/>
      <c r="N78" s="1095"/>
      <c r="O78" s="1095"/>
      <c r="P78" s="1095"/>
      <c r="Q78" s="1095"/>
      <c r="R78" s="1119"/>
      <c r="S78" s="2023">
        <f>S79</f>
        <v>0</v>
      </c>
      <c r="U78" s="1095"/>
      <c r="V78" s="2303"/>
      <c r="W78" s="2303"/>
      <c r="X78" s="2303"/>
      <c r="Y78" s="2303"/>
      <c r="Z78" s="2303"/>
      <c r="AA78" s="2303"/>
      <c r="AB78" s="2303"/>
      <c r="AC78" s="2303"/>
      <c r="AD78" s="2303"/>
      <c r="AE78" s="2303"/>
      <c r="AF78" s="2303">
        <f>IF(ISNUMBER(SEARCH("&gt;",#REF!)),0,COUNTIF(Psíquicos!$AD$16:$AH$61,#REF!))</f>
        <v>0</v>
      </c>
      <c r="AG78" s="1095" t="str">
        <f>IF(AF78=0,"",VLOOKUP(#REF!,Psíquicos!$AD$11:$AK$64,8,FALSE))</f>
        <v/>
      </c>
      <c r="AH78" s="2393"/>
      <c r="AI78" s="2388" t="s">
        <v>189</v>
      </c>
    </row>
    <row r="79" spans="1:35" ht="12.75" customHeight="1" x14ac:dyDescent="0.2">
      <c r="A79" s="2027">
        <v>79</v>
      </c>
      <c r="B79" s="2019">
        <f>IF(OR(S79=0),0,SUM($S$6:S79))</f>
        <v>0</v>
      </c>
      <c r="C79" s="1103"/>
      <c r="D79" s="521" t="s">
        <v>190</v>
      </c>
      <c r="E79" s="1095" t="s">
        <v>108</v>
      </c>
      <c r="F79" s="1096">
        <v>1</v>
      </c>
      <c r="G79" s="1096" t="s">
        <v>3010</v>
      </c>
      <c r="H79" s="1097" t="s">
        <v>1606</v>
      </c>
      <c r="I79" s="1095" t="s">
        <v>7140</v>
      </c>
      <c r="J79" s="1095" t="s">
        <v>7141</v>
      </c>
      <c r="K79" s="1095" t="s">
        <v>7325</v>
      </c>
      <c r="L79" s="1095" t="s">
        <v>7326</v>
      </c>
      <c r="M79" s="1095" t="s">
        <v>7327</v>
      </c>
      <c r="N79" s="1095" t="s">
        <v>7445</v>
      </c>
      <c r="O79" s="1095" t="s">
        <v>7328</v>
      </c>
      <c r="P79" s="1095" t="s">
        <v>5637</v>
      </c>
      <c r="Q79" s="1095" t="s">
        <v>5639</v>
      </c>
      <c r="R79" s="1119" t="s">
        <v>7329</v>
      </c>
      <c r="S79" s="2021">
        <f>IF(COUNTIF(Psíquicos!$C$25:$E$36,E79)=0,0,1)</f>
        <v>0</v>
      </c>
      <c r="U79" s="1095" t="str">
        <f t="shared" si="14"/>
        <v>MED</v>
      </c>
      <c r="V79" s="2303"/>
      <c r="W79" s="2303"/>
      <c r="X79" s="2303"/>
      <c r="Y79" s="2303"/>
      <c r="Z79" s="2303"/>
      <c r="AA79" s="2303"/>
      <c r="AB79" s="2303"/>
      <c r="AC79" s="2303"/>
      <c r="AD79" s="2303"/>
      <c r="AE79" s="2303"/>
      <c r="AF79" s="2303">
        <f>IF(ISNUMBER(SEARCH("&gt;",#REF!)),0,COUNTIF(Psíquicos!$AD$16:$AH$61,#REF!))</f>
        <v>0</v>
      </c>
      <c r="AG79" s="1095" t="str">
        <f>IF(AF79=0,"",VLOOKUP(#REF!,Psíquicos!$AD$11:$AK$64,8,FALSE))</f>
        <v/>
      </c>
      <c r="AH79" s="2393"/>
      <c r="AI79" s="2388" t="s">
        <v>190</v>
      </c>
    </row>
    <row r="80" spans="1:35" ht="12.75" customHeight="1" x14ac:dyDescent="0.2">
      <c r="A80" s="2027">
        <v>80</v>
      </c>
      <c r="B80" s="2019">
        <f>IF(OR(S80=0),0,SUM($S$6:S80))</f>
        <v>0</v>
      </c>
      <c r="C80" s="1103"/>
      <c r="D80" s="521" t="s">
        <v>191</v>
      </c>
      <c r="E80" s="1095" t="s">
        <v>108</v>
      </c>
      <c r="F80" s="1096">
        <v>1</v>
      </c>
      <c r="G80" s="1096" t="s">
        <v>3010</v>
      </c>
      <c r="H80" s="1097" t="s">
        <v>1606</v>
      </c>
      <c r="I80" s="1095" t="s">
        <v>7140</v>
      </c>
      <c r="J80" s="1095" t="s">
        <v>7141</v>
      </c>
      <c r="K80" s="1095" t="s">
        <v>4908</v>
      </c>
      <c r="L80" s="1095" t="s">
        <v>7446</v>
      </c>
      <c r="M80" s="1095" t="s">
        <v>7447</v>
      </c>
      <c r="N80" s="1095" t="s">
        <v>7448</v>
      </c>
      <c r="O80" s="1095" t="s">
        <v>7449</v>
      </c>
      <c r="P80" s="1095" t="s">
        <v>7450</v>
      </c>
      <c r="Q80" s="1095" t="s">
        <v>7451</v>
      </c>
      <c r="R80" s="1119" t="s">
        <v>7452</v>
      </c>
      <c r="S80" s="2021">
        <f>IF(COUNTIF(Psíquicos!$C$25:$E$36,E80)=0,0,1)</f>
        <v>0</v>
      </c>
      <c r="U80" s="1095" t="str">
        <f t="shared" si="14"/>
        <v>MED</v>
      </c>
      <c r="V80" s="2303"/>
      <c r="W80" s="2303"/>
      <c r="X80" s="2303"/>
      <c r="Y80" s="2303"/>
      <c r="Z80" s="2303"/>
      <c r="AA80" s="2303"/>
      <c r="AB80" s="2303"/>
      <c r="AC80" s="2303"/>
      <c r="AD80" s="2303"/>
      <c r="AE80" s="2303"/>
      <c r="AF80" s="2303">
        <f>IF(ISNUMBER(SEARCH("&gt;",#REF!)),0,COUNTIF(Psíquicos!$AD$16:$AH$61,#REF!))</f>
        <v>0</v>
      </c>
      <c r="AG80" s="1095" t="str">
        <f>IF(AF80=0,"",VLOOKUP(#REF!,Psíquicos!$AD$11:$AK$64,8,FALSE))</f>
        <v/>
      </c>
      <c r="AH80" s="2393"/>
      <c r="AI80" s="2388" t="s">
        <v>191</v>
      </c>
    </row>
    <row r="81" spans="1:35" ht="12.75" customHeight="1" x14ac:dyDescent="0.2">
      <c r="A81" s="2027">
        <v>81</v>
      </c>
      <c r="B81" s="2019">
        <f>IF(OR(S81=0),0,SUM($S$6:S81))</f>
        <v>0</v>
      </c>
      <c r="C81" s="1103"/>
      <c r="D81" s="521" t="s">
        <v>192</v>
      </c>
      <c r="E81" s="1095" t="s">
        <v>108</v>
      </c>
      <c r="F81" s="1096">
        <v>1</v>
      </c>
      <c r="G81" s="1096" t="s">
        <v>3010</v>
      </c>
      <c r="H81" s="1097" t="s">
        <v>1607</v>
      </c>
      <c r="I81" s="1095" t="s">
        <v>7177</v>
      </c>
      <c r="J81" s="1095" t="s">
        <v>7176</v>
      </c>
      <c r="K81" s="1095" t="s">
        <v>7140</v>
      </c>
      <c r="L81" s="1095" t="s">
        <v>7212</v>
      </c>
      <c r="M81" s="1095" t="s">
        <v>7213</v>
      </c>
      <c r="N81" s="1095" t="s">
        <v>7339</v>
      </c>
      <c r="O81" s="1095" t="s">
        <v>7215</v>
      </c>
      <c r="P81" s="1095" t="s">
        <v>7453</v>
      </c>
      <c r="Q81" s="1095" t="s">
        <v>7454</v>
      </c>
      <c r="R81" s="1119" t="s">
        <v>7455</v>
      </c>
      <c r="S81" s="2021">
        <f>IF(COUNTIF(Psíquicos!$C$25:$E$36,E81)=0,0,1)</f>
        <v>0</v>
      </c>
      <c r="U81" s="1095" t="str">
        <f t="shared" si="14"/>
        <v>DIF</v>
      </c>
      <c r="V81" s="2303"/>
      <c r="W81" s="2303"/>
      <c r="X81" s="2303"/>
      <c r="Y81" s="2303"/>
      <c r="Z81" s="2303"/>
      <c r="AA81" s="2303"/>
      <c r="AB81" s="2303"/>
      <c r="AC81" s="2303"/>
      <c r="AD81" s="2303"/>
      <c r="AE81" s="2303"/>
      <c r="AF81" s="2303">
        <f>IF(ISNUMBER(SEARCH("&gt;",#REF!)),0,COUNTIF(Psíquicos!$AD$16:$AH$61,#REF!))</f>
        <v>0</v>
      </c>
      <c r="AG81" s="1095" t="str">
        <f>IF(AF81=0,"",VLOOKUP(#REF!,Psíquicos!$AD$11:$AK$64,8,FALSE))</f>
        <v/>
      </c>
      <c r="AH81" s="2393"/>
      <c r="AI81" s="2388" t="s">
        <v>192</v>
      </c>
    </row>
    <row r="82" spans="1:35" ht="12.75" customHeight="1" x14ac:dyDescent="0.2">
      <c r="A82" s="2027">
        <v>82</v>
      </c>
      <c r="B82" s="2019">
        <f>IF(OR(S82=0),0,SUM($S$6:S82))</f>
        <v>0</v>
      </c>
      <c r="C82" s="1103"/>
      <c r="D82" s="521" t="s">
        <v>193</v>
      </c>
      <c r="E82" s="1095" t="s">
        <v>108</v>
      </c>
      <c r="F82" s="1096">
        <v>1</v>
      </c>
      <c r="G82" s="1096" t="s">
        <v>3010</v>
      </c>
      <c r="H82" s="1097" t="s">
        <v>1606</v>
      </c>
      <c r="I82" s="1095" t="s">
        <v>7176</v>
      </c>
      <c r="J82" s="1095" t="s">
        <v>7140</v>
      </c>
      <c r="K82" s="1095" t="s">
        <v>7141</v>
      </c>
      <c r="L82" s="1095" t="s">
        <v>7456</v>
      </c>
      <c r="M82" s="1095" t="s">
        <v>7457</v>
      </c>
      <c r="N82" s="1095" t="s">
        <v>7458</v>
      </c>
      <c r="O82" s="1095" t="s">
        <v>7459</v>
      </c>
      <c r="P82" s="1095" t="s">
        <v>7460</v>
      </c>
      <c r="Q82" s="1095" t="s">
        <v>7461</v>
      </c>
      <c r="R82" s="1119" t="s">
        <v>7462</v>
      </c>
      <c r="S82" s="2021">
        <f>IF(COUNTIF(Psíquicos!$C$25:$E$36,E82)=0,0,1)</f>
        <v>0</v>
      </c>
      <c r="U82" s="1095" t="str">
        <f t="shared" si="14"/>
        <v>DIF</v>
      </c>
      <c r="V82" s="2303"/>
      <c r="W82" s="2303"/>
      <c r="X82" s="2304"/>
      <c r="Y82" s="2304"/>
      <c r="Z82" s="2304"/>
      <c r="AA82" s="2304"/>
      <c r="AB82" s="2303"/>
      <c r="AC82" s="2303"/>
      <c r="AD82" s="2303"/>
      <c r="AE82" s="2304"/>
      <c r="AF82" s="2303">
        <f>IF(ISNUMBER(SEARCH("&gt;",#REF!)),0,COUNTIF(Psíquicos!$AD$16:$AH$61,#REF!))</f>
        <v>0</v>
      </c>
      <c r="AG82" s="1095" t="str">
        <f>IF(AF82=0,"",VLOOKUP(#REF!,Psíquicos!$AD$11:$AK$64,8,FALSE))</f>
        <v/>
      </c>
      <c r="AH82" s="2393"/>
      <c r="AI82" s="2388" t="s">
        <v>193</v>
      </c>
    </row>
    <row r="83" spans="1:35" ht="12.75" customHeight="1" x14ac:dyDescent="0.2">
      <c r="A83" s="2027">
        <v>83</v>
      </c>
      <c r="B83" s="2019">
        <f>IF(OR(S83=0),0,SUM($S$6:S83))</f>
        <v>0</v>
      </c>
      <c r="C83" s="1103"/>
      <c r="D83" s="521" t="s">
        <v>194</v>
      </c>
      <c r="E83" s="1095" t="s">
        <v>108</v>
      </c>
      <c r="F83" s="1096">
        <v>1</v>
      </c>
      <c r="G83" s="1096" t="s">
        <v>1690</v>
      </c>
      <c r="H83" s="1097" t="s">
        <v>1606</v>
      </c>
      <c r="I83" s="1095" t="s">
        <v>7176</v>
      </c>
      <c r="J83" s="1095" t="s">
        <v>7140</v>
      </c>
      <c r="K83" s="1095" t="s">
        <v>7141</v>
      </c>
      <c r="L83" s="1095" t="s">
        <v>5553</v>
      </c>
      <c r="M83" s="1095" t="s">
        <v>5554</v>
      </c>
      <c r="N83" s="1095" t="s">
        <v>5128</v>
      </c>
      <c r="O83" s="1095" t="s">
        <v>4802</v>
      </c>
      <c r="P83" s="1095" t="s">
        <v>7463</v>
      </c>
      <c r="Q83" s="1095" t="s">
        <v>7464</v>
      </c>
      <c r="R83" s="1119" t="s">
        <v>7465</v>
      </c>
      <c r="S83" s="2021">
        <f>IF(COUNTIF(Psíquicos!$C$25:$E$36,E83)=0,0,1)</f>
        <v>0</v>
      </c>
      <c r="U83" s="1095" t="str">
        <f t="shared" si="14"/>
        <v>DIF</v>
      </c>
      <c r="V83" s="2303"/>
      <c r="W83" s="2303"/>
      <c r="X83" s="2303"/>
      <c r="Y83" s="2303"/>
      <c r="Z83" s="2303"/>
      <c r="AA83" s="2303"/>
      <c r="AB83" s="2303"/>
      <c r="AC83" s="2303"/>
      <c r="AD83" s="2303"/>
      <c r="AE83" s="2303"/>
      <c r="AF83" s="2303">
        <f>IF(ISNUMBER(SEARCH("&gt;",#REF!)),0,COUNTIF(Psíquicos!$AD$16:$AH$61,#REF!))</f>
        <v>0</v>
      </c>
      <c r="AG83" s="1095" t="str">
        <f>IF(AF83=0,"",VLOOKUP(#REF!,Psíquicos!$AD$11:$AK$64,8,FALSE))</f>
        <v/>
      </c>
      <c r="AH83" s="2393"/>
      <c r="AI83" s="2388" t="s">
        <v>194</v>
      </c>
    </row>
    <row r="84" spans="1:35" ht="12.75" customHeight="1" x14ac:dyDescent="0.2">
      <c r="A84" s="2027">
        <v>84</v>
      </c>
      <c r="B84" s="2019">
        <f>IF(OR(S84=0),0,SUM($S$6:S84))</f>
        <v>0</v>
      </c>
      <c r="C84" s="1103"/>
      <c r="D84" s="521" t="s">
        <v>195</v>
      </c>
      <c r="E84" s="1095" t="s">
        <v>108</v>
      </c>
      <c r="F84" s="1096">
        <v>2</v>
      </c>
      <c r="G84" s="1096" t="s">
        <v>1690</v>
      </c>
      <c r="H84" s="1097" t="s">
        <v>1606</v>
      </c>
      <c r="I84" s="1095" t="s">
        <v>7177</v>
      </c>
      <c r="J84" s="1095" t="s">
        <v>7176</v>
      </c>
      <c r="K84" s="1095" t="s">
        <v>7140</v>
      </c>
      <c r="L84" s="1095" t="s">
        <v>7466</v>
      </c>
      <c r="M84" s="1095" t="s">
        <v>7467</v>
      </c>
      <c r="N84" s="1095" t="s">
        <v>7468</v>
      </c>
      <c r="O84" s="1095" t="s">
        <v>7469</v>
      </c>
      <c r="P84" s="1095" t="s">
        <v>7470</v>
      </c>
      <c r="Q84" s="1095" t="s">
        <v>7471</v>
      </c>
      <c r="R84" s="1119" t="s">
        <v>7472</v>
      </c>
      <c r="S84" s="2021">
        <f>IF(COUNTIF(Psíquicos!$C$25:$E$36,E84)=0,0,1)</f>
        <v>0</v>
      </c>
      <c r="U84" s="1095" t="str">
        <f t="shared" si="14"/>
        <v>DIF</v>
      </c>
      <c r="V84" s="2303"/>
      <c r="W84" s="2303"/>
      <c r="X84" s="2303"/>
      <c r="Y84" s="2303"/>
      <c r="Z84" s="2303"/>
      <c r="AA84" s="2303"/>
      <c r="AB84" s="2303"/>
      <c r="AC84" s="2303"/>
      <c r="AD84" s="2303"/>
      <c r="AE84" s="2303"/>
      <c r="AF84" s="2303">
        <f>IF(ISNUMBER(SEARCH("&gt;",#REF!)),0,COUNTIF(Psíquicos!$AD$16:$AH$61,#REF!))</f>
        <v>0</v>
      </c>
      <c r="AG84" s="1095" t="str">
        <f>IF(AF84=0,"",VLOOKUP(#REF!,Psíquicos!$AD$11:$AK$64,8,FALSE))</f>
        <v/>
      </c>
      <c r="AH84" s="2393"/>
      <c r="AI84" s="2388" t="s">
        <v>195</v>
      </c>
    </row>
    <row r="85" spans="1:35" ht="12.75" customHeight="1" x14ac:dyDescent="0.2">
      <c r="A85" s="2027">
        <v>85</v>
      </c>
      <c r="B85" s="2019">
        <f>IF(OR(S85=0),0,SUM($S$6:S85))</f>
        <v>0</v>
      </c>
      <c r="C85" s="1103"/>
      <c r="D85" s="521" t="s">
        <v>196</v>
      </c>
      <c r="E85" s="1095" t="s">
        <v>108</v>
      </c>
      <c r="F85" s="1096">
        <v>2</v>
      </c>
      <c r="G85" s="1096" t="s">
        <v>3010</v>
      </c>
      <c r="H85" s="1097" t="s">
        <v>1607</v>
      </c>
      <c r="I85" s="1095" t="s">
        <v>7191</v>
      </c>
      <c r="J85" s="1095" t="s">
        <v>7178</v>
      </c>
      <c r="K85" s="1095" t="s">
        <v>7177</v>
      </c>
      <c r="L85" s="1095" t="s">
        <v>7176</v>
      </c>
      <c r="M85" s="1095" t="s">
        <v>7140</v>
      </c>
      <c r="N85" s="1095" t="s">
        <v>4910</v>
      </c>
      <c r="O85" s="1095" t="s">
        <v>5632</v>
      </c>
      <c r="P85" s="1095" t="s">
        <v>4911</v>
      </c>
      <c r="Q85" s="1095" t="s">
        <v>7301</v>
      </c>
      <c r="R85" s="1119" t="s">
        <v>7302</v>
      </c>
      <c r="S85" s="2021">
        <f>IF(COUNTIF(Psíquicos!$C$25:$E$36,E85)=0,0,1)</f>
        <v>0</v>
      </c>
      <c r="U85" s="1095" t="str">
        <f t="shared" si="14"/>
        <v>ABS</v>
      </c>
      <c r="V85" s="2303"/>
      <c r="W85" s="2303"/>
      <c r="X85" s="2303"/>
      <c r="Y85" s="2303"/>
      <c r="Z85" s="2303"/>
      <c r="AA85" s="2303"/>
      <c r="AB85" s="2303"/>
      <c r="AC85" s="2303"/>
      <c r="AD85" s="2303"/>
      <c r="AE85" s="2303"/>
      <c r="AF85" s="2303">
        <f>IF(ISNUMBER(SEARCH("&gt;",#REF!)),0,COUNTIF(Psíquicos!$AD$16:$AH$61,#REF!))</f>
        <v>0</v>
      </c>
      <c r="AG85" s="1095" t="str">
        <f>IF(AF85=0,"",VLOOKUP(#REF!,Psíquicos!$AD$11:$AK$64,8,FALSE))</f>
        <v/>
      </c>
      <c r="AH85" s="2393"/>
      <c r="AI85" s="2388" t="s">
        <v>196</v>
      </c>
    </row>
    <row r="86" spans="1:35" ht="12.75" customHeight="1" x14ac:dyDescent="0.2">
      <c r="A86" s="2027">
        <v>86</v>
      </c>
      <c r="B86" s="2019">
        <f>IF(OR(S86=0),0,SUM($S$6:S86))</f>
        <v>0</v>
      </c>
      <c r="C86" s="1103"/>
      <c r="D86" s="521" t="s">
        <v>197</v>
      </c>
      <c r="E86" s="1095" t="s">
        <v>108</v>
      </c>
      <c r="F86" s="1096">
        <v>2</v>
      </c>
      <c r="G86" s="1096" t="s">
        <v>3010</v>
      </c>
      <c r="H86" s="1097" t="s">
        <v>1606</v>
      </c>
      <c r="I86" s="1095" t="s">
        <v>7177</v>
      </c>
      <c r="J86" s="1095" t="s">
        <v>7176</v>
      </c>
      <c r="K86" s="1095" t="s">
        <v>7140</v>
      </c>
      <c r="L86" s="1095" t="s">
        <v>7473</v>
      </c>
      <c r="M86" s="1095" t="s">
        <v>7474</v>
      </c>
      <c r="N86" s="1095" t="s">
        <v>7475</v>
      </c>
      <c r="O86" s="1095" t="s">
        <v>7476</v>
      </c>
      <c r="P86" s="1095" t="s">
        <v>7477</v>
      </c>
      <c r="Q86" s="1095" t="s">
        <v>7478</v>
      </c>
      <c r="R86" s="1119" t="s">
        <v>7479</v>
      </c>
      <c r="S86" s="2021">
        <f>IF(COUNTIF(Psíquicos!$C$25:$E$36,E86)=0,0,1)</f>
        <v>0</v>
      </c>
      <c r="U86" s="1095" t="str">
        <f t="shared" si="14"/>
        <v>DIF</v>
      </c>
      <c r="V86" s="2303"/>
      <c r="W86" s="2303"/>
      <c r="X86" s="2303"/>
      <c r="Y86" s="2303"/>
      <c r="Z86" s="2303"/>
      <c r="AA86" s="2303"/>
      <c r="AB86" s="2303"/>
      <c r="AC86" s="2303"/>
      <c r="AD86" s="2303"/>
      <c r="AE86" s="2303"/>
      <c r="AF86" s="2303">
        <f>IF(ISNUMBER(SEARCH("&gt;",#REF!)),0,COUNTIF(Psíquicos!$AD$16:$AH$61,#REF!))</f>
        <v>0</v>
      </c>
      <c r="AG86" s="1095" t="str">
        <f>IF(AF86=0,"",VLOOKUP(#REF!,Psíquicos!$AD$11:$AK$64,8,FALSE))</f>
        <v/>
      </c>
      <c r="AH86" s="2393"/>
      <c r="AI86" s="2388" t="s">
        <v>197</v>
      </c>
    </row>
    <row r="87" spans="1:35" ht="12.75" customHeight="1" x14ac:dyDescent="0.2">
      <c r="A87" s="2027">
        <v>87</v>
      </c>
      <c r="B87" s="2019">
        <f>IF(OR(S87=0),0,SUM($S$6:S87))</f>
        <v>0</v>
      </c>
      <c r="C87" s="1103"/>
      <c r="D87" s="521" t="s">
        <v>198</v>
      </c>
      <c r="E87" s="1095" t="s">
        <v>108</v>
      </c>
      <c r="F87" s="1096">
        <v>2</v>
      </c>
      <c r="G87" s="1096" t="s">
        <v>1690</v>
      </c>
      <c r="H87" s="1097" t="s">
        <v>1606</v>
      </c>
      <c r="I87" s="1095" t="s">
        <v>7178</v>
      </c>
      <c r="J87" s="1095" t="s">
        <v>7177</v>
      </c>
      <c r="K87" s="1095" t="s">
        <v>7176</v>
      </c>
      <c r="L87" s="1095" t="s">
        <v>7140</v>
      </c>
      <c r="M87" s="1095" t="s">
        <v>7474</v>
      </c>
      <c r="N87" s="1095" t="s">
        <v>7475</v>
      </c>
      <c r="O87" s="1095" t="s">
        <v>7476</v>
      </c>
      <c r="P87" s="1095" t="s">
        <v>7477</v>
      </c>
      <c r="Q87" s="1095" t="s">
        <v>7478</v>
      </c>
      <c r="R87" s="1119" t="s">
        <v>7479</v>
      </c>
      <c r="S87" s="2021">
        <f>IF(COUNTIF(Psíquicos!$C$25:$E$36,E87)=0,0,1)</f>
        <v>0</v>
      </c>
      <c r="U87" s="1095" t="str">
        <f t="shared" si="14"/>
        <v>MDF</v>
      </c>
      <c r="V87" s="2303"/>
      <c r="W87" s="2303"/>
      <c r="X87" s="2303"/>
      <c r="Y87" s="2303"/>
      <c r="Z87" s="2303"/>
      <c r="AA87" s="2303"/>
      <c r="AB87" s="2303"/>
      <c r="AC87" s="2303"/>
      <c r="AD87" s="2303"/>
      <c r="AE87" s="2303"/>
      <c r="AF87" s="2303">
        <f>IF(ISNUMBER(SEARCH("&gt;",#REF!)),0,COUNTIF(Psíquicos!$AD$16:$AH$61,#REF!))</f>
        <v>0</v>
      </c>
      <c r="AG87" s="1095" t="str">
        <f>IF(AF87=0,"",VLOOKUP(#REF!,Psíquicos!$AD$11:$AK$64,8,FALSE))</f>
        <v/>
      </c>
      <c r="AH87" s="2393"/>
      <c r="AI87" s="2388" t="s">
        <v>198</v>
      </c>
    </row>
    <row r="88" spans="1:35" ht="12.75" customHeight="1" x14ac:dyDescent="0.2">
      <c r="A88" s="2027">
        <v>88</v>
      </c>
      <c r="B88" s="2019">
        <f>IF(OR(S88=0),0,SUM($S$6:S88))</f>
        <v>0</v>
      </c>
      <c r="C88" s="1103"/>
      <c r="D88" s="521" t="s">
        <v>199</v>
      </c>
      <c r="E88" s="1095" t="s">
        <v>108</v>
      </c>
      <c r="F88" s="1096">
        <v>3</v>
      </c>
      <c r="G88" s="1096" t="s">
        <v>1690</v>
      </c>
      <c r="H88" s="1097" t="s">
        <v>1606</v>
      </c>
      <c r="I88" s="1095" t="s">
        <v>7192</v>
      </c>
      <c r="J88" s="1095" t="s">
        <v>7191</v>
      </c>
      <c r="K88" s="1095" t="s">
        <v>7178</v>
      </c>
      <c r="L88" s="1095" t="s">
        <v>7177</v>
      </c>
      <c r="M88" s="1095" t="s">
        <v>7176</v>
      </c>
      <c r="N88" s="1095" t="s">
        <v>7480</v>
      </c>
      <c r="O88" s="1095" t="s">
        <v>7481</v>
      </c>
      <c r="P88" s="1095" t="s">
        <v>7482</v>
      </c>
      <c r="Q88" s="1095" t="s">
        <v>7483</v>
      </c>
      <c r="R88" s="1119" t="s">
        <v>7484</v>
      </c>
      <c r="S88" s="2021">
        <f>IF(COUNTIF(Psíquicos!$C$25:$E$36,E88)=0,0,1)</f>
        <v>0</v>
      </c>
      <c r="U88" s="1095" t="str">
        <f t="shared" si="14"/>
        <v>ABS</v>
      </c>
      <c r="V88" s="2303"/>
      <c r="W88" s="2303"/>
      <c r="X88" s="2303"/>
      <c r="Y88" s="2303"/>
      <c r="Z88" s="2303"/>
      <c r="AA88" s="2303"/>
      <c r="AB88" s="2303"/>
      <c r="AC88" s="2303"/>
      <c r="AD88" s="2303"/>
      <c r="AE88" s="2303"/>
      <c r="AF88" s="2303">
        <f>IF(ISNUMBER(SEARCH("&gt;",#REF!)),0,COUNTIF(Psíquicos!$AD$16:$AH$61,#REF!))</f>
        <v>0</v>
      </c>
      <c r="AG88" s="1095" t="str">
        <f>IF(AF88=0,"",VLOOKUP(#REF!,Psíquicos!$AD$11:$AK$64,8,FALSE))</f>
        <v/>
      </c>
      <c r="AH88" s="2393"/>
      <c r="AI88" s="2388" t="s">
        <v>199</v>
      </c>
    </row>
    <row r="89" spans="1:35" ht="12.75" customHeight="1" x14ac:dyDescent="0.2">
      <c r="A89" s="2027">
        <v>89</v>
      </c>
      <c r="B89" s="2019">
        <f>IF(OR(S89=0),0,SUM($S$6:S89))</f>
        <v>0</v>
      </c>
      <c r="C89" s="1103"/>
      <c r="D89" s="521" t="s">
        <v>200</v>
      </c>
      <c r="E89" s="1095" t="s">
        <v>108</v>
      </c>
      <c r="F89" s="1096">
        <v>3</v>
      </c>
      <c r="G89" s="1096" t="s">
        <v>3010</v>
      </c>
      <c r="H89" s="1097" t="s">
        <v>1606</v>
      </c>
      <c r="I89" s="1095" t="s">
        <v>7266</v>
      </c>
      <c r="J89" s="1095" t="s">
        <v>7192</v>
      </c>
      <c r="K89" s="1095" t="s">
        <v>7191</v>
      </c>
      <c r="L89" s="1095" t="s">
        <v>7178</v>
      </c>
      <c r="M89" s="1095" t="s">
        <v>7177</v>
      </c>
      <c r="N89" s="1095" t="s">
        <v>7176</v>
      </c>
      <c r="O89" s="1095" t="s">
        <v>5633</v>
      </c>
      <c r="P89" s="1095" t="s">
        <v>5634</v>
      </c>
      <c r="Q89" s="1095" t="s">
        <v>5635</v>
      </c>
      <c r="R89" s="1119" t="s">
        <v>7485</v>
      </c>
      <c r="S89" s="2021">
        <f>IF(COUNTIF(Psíquicos!$C$25:$E$36,E89)=0,0,1)</f>
        <v>0</v>
      </c>
      <c r="U89" s="1095" t="str">
        <f t="shared" si="14"/>
        <v>CIM</v>
      </c>
      <c r="V89" s="2303"/>
      <c r="W89" s="2303"/>
      <c r="X89" s="2303"/>
      <c r="Y89" s="2303"/>
      <c r="Z89" s="2303"/>
      <c r="AA89" s="2303"/>
      <c r="AB89" s="2303"/>
      <c r="AC89" s="2303"/>
      <c r="AD89" s="2303"/>
      <c r="AE89" s="2303"/>
      <c r="AF89" s="2303">
        <f>IF(ISNUMBER(SEARCH("&gt;",#REF!)),0,COUNTIF(Psíquicos!$AD$16:$AH$61,#REF!))</f>
        <v>0</v>
      </c>
      <c r="AG89" s="1095" t="str">
        <f>IF(AF89=0,"",VLOOKUP(#REF!,Psíquicos!$AD$11:$AK$64,8,FALSE))</f>
        <v/>
      </c>
      <c r="AH89" s="2393"/>
      <c r="AI89" s="2388" t="s">
        <v>200</v>
      </c>
    </row>
    <row r="90" spans="1:35" ht="12.75" customHeight="1" x14ac:dyDescent="0.2">
      <c r="A90" s="2027">
        <v>90</v>
      </c>
      <c r="B90" s="2019">
        <f>IF(OR(S90=0),0,SUM($S$6:S90))</f>
        <v>0</v>
      </c>
      <c r="C90" s="1103"/>
      <c r="D90" s="521" t="s">
        <v>201</v>
      </c>
      <c r="E90" s="1095"/>
      <c r="F90" s="1096"/>
      <c r="G90" s="1096"/>
      <c r="H90" s="1097"/>
      <c r="I90" s="1095"/>
      <c r="J90" s="1095"/>
      <c r="K90" s="1095"/>
      <c r="L90" s="1095"/>
      <c r="M90" s="1095"/>
      <c r="N90" s="1095"/>
      <c r="O90" s="1095"/>
      <c r="P90" s="1095"/>
      <c r="Q90" s="1095"/>
      <c r="R90" s="1119"/>
      <c r="S90" s="2023">
        <f>S91</f>
        <v>0</v>
      </c>
      <c r="U90" s="1095" t="str">
        <f t="shared" si="14"/>
        <v>RUT</v>
      </c>
      <c r="V90" s="2303"/>
      <c r="W90" s="2303"/>
      <c r="X90" s="2303"/>
      <c r="Y90" s="2303"/>
      <c r="Z90" s="2303"/>
      <c r="AA90" s="2303"/>
      <c r="AB90" s="2303"/>
      <c r="AC90" s="2303"/>
      <c r="AD90" s="2303"/>
      <c r="AE90" s="2303"/>
      <c r="AF90" s="2303">
        <f>IF(ISNUMBER(SEARCH("&gt;",#REF!)),0,COUNTIF(Psíquicos!$AD$16:$AH$61,#REF!))</f>
        <v>0</v>
      </c>
      <c r="AG90" s="1095" t="str">
        <f>IF(AF90=0,"",VLOOKUP(#REF!,Psíquicos!$AD$11:$AK$64,8,FALSE))</f>
        <v/>
      </c>
      <c r="AH90" s="2393"/>
      <c r="AI90" s="2388" t="s">
        <v>201</v>
      </c>
    </row>
    <row r="91" spans="1:35" ht="12.75" customHeight="1" x14ac:dyDescent="0.2">
      <c r="A91" s="2027">
        <v>91</v>
      </c>
      <c r="B91" s="2019">
        <f>IF(OR(S91=0),0,SUM($S$6:S91))</f>
        <v>0</v>
      </c>
      <c r="C91" s="1103"/>
      <c r="D91" s="521" t="s">
        <v>202</v>
      </c>
      <c r="E91" s="1095" t="s">
        <v>111</v>
      </c>
      <c r="F91" s="1096">
        <v>1</v>
      </c>
      <c r="G91" s="1096" t="s">
        <v>3010</v>
      </c>
      <c r="H91" s="1097" t="s">
        <v>1606</v>
      </c>
      <c r="I91" s="1095" t="s">
        <v>7140</v>
      </c>
      <c r="J91" s="1095" t="s">
        <v>7141</v>
      </c>
      <c r="K91" s="1095" t="s">
        <v>7158</v>
      </c>
      <c r="L91" s="1095" t="s">
        <v>7159</v>
      </c>
      <c r="M91" s="1095" t="s">
        <v>7160</v>
      </c>
      <c r="N91" s="1095" t="s">
        <v>7161</v>
      </c>
      <c r="O91" s="1095" t="s">
        <v>7162</v>
      </c>
      <c r="P91" s="1095" t="s">
        <v>7163</v>
      </c>
      <c r="Q91" s="1095" t="s">
        <v>7164</v>
      </c>
      <c r="R91" s="1119" t="s">
        <v>7165</v>
      </c>
      <c r="S91" s="2021">
        <f>IF(COUNTIF(Psíquicos!$C$25:$E$36,E91)=0,0,1)</f>
        <v>0</v>
      </c>
      <c r="U91" s="1095" t="str">
        <f t="shared" si="14"/>
        <v>MED</v>
      </c>
      <c r="V91" s="2303"/>
      <c r="W91" s="2303"/>
      <c r="X91" s="2303"/>
      <c r="Y91" s="2303"/>
      <c r="Z91" s="2303"/>
      <c r="AA91" s="2303"/>
      <c r="AB91" s="2303"/>
      <c r="AC91" s="2303"/>
      <c r="AD91" s="2303"/>
      <c r="AE91" s="2303"/>
      <c r="AF91" s="2303">
        <f>IF(ISNUMBER(SEARCH("&gt;",#REF!)),0,COUNTIF(Psíquicos!$AD$16:$AH$61,#REF!))</f>
        <v>0</v>
      </c>
      <c r="AG91" s="1095" t="str">
        <f>IF(AF91=0,"",VLOOKUP(#REF!,Psíquicos!$AD$11:$AK$64,8,FALSE))</f>
        <v/>
      </c>
      <c r="AH91" s="2393"/>
      <c r="AI91" s="2388" t="s">
        <v>202</v>
      </c>
    </row>
    <row r="92" spans="1:35" ht="12.75" customHeight="1" x14ac:dyDescent="0.2">
      <c r="A92" s="2027">
        <v>92</v>
      </c>
      <c r="B92" s="2019">
        <f>IF(OR(S92=0),0,SUM($S$6:S92))</f>
        <v>0</v>
      </c>
      <c r="C92" s="1103"/>
      <c r="D92" s="521" t="s">
        <v>203</v>
      </c>
      <c r="E92" s="1095" t="s">
        <v>111</v>
      </c>
      <c r="F92" s="1096">
        <v>1</v>
      </c>
      <c r="G92" s="1096" t="s">
        <v>3010</v>
      </c>
      <c r="H92" s="1097" t="s">
        <v>1606</v>
      </c>
      <c r="I92" s="1095" t="s">
        <v>7140</v>
      </c>
      <c r="J92" s="1095" t="s">
        <v>7141</v>
      </c>
      <c r="K92" s="1095" t="s">
        <v>7158</v>
      </c>
      <c r="L92" s="1095" t="s">
        <v>7159</v>
      </c>
      <c r="M92" s="1095" t="s">
        <v>7160</v>
      </c>
      <c r="N92" s="1095" t="s">
        <v>7161</v>
      </c>
      <c r="O92" s="1095" t="s">
        <v>7162</v>
      </c>
      <c r="P92" s="1095" t="s">
        <v>7163</v>
      </c>
      <c r="Q92" s="1095" t="s">
        <v>7164</v>
      </c>
      <c r="R92" s="1119" t="s">
        <v>7165</v>
      </c>
      <c r="S92" s="2021">
        <f>IF(COUNTIF(Psíquicos!$C$25:$E$36,E92)=0,0,1)</f>
        <v>0</v>
      </c>
      <c r="U92" s="1095" t="str">
        <f t="shared" si="14"/>
        <v>MED</v>
      </c>
      <c r="V92" s="2303"/>
      <c r="W92" s="2303"/>
      <c r="X92" s="2303"/>
      <c r="Y92" s="2303"/>
      <c r="Z92" s="2303"/>
      <c r="AA92" s="2303"/>
      <c r="AB92" s="2303"/>
      <c r="AC92" s="2303"/>
      <c r="AD92" s="2303"/>
      <c r="AE92" s="2303"/>
      <c r="AF92" s="2303">
        <f>IF(ISNUMBER(SEARCH("&gt;",#REF!)),0,COUNTIF(Psíquicos!$AD$16:$AH$61,#REF!))</f>
        <v>0</v>
      </c>
      <c r="AG92" s="1095" t="str">
        <f>IF(AF92=0,"",VLOOKUP(#REF!,Psíquicos!$AD$11:$AK$64,8,FALSE))</f>
        <v/>
      </c>
      <c r="AH92" s="2393"/>
      <c r="AI92" s="2388" t="s">
        <v>203</v>
      </c>
    </row>
    <row r="93" spans="1:35" ht="12.75" customHeight="1" x14ac:dyDescent="0.2">
      <c r="A93" s="2027">
        <v>93</v>
      </c>
      <c r="B93" s="2019">
        <f>IF(OR(S93=0),0,SUM($S$6:S93))</f>
        <v>0</v>
      </c>
      <c r="C93" s="1103"/>
      <c r="D93" s="521" t="s">
        <v>204</v>
      </c>
      <c r="E93" s="1095" t="s">
        <v>111</v>
      </c>
      <c r="F93" s="1096">
        <v>1</v>
      </c>
      <c r="G93" s="1096" t="s">
        <v>3010</v>
      </c>
      <c r="H93" s="1097" t="s">
        <v>1606</v>
      </c>
      <c r="I93" s="1095" t="s">
        <v>7140</v>
      </c>
      <c r="J93" s="1095" t="s">
        <v>7141</v>
      </c>
      <c r="K93" s="1095" t="s">
        <v>7486</v>
      </c>
      <c r="L93" s="1095" t="s">
        <v>7487</v>
      </c>
      <c r="M93" s="1095" t="s">
        <v>7488</v>
      </c>
      <c r="N93" s="1095" t="s">
        <v>7489</v>
      </c>
      <c r="O93" s="1095" t="s">
        <v>7490</v>
      </c>
      <c r="P93" s="1095" t="s">
        <v>7491</v>
      </c>
      <c r="Q93" s="1095" t="s">
        <v>7492</v>
      </c>
      <c r="R93" s="1119" t="s">
        <v>7493</v>
      </c>
      <c r="S93" s="2021">
        <f>IF(COUNTIF(Psíquicos!$C$25:$E$36,E93)=0,0,1)</f>
        <v>0</v>
      </c>
      <c r="U93" s="1095" t="str">
        <f t="shared" si="14"/>
        <v>MED</v>
      </c>
      <c r="V93" s="2303"/>
      <c r="W93" s="2303"/>
      <c r="X93" s="2303"/>
      <c r="Y93" s="2303"/>
      <c r="Z93" s="2303"/>
      <c r="AA93" s="2303"/>
      <c r="AB93" s="2303"/>
      <c r="AC93" s="2303"/>
      <c r="AD93" s="2303"/>
      <c r="AE93" s="2303"/>
      <c r="AF93" s="2303">
        <f>IF(ISNUMBER(SEARCH("&gt;",#REF!)),0,COUNTIF(Psíquicos!$AD$16:$AH$61,#REF!))</f>
        <v>0</v>
      </c>
      <c r="AG93" s="1095" t="str">
        <f>IF(AF93=0,"",VLOOKUP(#REF!,Psíquicos!$AD$11:$AK$64,8,FALSE))</f>
        <v/>
      </c>
      <c r="AH93" s="2393"/>
      <c r="AI93" s="2388" t="s">
        <v>204</v>
      </c>
    </row>
    <row r="94" spans="1:35" ht="12.75" customHeight="1" x14ac:dyDescent="0.2">
      <c r="A94" s="2027">
        <v>94</v>
      </c>
      <c r="B94" s="2019">
        <f>IF(OR(S94=0),0,SUM($S$6:S94))</f>
        <v>0</v>
      </c>
      <c r="C94" s="1103"/>
      <c r="D94" s="521" t="s">
        <v>205</v>
      </c>
      <c r="E94" s="1095" t="s">
        <v>111</v>
      </c>
      <c r="F94" s="1096">
        <v>1</v>
      </c>
      <c r="G94" s="1096" t="s">
        <v>3010</v>
      </c>
      <c r="H94" s="1097" t="s">
        <v>1606</v>
      </c>
      <c r="I94" s="1095" t="s">
        <v>7140</v>
      </c>
      <c r="J94" s="1095" t="s">
        <v>7141</v>
      </c>
      <c r="K94" s="1095" t="s">
        <v>7494</v>
      </c>
      <c r="L94" s="1095" t="s">
        <v>7495</v>
      </c>
      <c r="M94" s="1095" t="s">
        <v>7496</v>
      </c>
      <c r="N94" s="1095" t="s">
        <v>7497</v>
      </c>
      <c r="O94" s="1095" t="s">
        <v>7498</v>
      </c>
      <c r="P94" s="1095" t="s">
        <v>7499</v>
      </c>
      <c r="Q94" s="1095" t="s">
        <v>7500</v>
      </c>
      <c r="R94" s="1119" t="s">
        <v>7501</v>
      </c>
      <c r="S94" s="2021">
        <f>IF(COUNTIF(Psíquicos!$C$25:$E$36,E94)=0,0,1)</f>
        <v>0</v>
      </c>
      <c r="U94" s="1095" t="str">
        <f t="shared" si="14"/>
        <v>MED</v>
      </c>
      <c r="V94" s="2303"/>
      <c r="W94" s="2303"/>
      <c r="X94" s="2303"/>
      <c r="Y94" s="2303"/>
      <c r="Z94" s="2303"/>
      <c r="AA94" s="2303"/>
      <c r="AB94" s="2303"/>
      <c r="AC94" s="2303"/>
      <c r="AD94" s="2303"/>
      <c r="AE94" s="2303"/>
      <c r="AF94" s="2303">
        <f>IF(ISNUMBER(SEARCH("&gt;",#REF!)),0,COUNTIF(Psíquicos!$AD$16:$AH$61,#REF!))</f>
        <v>0</v>
      </c>
      <c r="AG94" s="1095" t="str">
        <f>IF(AF94=0,"",VLOOKUP(#REF!,Psíquicos!$AD$11:$AK$64,8,FALSE))</f>
        <v/>
      </c>
      <c r="AH94" s="2393"/>
      <c r="AI94" s="2388" t="s">
        <v>205</v>
      </c>
    </row>
    <row r="95" spans="1:35" ht="12.75" customHeight="1" x14ac:dyDescent="0.2">
      <c r="A95" s="2027">
        <v>95</v>
      </c>
      <c r="B95" s="2019">
        <f>IF(OR(S95=0),0,SUM($S$6:S95))</f>
        <v>0</v>
      </c>
      <c r="C95" s="1103"/>
      <c r="D95" s="521" t="s">
        <v>206</v>
      </c>
      <c r="E95" s="1095" t="s">
        <v>111</v>
      </c>
      <c r="F95" s="1096">
        <v>2</v>
      </c>
      <c r="G95" s="1096" t="s">
        <v>1690</v>
      </c>
      <c r="H95" s="1097" t="s">
        <v>1606</v>
      </c>
      <c r="I95" s="1095" t="s">
        <v>7191</v>
      </c>
      <c r="J95" s="1095" t="s">
        <v>7178</v>
      </c>
      <c r="K95" s="1095" t="s">
        <v>7177</v>
      </c>
      <c r="L95" s="1095" t="s">
        <v>7176</v>
      </c>
      <c r="M95" s="1095" t="s">
        <v>7158</v>
      </c>
      <c r="N95" s="1095" t="s">
        <v>7159</v>
      </c>
      <c r="O95" s="1095" t="s">
        <v>7160</v>
      </c>
      <c r="P95" s="1095" t="s">
        <v>7161</v>
      </c>
      <c r="Q95" s="1095" t="s">
        <v>7162</v>
      </c>
      <c r="R95" s="1119" t="s">
        <v>7164</v>
      </c>
      <c r="S95" s="2021">
        <f>IF(COUNTIF(Psíquicos!$C$25:$E$36,E95)=0,0,1)</f>
        <v>0</v>
      </c>
      <c r="U95" s="1095" t="str">
        <f t="shared" si="14"/>
        <v>MDF</v>
      </c>
      <c r="V95" s="2303"/>
      <c r="W95" s="2303"/>
      <c r="X95" s="2303"/>
      <c r="Y95" s="2303"/>
      <c r="Z95" s="2303"/>
      <c r="AA95" s="2303"/>
      <c r="AB95" s="2303"/>
      <c r="AC95" s="2303"/>
      <c r="AD95" s="2303"/>
      <c r="AE95" s="2303"/>
      <c r="AF95" s="2303">
        <f>IF(ISNUMBER(SEARCH("&gt;",#REF!)),0,COUNTIF(Psíquicos!$AD$16:$AH$61,#REF!))</f>
        <v>0</v>
      </c>
      <c r="AG95" s="1095" t="str">
        <f>IF(AF95=0,"",VLOOKUP(#REF!,Psíquicos!$AD$11:$AK$64,8,FALSE))</f>
        <v/>
      </c>
      <c r="AH95" s="2393"/>
      <c r="AI95" s="2388" t="s">
        <v>206</v>
      </c>
    </row>
    <row r="96" spans="1:35" ht="12.75" customHeight="1" x14ac:dyDescent="0.2">
      <c r="A96" s="2027">
        <v>96</v>
      </c>
      <c r="B96" s="2019">
        <f>IF(OR(S96=0),0,SUM($S$6:S96))</f>
        <v>0</v>
      </c>
      <c r="C96" s="1103"/>
      <c r="D96" s="521" t="s">
        <v>207</v>
      </c>
      <c r="E96" s="1095" t="s">
        <v>111</v>
      </c>
      <c r="F96" s="1096">
        <v>2</v>
      </c>
      <c r="G96" s="1096" t="s">
        <v>3010</v>
      </c>
      <c r="H96" s="1097" t="s">
        <v>1606</v>
      </c>
      <c r="I96" s="1095" t="s">
        <v>7178</v>
      </c>
      <c r="J96" s="1095" t="s">
        <v>7177</v>
      </c>
      <c r="K96" s="1095" t="s">
        <v>7176</v>
      </c>
      <c r="L96" s="1095" t="s">
        <v>7140</v>
      </c>
      <c r="M96" s="1095" t="s">
        <v>7502</v>
      </c>
      <c r="N96" s="1095" t="s">
        <v>7503</v>
      </c>
      <c r="O96" s="1095" t="s">
        <v>7504</v>
      </c>
      <c r="P96" s="1095" t="s">
        <v>7505</v>
      </c>
      <c r="Q96" s="1095" t="s">
        <v>7506</v>
      </c>
      <c r="R96" s="1119" t="s">
        <v>7507</v>
      </c>
      <c r="S96" s="2021">
        <f>IF(COUNTIF(Psíquicos!$C$25:$E$36,E96)=0,0,1)</f>
        <v>0</v>
      </c>
      <c r="U96" s="1095" t="str">
        <f t="shared" si="14"/>
        <v>MDF</v>
      </c>
      <c r="V96" s="2303"/>
      <c r="W96" s="2303"/>
      <c r="X96" s="2303"/>
      <c r="Y96" s="2303"/>
      <c r="Z96" s="2303"/>
      <c r="AA96" s="2303"/>
      <c r="AB96" s="2303"/>
      <c r="AC96" s="2303"/>
      <c r="AD96" s="2303"/>
      <c r="AE96" s="2303"/>
      <c r="AF96" s="2303">
        <f>IF(ISNUMBER(SEARCH("&gt;",#REF!)),0,COUNTIF(Psíquicos!$AD$16:$AH$61,#REF!))</f>
        <v>0</v>
      </c>
      <c r="AG96" s="1095" t="str">
        <f>IF(AF96=0,"",VLOOKUP(#REF!,Psíquicos!$AD$11:$AK$64,8,FALSE))</f>
        <v/>
      </c>
      <c r="AH96" s="2393"/>
      <c r="AI96" s="2388" t="s">
        <v>207</v>
      </c>
    </row>
    <row r="97" spans="1:35" ht="12.75" customHeight="1" x14ac:dyDescent="0.2">
      <c r="A97" s="2027">
        <v>97</v>
      </c>
      <c r="B97" s="2019">
        <f>IF(OR(S97=0),0,SUM($S$6:S97))</f>
        <v>0</v>
      </c>
      <c r="C97" s="1103"/>
      <c r="D97" s="521" t="s">
        <v>208</v>
      </c>
      <c r="E97" s="1095" t="s">
        <v>111</v>
      </c>
      <c r="F97" s="1096">
        <v>2</v>
      </c>
      <c r="G97" s="1096" t="s">
        <v>3010</v>
      </c>
      <c r="H97" s="1097" t="s">
        <v>1606</v>
      </c>
      <c r="I97" s="1095" t="s">
        <v>7178</v>
      </c>
      <c r="J97" s="1095" t="s">
        <v>7177</v>
      </c>
      <c r="K97" s="1095" t="s">
        <v>7176</v>
      </c>
      <c r="L97" s="1095" t="s">
        <v>7140</v>
      </c>
      <c r="M97" s="1095" t="s">
        <v>7158</v>
      </c>
      <c r="N97" s="1095" t="s">
        <v>7159</v>
      </c>
      <c r="O97" s="1095" t="s">
        <v>7160</v>
      </c>
      <c r="P97" s="1095" t="s">
        <v>7161</v>
      </c>
      <c r="Q97" s="1095" t="s">
        <v>7162</v>
      </c>
      <c r="R97" s="1119" t="s">
        <v>7164</v>
      </c>
      <c r="S97" s="2021">
        <f>IF(COUNTIF(Psíquicos!$C$25:$E$36,E97)=0,0,1)</f>
        <v>0</v>
      </c>
      <c r="U97" s="1095" t="str">
        <f t="shared" si="14"/>
        <v>MDF</v>
      </c>
      <c r="V97" s="2303"/>
      <c r="W97" s="2303"/>
      <c r="X97" s="2303"/>
      <c r="Y97" s="2303"/>
      <c r="Z97" s="2303"/>
      <c r="AA97" s="2303"/>
      <c r="AB97" s="2303"/>
      <c r="AC97" s="2303"/>
      <c r="AD97" s="2303"/>
      <c r="AE97" s="2303"/>
      <c r="AF97" s="2303">
        <f>IF(ISNUMBER(SEARCH("&gt;",#REF!)),0,COUNTIF(Psíquicos!$AD$16:$AH$61,#REF!))</f>
        <v>0</v>
      </c>
      <c r="AG97" s="1095" t="str">
        <f>IF(AF97=0,"",VLOOKUP(#REF!,Psíquicos!$AD$11:$AK$64,8,FALSE))</f>
        <v/>
      </c>
      <c r="AH97" s="2393"/>
      <c r="AI97" s="2388" t="s">
        <v>208</v>
      </c>
    </row>
    <row r="98" spans="1:35" ht="12.75" customHeight="1" x14ac:dyDescent="0.2">
      <c r="A98" s="2027">
        <v>98</v>
      </c>
      <c r="B98" s="2019">
        <f>IF(OR(S98=0),0,SUM($S$6:S98))</f>
        <v>0</v>
      </c>
      <c r="C98" s="1103"/>
      <c r="D98" s="521" t="s">
        <v>209</v>
      </c>
      <c r="E98" s="1095" t="s">
        <v>111</v>
      </c>
      <c r="F98" s="1096">
        <v>2</v>
      </c>
      <c r="G98" s="1096" t="s">
        <v>3010</v>
      </c>
      <c r="H98" s="1097" t="s">
        <v>1606</v>
      </c>
      <c r="I98" s="1095" t="s">
        <v>7178</v>
      </c>
      <c r="J98" s="1095" t="s">
        <v>7177</v>
      </c>
      <c r="K98" s="1095" t="s">
        <v>7176</v>
      </c>
      <c r="L98" s="1095" t="s">
        <v>7140</v>
      </c>
      <c r="M98" s="1095" t="s">
        <v>7508</v>
      </c>
      <c r="N98" s="1095" t="s">
        <v>7153</v>
      </c>
      <c r="O98" s="1095" t="s">
        <v>7509</v>
      </c>
      <c r="P98" s="1095" t="s">
        <v>7154</v>
      </c>
      <c r="Q98" s="1095" t="s">
        <v>7155</v>
      </c>
      <c r="R98" s="1119" t="s">
        <v>7157</v>
      </c>
      <c r="S98" s="2021">
        <f>IF(COUNTIF(Psíquicos!$C$25:$E$36,E98)=0,0,1)</f>
        <v>0</v>
      </c>
      <c r="U98" s="1095" t="str">
        <f t="shared" si="14"/>
        <v>MDF</v>
      </c>
      <c r="V98" s="2303"/>
      <c r="W98" s="2303"/>
      <c r="X98" s="2303"/>
      <c r="Y98" s="2303"/>
      <c r="Z98" s="2303"/>
      <c r="AA98" s="2303"/>
      <c r="AB98" s="2303"/>
      <c r="AC98" s="2303"/>
      <c r="AD98" s="2303"/>
      <c r="AE98" s="2303"/>
      <c r="AF98" s="2303">
        <f>IF(ISNUMBER(SEARCH("&gt;",#REF!)),0,COUNTIF(Psíquicos!$AD$16:$AH$61,#REF!))</f>
        <v>0</v>
      </c>
      <c r="AG98" s="1095" t="str">
        <f>IF(AF98=0,"",VLOOKUP(#REF!,Psíquicos!$AD$11:$AK$64,8,FALSE))</f>
        <v/>
      </c>
      <c r="AH98" s="2393"/>
      <c r="AI98" s="2388" t="s">
        <v>209</v>
      </c>
    </row>
    <row r="99" spans="1:35" ht="12.75" customHeight="1" x14ac:dyDescent="0.2">
      <c r="A99" s="2027">
        <v>99</v>
      </c>
      <c r="B99" s="2019">
        <f>IF(OR(S99=0),0,SUM($S$6:S99))</f>
        <v>0</v>
      </c>
      <c r="C99" s="1103"/>
      <c r="D99" s="521" t="s">
        <v>210</v>
      </c>
      <c r="E99" s="1095" t="s">
        <v>111</v>
      </c>
      <c r="F99" s="1096">
        <v>3</v>
      </c>
      <c r="G99" s="1096" t="s">
        <v>1690</v>
      </c>
      <c r="H99" s="1097" t="s">
        <v>1606</v>
      </c>
      <c r="I99" s="1095" t="s">
        <v>7192</v>
      </c>
      <c r="J99" s="1095" t="s">
        <v>7191</v>
      </c>
      <c r="K99" s="1095" t="s">
        <v>7178</v>
      </c>
      <c r="L99" s="1095" t="s">
        <v>7177</v>
      </c>
      <c r="M99" s="1095" t="s">
        <v>7176</v>
      </c>
      <c r="N99" s="1095" t="s">
        <v>7159</v>
      </c>
      <c r="O99" s="1095" t="s">
        <v>7160</v>
      </c>
      <c r="P99" s="1095" t="s">
        <v>7161</v>
      </c>
      <c r="Q99" s="1095" t="s">
        <v>7162</v>
      </c>
      <c r="R99" s="1119" t="s">
        <v>7163</v>
      </c>
      <c r="S99" s="2021">
        <f>IF(COUNTIF(Psíquicos!$C$25:$E$36,E99)=0,0,1)</f>
        <v>0</v>
      </c>
      <c r="U99" s="1095" t="str">
        <f t="shared" si="14"/>
        <v>ABS</v>
      </c>
      <c r="V99" s="2303"/>
      <c r="W99" s="2303"/>
      <c r="X99" s="2303"/>
      <c r="Y99" s="2303"/>
      <c r="Z99" s="2303"/>
      <c r="AA99" s="2303"/>
      <c r="AB99" s="2303"/>
      <c r="AC99" s="2303"/>
      <c r="AD99" s="2303"/>
      <c r="AE99" s="2303"/>
      <c r="AF99" s="2303">
        <f>IF(ISNUMBER(SEARCH("&gt;",#REF!)),0,COUNTIF(Psíquicos!$AD$16:$AH$61,#REF!))</f>
        <v>0</v>
      </c>
      <c r="AG99" s="1095" t="str">
        <f>IF(AF99=0,"",VLOOKUP(#REF!,Psíquicos!$AD$11:$AK$64,8,FALSE))</f>
        <v/>
      </c>
      <c r="AH99" s="2393"/>
      <c r="AI99" s="2388" t="s">
        <v>210</v>
      </c>
    </row>
    <row r="100" spans="1:35" ht="12.75" customHeight="1" x14ac:dyDescent="0.2">
      <c r="A100" s="2027">
        <v>100</v>
      </c>
      <c r="B100" s="2019">
        <f>IF(OR(S100=0),0,SUM($S$6:S100))</f>
        <v>0</v>
      </c>
      <c r="C100" s="1103"/>
      <c r="D100" s="521" t="s">
        <v>135</v>
      </c>
      <c r="E100" s="1095" t="s">
        <v>111</v>
      </c>
      <c r="F100" s="1096">
        <v>3</v>
      </c>
      <c r="G100" s="1096" t="s">
        <v>3010</v>
      </c>
      <c r="H100" s="1097" t="s">
        <v>1606</v>
      </c>
      <c r="I100" s="1095" t="s">
        <v>7192</v>
      </c>
      <c r="J100" s="1095" t="s">
        <v>7191</v>
      </c>
      <c r="K100" s="1095" t="s">
        <v>7178</v>
      </c>
      <c r="L100" s="1095" t="s">
        <v>7176</v>
      </c>
      <c r="M100" s="1095" t="s">
        <v>7193</v>
      </c>
      <c r="N100" s="1095" t="s">
        <v>7150</v>
      </c>
      <c r="O100" s="1095" t="s">
        <v>7152</v>
      </c>
      <c r="P100" s="1095" t="s">
        <v>7153</v>
      </c>
      <c r="Q100" s="1095" t="s">
        <v>7154</v>
      </c>
      <c r="R100" s="1119" t="s">
        <v>7194</v>
      </c>
      <c r="S100" s="2021">
        <f>IF(COUNTIF(Psíquicos!$C$25:$E$36,E100)=0,0,1)</f>
        <v>0</v>
      </c>
      <c r="U100" s="1095" t="str">
        <f t="shared" si="14"/>
        <v>MDF</v>
      </c>
      <c r="V100" s="2303"/>
      <c r="W100" s="2303"/>
      <c r="X100" s="2303"/>
      <c r="Y100" s="2303"/>
      <c r="Z100" s="2303"/>
      <c r="AA100" s="2303"/>
      <c r="AB100" s="2303"/>
      <c r="AC100" s="2303"/>
      <c r="AD100" s="2303"/>
      <c r="AE100" s="2303"/>
      <c r="AF100" s="2303">
        <f>IF(ISNUMBER(SEARCH("&gt;",#REF!)),0,COUNTIF(Psíquicos!$AD$16:$AH$61,#REF!))</f>
        <v>0</v>
      </c>
      <c r="AG100" s="1095" t="str">
        <f>IF(AF100=0,"",VLOOKUP(#REF!,Psíquicos!$AD$11:$AK$64,8,FALSE))</f>
        <v/>
      </c>
      <c r="AH100" s="2393"/>
      <c r="AI100" s="2388" t="s">
        <v>135</v>
      </c>
    </row>
    <row r="101" spans="1:35" ht="12.75" customHeight="1" x14ac:dyDescent="0.2">
      <c r="A101" s="2027">
        <v>101</v>
      </c>
      <c r="B101" s="2019">
        <f>IF(OR(S101=0),0,SUM($S$6:S101))</f>
        <v>0</v>
      </c>
      <c r="C101" s="1103"/>
      <c r="D101" s="521" t="s">
        <v>211</v>
      </c>
      <c r="E101" s="1095"/>
      <c r="F101" s="1096"/>
      <c r="G101" s="1096"/>
      <c r="H101" s="1097"/>
      <c r="I101" s="1095"/>
      <c r="J101" s="1095"/>
      <c r="K101" s="1095"/>
      <c r="L101" s="1095"/>
      <c r="M101" s="1095"/>
      <c r="N101" s="1095"/>
      <c r="O101" s="1095"/>
      <c r="P101" s="1095"/>
      <c r="Q101" s="1095"/>
      <c r="R101" s="1119"/>
      <c r="S101" s="2023">
        <f>S102</f>
        <v>0</v>
      </c>
      <c r="U101" s="1095" t="str">
        <f t="shared" si="14"/>
        <v>RUT</v>
      </c>
      <c r="V101" s="2303"/>
      <c r="W101" s="2303"/>
      <c r="X101" s="2303"/>
      <c r="Y101" s="2303"/>
      <c r="Z101" s="2303"/>
      <c r="AA101" s="2303"/>
      <c r="AB101" s="2303"/>
      <c r="AC101" s="2303"/>
      <c r="AD101" s="2303"/>
      <c r="AE101" s="2303"/>
      <c r="AF101" s="2303">
        <f>IF(ISNUMBER(SEARCH("&gt;",#REF!)),0,COUNTIF(Psíquicos!$AD$16:$AH$61,#REF!))</f>
        <v>0</v>
      </c>
      <c r="AG101" s="1095" t="str">
        <f>IF(AF101=0,"",VLOOKUP(#REF!,Psíquicos!$AD$11:$AK$64,8,FALSE))</f>
        <v/>
      </c>
      <c r="AH101" s="2393"/>
      <c r="AI101" s="2388" t="s">
        <v>211</v>
      </c>
    </row>
    <row r="102" spans="1:35" ht="12.75" customHeight="1" x14ac:dyDescent="0.2">
      <c r="A102" s="2027">
        <v>102</v>
      </c>
      <c r="B102" s="2019">
        <f>IF(OR(S102=0),0,SUM($S$6:S102))</f>
        <v>0</v>
      </c>
      <c r="C102" s="1103"/>
      <c r="D102" s="521" t="s">
        <v>212</v>
      </c>
      <c r="E102" s="1095" t="s">
        <v>109</v>
      </c>
      <c r="F102" s="1096">
        <v>1</v>
      </c>
      <c r="G102" s="1096" t="s">
        <v>3010</v>
      </c>
      <c r="H102" s="1097" t="s">
        <v>1606</v>
      </c>
      <c r="I102" s="1095" t="s">
        <v>7141</v>
      </c>
      <c r="J102" s="1095" t="s">
        <v>7510</v>
      </c>
      <c r="K102" s="1095" t="s">
        <v>7511</v>
      </c>
      <c r="L102" s="1095" t="s">
        <v>4755</v>
      </c>
      <c r="M102" s="1095" t="s">
        <v>7512</v>
      </c>
      <c r="N102" s="1095" t="s">
        <v>4756</v>
      </c>
      <c r="O102" s="1095" t="s">
        <v>4757</v>
      </c>
      <c r="P102" s="1095" t="s">
        <v>4745</v>
      </c>
      <c r="Q102" s="1095" t="s">
        <v>6559</v>
      </c>
      <c r="R102" s="1119" t="s">
        <v>6560</v>
      </c>
      <c r="S102" s="2021">
        <f>IF(COUNTIF(Psíquicos!$C$25:$E$36,E102)=0,0,1)</f>
        <v>0</v>
      </c>
      <c r="U102" s="1095" t="str">
        <f t="shared" si="14"/>
        <v>FAC</v>
      </c>
      <c r="V102" s="2303"/>
      <c r="W102" s="2303"/>
      <c r="X102" s="2303"/>
      <c r="Y102" s="2303"/>
      <c r="Z102" s="2303"/>
      <c r="AA102" s="2303"/>
      <c r="AB102" s="2303"/>
      <c r="AC102" s="2303"/>
      <c r="AD102" s="2303"/>
      <c r="AE102" s="2303"/>
      <c r="AF102" s="2303">
        <f>IF(ISNUMBER(SEARCH("&gt;",#REF!)),0,COUNTIF(Psíquicos!$AD$16:$AH$61,#REF!))</f>
        <v>0</v>
      </c>
      <c r="AG102" s="1095" t="str">
        <f>IF(AF102=0,"",VLOOKUP(#REF!,Psíquicos!$AD$11:$AK$64,8,FALSE))</f>
        <v/>
      </c>
      <c r="AH102" s="2393"/>
      <c r="AI102" s="2388" t="s">
        <v>212</v>
      </c>
    </row>
    <row r="103" spans="1:35" ht="12.75" customHeight="1" x14ac:dyDescent="0.2">
      <c r="A103" s="2027">
        <v>103</v>
      </c>
      <c r="B103" s="2019">
        <f>IF(OR(S103=0),0,SUM($S$6:S103))</f>
        <v>0</v>
      </c>
      <c r="C103" s="1103"/>
      <c r="D103" s="521" t="s">
        <v>213</v>
      </c>
      <c r="E103" s="1095" t="s">
        <v>109</v>
      </c>
      <c r="F103" s="1096">
        <v>2</v>
      </c>
      <c r="G103" s="1096" t="s">
        <v>1690</v>
      </c>
      <c r="H103" s="1097" t="s">
        <v>1606</v>
      </c>
      <c r="I103" s="1095" t="s">
        <v>7178</v>
      </c>
      <c r="J103" s="1095" t="s">
        <v>7177</v>
      </c>
      <c r="K103" s="1095" t="s">
        <v>7176</v>
      </c>
      <c r="L103" s="1095" t="s">
        <v>7510</v>
      </c>
      <c r="M103" s="1095" t="s">
        <v>7511</v>
      </c>
      <c r="N103" s="1095" t="s">
        <v>4755</v>
      </c>
      <c r="O103" s="1095" t="s">
        <v>7512</v>
      </c>
      <c r="P103" s="1095" t="s">
        <v>4756</v>
      </c>
      <c r="Q103" s="1095" t="s">
        <v>4757</v>
      </c>
      <c r="R103" s="1119" t="s">
        <v>4745</v>
      </c>
      <c r="S103" s="2021">
        <f>IF(COUNTIF(Psíquicos!$C$25:$E$36,E103)=0,0,1)</f>
        <v>0</v>
      </c>
      <c r="U103" s="1095" t="str">
        <f t="shared" si="14"/>
        <v>DIF</v>
      </c>
      <c r="V103" s="2303"/>
      <c r="W103" s="2303"/>
      <c r="X103" s="2303"/>
      <c r="Y103" s="2303"/>
      <c r="Z103" s="2303"/>
      <c r="AA103" s="2303"/>
      <c r="AB103" s="2303"/>
      <c r="AC103" s="2303"/>
      <c r="AD103" s="2303"/>
      <c r="AE103" s="2303"/>
      <c r="AF103" s="2303">
        <f>IF(ISNUMBER(SEARCH("&gt;",#REF!)),0,COUNTIF(Psíquicos!$AD$16:$AH$61,#REF!))</f>
        <v>0</v>
      </c>
      <c r="AG103" s="1095" t="str">
        <f>IF(AF103=0,"",VLOOKUP(#REF!,Psíquicos!$AD$11:$AK$64,8,FALSE))</f>
        <v/>
      </c>
      <c r="AH103" s="2393"/>
      <c r="AI103" s="2388" t="s">
        <v>213</v>
      </c>
    </row>
    <row r="104" spans="1:35" ht="12.75" customHeight="1" x14ac:dyDescent="0.2">
      <c r="A104" s="2027">
        <v>104</v>
      </c>
      <c r="B104" s="2019">
        <f>IF(OR(S104=0),0,SUM($S$6:S104))</f>
        <v>0</v>
      </c>
      <c r="C104" s="1103"/>
      <c r="D104" s="521" t="s">
        <v>214</v>
      </c>
      <c r="E104" s="1095" t="s">
        <v>109</v>
      </c>
      <c r="F104" s="1096">
        <v>2</v>
      </c>
      <c r="G104" s="1096" t="s">
        <v>1690</v>
      </c>
      <c r="H104" s="1097" t="s">
        <v>1606</v>
      </c>
      <c r="I104" s="1095" t="s">
        <v>7177</v>
      </c>
      <c r="J104" s="1095" t="s">
        <v>7176</v>
      </c>
      <c r="K104" s="1095" t="s">
        <v>7140</v>
      </c>
      <c r="L104" s="1095" t="s">
        <v>7513</v>
      </c>
      <c r="M104" s="1095" t="s">
        <v>7514</v>
      </c>
      <c r="N104" s="1095" t="s">
        <v>7515</v>
      </c>
      <c r="O104" s="1095" t="s">
        <v>7516</v>
      </c>
      <c r="P104" s="1095" t="s">
        <v>7517</v>
      </c>
      <c r="Q104" s="1095" t="s">
        <v>7518</v>
      </c>
      <c r="R104" s="1119" t="s">
        <v>7519</v>
      </c>
      <c r="S104" s="2021">
        <f>IF(COUNTIF(Psíquicos!$C$25:$E$36,E104)=0,0,1)</f>
        <v>0</v>
      </c>
      <c r="U104" s="1095" t="str">
        <f t="shared" si="14"/>
        <v>DIF</v>
      </c>
      <c r="V104" s="2303"/>
      <c r="W104" s="2303"/>
      <c r="X104" s="2303"/>
      <c r="Y104" s="2303"/>
      <c r="Z104" s="2303"/>
      <c r="AA104" s="2303"/>
      <c r="AB104" s="2303"/>
      <c r="AC104" s="2303"/>
      <c r="AD104" s="2303"/>
      <c r="AE104" s="2303"/>
      <c r="AF104" s="2303">
        <f>IF(ISNUMBER(SEARCH("&gt;",#REF!)),0,COUNTIF(Psíquicos!$AD$16:$AH$61,#REF!))</f>
        <v>0</v>
      </c>
      <c r="AG104" s="1095" t="str">
        <f>IF(AF104=0,"",VLOOKUP(#REF!,Psíquicos!$AD$11:$AK$64,8,FALSE))</f>
        <v/>
      </c>
      <c r="AH104" s="2393"/>
      <c r="AI104" s="2388" t="s">
        <v>214</v>
      </c>
    </row>
    <row r="105" spans="1:35" ht="12.75" customHeight="1" x14ac:dyDescent="0.2">
      <c r="A105" s="2027">
        <v>105</v>
      </c>
      <c r="B105" s="2019">
        <f>IF(OR(S105=0),0,SUM($S$6:S105))</f>
        <v>0</v>
      </c>
      <c r="C105" s="1103"/>
      <c r="D105" s="521" t="s">
        <v>215</v>
      </c>
      <c r="E105" s="1095" t="s">
        <v>109</v>
      </c>
      <c r="F105" s="1096">
        <v>3</v>
      </c>
      <c r="G105" s="1096" t="s">
        <v>3010</v>
      </c>
      <c r="H105" s="1097" t="s">
        <v>1606</v>
      </c>
      <c r="I105" s="1095" t="s">
        <v>7192</v>
      </c>
      <c r="J105" s="1095" t="s">
        <v>7191</v>
      </c>
      <c r="K105" s="1095" t="s">
        <v>7178</v>
      </c>
      <c r="L105" s="1095" t="s">
        <v>7177</v>
      </c>
      <c r="M105" s="1095" t="s">
        <v>7176</v>
      </c>
      <c r="N105" s="1095" t="s">
        <v>4745</v>
      </c>
      <c r="O105" s="1095" t="s">
        <v>7520</v>
      </c>
      <c r="P105" s="1095" t="s">
        <v>6560</v>
      </c>
      <c r="Q105" s="1095" t="s">
        <v>7521</v>
      </c>
      <c r="R105" s="1119" t="s">
        <v>7522</v>
      </c>
      <c r="S105" s="2021">
        <f>IF(COUNTIF(Psíquicos!$C$25:$E$36,E105)=0,0,1)</f>
        <v>0</v>
      </c>
      <c r="U105" s="1095" t="str">
        <f t="shared" si="14"/>
        <v>ABS</v>
      </c>
      <c r="V105" s="2303"/>
      <c r="W105" s="2303"/>
      <c r="X105" s="2303"/>
      <c r="Y105" s="2303"/>
      <c r="Z105" s="2303"/>
      <c r="AA105" s="2303"/>
      <c r="AB105" s="2303"/>
      <c r="AC105" s="2303"/>
      <c r="AD105" s="2303"/>
      <c r="AE105" s="2303"/>
      <c r="AF105" s="2303">
        <f>IF(ISNUMBER(SEARCH("&gt;",#REF!)),0,COUNTIF(Psíquicos!$AD$16:$AH$61,#REF!))</f>
        <v>0</v>
      </c>
      <c r="AG105" s="1095" t="str">
        <f>IF(AF105=0,"",VLOOKUP(#REF!,Psíquicos!$AD$11:$AK$64,8,FALSE))</f>
        <v/>
      </c>
      <c r="AH105" s="2393"/>
      <c r="AI105" s="2388" t="s">
        <v>215</v>
      </c>
    </row>
    <row r="106" spans="1:35" ht="12.75" customHeight="1" x14ac:dyDescent="0.2">
      <c r="A106" s="2027">
        <v>106</v>
      </c>
      <c r="B106" s="2019">
        <f>IF(OR(S106=0),0,SUM($S$6:S106))</f>
        <v>0</v>
      </c>
      <c r="C106" s="1103"/>
      <c r="D106" s="521" t="s">
        <v>216</v>
      </c>
      <c r="E106" s="1095"/>
      <c r="F106" s="1096"/>
      <c r="G106" s="1096"/>
      <c r="H106" s="1097"/>
      <c r="I106" s="1095"/>
      <c r="J106" s="1095"/>
      <c r="K106" s="1095"/>
      <c r="L106" s="1095"/>
      <c r="M106" s="1095"/>
      <c r="N106" s="1095"/>
      <c r="O106" s="1095"/>
      <c r="P106" s="1095"/>
      <c r="Q106" s="1095"/>
      <c r="R106" s="1119"/>
      <c r="S106" s="2023">
        <f>S107</f>
        <v>0</v>
      </c>
      <c r="U106" s="1095" t="str">
        <f t="shared" si="14"/>
        <v>RUT</v>
      </c>
      <c r="V106" s="2303"/>
      <c r="W106" s="2303"/>
      <c r="X106" s="2303"/>
      <c r="Y106" s="2303"/>
      <c r="Z106" s="2303"/>
      <c r="AA106" s="2303"/>
      <c r="AB106" s="2303"/>
      <c r="AC106" s="2303"/>
      <c r="AD106" s="2303"/>
      <c r="AE106" s="2303"/>
      <c r="AF106" s="2303">
        <f>IF(ISNUMBER(SEARCH("&gt;",#REF!)),0,COUNTIF(Psíquicos!$AD$16:$AH$61,#REF!))</f>
        <v>0</v>
      </c>
      <c r="AG106" s="1095" t="str">
        <f>IF(AF106=0,"",VLOOKUP(#REF!,Psíquicos!$AD$11:$AK$64,8,FALSE))</f>
        <v/>
      </c>
      <c r="AH106" s="2393"/>
      <c r="AI106" s="2388" t="s">
        <v>216</v>
      </c>
    </row>
    <row r="107" spans="1:35" ht="12.75" customHeight="1" x14ac:dyDescent="0.2">
      <c r="A107" s="2027">
        <v>107</v>
      </c>
      <c r="B107" s="2019">
        <f>IF(OR(S107=0),0,SUM($S$6:S107))</f>
        <v>0</v>
      </c>
      <c r="C107" s="1103"/>
      <c r="D107" s="521" t="s">
        <v>217</v>
      </c>
      <c r="E107" s="1120" t="s">
        <v>113</v>
      </c>
      <c r="F107" s="1096">
        <v>1</v>
      </c>
      <c r="G107" s="1096" t="s">
        <v>3010</v>
      </c>
      <c r="H107" s="1097" t="s">
        <v>1606</v>
      </c>
      <c r="I107" s="1095" t="s">
        <v>7191</v>
      </c>
      <c r="J107" s="1095" t="s">
        <v>7178</v>
      </c>
      <c r="K107" s="1095" t="s">
        <v>7177</v>
      </c>
      <c r="L107" s="1095" t="s">
        <v>7176</v>
      </c>
      <c r="M107" s="1095" t="s">
        <v>7140</v>
      </c>
      <c r="N107" s="1095" t="s">
        <v>7523</v>
      </c>
      <c r="O107" s="1095" t="s">
        <v>7151</v>
      </c>
      <c r="P107" s="1095" t="s">
        <v>7508</v>
      </c>
      <c r="Q107" s="1095" t="s">
        <v>7524</v>
      </c>
      <c r="R107" s="1119" t="s">
        <v>7525</v>
      </c>
      <c r="S107" s="2021">
        <f>IF(COUNTIF(Psíquicos!$C$25:$E$36,E107)=0,0,1)</f>
        <v>0</v>
      </c>
      <c r="U107" s="1095" t="str">
        <f t="shared" si="14"/>
        <v>ABS</v>
      </c>
      <c r="V107" s="2303"/>
      <c r="W107" s="2303"/>
      <c r="X107" s="2303"/>
      <c r="Y107" s="2303"/>
      <c r="Z107" s="2303"/>
      <c r="AA107" s="2303"/>
      <c r="AB107" s="2303"/>
      <c r="AC107" s="2303"/>
      <c r="AD107" s="2303"/>
      <c r="AE107" s="2303"/>
      <c r="AF107" s="2303">
        <f>IF(ISNUMBER(SEARCH("&gt;",#REF!)),0,COUNTIF(Psíquicos!$AD$16:$AH$61,#REF!))</f>
        <v>0</v>
      </c>
      <c r="AG107" s="1095" t="str">
        <f>IF(AF107=0,"",VLOOKUP(#REF!,Psíquicos!$AD$11:$AK$64,8,FALSE))</f>
        <v/>
      </c>
      <c r="AH107" s="2393"/>
      <c r="AI107" s="2388" t="s">
        <v>217</v>
      </c>
    </row>
    <row r="108" spans="1:35" ht="12.75" customHeight="1" x14ac:dyDescent="0.2">
      <c r="A108" s="2027">
        <v>108</v>
      </c>
      <c r="B108" s="2019">
        <f>IF(OR(S108=0),0,SUM($S$6:S108))</f>
        <v>0</v>
      </c>
      <c r="C108" s="1103"/>
      <c r="D108" s="521" t="s">
        <v>218</v>
      </c>
      <c r="E108" s="1120" t="s">
        <v>113</v>
      </c>
      <c r="F108" s="1096">
        <v>2</v>
      </c>
      <c r="G108" s="1096" t="s">
        <v>3010</v>
      </c>
      <c r="H108" s="1097" t="s">
        <v>1606</v>
      </c>
      <c r="I108" s="1095" t="s">
        <v>7191</v>
      </c>
      <c r="J108" s="1095" t="s">
        <v>7178</v>
      </c>
      <c r="K108" s="1095" t="s">
        <v>7177</v>
      </c>
      <c r="L108" s="1095" t="s">
        <v>7176</v>
      </c>
      <c r="M108" s="1095" t="s">
        <v>7140</v>
      </c>
      <c r="N108" s="1095" t="s">
        <v>7526</v>
      </c>
      <c r="O108" s="1095" t="s">
        <v>7527</v>
      </c>
      <c r="P108" s="1095" t="s">
        <v>7528</v>
      </c>
      <c r="Q108" s="1095" t="s">
        <v>7529</v>
      </c>
      <c r="R108" s="1095" t="s">
        <v>7530</v>
      </c>
      <c r="S108" s="2021">
        <f>IF(COUNTIF(Psíquicos!$C$25:$E$36,E108)=0,0,1)</f>
        <v>0</v>
      </c>
      <c r="U108" s="1095" t="str">
        <f t="shared" si="14"/>
        <v>ABS</v>
      </c>
      <c r="V108" s="2303"/>
      <c r="W108" s="2303"/>
      <c r="X108" s="2303"/>
      <c r="Y108" s="2303"/>
      <c r="Z108" s="2303"/>
      <c r="AA108" s="2303"/>
      <c r="AB108" s="2303"/>
      <c r="AC108" s="2303"/>
      <c r="AD108" s="2303"/>
      <c r="AE108" s="2303"/>
      <c r="AF108" s="2303">
        <f>IF(ISNUMBER(SEARCH("&gt;",#REF!)),0,COUNTIF(Psíquicos!$AD$16:$AH$61,#REF!))</f>
        <v>0</v>
      </c>
      <c r="AG108" s="1095" t="str">
        <f>IF(AF108=0,"",VLOOKUP(#REF!,Psíquicos!$AD$11:$AK$64,8,FALSE))</f>
        <v/>
      </c>
      <c r="AH108" s="2393"/>
      <c r="AI108" s="2388" t="s">
        <v>218</v>
      </c>
    </row>
    <row r="109" spans="1:35" ht="12.75" customHeight="1" x14ac:dyDescent="0.2">
      <c r="A109" s="2027">
        <v>109</v>
      </c>
      <c r="B109" s="2019">
        <f>IF(OR(S109=0),0,SUM($S$6:S109))</f>
        <v>0</v>
      </c>
      <c r="C109" s="1103"/>
      <c r="D109" s="521" t="s">
        <v>219</v>
      </c>
      <c r="E109" s="1120" t="s">
        <v>113</v>
      </c>
      <c r="F109" s="1096">
        <v>2</v>
      </c>
      <c r="G109" s="1096" t="s">
        <v>1690</v>
      </c>
      <c r="H109" s="1097" t="s">
        <v>1606</v>
      </c>
      <c r="I109" s="1095" t="s">
        <v>7177</v>
      </c>
      <c r="J109" s="1095" t="s">
        <v>7176</v>
      </c>
      <c r="K109" s="1095" t="s">
        <v>7140</v>
      </c>
      <c r="L109" s="1095" t="s">
        <v>7141</v>
      </c>
      <c r="M109" s="1095" t="s">
        <v>7531</v>
      </c>
      <c r="N109" s="1095" t="s">
        <v>7532</v>
      </c>
      <c r="O109" s="1095" t="s">
        <v>7533</v>
      </c>
      <c r="P109" s="1095" t="s">
        <v>7534</v>
      </c>
      <c r="Q109" s="1095" t="s">
        <v>7535</v>
      </c>
      <c r="R109" s="1119" t="s">
        <v>7536</v>
      </c>
      <c r="S109" s="2021">
        <f>IF(COUNTIF(Psíquicos!$C$25:$E$36,E109)=0,0,1)</f>
        <v>0</v>
      </c>
      <c r="U109" s="1095" t="str">
        <f t="shared" si="14"/>
        <v>MDF</v>
      </c>
      <c r="V109" s="2303"/>
      <c r="W109" s="2303"/>
      <c r="X109" s="2304"/>
      <c r="Y109" s="2304"/>
      <c r="Z109" s="2304"/>
      <c r="AA109" s="2304"/>
      <c r="AB109" s="2303"/>
      <c r="AC109" s="2303"/>
      <c r="AD109" s="2303"/>
      <c r="AE109" s="2304"/>
      <c r="AF109" s="2303">
        <f>IF(ISNUMBER(SEARCH("&gt;",#REF!)),0,COUNTIF(Psíquicos!$AD$16:$AH$61,#REF!))</f>
        <v>0</v>
      </c>
      <c r="AG109" s="1095" t="str">
        <f>IF(AF109=0,"",VLOOKUP(#REF!,Psíquicos!$AD$11:$AK$64,8,FALSE))</f>
        <v/>
      </c>
      <c r="AH109" s="2393"/>
      <c r="AI109" s="2388" t="s">
        <v>219</v>
      </c>
    </row>
    <row r="110" spans="1:35" ht="12.75" customHeight="1" x14ac:dyDescent="0.2">
      <c r="A110" s="2027">
        <v>110</v>
      </c>
      <c r="B110" s="2019">
        <f>IF(OR(S110=0),0,SUM($S$6:S110))</f>
        <v>0</v>
      </c>
      <c r="C110" s="1103"/>
      <c r="D110" s="521" t="s">
        <v>220</v>
      </c>
      <c r="E110" s="1120" t="s">
        <v>113</v>
      </c>
      <c r="F110" s="1096">
        <v>3</v>
      </c>
      <c r="G110" s="1096" t="s">
        <v>3010</v>
      </c>
      <c r="H110" s="1097" t="s">
        <v>1606</v>
      </c>
      <c r="I110" s="1095" t="s">
        <v>7191</v>
      </c>
      <c r="J110" s="1095" t="s">
        <v>7178</v>
      </c>
      <c r="K110" s="1095" t="s">
        <v>7177</v>
      </c>
      <c r="L110" s="1095" t="s">
        <v>7176</v>
      </c>
      <c r="M110" s="1095" t="s">
        <v>7140</v>
      </c>
      <c r="N110" s="1095" t="s">
        <v>7523</v>
      </c>
      <c r="O110" s="1095" t="s">
        <v>7151</v>
      </c>
      <c r="P110" s="1095" t="s">
        <v>7537</v>
      </c>
      <c r="Q110" s="1095" t="s">
        <v>7538</v>
      </c>
      <c r="R110" s="1095" t="s">
        <v>7539</v>
      </c>
      <c r="S110" s="2021">
        <f>IF(COUNTIF(Psíquicos!$C$25:$E$36,E110)=0,0,1)</f>
        <v>0</v>
      </c>
      <c r="U110" s="1095" t="str">
        <f t="shared" si="14"/>
        <v>ABS</v>
      </c>
      <c r="V110" s="2303"/>
      <c r="W110" s="2303"/>
      <c r="X110" s="2303"/>
      <c r="Y110" s="2303"/>
      <c r="Z110" s="2303"/>
      <c r="AA110" s="2303"/>
      <c r="AB110" s="2303"/>
      <c r="AC110" s="2303"/>
      <c r="AD110" s="2303"/>
      <c r="AE110" s="2303"/>
      <c r="AF110" s="2303">
        <f>IF(ISNUMBER(SEARCH("&gt;",#REF!)),0,COUNTIF(Psíquicos!$AD$16:$AH$61,#REF!))</f>
        <v>0</v>
      </c>
      <c r="AG110" s="1095" t="str">
        <f>IF(AF110=0,"",VLOOKUP(#REF!,Psíquicos!$AD$11:$AK$64,8,FALSE))</f>
        <v/>
      </c>
      <c r="AH110" s="2393"/>
      <c r="AI110" s="2388" t="s">
        <v>220</v>
      </c>
    </row>
    <row r="111" spans="1:35" ht="12.75" customHeight="1" x14ac:dyDescent="0.2">
      <c r="A111" s="2027">
        <v>111</v>
      </c>
      <c r="B111" s="2019">
        <f>IF(OR(S111=0),0,SUM($S$6:S111))</f>
        <v>0</v>
      </c>
      <c r="C111" s="1103"/>
      <c r="D111" s="521" t="s">
        <v>221</v>
      </c>
      <c r="E111" s="1120" t="s">
        <v>113</v>
      </c>
      <c r="F111" s="1096">
        <v>3</v>
      </c>
      <c r="G111" s="1096" t="s">
        <v>1690</v>
      </c>
      <c r="H111" s="1097" t="s">
        <v>1606</v>
      </c>
      <c r="I111" s="1095" t="s">
        <v>7192</v>
      </c>
      <c r="J111" s="1095" t="s">
        <v>7191</v>
      </c>
      <c r="K111" s="1095" t="s">
        <v>7178</v>
      </c>
      <c r="L111" s="1095" t="s">
        <v>7177</v>
      </c>
      <c r="M111" s="1095" t="s">
        <v>7176</v>
      </c>
      <c r="N111" s="1095" t="s">
        <v>7140</v>
      </c>
      <c r="O111" s="1095" t="s">
        <v>7540</v>
      </c>
      <c r="P111" s="1095" t="s">
        <v>7541</v>
      </c>
      <c r="Q111" s="1095" t="s">
        <v>7542</v>
      </c>
      <c r="R111" s="1119" t="s">
        <v>7543</v>
      </c>
      <c r="S111" s="2021">
        <f>IF(COUNTIF(Psíquicos!$C$25:$E$36,E111)=0,0,1)</f>
        <v>0</v>
      </c>
      <c r="U111" s="1095" t="str">
        <f t="shared" si="14"/>
        <v>CIM</v>
      </c>
      <c r="V111" s="2303"/>
      <c r="W111" s="2303"/>
      <c r="X111" s="2303"/>
      <c r="Y111" s="2303"/>
      <c r="Z111" s="2303"/>
      <c r="AA111" s="2303"/>
      <c r="AB111" s="2303"/>
      <c r="AC111" s="2303"/>
      <c r="AD111" s="2303"/>
      <c r="AE111" s="2303"/>
      <c r="AF111" s="2303">
        <f>IF(ISNUMBER(SEARCH("&gt;",#REF!)),0,COUNTIF(Psíquicos!$AD$16:$AH$61,#REF!))</f>
        <v>0</v>
      </c>
      <c r="AG111" s="1095" t="str">
        <f>IF(AF111=0,"",VLOOKUP(#REF!,Psíquicos!$AD$11:$AK$64,8,FALSE))</f>
        <v/>
      </c>
      <c r="AH111" s="2393"/>
      <c r="AI111" s="2388" t="s">
        <v>221</v>
      </c>
    </row>
    <row r="112" spans="1:35" ht="12.75" customHeight="1" x14ac:dyDescent="0.2">
      <c r="A112" s="2027">
        <v>112</v>
      </c>
      <c r="B112" s="2019">
        <f>IF(OR(S112=0),0,SUM($S$6:S112))</f>
        <v>0</v>
      </c>
      <c r="C112" s="1103"/>
      <c r="D112" s="521" t="s">
        <v>222</v>
      </c>
      <c r="E112" s="1095"/>
      <c r="F112" s="1096"/>
      <c r="G112" s="1096"/>
      <c r="H112" s="1097"/>
      <c r="I112" s="1095"/>
      <c r="J112" s="1095"/>
      <c r="K112" s="1095"/>
      <c r="L112" s="1095"/>
      <c r="M112" s="1095"/>
      <c r="N112" s="1095"/>
      <c r="O112" s="1095"/>
      <c r="P112" s="1095"/>
      <c r="Q112" s="1095"/>
      <c r="R112" s="1119"/>
      <c r="S112" s="2023">
        <f>S113</f>
        <v>0</v>
      </c>
      <c r="U112" s="1095"/>
      <c r="V112" s="2303"/>
      <c r="W112" s="2303"/>
      <c r="X112" s="2303"/>
      <c r="Y112" s="2303"/>
      <c r="Z112" s="2303"/>
      <c r="AA112" s="2303"/>
      <c r="AB112" s="2303"/>
      <c r="AC112" s="2303"/>
      <c r="AD112" s="2303"/>
      <c r="AE112" s="2303"/>
      <c r="AF112" s="2303">
        <f>IF(ISNUMBER(SEARCH("&gt;",#REF!)),0,COUNTIF(Psíquicos!$AD$16:$AH$61,#REF!))</f>
        <v>0</v>
      </c>
      <c r="AG112" s="1095" t="str">
        <f>IF(AF112=0,"",VLOOKUP(#REF!,Psíquicos!$AD$11:$AK$64,8,FALSE))</f>
        <v/>
      </c>
      <c r="AH112" s="2393"/>
      <c r="AI112" s="2388" t="s">
        <v>222</v>
      </c>
    </row>
    <row r="113" spans="1:35" ht="12.75" customHeight="1" x14ac:dyDescent="0.2">
      <c r="A113" s="2027">
        <v>113</v>
      </c>
      <c r="B113" s="2019">
        <f>IF(OR(S113=0),0,SUM($S$6:S113))</f>
        <v>0</v>
      </c>
      <c r="C113" s="1103"/>
      <c r="D113" s="521" t="s">
        <v>223</v>
      </c>
      <c r="E113" s="1120" t="s">
        <v>114</v>
      </c>
      <c r="F113" s="1096">
        <v>1</v>
      </c>
      <c r="G113" s="1096" t="s">
        <v>1690</v>
      </c>
      <c r="H113" s="1097" t="s">
        <v>1606</v>
      </c>
      <c r="I113" s="1095" t="s">
        <v>7176</v>
      </c>
      <c r="J113" s="1095" t="s">
        <v>7140</v>
      </c>
      <c r="K113" s="1095" t="s">
        <v>7141</v>
      </c>
      <c r="L113" s="1095" t="s">
        <v>7325</v>
      </c>
      <c r="M113" s="1095" t="s">
        <v>7544</v>
      </c>
      <c r="N113" s="1095" t="s">
        <v>7326</v>
      </c>
      <c r="O113" s="1095" t="s">
        <v>7545</v>
      </c>
      <c r="P113" s="1095" t="s">
        <v>7546</v>
      </c>
      <c r="Q113" s="1095" t="s">
        <v>7547</v>
      </c>
      <c r="R113" s="1119" t="s">
        <v>7548</v>
      </c>
      <c r="S113" s="2021">
        <f>IF(COUNTIF(Psíquicos!$C$25:$E$36,E113)=0,0,1)</f>
        <v>0</v>
      </c>
      <c r="U113" s="1095" t="str">
        <f t="shared" si="14"/>
        <v>DIF</v>
      </c>
      <c r="V113" s="2303"/>
      <c r="W113" s="2303"/>
      <c r="X113" s="2303"/>
      <c r="Y113" s="2303"/>
      <c r="Z113" s="2303"/>
      <c r="AA113" s="2303"/>
      <c r="AB113" s="2303"/>
      <c r="AC113" s="2303"/>
      <c r="AD113" s="2303"/>
      <c r="AE113" s="2303"/>
      <c r="AF113" s="2303">
        <f>IF(ISNUMBER(SEARCH("&gt;",#REF!)),0,COUNTIF(Psíquicos!$AD$16:$AH$61,#REF!))</f>
        <v>0</v>
      </c>
      <c r="AG113" s="1095" t="str">
        <f>IF(AF113=0,"",VLOOKUP(#REF!,Psíquicos!$AD$11:$AK$64,8,FALSE))</f>
        <v/>
      </c>
      <c r="AH113" s="2393"/>
      <c r="AI113" s="2388" t="s">
        <v>223</v>
      </c>
    </row>
    <row r="114" spans="1:35" ht="12.75" customHeight="1" x14ac:dyDescent="0.2">
      <c r="A114" s="2027">
        <v>114</v>
      </c>
      <c r="B114" s="2019">
        <f>IF(OR(S114=0),0,SUM($S$6:S114))</f>
        <v>0</v>
      </c>
      <c r="C114" s="1103"/>
      <c r="D114" s="521" t="s">
        <v>224</v>
      </c>
      <c r="E114" s="1120" t="s">
        <v>114</v>
      </c>
      <c r="F114" s="1096">
        <v>1</v>
      </c>
      <c r="G114" s="1096" t="s">
        <v>3010</v>
      </c>
      <c r="H114" s="1097" t="s">
        <v>1606</v>
      </c>
      <c r="I114" s="1095" t="s">
        <v>7140</v>
      </c>
      <c r="J114" s="1095" t="s">
        <v>7141</v>
      </c>
      <c r="K114" s="1095" t="s">
        <v>4908</v>
      </c>
      <c r="L114" s="1095" t="s">
        <v>6157</v>
      </c>
      <c r="M114" s="1095" t="s">
        <v>4909</v>
      </c>
      <c r="N114" s="1095" t="s">
        <v>7274</v>
      </c>
      <c r="O114" s="1095" t="s">
        <v>4910</v>
      </c>
      <c r="P114" s="1095" t="s">
        <v>7275</v>
      </c>
      <c r="Q114" s="1095" t="s">
        <v>7276</v>
      </c>
      <c r="R114" s="1095" t="s">
        <v>4911</v>
      </c>
      <c r="S114" s="2021">
        <f>IF(COUNTIF(Psíquicos!$C$25:$E$36,E114)=0,0,1)</f>
        <v>0</v>
      </c>
      <c r="U114" s="1095" t="str">
        <f t="shared" si="14"/>
        <v>MED</v>
      </c>
      <c r="V114" s="2303"/>
      <c r="W114" s="2303"/>
      <c r="X114" s="2303"/>
      <c r="Y114" s="2303"/>
      <c r="Z114" s="2303"/>
      <c r="AA114" s="2303"/>
      <c r="AB114" s="2303"/>
      <c r="AC114" s="2303"/>
      <c r="AD114" s="2303"/>
      <c r="AE114" s="2303"/>
      <c r="AF114" s="2303">
        <f>IF(ISNUMBER(SEARCH("&gt;",#REF!)),0,COUNTIF(Psíquicos!$AD$16:$AH$61,#REF!))</f>
        <v>0</v>
      </c>
      <c r="AG114" s="1095" t="str">
        <f>IF(AF114=0,"",VLOOKUP(#REF!,Psíquicos!$AD$11:$AK$64,8,FALSE))</f>
        <v/>
      </c>
      <c r="AH114" s="2393"/>
      <c r="AI114" s="2388" t="s">
        <v>224</v>
      </c>
    </row>
    <row r="115" spans="1:35" ht="12.75" customHeight="1" x14ac:dyDescent="0.2">
      <c r="A115" s="2027">
        <v>115</v>
      </c>
      <c r="B115" s="2019">
        <f>IF(OR(S115=0),0,SUM($S$6:S115))</f>
        <v>0</v>
      </c>
      <c r="C115" s="1103"/>
      <c r="D115" s="521" t="s">
        <v>225</v>
      </c>
      <c r="E115" s="1120" t="s">
        <v>114</v>
      </c>
      <c r="F115" s="1096">
        <v>1</v>
      </c>
      <c r="G115" s="1096" t="s">
        <v>3010</v>
      </c>
      <c r="H115" s="1097" t="s">
        <v>1606</v>
      </c>
      <c r="I115" s="1095" t="s">
        <v>7140</v>
      </c>
      <c r="J115" s="1095" t="s">
        <v>7141</v>
      </c>
      <c r="K115" s="1095" t="s">
        <v>7549</v>
      </c>
      <c r="L115" s="1095" t="s">
        <v>7550</v>
      </c>
      <c r="M115" s="1095" t="s">
        <v>7551</v>
      </c>
      <c r="N115" s="1095" t="s">
        <v>7552</v>
      </c>
      <c r="O115" s="1095" t="s">
        <v>7553</v>
      </c>
      <c r="P115" s="1095" t="s">
        <v>7554</v>
      </c>
      <c r="Q115" s="1095" t="s">
        <v>7555</v>
      </c>
      <c r="R115" s="1095" t="s">
        <v>7556</v>
      </c>
      <c r="S115" s="2021">
        <f>IF(COUNTIF(Psíquicos!$C$25:$E$36,E115)=0,0,1)</f>
        <v>0</v>
      </c>
      <c r="U115" s="1095" t="str">
        <f t="shared" si="14"/>
        <v>MED</v>
      </c>
      <c r="V115" s="2303"/>
      <c r="W115" s="2303"/>
      <c r="X115" s="2303"/>
      <c r="Y115" s="2303"/>
      <c r="Z115" s="2303"/>
      <c r="AA115" s="2303"/>
      <c r="AB115" s="2303"/>
      <c r="AC115" s="2303"/>
      <c r="AD115" s="2303"/>
      <c r="AE115" s="2303"/>
      <c r="AF115" s="2303">
        <f>IF(ISNUMBER(SEARCH("&gt;",#REF!)),0,COUNTIF(Psíquicos!$AD$16:$AH$61,#REF!))</f>
        <v>0</v>
      </c>
      <c r="AG115" s="1095" t="str">
        <f>IF(AF115=0,"",VLOOKUP(#REF!,Psíquicos!$AD$11:$AK$64,8,FALSE))</f>
        <v/>
      </c>
      <c r="AH115" s="2393"/>
      <c r="AI115" s="2388" t="s">
        <v>225</v>
      </c>
    </row>
    <row r="116" spans="1:35" ht="12.75" customHeight="1" x14ac:dyDescent="0.2">
      <c r="A116" s="2027">
        <v>116</v>
      </c>
      <c r="B116" s="2019">
        <f>IF(OR(S116=0),0,SUM($S$6:S116))</f>
        <v>0</v>
      </c>
      <c r="C116" s="1103"/>
      <c r="D116" s="521" t="s">
        <v>226</v>
      </c>
      <c r="E116" s="1120" t="s">
        <v>114</v>
      </c>
      <c r="F116" s="1096">
        <v>1</v>
      </c>
      <c r="G116" s="1096" t="s">
        <v>3010</v>
      </c>
      <c r="H116" s="1097" t="s">
        <v>1606</v>
      </c>
      <c r="I116" s="1095" t="s">
        <v>7176</v>
      </c>
      <c r="J116" s="1095" t="s">
        <v>7140</v>
      </c>
      <c r="K116" s="1095" t="s">
        <v>7141</v>
      </c>
      <c r="L116" s="1095" t="s">
        <v>7557</v>
      </c>
      <c r="M116" s="1095" t="s">
        <v>7558</v>
      </c>
      <c r="N116" s="1095" t="s">
        <v>7559</v>
      </c>
      <c r="O116" s="1095" t="s">
        <v>7560</v>
      </c>
      <c r="P116" s="1095" t="s">
        <v>7561</v>
      </c>
      <c r="Q116" s="1095" t="s">
        <v>7562</v>
      </c>
      <c r="R116" s="1119" t="s">
        <v>7563</v>
      </c>
      <c r="S116" s="2023">
        <f>S117</f>
        <v>0</v>
      </c>
      <c r="U116" s="1095" t="str">
        <f t="shared" si="14"/>
        <v>DIF</v>
      </c>
      <c r="V116" s="2303"/>
      <c r="W116" s="2303"/>
      <c r="X116" s="2303"/>
      <c r="Y116" s="2303"/>
      <c r="Z116" s="2303"/>
      <c r="AA116" s="2303"/>
      <c r="AB116" s="2303"/>
      <c r="AC116" s="2303"/>
      <c r="AD116" s="2303"/>
      <c r="AE116" s="2303"/>
      <c r="AF116" s="2303">
        <f>IF(ISNUMBER(SEARCH("&gt;",#REF!)),0,COUNTIF(Psíquicos!$AD$16:$AH$61,#REF!))</f>
        <v>0</v>
      </c>
      <c r="AG116" s="1095" t="str">
        <f>IF(AF116=0,"",VLOOKUP(#REF!,Psíquicos!$AD$11:$AK$64,8,FALSE))</f>
        <v/>
      </c>
      <c r="AH116" s="2393"/>
      <c r="AI116" s="2388" t="s">
        <v>226</v>
      </c>
    </row>
    <row r="117" spans="1:35" ht="12.75" customHeight="1" x14ac:dyDescent="0.2">
      <c r="A117" s="2027">
        <v>117</v>
      </c>
      <c r="B117" s="2019">
        <f>IF(OR(S117=0),0,SUM($S$6:S117))</f>
        <v>0</v>
      </c>
      <c r="C117" s="1103"/>
      <c r="D117" s="521" t="s">
        <v>227</v>
      </c>
      <c r="E117" s="1120" t="s">
        <v>114</v>
      </c>
      <c r="F117" s="1096">
        <v>2</v>
      </c>
      <c r="G117" s="1096" t="s">
        <v>3010</v>
      </c>
      <c r="H117" s="1097" t="s">
        <v>1607</v>
      </c>
      <c r="I117" s="1095" t="s">
        <v>7176</v>
      </c>
      <c r="J117" s="1095" t="s">
        <v>7140</v>
      </c>
      <c r="K117" s="1095" t="s">
        <v>7141</v>
      </c>
      <c r="L117" s="1095" t="s">
        <v>7338</v>
      </c>
      <c r="M117" s="1095" t="s">
        <v>7339</v>
      </c>
      <c r="N117" s="1095" t="s">
        <v>7340</v>
      </c>
      <c r="O117" s="1095" t="s">
        <v>7564</v>
      </c>
      <c r="P117" s="1095" t="s">
        <v>7565</v>
      </c>
      <c r="Q117" s="1095" t="s">
        <v>7566</v>
      </c>
      <c r="R117" s="1095" t="s">
        <v>7567</v>
      </c>
      <c r="S117" s="2021">
        <f>IF(COUNTIF(Psíquicos!$C$25:$E$36,E117)=0,0,1)</f>
        <v>0</v>
      </c>
      <c r="U117" s="1095" t="str">
        <f t="shared" si="14"/>
        <v>DIF</v>
      </c>
      <c r="V117" s="2303"/>
      <c r="W117" s="2303"/>
      <c r="X117" s="2303"/>
      <c r="Y117" s="2303"/>
      <c r="Z117" s="2303"/>
      <c r="AA117" s="2303"/>
      <c r="AB117" s="2303"/>
      <c r="AC117" s="2303"/>
      <c r="AD117" s="2303"/>
      <c r="AE117" s="2303"/>
      <c r="AF117" s="2303">
        <f>IF(ISNUMBER(SEARCH("&gt;",#REF!)),0,COUNTIF(Psíquicos!$AD$16:$AH$61,#REF!))</f>
        <v>0</v>
      </c>
      <c r="AG117" s="1095" t="str">
        <f>IF(AF117=0,"",VLOOKUP(#REF!,Psíquicos!$AD$11:$AK$64,8,FALSE))</f>
        <v/>
      </c>
      <c r="AH117" s="2393"/>
      <c r="AI117" s="2388" t="s">
        <v>227</v>
      </c>
    </row>
    <row r="118" spans="1:35" ht="12.75" customHeight="1" x14ac:dyDescent="0.2">
      <c r="A118" s="2027">
        <v>118</v>
      </c>
      <c r="B118" s="2019">
        <f>IF(OR(S118=0),0,SUM($S$6:S118))</f>
        <v>0</v>
      </c>
      <c r="C118" s="1103"/>
      <c r="D118" s="521" t="s">
        <v>228</v>
      </c>
      <c r="E118" s="1120" t="s">
        <v>114</v>
      </c>
      <c r="F118" s="1096">
        <v>2</v>
      </c>
      <c r="G118" s="1096" t="s">
        <v>3010</v>
      </c>
      <c r="H118" s="1097" t="s">
        <v>1606</v>
      </c>
      <c r="I118" s="1095" t="s">
        <v>7176</v>
      </c>
      <c r="J118" s="1095" t="s">
        <v>7140</v>
      </c>
      <c r="K118" s="1095" t="s">
        <v>7141</v>
      </c>
      <c r="L118" s="1095" t="s">
        <v>7568</v>
      </c>
      <c r="M118" s="1095" t="s">
        <v>7569</v>
      </c>
      <c r="N118" s="1095" t="s">
        <v>7570</v>
      </c>
      <c r="O118" s="1095" t="s">
        <v>7571</v>
      </c>
      <c r="P118" s="1095" t="s">
        <v>7572</v>
      </c>
      <c r="Q118" s="1095" t="s">
        <v>7573</v>
      </c>
      <c r="R118" s="1095" t="s">
        <v>7574</v>
      </c>
      <c r="S118" s="2021">
        <f>IF(COUNTIF(Psíquicos!$C$25:$E$36,E118)=0,0,1)</f>
        <v>0</v>
      </c>
      <c r="U118" s="1095" t="str">
        <f t="shared" si="14"/>
        <v>DIF</v>
      </c>
      <c r="V118" s="2303"/>
      <c r="W118" s="2303"/>
      <c r="X118" s="2303"/>
      <c r="Y118" s="2303"/>
      <c r="Z118" s="2303"/>
      <c r="AA118" s="2303"/>
      <c r="AB118" s="2303"/>
      <c r="AC118" s="2303"/>
      <c r="AD118" s="2303"/>
      <c r="AE118" s="2303"/>
      <c r="AF118" s="2303">
        <f>IF(ISNUMBER(SEARCH("&gt;",#REF!)),0,COUNTIF(Psíquicos!$AD$16:$AH$61,#REF!))</f>
        <v>0</v>
      </c>
      <c r="AG118" s="1095" t="str">
        <f>IF(AF118=0,"",VLOOKUP(#REF!,Psíquicos!$AD$11:$AK$64,8,FALSE))</f>
        <v/>
      </c>
      <c r="AH118" s="2393"/>
      <c r="AI118" s="2388" t="s">
        <v>228</v>
      </c>
    </row>
    <row r="119" spans="1:35" ht="12.75" customHeight="1" x14ac:dyDescent="0.2">
      <c r="A119" s="2027">
        <v>119</v>
      </c>
      <c r="B119" s="2019">
        <f>IF(OR(S119=0),0,SUM($S$6:S119))</f>
        <v>0</v>
      </c>
      <c r="C119" s="1103"/>
      <c r="D119" s="521" t="s">
        <v>229</v>
      </c>
      <c r="E119" s="1120" t="s">
        <v>114</v>
      </c>
      <c r="F119" s="1096">
        <v>2</v>
      </c>
      <c r="G119" s="1096" t="s">
        <v>1690</v>
      </c>
      <c r="H119" s="1097" t="s">
        <v>1606</v>
      </c>
      <c r="I119" s="1095" t="s">
        <v>7176</v>
      </c>
      <c r="J119" s="1095" t="s">
        <v>7140</v>
      </c>
      <c r="K119" s="1095" t="s">
        <v>7141</v>
      </c>
      <c r="L119" s="1095" t="s">
        <v>6299</v>
      </c>
      <c r="M119" s="1095" t="s">
        <v>6034</v>
      </c>
      <c r="N119" s="1095" t="s">
        <v>4802</v>
      </c>
      <c r="O119" s="1095" t="s">
        <v>6035</v>
      </c>
      <c r="P119" s="1095" t="s">
        <v>7575</v>
      </c>
      <c r="Q119" s="1095" t="s">
        <v>6036</v>
      </c>
      <c r="R119" s="1095" t="s">
        <v>5129</v>
      </c>
      <c r="S119" s="2021">
        <f>IF(COUNTIF(Psíquicos!$C$25:$E$36,E119)=0,0,1)</f>
        <v>0</v>
      </c>
      <c r="U119" s="1095" t="str">
        <f t="shared" si="14"/>
        <v>DIF</v>
      </c>
      <c r="V119" s="2303"/>
      <c r="W119" s="2303"/>
      <c r="X119" s="2303"/>
      <c r="Y119" s="2303"/>
      <c r="Z119" s="2303"/>
      <c r="AA119" s="2303"/>
      <c r="AB119" s="2303"/>
      <c r="AC119" s="2303"/>
      <c r="AD119" s="2303"/>
      <c r="AE119" s="2303"/>
      <c r="AF119" s="2303">
        <f>IF(ISNUMBER(SEARCH("&gt;",#REF!)),0,COUNTIF(Psíquicos!$AD$16:$AH$61,#REF!))</f>
        <v>0</v>
      </c>
      <c r="AG119" s="1095" t="str">
        <f>IF(AF119=0,"",VLOOKUP(#REF!,Psíquicos!$AD$11:$AK$64,8,FALSE))</f>
        <v/>
      </c>
      <c r="AH119" s="2393"/>
      <c r="AI119" s="2388" t="s">
        <v>229</v>
      </c>
    </row>
    <row r="120" spans="1:35" ht="12.75" customHeight="1" x14ac:dyDescent="0.2">
      <c r="A120" s="2027">
        <v>120</v>
      </c>
      <c r="B120" s="2019">
        <f>IF(OR(S120=0),0,SUM($S$6:S120))</f>
        <v>0</v>
      </c>
      <c r="C120" s="1103"/>
      <c r="D120" s="521" t="s">
        <v>230</v>
      </c>
      <c r="E120" s="1120" t="s">
        <v>114</v>
      </c>
      <c r="F120" s="1096">
        <v>3</v>
      </c>
      <c r="G120" s="1096" t="s">
        <v>1690</v>
      </c>
      <c r="H120" s="1097" t="s">
        <v>1606</v>
      </c>
      <c r="I120" s="1095" t="s">
        <v>7191</v>
      </c>
      <c r="J120" s="1095" t="s">
        <v>7576</v>
      </c>
      <c r="K120" s="1095" t="s">
        <v>7178</v>
      </c>
      <c r="L120" s="1095" t="s">
        <v>7177</v>
      </c>
      <c r="M120" s="1095" t="s">
        <v>7176</v>
      </c>
      <c r="N120" s="1095" t="s">
        <v>7140</v>
      </c>
      <c r="O120" s="1106" t="s">
        <v>7577</v>
      </c>
      <c r="P120" s="1106" t="s">
        <v>7578</v>
      </c>
      <c r="Q120" s="1106" t="s">
        <v>7579</v>
      </c>
      <c r="R120" s="1106" t="s">
        <v>7580</v>
      </c>
      <c r="S120" s="2021">
        <f>IF(COUNTIF(Psíquicos!$C$25:$E$36,E120)=0,0,1)</f>
        <v>0</v>
      </c>
      <c r="U120" s="1095" t="str">
        <f t="shared" si="14"/>
        <v>CIM</v>
      </c>
      <c r="V120" s="2303"/>
      <c r="W120" s="2303"/>
      <c r="X120" s="2303"/>
      <c r="Y120" s="2303"/>
      <c r="Z120" s="2303"/>
      <c r="AA120" s="2303"/>
      <c r="AB120" s="2303"/>
      <c r="AC120" s="2303"/>
      <c r="AD120" s="2303"/>
      <c r="AE120" s="2303"/>
      <c r="AF120" s="2303">
        <f>IF(ISNUMBER(SEARCH("&gt;",#REF!)),0,COUNTIF(Psíquicos!$AD$16:$AH$61,#REF!))</f>
        <v>0</v>
      </c>
      <c r="AG120" s="1095" t="str">
        <f>IF(AF120=0,"",VLOOKUP(#REF!,Psíquicos!$AD$11:$AK$64,8,FALSE))</f>
        <v/>
      </c>
      <c r="AH120" s="2393"/>
      <c r="AI120" s="2388" t="s">
        <v>230</v>
      </c>
    </row>
    <row r="121" spans="1:35" ht="12.75" customHeight="1" x14ac:dyDescent="0.2">
      <c r="A121" s="2027">
        <v>121</v>
      </c>
      <c r="B121" s="2019">
        <f>IF(OR(S121=0),0,SUM($S$6:S121))</f>
        <v>0</v>
      </c>
      <c r="C121" s="1103"/>
      <c r="D121" s="521" t="s">
        <v>231</v>
      </c>
      <c r="E121" s="1120" t="s">
        <v>114</v>
      </c>
      <c r="F121" s="1096">
        <v>3</v>
      </c>
      <c r="G121" s="1096" t="s">
        <v>1690</v>
      </c>
      <c r="H121" s="1097" t="s">
        <v>1606</v>
      </c>
      <c r="I121" s="1095" t="s">
        <v>7191</v>
      </c>
      <c r="J121" s="1095" t="s">
        <v>7576</v>
      </c>
      <c r="K121" s="1095" t="s">
        <v>7178</v>
      </c>
      <c r="L121" s="1095" t="s">
        <v>7177</v>
      </c>
      <c r="M121" s="1095" t="s">
        <v>7176</v>
      </c>
      <c r="N121" s="1095" t="s">
        <v>7140</v>
      </c>
      <c r="O121" s="1106" t="s">
        <v>7581</v>
      </c>
      <c r="P121" s="1106" t="s">
        <v>7582</v>
      </c>
      <c r="Q121" s="1095" t="s">
        <v>7583</v>
      </c>
      <c r="R121" s="1095" t="s">
        <v>7584</v>
      </c>
      <c r="S121" s="2021">
        <f>IF(COUNTIF(Psíquicos!$C$25:$E$36,E121)=0,0,1)</f>
        <v>0</v>
      </c>
      <c r="U121" s="1095" t="str">
        <f t="shared" si="14"/>
        <v>CIM</v>
      </c>
      <c r="V121" s="2303"/>
      <c r="W121" s="2303"/>
      <c r="X121" s="2303"/>
      <c r="Y121" s="2303"/>
      <c r="Z121" s="2303"/>
      <c r="AA121" s="2303"/>
      <c r="AB121" s="2303"/>
      <c r="AC121" s="2303"/>
      <c r="AD121" s="2303"/>
      <c r="AE121" s="2303"/>
      <c r="AF121" s="2303">
        <f>IF(ISNUMBER(SEARCH("&gt;",#REF!)),0,COUNTIF(Psíquicos!$AD$16:$AH$61,#REF!))</f>
        <v>0</v>
      </c>
      <c r="AG121" s="1095" t="str">
        <f>IF(AF121=0,"",VLOOKUP(#REF!,Psíquicos!$AD$11:$AK$64,8,FALSE))</f>
        <v/>
      </c>
      <c r="AH121" s="2393"/>
      <c r="AI121" s="2388" t="s">
        <v>231</v>
      </c>
    </row>
    <row r="122" spans="1:35" ht="12.75" customHeight="1" x14ac:dyDescent="0.2">
      <c r="A122" s="2027">
        <v>122</v>
      </c>
      <c r="B122" s="2019">
        <f>IF(OR(S122=0),0,SUM($S$6:S122))</f>
        <v>0</v>
      </c>
      <c r="C122" s="1103"/>
      <c r="D122" s="521" t="s">
        <v>232</v>
      </c>
      <c r="E122" s="1120"/>
      <c r="F122" s="1096"/>
      <c r="G122" s="1096"/>
      <c r="H122" s="1097"/>
      <c r="I122" s="1095"/>
      <c r="J122" s="1095"/>
      <c r="K122" s="1095"/>
      <c r="L122" s="1095"/>
      <c r="M122" s="1095"/>
      <c r="N122" s="1095"/>
      <c r="O122" s="1095"/>
      <c r="P122" s="1095"/>
      <c r="Q122" s="1095"/>
      <c r="R122" s="1119"/>
      <c r="S122" s="2023">
        <f>S123</f>
        <v>0</v>
      </c>
      <c r="U122" s="1095"/>
      <c r="V122" s="2303"/>
      <c r="W122" s="2303"/>
      <c r="X122" s="2303"/>
      <c r="Y122" s="2303"/>
      <c r="Z122" s="2303"/>
      <c r="AA122" s="2303"/>
      <c r="AB122" s="2303"/>
      <c r="AC122" s="2303"/>
      <c r="AD122" s="2303"/>
      <c r="AE122" s="2303"/>
      <c r="AF122" s="2303">
        <f>IF(ISNUMBER(SEARCH("&gt;",#REF!)),0,COUNTIF(Psíquicos!$AD$16:$AH$61,#REF!))</f>
        <v>0</v>
      </c>
      <c r="AG122" s="1095" t="str">
        <f>IF(AF122=0,"",VLOOKUP(#REF!,Psíquicos!$AD$11:$AK$64,8,FALSE))</f>
        <v/>
      </c>
      <c r="AH122" s="2393"/>
      <c r="AI122" s="2388" t="s">
        <v>232</v>
      </c>
    </row>
    <row r="123" spans="1:35" ht="12.75" customHeight="1" x14ac:dyDescent="0.2">
      <c r="A123" s="2027">
        <v>123</v>
      </c>
      <c r="B123" s="2019">
        <f>IF(OR(S123=0),0,SUM($S$6:S123))</f>
        <v>0</v>
      </c>
      <c r="C123" s="1103"/>
      <c r="D123" s="521" t="s">
        <v>233</v>
      </c>
      <c r="E123" s="1120" t="s">
        <v>116</v>
      </c>
      <c r="F123" s="1096">
        <v>1</v>
      </c>
      <c r="G123" s="1096" t="s">
        <v>1690</v>
      </c>
      <c r="H123" s="1097" t="s">
        <v>1606</v>
      </c>
      <c r="I123" s="1095" t="s">
        <v>7140</v>
      </c>
      <c r="J123" s="1095" t="s">
        <v>7141</v>
      </c>
      <c r="K123" s="1095" t="s">
        <v>7585</v>
      </c>
      <c r="L123" s="1095" t="s">
        <v>7586</v>
      </c>
      <c r="M123" s="1095" t="s">
        <v>7587</v>
      </c>
      <c r="N123" s="1095" t="s">
        <v>7588</v>
      </c>
      <c r="O123" s="1095" t="s">
        <v>7589</v>
      </c>
      <c r="P123" s="1095" t="s">
        <v>7590</v>
      </c>
      <c r="Q123" s="1095" t="s">
        <v>7591</v>
      </c>
      <c r="R123" s="1095" t="s">
        <v>7592</v>
      </c>
      <c r="S123" s="2021">
        <f>IF(COUNTIF(Psíquicos!$C$25:$E$36,E123)=0,0,1)</f>
        <v>0</v>
      </c>
      <c r="U123" s="1095" t="str">
        <f t="shared" si="14"/>
        <v>MED</v>
      </c>
      <c r="V123" s="2303"/>
      <c r="W123" s="2303"/>
      <c r="X123" s="2303"/>
      <c r="Y123" s="2303"/>
      <c r="Z123" s="2303"/>
      <c r="AA123" s="2303"/>
      <c r="AB123" s="2303"/>
      <c r="AC123" s="2303"/>
      <c r="AD123" s="2303"/>
      <c r="AE123" s="2303"/>
      <c r="AF123" s="2303">
        <f>IF(ISNUMBER(SEARCH("&gt;",#REF!)),0,COUNTIF(Psíquicos!$AD$16:$AH$61,#REF!))</f>
        <v>0</v>
      </c>
      <c r="AG123" s="1095" t="str">
        <f>IF(AF123=0,"",VLOOKUP(#REF!,Psíquicos!$AD$11:$AK$64,8,FALSE))</f>
        <v/>
      </c>
      <c r="AH123" s="2393"/>
      <c r="AI123" s="2388" t="s">
        <v>233</v>
      </c>
    </row>
    <row r="124" spans="1:35" ht="12.75" customHeight="1" x14ac:dyDescent="0.2">
      <c r="A124" s="2027">
        <v>124</v>
      </c>
      <c r="B124" s="2019">
        <f>IF(OR(S124=0),0,SUM($S$6:S124))</f>
        <v>0</v>
      </c>
      <c r="C124" s="1103"/>
      <c r="D124" s="521" t="s">
        <v>234</v>
      </c>
      <c r="E124" s="1120" t="s">
        <v>116</v>
      </c>
      <c r="F124" s="1096">
        <v>1</v>
      </c>
      <c r="G124" s="1096" t="s">
        <v>1690</v>
      </c>
      <c r="H124" s="1097" t="s">
        <v>1606</v>
      </c>
      <c r="I124" s="1095" t="s">
        <v>7177</v>
      </c>
      <c r="J124" s="1095" t="s">
        <v>7176</v>
      </c>
      <c r="K124" s="1095" t="s">
        <v>7140</v>
      </c>
      <c r="L124" s="1095" t="s">
        <v>7593</v>
      </c>
      <c r="M124" s="1095" t="s">
        <v>7594</v>
      </c>
      <c r="N124" s="1095" t="s">
        <v>7193</v>
      </c>
      <c r="O124" s="1095" t="s">
        <v>7595</v>
      </c>
      <c r="P124" s="1095" t="s">
        <v>7523</v>
      </c>
      <c r="Q124" s="1095" t="s">
        <v>7150</v>
      </c>
      <c r="R124" s="1095" t="s">
        <v>7596</v>
      </c>
      <c r="S124" s="2021">
        <f>IF(COUNTIF(Psíquicos!$C$25:$E$36,E124)=0,0,1)</f>
        <v>0</v>
      </c>
      <c r="U124" s="1095" t="str">
        <f t="shared" si="14"/>
        <v>DIF</v>
      </c>
      <c r="V124" s="2303"/>
      <c r="W124" s="2303"/>
      <c r="X124" s="2303"/>
      <c r="Y124" s="2303"/>
      <c r="Z124" s="2303"/>
      <c r="AA124" s="2303"/>
      <c r="AB124" s="2303"/>
      <c r="AC124" s="2303"/>
      <c r="AD124" s="2303"/>
      <c r="AE124" s="2303"/>
      <c r="AF124" s="2303">
        <f>IF(ISNUMBER(SEARCH("&gt;",#REF!)),0,COUNTIF(Psíquicos!$AD$16:$AH$61,#REF!))</f>
        <v>0</v>
      </c>
      <c r="AG124" s="1095" t="str">
        <f>IF(AF124=0,"",VLOOKUP(#REF!,Psíquicos!$AD$11:$AK$64,8,FALSE))</f>
        <v/>
      </c>
      <c r="AH124" s="2393"/>
      <c r="AI124" s="2388" t="s">
        <v>234</v>
      </c>
    </row>
    <row r="125" spans="1:35" ht="12.75" customHeight="1" x14ac:dyDescent="0.2">
      <c r="A125" s="2027">
        <v>125</v>
      </c>
      <c r="B125" s="2019">
        <f>IF(OR(S125=0),0,SUM($S$6:S125))</f>
        <v>0</v>
      </c>
      <c r="C125" s="1103"/>
      <c r="D125" s="521" t="s">
        <v>235</v>
      </c>
      <c r="E125" s="1120" t="s">
        <v>116</v>
      </c>
      <c r="F125" s="1096">
        <v>1</v>
      </c>
      <c r="G125" s="1096" t="s">
        <v>3010</v>
      </c>
      <c r="H125" s="1097" t="s">
        <v>1607</v>
      </c>
      <c r="I125" s="1095" t="s">
        <v>7177</v>
      </c>
      <c r="J125" s="1095" t="s">
        <v>7176</v>
      </c>
      <c r="K125" s="1095" t="s">
        <v>7140</v>
      </c>
      <c r="L125" s="1095" t="s">
        <v>7597</v>
      </c>
      <c r="M125" s="1095" t="s">
        <v>7598</v>
      </c>
      <c r="N125" s="1095" t="s">
        <v>7599</v>
      </c>
      <c r="O125" s="1095" t="s">
        <v>7600</v>
      </c>
      <c r="P125" s="1095" t="s">
        <v>7601</v>
      </c>
      <c r="Q125" s="1095" t="s">
        <v>7602</v>
      </c>
      <c r="R125" s="1095" t="s">
        <v>7603</v>
      </c>
      <c r="S125" s="2021">
        <f>IF(COUNTIF(Psíquicos!$C$25:$E$36,E125)=0,0,1)</f>
        <v>0</v>
      </c>
      <c r="U125" s="1095" t="str">
        <f t="shared" si="14"/>
        <v>DIF</v>
      </c>
      <c r="V125" s="2303"/>
      <c r="W125" s="2303"/>
      <c r="X125" s="2303"/>
      <c r="Y125" s="2303"/>
      <c r="Z125" s="2303"/>
      <c r="AA125" s="2303"/>
      <c r="AB125" s="2303"/>
      <c r="AC125" s="2303"/>
      <c r="AD125" s="2303"/>
      <c r="AE125" s="2303"/>
      <c r="AF125" s="2303">
        <f>IF(ISNUMBER(SEARCH("&gt;",#REF!)),0,COUNTIF(Psíquicos!$AD$16:$AH$61,#REF!))</f>
        <v>0</v>
      </c>
      <c r="AG125" s="1095" t="str">
        <f>IF(AF125=0,"",VLOOKUP(#REF!,Psíquicos!$AD$11:$AK$64,8,FALSE))</f>
        <v/>
      </c>
      <c r="AH125" s="2393"/>
      <c r="AI125" s="2388" t="s">
        <v>235</v>
      </c>
    </row>
    <row r="126" spans="1:35" ht="12.75" customHeight="1" x14ac:dyDescent="0.2">
      <c r="A126" s="2027">
        <v>126</v>
      </c>
      <c r="B126" s="2019">
        <f>IF(OR(S126=0),0,SUM($S$6:S126))</f>
        <v>0</v>
      </c>
      <c r="C126" s="1103"/>
      <c r="D126" s="521" t="s">
        <v>236</v>
      </c>
      <c r="E126" s="1120" t="s">
        <v>116</v>
      </c>
      <c r="F126" s="1096">
        <v>2</v>
      </c>
      <c r="G126" s="1096" t="s">
        <v>1690</v>
      </c>
      <c r="H126" s="1097" t="s">
        <v>1606</v>
      </c>
      <c r="I126" s="1095" t="s">
        <v>7191</v>
      </c>
      <c r="J126" s="1095" t="s">
        <v>7178</v>
      </c>
      <c r="K126" s="1095" t="s">
        <v>7177</v>
      </c>
      <c r="L126" s="1095" t="s">
        <v>7176</v>
      </c>
      <c r="M126" s="1095" t="s">
        <v>7140</v>
      </c>
      <c r="N126" s="1095" t="s">
        <v>7508</v>
      </c>
      <c r="O126" s="1095" t="s">
        <v>7153</v>
      </c>
      <c r="P126" s="1095" t="s">
        <v>7154</v>
      </c>
      <c r="Q126" s="1095" t="s">
        <v>7155</v>
      </c>
      <c r="R126" s="1119" t="s">
        <v>7157</v>
      </c>
      <c r="S126" s="2021">
        <f>IF(COUNTIF(Psíquicos!$C$25:$E$36,E126)=0,0,1)</f>
        <v>0</v>
      </c>
      <c r="U126" s="1095" t="str">
        <f t="shared" si="14"/>
        <v>ABS</v>
      </c>
      <c r="V126" s="2303"/>
      <c r="W126" s="2303"/>
      <c r="X126" s="2303"/>
      <c r="Y126" s="2303"/>
      <c r="Z126" s="2303"/>
      <c r="AA126" s="2303"/>
      <c r="AB126" s="2303"/>
      <c r="AC126" s="2303"/>
      <c r="AD126" s="2303"/>
      <c r="AE126" s="2303"/>
      <c r="AF126" s="2303">
        <f>IF(ISNUMBER(SEARCH("&gt;",#REF!)),0,COUNTIF(Psíquicos!$AD$16:$AH$61,#REF!))</f>
        <v>0</v>
      </c>
      <c r="AG126" s="1095" t="str">
        <f>IF(AF126=0,"",VLOOKUP(#REF!,Psíquicos!$AD$11:$AK$64,8,FALSE))</f>
        <v/>
      </c>
      <c r="AH126" s="2393"/>
      <c r="AI126" s="2388" t="s">
        <v>236</v>
      </c>
    </row>
    <row r="127" spans="1:35" ht="12.75" customHeight="1" x14ac:dyDescent="0.2">
      <c r="A127" s="2027">
        <v>127</v>
      </c>
      <c r="B127" s="2019">
        <f>IF(OR(S127=0),0,SUM($S$6:S127))</f>
        <v>0</v>
      </c>
      <c r="C127" s="1103"/>
      <c r="D127" s="521" t="s">
        <v>237</v>
      </c>
      <c r="E127" s="1120" t="s">
        <v>116</v>
      </c>
      <c r="F127" s="1096">
        <v>3</v>
      </c>
      <c r="G127" s="1096" t="s">
        <v>3010</v>
      </c>
      <c r="H127" s="1097" t="s">
        <v>1606</v>
      </c>
      <c r="I127" s="1095" t="s">
        <v>7192</v>
      </c>
      <c r="J127" s="1095" t="s">
        <v>7191</v>
      </c>
      <c r="K127" s="1095" t="s">
        <v>7178</v>
      </c>
      <c r="L127" s="1095" t="s">
        <v>7177</v>
      </c>
      <c r="M127" s="1095" t="s">
        <v>7176</v>
      </c>
      <c r="N127" s="1095" t="s">
        <v>7604</v>
      </c>
      <c r="O127" s="1095" t="s">
        <v>7605</v>
      </c>
      <c r="P127" s="1095" t="s">
        <v>7606</v>
      </c>
      <c r="Q127" s="1095" t="s">
        <v>7607</v>
      </c>
      <c r="R127" s="1095" t="s">
        <v>7608</v>
      </c>
      <c r="S127" s="2021">
        <f>IF(COUNTIF(Psíquicos!$C$25:$E$36,E127)=0,0,1)</f>
        <v>0</v>
      </c>
      <c r="U127" s="1095" t="str">
        <f t="shared" si="14"/>
        <v>ABS</v>
      </c>
      <c r="V127" s="2303"/>
      <c r="W127" s="2303"/>
      <c r="X127" s="2303"/>
      <c r="Y127" s="2303"/>
      <c r="Z127" s="2303"/>
      <c r="AA127" s="2303"/>
      <c r="AB127" s="2303"/>
      <c r="AC127" s="2303"/>
      <c r="AD127" s="2303"/>
      <c r="AE127" s="2303"/>
      <c r="AF127" s="2303">
        <f>IF(ISNUMBER(SEARCH("&gt;",#REF!)),0,COUNTIF(Psíquicos!$AD$16:$AH$61,#REF!))</f>
        <v>0</v>
      </c>
      <c r="AG127" s="1095" t="str">
        <f>IF(AF127=0,"",VLOOKUP(#REF!,Psíquicos!$AD$11:$AK$64,8,FALSE))</f>
        <v/>
      </c>
      <c r="AH127" s="2393"/>
      <c r="AI127" s="2388" t="s">
        <v>237</v>
      </c>
    </row>
    <row r="128" spans="1:35" ht="12.75" customHeight="1" x14ac:dyDescent="0.2">
      <c r="A128" s="2027">
        <v>128</v>
      </c>
      <c r="B128" s="2019">
        <f>IF(OR(S128=0),0,SUM($S$6:S128))</f>
        <v>0</v>
      </c>
      <c r="C128" s="1103"/>
      <c r="D128" s="521" t="s">
        <v>238</v>
      </c>
      <c r="E128" s="1120" t="s">
        <v>116</v>
      </c>
      <c r="F128" s="1096">
        <v>3</v>
      </c>
      <c r="G128" s="1096" t="s">
        <v>1690</v>
      </c>
      <c r="H128" s="1097" t="s">
        <v>1606</v>
      </c>
      <c r="I128" s="1095" t="s">
        <v>7265</v>
      </c>
      <c r="J128" s="1095" t="s">
        <v>7266</v>
      </c>
      <c r="K128" s="1095" t="s">
        <v>7192</v>
      </c>
      <c r="L128" s="1095" t="s">
        <v>7191</v>
      </c>
      <c r="M128" s="1095" t="s">
        <v>7178</v>
      </c>
      <c r="N128" s="1095" t="s">
        <v>7176</v>
      </c>
      <c r="O128" s="1095" t="s">
        <v>7609</v>
      </c>
      <c r="P128" s="1095" t="s">
        <v>7610</v>
      </c>
      <c r="Q128" s="1095" t="s">
        <v>7611</v>
      </c>
      <c r="R128" s="1095" t="s">
        <v>7612</v>
      </c>
      <c r="S128" s="2021">
        <f>IF(COUNTIF(Psíquicos!$C$25:$E$36,E128)=0,0,1)</f>
        <v>0</v>
      </c>
      <c r="U128" s="1095" t="str">
        <f t="shared" si="14"/>
        <v>CIM</v>
      </c>
      <c r="V128" s="2303"/>
      <c r="W128" s="2303"/>
      <c r="X128" s="2303"/>
      <c r="Y128" s="2303"/>
      <c r="Z128" s="2303"/>
      <c r="AA128" s="2303"/>
      <c r="AB128" s="2303"/>
      <c r="AC128" s="2303"/>
      <c r="AD128" s="2303"/>
      <c r="AE128" s="2303"/>
      <c r="AF128" s="2303">
        <f>IF(ISNUMBER(SEARCH("&gt;",#REF!)),0,COUNTIF(Psíquicos!$AD$16:$AH$61,#REF!))</f>
        <v>0</v>
      </c>
      <c r="AG128" s="1095" t="str">
        <f>IF(AF128=0,"",VLOOKUP(#REF!,Psíquicos!$AD$11:$AK$64,8,FALSE))</f>
        <v/>
      </c>
      <c r="AH128" s="2393"/>
      <c r="AI128" s="2388" t="s">
        <v>238</v>
      </c>
    </row>
    <row r="129" spans="1:35" ht="12.75" customHeight="1" x14ac:dyDescent="0.2">
      <c r="A129" s="2027">
        <v>129</v>
      </c>
      <c r="B129" s="2019">
        <f>IF(OR(S129=0),0,SUM($S$6:S129))</f>
        <v>0</v>
      </c>
      <c r="C129" s="1103"/>
      <c r="D129" s="521" t="s">
        <v>116</v>
      </c>
      <c r="E129" s="1120" t="s">
        <v>116</v>
      </c>
      <c r="F129" s="1096">
        <v>3</v>
      </c>
      <c r="G129" s="1096" t="s">
        <v>1690</v>
      </c>
      <c r="H129" s="1097" t="s">
        <v>1606</v>
      </c>
      <c r="I129" s="1095" t="s">
        <v>7191</v>
      </c>
      <c r="J129" s="1095" t="s">
        <v>7178</v>
      </c>
      <c r="K129" s="1095" t="s">
        <v>7177</v>
      </c>
      <c r="L129" s="1095" t="s">
        <v>7176</v>
      </c>
      <c r="M129" s="1095" t="s">
        <v>7140</v>
      </c>
      <c r="N129" s="1095" t="s">
        <v>7613</v>
      </c>
      <c r="O129" s="1095" t="s">
        <v>7614</v>
      </c>
      <c r="P129" s="1095" t="s">
        <v>7615</v>
      </c>
      <c r="Q129" s="1095" t="s">
        <v>7616</v>
      </c>
      <c r="R129" s="1095" t="s">
        <v>7617</v>
      </c>
      <c r="S129" s="2021">
        <f>IF(COUNTIF(Psíquicos!$C$25:$E$36,E129)=0,0,1)</f>
        <v>0</v>
      </c>
      <c r="U129" s="1095" t="str">
        <f t="shared" si="14"/>
        <v>ABS</v>
      </c>
      <c r="V129" s="2303"/>
      <c r="W129" s="2303"/>
      <c r="X129" s="2303"/>
      <c r="Y129" s="2303"/>
      <c r="Z129" s="2303"/>
      <c r="AA129" s="2303"/>
      <c r="AB129" s="2303"/>
      <c r="AC129" s="2303"/>
      <c r="AD129" s="2303"/>
      <c r="AE129" s="2303"/>
      <c r="AF129" s="2303">
        <f>IF(ISNUMBER(SEARCH("&gt;",#REF!)),0,COUNTIF(Psíquicos!$AD$16:$AH$61,#REF!))</f>
        <v>0</v>
      </c>
      <c r="AG129" s="1095" t="str">
        <f>IF(AF129=0,"",VLOOKUP(#REF!,Psíquicos!$AD$11:$AK$64,8,FALSE))</f>
        <v/>
      </c>
      <c r="AH129" s="2393"/>
      <c r="AI129" s="2388" t="s">
        <v>116</v>
      </c>
    </row>
    <row r="130" spans="1:35" ht="12.75" customHeight="1" x14ac:dyDescent="0.2">
      <c r="A130" s="2027">
        <v>130</v>
      </c>
      <c r="B130" s="2019">
        <f>IF(OR(S130=0),0,SUM($S$6:S130))</f>
        <v>0</v>
      </c>
      <c r="C130" s="1103"/>
      <c r="D130" s="521" t="s">
        <v>239</v>
      </c>
      <c r="E130" s="1120"/>
      <c r="F130" s="1096"/>
      <c r="G130" s="1096"/>
      <c r="H130" s="1097"/>
      <c r="I130" s="1095"/>
      <c r="J130" s="1095"/>
      <c r="K130" s="1095"/>
      <c r="L130" s="1095"/>
      <c r="M130" s="1095"/>
      <c r="N130" s="1095"/>
      <c r="O130" s="1095"/>
      <c r="P130" s="1095"/>
      <c r="Q130" s="1095"/>
      <c r="R130" s="1119"/>
      <c r="S130" s="2023">
        <f>S131</f>
        <v>0</v>
      </c>
      <c r="U130" s="1095"/>
      <c r="V130" s="2303"/>
      <c r="W130" s="2303"/>
      <c r="X130" s="2303"/>
      <c r="Y130" s="2303"/>
      <c r="Z130" s="2303"/>
      <c r="AA130" s="2303"/>
      <c r="AB130" s="2303"/>
      <c r="AC130" s="2303"/>
      <c r="AD130" s="2303"/>
      <c r="AE130" s="2303"/>
      <c r="AF130" s="2303">
        <f>IF(ISNUMBER(SEARCH("&gt;",#REF!)),0,COUNTIF(Psíquicos!$AD$16:$AH$61,#REF!))</f>
        <v>0</v>
      </c>
      <c r="AG130" s="1095" t="str">
        <f>IF(AF130=0,"",VLOOKUP(#REF!,Psíquicos!$AD$11:$AK$64,8,FALSE))</f>
        <v/>
      </c>
      <c r="AH130" s="2393"/>
      <c r="AI130" s="2388" t="s">
        <v>239</v>
      </c>
    </row>
    <row r="131" spans="1:35" ht="12.75" customHeight="1" x14ac:dyDescent="0.2">
      <c r="A131" s="2027">
        <v>131</v>
      </c>
      <c r="B131" s="2019">
        <f>IF(OR(S131=0),0,SUM($S$6:S131))</f>
        <v>0</v>
      </c>
      <c r="C131" s="1103"/>
      <c r="D131" s="521" t="s">
        <v>240</v>
      </c>
      <c r="E131" s="1120" t="s">
        <v>2019</v>
      </c>
      <c r="F131" s="1096">
        <v>1</v>
      </c>
      <c r="G131" s="1096" t="s">
        <v>3010</v>
      </c>
      <c r="H131" s="1097" t="s">
        <v>1606</v>
      </c>
      <c r="I131" s="1095" t="s">
        <v>7176</v>
      </c>
      <c r="J131" s="1095" t="s">
        <v>7140</v>
      </c>
      <c r="K131" s="1095" t="s">
        <v>7141</v>
      </c>
      <c r="L131" s="1095" t="s">
        <v>7618</v>
      </c>
      <c r="M131" s="1095" t="s">
        <v>7619</v>
      </c>
      <c r="N131" s="1095" t="s">
        <v>7620</v>
      </c>
      <c r="O131" s="1095" t="s">
        <v>7621</v>
      </c>
      <c r="P131" s="1095" t="s">
        <v>7622</v>
      </c>
      <c r="Q131" s="1095" t="s">
        <v>7623</v>
      </c>
      <c r="R131" s="1095" t="s">
        <v>7624</v>
      </c>
      <c r="S131" s="2021">
        <f>IF(COUNTIF(Psíquicos!$C$25:$E$36,E131)=0,0,1)</f>
        <v>0</v>
      </c>
      <c r="U131" s="1095" t="str">
        <f t="shared" si="14"/>
        <v>DIF</v>
      </c>
      <c r="V131" s="2303"/>
      <c r="W131" s="2303"/>
      <c r="X131" s="2303"/>
      <c r="Y131" s="2303"/>
      <c r="Z131" s="2303"/>
      <c r="AA131" s="2303"/>
      <c r="AB131" s="2303"/>
      <c r="AC131" s="2303"/>
      <c r="AD131" s="2303"/>
      <c r="AE131" s="2303"/>
      <c r="AF131" s="2303">
        <f>IF(ISNUMBER(SEARCH("&gt;",#REF!)),0,COUNTIF(Psíquicos!$AD$16:$AH$61,#REF!))</f>
        <v>0</v>
      </c>
      <c r="AG131" s="1095" t="str">
        <f>IF(AF131=0,"",VLOOKUP(#REF!,Psíquicos!$AD$11:$AK$64,8,FALSE))</f>
        <v/>
      </c>
      <c r="AH131" s="2393"/>
      <c r="AI131" s="2388" t="s">
        <v>240</v>
      </c>
    </row>
    <row r="132" spans="1:35" ht="12.75" customHeight="1" x14ac:dyDescent="0.2">
      <c r="A132" s="2027">
        <v>132</v>
      </c>
      <c r="B132" s="2019">
        <f>IF(OR(S132=0),0,SUM($S$6:S132))</f>
        <v>0</v>
      </c>
      <c r="C132" s="1103"/>
      <c r="D132" s="521" t="s">
        <v>241</v>
      </c>
      <c r="E132" s="1120" t="s">
        <v>2019</v>
      </c>
      <c r="F132" s="1096">
        <v>1</v>
      </c>
      <c r="G132" s="1096" t="s">
        <v>3010</v>
      </c>
      <c r="H132" s="1097" t="s">
        <v>1606</v>
      </c>
      <c r="I132" s="1095" t="s">
        <v>7140</v>
      </c>
      <c r="J132" s="1095" t="s">
        <v>7141</v>
      </c>
      <c r="K132" s="1095" t="s">
        <v>7625</v>
      </c>
      <c r="L132" s="1095" t="s">
        <v>7626</v>
      </c>
      <c r="M132" s="1095" t="s">
        <v>7325</v>
      </c>
      <c r="N132" s="1095" t="s">
        <v>7544</v>
      </c>
      <c r="O132" s="1095" t="s">
        <v>7326</v>
      </c>
      <c r="P132" s="1095" t="s">
        <v>7327</v>
      </c>
      <c r="Q132" s="1095" t="s">
        <v>7445</v>
      </c>
      <c r="R132" s="1095" t="s">
        <v>7328</v>
      </c>
      <c r="S132" s="2021">
        <f>IF(COUNTIF(Psíquicos!$C$25:$E$36,E132)=0,0,1)</f>
        <v>0</v>
      </c>
      <c r="U132" s="1095" t="str">
        <f t="shared" si="14"/>
        <v>MED</v>
      </c>
      <c r="V132" s="2303"/>
      <c r="W132" s="2303"/>
      <c r="X132" s="2303"/>
      <c r="Y132" s="2303"/>
      <c r="Z132" s="2303"/>
      <c r="AA132" s="2303"/>
      <c r="AB132" s="2303"/>
      <c r="AC132" s="2303"/>
      <c r="AD132" s="2303"/>
      <c r="AE132" s="2303"/>
      <c r="AF132" s="2303">
        <f>IF(ISNUMBER(SEARCH("&gt;",#REF!)),0,COUNTIF(Psíquicos!$AD$16:$AH$61,#REF!))</f>
        <v>0</v>
      </c>
      <c r="AG132" s="1095" t="str">
        <f>IF(AF132=0,"",VLOOKUP(#REF!,Psíquicos!$AD$11:$AK$64,8,FALSE))</f>
        <v/>
      </c>
      <c r="AH132" s="2393"/>
      <c r="AI132" s="2388" t="s">
        <v>241</v>
      </c>
    </row>
    <row r="133" spans="1:35" ht="12.75" customHeight="1" x14ac:dyDescent="0.2">
      <c r="A133" s="2027">
        <v>133</v>
      </c>
      <c r="B133" s="2019">
        <f>IF(OR(S133=0),0,SUM($S$6:S133))</f>
        <v>0</v>
      </c>
      <c r="C133" s="1103"/>
      <c r="D133" s="521" t="s">
        <v>242</v>
      </c>
      <c r="E133" s="1120" t="s">
        <v>2019</v>
      </c>
      <c r="F133" s="1096">
        <v>1</v>
      </c>
      <c r="G133" s="1096" t="s">
        <v>1690</v>
      </c>
      <c r="H133" s="1097" t="s">
        <v>1606</v>
      </c>
      <c r="I133" s="1095" t="s">
        <v>7140</v>
      </c>
      <c r="J133" s="1095" t="s">
        <v>7141</v>
      </c>
      <c r="K133" s="1095" t="s">
        <v>7627</v>
      </c>
      <c r="L133" s="1095" t="s">
        <v>7628</v>
      </c>
      <c r="M133" s="1095" t="s">
        <v>7629</v>
      </c>
      <c r="N133" s="1095" t="s">
        <v>7630</v>
      </c>
      <c r="O133" s="1095" t="s">
        <v>7631</v>
      </c>
      <c r="P133" s="1095" t="s">
        <v>7632</v>
      </c>
      <c r="Q133" s="1095" t="s">
        <v>7633</v>
      </c>
      <c r="R133" s="1095" t="s">
        <v>7634</v>
      </c>
      <c r="S133" s="2021">
        <f>IF(COUNTIF(Psíquicos!$C$25:$E$36,E133)=0,0,1)</f>
        <v>0</v>
      </c>
      <c r="U133" s="1095" t="str">
        <f t="shared" si="14"/>
        <v>MED</v>
      </c>
      <c r="V133" s="2303"/>
      <c r="W133" s="2303"/>
      <c r="X133" s="2303"/>
      <c r="Y133" s="2303"/>
      <c r="Z133" s="2303"/>
      <c r="AA133" s="2303"/>
      <c r="AB133" s="2303"/>
      <c r="AC133" s="2303"/>
      <c r="AD133" s="2303"/>
      <c r="AE133" s="2303"/>
      <c r="AF133" s="2303">
        <f>IF(ISNUMBER(SEARCH("&gt;",#REF!)),0,COUNTIF(Psíquicos!$AD$16:$AH$61,#REF!))</f>
        <v>0</v>
      </c>
      <c r="AG133" s="1095" t="str">
        <f>IF(AF133=0,"",VLOOKUP(#REF!,Psíquicos!$AD$11:$AK$64,8,FALSE))</f>
        <v/>
      </c>
      <c r="AH133" s="2393"/>
      <c r="AI133" s="2388" t="s">
        <v>242</v>
      </c>
    </row>
    <row r="134" spans="1:35" ht="12.75" customHeight="1" x14ac:dyDescent="0.2">
      <c r="A134" s="2027">
        <v>134</v>
      </c>
      <c r="B134" s="2019">
        <f>IF(OR(S134=0),0,SUM($S$6:S134))</f>
        <v>0</v>
      </c>
      <c r="C134" s="1103"/>
      <c r="D134" s="521" t="s">
        <v>243</v>
      </c>
      <c r="E134" s="1120" t="s">
        <v>2019</v>
      </c>
      <c r="F134" s="1096">
        <v>2</v>
      </c>
      <c r="G134" s="1096" t="s">
        <v>3010</v>
      </c>
      <c r="H134" s="1097" t="s">
        <v>1607</v>
      </c>
      <c r="I134" s="1095" t="s">
        <v>7177</v>
      </c>
      <c r="J134" s="1095" t="s">
        <v>7176</v>
      </c>
      <c r="K134" s="1095" t="s">
        <v>7140</v>
      </c>
      <c r="L134" s="1095" t="s">
        <v>7141</v>
      </c>
      <c r="M134" s="1095" t="s">
        <v>7213</v>
      </c>
      <c r="N134" s="1095" t="s">
        <v>7339</v>
      </c>
      <c r="O134" s="1095" t="s">
        <v>7215</v>
      </c>
      <c r="P134" s="1095" t="s">
        <v>7635</v>
      </c>
      <c r="Q134" s="1095" t="s">
        <v>7454</v>
      </c>
      <c r="R134" s="1119" t="s">
        <v>7455</v>
      </c>
      <c r="S134" s="2021">
        <f>IF(COUNTIF(Psíquicos!$C$25:$E$36,E134)=0,0,1)</f>
        <v>0</v>
      </c>
      <c r="U134" s="1095" t="str">
        <f t="shared" si="14"/>
        <v>MDF</v>
      </c>
      <c r="V134" s="2303"/>
      <c r="W134" s="2303"/>
      <c r="X134" s="2303"/>
      <c r="Y134" s="2303"/>
      <c r="Z134" s="2303"/>
      <c r="AA134" s="2303"/>
      <c r="AB134" s="2303"/>
      <c r="AC134" s="2303"/>
      <c r="AD134" s="2303"/>
      <c r="AE134" s="2303"/>
      <c r="AF134" s="2303">
        <f>IF(ISNUMBER(SEARCH("&gt;",#REF!)),0,COUNTIF(Psíquicos!$AD$16:$AH$61,#REF!))</f>
        <v>0</v>
      </c>
      <c r="AG134" s="1095" t="str">
        <f>IF(AF134=0,"",VLOOKUP(#REF!,Psíquicos!$AD$11:$AK$64,8,FALSE))</f>
        <v/>
      </c>
      <c r="AH134" s="2393"/>
      <c r="AI134" s="2388" t="s">
        <v>243</v>
      </c>
    </row>
    <row r="135" spans="1:35" ht="12.75" customHeight="1" x14ac:dyDescent="0.2">
      <c r="A135" s="2027">
        <v>135</v>
      </c>
      <c r="B135" s="2019">
        <f>IF(OR(S135=0),0,SUM($S$6:S135))</f>
        <v>0</v>
      </c>
      <c r="C135" s="1103"/>
      <c r="D135" s="521" t="s">
        <v>244</v>
      </c>
      <c r="E135" s="1120" t="s">
        <v>2019</v>
      </c>
      <c r="F135" s="1096">
        <v>2</v>
      </c>
      <c r="G135" s="1096" t="s">
        <v>3010</v>
      </c>
      <c r="H135" s="1097" t="s">
        <v>1606</v>
      </c>
      <c r="I135" s="1095" t="s">
        <v>7178</v>
      </c>
      <c r="J135" s="1095" t="s">
        <v>7177</v>
      </c>
      <c r="K135" s="1095" t="s">
        <v>7176</v>
      </c>
      <c r="L135" s="1095" t="s">
        <v>7140</v>
      </c>
      <c r="M135" s="1095" t="s">
        <v>7141</v>
      </c>
      <c r="N135" s="1095" t="s">
        <v>7636</v>
      </c>
      <c r="O135" s="1095" t="s">
        <v>7637</v>
      </c>
      <c r="P135" s="1095" t="s">
        <v>7638</v>
      </c>
      <c r="Q135" s="1095" t="s">
        <v>7639</v>
      </c>
      <c r="R135" s="1119" t="s">
        <v>7640</v>
      </c>
      <c r="S135" s="2021">
        <f>IF(COUNTIF(Psíquicos!$C$25:$E$36,E135)=0,0,1)</f>
        <v>0</v>
      </c>
      <c r="U135" s="1095" t="str">
        <f t="shared" si="14"/>
        <v>ABS</v>
      </c>
      <c r="V135" s="2303"/>
      <c r="W135" s="2303"/>
      <c r="X135" s="2303"/>
      <c r="Y135" s="2303"/>
      <c r="Z135" s="2303"/>
      <c r="AA135" s="2303"/>
      <c r="AB135" s="2303"/>
      <c r="AC135" s="2303"/>
      <c r="AD135" s="2303"/>
      <c r="AE135" s="2303"/>
      <c r="AF135" s="2303">
        <f>IF(ISNUMBER(SEARCH("&gt;",#REF!)),0,COUNTIF(Psíquicos!$AD$16:$AH$61,#REF!))</f>
        <v>0</v>
      </c>
      <c r="AG135" s="1095" t="str">
        <f>IF(AF135=0,"",VLOOKUP(#REF!,Psíquicos!$AD$11:$AK$64,8,FALSE))</f>
        <v/>
      </c>
      <c r="AH135" s="2393"/>
      <c r="AI135" s="2388" t="s">
        <v>244</v>
      </c>
    </row>
    <row r="136" spans="1:35" ht="12.75" customHeight="1" x14ac:dyDescent="0.2">
      <c r="A136" s="2027">
        <v>136</v>
      </c>
      <c r="B136" s="2019">
        <f>IF(OR(S136=0),0,SUM($S$6:S136))</f>
        <v>0</v>
      </c>
      <c r="C136" s="1103"/>
      <c r="D136" s="521" t="s">
        <v>245</v>
      </c>
      <c r="E136" s="1120" t="s">
        <v>2019</v>
      </c>
      <c r="F136" s="1096">
        <v>3</v>
      </c>
      <c r="G136" s="1096" t="s">
        <v>1690</v>
      </c>
      <c r="H136" s="1097" t="s">
        <v>1606</v>
      </c>
      <c r="I136" s="1095" t="s">
        <v>7192</v>
      </c>
      <c r="J136" s="1095" t="s">
        <v>7191</v>
      </c>
      <c r="K136" s="1095" t="s">
        <v>7178</v>
      </c>
      <c r="L136" s="1095" t="s">
        <v>7177</v>
      </c>
      <c r="M136" s="1095" t="s">
        <v>7176</v>
      </c>
      <c r="N136" s="1095" t="s">
        <v>7641</v>
      </c>
      <c r="O136" s="1095" t="s">
        <v>7642</v>
      </c>
      <c r="P136" s="1095" t="s">
        <v>7643</v>
      </c>
      <c r="Q136" s="1095" t="s">
        <v>7644</v>
      </c>
      <c r="R136" s="1095" t="s">
        <v>7645</v>
      </c>
      <c r="S136" s="2021">
        <f>IF(COUNTIF(Psíquicos!$C$25:$E$36,E136)=0,0,1)</f>
        <v>0</v>
      </c>
      <c r="U136" s="1095" t="str">
        <f t="shared" si="14"/>
        <v>ABS</v>
      </c>
      <c r="V136" s="2303"/>
      <c r="W136" s="2303"/>
      <c r="X136" s="2304"/>
      <c r="Y136" s="2304"/>
      <c r="Z136" s="2304"/>
      <c r="AA136" s="2304"/>
      <c r="AB136" s="2303"/>
      <c r="AC136" s="2303"/>
      <c r="AD136" s="2303"/>
      <c r="AE136" s="2304"/>
      <c r="AF136" s="2303">
        <f>IF(ISNUMBER(SEARCH("&gt;",#REF!)),0,COUNTIF(Psíquicos!$AD$16:$AH$61,#REF!))</f>
        <v>0</v>
      </c>
      <c r="AG136" s="1095" t="str">
        <f>IF(AF136=0,"",VLOOKUP(#REF!,Psíquicos!$AD$11:$AK$64,8,FALSE))</f>
        <v/>
      </c>
      <c r="AH136" s="2393"/>
      <c r="AI136" s="2388" t="s">
        <v>245</v>
      </c>
    </row>
    <row r="137" spans="1:35" ht="12.75" customHeight="1" x14ac:dyDescent="0.2">
      <c r="A137" s="2027">
        <v>137</v>
      </c>
      <c r="B137" s="2019">
        <f>IF(OR(S137=0),0,SUM($S$6:S137))</f>
        <v>0</v>
      </c>
      <c r="C137" s="1103"/>
      <c r="D137" s="521" t="s">
        <v>246</v>
      </c>
      <c r="E137" s="1120"/>
      <c r="F137" s="1096"/>
      <c r="G137" s="1096"/>
      <c r="H137" s="1097"/>
      <c r="I137" s="1095"/>
      <c r="J137" s="1095"/>
      <c r="K137" s="1095"/>
      <c r="L137" s="1095"/>
      <c r="M137" s="1095"/>
      <c r="N137" s="1095"/>
      <c r="O137" s="1095"/>
      <c r="P137" s="1095"/>
      <c r="Q137" s="1095"/>
      <c r="R137" s="1119"/>
      <c r="S137" s="2023">
        <f>S138</f>
        <v>0</v>
      </c>
      <c r="U137" s="1095"/>
      <c r="V137" s="2303"/>
      <c r="W137" s="2303"/>
      <c r="X137" s="2303"/>
      <c r="Y137" s="2303"/>
      <c r="Z137" s="2303"/>
      <c r="AA137" s="2303"/>
      <c r="AB137" s="2303"/>
      <c r="AC137" s="2303"/>
      <c r="AD137" s="2303"/>
      <c r="AE137" s="2303"/>
      <c r="AF137" s="2303">
        <f>IF(ISNUMBER(SEARCH("&gt;",#REF!)),0,COUNTIF(Psíquicos!$AD$16:$AH$61,#REF!))</f>
        <v>0</v>
      </c>
      <c r="AG137" s="1095" t="str">
        <f>IF(AF137=0,"",VLOOKUP(#REF!,Psíquicos!$AD$11:$AK$64,8,FALSE))</f>
        <v/>
      </c>
      <c r="AH137" s="2393"/>
      <c r="AI137" s="2388" t="s">
        <v>246</v>
      </c>
    </row>
    <row r="138" spans="1:35" ht="12.75" customHeight="1" x14ac:dyDescent="0.2">
      <c r="A138" s="2027">
        <v>138</v>
      </c>
      <c r="B138" s="2019">
        <f>IF(OR(S138=0),0,SUM($S$6:S138))</f>
        <v>0</v>
      </c>
      <c r="C138" s="1103"/>
      <c r="D138" s="521" t="s">
        <v>247</v>
      </c>
      <c r="E138" s="1120" t="s">
        <v>117</v>
      </c>
      <c r="F138" s="1096">
        <v>1</v>
      </c>
      <c r="G138" s="1096" t="s">
        <v>3010</v>
      </c>
      <c r="H138" s="1097" t="s">
        <v>1607</v>
      </c>
      <c r="I138" s="1095" t="s">
        <v>7141</v>
      </c>
      <c r="J138" s="1095" t="s">
        <v>7646</v>
      </c>
      <c r="K138" s="1095" t="s">
        <v>7647</v>
      </c>
      <c r="L138" s="1095" t="s">
        <v>7648</v>
      </c>
      <c r="M138" s="1095" t="s">
        <v>7649</v>
      </c>
      <c r="N138" s="1095" t="s">
        <v>7650</v>
      </c>
      <c r="O138" s="1095" t="s">
        <v>7651</v>
      </c>
      <c r="P138" s="1095" t="s">
        <v>7652</v>
      </c>
      <c r="Q138" s="1095" t="s">
        <v>7653</v>
      </c>
      <c r="R138" s="1095" t="s">
        <v>7654</v>
      </c>
      <c r="S138" s="2021">
        <f>IF(COUNTIF(Psíquicos!$C$25:$E$36,E138)=0,0,1)</f>
        <v>0</v>
      </c>
      <c r="U138" s="1095" t="str">
        <f t="shared" ref="U138:U145" si="15">INDEX($I$6:$R$6,SUMPRODUCT(ISNUMBER(SEARCH("Fatiga",I138:R138))*1)+1)</f>
        <v>FAC</v>
      </c>
      <c r="V138" s="2303"/>
      <c r="W138" s="2303"/>
      <c r="X138" s="2303"/>
      <c r="Y138" s="2303"/>
      <c r="Z138" s="2303"/>
      <c r="AA138" s="2303"/>
      <c r="AB138" s="2303"/>
      <c r="AC138" s="2303"/>
      <c r="AD138" s="2303"/>
      <c r="AE138" s="2303"/>
      <c r="AF138" s="2303">
        <f>IF(ISNUMBER(SEARCH("&gt;",#REF!)),0,COUNTIF(Psíquicos!$AD$16:$AH$61,#REF!))</f>
        <v>0</v>
      </c>
      <c r="AG138" s="1095" t="str">
        <f>IF(AF138=0,"",VLOOKUP(#REF!,Psíquicos!$AD$11:$AK$64,8,FALSE))</f>
        <v/>
      </c>
      <c r="AH138" s="2393"/>
      <c r="AI138" s="2388" t="s">
        <v>247</v>
      </c>
    </row>
    <row r="139" spans="1:35" ht="12.75" customHeight="1" x14ac:dyDescent="0.2">
      <c r="A139" s="2027">
        <v>139</v>
      </c>
      <c r="B139" s="2019">
        <f>IF(OR(S139=0),0,SUM($S$6:S139))</f>
        <v>0</v>
      </c>
      <c r="C139" s="1103"/>
      <c r="D139" s="521" t="s">
        <v>248</v>
      </c>
      <c r="E139" s="1120" t="s">
        <v>117</v>
      </c>
      <c r="F139" s="1096">
        <v>2</v>
      </c>
      <c r="G139" s="1096" t="s">
        <v>3010</v>
      </c>
      <c r="H139" s="1097" t="s">
        <v>1606</v>
      </c>
      <c r="I139" s="1095" t="s">
        <v>7176</v>
      </c>
      <c r="J139" s="1095" t="s">
        <v>7140</v>
      </c>
      <c r="K139" s="1095" t="s">
        <v>7593</v>
      </c>
      <c r="L139" s="1095" t="s">
        <v>7594</v>
      </c>
      <c r="M139" s="1095" t="s">
        <v>7193</v>
      </c>
      <c r="N139" s="1095" t="s">
        <v>7595</v>
      </c>
      <c r="O139" s="1095" t="s">
        <v>7523</v>
      </c>
      <c r="P139" s="1095" t="s">
        <v>7150</v>
      </c>
      <c r="Q139" s="1095" t="s">
        <v>7596</v>
      </c>
      <c r="R139" s="1119" t="s">
        <v>7151</v>
      </c>
      <c r="S139" s="2021">
        <f>IF(COUNTIF(Psíquicos!$C$25:$E$36,E139)=0,0,1)</f>
        <v>0</v>
      </c>
      <c r="U139" s="1095" t="str">
        <f t="shared" si="15"/>
        <v>MED</v>
      </c>
      <c r="V139" s="2303"/>
      <c r="W139" s="2303"/>
      <c r="X139" s="2303"/>
      <c r="Y139" s="2303"/>
      <c r="Z139" s="2303"/>
      <c r="AA139" s="2303"/>
      <c r="AB139" s="2303"/>
      <c r="AC139" s="2303"/>
      <c r="AD139" s="2303"/>
      <c r="AE139" s="2303"/>
      <c r="AF139" s="2303">
        <f>IF(ISNUMBER(SEARCH("&gt;",#REF!)),0,COUNTIF(Psíquicos!$AD$16:$AH$61,#REF!))</f>
        <v>0</v>
      </c>
      <c r="AG139" s="1095" t="str">
        <f>IF(AF139=0,"",VLOOKUP(#REF!,Psíquicos!$AD$11:$AK$64,8,FALSE))</f>
        <v/>
      </c>
      <c r="AH139" s="2393"/>
      <c r="AI139" s="2388" t="s">
        <v>248</v>
      </c>
    </row>
    <row r="140" spans="1:35" ht="12.75" customHeight="1" x14ac:dyDescent="0.2">
      <c r="A140" s="2027">
        <v>140</v>
      </c>
      <c r="B140" s="2019">
        <f>IF(OR(S140=0),0,SUM($S$6:S140))</f>
        <v>0</v>
      </c>
      <c r="C140" s="1103"/>
      <c r="D140" s="521" t="s">
        <v>249</v>
      </c>
      <c r="E140" s="1120" t="s">
        <v>117</v>
      </c>
      <c r="F140" s="1096">
        <v>3</v>
      </c>
      <c r="G140" s="1096" t="s">
        <v>3010</v>
      </c>
      <c r="H140" s="1097" t="s">
        <v>1606</v>
      </c>
      <c r="I140" s="1095" t="s">
        <v>7191</v>
      </c>
      <c r="J140" s="1095" t="s">
        <v>7576</v>
      </c>
      <c r="K140" s="1095" t="s">
        <v>7178</v>
      </c>
      <c r="L140" s="1095" t="s">
        <v>7177</v>
      </c>
      <c r="M140" s="1095" t="s">
        <v>7176</v>
      </c>
      <c r="N140" s="1095" t="s">
        <v>7655</v>
      </c>
      <c r="O140" s="1095" t="s">
        <v>252</v>
      </c>
      <c r="P140" s="1095" t="s">
        <v>7656</v>
      </c>
      <c r="Q140" s="1095" t="s">
        <v>7657</v>
      </c>
      <c r="R140" s="1119" t="s">
        <v>7658</v>
      </c>
      <c r="S140" s="2021">
        <f>IF(COUNTIF(Psíquicos!$C$25:$E$36,E140)=0,0,1)</f>
        <v>0</v>
      </c>
      <c r="U140" s="1095" t="str">
        <f t="shared" si="15"/>
        <v>ABS</v>
      </c>
      <c r="V140" s="2303"/>
      <c r="W140" s="2303"/>
      <c r="X140" s="2303"/>
      <c r="Y140" s="2303"/>
      <c r="Z140" s="2303"/>
      <c r="AA140" s="2303"/>
      <c r="AB140" s="2303"/>
      <c r="AC140" s="2303"/>
      <c r="AD140" s="2303"/>
      <c r="AE140" s="2303"/>
      <c r="AF140" s="2303">
        <f>IF(ISNUMBER(SEARCH("&gt;",#REF!)),0,COUNTIF(Psíquicos!$AD$16:$AH$61,#REF!))</f>
        <v>0</v>
      </c>
      <c r="AG140" s="1095" t="str">
        <f>IF(AF140=0,"",VLOOKUP(#REF!,Psíquicos!$AD$11:$AK$64,8,FALSE))</f>
        <v/>
      </c>
      <c r="AH140" s="2393"/>
      <c r="AI140" s="2388" t="s">
        <v>249</v>
      </c>
    </row>
    <row r="141" spans="1:35" ht="12.75" customHeight="1" x14ac:dyDescent="0.2">
      <c r="A141" s="2027">
        <v>141</v>
      </c>
      <c r="B141" s="2019">
        <f>IF(OR(S141=0),0,SUM($S$6:S141))</f>
        <v>1</v>
      </c>
      <c r="C141" s="1103"/>
      <c r="D141" s="521" t="s">
        <v>250</v>
      </c>
      <c r="E141" s="1095"/>
      <c r="F141" s="1096"/>
      <c r="G141" s="1096"/>
      <c r="H141" s="1097"/>
      <c r="I141" s="1095"/>
      <c r="J141" s="1095"/>
      <c r="K141" s="1095"/>
      <c r="L141" s="1095"/>
      <c r="M141" s="1095"/>
      <c r="N141" s="1095"/>
      <c r="O141" s="1095"/>
      <c r="P141" s="1095"/>
      <c r="Q141" s="1095"/>
      <c r="R141" s="1119"/>
      <c r="S141" s="2023">
        <f>S142</f>
        <v>1</v>
      </c>
      <c r="U141" s="1095"/>
      <c r="V141" s="2303"/>
      <c r="W141" s="2303"/>
      <c r="X141" s="2303"/>
      <c r="Y141" s="2303"/>
      <c r="Z141" s="2303"/>
      <c r="AA141" s="2303"/>
      <c r="AB141" s="2303"/>
      <c r="AC141" s="2303"/>
      <c r="AD141" s="2303"/>
      <c r="AE141" s="2303"/>
      <c r="AF141" s="2303">
        <f>IF(ISNUMBER(SEARCH("&gt;",#REF!)),0,COUNTIF(Psíquicos!$AD$16:$AH$61,#REF!))</f>
        <v>0</v>
      </c>
      <c r="AG141" s="1095" t="str">
        <f>IF(AF141=0,"",VLOOKUP(#REF!,Psíquicos!$AD$11:$AK$64,8,FALSE))</f>
        <v/>
      </c>
      <c r="AH141" s="2393"/>
      <c r="AI141" s="2388" t="s">
        <v>250</v>
      </c>
    </row>
    <row r="142" spans="1:35" ht="12.75" customHeight="1" x14ac:dyDescent="0.2">
      <c r="A142" s="2027">
        <v>142</v>
      </c>
      <c r="B142" s="2019">
        <f>IF(OR(S142=0),0,SUM($S$6:S142))</f>
        <v>2</v>
      </c>
      <c r="C142" s="1103"/>
      <c r="D142" s="521" t="s">
        <v>251</v>
      </c>
      <c r="E142" s="1095" t="s">
        <v>7659</v>
      </c>
      <c r="F142" s="1096" t="s">
        <v>1766</v>
      </c>
      <c r="G142" s="1096" t="s">
        <v>3010</v>
      </c>
      <c r="H142" s="1097" t="s">
        <v>1606</v>
      </c>
      <c r="I142" s="1095" t="s">
        <v>7177</v>
      </c>
      <c r="J142" s="1095" t="s">
        <v>7176</v>
      </c>
      <c r="K142" s="1095" t="s">
        <v>7140</v>
      </c>
      <c r="L142" s="1095" t="s">
        <v>7660</v>
      </c>
      <c r="M142" s="1095" t="s">
        <v>7661</v>
      </c>
      <c r="N142" s="1095" t="s">
        <v>7440</v>
      </c>
      <c r="O142" s="1095" t="s">
        <v>7441</v>
      </c>
      <c r="P142" s="1095" t="s">
        <v>7442</v>
      </c>
      <c r="Q142" s="1095" t="s">
        <v>7443</v>
      </c>
      <c r="R142" s="1119" t="s">
        <v>7444</v>
      </c>
      <c r="S142" s="2021">
        <v>1</v>
      </c>
      <c r="U142" s="1095" t="str">
        <f t="shared" si="15"/>
        <v>DIF</v>
      </c>
      <c r="V142" s="2303"/>
      <c r="W142" s="2303"/>
      <c r="X142" s="2303"/>
      <c r="Y142" s="2303"/>
      <c r="Z142" s="2303"/>
      <c r="AA142" s="2303"/>
      <c r="AB142" s="2303"/>
      <c r="AC142" s="2303"/>
      <c r="AD142" s="2303"/>
      <c r="AE142" s="2303"/>
      <c r="AF142" s="2303">
        <f>IF(ISNUMBER(SEARCH("&gt;",#REF!)),0,COUNTIF(Psíquicos!$AD$16:$AH$61,#REF!))</f>
        <v>0</v>
      </c>
      <c r="AG142" s="1095" t="str">
        <f>IF(AF142=0,"",VLOOKUP(#REF!,Psíquicos!$AD$11:$AK$64,8,FALSE))</f>
        <v/>
      </c>
      <c r="AH142" s="2393"/>
      <c r="AI142" s="2388" t="s">
        <v>251</v>
      </c>
    </row>
    <row r="143" spans="1:35" ht="12.75" customHeight="1" x14ac:dyDescent="0.2">
      <c r="A143" s="2027">
        <v>143</v>
      </c>
      <c r="B143" s="2019">
        <f>IF(OR(S143=0),0,SUM($S$6:S143))</f>
        <v>3</v>
      </c>
      <c r="C143" s="1103"/>
      <c r="D143" s="521" t="s">
        <v>252</v>
      </c>
      <c r="E143" s="1095" t="s">
        <v>7659</v>
      </c>
      <c r="F143" s="1096" t="s">
        <v>1766</v>
      </c>
      <c r="G143" s="1096" t="s">
        <v>3010</v>
      </c>
      <c r="H143" s="1097" t="s">
        <v>1606</v>
      </c>
      <c r="I143" s="1095" t="s">
        <v>7141</v>
      </c>
      <c r="J143" s="1095" t="s">
        <v>7662</v>
      </c>
      <c r="K143" s="1095" t="s">
        <v>7663</v>
      </c>
      <c r="L143" s="1095" t="s">
        <v>7664</v>
      </c>
      <c r="M143" s="1095" t="s">
        <v>7150</v>
      </c>
      <c r="N143" s="1095" t="s">
        <v>7665</v>
      </c>
      <c r="O143" s="1095" t="s">
        <v>7666</v>
      </c>
      <c r="P143" s="1095" t="s">
        <v>7667</v>
      </c>
      <c r="Q143" s="1095" t="s">
        <v>7668</v>
      </c>
      <c r="R143" s="1119" t="s">
        <v>7669</v>
      </c>
      <c r="S143" s="2021">
        <v>1</v>
      </c>
      <c r="U143" s="1095" t="str">
        <f t="shared" si="15"/>
        <v>FAC</v>
      </c>
      <c r="V143" s="2303"/>
      <c r="W143" s="2303"/>
      <c r="X143" s="2303"/>
      <c r="Y143" s="2303"/>
      <c r="Z143" s="2303"/>
      <c r="AA143" s="2303"/>
      <c r="AB143" s="2303"/>
      <c r="AC143" s="2303"/>
      <c r="AD143" s="2303"/>
      <c r="AE143" s="2303"/>
      <c r="AF143" s="2303">
        <f>IF(ISNUMBER(SEARCH("&gt;",#REF!)),0,COUNTIF(Psíquicos!$AD$16:$AH$61,#REF!))</f>
        <v>0</v>
      </c>
      <c r="AG143" s="1095" t="str">
        <f>IF(AF143=0,"",VLOOKUP(#REF!,Psíquicos!$AD$11:$AK$64,8,FALSE))</f>
        <v/>
      </c>
      <c r="AH143" s="2393"/>
      <c r="AI143" s="2388" t="s">
        <v>252</v>
      </c>
    </row>
    <row r="144" spans="1:35" ht="12.75" customHeight="1" x14ac:dyDescent="0.2">
      <c r="A144" s="2027">
        <v>144</v>
      </c>
      <c r="B144" s="2019">
        <f>IF(OR(S144=0),0,SUM($S$6:S144))</f>
        <v>4</v>
      </c>
      <c r="C144" s="1103"/>
      <c r="D144" s="521" t="s">
        <v>253</v>
      </c>
      <c r="E144" s="1095" t="s">
        <v>7659</v>
      </c>
      <c r="F144" s="1096" t="s">
        <v>1766</v>
      </c>
      <c r="G144" s="1096" t="s">
        <v>3010</v>
      </c>
      <c r="H144" s="1097" t="s">
        <v>1607</v>
      </c>
      <c r="I144" s="1095" t="s">
        <v>7140</v>
      </c>
      <c r="J144" s="1095" t="s">
        <v>7141</v>
      </c>
      <c r="K144" s="1095" t="s">
        <v>7670</v>
      </c>
      <c r="L144" s="1095" t="s">
        <v>7671</v>
      </c>
      <c r="M144" s="1095" t="s">
        <v>7672</v>
      </c>
      <c r="N144" s="1095" t="s">
        <v>7673</v>
      </c>
      <c r="O144" s="1095" t="s">
        <v>7674</v>
      </c>
      <c r="P144" s="1095" t="s">
        <v>7675</v>
      </c>
      <c r="Q144" s="1095" t="s">
        <v>7676</v>
      </c>
      <c r="R144" s="1119" t="s">
        <v>7677</v>
      </c>
      <c r="S144" s="2021">
        <v>1</v>
      </c>
      <c r="U144" s="1095" t="str">
        <f t="shared" si="15"/>
        <v>MED</v>
      </c>
      <c r="V144" s="2303"/>
      <c r="W144" s="2303"/>
      <c r="X144" s="2303"/>
      <c r="Y144" s="2303"/>
      <c r="Z144" s="2303"/>
      <c r="AA144" s="2303"/>
      <c r="AB144" s="2303"/>
      <c r="AC144" s="2303"/>
      <c r="AD144" s="2303"/>
      <c r="AE144" s="2303"/>
      <c r="AF144" s="2303">
        <f>IF(ISNUMBER(SEARCH("&gt;",#REF!)),0,COUNTIF(Psíquicos!$AD$16:$AH$61,#REF!))</f>
        <v>0</v>
      </c>
      <c r="AG144" s="1095" t="str">
        <f>IF(AF144=0,"",VLOOKUP(#REF!,Psíquicos!$AD$11:$AK$64,8,FALSE))</f>
        <v/>
      </c>
      <c r="AH144" s="2393"/>
      <c r="AI144" s="2388" t="s">
        <v>253</v>
      </c>
    </row>
    <row r="145" spans="1:35" ht="12.75" customHeight="1" thickBot="1" x14ac:dyDescent="0.25">
      <c r="A145" s="2027">
        <v>145</v>
      </c>
      <c r="B145" s="2020">
        <f>IF(OR(S145=0),0,SUM($S$6:S145))</f>
        <v>5</v>
      </c>
      <c r="C145" s="1111"/>
      <c r="D145" s="524" t="s">
        <v>254</v>
      </c>
      <c r="E145" s="1121" t="s">
        <v>7659</v>
      </c>
      <c r="F145" s="1122" t="s">
        <v>1766</v>
      </c>
      <c r="G145" s="1122" t="s">
        <v>3010</v>
      </c>
      <c r="H145" s="1123" t="s">
        <v>1606</v>
      </c>
      <c r="I145" s="1121" t="s">
        <v>7177</v>
      </c>
      <c r="J145" s="1121" t="s">
        <v>7176</v>
      </c>
      <c r="K145" s="1121" t="s">
        <v>7140</v>
      </c>
      <c r="L145" s="1121" t="s">
        <v>7678</v>
      </c>
      <c r="M145" s="1121" t="s">
        <v>7679</v>
      </c>
      <c r="N145" s="1121" t="s">
        <v>7680</v>
      </c>
      <c r="O145" s="1121" t="s">
        <v>7681</v>
      </c>
      <c r="P145" s="1121" t="s">
        <v>7682</v>
      </c>
      <c r="Q145" s="1121" t="s">
        <v>7683</v>
      </c>
      <c r="R145" s="1124" t="s">
        <v>7684</v>
      </c>
      <c r="S145" s="2022">
        <v>1</v>
      </c>
      <c r="U145" s="1095" t="str">
        <f t="shared" si="15"/>
        <v>DIF</v>
      </c>
      <c r="V145" s="2303"/>
      <c r="W145" s="2303"/>
      <c r="X145" s="2303"/>
      <c r="Y145" s="2303"/>
      <c r="Z145" s="2303"/>
      <c r="AA145" s="2303"/>
      <c r="AB145" s="2303"/>
      <c r="AC145" s="2303"/>
      <c r="AD145" s="2303"/>
      <c r="AE145" s="2303"/>
      <c r="AF145" s="2303">
        <f>IF(ISNUMBER(SEARCH("&gt;",#REF!)),0,COUNTIF(Psíquicos!$AD$16:$AH$61,#REF!))</f>
        <v>0</v>
      </c>
      <c r="AG145" s="1095" t="str">
        <f>IF(AF145=0,"",VLOOKUP(#REF!,Psíquicos!$AD$11:$AK$64,8,FALSE))</f>
        <v/>
      </c>
      <c r="AH145" s="2394"/>
      <c r="AI145" s="2389" t="s">
        <v>254</v>
      </c>
    </row>
    <row r="146" spans="1:35" ht="12.75" customHeight="1" x14ac:dyDescent="0.2">
      <c r="A146" s="2027">
        <v>146</v>
      </c>
      <c r="AH146" s="2385"/>
    </row>
    <row r="147" spans="1:35" ht="12.75" customHeight="1" x14ac:dyDescent="0.2">
      <c r="A147" s="2027">
        <v>147</v>
      </c>
      <c r="AH147" s="2385"/>
    </row>
    <row r="148" spans="1:35" ht="12.75" customHeight="1" x14ac:dyDescent="0.2">
      <c r="A148" s="2027">
        <v>148</v>
      </c>
      <c r="C148" s="5443" t="s">
        <v>8783</v>
      </c>
      <c r="D148" s="5444"/>
      <c r="G148" s="5443" t="s">
        <v>8783</v>
      </c>
      <c r="H148" s="5444"/>
    </row>
    <row r="149" spans="1:35" ht="12.75" customHeight="1" thickBot="1" x14ac:dyDescent="0.25">
      <c r="A149" s="2027">
        <v>149</v>
      </c>
      <c r="C149" s="5445" t="e">
        <f>Poderes_Psi_Disponibles</f>
        <v>#VALUE!</v>
      </c>
      <c r="D149" s="5445"/>
      <c r="G149" s="5445" t="str">
        <f>'Tablas psiquica'!$H$153:INDEX('Tablas psiquica'!$H$153:$H$291,SUMPRODUCT(--('Tablas psiquica'!$H$153:$H$291&lt;&gt;"")))</f>
        <v>&gt; PODERES MATRICIALES</v>
      </c>
      <c r="H149" s="5445"/>
    </row>
    <row r="150" spans="1:35" ht="12.75" customHeight="1" thickBot="1" x14ac:dyDescent="0.25">
      <c r="A150" s="2027">
        <v>150</v>
      </c>
      <c r="C150" s="4382" t="s">
        <v>8541</v>
      </c>
      <c r="D150" s="4384"/>
      <c r="G150" s="4382" t="s">
        <v>8781</v>
      </c>
      <c r="H150" s="4384"/>
    </row>
    <row r="151" spans="1:35" ht="12.75" customHeight="1" x14ac:dyDescent="0.2">
      <c r="A151" s="2027">
        <v>151</v>
      </c>
      <c r="C151" s="4385"/>
      <c r="D151" s="4387"/>
      <c r="F151" s="5441" t="s">
        <v>8782</v>
      </c>
      <c r="G151" s="4385"/>
      <c r="H151" s="4387"/>
    </row>
    <row r="152" spans="1:35" ht="12.75" customHeight="1" thickBot="1" x14ac:dyDescent="0.25">
      <c r="A152" s="2027">
        <v>152</v>
      </c>
      <c r="C152" s="4385"/>
      <c r="D152" s="4387"/>
      <c r="F152" s="5442"/>
      <c r="G152" s="4385"/>
      <c r="H152" s="4387"/>
    </row>
    <row r="153" spans="1:35" ht="12.75" customHeight="1" x14ac:dyDescent="0.2">
      <c r="A153" s="2027">
        <v>153</v>
      </c>
      <c r="C153" s="1103"/>
      <c r="D153" s="2024" t="str">
        <f>IF(ISNA(VLOOKUP(A1,$B$7:$D$145,3,FALSE)),"",VLOOKUP(A1,$B$7:$D$145,3,FALSE))</f>
        <v>&gt; PODERES MATRICIALES</v>
      </c>
      <c r="F153" s="2019">
        <f>IF(D153="",0,IF(OR(ISNUMBER(SEARCH("&gt;",D153)),AND(COUNTIF(Psíquicos!$V$11:$Z$64,D153)&gt;0,VLOOKUP(D153,Tabla_PoderesPsi,4,FALSE)&lt;&gt;"No")),MAX($F$152:$F152)+1,0))</f>
        <v>1</v>
      </c>
      <c r="G153" s="1103"/>
      <c r="H153" s="3011" t="str">
        <f>IF(Tablas!$A1&gt;MAX($F$153:$F$291),"",INDEX(Poderes_Psi_Disponibles,MATCH(Tablas!$A1,$F$153:$F$291,0)))</f>
        <v>&gt; PODERES MATRICIALES</v>
      </c>
    </row>
    <row r="154" spans="1:35" ht="12.75" customHeight="1" x14ac:dyDescent="0.2">
      <c r="A154" s="2027">
        <v>154</v>
      </c>
      <c r="C154" s="1103"/>
      <c r="D154" s="2024" t="str">
        <f t="shared" ref="D154:D184" si="16">IF(ISNA(VLOOKUP(A2,$B$7:$D$145,3,FALSE)),"",VLOOKUP(A2,$B$7:$D$145,3,FALSE))</f>
        <v>Destruir matrices</v>
      </c>
      <c r="F154" s="2019">
        <f>IF(D154="",0,IF(OR(ISNUMBER(SEARCH("&gt;",D154)),AND(COUNTIF(Psíquicos!$V$11:$Z$64,D154)&gt;0,VLOOKUP(D154,Tabla_PoderesPsi,4,FALSE)&lt;&gt;"No")),MAX($F$152:$F153)+1,0))</f>
        <v>0</v>
      </c>
      <c r="G154" s="1103"/>
      <c r="H154" s="3011" t="str">
        <f>IF(Tablas!$A2&gt;MAX($F$153:$F$291),"",INDEX(Poderes_Psi_Disponibles,MATCH(Tablas!$A2,$F$153:$F$291,0)))</f>
        <v/>
      </c>
    </row>
    <row r="155" spans="1:35" ht="12.75" customHeight="1" x14ac:dyDescent="0.2">
      <c r="A155" s="2027">
        <v>155</v>
      </c>
      <c r="C155" s="1103"/>
      <c r="D155" s="2024" t="str">
        <f t="shared" si="16"/>
        <v>Sentir matrices</v>
      </c>
      <c r="F155" s="2019">
        <f>IF(D155="",0,IF(OR(ISNUMBER(SEARCH("&gt;",D155)),AND(COUNTIF(Psíquicos!$V$11:$Z$64,D155)&gt;0,VLOOKUP(D155,Tabla_PoderesPsi,4,FALSE)&lt;&gt;"No")),MAX($F$152:$F154)+1,0))</f>
        <v>0</v>
      </c>
      <c r="G155" s="1103"/>
      <c r="H155" s="3011" t="str">
        <f>IF(Tablas!$A3&gt;MAX($F$153:$F$291),"",INDEX(Poderes_Psi_Disponibles,MATCH(Tablas!$A3,$F$153:$F$291,0)))</f>
        <v/>
      </c>
    </row>
    <row r="156" spans="1:35" ht="12.75" customHeight="1" x14ac:dyDescent="0.2">
      <c r="A156" s="2027">
        <v>156</v>
      </c>
      <c r="C156" s="1103"/>
      <c r="D156" s="2024" t="str">
        <f t="shared" si="16"/>
        <v>Ocultar matrices</v>
      </c>
      <c r="F156" s="2019">
        <f>IF(D156="",0,IF(OR(ISNUMBER(SEARCH("&gt;",D156)),AND(COUNTIF(Psíquicos!$V$11:$Z$64,D156)&gt;0,VLOOKUP(D156,Tabla_PoderesPsi,4,FALSE)&lt;&gt;"No")),MAX($F$152:$F155)+1,0))</f>
        <v>0</v>
      </c>
      <c r="G156" s="1103"/>
      <c r="H156" s="3011" t="str">
        <f>IF(Tablas!$A4&gt;MAX($F$153:$F$291),"",INDEX(Poderes_Psi_Disponibles,MATCH(Tablas!$A4,$F$153:$F$291,0)))</f>
        <v/>
      </c>
    </row>
    <row r="157" spans="1:35" ht="12.75" customHeight="1" x14ac:dyDescent="0.2">
      <c r="A157" s="2027">
        <v>157</v>
      </c>
      <c r="C157" s="1103"/>
      <c r="D157" s="2024" t="str">
        <f t="shared" si="16"/>
        <v>Conectar matrices</v>
      </c>
      <c r="F157" s="2019">
        <f>IF(D157="",0,IF(OR(ISNUMBER(SEARCH("&gt;",D157)),AND(COUNTIF(Psíquicos!$V$11:$Z$64,D157)&gt;0,VLOOKUP(D157,Tabla_PoderesPsi,4,FALSE)&lt;&gt;"No")),MAX($F$152:$F156)+1,0))</f>
        <v>0</v>
      </c>
      <c r="G157" s="1103"/>
      <c r="H157" s="3011" t="str">
        <f>IF(Tablas!$A5&gt;MAX($F$153:$F$291),"",INDEX(Poderes_Psi_Disponibles,MATCH(Tablas!$A5,$F$153:$F$291,0)))</f>
        <v/>
      </c>
    </row>
    <row r="158" spans="1:35" ht="12.75" customHeight="1" x14ac:dyDescent="0.2">
      <c r="A158" s="2027">
        <v>158</v>
      </c>
      <c r="C158" s="1103"/>
      <c r="D158" s="2024" t="str">
        <f t="shared" si="16"/>
        <v/>
      </c>
      <c r="F158" s="2019">
        <f>IF(D158="",0,IF(OR(ISNUMBER(SEARCH("&gt;",D158)),AND(COUNTIF(Psíquicos!$V$11:$Z$64,D158)&gt;0,VLOOKUP(D158,Tabla_PoderesPsi,4,FALSE)&lt;&gt;"No")),MAX($F$152:$F157)+1,0))</f>
        <v>0</v>
      </c>
      <c r="G158" s="1103"/>
      <c r="H158" s="3011" t="str">
        <f>IF(Tablas!$A6&gt;MAX($F$153:$F$291),"",INDEX(Poderes_Psi_Disponibles,MATCH(Tablas!$A6,$F$153:$F$291,0)))</f>
        <v/>
      </c>
    </row>
    <row r="159" spans="1:35" ht="12.75" customHeight="1" x14ac:dyDescent="0.2">
      <c r="A159" s="2027">
        <v>159</v>
      </c>
      <c r="C159" s="1103"/>
      <c r="D159" s="2024" t="str">
        <f t="shared" si="16"/>
        <v/>
      </c>
      <c r="F159" s="2019">
        <f>IF(D159="",0,IF(OR(ISNUMBER(SEARCH("&gt;",D159)),AND(COUNTIF(Psíquicos!$V$11:$Z$64,D159)&gt;0,VLOOKUP(D159,Tabla_PoderesPsi,4,FALSE)&lt;&gt;"No")),MAX($F$152:$F158)+1,0))</f>
        <v>0</v>
      </c>
      <c r="G159" s="1103"/>
      <c r="H159" s="3011" t="str">
        <f>IF(Tablas!$A7&gt;MAX($F$153:$F$291),"",INDEX(Poderes_Psi_Disponibles,MATCH(Tablas!$A7,$F$153:$F$291,0)))</f>
        <v/>
      </c>
    </row>
    <row r="160" spans="1:35" ht="12.75" customHeight="1" x14ac:dyDescent="0.2">
      <c r="A160" s="2027">
        <v>160</v>
      </c>
      <c r="C160" s="1103"/>
      <c r="D160" s="2024" t="str">
        <f t="shared" si="16"/>
        <v/>
      </c>
      <c r="F160" s="2019">
        <f>IF(D160="",0,IF(OR(ISNUMBER(SEARCH("&gt;",D160)),AND(COUNTIF(Psíquicos!$V$11:$Z$64,D160)&gt;0,VLOOKUP(D160,Tabla_PoderesPsi,4,FALSE)&lt;&gt;"No")),MAX($F$152:$F159)+1,0))</f>
        <v>0</v>
      </c>
      <c r="G160" s="1103"/>
      <c r="H160" s="3011" t="str">
        <f>IF(Tablas!$A8&gt;MAX($F$153:$F$291),"",INDEX(Poderes_Psi_Disponibles,MATCH(Tablas!$A8,$F$153:$F$291,0)))</f>
        <v/>
      </c>
    </row>
    <row r="161" spans="1:8" ht="12.75" customHeight="1" x14ac:dyDescent="0.2">
      <c r="A161" s="2027">
        <v>161</v>
      </c>
      <c r="C161" s="1103"/>
      <c r="D161" s="2024" t="str">
        <f t="shared" si="16"/>
        <v/>
      </c>
      <c r="F161" s="2019">
        <f>IF(D161="",0,IF(OR(ISNUMBER(SEARCH("&gt;",D161)),AND(COUNTIF(Psíquicos!$V$11:$Z$64,D161)&gt;0,VLOOKUP(D161,Tabla_PoderesPsi,4,FALSE)&lt;&gt;"No")),MAX($F$152:$F160)+1,0))</f>
        <v>0</v>
      </c>
      <c r="G161" s="1103"/>
      <c r="H161" s="3011" t="str">
        <f>IF(Tablas!$A9&gt;MAX($F$153:$F$291),"",INDEX(Poderes_Psi_Disponibles,MATCH(Tablas!$A9,$F$153:$F$291,0)))</f>
        <v/>
      </c>
    </row>
    <row r="162" spans="1:8" ht="12.75" customHeight="1" x14ac:dyDescent="0.2">
      <c r="A162" s="2027">
        <v>162</v>
      </c>
      <c r="C162" s="1103"/>
      <c r="D162" s="2024" t="str">
        <f t="shared" si="16"/>
        <v/>
      </c>
      <c r="F162" s="2019">
        <f>IF(D162="",0,IF(OR(ISNUMBER(SEARCH("&gt;",D162)),AND(COUNTIF(Psíquicos!$V$11:$Z$64,D162)&gt;0,VLOOKUP(D162,Tabla_PoderesPsi,4,FALSE)&lt;&gt;"No")),MAX($F$152:$F161)+1,0))</f>
        <v>0</v>
      </c>
      <c r="G162" s="1103"/>
      <c r="H162" s="3011" t="str">
        <f>IF(Tablas!$A10&gt;MAX($F$153:$F$291),"",INDEX(Poderes_Psi_Disponibles,MATCH(Tablas!$A10,$F$153:$F$291,0)))</f>
        <v/>
      </c>
    </row>
    <row r="163" spans="1:8" ht="12.75" customHeight="1" x14ac:dyDescent="0.2">
      <c r="A163" s="2027">
        <v>163</v>
      </c>
      <c r="C163" s="1103"/>
      <c r="D163" s="2024" t="str">
        <f t="shared" si="16"/>
        <v/>
      </c>
      <c r="F163" s="2019">
        <f>IF(D163="",0,IF(OR(ISNUMBER(SEARCH("&gt;",D163)),AND(COUNTIF(Psíquicos!$V$11:$Z$64,D163)&gt;0,VLOOKUP(D163,Tabla_PoderesPsi,4,FALSE)&lt;&gt;"No")),MAX($F$152:$F162)+1,0))</f>
        <v>0</v>
      </c>
      <c r="G163" s="1103"/>
      <c r="H163" s="3011" t="str">
        <f>IF(Tablas!$A11&gt;MAX($F$153:$F$291),"",INDEX(Poderes_Psi_Disponibles,MATCH(Tablas!$A11,$F$153:$F$291,0)))</f>
        <v/>
      </c>
    </row>
    <row r="164" spans="1:8" ht="12.75" customHeight="1" x14ac:dyDescent="0.2">
      <c r="A164" s="2027">
        <v>164</v>
      </c>
      <c r="C164" s="1103"/>
      <c r="D164" s="2024" t="str">
        <f t="shared" si="16"/>
        <v/>
      </c>
      <c r="F164" s="2019">
        <f>IF(D164="",0,IF(OR(ISNUMBER(SEARCH("&gt;",D164)),AND(COUNTIF(Psíquicos!$V$11:$Z$64,D164)&gt;0,VLOOKUP(D164,Tabla_PoderesPsi,4,FALSE)&lt;&gt;"No")),MAX($F$152:$F163)+1,0))</f>
        <v>0</v>
      </c>
      <c r="G164" s="1103"/>
      <c r="H164" s="3011" t="str">
        <f>IF(Tablas!$A12&gt;MAX($F$153:$F$291),"",INDEX(Poderes_Psi_Disponibles,MATCH(Tablas!$A12,$F$153:$F$291,0)))</f>
        <v/>
      </c>
    </row>
    <row r="165" spans="1:8" ht="12.75" customHeight="1" x14ac:dyDescent="0.2">
      <c r="A165" s="2027">
        <v>165</v>
      </c>
      <c r="C165" s="1103"/>
      <c r="D165" s="2024" t="str">
        <f t="shared" si="16"/>
        <v/>
      </c>
      <c r="F165" s="2019">
        <f>IF(D165="",0,IF(OR(ISNUMBER(SEARCH("&gt;",D165)),AND(COUNTIF(Psíquicos!$V$11:$Z$64,D165)&gt;0,VLOOKUP(D165,Tabla_PoderesPsi,4,FALSE)&lt;&gt;"No")),MAX($F$152:$F164)+1,0))</f>
        <v>0</v>
      </c>
      <c r="G165" s="1103"/>
      <c r="H165" s="3011" t="str">
        <f>IF(Tablas!$A13&gt;MAX($F$153:$F$291),"",INDEX(Poderes_Psi_Disponibles,MATCH(Tablas!$A13,$F$153:$F$291,0)))</f>
        <v/>
      </c>
    </row>
    <row r="166" spans="1:8" ht="12.75" customHeight="1" x14ac:dyDescent="0.2">
      <c r="A166" s="2027">
        <v>166</v>
      </c>
      <c r="C166" s="1103"/>
      <c r="D166" s="2024" t="str">
        <f t="shared" si="16"/>
        <v/>
      </c>
      <c r="F166" s="2019">
        <f>IF(D166="",0,IF(OR(ISNUMBER(SEARCH("&gt;",D166)),AND(COUNTIF(Psíquicos!$V$11:$Z$64,D166)&gt;0,VLOOKUP(D166,Tabla_PoderesPsi,4,FALSE)&lt;&gt;"No")),MAX($F$152:$F165)+1,0))</f>
        <v>0</v>
      </c>
      <c r="G166" s="1103"/>
      <c r="H166" s="3011" t="str">
        <f>IF(Tablas!$A14&gt;MAX($F$153:$F$291),"",INDEX(Poderes_Psi_Disponibles,MATCH(Tablas!$A14,$F$153:$F$291,0)))</f>
        <v/>
      </c>
    </row>
    <row r="167" spans="1:8" ht="12.75" customHeight="1" x14ac:dyDescent="0.2">
      <c r="A167" s="2027">
        <v>167</v>
      </c>
      <c r="C167" s="1103"/>
      <c r="D167" s="2024" t="str">
        <f t="shared" si="16"/>
        <v/>
      </c>
      <c r="F167" s="2019">
        <f>IF(D167="",0,IF(OR(ISNUMBER(SEARCH("&gt;",D167)),AND(COUNTIF(Psíquicos!$V$11:$Z$64,D167)&gt;0,VLOOKUP(D167,Tabla_PoderesPsi,4,FALSE)&lt;&gt;"No")),MAX($F$152:$F166)+1,0))</f>
        <v>0</v>
      </c>
      <c r="G167" s="1103"/>
      <c r="H167" s="3011" t="str">
        <f>IF(Tablas!$A15&gt;MAX($F$153:$F$291),"",INDEX(Poderes_Psi_Disponibles,MATCH(Tablas!$A15,$F$153:$F$291,0)))</f>
        <v/>
      </c>
    </row>
    <row r="168" spans="1:8" ht="12.75" customHeight="1" x14ac:dyDescent="0.2">
      <c r="A168" s="2027">
        <v>168</v>
      </c>
      <c r="C168" s="1103"/>
      <c r="D168" s="2024" t="str">
        <f t="shared" si="16"/>
        <v/>
      </c>
      <c r="F168" s="2019">
        <f>IF(D168="",0,IF(OR(ISNUMBER(SEARCH("&gt;",D168)),AND(COUNTIF(Psíquicos!$V$11:$Z$64,D168)&gt;0,VLOOKUP(D168,Tabla_PoderesPsi,4,FALSE)&lt;&gt;"No")),MAX($F$152:$F167)+1,0))</f>
        <v>0</v>
      </c>
      <c r="G168" s="1103"/>
      <c r="H168" s="3011" t="str">
        <f>IF(Tablas!$A16&gt;MAX($F$153:$F$291),"",INDEX(Poderes_Psi_Disponibles,MATCH(Tablas!$A16,$F$153:$F$291,0)))</f>
        <v/>
      </c>
    </row>
    <row r="169" spans="1:8" ht="12.75" customHeight="1" x14ac:dyDescent="0.2">
      <c r="A169" s="2027">
        <v>169</v>
      </c>
      <c r="C169" s="1103"/>
      <c r="D169" s="2024" t="str">
        <f t="shared" si="16"/>
        <v/>
      </c>
      <c r="F169" s="2019">
        <f>IF(D169="",0,IF(OR(ISNUMBER(SEARCH("&gt;",D169)),AND(COUNTIF(Psíquicos!$V$11:$Z$64,D169)&gt;0,VLOOKUP(D169,Tabla_PoderesPsi,4,FALSE)&lt;&gt;"No")),MAX($F$152:$F168)+1,0))</f>
        <v>0</v>
      </c>
      <c r="G169" s="1103"/>
      <c r="H169" s="3011" t="str">
        <f>IF(Tablas!$A17&gt;MAX($F$153:$F$291),"",INDEX(Poderes_Psi_Disponibles,MATCH(Tablas!$A17,$F$153:$F$291,0)))</f>
        <v/>
      </c>
    </row>
    <row r="170" spans="1:8" ht="12.75" customHeight="1" x14ac:dyDescent="0.2">
      <c r="A170" s="2027">
        <v>170</v>
      </c>
      <c r="C170" s="1103"/>
      <c r="D170" s="2024" t="str">
        <f t="shared" si="16"/>
        <v/>
      </c>
      <c r="F170" s="2019">
        <f>IF(D170="",0,IF(OR(ISNUMBER(SEARCH("&gt;",D170)),AND(COUNTIF(Psíquicos!$V$11:$Z$64,D170)&gt;0,VLOOKUP(D170,Tabla_PoderesPsi,4,FALSE)&lt;&gt;"No")),MAX($F$152:$F169)+1,0))</f>
        <v>0</v>
      </c>
      <c r="G170" s="1103"/>
      <c r="H170" s="3011" t="str">
        <f>IF(Tablas!$A18&gt;MAX($F$153:$F$291),"",INDEX(Poderes_Psi_Disponibles,MATCH(Tablas!$A18,$F$153:$F$291,0)))</f>
        <v/>
      </c>
    </row>
    <row r="171" spans="1:8" ht="12.75" customHeight="1" x14ac:dyDescent="0.2">
      <c r="A171" s="2027">
        <v>171</v>
      </c>
      <c r="C171" s="1103"/>
      <c r="D171" s="2024" t="str">
        <f t="shared" si="16"/>
        <v/>
      </c>
      <c r="F171" s="2019">
        <f>IF(D171="",0,IF(OR(ISNUMBER(SEARCH("&gt;",D171)),AND(COUNTIF(Psíquicos!$V$11:$Z$64,D171)&gt;0,VLOOKUP(D171,Tabla_PoderesPsi,4,FALSE)&lt;&gt;"No")),MAX($F$152:$F170)+1,0))</f>
        <v>0</v>
      </c>
      <c r="G171" s="1103"/>
      <c r="H171" s="3011" t="str">
        <f>IF(Tablas!$A19&gt;MAX($F$153:$F$291),"",INDEX(Poderes_Psi_Disponibles,MATCH(Tablas!$A19,$F$153:$F$291,0)))</f>
        <v/>
      </c>
    </row>
    <row r="172" spans="1:8" ht="12.75" customHeight="1" x14ac:dyDescent="0.2">
      <c r="A172" s="2027">
        <v>172</v>
      </c>
      <c r="C172" s="1103"/>
      <c r="D172" s="2024" t="str">
        <f t="shared" si="16"/>
        <v/>
      </c>
      <c r="F172" s="2019">
        <f>IF(D172="",0,IF(OR(ISNUMBER(SEARCH("&gt;",D172)),AND(COUNTIF(Psíquicos!$V$11:$Z$64,D172)&gt;0,VLOOKUP(D172,Tabla_PoderesPsi,4,FALSE)&lt;&gt;"No")),MAX($F$152:$F171)+1,0))</f>
        <v>0</v>
      </c>
      <c r="G172" s="1103"/>
      <c r="H172" s="3011" t="str">
        <f>IF(Tablas!$A20&gt;MAX($F$153:$F$291),"",INDEX(Poderes_Psi_Disponibles,MATCH(Tablas!$A20,$F$153:$F$291,0)))</f>
        <v/>
      </c>
    </row>
    <row r="173" spans="1:8" ht="12.75" customHeight="1" x14ac:dyDescent="0.2">
      <c r="A173" s="2027">
        <v>173</v>
      </c>
      <c r="C173" s="1103"/>
      <c r="D173" s="2024" t="str">
        <f t="shared" si="16"/>
        <v/>
      </c>
      <c r="F173" s="2019">
        <f>IF(D173="",0,IF(OR(ISNUMBER(SEARCH("&gt;",D173)),AND(COUNTIF(Psíquicos!$V$11:$Z$64,D173)&gt;0,VLOOKUP(D173,Tabla_PoderesPsi,4,FALSE)&lt;&gt;"No")),MAX($F$152:$F172)+1,0))</f>
        <v>0</v>
      </c>
      <c r="G173" s="1103"/>
      <c r="H173" s="3011" t="str">
        <f>IF(Tablas!$A21&gt;MAX($F$153:$F$291),"",INDEX(Poderes_Psi_Disponibles,MATCH(Tablas!$A21,$F$153:$F$291,0)))</f>
        <v/>
      </c>
    </row>
    <row r="174" spans="1:8" ht="12.75" customHeight="1" x14ac:dyDescent="0.2">
      <c r="A174" s="2027">
        <v>174</v>
      </c>
      <c r="C174" s="1103"/>
      <c r="D174" s="2024" t="str">
        <f t="shared" si="16"/>
        <v/>
      </c>
      <c r="F174" s="2019">
        <f>IF(D174="",0,IF(OR(ISNUMBER(SEARCH("&gt;",D174)),AND(COUNTIF(Psíquicos!$V$11:$Z$64,D174)&gt;0,VLOOKUP(D174,Tabla_PoderesPsi,4,FALSE)&lt;&gt;"No")),MAX($F$152:$F173)+1,0))</f>
        <v>0</v>
      </c>
      <c r="G174" s="1103"/>
      <c r="H174" s="3011" t="str">
        <f>IF(Tablas!$A22&gt;MAX($F$153:$F$291),"",INDEX(Poderes_Psi_Disponibles,MATCH(Tablas!$A22,$F$153:$F$291,0)))</f>
        <v/>
      </c>
    </row>
    <row r="175" spans="1:8" ht="12.75" customHeight="1" x14ac:dyDescent="0.2">
      <c r="A175" s="2027">
        <v>175</v>
      </c>
      <c r="C175" s="1103"/>
      <c r="D175" s="2024" t="str">
        <f t="shared" si="16"/>
        <v/>
      </c>
      <c r="F175" s="2019">
        <f>IF(D175="",0,IF(OR(ISNUMBER(SEARCH("&gt;",D175)),AND(COUNTIF(Psíquicos!$V$11:$Z$64,D175)&gt;0,VLOOKUP(D175,Tabla_PoderesPsi,4,FALSE)&lt;&gt;"No")),MAX($F$152:$F174)+1,0))</f>
        <v>0</v>
      </c>
      <c r="G175" s="1103"/>
      <c r="H175" s="3011" t="str">
        <f>IF(Tablas!$A23&gt;MAX($F$153:$F$291),"",INDEX(Poderes_Psi_Disponibles,MATCH(Tablas!$A23,$F$153:$F$291,0)))</f>
        <v/>
      </c>
    </row>
    <row r="176" spans="1:8" ht="12.75" customHeight="1" x14ac:dyDescent="0.2">
      <c r="A176" s="2027">
        <v>176</v>
      </c>
      <c r="C176" s="1103"/>
      <c r="D176" s="2024" t="str">
        <f t="shared" si="16"/>
        <v/>
      </c>
      <c r="F176" s="2019">
        <f>IF(D176="",0,IF(OR(ISNUMBER(SEARCH("&gt;",D176)),AND(COUNTIF(Psíquicos!$V$11:$Z$64,D176)&gt;0,VLOOKUP(D176,Tabla_PoderesPsi,4,FALSE)&lt;&gt;"No")),MAX($F$152:$F175)+1,0))</f>
        <v>0</v>
      </c>
      <c r="G176" s="1103"/>
      <c r="H176" s="3011" t="str">
        <f>IF(Tablas!$A24&gt;MAX($F$153:$F$291),"",INDEX(Poderes_Psi_Disponibles,MATCH(Tablas!$A24,$F$153:$F$291,0)))</f>
        <v/>
      </c>
    </row>
    <row r="177" spans="1:8" ht="12.75" customHeight="1" x14ac:dyDescent="0.2">
      <c r="A177" s="2027">
        <v>177</v>
      </c>
      <c r="C177" s="1103"/>
      <c r="D177" s="2024" t="str">
        <f t="shared" si="16"/>
        <v/>
      </c>
      <c r="F177" s="2019">
        <f>IF(D177="",0,IF(OR(ISNUMBER(SEARCH("&gt;",D177)),AND(COUNTIF(Psíquicos!$V$11:$Z$64,D177)&gt;0,VLOOKUP(D177,Tabla_PoderesPsi,4,FALSE)&lt;&gt;"No")),MAX($F$152:$F176)+1,0))</f>
        <v>0</v>
      </c>
      <c r="G177" s="1103"/>
      <c r="H177" s="3011" t="str">
        <f>IF(Tablas!$A25&gt;MAX($F$153:$F$291),"",INDEX(Poderes_Psi_Disponibles,MATCH(Tablas!$A25,$F$153:$F$291,0)))</f>
        <v/>
      </c>
    </row>
    <row r="178" spans="1:8" ht="12.75" customHeight="1" x14ac:dyDescent="0.2">
      <c r="A178" s="2027">
        <v>178</v>
      </c>
      <c r="C178" s="1103"/>
      <c r="D178" s="2024" t="str">
        <f t="shared" si="16"/>
        <v/>
      </c>
      <c r="F178" s="2019">
        <f>IF(D178="",0,IF(OR(ISNUMBER(SEARCH("&gt;",D178)),AND(COUNTIF(Psíquicos!$V$11:$Z$64,D178)&gt;0,VLOOKUP(D178,Tabla_PoderesPsi,4,FALSE)&lt;&gt;"No")),MAX($F$152:$F177)+1,0))</f>
        <v>0</v>
      </c>
      <c r="G178" s="1103"/>
      <c r="H178" s="3011" t="str">
        <f>IF(Tablas!$A26&gt;MAX($F$153:$F$291),"",INDEX(Poderes_Psi_Disponibles,MATCH(Tablas!$A26,$F$153:$F$291,0)))</f>
        <v/>
      </c>
    </row>
    <row r="179" spans="1:8" ht="12.75" customHeight="1" x14ac:dyDescent="0.2">
      <c r="A179" s="2027">
        <v>179</v>
      </c>
      <c r="C179" s="1103"/>
      <c r="D179" s="2024" t="str">
        <f t="shared" si="16"/>
        <v/>
      </c>
      <c r="F179" s="2019">
        <f>IF(D179="",0,IF(OR(ISNUMBER(SEARCH("&gt;",D179)),AND(COUNTIF(Psíquicos!$V$11:$Z$64,D179)&gt;0,VLOOKUP(D179,Tabla_PoderesPsi,4,FALSE)&lt;&gt;"No")),MAX($F$152:$F178)+1,0))</f>
        <v>0</v>
      </c>
      <c r="G179" s="1103"/>
      <c r="H179" s="3011" t="str">
        <f>IF(Tablas!$A27&gt;MAX($F$153:$F$291),"",INDEX(Poderes_Psi_Disponibles,MATCH(Tablas!$A27,$F$153:$F$291,0)))</f>
        <v/>
      </c>
    </row>
    <row r="180" spans="1:8" ht="12.75" customHeight="1" x14ac:dyDescent="0.2">
      <c r="A180" s="2027">
        <v>180</v>
      </c>
      <c r="C180" s="1103"/>
      <c r="D180" s="2024" t="str">
        <f t="shared" si="16"/>
        <v/>
      </c>
      <c r="F180" s="2019">
        <f>IF(D180="",0,IF(OR(ISNUMBER(SEARCH("&gt;",D180)),AND(COUNTIF(Psíquicos!$V$11:$Z$64,D180)&gt;0,VLOOKUP(D180,Tabla_PoderesPsi,4,FALSE)&lt;&gt;"No")),MAX($F$152:$F179)+1,0))</f>
        <v>0</v>
      </c>
      <c r="G180" s="1103"/>
      <c r="H180" s="3011" t="str">
        <f>IF(Tablas!$A28&gt;MAX($F$153:$F$291),"",INDEX(Poderes_Psi_Disponibles,MATCH(Tablas!$A28,$F$153:$F$291,0)))</f>
        <v/>
      </c>
    </row>
    <row r="181" spans="1:8" ht="12.75" customHeight="1" x14ac:dyDescent="0.2">
      <c r="A181" s="2027">
        <v>181</v>
      </c>
      <c r="C181" s="1103"/>
      <c r="D181" s="2024" t="str">
        <f t="shared" si="16"/>
        <v/>
      </c>
      <c r="F181" s="2019">
        <f>IF(D181="",0,IF(OR(ISNUMBER(SEARCH("&gt;",D181)),AND(COUNTIF(Psíquicos!$V$11:$Z$64,D181)&gt;0,VLOOKUP(D181,Tabla_PoderesPsi,4,FALSE)&lt;&gt;"No")),MAX($F$152:$F180)+1,0))</f>
        <v>0</v>
      </c>
      <c r="G181" s="1103"/>
      <c r="H181" s="3011" t="str">
        <f>IF(Tablas!$A29&gt;MAX($F$153:$F$291),"",INDEX(Poderes_Psi_Disponibles,MATCH(Tablas!$A29,$F$153:$F$291,0)))</f>
        <v/>
      </c>
    </row>
    <row r="182" spans="1:8" ht="12.75" customHeight="1" x14ac:dyDescent="0.2">
      <c r="A182" s="2027">
        <v>182</v>
      </c>
      <c r="C182" s="1103"/>
      <c r="D182" s="2024" t="str">
        <f t="shared" si="16"/>
        <v/>
      </c>
      <c r="F182" s="2019">
        <f>IF(D182="",0,IF(OR(ISNUMBER(SEARCH("&gt;",D182)),AND(COUNTIF(Psíquicos!$V$11:$Z$64,D182)&gt;0,VLOOKUP(D182,Tabla_PoderesPsi,4,FALSE)&lt;&gt;"No")),MAX($F$152:$F181)+1,0))</f>
        <v>0</v>
      </c>
      <c r="G182" s="1103"/>
      <c r="H182" s="3011" t="str">
        <f>IF(Tablas!$A30&gt;MAX($F$153:$F$291),"",INDEX(Poderes_Psi_Disponibles,MATCH(Tablas!$A30,$F$153:$F$291,0)))</f>
        <v/>
      </c>
    </row>
    <row r="183" spans="1:8" ht="12.75" customHeight="1" x14ac:dyDescent="0.2">
      <c r="A183" s="2027">
        <v>183</v>
      </c>
      <c r="C183" s="1103"/>
      <c r="D183" s="2024" t="str">
        <f t="shared" si="16"/>
        <v/>
      </c>
      <c r="F183" s="2019">
        <f>IF(D183="",0,IF(OR(ISNUMBER(SEARCH("&gt;",D183)),AND(COUNTIF(Psíquicos!$V$11:$Z$64,D183)&gt;0,VLOOKUP(D183,Tabla_PoderesPsi,4,FALSE)&lt;&gt;"No")),MAX($F$152:$F182)+1,0))</f>
        <v>0</v>
      </c>
      <c r="G183" s="1103"/>
      <c r="H183" s="3011" t="str">
        <f>IF(Tablas!$A31&gt;MAX($F$153:$F$291),"",INDEX(Poderes_Psi_Disponibles,MATCH(Tablas!$A31,$F$153:$F$291,0)))</f>
        <v/>
      </c>
    </row>
    <row r="184" spans="1:8" ht="12.75" customHeight="1" x14ac:dyDescent="0.2">
      <c r="A184" s="2027">
        <v>184</v>
      </c>
      <c r="C184" s="1103"/>
      <c r="D184" s="2024" t="str">
        <f t="shared" si="16"/>
        <v/>
      </c>
      <c r="F184" s="2019">
        <f>IF(D184="",0,IF(OR(ISNUMBER(SEARCH("&gt;",D184)),AND(COUNTIF(Psíquicos!$V$11:$Z$64,D184)&gt;0,VLOOKUP(D184,Tabla_PoderesPsi,4,FALSE)&lt;&gt;"No")),MAX($F$152:$F183)+1,0))</f>
        <v>0</v>
      </c>
      <c r="G184" s="1103"/>
      <c r="H184" s="3011" t="str">
        <f>IF(Tablas!$A32&gt;MAX($F$153:$F$291),"",INDEX(Poderes_Psi_Disponibles,MATCH(Tablas!$A32,$F$153:$F$291,0)))</f>
        <v/>
      </c>
    </row>
    <row r="185" spans="1:8" ht="12.75" customHeight="1" x14ac:dyDescent="0.2">
      <c r="A185" s="2027">
        <v>185</v>
      </c>
      <c r="C185" s="1103"/>
      <c r="D185" s="2024" t="str">
        <f t="shared" ref="D185:D216" si="17">IF(ISNA(VLOOKUP(A33,$B$7:$D$145,3,FALSE)),"",VLOOKUP(A33,$B$7:$D$145,3,FALSE))</f>
        <v/>
      </c>
      <c r="F185" s="2019">
        <f>IF(D185="",0,IF(OR(ISNUMBER(SEARCH("&gt;",D185)),AND(COUNTIF(Psíquicos!$V$11:$Z$64,D185)&gt;0,VLOOKUP(D185,Tabla_PoderesPsi,4,FALSE)&lt;&gt;"No")),MAX($F$152:$F184)+1,0))</f>
        <v>0</v>
      </c>
      <c r="G185" s="1103"/>
      <c r="H185" s="3011" t="str">
        <f>IF(Tablas!$A33&gt;MAX($F$153:$F$291),"",INDEX(Poderes_Psi_Disponibles,MATCH(Tablas!$A33,$F$153:$F$291,0)))</f>
        <v/>
      </c>
    </row>
    <row r="186" spans="1:8" ht="12.75" customHeight="1" x14ac:dyDescent="0.2">
      <c r="A186" s="2027">
        <v>186</v>
      </c>
      <c r="C186" s="1103"/>
      <c r="D186" s="2024" t="str">
        <f t="shared" si="17"/>
        <v/>
      </c>
      <c r="F186" s="2019">
        <f>IF(D186="",0,IF(OR(ISNUMBER(SEARCH("&gt;",D186)),AND(COUNTIF(Psíquicos!$V$11:$Z$64,D186)&gt;0,VLOOKUP(D186,Tabla_PoderesPsi,4,FALSE)&lt;&gt;"No")),MAX($F$152:$F185)+1,0))</f>
        <v>0</v>
      </c>
      <c r="G186" s="1103"/>
      <c r="H186" s="3011" t="str">
        <f>IF(Tablas!$A34&gt;MAX($F$153:$F$291),"",INDEX(Poderes_Psi_Disponibles,MATCH(Tablas!$A34,$F$153:$F$291,0)))</f>
        <v/>
      </c>
    </row>
    <row r="187" spans="1:8" x14ac:dyDescent="0.2">
      <c r="A187" s="2027">
        <v>187</v>
      </c>
      <c r="C187" s="1103"/>
      <c r="D187" s="2024" t="str">
        <f t="shared" si="17"/>
        <v/>
      </c>
      <c r="F187" s="2019">
        <f>IF(D187="",0,IF(OR(ISNUMBER(SEARCH("&gt;",D187)),AND(COUNTIF(Psíquicos!$V$11:$Z$64,D187)&gt;0,VLOOKUP(D187,Tabla_PoderesPsi,4,FALSE)&lt;&gt;"No")),MAX($F$152:$F186)+1,0))</f>
        <v>0</v>
      </c>
      <c r="G187" s="1103"/>
      <c r="H187" s="3011" t="str">
        <f>IF(Tablas!$A35&gt;MAX($F$153:$F$291),"",INDEX(Poderes_Psi_Disponibles,MATCH(Tablas!$A35,$F$153:$F$291,0)))</f>
        <v/>
      </c>
    </row>
    <row r="188" spans="1:8" x14ac:dyDescent="0.2">
      <c r="A188" s="2027">
        <v>188</v>
      </c>
      <c r="C188" s="1103"/>
      <c r="D188" s="2024" t="str">
        <f t="shared" si="17"/>
        <v/>
      </c>
      <c r="F188" s="2019">
        <f>IF(D188="",0,IF(OR(ISNUMBER(SEARCH("&gt;",D188)),AND(COUNTIF(Psíquicos!$V$11:$Z$64,D188)&gt;0,VLOOKUP(D188,Tabla_PoderesPsi,4,FALSE)&lt;&gt;"No")),MAX($F$152:$F187)+1,0))</f>
        <v>0</v>
      </c>
      <c r="G188" s="1103"/>
      <c r="H188" s="3011" t="str">
        <f>IF(Tablas!$A36&gt;MAX($F$153:$F$291),"",INDEX(Poderes_Psi_Disponibles,MATCH(Tablas!$A36,$F$153:$F$291,0)))</f>
        <v/>
      </c>
    </row>
    <row r="189" spans="1:8" x14ac:dyDescent="0.2">
      <c r="A189" s="2027">
        <v>189</v>
      </c>
      <c r="C189" s="1103"/>
      <c r="D189" s="2024" t="str">
        <f t="shared" si="17"/>
        <v/>
      </c>
      <c r="F189" s="2019">
        <f>IF(D189="",0,IF(OR(ISNUMBER(SEARCH("&gt;",D189)),AND(COUNTIF(Psíquicos!$V$11:$Z$64,D189)&gt;0,VLOOKUP(D189,Tabla_PoderesPsi,4,FALSE)&lt;&gt;"No")),MAX($F$152:$F188)+1,0))</f>
        <v>0</v>
      </c>
      <c r="G189" s="1103"/>
      <c r="H189" s="3011" t="str">
        <f>IF(Tablas!$A37&gt;MAX($F$153:$F$291),"",INDEX(Poderes_Psi_Disponibles,MATCH(Tablas!$A37,$F$153:$F$291,0)))</f>
        <v/>
      </c>
    </row>
    <row r="190" spans="1:8" x14ac:dyDescent="0.2">
      <c r="A190" s="2027">
        <v>190</v>
      </c>
      <c r="C190" s="1103"/>
      <c r="D190" s="2024" t="str">
        <f t="shared" si="17"/>
        <v/>
      </c>
      <c r="F190" s="2019">
        <f>IF(D190="",0,IF(OR(ISNUMBER(SEARCH("&gt;",D190)),AND(COUNTIF(Psíquicos!$V$11:$Z$64,D190)&gt;0,VLOOKUP(D190,Tabla_PoderesPsi,4,FALSE)&lt;&gt;"No")),MAX($F$152:$F189)+1,0))</f>
        <v>0</v>
      </c>
      <c r="G190" s="1103"/>
      <c r="H190" s="3011" t="str">
        <f>IF(Tablas!$A38&gt;MAX($F$153:$F$291),"",INDEX(Poderes_Psi_Disponibles,MATCH(Tablas!$A38,$F$153:$F$291,0)))</f>
        <v/>
      </c>
    </row>
    <row r="191" spans="1:8" x14ac:dyDescent="0.2">
      <c r="A191" s="2027">
        <v>191</v>
      </c>
      <c r="C191" s="1103"/>
      <c r="D191" s="2024" t="str">
        <f t="shared" si="17"/>
        <v/>
      </c>
      <c r="F191" s="2019">
        <f>IF(D191="",0,IF(OR(ISNUMBER(SEARCH("&gt;",D191)),AND(COUNTIF(Psíquicos!$V$11:$Z$64,D191)&gt;0,VLOOKUP(D191,Tabla_PoderesPsi,4,FALSE)&lt;&gt;"No")),MAX($F$152:$F190)+1,0))</f>
        <v>0</v>
      </c>
      <c r="G191" s="1103"/>
      <c r="H191" s="3011" t="str">
        <f>IF(Tablas!$A39&gt;MAX($F$153:$F$291),"",INDEX(Poderes_Psi_Disponibles,MATCH(Tablas!$A39,$F$153:$F$291,0)))</f>
        <v/>
      </c>
    </row>
    <row r="192" spans="1:8" x14ac:dyDescent="0.2">
      <c r="A192" s="2027">
        <v>192</v>
      </c>
      <c r="C192" s="1103"/>
      <c r="D192" s="2024" t="str">
        <f t="shared" si="17"/>
        <v/>
      </c>
      <c r="F192" s="2019">
        <f>IF(D192="",0,IF(OR(ISNUMBER(SEARCH("&gt;",D192)),AND(COUNTIF(Psíquicos!$V$11:$Z$64,D192)&gt;0,VLOOKUP(D192,Tabla_PoderesPsi,4,FALSE)&lt;&gt;"No")),MAX($F$152:$F191)+1,0))</f>
        <v>0</v>
      </c>
      <c r="G192" s="1103"/>
      <c r="H192" s="3011" t="str">
        <f>IF(Tablas!$A40&gt;MAX($F$153:$F$291),"",INDEX(Poderes_Psi_Disponibles,MATCH(Tablas!$A40,$F$153:$F$291,0)))</f>
        <v/>
      </c>
    </row>
    <row r="193" spans="1:8" x14ac:dyDescent="0.2">
      <c r="A193" s="2027">
        <v>193</v>
      </c>
      <c r="C193" s="1103"/>
      <c r="D193" s="2024" t="str">
        <f t="shared" si="17"/>
        <v/>
      </c>
      <c r="F193" s="2019">
        <f>IF(D193="",0,IF(OR(ISNUMBER(SEARCH("&gt;",D193)),AND(COUNTIF(Psíquicos!$V$11:$Z$64,D193)&gt;0,VLOOKUP(D193,Tabla_PoderesPsi,4,FALSE)&lt;&gt;"No")),MAX($F$152:$F192)+1,0))</f>
        <v>0</v>
      </c>
      <c r="G193" s="1103"/>
      <c r="H193" s="3011" t="str">
        <f>IF(Tablas!$A41&gt;MAX($F$153:$F$291),"",INDEX(Poderes_Psi_Disponibles,MATCH(Tablas!$A41,$F$153:$F$291,0)))</f>
        <v/>
      </c>
    </row>
    <row r="194" spans="1:8" x14ac:dyDescent="0.2">
      <c r="A194" s="2027">
        <v>194</v>
      </c>
      <c r="C194" s="1103"/>
      <c r="D194" s="2024" t="str">
        <f t="shared" si="17"/>
        <v/>
      </c>
      <c r="F194" s="2019">
        <f>IF(D194="",0,IF(OR(ISNUMBER(SEARCH("&gt;",D194)),AND(COUNTIF(Psíquicos!$V$11:$Z$64,D194)&gt;0,VLOOKUP(D194,Tabla_PoderesPsi,4,FALSE)&lt;&gt;"No")),MAX($F$152:$F193)+1,0))</f>
        <v>0</v>
      </c>
      <c r="G194" s="1103"/>
      <c r="H194" s="3011" t="str">
        <f>IF(Tablas!$A42&gt;MAX($F$153:$F$291),"",INDEX(Poderes_Psi_Disponibles,MATCH(Tablas!$A42,$F$153:$F$291,0)))</f>
        <v/>
      </c>
    </row>
    <row r="195" spans="1:8" x14ac:dyDescent="0.2">
      <c r="A195" s="2027">
        <v>195</v>
      </c>
      <c r="C195" s="1103"/>
      <c r="D195" s="2024" t="str">
        <f t="shared" si="17"/>
        <v/>
      </c>
      <c r="F195" s="2019">
        <f>IF(D195="",0,IF(OR(ISNUMBER(SEARCH("&gt;",D195)),AND(COUNTIF(Psíquicos!$V$11:$Z$64,D195)&gt;0,VLOOKUP(D195,Tabla_PoderesPsi,4,FALSE)&lt;&gt;"No")),MAX($F$152:$F194)+1,0))</f>
        <v>0</v>
      </c>
      <c r="G195" s="1103"/>
      <c r="H195" s="3011" t="str">
        <f>IF(Tablas!$A43&gt;MAX($F$153:$F$291),"",INDEX(Poderes_Psi_Disponibles,MATCH(Tablas!$A43,$F$153:$F$291,0)))</f>
        <v/>
      </c>
    </row>
    <row r="196" spans="1:8" x14ac:dyDescent="0.2">
      <c r="A196" s="2027">
        <v>196</v>
      </c>
      <c r="C196" s="1103"/>
      <c r="D196" s="2024" t="str">
        <f t="shared" si="17"/>
        <v/>
      </c>
      <c r="F196" s="2019">
        <f>IF(D196="",0,IF(OR(ISNUMBER(SEARCH("&gt;",D196)),AND(COUNTIF(Psíquicos!$V$11:$Z$64,D196)&gt;0,VLOOKUP(D196,Tabla_PoderesPsi,4,FALSE)&lt;&gt;"No")),MAX($F$152:$F195)+1,0))</f>
        <v>0</v>
      </c>
      <c r="G196" s="1103"/>
      <c r="H196" s="3011" t="str">
        <f>IF(Tablas!$A44&gt;MAX($F$153:$F$291),"",INDEX(Poderes_Psi_Disponibles,MATCH(Tablas!$A44,$F$153:$F$291,0)))</f>
        <v/>
      </c>
    </row>
    <row r="197" spans="1:8" x14ac:dyDescent="0.2">
      <c r="A197" s="2027">
        <v>197</v>
      </c>
      <c r="C197" s="1103"/>
      <c r="D197" s="2024" t="str">
        <f t="shared" si="17"/>
        <v/>
      </c>
      <c r="F197" s="2019">
        <f>IF(D197="",0,IF(OR(ISNUMBER(SEARCH("&gt;",D197)),AND(COUNTIF(Psíquicos!$V$11:$Z$64,D197)&gt;0,VLOOKUP(D197,Tabla_PoderesPsi,4,FALSE)&lt;&gt;"No")),MAX($F$152:$F196)+1,0))</f>
        <v>0</v>
      </c>
      <c r="G197" s="1103"/>
      <c r="H197" s="3011" t="str">
        <f>IF(Tablas!$A45&gt;MAX($F$153:$F$291),"",INDEX(Poderes_Psi_Disponibles,MATCH(Tablas!$A45,$F$153:$F$291,0)))</f>
        <v/>
      </c>
    </row>
    <row r="198" spans="1:8" x14ac:dyDescent="0.2">
      <c r="A198" s="2027">
        <v>198</v>
      </c>
      <c r="C198" s="1103"/>
      <c r="D198" s="2024" t="str">
        <f t="shared" si="17"/>
        <v/>
      </c>
      <c r="F198" s="2019">
        <f>IF(D198="",0,IF(OR(ISNUMBER(SEARCH("&gt;",D198)),AND(COUNTIF(Psíquicos!$V$11:$Z$64,D198)&gt;0,VLOOKUP(D198,Tabla_PoderesPsi,4,FALSE)&lt;&gt;"No")),MAX($F$152:$F197)+1,0))</f>
        <v>0</v>
      </c>
      <c r="G198" s="1103"/>
      <c r="H198" s="3011" t="str">
        <f>IF(Tablas!$A46&gt;MAX($F$153:$F$291),"",INDEX(Poderes_Psi_Disponibles,MATCH(Tablas!$A46,$F$153:$F$291,0)))</f>
        <v/>
      </c>
    </row>
    <row r="199" spans="1:8" x14ac:dyDescent="0.2">
      <c r="A199" s="2027">
        <v>199</v>
      </c>
      <c r="C199" s="1103"/>
      <c r="D199" s="2024" t="str">
        <f t="shared" si="17"/>
        <v/>
      </c>
      <c r="F199" s="2019">
        <f>IF(D199="",0,IF(OR(ISNUMBER(SEARCH("&gt;",D199)),AND(COUNTIF(Psíquicos!$V$11:$Z$64,D199)&gt;0,VLOOKUP(D199,Tabla_PoderesPsi,4,FALSE)&lt;&gt;"No")),MAX($F$152:$F198)+1,0))</f>
        <v>0</v>
      </c>
      <c r="G199" s="1103"/>
      <c r="H199" s="3011" t="str">
        <f>IF(Tablas!$A47&gt;MAX($F$153:$F$291),"",INDEX(Poderes_Psi_Disponibles,MATCH(Tablas!$A47,$F$153:$F$291,0)))</f>
        <v/>
      </c>
    </row>
    <row r="200" spans="1:8" x14ac:dyDescent="0.2">
      <c r="A200" s="2027">
        <v>200</v>
      </c>
      <c r="C200" s="1103"/>
      <c r="D200" s="2024" t="str">
        <f t="shared" si="17"/>
        <v/>
      </c>
      <c r="F200" s="2019">
        <f>IF(D200="",0,IF(OR(ISNUMBER(SEARCH("&gt;",D200)),AND(COUNTIF(Psíquicos!$V$11:$Z$64,D200)&gt;0,VLOOKUP(D200,Tabla_PoderesPsi,4,FALSE)&lt;&gt;"No")),MAX($F$152:$F199)+1,0))</f>
        <v>0</v>
      </c>
      <c r="G200" s="1103"/>
      <c r="H200" s="3011" t="str">
        <f>IF(Tablas!$A48&gt;MAX($F$153:$F$291),"",INDEX(Poderes_Psi_Disponibles,MATCH(Tablas!$A48,$F$153:$F$291,0)))</f>
        <v/>
      </c>
    </row>
    <row r="201" spans="1:8" x14ac:dyDescent="0.2">
      <c r="A201" s="2027">
        <v>201</v>
      </c>
      <c r="C201" s="1103"/>
      <c r="D201" s="2024" t="str">
        <f t="shared" si="17"/>
        <v/>
      </c>
      <c r="F201" s="2019">
        <f>IF(D201="",0,IF(OR(ISNUMBER(SEARCH("&gt;",D201)),AND(COUNTIF(Psíquicos!$V$11:$Z$64,D201)&gt;0,VLOOKUP(D201,Tabla_PoderesPsi,4,FALSE)&lt;&gt;"No")),MAX($F$152:$F200)+1,0))</f>
        <v>0</v>
      </c>
      <c r="G201" s="1103"/>
      <c r="H201" s="3011" t="str">
        <f>IF(Tablas!$A49&gt;MAX($F$153:$F$291),"",INDEX(Poderes_Psi_Disponibles,MATCH(Tablas!$A49,$F$153:$F$291,0)))</f>
        <v/>
      </c>
    </row>
    <row r="202" spans="1:8" x14ac:dyDescent="0.2">
      <c r="A202" s="2027">
        <v>202</v>
      </c>
      <c r="C202" s="1103"/>
      <c r="D202" s="2024" t="str">
        <f t="shared" si="17"/>
        <v/>
      </c>
      <c r="F202" s="2019">
        <f>IF(D202="",0,IF(OR(ISNUMBER(SEARCH("&gt;",D202)),AND(COUNTIF(Psíquicos!$V$11:$Z$64,D202)&gt;0,VLOOKUP(D202,Tabla_PoderesPsi,4,FALSE)&lt;&gt;"No")),MAX($F$152:$F201)+1,0))</f>
        <v>0</v>
      </c>
      <c r="G202" s="1103"/>
      <c r="H202" s="3011" t="str">
        <f>IF(Tablas!$A50&gt;MAX($F$153:$F$291),"",INDEX(Poderes_Psi_Disponibles,MATCH(Tablas!$A50,$F$153:$F$291,0)))</f>
        <v/>
      </c>
    </row>
    <row r="203" spans="1:8" x14ac:dyDescent="0.2">
      <c r="A203" s="2027">
        <v>203</v>
      </c>
      <c r="C203" s="1103"/>
      <c r="D203" s="2024" t="str">
        <f t="shared" si="17"/>
        <v/>
      </c>
      <c r="F203" s="2019">
        <f>IF(D203="",0,IF(OR(ISNUMBER(SEARCH("&gt;",D203)),AND(COUNTIF(Psíquicos!$V$11:$Z$64,D203)&gt;0,VLOOKUP(D203,Tabla_PoderesPsi,4,FALSE)&lt;&gt;"No")),MAX($F$152:$F202)+1,0))</f>
        <v>0</v>
      </c>
      <c r="G203" s="1103"/>
      <c r="H203" s="3011" t="str">
        <f>IF(Tablas!$A51&gt;MAX($F$153:$F$291),"",INDEX(Poderes_Psi_Disponibles,MATCH(Tablas!$A51,$F$153:$F$291,0)))</f>
        <v/>
      </c>
    </row>
    <row r="204" spans="1:8" x14ac:dyDescent="0.2">
      <c r="A204" s="2027">
        <v>204</v>
      </c>
      <c r="C204" s="1103"/>
      <c r="D204" s="2024" t="str">
        <f t="shared" si="17"/>
        <v/>
      </c>
      <c r="F204" s="2019">
        <f>IF(D204="",0,IF(OR(ISNUMBER(SEARCH("&gt;",D204)),AND(COUNTIF(Psíquicos!$V$11:$Z$64,D204)&gt;0,VLOOKUP(D204,Tabla_PoderesPsi,4,FALSE)&lt;&gt;"No")),MAX($F$152:$F203)+1,0))</f>
        <v>0</v>
      </c>
      <c r="G204" s="1103"/>
      <c r="H204" s="3011" t="str">
        <f>IF(Tablas!$A52&gt;MAX($F$153:$F$291),"",INDEX(Poderes_Psi_Disponibles,MATCH(Tablas!$A52,$F$153:$F$291,0)))</f>
        <v/>
      </c>
    </row>
    <row r="205" spans="1:8" x14ac:dyDescent="0.2">
      <c r="A205" s="2027">
        <v>205</v>
      </c>
      <c r="C205" s="1103"/>
      <c r="D205" s="2024" t="str">
        <f t="shared" si="17"/>
        <v/>
      </c>
      <c r="F205" s="2019">
        <f>IF(D205="",0,IF(OR(ISNUMBER(SEARCH("&gt;",D205)),AND(COUNTIF(Psíquicos!$V$11:$Z$64,D205)&gt;0,VLOOKUP(D205,Tabla_PoderesPsi,4,FALSE)&lt;&gt;"No")),MAX($F$152:$F204)+1,0))</f>
        <v>0</v>
      </c>
      <c r="G205" s="1103"/>
      <c r="H205" s="3011" t="str">
        <f>IF(Tablas!$A53&gt;MAX($F$153:$F$291),"",INDEX(Poderes_Psi_Disponibles,MATCH(Tablas!$A53,$F$153:$F$291,0)))</f>
        <v/>
      </c>
    </row>
    <row r="206" spans="1:8" x14ac:dyDescent="0.2">
      <c r="A206" s="2027">
        <v>206</v>
      </c>
      <c r="C206" s="1103"/>
      <c r="D206" s="2024" t="str">
        <f t="shared" si="17"/>
        <v/>
      </c>
      <c r="F206" s="2019">
        <f>IF(D206="",0,IF(OR(ISNUMBER(SEARCH("&gt;",D206)),AND(COUNTIF(Psíquicos!$V$11:$Z$64,D206)&gt;0,VLOOKUP(D206,Tabla_PoderesPsi,4,FALSE)&lt;&gt;"No")),MAX($F$152:$F205)+1,0))</f>
        <v>0</v>
      </c>
      <c r="G206" s="1103"/>
      <c r="H206" s="3011" t="str">
        <f>IF(Tablas!$A54&gt;MAX($F$153:$F$291),"",INDEX(Poderes_Psi_Disponibles,MATCH(Tablas!$A54,$F$153:$F$291,0)))</f>
        <v/>
      </c>
    </row>
    <row r="207" spans="1:8" x14ac:dyDescent="0.2">
      <c r="A207" s="2027">
        <v>207</v>
      </c>
      <c r="C207" s="1103"/>
      <c r="D207" s="2024" t="str">
        <f t="shared" si="17"/>
        <v/>
      </c>
      <c r="F207" s="2019">
        <f>IF(D207="",0,IF(OR(ISNUMBER(SEARCH("&gt;",D207)),AND(COUNTIF(Psíquicos!$V$11:$Z$64,D207)&gt;0,VLOOKUP(D207,Tabla_PoderesPsi,4,FALSE)&lt;&gt;"No")),MAX($F$152:$F206)+1,0))</f>
        <v>0</v>
      </c>
      <c r="G207" s="1103"/>
      <c r="H207" s="3011" t="str">
        <f>IF(Tablas!$A55&gt;MAX($F$153:$F$291),"",INDEX(Poderes_Psi_Disponibles,MATCH(Tablas!$A55,$F$153:$F$291,0)))</f>
        <v/>
      </c>
    </row>
    <row r="208" spans="1:8" x14ac:dyDescent="0.2">
      <c r="A208" s="2027">
        <v>208</v>
      </c>
      <c r="C208" s="1103"/>
      <c r="D208" s="2024" t="str">
        <f t="shared" si="17"/>
        <v/>
      </c>
      <c r="F208" s="2019">
        <f>IF(D208="",0,IF(OR(ISNUMBER(SEARCH("&gt;",D208)),AND(COUNTIF(Psíquicos!$V$11:$Z$64,D208)&gt;0,VLOOKUP(D208,Tabla_PoderesPsi,4,FALSE)&lt;&gt;"No")),MAX($F$152:$F207)+1,0))</f>
        <v>0</v>
      </c>
      <c r="G208" s="1103"/>
      <c r="H208" s="3011" t="str">
        <f>IF(Tablas!$A56&gt;MAX($F$153:$F$291),"",INDEX(Poderes_Psi_Disponibles,MATCH(Tablas!$A56,$F$153:$F$291,0)))</f>
        <v/>
      </c>
    </row>
    <row r="209" spans="1:8" x14ac:dyDescent="0.2">
      <c r="A209" s="2027">
        <v>209</v>
      </c>
      <c r="C209" s="1103"/>
      <c r="D209" s="2024" t="str">
        <f t="shared" si="17"/>
        <v/>
      </c>
      <c r="F209" s="2019">
        <f>IF(D209="",0,IF(OR(ISNUMBER(SEARCH("&gt;",D209)),AND(COUNTIF(Psíquicos!$V$11:$Z$64,D209)&gt;0,VLOOKUP(D209,Tabla_PoderesPsi,4,FALSE)&lt;&gt;"No")),MAX($F$152:$F208)+1,0))</f>
        <v>0</v>
      </c>
      <c r="G209" s="1103"/>
      <c r="H209" s="3011" t="str">
        <f>IF(Tablas!$A57&gt;MAX($F$153:$F$291),"",INDEX(Poderes_Psi_Disponibles,MATCH(Tablas!$A57,$F$153:$F$291,0)))</f>
        <v/>
      </c>
    </row>
    <row r="210" spans="1:8" x14ac:dyDescent="0.2">
      <c r="A210" s="2027">
        <v>210</v>
      </c>
      <c r="C210" s="1103"/>
      <c r="D210" s="2024" t="str">
        <f t="shared" si="17"/>
        <v/>
      </c>
      <c r="F210" s="2019">
        <f>IF(D210="",0,IF(OR(ISNUMBER(SEARCH("&gt;",D210)),AND(COUNTIF(Psíquicos!$V$11:$Z$64,D210)&gt;0,VLOOKUP(D210,Tabla_PoderesPsi,4,FALSE)&lt;&gt;"No")),MAX($F$152:$F209)+1,0))</f>
        <v>0</v>
      </c>
      <c r="G210" s="1103"/>
      <c r="H210" s="3011" t="str">
        <f>IF(Tablas!$A58&gt;MAX($F$153:$F$291),"",INDEX(Poderes_Psi_Disponibles,MATCH(Tablas!$A58,$F$153:$F$291,0)))</f>
        <v/>
      </c>
    </row>
    <row r="211" spans="1:8" x14ac:dyDescent="0.2">
      <c r="A211" s="2027">
        <v>211</v>
      </c>
      <c r="C211" s="1103"/>
      <c r="D211" s="2024" t="str">
        <f t="shared" si="17"/>
        <v/>
      </c>
      <c r="F211" s="2019">
        <f>IF(D211="",0,IF(OR(ISNUMBER(SEARCH("&gt;",D211)),AND(COUNTIF(Psíquicos!$V$11:$Z$64,D211)&gt;0,VLOOKUP(D211,Tabla_PoderesPsi,4,FALSE)&lt;&gt;"No")),MAX($F$152:$F210)+1,0))</f>
        <v>0</v>
      </c>
      <c r="G211" s="1103"/>
      <c r="H211" s="3011" t="str">
        <f>IF(Tablas!$A59&gt;MAX($F$153:$F$291),"",INDEX(Poderes_Psi_Disponibles,MATCH(Tablas!$A59,$F$153:$F$291,0)))</f>
        <v/>
      </c>
    </row>
    <row r="212" spans="1:8" x14ac:dyDescent="0.2">
      <c r="A212" s="2027">
        <v>212</v>
      </c>
      <c r="C212" s="1103"/>
      <c r="D212" s="2024" t="str">
        <f t="shared" si="17"/>
        <v/>
      </c>
      <c r="F212" s="2019">
        <f>IF(D212="",0,IF(OR(ISNUMBER(SEARCH("&gt;",D212)),AND(COUNTIF(Psíquicos!$V$11:$Z$64,D212)&gt;0,VLOOKUP(D212,Tabla_PoderesPsi,4,FALSE)&lt;&gt;"No")),MAX($F$152:$F211)+1,0))</f>
        <v>0</v>
      </c>
      <c r="G212" s="1103"/>
      <c r="H212" s="3011" t="str">
        <f>IF(Tablas!$A60&gt;MAX($F$153:$F$291),"",INDEX(Poderes_Psi_Disponibles,MATCH(Tablas!$A60,$F$153:$F$291,0)))</f>
        <v/>
      </c>
    </row>
    <row r="213" spans="1:8" x14ac:dyDescent="0.2">
      <c r="A213" s="2027">
        <v>213</v>
      </c>
      <c r="C213" s="1103"/>
      <c r="D213" s="2024" t="str">
        <f t="shared" si="17"/>
        <v/>
      </c>
      <c r="F213" s="2019">
        <f>IF(D213="",0,IF(OR(ISNUMBER(SEARCH("&gt;",D213)),AND(COUNTIF(Psíquicos!$V$11:$Z$64,D213)&gt;0,VLOOKUP(D213,Tabla_PoderesPsi,4,FALSE)&lt;&gt;"No")),MAX($F$152:$F212)+1,0))</f>
        <v>0</v>
      </c>
      <c r="G213" s="1103"/>
      <c r="H213" s="3011" t="str">
        <f>IF(Tablas!$A61&gt;MAX($F$153:$F$291),"",INDEX(Poderes_Psi_Disponibles,MATCH(Tablas!$A61,$F$153:$F$291,0)))</f>
        <v/>
      </c>
    </row>
    <row r="214" spans="1:8" x14ac:dyDescent="0.2">
      <c r="A214" s="2027">
        <v>214</v>
      </c>
      <c r="C214" s="1103"/>
      <c r="D214" s="2024" t="str">
        <f t="shared" si="17"/>
        <v/>
      </c>
      <c r="F214" s="2019">
        <f>IF(D214="",0,IF(OR(ISNUMBER(SEARCH("&gt;",D214)),AND(COUNTIF(Psíquicos!$V$11:$Z$64,D214)&gt;0,VLOOKUP(D214,Tabla_PoderesPsi,4,FALSE)&lt;&gt;"No")),MAX($F$152:$F213)+1,0))</f>
        <v>0</v>
      </c>
      <c r="G214" s="1103"/>
      <c r="H214" s="3011" t="str">
        <f>IF(Tablas!$A62&gt;MAX($F$153:$F$291),"",INDEX(Poderes_Psi_Disponibles,MATCH(Tablas!$A62,$F$153:$F$291,0)))</f>
        <v/>
      </c>
    </row>
    <row r="215" spans="1:8" x14ac:dyDescent="0.2">
      <c r="A215" s="2027">
        <v>215</v>
      </c>
      <c r="C215" s="1103"/>
      <c r="D215" s="2024" t="str">
        <f t="shared" si="17"/>
        <v/>
      </c>
      <c r="F215" s="2019">
        <f>IF(D215="",0,IF(OR(ISNUMBER(SEARCH("&gt;",D215)),AND(COUNTIF(Psíquicos!$V$11:$Z$64,D215)&gt;0,VLOOKUP(D215,Tabla_PoderesPsi,4,FALSE)&lt;&gt;"No")),MAX($F$152:$F214)+1,0))</f>
        <v>0</v>
      </c>
      <c r="G215" s="1103"/>
      <c r="H215" s="3011" t="str">
        <f>IF(Tablas!$A63&gt;MAX($F$153:$F$291),"",INDEX(Poderes_Psi_Disponibles,MATCH(Tablas!$A63,$F$153:$F$291,0)))</f>
        <v/>
      </c>
    </row>
    <row r="216" spans="1:8" x14ac:dyDescent="0.2">
      <c r="A216" s="2027">
        <v>216</v>
      </c>
      <c r="C216" s="1103"/>
      <c r="D216" s="2024" t="str">
        <f t="shared" si="17"/>
        <v/>
      </c>
      <c r="F216" s="2019">
        <f>IF(D216="",0,IF(OR(ISNUMBER(SEARCH("&gt;",D216)),AND(COUNTIF(Psíquicos!$V$11:$Z$64,D216)&gt;0,VLOOKUP(D216,Tabla_PoderesPsi,4,FALSE)&lt;&gt;"No")),MAX($F$152:$F215)+1,0))</f>
        <v>0</v>
      </c>
      <c r="G216" s="1103"/>
      <c r="H216" s="3011" t="str">
        <f>IF(Tablas!$A64&gt;MAX($F$153:$F$291),"",INDEX(Poderes_Psi_Disponibles,MATCH(Tablas!$A64,$F$153:$F$291,0)))</f>
        <v/>
      </c>
    </row>
    <row r="217" spans="1:8" x14ac:dyDescent="0.2">
      <c r="A217" s="2027">
        <v>217</v>
      </c>
      <c r="C217" s="1103"/>
      <c r="D217" s="2024" t="str">
        <f t="shared" ref="D217:D248" si="18">IF(ISNA(VLOOKUP(A65,$B$7:$D$145,3,FALSE)),"",VLOOKUP(A65,$B$7:$D$145,3,FALSE))</f>
        <v/>
      </c>
      <c r="F217" s="2019">
        <f>IF(D217="",0,IF(OR(ISNUMBER(SEARCH("&gt;",D217)),AND(COUNTIF(Psíquicos!$V$11:$Z$64,D217)&gt;0,VLOOKUP(D217,Tabla_PoderesPsi,4,FALSE)&lt;&gt;"No")),MAX($F$152:$F216)+1,0))</f>
        <v>0</v>
      </c>
      <c r="G217" s="1103"/>
      <c r="H217" s="3011" t="str">
        <f>IF(Tablas!$A65&gt;MAX($F$153:$F$291),"",INDEX(Poderes_Psi_Disponibles,MATCH(Tablas!$A65,$F$153:$F$291,0)))</f>
        <v/>
      </c>
    </row>
    <row r="218" spans="1:8" x14ac:dyDescent="0.2">
      <c r="A218" s="2027">
        <v>218</v>
      </c>
      <c r="C218" s="1103"/>
      <c r="D218" s="2024" t="str">
        <f t="shared" si="18"/>
        <v/>
      </c>
      <c r="F218" s="2019">
        <f>IF(D218="",0,IF(OR(ISNUMBER(SEARCH("&gt;",D218)),AND(COUNTIF(Psíquicos!$V$11:$Z$64,D218)&gt;0,VLOOKUP(D218,Tabla_PoderesPsi,4,FALSE)&lt;&gt;"No")),MAX($F$152:$F217)+1,0))</f>
        <v>0</v>
      </c>
      <c r="G218" s="1103"/>
      <c r="H218" s="3011" t="str">
        <f>IF(Tablas!$A66&gt;MAX($F$153:$F$291),"",INDEX(Poderes_Psi_Disponibles,MATCH(Tablas!$A66,$F$153:$F$291,0)))</f>
        <v/>
      </c>
    </row>
    <row r="219" spans="1:8" x14ac:dyDescent="0.2">
      <c r="A219" s="2027">
        <v>219</v>
      </c>
      <c r="C219" s="1103"/>
      <c r="D219" s="2024" t="str">
        <f t="shared" si="18"/>
        <v/>
      </c>
      <c r="F219" s="2019">
        <f>IF(D219="",0,IF(OR(ISNUMBER(SEARCH("&gt;",D219)),AND(COUNTIF(Psíquicos!$V$11:$Z$64,D219)&gt;0,VLOOKUP(D219,Tabla_PoderesPsi,4,FALSE)&lt;&gt;"No")),MAX($F$152:$F218)+1,0))</f>
        <v>0</v>
      </c>
      <c r="G219" s="1103"/>
      <c r="H219" s="3011" t="str">
        <f>IF(Tablas!$A67&gt;MAX($F$153:$F$291),"",INDEX(Poderes_Psi_Disponibles,MATCH(Tablas!$A67,$F$153:$F$291,0)))</f>
        <v/>
      </c>
    </row>
    <row r="220" spans="1:8" x14ac:dyDescent="0.2">
      <c r="A220" s="2027">
        <v>220</v>
      </c>
      <c r="C220" s="1103"/>
      <c r="D220" s="2024" t="str">
        <f t="shared" si="18"/>
        <v/>
      </c>
      <c r="F220" s="2019">
        <f>IF(D220="",0,IF(OR(ISNUMBER(SEARCH("&gt;",D220)),AND(COUNTIF(Psíquicos!$V$11:$Z$64,D220)&gt;0,VLOOKUP(D220,Tabla_PoderesPsi,4,FALSE)&lt;&gt;"No")),MAX($F$152:$F219)+1,0))</f>
        <v>0</v>
      </c>
      <c r="G220" s="1103"/>
      <c r="H220" s="3011" t="str">
        <f>IF(Tablas!$A68&gt;MAX($F$153:$F$291),"",INDEX(Poderes_Psi_Disponibles,MATCH(Tablas!$A68,$F$153:$F$291,0)))</f>
        <v/>
      </c>
    </row>
    <row r="221" spans="1:8" x14ac:dyDescent="0.2">
      <c r="A221" s="2027">
        <v>221</v>
      </c>
      <c r="C221" s="1103"/>
      <c r="D221" s="2024" t="str">
        <f t="shared" si="18"/>
        <v/>
      </c>
      <c r="F221" s="2019">
        <f>IF(D221="",0,IF(OR(ISNUMBER(SEARCH("&gt;",D221)),AND(COUNTIF(Psíquicos!$V$11:$Z$64,D221)&gt;0,VLOOKUP(D221,Tabla_PoderesPsi,4,FALSE)&lt;&gt;"No")),MAX($F$152:$F220)+1,0))</f>
        <v>0</v>
      </c>
      <c r="G221" s="1103"/>
      <c r="H221" s="3011" t="str">
        <f>IF(Tablas!$A69&gt;MAX($F$153:$F$291),"",INDEX(Poderes_Psi_Disponibles,MATCH(Tablas!$A69,$F$153:$F$291,0)))</f>
        <v/>
      </c>
    </row>
    <row r="222" spans="1:8" x14ac:dyDescent="0.2">
      <c r="A222" s="2027">
        <v>222</v>
      </c>
      <c r="C222" s="1103"/>
      <c r="D222" s="2024" t="str">
        <f t="shared" si="18"/>
        <v/>
      </c>
      <c r="F222" s="2019">
        <f>IF(D222="",0,IF(OR(ISNUMBER(SEARCH("&gt;",D222)),AND(COUNTIF(Psíquicos!$V$11:$Z$64,D222)&gt;0,VLOOKUP(D222,Tabla_PoderesPsi,4,FALSE)&lt;&gt;"No")),MAX($F$152:$F221)+1,0))</f>
        <v>0</v>
      </c>
      <c r="G222" s="1103"/>
      <c r="H222" s="3011" t="str">
        <f>IF(Tablas!$A70&gt;MAX($F$153:$F$291),"",INDEX(Poderes_Psi_Disponibles,MATCH(Tablas!$A70,$F$153:$F$291,0)))</f>
        <v/>
      </c>
    </row>
    <row r="223" spans="1:8" x14ac:dyDescent="0.2">
      <c r="A223" s="2027">
        <v>223</v>
      </c>
      <c r="C223" s="1103"/>
      <c r="D223" s="2024" t="str">
        <f t="shared" si="18"/>
        <v/>
      </c>
      <c r="F223" s="2019">
        <f>IF(D223="",0,IF(OR(ISNUMBER(SEARCH("&gt;",D223)),AND(COUNTIF(Psíquicos!$V$11:$Z$64,D223)&gt;0,VLOOKUP(D223,Tabla_PoderesPsi,4,FALSE)&lt;&gt;"No")),MAX($F$152:$F222)+1,0))</f>
        <v>0</v>
      </c>
      <c r="G223" s="1103"/>
      <c r="H223" s="3011" t="str">
        <f>IF(Tablas!$A71&gt;MAX($F$153:$F$291),"",INDEX(Poderes_Psi_Disponibles,MATCH(Tablas!$A71,$F$153:$F$291,0)))</f>
        <v/>
      </c>
    </row>
    <row r="224" spans="1:8" x14ac:dyDescent="0.2">
      <c r="A224" s="2027">
        <v>224</v>
      </c>
      <c r="C224" s="1103"/>
      <c r="D224" s="2024" t="str">
        <f t="shared" si="18"/>
        <v/>
      </c>
      <c r="F224" s="2019">
        <f>IF(D224="",0,IF(OR(ISNUMBER(SEARCH("&gt;",D224)),AND(COUNTIF(Psíquicos!$V$11:$Z$64,D224)&gt;0,VLOOKUP(D224,Tabla_PoderesPsi,4,FALSE)&lt;&gt;"No")),MAX($F$152:$F223)+1,0))</f>
        <v>0</v>
      </c>
      <c r="G224" s="1103"/>
      <c r="H224" s="3011" t="str">
        <f>IF(Tablas!$A72&gt;MAX($F$153:$F$291),"",INDEX(Poderes_Psi_Disponibles,MATCH(Tablas!$A72,$F$153:$F$291,0)))</f>
        <v/>
      </c>
    </row>
    <row r="225" spans="1:8" x14ac:dyDescent="0.2">
      <c r="A225" s="2027">
        <v>225</v>
      </c>
      <c r="C225" s="1103"/>
      <c r="D225" s="2024" t="str">
        <f t="shared" si="18"/>
        <v/>
      </c>
      <c r="F225" s="2019">
        <f>IF(D225="",0,IF(OR(ISNUMBER(SEARCH("&gt;",D225)),AND(COUNTIF(Psíquicos!$V$11:$Z$64,D225)&gt;0,VLOOKUP(D225,Tabla_PoderesPsi,4,FALSE)&lt;&gt;"No")),MAX($F$152:$F224)+1,0))</f>
        <v>0</v>
      </c>
      <c r="G225" s="1103"/>
      <c r="H225" s="3011" t="str">
        <f>IF(Tablas!$A73&gt;MAX($F$153:$F$291),"",INDEX(Poderes_Psi_Disponibles,MATCH(Tablas!$A73,$F$153:$F$291,0)))</f>
        <v/>
      </c>
    </row>
    <row r="226" spans="1:8" x14ac:dyDescent="0.2">
      <c r="A226" s="2027">
        <v>226</v>
      </c>
      <c r="C226" s="1103"/>
      <c r="D226" s="2024" t="str">
        <f t="shared" si="18"/>
        <v/>
      </c>
      <c r="F226" s="2019">
        <f>IF(D226="",0,IF(OR(ISNUMBER(SEARCH("&gt;",D226)),AND(COUNTIF(Psíquicos!$V$11:$Z$64,D226)&gt;0,VLOOKUP(D226,Tabla_PoderesPsi,4,FALSE)&lt;&gt;"No")),MAX($F$152:$F225)+1,0))</f>
        <v>0</v>
      </c>
      <c r="G226" s="1103"/>
      <c r="H226" s="3011" t="str">
        <f>IF(Tablas!$A74&gt;MAX($F$153:$F$291),"",INDEX(Poderes_Psi_Disponibles,MATCH(Tablas!$A74,$F$153:$F$291,0)))</f>
        <v/>
      </c>
    </row>
    <row r="227" spans="1:8" x14ac:dyDescent="0.2">
      <c r="A227" s="2027">
        <v>227</v>
      </c>
      <c r="C227" s="1103"/>
      <c r="D227" s="2024" t="str">
        <f t="shared" si="18"/>
        <v/>
      </c>
      <c r="F227" s="2019">
        <f>IF(D227="",0,IF(OR(ISNUMBER(SEARCH("&gt;",D227)),AND(COUNTIF(Psíquicos!$V$11:$Z$64,D227)&gt;0,VLOOKUP(D227,Tabla_PoderesPsi,4,FALSE)&lt;&gt;"No")),MAX($F$152:$F226)+1,0))</f>
        <v>0</v>
      </c>
      <c r="G227" s="1103"/>
      <c r="H227" s="3011" t="str">
        <f>IF(Tablas!$A75&gt;MAX($F$153:$F$291),"",INDEX(Poderes_Psi_Disponibles,MATCH(Tablas!$A75,$F$153:$F$291,0)))</f>
        <v/>
      </c>
    </row>
    <row r="228" spans="1:8" x14ac:dyDescent="0.2">
      <c r="A228" s="2027">
        <v>228</v>
      </c>
      <c r="C228" s="1103"/>
      <c r="D228" s="2024" t="str">
        <f t="shared" si="18"/>
        <v/>
      </c>
      <c r="F228" s="2019">
        <f>IF(D228="",0,IF(OR(ISNUMBER(SEARCH("&gt;",D228)),AND(COUNTIF(Psíquicos!$V$11:$Z$64,D228)&gt;0,VLOOKUP(D228,Tabla_PoderesPsi,4,FALSE)&lt;&gt;"No")),MAX($F$152:$F227)+1,0))</f>
        <v>0</v>
      </c>
      <c r="G228" s="1103"/>
      <c r="H228" s="3011" t="str">
        <f>IF(Tablas!$A76&gt;MAX($F$153:$F$291),"",INDEX(Poderes_Psi_Disponibles,MATCH(Tablas!$A76,$F$153:$F$291,0)))</f>
        <v/>
      </c>
    </row>
    <row r="229" spans="1:8" x14ac:dyDescent="0.2">
      <c r="A229" s="2027">
        <v>229</v>
      </c>
      <c r="C229" s="1103"/>
      <c r="D229" s="2024" t="str">
        <f t="shared" si="18"/>
        <v/>
      </c>
      <c r="F229" s="2019">
        <f>IF(D229="",0,IF(OR(ISNUMBER(SEARCH("&gt;",D229)),AND(COUNTIF(Psíquicos!$V$11:$Z$64,D229)&gt;0,VLOOKUP(D229,Tabla_PoderesPsi,4,FALSE)&lt;&gt;"No")),MAX($F$152:$F228)+1,0))</f>
        <v>0</v>
      </c>
      <c r="G229" s="1103"/>
      <c r="H229" s="3011" t="str">
        <f>IF(Tablas!$A77&gt;MAX($F$153:$F$291),"",INDEX(Poderes_Psi_Disponibles,MATCH(Tablas!$A77,$F$153:$F$291,0)))</f>
        <v/>
      </c>
    </row>
    <row r="230" spans="1:8" x14ac:dyDescent="0.2">
      <c r="A230" s="2027">
        <v>230</v>
      </c>
      <c r="C230" s="1103"/>
      <c r="D230" s="2024" t="str">
        <f t="shared" si="18"/>
        <v/>
      </c>
      <c r="F230" s="2019">
        <f>IF(D230="",0,IF(OR(ISNUMBER(SEARCH("&gt;",D230)),AND(COUNTIF(Psíquicos!$V$11:$Z$64,D230)&gt;0,VLOOKUP(D230,Tabla_PoderesPsi,4,FALSE)&lt;&gt;"No")),MAX($F$152:$F229)+1,0))</f>
        <v>0</v>
      </c>
      <c r="G230" s="1103"/>
      <c r="H230" s="3011" t="str">
        <f>IF(Tablas!$A78&gt;MAX($F$153:$F$291),"",INDEX(Poderes_Psi_Disponibles,MATCH(Tablas!$A78,$F$153:$F$291,0)))</f>
        <v/>
      </c>
    </row>
    <row r="231" spans="1:8" x14ac:dyDescent="0.2">
      <c r="A231" s="2027">
        <v>231</v>
      </c>
      <c r="C231" s="1103"/>
      <c r="D231" s="2024" t="str">
        <f t="shared" si="18"/>
        <v/>
      </c>
      <c r="F231" s="2019">
        <f>IF(D231="",0,IF(OR(ISNUMBER(SEARCH("&gt;",D231)),AND(COUNTIF(Psíquicos!$V$11:$Z$64,D231)&gt;0,VLOOKUP(D231,Tabla_PoderesPsi,4,FALSE)&lt;&gt;"No")),MAX($F$152:$F230)+1,0))</f>
        <v>0</v>
      </c>
      <c r="G231" s="1103"/>
      <c r="H231" s="3011" t="str">
        <f>IF(Tablas!$A79&gt;MAX($F$153:$F$291),"",INDEX(Poderes_Psi_Disponibles,MATCH(Tablas!$A79,$F$153:$F$291,0)))</f>
        <v/>
      </c>
    </row>
    <row r="232" spans="1:8" x14ac:dyDescent="0.2">
      <c r="A232" s="2027">
        <v>232</v>
      </c>
      <c r="C232" s="1103"/>
      <c r="D232" s="2024" t="str">
        <f t="shared" si="18"/>
        <v/>
      </c>
      <c r="F232" s="2019">
        <f>IF(D232="",0,IF(OR(ISNUMBER(SEARCH("&gt;",D232)),AND(COUNTIF(Psíquicos!$V$11:$Z$64,D232)&gt;0,VLOOKUP(D232,Tabla_PoderesPsi,4,FALSE)&lt;&gt;"No")),MAX($F$152:$F231)+1,0))</f>
        <v>0</v>
      </c>
      <c r="G232" s="1103"/>
      <c r="H232" s="3011" t="str">
        <f>IF(Tablas!$A80&gt;MAX($F$153:$F$291),"",INDEX(Poderes_Psi_Disponibles,MATCH(Tablas!$A80,$F$153:$F$291,0)))</f>
        <v/>
      </c>
    </row>
    <row r="233" spans="1:8" x14ac:dyDescent="0.2">
      <c r="A233" s="2027">
        <v>233</v>
      </c>
      <c r="C233" s="1103"/>
      <c r="D233" s="2024" t="str">
        <f t="shared" si="18"/>
        <v/>
      </c>
      <c r="F233" s="2019">
        <f>IF(D233="",0,IF(OR(ISNUMBER(SEARCH("&gt;",D233)),AND(COUNTIF(Psíquicos!$V$11:$Z$64,D233)&gt;0,VLOOKUP(D233,Tabla_PoderesPsi,4,FALSE)&lt;&gt;"No")),MAX($F$152:$F232)+1,0))</f>
        <v>0</v>
      </c>
      <c r="G233" s="1103"/>
      <c r="H233" s="3011" t="str">
        <f>IF(Tablas!$A81&gt;MAX($F$153:$F$291),"",INDEX(Poderes_Psi_Disponibles,MATCH(Tablas!$A81,$F$153:$F$291,0)))</f>
        <v/>
      </c>
    </row>
    <row r="234" spans="1:8" x14ac:dyDescent="0.2">
      <c r="A234" s="2027">
        <v>234</v>
      </c>
      <c r="C234" s="1103"/>
      <c r="D234" s="2024" t="str">
        <f t="shared" si="18"/>
        <v/>
      </c>
      <c r="F234" s="2019">
        <f>IF(D234="",0,IF(OR(ISNUMBER(SEARCH("&gt;",D234)),AND(COUNTIF(Psíquicos!$V$11:$Z$64,D234)&gt;0,VLOOKUP(D234,Tabla_PoderesPsi,4,FALSE)&lt;&gt;"No")),MAX($F$152:$F233)+1,0))</f>
        <v>0</v>
      </c>
      <c r="G234" s="1103"/>
      <c r="H234" s="3011" t="str">
        <f>IF(Tablas!$A82&gt;MAX($F$153:$F$291),"",INDEX(Poderes_Psi_Disponibles,MATCH(Tablas!$A82,$F$153:$F$291,0)))</f>
        <v/>
      </c>
    </row>
    <row r="235" spans="1:8" x14ac:dyDescent="0.2">
      <c r="A235" s="2027">
        <v>235</v>
      </c>
      <c r="C235" s="1103"/>
      <c r="D235" s="2024" t="str">
        <f t="shared" si="18"/>
        <v/>
      </c>
      <c r="F235" s="2019">
        <f>IF(D235="",0,IF(OR(ISNUMBER(SEARCH("&gt;",D235)),AND(COUNTIF(Psíquicos!$V$11:$Z$64,D235)&gt;0,VLOOKUP(D235,Tabla_PoderesPsi,4,FALSE)&lt;&gt;"No")),MAX($F$152:$F234)+1,0))</f>
        <v>0</v>
      </c>
      <c r="G235" s="1103"/>
      <c r="H235" s="3011" t="str">
        <f>IF(Tablas!$A83&gt;MAX($F$153:$F$291),"",INDEX(Poderes_Psi_Disponibles,MATCH(Tablas!$A83,$F$153:$F$291,0)))</f>
        <v/>
      </c>
    </row>
    <row r="236" spans="1:8" x14ac:dyDescent="0.2">
      <c r="A236" s="2027">
        <v>236</v>
      </c>
      <c r="C236" s="1103"/>
      <c r="D236" s="2024" t="str">
        <f t="shared" si="18"/>
        <v/>
      </c>
      <c r="F236" s="2019">
        <f>IF(D236="",0,IF(OR(ISNUMBER(SEARCH("&gt;",D236)),AND(COUNTIF(Psíquicos!$V$11:$Z$64,D236)&gt;0,VLOOKUP(D236,Tabla_PoderesPsi,4,FALSE)&lt;&gt;"No")),MAX($F$152:$F235)+1,0))</f>
        <v>0</v>
      </c>
      <c r="G236" s="1103"/>
      <c r="H236" s="3011" t="str">
        <f>IF(Tablas!$A84&gt;MAX($F$153:$F$291),"",INDEX(Poderes_Psi_Disponibles,MATCH(Tablas!$A84,$F$153:$F$291,0)))</f>
        <v/>
      </c>
    </row>
    <row r="237" spans="1:8" x14ac:dyDescent="0.2">
      <c r="A237" s="2027">
        <v>237</v>
      </c>
      <c r="C237" s="1103"/>
      <c r="D237" s="2024" t="str">
        <f t="shared" si="18"/>
        <v/>
      </c>
      <c r="F237" s="2019">
        <f>IF(D237="",0,IF(OR(ISNUMBER(SEARCH("&gt;",D237)),AND(COUNTIF(Psíquicos!$V$11:$Z$64,D237)&gt;0,VLOOKUP(D237,Tabla_PoderesPsi,4,FALSE)&lt;&gt;"No")),MAX($F$152:$F236)+1,0))</f>
        <v>0</v>
      </c>
      <c r="G237" s="1103"/>
      <c r="H237" s="3011" t="str">
        <f>IF(Tablas!$A85&gt;MAX($F$153:$F$291),"",INDEX(Poderes_Psi_Disponibles,MATCH(Tablas!$A85,$F$153:$F$291,0)))</f>
        <v/>
      </c>
    </row>
    <row r="238" spans="1:8" x14ac:dyDescent="0.2">
      <c r="A238" s="2027">
        <v>238</v>
      </c>
      <c r="C238" s="1103"/>
      <c r="D238" s="2024" t="str">
        <f t="shared" si="18"/>
        <v/>
      </c>
      <c r="F238" s="2019">
        <f>IF(D238="",0,IF(OR(ISNUMBER(SEARCH("&gt;",D238)),AND(COUNTIF(Psíquicos!$V$11:$Z$64,D238)&gt;0,VLOOKUP(D238,Tabla_PoderesPsi,4,FALSE)&lt;&gt;"No")),MAX($F$152:$F237)+1,0))</f>
        <v>0</v>
      </c>
      <c r="G238" s="1103"/>
      <c r="H238" s="3011" t="str">
        <f>IF(Tablas!$A86&gt;MAX($F$153:$F$291),"",INDEX(Poderes_Psi_Disponibles,MATCH(Tablas!$A86,$F$153:$F$291,0)))</f>
        <v/>
      </c>
    </row>
    <row r="239" spans="1:8" x14ac:dyDescent="0.2">
      <c r="A239" s="2027">
        <v>239</v>
      </c>
      <c r="C239" s="1103"/>
      <c r="D239" s="2024" t="str">
        <f t="shared" si="18"/>
        <v/>
      </c>
      <c r="F239" s="2019">
        <f>IF(D239="",0,IF(OR(ISNUMBER(SEARCH("&gt;",D239)),AND(COUNTIF(Psíquicos!$V$11:$Z$64,D239)&gt;0,VLOOKUP(D239,Tabla_PoderesPsi,4,FALSE)&lt;&gt;"No")),MAX($F$152:$F238)+1,0))</f>
        <v>0</v>
      </c>
      <c r="G239" s="1103"/>
      <c r="H239" s="3011" t="str">
        <f>IF(Tablas!$A87&gt;MAX($F$153:$F$291),"",INDEX(Poderes_Psi_Disponibles,MATCH(Tablas!$A87,$F$153:$F$291,0)))</f>
        <v/>
      </c>
    </row>
    <row r="240" spans="1:8" x14ac:dyDescent="0.2">
      <c r="A240" s="2027">
        <v>240</v>
      </c>
      <c r="C240" s="1103"/>
      <c r="D240" s="2024" t="str">
        <f t="shared" si="18"/>
        <v/>
      </c>
      <c r="F240" s="2019">
        <f>IF(D240="",0,IF(OR(ISNUMBER(SEARCH("&gt;",D240)),AND(COUNTIF(Psíquicos!$V$11:$Z$64,D240)&gt;0,VLOOKUP(D240,Tabla_PoderesPsi,4,FALSE)&lt;&gt;"No")),MAX($F$152:$F239)+1,0))</f>
        <v>0</v>
      </c>
      <c r="G240" s="1103"/>
      <c r="H240" s="3011" t="str">
        <f>IF(Tablas!$A88&gt;MAX($F$153:$F$291),"",INDEX(Poderes_Psi_Disponibles,MATCH(Tablas!$A88,$F$153:$F$291,0)))</f>
        <v/>
      </c>
    </row>
    <row r="241" spans="1:8" x14ac:dyDescent="0.2">
      <c r="A241" s="2027">
        <v>241</v>
      </c>
      <c r="C241" s="1103"/>
      <c r="D241" s="2024" t="str">
        <f t="shared" si="18"/>
        <v/>
      </c>
      <c r="F241" s="2019">
        <f>IF(D241="",0,IF(OR(ISNUMBER(SEARCH("&gt;",D241)),AND(COUNTIF(Psíquicos!$V$11:$Z$64,D241)&gt;0,VLOOKUP(D241,Tabla_PoderesPsi,4,FALSE)&lt;&gt;"No")),MAX($F$152:$F240)+1,0))</f>
        <v>0</v>
      </c>
      <c r="G241" s="1103"/>
      <c r="H241" s="3011" t="str">
        <f>IF(Tablas!$A89&gt;MAX($F$153:$F$291),"",INDEX(Poderes_Psi_Disponibles,MATCH(Tablas!$A89,$F$153:$F$291,0)))</f>
        <v/>
      </c>
    </row>
    <row r="242" spans="1:8" x14ac:dyDescent="0.2">
      <c r="A242" s="2027">
        <v>242</v>
      </c>
      <c r="C242" s="1103"/>
      <c r="D242" s="2024" t="str">
        <f t="shared" si="18"/>
        <v/>
      </c>
      <c r="F242" s="2019">
        <f>IF(D242="",0,IF(OR(ISNUMBER(SEARCH("&gt;",D242)),AND(COUNTIF(Psíquicos!$V$11:$Z$64,D242)&gt;0,VLOOKUP(D242,Tabla_PoderesPsi,4,FALSE)&lt;&gt;"No")),MAX($F$152:$F241)+1,0))</f>
        <v>0</v>
      </c>
      <c r="G242" s="1103"/>
      <c r="H242" s="3011" t="str">
        <f>IF(Tablas!$A90&gt;MAX($F$153:$F$291),"",INDEX(Poderes_Psi_Disponibles,MATCH(Tablas!$A90,$F$153:$F$291,0)))</f>
        <v/>
      </c>
    </row>
    <row r="243" spans="1:8" x14ac:dyDescent="0.2">
      <c r="A243" s="2027">
        <v>243</v>
      </c>
      <c r="C243" s="1103"/>
      <c r="D243" s="2024" t="str">
        <f t="shared" si="18"/>
        <v/>
      </c>
      <c r="F243" s="2019">
        <f>IF(D243="",0,IF(OR(ISNUMBER(SEARCH("&gt;",D243)),AND(COUNTIF(Psíquicos!$V$11:$Z$64,D243)&gt;0,VLOOKUP(D243,Tabla_PoderesPsi,4,FALSE)&lt;&gt;"No")),MAX($F$152:$F242)+1,0))</f>
        <v>0</v>
      </c>
      <c r="G243" s="1103"/>
      <c r="H243" s="3011" t="str">
        <f>IF(Tablas!$A91&gt;MAX($F$153:$F$291),"",INDEX(Poderes_Psi_Disponibles,MATCH(Tablas!$A91,$F$153:$F$291,0)))</f>
        <v/>
      </c>
    </row>
    <row r="244" spans="1:8" x14ac:dyDescent="0.2">
      <c r="A244" s="2027">
        <v>244</v>
      </c>
      <c r="C244" s="1103"/>
      <c r="D244" s="2024" t="str">
        <f t="shared" si="18"/>
        <v/>
      </c>
      <c r="F244" s="2019">
        <f>IF(D244="",0,IF(OR(ISNUMBER(SEARCH("&gt;",D244)),AND(COUNTIF(Psíquicos!$V$11:$Z$64,D244)&gt;0,VLOOKUP(D244,Tabla_PoderesPsi,4,FALSE)&lt;&gt;"No")),MAX($F$152:$F243)+1,0))</f>
        <v>0</v>
      </c>
      <c r="G244" s="1103"/>
      <c r="H244" s="3011" t="str">
        <f>IF(Tablas!$A92&gt;MAX($F$153:$F$291),"",INDEX(Poderes_Psi_Disponibles,MATCH(Tablas!$A92,$F$153:$F$291,0)))</f>
        <v/>
      </c>
    </row>
    <row r="245" spans="1:8" x14ac:dyDescent="0.2">
      <c r="A245" s="2027">
        <v>245</v>
      </c>
      <c r="C245" s="1103"/>
      <c r="D245" s="2024" t="str">
        <f t="shared" si="18"/>
        <v/>
      </c>
      <c r="F245" s="2019">
        <f>IF(D245="",0,IF(OR(ISNUMBER(SEARCH("&gt;",D245)),AND(COUNTIF(Psíquicos!$V$11:$Z$64,D245)&gt;0,VLOOKUP(D245,Tabla_PoderesPsi,4,FALSE)&lt;&gt;"No")),MAX($F$152:$F244)+1,0))</f>
        <v>0</v>
      </c>
      <c r="G245" s="1103"/>
      <c r="H245" s="3011" t="str">
        <f>IF(Tablas!$A93&gt;MAX($F$153:$F$291),"",INDEX(Poderes_Psi_Disponibles,MATCH(Tablas!$A93,$F$153:$F$291,0)))</f>
        <v/>
      </c>
    </row>
    <row r="246" spans="1:8" x14ac:dyDescent="0.2">
      <c r="A246" s="2027">
        <v>246</v>
      </c>
      <c r="C246" s="1103"/>
      <c r="D246" s="2024" t="str">
        <f t="shared" si="18"/>
        <v/>
      </c>
      <c r="F246" s="2019">
        <f>IF(D246="",0,IF(OR(ISNUMBER(SEARCH("&gt;",D246)),AND(COUNTIF(Psíquicos!$V$11:$Z$64,D246)&gt;0,VLOOKUP(D246,Tabla_PoderesPsi,4,FALSE)&lt;&gt;"No")),MAX($F$152:$F245)+1,0))</f>
        <v>0</v>
      </c>
      <c r="G246" s="1103"/>
      <c r="H246" s="3011" t="str">
        <f>IF(Tablas!$A94&gt;MAX($F$153:$F$291),"",INDEX(Poderes_Psi_Disponibles,MATCH(Tablas!$A94,$F$153:$F$291,0)))</f>
        <v/>
      </c>
    </row>
    <row r="247" spans="1:8" x14ac:dyDescent="0.2">
      <c r="A247" s="2027">
        <v>247</v>
      </c>
      <c r="C247" s="1103"/>
      <c r="D247" s="2024" t="str">
        <f t="shared" si="18"/>
        <v/>
      </c>
      <c r="F247" s="2019">
        <f>IF(D247="",0,IF(OR(ISNUMBER(SEARCH("&gt;",D247)),AND(COUNTIF(Psíquicos!$V$11:$Z$64,D247)&gt;0,VLOOKUP(D247,Tabla_PoderesPsi,4,FALSE)&lt;&gt;"No")),MAX($F$152:$F246)+1,0))</f>
        <v>0</v>
      </c>
      <c r="G247" s="1103"/>
      <c r="H247" s="3011" t="str">
        <f>IF(Tablas!$A95&gt;MAX($F$153:$F$291),"",INDEX(Poderes_Psi_Disponibles,MATCH(Tablas!$A95,$F$153:$F$291,0)))</f>
        <v/>
      </c>
    </row>
    <row r="248" spans="1:8" x14ac:dyDescent="0.2">
      <c r="A248" s="2027">
        <v>248</v>
      </c>
      <c r="C248" s="1103"/>
      <c r="D248" s="2024" t="str">
        <f t="shared" si="18"/>
        <v/>
      </c>
      <c r="F248" s="2019">
        <f>IF(D248="",0,IF(OR(ISNUMBER(SEARCH("&gt;",D248)),AND(COUNTIF(Psíquicos!$V$11:$Z$64,D248)&gt;0,VLOOKUP(D248,Tabla_PoderesPsi,4,FALSE)&lt;&gt;"No")),MAX($F$152:$F247)+1,0))</f>
        <v>0</v>
      </c>
      <c r="G248" s="1103"/>
      <c r="H248" s="3011" t="str">
        <f>IF(Tablas!$A96&gt;MAX($F$153:$F$291),"",INDEX(Poderes_Psi_Disponibles,MATCH(Tablas!$A96,$F$153:$F$291,0)))</f>
        <v/>
      </c>
    </row>
    <row r="249" spans="1:8" x14ac:dyDescent="0.2">
      <c r="A249" s="2027">
        <v>249</v>
      </c>
      <c r="C249" s="1103"/>
      <c r="D249" s="2024" t="str">
        <f t="shared" ref="D249:D280" si="19">IF(ISNA(VLOOKUP(A97,$B$7:$D$145,3,FALSE)),"",VLOOKUP(A97,$B$7:$D$145,3,FALSE))</f>
        <v/>
      </c>
      <c r="F249" s="2019">
        <f>IF(D249="",0,IF(OR(ISNUMBER(SEARCH("&gt;",D249)),AND(COUNTIF(Psíquicos!$V$11:$Z$64,D249)&gt;0,VLOOKUP(D249,Tabla_PoderesPsi,4,FALSE)&lt;&gt;"No")),MAX($F$152:$F248)+1,0))</f>
        <v>0</v>
      </c>
      <c r="G249" s="1103"/>
      <c r="H249" s="3011" t="str">
        <f>IF(Tablas!$A97&gt;MAX($F$153:$F$291),"",INDEX(Poderes_Psi_Disponibles,MATCH(Tablas!$A97,$F$153:$F$291,0)))</f>
        <v/>
      </c>
    </row>
    <row r="250" spans="1:8" x14ac:dyDescent="0.2">
      <c r="A250" s="2027">
        <v>250</v>
      </c>
      <c r="C250" s="1103"/>
      <c r="D250" s="2024" t="str">
        <f t="shared" si="19"/>
        <v/>
      </c>
      <c r="F250" s="2019">
        <f>IF(D250="",0,IF(OR(ISNUMBER(SEARCH("&gt;",D250)),AND(COUNTIF(Psíquicos!$V$11:$Z$64,D250)&gt;0,VLOOKUP(D250,Tabla_PoderesPsi,4,FALSE)&lt;&gt;"No")),MAX($F$152:$F249)+1,0))</f>
        <v>0</v>
      </c>
      <c r="G250" s="1103"/>
      <c r="H250" s="3011" t="str">
        <f>IF(Tablas!$A98&gt;MAX($F$153:$F$291),"",INDEX(Poderes_Psi_Disponibles,MATCH(Tablas!$A98,$F$153:$F$291,0)))</f>
        <v/>
      </c>
    </row>
    <row r="251" spans="1:8" x14ac:dyDescent="0.2">
      <c r="A251" s="2027">
        <v>251</v>
      </c>
      <c r="C251" s="1103"/>
      <c r="D251" s="2024" t="str">
        <f t="shared" si="19"/>
        <v/>
      </c>
      <c r="F251" s="2019">
        <f>IF(D251="",0,IF(OR(ISNUMBER(SEARCH("&gt;",D251)),AND(COUNTIF(Psíquicos!$V$11:$Z$64,D251)&gt;0,VLOOKUP(D251,Tabla_PoderesPsi,4,FALSE)&lt;&gt;"No")),MAX($F$152:$F250)+1,0))</f>
        <v>0</v>
      </c>
      <c r="G251" s="1103"/>
      <c r="H251" s="3011" t="str">
        <f>IF(Tablas!$A99&gt;MAX($F$153:$F$291),"",INDEX(Poderes_Psi_Disponibles,MATCH(Tablas!$A99,$F$153:$F$291,0)))</f>
        <v/>
      </c>
    </row>
    <row r="252" spans="1:8" x14ac:dyDescent="0.2">
      <c r="A252" s="2027">
        <v>252</v>
      </c>
      <c r="C252" s="1103"/>
      <c r="D252" s="2024" t="str">
        <f t="shared" si="19"/>
        <v/>
      </c>
      <c r="F252" s="2019">
        <f>IF(D252="",0,IF(OR(ISNUMBER(SEARCH("&gt;",D252)),AND(COUNTIF(Psíquicos!$V$11:$Z$64,D252)&gt;0,VLOOKUP(D252,Tabla_PoderesPsi,4,FALSE)&lt;&gt;"No")),MAX($F$152:$F251)+1,0))</f>
        <v>0</v>
      </c>
      <c r="G252" s="1103"/>
      <c r="H252" s="3011" t="str">
        <f>IF(Tablas!$A100&gt;MAX($F$153:$F$291),"",INDEX(Poderes_Psi_Disponibles,MATCH(Tablas!$A100,$F$153:$F$291,0)))</f>
        <v/>
      </c>
    </row>
    <row r="253" spans="1:8" x14ac:dyDescent="0.2">
      <c r="A253" s="2027">
        <v>253</v>
      </c>
      <c r="C253" s="1103"/>
      <c r="D253" s="2024" t="str">
        <f t="shared" si="19"/>
        <v/>
      </c>
      <c r="F253" s="2019">
        <f>IF(D253="",0,IF(OR(ISNUMBER(SEARCH("&gt;",D253)),AND(COUNTIF(Psíquicos!$V$11:$Z$64,D253)&gt;0,VLOOKUP(D253,Tabla_PoderesPsi,4,FALSE)&lt;&gt;"No")),MAX($F$152:$F252)+1,0))</f>
        <v>0</v>
      </c>
      <c r="G253" s="1103"/>
      <c r="H253" s="3011" t="str">
        <f>IF(Tablas!$A101&gt;MAX($F$153:$F$291),"",INDEX(Poderes_Psi_Disponibles,MATCH(Tablas!$A101,$F$153:$F$291,0)))</f>
        <v/>
      </c>
    </row>
    <row r="254" spans="1:8" x14ac:dyDescent="0.2">
      <c r="A254" s="2027">
        <v>254</v>
      </c>
      <c r="C254" s="1103"/>
      <c r="D254" s="2024" t="str">
        <f t="shared" si="19"/>
        <v/>
      </c>
      <c r="F254" s="2019">
        <f>IF(D254="",0,IF(OR(ISNUMBER(SEARCH("&gt;",D254)),AND(COUNTIF(Psíquicos!$V$11:$Z$64,D254)&gt;0,VLOOKUP(D254,Tabla_PoderesPsi,4,FALSE)&lt;&gt;"No")),MAX($F$152:$F253)+1,0))</f>
        <v>0</v>
      </c>
      <c r="G254" s="1103"/>
      <c r="H254" s="3011" t="str">
        <f>IF(Tablas!$A102&gt;MAX($F$153:$F$291),"",INDEX(Poderes_Psi_Disponibles,MATCH(Tablas!$A102,$F$153:$F$291,0)))</f>
        <v/>
      </c>
    </row>
    <row r="255" spans="1:8" x14ac:dyDescent="0.2">
      <c r="A255" s="2027">
        <v>255</v>
      </c>
      <c r="C255" s="1103"/>
      <c r="D255" s="2024" t="str">
        <f t="shared" si="19"/>
        <v/>
      </c>
      <c r="F255" s="2019">
        <f>IF(D255="",0,IF(OR(ISNUMBER(SEARCH("&gt;",D255)),AND(COUNTIF(Psíquicos!$V$11:$Z$64,D255)&gt;0,VLOOKUP(D255,Tabla_PoderesPsi,4,FALSE)&lt;&gt;"No")),MAX($F$152:$F254)+1,0))</f>
        <v>0</v>
      </c>
      <c r="G255" s="1103"/>
      <c r="H255" s="3011" t="str">
        <f>IF(Tablas!$A103&gt;MAX($F$153:$F$291),"",INDEX(Poderes_Psi_Disponibles,MATCH(Tablas!$A103,$F$153:$F$291,0)))</f>
        <v/>
      </c>
    </row>
    <row r="256" spans="1:8" x14ac:dyDescent="0.2">
      <c r="A256" s="2027">
        <v>256</v>
      </c>
      <c r="C256" s="1103"/>
      <c r="D256" s="2024" t="str">
        <f t="shared" si="19"/>
        <v/>
      </c>
      <c r="F256" s="2019">
        <f>IF(D256="",0,IF(OR(ISNUMBER(SEARCH("&gt;",D256)),AND(COUNTIF(Psíquicos!$V$11:$Z$64,D256)&gt;0,VLOOKUP(D256,Tabla_PoderesPsi,4,FALSE)&lt;&gt;"No")),MAX($F$152:$F255)+1,0))</f>
        <v>0</v>
      </c>
      <c r="G256" s="1103"/>
      <c r="H256" s="3011" t="str">
        <f>IF(Tablas!$A104&gt;MAX($F$153:$F$291),"",INDEX(Poderes_Psi_Disponibles,MATCH(Tablas!$A104,$F$153:$F$291,0)))</f>
        <v/>
      </c>
    </row>
    <row r="257" spans="1:8" x14ac:dyDescent="0.2">
      <c r="A257" s="2027">
        <v>257</v>
      </c>
      <c r="C257" s="1103"/>
      <c r="D257" s="2024" t="str">
        <f t="shared" si="19"/>
        <v/>
      </c>
      <c r="F257" s="2019">
        <f>IF(D257="",0,IF(OR(ISNUMBER(SEARCH("&gt;",D257)),AND(COUNTIF(Psíquicos!$V$11:$Z$64,D257)&gt;0,VLOOKUP(D257,Tabla_PoderesPsi,4,FALSE)&lt;&gt;"No")),MAX($F$152:$F256)+1,0))</f>
        <v>0</v>
      </c>
      <c r="G257" s="1103"/>
      <c r="H257" s="3011" t="str">
        <f>IF(Tablas!$A105&gt;MAX($F$153:$F$291),"",INDEX(Poderes_Psi_Disponibles,MATCH(Tablas!$A105,$F$153:$F$291,0)))</f>
        <v/>
      </c>
    </row>
    <row r="258" spans="1:8" x14ac:dyDescent="0.2">
      <c r="A258" s="2027">
        <v>258</v>
      </c>
      <c r="C258" s="1103"/>
      <c r="D258" s="2024" t="str">
        <f t="shared" si="19"/>
        <v/>
      </c>
      <c r="F258" s="2019">
        <f>IF(D258="",0,IF(OR(ISNUMBER(SEARCH("&gt;",D258)),AND(COUNTIF(Psíquicos!$V$11:$Z$64,D258)&gt;0,VLOOKUP(D258,Tabla_PoderesPsi,4,FALSE)&lt;&gt;"No")),MAX($F$152:$F257)+1,0))</f>
        <v>0</v>
      </c>
      <c r="G258" s="1103"/>
      <c r="H258" s="3011" t="str">
        <f>IF(Tablas!$A106&gt;MAX($F$153:$F$291),"",INDEX(Poderes_Psi_Disponibles,MATCH(Tablas!$A106,$F$153:$F$291,0)))</f>
        <v/>
      </c>
    </row>
    <row r="259" spans="1:8" x14ac:dyDescent="0.2">
      <c r="A259" s="2027">
        <v>259</v>
      </c>
      <c r="C259" s="1103"/>
      <c r="D259" s="2024" t="str">
        <f t="shared" si="19"/>
        <v/>
      </c>
      <c r="F259" s="2019">
        <f>IF(D259="",0,IF(OR(ISNUMBER(SEARCH("&gt;",D259)),AND(COUNTIF(Psíquicos!$V$11:$Z$64,D259)&gt;0,VLOOKUP(D259,Tabla_PoderesPsi,4,FALSE)&lt;&gt;"No")),MAX($F$152:$F258)+1,0))</f>
        <v>0</v>
      </c>
      <c r="G259" s="1103"/>
      <c r="H259" s="3011" t="str">
        <f>IF(Tablas!$A107&gt;MAX($F$153:$F$291),"",INDEX(Poderes_Psi_Disponibles,MATCH(Tablas!$A107,$F$153:$F$291,0)))</f>
        <v/>
      </c>
    </row>
    <row r="260" spans="1:8" x14ac:dyDescent="0.2">
      <c r="A260" s="2027">
        <v>260</v>
      </c>
      <c r="C260" s="1103"/>
      <c r="D260" s="2024" t="str">
        <f t="shared" si="19"/>
        <v/>
      </c>
      <c r="F260" s="2019">
        <f>IF(D260="",0,IF(OR(ISNUMBER(SEARCH("&gt;",D260)),AND(COUNTIF(Psíquicos!$V$11:$Z$64,D260)&gt;0,VLOOKUP(D260,Tabla_PoderesPsi,4,FALSE)&lt;&gt;"No")),MAX($F$152:$F259)+1,0))</f>
        <v>0</v>
      </c>
      <c r="G260" s="1103"/>
      <c r="H260" s="3011" t="str">
        <f>IF(Tablas!$A108&gt;MAX($F$153:$F$291),"",INDEX(Poderes_Psi_Disponibles,MATCH(Tablas!$A108,$F$153:$F$291,0)))</f>
        <v/>
      </c>
    </row>
    <row r="261" spans="1:8" x14ac:dyDescent="0.2">
      <c r="A261" s="2027">
        <v>261</v>
      </c>
      <c r="C261" s="1103"/>
      <c r="D261" s="2024" t="str">
        <f t="shared" si="19"/>
        <v/>
      </c>
      <c r="F261" s="2019">
        <f>IF(D261="",0,IF(OR(ISNUMBER(SEARCH("&gt;",D261)),AND(COUNTIF(Psíquicos!$V$11:$Z$64,D261)&gt;0,VLOOKUP(D261,Tabla_PoderesPsi,4,FALSE)&lt;&gt;"No")),MAX($F$152:$F260)+1,0))</f>
        <v>0</v>
      </c>
      <c r="G261" s="1103"/>
      <c r="H261" s="3011" t="str">
        <f>IF(Tablas!$A109&gt;MAX($F$153:$F$291),"",INDEX(Poderes_Psi_Disponibles,MATCH(Tablas!$A109,$F$153:$F$291,0)))</f>
        <v/>
      </c>
    </row>
    <row r="262" spans="1:8" x14ac:dyDescent="0.2">
      <c r="A262" s="2027">
        <v>262</v>
      </c>
      <c r="C262" s="1103"/>
      <c r="D262" s="2024" t="str">
        <f t="shared" si="19"/>
        <v/>
      </c>
      <c r="F262" s="2019">
        <f>IF(D262="",0,IF(OR(ISNUMBER(SEARCH("&gt;",D262)),AND(COUNTIF(Psíquicos!$V$11:$Z$64,D262)&gt;0,VLOOKUP(D262,Tabla_PoderesPsi,4,FALSE)&lt;&gt;"No")),MAX($F$152:$F261)+1,0))</f>
        <v>0</v>
      </c>
      <c r="G262" s="1103"/>
      <c r="H262" s="3011" t="str">
        <f>IF(Tablas!$A110&gt;MAX($F$153:$F$291),"",INDEX(Poderes_Psi_Disponibles,MATCH(Tablas!$A110,$F$153:$F$291,0)))</f>
        <v/>
      </c>
    </row>
    <row r="263" spans="1:8" x14ac:dyDescent="0.2">
      <c r="A263" s="2027">
        <v>263</v>
      </c>
      <c r="C263" s="1103"/>
      <c r="D263" s="2024" t="str">
        <f t="shared" si="19"/>
        <v/>
      </c>
      <c r="F263" s="2019">
        <f>IF(D263="",0,IF(OR(ISNUMBER(SEARCH("&gt;",D263)),AND(COUNTIF(Psíquicos!$V$11:$Z$64,D263)&gt;0,VLOOKUP(D263,Tabla_PoderesPsi,4,FALSE)&lt;&gt;"No")),MAX($F$152:$F262)+1,0))</f>
        <v>0</v>
      </c>
      <c r="G263" s="1103"/>
      <c r="H263" s="3011" t="str">
        <f>IF(Tablas!$A111&gt;MAX($F$153:$F$291),"",INDEX(Poderes_Psi_Disponibles,MATCH(Tablas!$A111,$F$153:$F$291,0)))</f>
        <v/>
      </c>
    </row>
    <row r="264" spans="1:8" x14ac:dyDescent="0.2">
      <c r="A264" s="2027">
        <v>264</v>
      </c>
      <c r="C264" s="1103"/>
      <c r="D264" s="2024" t="str">
        <f t="shared" si="19"/>
        <v/>
      </c>
      <c r="F264" s="2019">
        <f>IF(D264="",0,IF(OR(ISNUMBER(SEARCH("&gt;",D264)),AND(COUNTIF(Psíquicos!$V$11:$Z$64,D264)&gt;0,VLOOKUP(D264,Tabla_PoderesPsi,4,FALSE)&lt;&gt;"No")),MAX($F$152:$F263)+1,0))</f>
        <v>0</v>
      </c>
      <c r="G264" s="1103"/>
      <c r="H264" s="3011" t="str">
        <f>IF(Tablas!$A112&gt;MAX($F$153:$F$291),"",INDEX(Poderes_Psi_Disponibles,MATCH(Tablas!$A112,$F$153:$F$291,0)))</f>
        <v/>
      </c>
    </row>
    <row r="265" spans="1:8" x14ac:dyDescent="0.2">
      <c r="A265" s="2027">
        <v>265</v>
      </c>
      <c r="C265" s="1103"/>
      <c r="D265" s="2024" t="str">
        <f t="shared" si="19"/>
        <v/>
      </c>
      <c r="F265" s="2019">
        <f>IF(D265="",0,IF(OR(ISNUMBER(SEARCH("&gt;",D265)),AND(COUNTIF(Psíquicos!$V$11:$Z$64,D265)&gt;0,VLOOKUP(D265,Tabla_PoderesPsi,4,FALSE)&lt;&gt;"No")),MAX($F$152:$F264)+1,0))</f>
        <v>0</v>
      </c>
      <c r="G265" s="1103"/>
      <c r="H265" s="3011" t="str">
        <f>IF(Tablas!$A113&gt;MAX($F$153:$F$291),"",INDEX(Poderes_Psi_Disponibles,MATCH(Tablas!$A113,$F$153:$F$291,0)))</f>
        <v/>
      </c>
    </row>
    <row r="266" spans="1:8" x14ac:dyDescent="0.2">
      <c r="A266" s="2027">
        <v>266</v>
      </c>
      <c r="C266" s="1103"/>
      <c r="D266" s="2024" t="str">
        <f t="shared" si="19"/>
        <v/>
      </c>
      <c r="F266" s="2019">
        <f>IF(D266="",0,IF(OR(ISNUMBER(SEARCH("&gt;",D266)),AND(COUNTIF(Psíquicos!$V$11:$Z$64,D266)&gt;0,VLOOKUP(D266,Tabla_PoderesPsi,4,FALSE)&lt;&gt;"No")),MAX($F$152:$F265)+1,0))</f>
        <v>0</v>
      </c>
      <c r="G266" s="1103"/>
      <c r="H266" s="3011" t="str">
        <f>IF(Tablas!$A114&gt;MAX($F$153:$F$291),"",INDEX(Poderes_Psi_Disponibles,MATCH(Tablas!$A114,$F$153:$F$291,0)))</f>
        <v/>
      </c>
    </row>
    <row r="267" spans="1:8" x14ac:dyDescent="0.2">
      <c r="A267" s="2027">
        <v>267</v>
      </c>
      <c r="C267" s="1103"/>
      <c r="D267" s="2024" t="str">
        <f t="shared" si="19"/>
        <v/>
      </c>
      <c r="F267" s="2019">
        <f>IF(D267="",0,IF(OR(ISNUMBER(SEARCH("&gt;",D267)),AND(COUNTIF(Psíquicos!$V$11:$Z$64,D267)&gt;0,VLOOKUP(D267,Tabla_PoderesPsi,4,FALSE)&lt;&gt;"No")),MAX($F$152:$F266)+1,0))</f>
        <v>0</v>
      </c>
      <c r="G267" s="1103"/>
      <c r="H267" s="3011" t="str">
        <f>IF(Tablas!$A115&gt;MAX($F$153:$F$291),"",INDEX(Poderes_Psi_Disponibles,MATCH(Tablas!$A115,$F$153:$F$291,0)))</f>
        <v/>
      </c>
    </row>
    <row r="268" spans="1:8" x14ac:dyDescent="0.2">
      <c r="A268" s="2027">
        <v>268</v>
      </c>
      <c r="C268" s="1103"/>
      <c r="D268" s="2024" t="str">
        <f t="shared" si="19"/>
        <v/>
      </c>
      <c r="F268" s="2019">
        <f>IF(D268="",0,IF(OR(ISNUMBER(SEARCH("&gt;",D268)),AND(COUNTIF(Psíquicos!$V$11:$Z$64,D268)&gt;0,VLOOKUP(D268,Tabla_PoderesPsi,4,FALSE)&lt;&gt;"No")),MAX($F$152:$F267)+1,0))</f>
        <v>0</v>
      </c>
      <c r="G268" s="1103"/>
      <c r="H268" s="3011" t="str">
        <f>IF(Tablas!$A116&gt;MAX($F$153:$F$291),"",INDEX(Poderes_Psi_Disponibles,MATCH(Tablas!$A116,$F$153:$F$291,0)))</f>
        <v/>
      </c>
    </row>
    <row r="269" spans="1:8" x14ac:dyDescent="0.2">
      <c r="A269" s="2027">
        <v>269</v>
      </c>
      <c r="C269" s="1103"/>
      <c r="D269" s="2024" t="str">
        <f t="shared" si="19"/>
        <v/>
      </c>
      <c r="F269" s="2019">
        <f>IF(D269="",0,IF(OR(ISNUMBER(SEARCH("&gt;",D269)),AND(COUNTIF(Psíquicos!$V$11:$Z$64,D269)&gt;0,VLOOKUP(D269,Tabla_PoderesPsi,4,FALSE)&lt;&gt;"No")),MAX($F$152:$F268)+1,0))</f>
        <v>0</v>
      </c>
      <c r="G269" s="1103"/>
      <c r="H269" s="3011" t="str">
        <f>IF(Tablas!$A117&gt;MAX($F$153:$F$291),"",INDEX(Poderes_Psi_Disponibles,MATCH(Tablas!$A117,$F$153:$F$291,0)))</f>
        <v/>
      </c>
    </row>
    <row r="270" spans="1:8" x14ac:dyDescent="0.2">
      <c r="A270" s="2027">
        <v>270</v>
      </c>
      <c r="C270" s="1103"/>
      <c r="D270" s="2024" t="str">
        <f t="shared" si="19"/>
        <v/>
      </c>
      <c r="F270" s="2019">
        <f>IF(D270="",0,IF(OR(ISNUMBER(SEARCH("&gt;",D270)),AND(COUNTIF(Psíquicos!$V$11:$Z$64,D270)&gt;0,VLOOKUP(D270,Tabla_PoderesPsi,4,FALSE)&lt;&gt;"No")),MAX($F$152:$F269)+1,0))</f>
        <v>0</v>
      </c>
      <c r="G270" s="1103"/>
      <c r="H270" s="3011" t="str">
        <f>IF(Tablas!$A118&gt;MAX($F$153:$F$291),"",INDEX(Poderes_Psi_Disponibles,MATCH(Tablas!$A118,$F$153:$F$291,0)))</f>
        <v/>
      </c>
    </row>
    <row r="271" spans="1:8" x14ac:dyDescent="0.2">
      <c r="A271" s="2027">
        <v>271</v>
      </c>
      <c r="C271" s="1103"/>
      <c r="D271" s="2024" t="str">
        <f t="shared" si="19"/>
        <v/>
      </c>
      <c r="F271" s="2019">
        <f>IF(D271="",0,IF(OR(ISNUMBER(SEARCH("&gt;",D271)),AND(COUNTIF(Psíquicos!$V$11:$Z$64,D271)&gt;0,VLOOKUP(D271,Tabla_PoderesPsi,4,FALSE)&lt;&gt;"No")),MAX($F$152:$F270)+1,0))</f>
        <v>0</v>
      </c>
      <c r="G271" s="1103"/>
      <c r="H271" s="3011" t="str">
        <f>IF(Tablas!$A119&gt;MAX($F$153:$F$291),"",INDEX(Poderes_Psi_Disponibles,MATCH(Tablas!$A119,$F$153:$F$291,0)))</f>
        <v/>
      </c>
    </row>
    <row r="272" spans="1:8" x14ac:dyDescent="0.2">
      <c r="A272" s="2027">
        <v>272</v>
      </c>
      <c r="C272" s="1103"/>
      <c r="D272" s="2024" t="str">
        <f t="shared" si="19"/>
        <v/>
      </c>
      <c r="F272" s="2019">
        <f>IF(D272="",0,IF(OR(ISNUMBER(SEARCH("&gt;",D272)),AND(COUNTIF(Psíquicos!$V$11:$Z$64,D272)&gt;0,VLOOKUP(D272,Tabla_PoderesPsi,4,FALSE)&lt;&gt;"No")),MAX($F$152:$F271)+1,0))</f>
        <v>0</v>
      </c>
      <c r="G272" s="1103"/>
      <c r="H272" s="3011" t="str">
        <f>IF(Tablas!$A120&gt;MAX($F$153:$F$291),"",INDEX(Poderes_Psi_Disponibles,MATCH(Tablas!$A120,$F$153:$F$291,0)))</f>
        <v/>
      </c>
    </row>
    <row r="273" spans="1:8" x14ac:dyDescent="0.2">
      <c r="A273" s="2027">
        <v>273</v>
      </c>
      <c r="C273" s="1103"/>
      <c r="D273" s="2024" t="str">
        <f t="shared" si="19"/>
        <v/>
      </c>
      <c r="F273" s="2019">
        <f>IF(D273="",0,IF(OR(ISNUMBER(SEARCH("&gt;",D273)),AND(COUNTIF(Psíquicos!$V$11:$Z$64,D273)&gt;0,VLOOKUP(D273,Tabla_PoderesPsi,4,FALSE)&lt;&gt;"No")),MAX($F$152:$F272)+1,0))</f>
        <v>0</v>
      </c>
      <c r="G273" s="1103"/>
      <c r="H273" s="3011" t="str">
        <f>IF(Tablas!$A121&gt;MAX($F$153:$F$291),"",INDEX(Poderes_Psi_Disponibles,MATCH(Tablas!$A121,$F$153:$F$291,0)))</f>
        <v/>
      </c>
    </row>
    <row r="274" spans="1:8" x14ac:dyDescent="0.2">
      <c r="A274" s="2027">
        <v>274</v>
      </c>
      <c r="C274" s="1103"/>
      <c r="D274" s="2024" t="str">
        <f t="shared" si="19"/>
        <v/>
      </c>
      <c r="F274" s="2019">
        <f>IF(D274="",0,IF(OR(ISNUMBER(SEARCH("&gt;",D274)),AND(COUNTIF(Psíquicos!$V$11:$Z$64,D274)&gt;0,VLOOKUP(D274,Tabla_PoderesPsi,4,FALSE)&lt;&gt;"No")),MAX($F$152:$F273)+1,0))</f>
        <v>0</v>
      </c>
      <c r="G274" s="1103"/>
      <c r="H274" s="3011" t="str">
        <f>IF(Tablas!$A122&gt;MAX($F$153:$F$291),"",INDEX(Poderes_Psi_Disponibles,MATCH(Tablas!$A122,$F$153:$F$291,0)))</f>
        <v/>
      </c>
    </row>
    <row r="275" spans="1:8" x14ac:dyDescent="0.2">
      <c r="A275" s="2027">
        <v>275</v>
      </c>
      <c r="C275" s="1103"/>
      <c r="D275" s="2024" t="str">
        <f t="shared" si="19"/>
        <v/>
      </c>
      <c r="F275" s="2019">
        <f>IF(D275="",0,IF(OR(ISNUMBER(SEARCH("&gt;",D275)),AND(COUNTIF(Psíquicos!$V$11:$Z$64,D275)&gt;0,VLOOKUP(D275,Tabla_PoderesPsi,4,FALSE)&lt;&gt;"No")),MAX($F$152:$F274)+1,0))</f>
        <v>0</v>
      </c>
      <c r="G275" s="1103"/>
      <c r="H275" s="3011" t="str">
        <f>IF(Tablas!$A123&gt;MAX($F$153:$F$291),"",INDEX(Poderes_Psi_Disponibles,MATCH(Tablas!$A123,$F$153:$F$291,0)))</f>
        <v/>
      </c>
    </row>
    <row r="276" spans="1:8" x14ac:dyDescent="0.2">
      <c r="A276" s="2027">
        <v>276</v>
      </c>
      <c r="C276" s="1103"/>
      <c r="D276" s="2024" t="str">
        <f t="shared" si="19"/>
        <v/>
      </c>
      <c r="F276" s="2019">
        <f>IF(D276="",0,IF(OR(ISNUMBER(SEARCH("&gt;",D276)),AND(COUNTIF(Psíquicos!$V$11:$Z$64,D276)&gt;0,VLOOKUP(D276,Tabla_PoderesPsi,4,FALSE)&lt;&gt;"No")),MAX($F$152:$F275)+1,0))</f>
        <v>0</v>
      </c>
      <c r="G276" s="1103"/>
      <c r="H276" s="3011" t="str">
        <f>IF(Tablas!$A124&gt;MAX($F$153:$F$291),"",INDEX(Poderes_Psi_Disponibles,MATCH(Tablas!$A124,$F$153:$F$291,0)))</f>
        <v/>
      </c>
    </row>
    <row r="277" spans="1:8" x14ac:dyDescent="0.2">
      <c r="A277" s="2027">
        <v>277</v>
      </c>
      <c r="C277" s="1103"/>
      <c r="D277" s="2024" t="str">
        <f t="shared" si="19"/>
        <v/>
      </c>
      <c r="F277" s="2019">
        <f>IF(D277="",0,IF(OR(ISNUMBER(SEARCH("&gt;",D277)),AND(COUNTIF(Psíquicos!$V$11:$Z$64,D277)&gt;0,VLOOKUP(D277,Tabla_PoderesPsi,4,FALSE)&lt;&gt;"No")),MAX($F$152:$F276)+1,0))</f>
        <v>0</v>
      </c>
      <c r="G277" s="1103"/>
      <c r="H277" s="3011" t="str">
        <f>IF(Tablas!$A125&gt;MAX($F$153:$F$291),"",INDEX(Poderes_Psi_Disponibles,MATCH(Tablas!$A125,$F$153:$F$291,0)))</f>
        <v/>
      </c>
    </row>
    <row r="278" spans="1:8" x14ac:dyDescent="0.2">
      <c r="A278" s="2027">
        <v>278</v>
      </c>
      <c r="C278" s="1103"/>
      <c r="D278" s="2024" t="str">
        <f t="shared" si="19"/>
        <v/>
      </c>
      <c r="F278" s="2019">
        <f>IF(D278="",0,IF(OR(ISNUMBER(SEARCH("&gt;",D278)),AND(COUNTIF(Psíquicos!$V$11:$Z$64,D278)&gt;0,VLOOKUP(D278,Tabla_PoderesPsi,4,FALSE)&lt;&gt;"No")),MAX($F$152:$F277)+1,0))</f>
        <v>0</v>
      </c>
      <c r="G278" s="1103"/>
      <c r="H278" s="3011" t="str">
        <f>IF(Tablas!$A126&gt;MAX($F$153:$F$291),"",INDEX(Poderes_Psi_Disponibles,MATCH(Tablas!$A126,$F$153:$F$291,0)))</f>
        <v/>
      </c>
    </row>
    <row r="279" spans="1:8" x14ac:dyDescent="0.2">
      <c r="A279" s="2027">
        <v>279</v>
      </c>
      <c r="C279" s="1103"/>
      <c r="D279" s="2024" t="str">
        <f t="shared" si="19"/>
        <v/>
      </c>
      <c r="F279" s="2019">
        <f>IF(D279="",0,IF(OR(ISNUMBER(SEARCH("&gt;",D279)),AND(COUNTIF(Psíquicos!$V$11:$Z$64,D279)&gt;0,VLOOKUP(D279,Tabla_PoderesPsi,4,FALSE)&lt;&gt;"No")),MAX($F$152:$F278)+1,0))</f>
        <v>0</v>
      </c>
      <c r="G279" s="1103"/>
      <c r="H279" s="3011" t="str">
        <f>IF(Tablas!$A127&gt;MAX($F$153:$F$291),"",INDEX(Poderes_Psi_Disponibles,MATCH(Tablas!$A127,$F$153:$F$291,0)))</f>
        <v/>
      </c>
    </row>
    <row r="280" spans="1:8" x14ac:dyDescent="0.2">
      <c r="A280" s="2027">
        <v>280</v>
      </c>
      <c r="C280" s="1103"/>
      <c r="D280" s="2024" t="str">
        <f t="shared" si="19"/>
        <v/>
      </c>
      <c r="F280" s="2019">
        <f>IF(D280="",0,IF(OR(ISNUMBER(SEARCH("&gt;",D280)),AND(COUNTIF(Psíquicos!$V$11:$Z$64,D280)&gt;0,VLOOKUP(D280,Tabla_PoderesPsi,4,FALSE)&lt;&gt;"No")),MAX($F$152:$F279)+1,0))</f>
        <v>0</v>
      </c>
      <c r="G280" s="1103"/>
      <c r="H280" s="3011" t="str">
        <f>IF(Tablas!$A128&gt;MAX($F$153:$F$291),"",INDEX(Poderes_Psi_Disponibles,MATCH(Tablas!$A128,$F$153:$F$291,0)))</f>
        <v/>
      </c>
    </row>
    <row r="281" spans="1:8" x14ac:dyDescent="0.2">
      <c r="A281" s="2027">
        <v>281</v>
      </c>
      <c r="C281" s="1103"/>
      <c r="D281" s="2024" t="str">
        <f t="shared" ref="D281:D291" si="20">IF(ISNA(VLOOKUP(A129,$B$7:$D$145,3,FALSE)),"",VLOOKUP(A129,$B$7:$D$145,3,FALSE))</f>
        <v/>
      </c>
      <c r="F281" s="2019">
        <f>IF(D281="",0,IF(OR(ISNUMBER(SEARCH("&gt;",D281)),AND(COUNTIF(Psíquicos!$V$11:$Z$64,D281)&gt;0,VLOOKUP(D281,Tabla_PoderesPsi,4,FALSE)&lt;&gt;"No")),MAX($F$152:$F280)+1,0))</f>
        <v>0</v>
      </c>
      <c r="G281" s="1103"/>
      <c r="H281" s="3011" t="str">
        <f>IF(Tablas!$A129&gt;MAX($F$153:$F$291),"",INDEX(Poderes_Psi_Disponibles,MATCH(Tablas!$A129,$F$153:$F$291,0)))</f>
        <v/>
      </c>
    </row>
    <row r="282" spans="1:8" x14ac:dyDescent="0.2">
      <c r="A282" s="2027">
        <v>282</v>
      </c>
      <c r="C282" s="1103"/>
      <c r="D282" s="2024" t="str">
        <f t="shared" si="20"/>
        <v/>
      </c>
      <c r="F282" s="2019">
        <f>IF(D282="",0,IF(OR(ISNUMBER(SEARCH("&gt;",D282)),AND(COUNTIF(Psíquicos!$V$11:$Z$64,D282)&gt;0,VLOOKUP(D282,Tabla_PoderesPsi,4,FALSE)&lt;&gt;"No")),MAX($F$152:$F281)+1,0))</f>
        <v>0</v>
      </c>
      <c r="G282" s="1103"/>
      <c r="H282" s="3011" t="str">
        <f>IF(Tablas!$A130&gt;MAX($F$153:$F$291),"",INDEX(Poderes_Psi_Disponibles,MATCH(Tablas!$A130,$F$153:$F$291,0)))</f>
        <v/>
      </c>
    </row>
    <row r="283" spans="1:8" x14ac:dyDescent="0.2">
      <c r="A283" s="2027">
        <v>283</v>
      </c>
      <c r="C283" s="1103"/>
      <c r="D283" s="2024" t="str">
        <f t="shared" si="20"/>
        <v/>
      </c>
      <c r="F283" s="2019">
        <f>IF(D283="",0,IF(OR(ISNUMBER(SEARCH("&gt;",D283)),AND(COUNTIF(Psíquicos!$V$11:$Z$64,D283)&gt;0,VLOOKUP(D283,Tabla_PoderesPsi,4,FALSE)&lt;&gt;"No")),MAX($F$152:$F282)+1,0))</f>
        <v>0</v>
      </c>
      <c r="G283" s="1103"/>
      <c r="H283" s="3011" t="str">
        <f>IF(Tablas!$A131&gt;MAX($F$153:$F$291),"",INDEX(Poderes_Psi_Disponibles,MATCH(Tablas!$A131,$F$153:$F$291,0)))</f>
        <v/>
      </c>
    </row>
    <row r="284" spans="1:8" x14ac:dyDescent="0.2">
      <c r="A284" s="2027">
        <v>284</v>
      </c>
      <c r="C284" s="1103"/>
      <c r="D284" s="2024" t="str">
        <f t="shared" si="20"/>
        <v/>
      </c>
      <c r="F284" s="2019">
        <f>IF(D284="",0,IF(OR(ISNUMBER(SEARCH("&gt;",D284)),AND(COUNTIF(Psíquicos!$V$11:$Z$64,D284)&gt;0,VLOOKUP(D284,Tabla_PoderesPsi,4,FALSE)&lt;&gt;"No")),MAX($F$152:$F283)+1,0))</f>
        <v>0</v>
      </c>
      <c r="G284" s="1103"/>
      <c r="H284" s="3011" t="str">
        <f>IF(Tablas!$A132&gt;MAX($F$153:$F$291),"",INDEX(Poderes_Psi_Disponibles,MATCH(Tablas!$A132,$F$153:$F$291,0)))</f>
        <v/>
      </c>
    </row>
    <row r="285" spans="1:8" x14ac:dyDescent="0.2">
      <c r="A285" s="2027">
        <v>285</v>
      </c>
      <c r="C285" s="1103"/>
      <c r="D285" s="2024" t="str">
        <f t="shared" si="20"/>
        <v/>
      </c>
      <c r="F285" s="2019">
        <f>IF(D285="",0,IF(OR(ISNUMBER(SEARCH("&gt;",D285)),AND(COUNTIF(Psíquicos!$V$11:$Z$64,D285)&gt;0,VLOOKUP(D285,Tabla_PoderesPsi,4,FALSE)&lt;&gt;"No")),MAX($F$152:$F284)+1,0))</f>
        <v>0</v>
      </c>
      <c r="G285" s="1103"/>
      <c r="H285" s="3011" t="str">
        <f>IF(Tablas!$A133&gt;MAX($F$153:$F$291),"",INDEX(Poderes_Psi_Disponibles,MATCH(Tablas!$A133,$F$153:$F$291,0)))</f>
        <v/>
      </c>
    </row>
    <row r="286" spans="1:8" x14ac:dyDescent="0.2">
      <c r="A286" s="2027">
        <v>286</v>
      </c>
      <c r="C286" s="1103"/>
      <c r="D286" s="2024" t="str">
        <f t="shared" si="20"/>
        <v/>
      </c>
      <c r="F286" s="2019">
        <f>IF(D286="",0,IF(OR(ISNUMBER(SEARCH("&gt;",D286)),AND(COUNTIF(Psíquicos!$V$11:$Z$64,D286)&gt;0,VLOOKUP(D286,Tabla_PoderesPsi,4,FALSE)&lt;&gt;"No")),MAX($F$152:$F285)+1,0))</f>
        <v>0</v>
      </c>
      <c r="G286" s="1103"/>
      <c r="H286" s="3011" t="str">
        <f>IF(Tablas!$A134&gt;MAX($F$153:$F$291),"",INDEX(Poderes_Psi_Disponibles,MATCH(Tablas!$A134,$F$153:$F$291,0)))</f>
        <v/>
      </c>
    </row>
    <row r="287" spans="1:8" x14ac:dyDescent="0.2">
      <c r="A287" s="2027">
        <v>287</v>
      </c>
      <c r="C287" s="1103"/>
      <c r="D287" s="2024" t="str">
        <f t="shared" si="20"/>
        <v/>
      </c>
      <c r="F287" s="2019">
        <f>IF(D287="",0,IF(OR(ISNUMBER(SEARCH("&gt;",D287)),AND(COUNTIF(Psíquicos!$V$11:$Z$64,D287)&gt;0,VLOOKUP(D287,Tabla_PoderesPsi,4,FALSE)&lt;&gt;"No")),MAX($F$152:$F286)+1,0))</f>
        <v>0</v>
      </c>
      <c r="G287" s="1103"/>
      <c r="H287" s="3011" t="str">
        <f>IF(Tablas!$A135&gt;MAX($F$153:$F$291),"",INDEX(Poderes_Psi_Disponibles,MATCH(Tablas!$A135,$F$153:$F$291,0)))</f>
        <v/>
      </c>
    </row>
    <row r="288" spans="1:8" x14ac:dyDescent="0.2">
      <c r="A288" s="2027">
        <v>288</v>
      </c>
      <c r="C288" s="1103"/>
      <c r="D288" s="2024" t="str">
        <f t="shared" si="20"/>
        <v/>
      </c>
      <c r="F288" s="2019">
        <f>IF(D288="",0,IF(OR(ISNUMBER(SEARCH("&gt;",D288)),AND(COUNTIF(Psíquicos!$V$11:$Z$64,D288)&gt;0,VLOOKUP(D288,Tabla_PoderesPsi,4,FALSE)&lt;&gt;"No")),MAX($F$152:$F287)+1,0))</f>
        <v>0</v>
      </c>
      <c r="G288" s="1103"/>
      <c r="H288" s="3011" t="str">
        <f>IF(Tablas!$A136&gt;MAX($F$153:$F$291),"",INDEX(Poderes_Psi_Disponibles,MATCH(Tablas!$A136,$F$153:$F$291,0)))</f>
        <v/>
      </c>
    </row>
    <row r="289" spans="1:8" x14ac:dyDescent="0.2">
      <c r="A289" s="2027">
        <v>289</v>
      </c>
      <c r="C289" s="1103"/>
      <c r="D289" s="2024" t="str">
        <f t="shared" si="20"/>
        <v/>
      </c>
      <c r="F289" s="2019">
        <f>IF(D289="",0,IF(OR(ISNUMBER(SEARCH("&gt;",D289)),AND(COUNTIF(Psíquicos!$V$11:$Z$64,D289)&gt;0,VLOOKUP(D289,Tabla_PoderesPsi,4,FALSE)&lt;&gt;"No")),MAX($F$152:$F288)+1,0))</f>
        <v>0</v>
      </c>
      <c r="G289" s="1103"/>
      <c r="H289" s="3011" t="str">
        <f>IF(Tablas!$A137&gt;MAX($F$153:$F$291),"",INDEX(Poderes_Psi_Disponibles,MATCH(Tablas!$A137,$F$153:$F$291,0)))</f>
        <v/>
      </c>
    </row>
    <row r="290" spans="1:8" x14ac:dyDescent="0.2">
      <c r="A290" s="2027">
        <v>290</v>
      </c>
      <c r="C290" s="1103"/>
      <c r="D290" s="2024" t="str">
        <f t="shared" si="20"/>
        <v/>
      </c>
      <c r="F290" s="2019">
        <f>IF(D290="",0,IF(OR(ISNUMBER(SEARCH("&gt;",D290)),AND(COUNTIF(Psíquicos!$V$11:$Z$64,D290)&gt;0,VLOOKUP(D290,Tabla_PoderesPsi,4,FALSE)&lt;&gt;"No")),MAX($F$152:$F289)+1,0))</f>
        <v>0</v>
      </c>
      <c r="G290" s="1103"/>
      <c r="H290" s="3011" t="str">
        <f>IF(Tablas!$A138&gt;MAX($F$153:$F$291),"",INDEX(Poderes_Psi_Disponibles,MATCH(Tablas!$A138,$F$153:$F$291,0)))</f>
        <v/>
      </c>
    </row>
    <row r="291" spans="1:8" ht="13.5" thickBot="1" x14ac:dyDescent="0.25">
      <c r="A291" s="2027">
        <v>291</v>
      </c>
      <c r="C291" s="1111"/>
      <c r="D291" s="2025" t="str">
        <f t="shared" si="20"/>
        <v/>
      </c>
      <c r="F291" s="2020">
        <f>IF(D291="",0,IF(OR(ISNUMBER(SEARCH("&gt;",D291)),AND(COUNTIF(Psíquicos!$V$11:$Z$64,D291)&gt;0,VLOOKUP(D291,Tabla_PoderesPsi,4,FALSE)&lt;&gt;"No")),MAX($F$152:$F290)+1,0))</f>
        <v>0</v>
      </c>
      <c r="G291" s="1111"/>
      <c r="H291" s="3012" t="str">
        <f>IF(Tablas!$A139&gt;MAX($F$153:$F$291),"",INDEX(Poderes_Psi_Disponibles,MATCH(Tablas!$A139,$F$153:$F$291,0)))</f>
        <v/>
      </c>
    </row>
    <row r="292" spans="1:8" x14ac:dyDescent="0.2">
      <c r="D292" s="2029" t="s">
        <v>8542</v>
      </c>
    </row>
    <row r="293" spans="1:8" x14ac:dyDescent="0.2">
      <c r="D293" s="2028" t="str">
        <f>INDEX('Tablas psiquica'!$D$153:$D$291,SUMPRODUCT(--('Tablas psiquica'!$D$153:$D$291&lt;&gt;"")))</f>
        <v>Conectar matrices</v>
      </c>
    </row>
  </sheetData>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6">
    <tabColor theme="0" tint="-0.499984740745262"/>
  </sheetPr>
  <dimension ref="A1:AV771"/>
  <sheetViews>
    <sheetView topLeftCell="A577" zoomScale="70" zoomScaleNormal="70" workbookViewId="0">
      <selection activeCell="X606" sqref="X606"/>
    </sheetView>
  </sheetViews>
  <sheetFormatPr defaultColWidth="11.42578125" defaultRowHeight="12.75" x14ac:dyDescent="0.2"/>
  <cols>
    <col min="1" max="1" width="42.28515625" style="681" customWidth="1"/>
    <col min="2" max="2" width="3.140625" style="682" bestFit="1" customWidth="1"/>
    <col min="3" max="3" width="5.5703125" style="682" bestFit="1" customWidth="1"/>
    <col min="4" max="4" width="4.140625" style="682" bestFit="1" customWidth="1"/>
    <col min="5" max="5" width="5.85546875" style="682" bestFit="1" customWidth="1"/>
    <col min="6" max="6" width="4.7109375" style="682" bestFit="1" customWidth="1"/>
    <col min="7" max="7" width="4.5703125" style="682" bestFit="1" customWidth="1"/>
    <col min="8" max="8" width="4.85546875" style="682" bestFit="1" customWidth="1"/>
    <col min="9" max="9" width="6.28515625" style="682" bestFit="1" customWidth="1"/>
    <col min="10" max="10" width="9.7109375" style="682" bestFit="1" customWidth="1"/>
    <col min="11" max="11" width="7.7109375" style="682" bestFit="1" customWidth="1"/>
    <col min="12" max="12" width="4.42578125" style="683" bestFit="1" customWidth="1"/>
    <col min="13" max="13" width="3" style="682" bestFit="1" customWidth="1"/>
    <col min="14" max="14" width="4.5703125" style="682" bestFit="1" customWidth="1"/>
    <col min="15" max="15" width="3" style="682" bestFit="1" customWidth="1"/>
    <col min="16" max="16" width="4.5703125" style="682" bestFit="1" customWidth="1"/>
    <col min="17" max="17" width="4" style="682" bestFit="1" customWidth="1"/>
    <col min="18" max="18" width="4.5703125" style="682" bestFit="1" customWidth="1"/>
    <col min="19" max="19" width="3" style="682" bestFit="1" customWidth="1"/>
    <col min="20" max="20" width="7.7109375" style="682" bestFit="1" customWidth="1"/>
    <col min="21" max="22" width="9.28515625" style="682" bestFit="1" customWidth="1"/>
    <col min="23" max="23" width="1.85546875" style="682" bestFit="1" customWidth="1"/>
    <col min="24" max="24" width="35" style="682" customWidth="1"/>
    <col min="25" max="25" width="6.28515625" style="682" customWidth="1"/>
    <col min="26" max="26" width="20" style="682" customWidth="1"/>
    <col min="27" max="27" width="3.28515625" customWidth="1"/>
    <col min="28" max="28" width="3.7109375" style="686" customWidth="1"/>
    <col min="29" max="29" width="11.42578125" style="683"/>
    <col min="30" max="30" width="8.85546875" style="871" customWidth="1"/>
    <col min="31" max="31" width="3.5703125" style="682" customWidth="1"/>
    <col min="32" max="32" width="12.85546875" style="682" customWidth="1"/>
    <col min="33" max="33" width="20.28515625" style="225" customWidth="1"/>
    <col min="34" max="34" width="29.140625" style="868" customWidth="1"/>
    <col min="35" max="35" width="18.28515625" style="872" customWidth="1"/>
    <col min="36" max="36" width="8.7109375" customWidth="1"/>
    <col min="37" max="37" width="14.140625" customWidth="1"/>
    <col min="38" max="38" width="31" style="682" customWidth="1"/>
    <col min="41" max="42" width="11.42578125" style="1283"/>
    <col min="49" max="16384" width="11.42578125" style="682"/>
  </cols>
  <sheetData>
    <row r="1" spans="1:48" ht="13.5" customHeight="1" thickBot="1" x14ac:dyDescent="0.25">
      <c r="X1" s="684" t="s">
        <v>3292</v>
      </c>
      <c r="Z1" s="685" t="s">
        <v>3293</v>
      </c>
      <c r="AB1" s="5446" t="s">
        <v>3294</v>
      </c>
      <c r="AC1" s="5446"/>
      <c r="AD1" s="5446"/>
      <c r="AE1" s="5446"/>
      <c r="AF1" s="5446"/>
      <c r="AG1" s="5446"/>
      <c r="AH1" s="5446"/>
      <c r="AI1" s="5446"/>
      <c r="AJ1" s="5446"/>
      <c r="AK1" s="5446"/>
      <c r="AM1" s="737"/>
      <c r="AN1" s="737"/>
      <c r="AO1" s="1282"/>
      <c r="AP1" s="1282"/>
      <c r="AQ1" s="737"/>
      <c r="AR1" s="737"/>
      <c r="AS1" s="737"/>
      <c r="AT1" s="737"/>
      <c r="AU1" s="737"/>
      <c r="AV1" s="737"/>
    </row>
    <row r="2" spans="1:48" ht="12.75" customHeight="1" x14ac:dyDescent="0.2">
      <c r="A2" s="687" t="s">
        <v>3296</v>
      </c>
      <c r="B2" s="688"/>
      <c r="C2" s="689" t="s">
        <v>3297</v>
      </c>
      <c r="E2" s="5450" t="s">
        <v>3298</v>
      </c>
      <c r="F2" s="5451"/>
      <c r="G2" s="690"/>
      <c r="H2" s="5450" t="s">
        <v>639</v>
      </c>
      <c r="I2" s="5452"/>
      <c r="J2" s="5451"/>
      <c r="L2" s="5450" t="s">
        <v>3299</v>
      </c>
      <c r="M2" s="5452"/>
      <c r="N2" s="5451"/>
      <c r="P2" s="5453" t="s">
        <v>3300</v>
      </c>
      <c r="Q2" s="5454"/>
      <c r="R2" s="5454"/>
      <c r="S2" s="5455"/>
      <c r="U2" s="5456" t="s">
        <v>3301</v>
      </c>
      <c r="V2" s="5457"/>
      <c r="X2" s="691" t="s">
        <v>3302</v>
      </c>
      <c r="Z2" s="692" t="s">
        <v>3303</v>
      </c>
      <c r="AB2" s="1268"/>
      <c r="AC2" s="1268"/>
      <c r="AD2" s="1270">
        <v>1</v>
      </c>
      <c r="AE2" s="1270">
        <v>2</v>
      </c>
      <c r="AF2" s="1270">
        <v>3</v>
      </c>
      <c r="AG2" s="1270">
        <v>4</v>
      </c>
      <c r="AH2" s="1270">
        <v>5</v>
      </c>
      <c r="AI2" s="1270">
        <v>6</v>
      </c>
      <c r="AJ2" s="1270">
        <v>7</v>
      </c>
      <c r="AK2" s="1270">
        <v>8</v>
      </c>
      <c r="AM2" s="737"/>
      <c r="AN2" s="737"/>
      <c r="AO2" s="1282"/>
      <c r="AP2" s="1282"/>
      <c r="AQ2" s="737"/>
      <c r="AR2" s="737"/>
      <c r="AS2" s="737"/>
      <c r="AT2" s="737"/>
      <c r="AU2" s="737"/>
      <c r="AV2" s="737"/>
    </row>
    <row r="3" spans="1:48" ht="12.75" customHeight="1" thickBot="1" x14ac:dyDescent="0.25">
      <c r="A3" s="696" t="s">
        <v>1682</v>
      </c>
      <c r="C3" s="697" t="s">
        <v>2446</v>
      </c>
      <c r="E3" s="698" t="s">
        <v>3304</v>
      </c>
      <c r="F3" s="699" t="s">
        <v>1811</v>
      </c>
      <c r="G3" s="690"/>
      <c r="H3" s="698" t="s">
        <v>1708</v>
      </c>
      <c r="I3" s="700" t="s">
        <v>3304</v>
      </c>
      <c r="J3" s="699" t="s">
        <v>1811</v>
      </c>
      <c r="L3" s="698" t="s">
        <v>3304</v>
      </c>
      <c r="M3" s="700" t="s">
        <v>3305</v>
      </c>
      <c r="N3" s="699" t="s">
        <v>1811</v>
      </c>
      <c r="P3" s="701"/>
      <c r="Q3" s="5458" t="s">
        <v>1811</v>
      </c>
      <c r="R3" s="5458"/>
      <c r="S3" s="702"/>
      <c r="U3" s="703" t="s">
        <v>3304</v>
      </c>
      <c r="V3" s="704" t="s">
        <v>3306</v>
      </c>
      <c r="X3" s="691" t="s">
        <v>3307</v>
      </c>
      <c r="Z3" s="705" t="s">
        <v>3308</v>
      </c>
      <c r="AB3" s="1269">
        <v>1</v>
      </c>
      <c r="AC3" s="1269">
        <v>2</v>
      </c>
      <c r="AD3" s="1269">
        <v>3</v>
      </c>
      <c r="AE3" s="1269">
        <v>4</v>
      </c>
      <c r="AF3" s="1269">
        <v>5</v>
      </c>
      <c r="AG3" s="1269">
        <v>6</v>
      </c>
      <c r="AH3" s="1269">
        <v>7</v>
      </c>
      <c r="AI3" s="1269">
        <v>8</v>
      </c>
      <c r="AJ3" s="1269">
        <v>9</v>
      </c>
      <c r="AK3" s="1269">
        <v>10</v>
      </c>
      <c r="AM3" s="737"/>
      <c r="AN3" s="737"/>
      <c r="AO3" s="1282"/>
      <c r="AP3" s="1282"/>
      <c r="AQ3" s="737"/>
      <c r="AR3" s="737"/>
      <c r="AS3" s="737"/>
      <c r="AT3" s="737"/>
      <c r="AU3" s="737"/>
      <c r="AV3" s="737"/>
    </row>
    <row r="4" spans="1:48" ht="12" customHeight="1" thickBot="1" x14ac:dyDescent="0.25">
      <c r="A4" s="696" t="s">
        <v>1809</v>
      </c>
      <c r="C4" s="711" t="s">
        <v>1690</v>
      </c>
      <c r="E4" s="712">
        <v>1</v>
      </c>
      <c r="F4" s="713">
        <v>10</v>
      </c>
      <c r="H4" s="714" t="s">
        <v>3309</v>
      </c>
      <c r="I4" s="715">
        <v>1</v>
      </c>
      <c r="J4" s="713">
        <v>0</v>
      </c>
      <c r="L4" s="712">
        <v>0</v>
      </c>
      <c r="M4" s="715">
        <v>0</v>
      </c>
      <c r="N4" s="713">
        <v>0</v>
      </c>
      <c r="P4" s="716" t="s">
        <v>3304</v>
      </c>
      <c r="Q4" s="717" t="s">
        <v>3310</v>
      </c>
      <c r="R4" s="717" t="s">
        <v>3311</v>
      </c>
      <c r="S4" s="718"/>
      <c r="U4" s="719">
        <v>1</v>
      </c>
      <c r="V4" s="720">
        <v>1</v>
      </c>
      <c r="X4" s="691" t="s">
        <v>3312</v>
      </c>
      <c r="Z4" s="705" t="s">
        <v>3313</v>
      </c>
      <c r="AB4" s="707" t="s">
        <v>7697</v>
      </c>
      <c r="AC4" s="1334"/>
      <c r="AD4" s="1335" t="s">
        <v>7702</v>
      </c>
      <c r="AE4" s="1336" t="s">
        <v>1712</v>
      </c>
      <c r="AF4" s="1336" t="s">
        <v>3314</v>
      </c>
      <c r="AG4" s="1337" t="s">
        <v>1801</v>
      </c>
      <c r="AH4" s="1338" t="s">
        <v>3315</v>
      </c>
      <c r="AI4" s="1339" t="s">
        <v>3301</v>
      </c>
      <c r="AJ4" s="5459" t="s">
        <v>3339</v>
      </c>
      <c r="AK4" s="5447" t="s">
        <v>3295</v>
      </c>
      <c r="AM4" s="737"/>
      <c r="AN4" s="737"/>
      <c r="AO4" s="1282"/>
      <c r="AP4" s="1282"/>
      <c r="AQ4" s="737"/>
      <c r="AR4" s="737"/>
      <c r="AS4" s="737"/>
      <c r="AT4" s="737"/>
      <c r="AU4" s="737"/>
      <c r="AV4" s="737"/>
    </row>
    <row r="5" spans="1:48" ht="13.5" customHeight="1" thickBot="1" x14ac:dyDescent="0.25">
      <c r="A5" s="696" t="s">
        <v>1687</v>
      </c>
      <c r="E5" s="712">
        <v>2</v>
      </c>
      <c r="F5" s="713">
        <v>20</v>
      </c>
      <c r="H5" s="714" t="s">
        <v>3309</v>
      </c>
      <c r="I5" s="715">
        <v>2</v>
      </c>
      <c r="J5" s="713">
        <v>40</v>
      </c>
      <c r="L5" s="712">
        <v>1</v>
      </c>
      <c r="M5" s="715">
        <v>3</v>
      </c>
      <c r="N5" s="713">
        <v>10</v>
      </c>
      <c r="P5" s="712">
        <f>0</f>
        <v>0</v>
      </c>
      <c r="Q5" s="715">
        <v>0</v>
      </c>
      <c r="R5" s="715">
        <v>0</v>
      </c>
      <c r="S5" s="713"/>
      <c r="U5" s="719">
        <v>2</v>
      </c>
      <c r="V5" s="720">
        <v>2</v>
      </c>
      <c r="X5" s="691" t="s">
        <v>3316</v>
      </c>
      <c r="Z5" s="705" t="s">
        <v>3317</v>
      </c>
      <c r="AB5" s="707"/>
      <c r="AC5" s="727"/>
      <c r="AD5" s="728" t="s">
        <v>3318</v>
      </c>
      <c r="AE5" s="729"/>
      <c r="AF5" s="730"/>
      <c r="AG5" s="731"/>
      <c r="AH5" s="732"/>
      <c r="AI5" s="733"/>
      <c r="AJ5" s="5460"/>
      <c r="AK5" s="5448"/>
      <c r="AL5" s="1314"/>
      <c r="AM5" s="737"/>
      <c r="AN5" s="737"/>
      <c r="AO5" s="1282"/>
      <c r="AP5" s="1282"/>
      <c r="AQ5" s="737"/>
      <c r="AR5" s="737"/>
      <c r="AS5" s="737"/>
      <c r="AT5" s="737"/>
      <c r="AU5" s="737"/>
      <c r="AV5" s="737"/>
    </row>
    <row r="6" spans="1:48" s="737" customFormat="1" ht="18" customHeight="1" thickBot="1" x14ac:dyDescent="0.25">
      <c r="A6" s="696" t="s">
        <v>1692</v>
      </c>
      <c r="E6" s="738">
        <v>3</v>
      </c>
      <c r="F6" s="739">
        <v>30</v>
      </c>
      <c r="H6" s="740" t="s">
        <v>3309</v>
      </c>
      <c r="I6" s="741">
        <v>3</v>
      </c>
      <c r="J6" s="742">
        <v>60</v>
      </c>
      <c r="L6" s="743">
        <v>2</v>
      </c>
      <c r="M6" s="741">
        <v>6</v>
      </c>
      <c r="N6" s="742">
        <v>20</v>
      </c>
      <c r="P6" s="743">
        <f>1</f>
        <v>1</v>
      </c>
      <c r="Q6" s="741">
        <v>20</v>
      </c>
      <c r="R6" s="741">
        <v>50</v>
      </c>
      <c r="S6" s="742"/>
      <c r="U6" s="744">
        <v>3</v>
      </c>
      <c r="V6" s="745">
        <v>3</v>
      </c>
      <c r="X6" s="746" t="s">
        <v>3320</v>
      </c>
      <c r="Z6" s="747" t="s">
        <v>3321</v>
      </c>
      <c r="AB6" s="1330">
        <v>1</v>
      </c>
      <c r="AC6" s="749"/>
      <c r="AD6" s="1280" t="str">
        <f>'Creación de Técnicas'!E8</f>
        <v>Nombre de la técnica</v>
      </c>
      <c r="AE6" s="1315">
        <f>'Creación de Técnicas'!D8</f>
        <v>1</v>
      </c>
      <c r="AF6" s="750">
        <f>'Creación de Técnicas'!BT11</f>
        <v>0</v>
      </c>
      <c r="AG6" s="751" t="str">
        <f>'Creación de Técnicas'!DU34</f>
        <v/>
      </c>
      <c r="AH6" s="1370" t="str">
        <f>'Creación de Técnicas'!DV34</f>
        <v/>
      </c>
      <c r="AI6" s="1370" t="str">
        <f>'Creación de Técnicas'!DW34</f>
        <v/>
      </c>
      <c r="AJ6" s="1371" t="str">
        <f>'Creación de Técnicas'!DX34</f>
        <v/>
      </c>
      <c r="AK6" s="1248">
        <v>8</v>
      </c>
      <c r="AO6" s="1282"/>
      <c r="AP6" s="1282"/>
    </row>
    <row r="7" spans="1:48" s="737" customFormat="1" ht="18" customHeight="1" thickBot="1" x14ac:dyDescent="0.25">
      <c r="A7" s="696" t="s">
        <v>1700</v>
      </c>
      <c r="H7" s="740" t="s">
        <v>3322</v>
      </c>
      <c r="I7" s="741">
        <v>1</v>
      </c>
      <c r="J7" s="742">
        <v>0</v>
      </c>
      <c r="L7" s="738">
        <v>3</v>
      </c>
      <c r="M7" s="753">
        <v>9</v>
      </c>
      <c r="N7" s="739">
        <v>30</v>
      </c>
      <c r="P7" s="743">
        <f>2</f>
        <v>2</v>
      </c>
      <c r="Q7" s="741">
        <v>40</v>
      </c>
      <c r="R7" s="741">
        <v>100</v>
      </c>
      <c r="S7" s="742"/>
      <c r="U7" s="754" t="s">
        <v>3323</v>
      </c>
      <c r="X7" s="746" t="s">
        <v>3324</v>
      </c>
      <c r="Z7" s="747" t="s">
        <v>3325</v>
      </c>
      <c r="AB7" s="1331">
        <v>2</v>
      </c>
      <c r="AC7" s="749"/>
      <c r="AD7" s="1281" t="str">
        <f>'Creación de Técnicas'!E45</f>
        <v>Nombre de la técnica</v>
      </c>
      <c r="AE7" s="1284">
        <f>'Creación de Técnicas'!D45</f>
        <v>1</v>
      </c>
      <c r="AF7" s="750">
        <f>'Creación de Técnicas'!BT48</f>
        <v>0</v>
      </c>
      <c r="AG7" s="751" t="str">
        <f>'Creación de Técnicas'!DU71</f>
        <v/>
      </c>
      <c r="AH7" s="1370" t="str">
        <f>'Creación de Técnicas'!DV71</f>
        <v/>
      </c>
      <c r="AI7" s="1370" t="str">
        <f>'Creación de Técnicas'!DW71</f>
        <v/>
      </c>
      <c r="AJ7" s="1371" t="str">
        <f>'Creación de Técnicas'!DX71</f>
        <v/>
      </c>
      <c r="AK7" s="1248">
        <f t="shared" ref="AK7:AK15" si="0">AK6+37</f>
        <v>45</v>
      </c>
      <c r="AO7" s="1282"/>
      <c r="AP7" s="1282"/>
    </row>
    <row r="8" spans="1:48" s="737" customFormat="1" ht="18" customHeight="1" thickBot="1" x14ac:dyDescent="0.25">
      <c r="A8" s="757" t="s">
        <v>1701</v>
      </c>
      <c r="H8" s="740" t="s">
        <v>3322</v>
      </c>
      <c r="I8" s="741">
        <v>2</v>
      </c>
      <c r="J8" s="742">
        <v>60</v>
      </c>
      <c r="L8" s="758"/>
      <c r="P8" s="738">
        <f>3</f>
        <v>3</v>
      </c>
      <c r="Q8" s="753">
        <v>60</v>
      </c>
      <c r="R8" s="753">
        <v>200</v>
      </c>
      <c r="S8" s="739"/>
      <c r="X8" s="746" t="s">
        <v>3327</v>
      </c>
      <c r="Z8" s="747" t="s">
        <v>3328</v>
      </c>
      <c r="AB8" s="1331">
        <v>3</v>
      </c>
      <c r="AC8" s="749"/>
      <c r="AD8" s="1281" t="str">
        <f>'Creación de Técnicas'!E82</f>
        <v>Nombre de la técnica</v>
      </c>
      <c r="AE8" s="1284">
        <f>'Creación de Técnicas'!D82</f>
        <v>1</v>
      </c>
      <c r="AF8" s="750">
        <f>'Creación de Técnicas'!BT85</f>
        <v>0</v>
      </c>
      <c r="AG8" s="751" t="str">
        <f>'Creación de Técnicas'!DU108</f>
        <v/>
      </c>
      <c r="AH8" s="1370" t="str">
        <f>'Creación de Técnicas'!DV108</f>
        <v/>
      </c>
      <c r="AI8" s="1370" t="str">
        <f>'Creación de Técnicas'!DW108</f>
        <v/>
      </c>
      <c r="AJ8" s="1371" t="str">
        <f>'Creación de Técnicas'!DX108</f>
        <v/>
      </c>
      <c r="AK8" s="1248">
        <f t="shared" si="0"/>
        <v>82</v>
      </c>
      <c r="AO8" s="1282"/>
      <c r="AP8" s="1282"/>
    </row>
    <row r="9" spans="1:48" s="737" customFormat="1" ht="18" customHeight="1" thickBot="1" x14ac:dyDescent="0.25">
      <c r="A9" s="761"/>
      <c r="H9" s="762" t="s">
        <v>3322</v>
      </c>
      <c r="I9" s="753">
        <v>3</v>
      </c>
      <c r="J9" s="739">
        <v>90</v>
      </c>
      <c r="L9" s="758"/>
      <c r="X9" s="746" t="s">
        <v>3329</v>
      </c>
      <c r="Z9" s="747" t="s">
        <v>3330</v>
      </c>
      <c r="AB9" s="1331">
        <v>4</v>
      </c>
      <c r="AC9" s="749"/>
      <c r="AD9" s="1280" t="str">
        <f>'Creación de Técnicas'!E119</f>
        <v>Nombre de la técnica</v>
      </c>
      <c r="AE9" s="1284">
        <f>'Creación de Técnicas'!D119</f>
        <v>1</v>
      </c>
      <c r="AF9" s="750">
        <f>'Creación de Técnicas'!BT122</f>
        <v>0</v>
      </c>
      <c r="AG9" s="751" t="str">
        <f>'Creación de Técnicas'!DU145</f>
        <v/>
      </c>
      <c r="AH9" s="1370" t="str">
        <f>'Creación de Técnicas'!DV145</f>
        <v/>
      </c>
      <c r="AI9" s="1370" t="str">
        <f>'Creación de Técnicas'!DW145</f>
        <v/>
      </c>
      <c r="AJ9" s="1371" t="str">
        <f>'Creación de Técnicas'!DX145</f>
        <v/>
      </c>
      <c r="AK9" s="1248">
        <f t="shared" si="0"/>
        <v>119</v>
      </c>
      <c r="AO9" s="1282"/>
      <c r="AP9" s="1282"/>
    </row>
    <row r="10" spans="1:48" s="737" customFormat="1" ht="18" customHeight="1" x14ac:dyDescent="0.2">
      <c r="A10" s="761"/>
      <c r="L10" s="758"/>
      <c r="X10" s="770" t="s">
        <v>3331</v>
      </c>
      <c r="Z10" s="747" t="s">
        <v>3332</v>
      </c>
      <c r="AB10" s="1331">
        <v>5</v>
      </c>
      <c r="AC10" s="749"/>
      <c r="AD10" s="1280" t="str">
        <f>'Creación de Técnicas'!E156</f>
        <v>Nombre de la técnica</v>
      </c>
      <c r="AE10" s="1284">
        <f>'Creación de Técnicas'!D156</f>
        <v>1</v>
      </c>
      <c r="AF10" s="750">
        <f>'Creación de Técnicas'!BT159</f>
        <v>0</v>
      </c>
      <c r="AG10" s="751" t="str">
        <f>'Creación de Técnicas'!DU182</f>
        <v/>
      </c>
      <c r="AH10" s="1370" t="str">
        <f>'Creación de Técnicas'!DV182</f>
        <v/>
      </c>
      <c r="AI10" s="1370" t="str">
        <f>'Creación de Técnicas'!DW182</f>
        <v/>
      </c>
      <c r="AJ10" s="1371" t="str">
        <f>'Creación de Técnicas'!DX182</f>
        <v/>
      </c>
      <c r="AK10" s="1248">
        <f t="shared" si="0"/>
        <v>156</v>
      </c>
      <c r="AO10" s="1282"/>
      <c r="AP10" s="1282"/>
    </row>
    <row r="11" spans="1:48" s="737" customFormat="1" ht="18" customHeight="1" x14ac:dyDescent="0.2">
      <c r="A11" s="774" t="s">
        <v>3333</v>
      </c>
      <c r="B11" s="775" t="s">
        <v>1789</v>
      </c>
      <c r="C11" s="775" t="s">
        <v>1790</v>
      </c>
      <c r="D11" s="775" t="s">
        <v>1811</v>
      </c>
      <c r="E11" s="775" t="s">
        <v>3334</v>
      </c>
      <c r="F11" s="775" t="s">
        <v>3335</v>
      </c>
      <c r="G11" s="775" t="s">
        <v>3336</v>
      </c>
      <c r="H11" s="775" t="s">
        <v>3304</v>
      </c>
      <c r="I11" s="2156" t="s">
        <v>1708</v>
      </c>
      <c r="J11" s="2156" t="s">
        <v>1679</v>
      </c>
      <c r="K11" s="2156" t="s">
        <v>3337</v>
      </c>
      <c r="L11" s="5449" t="s">
        <v>3338</v>
      </c>
      <c r="M11" s="5449"/>
      <c r="N11" s="5449"/>
      <c r="O11" s="5449"/>
      <c r="P11" s="5449"/>
      <c r="Q11" s="5449"/>
      <c r="R11" s="5449"/>
      <c r="S11" s="5449"/>
      <c r="T11" s="5449" t="s">
        <v>3339</v>
      </c>
      <c r="U11" s="5449"/>
      <c r="V11" s="5449"/>
      <c r="X11" s="746" t="s">
        <v>3340</v>
      </c>
      <c r="Z11" s="747" t="s">
        <v>3341</v>
      </c>
      <c r="AB11" s="1331">
        <v>6</v>
      </c>
      <c r="AC11" s="749"/>
      <c r="AD11" s="1280" t="str">
        <f>'Creación de Técnicas'!E193</f>
        <v>Nombre de la técnica</v>
      </c>
      <c r="AE11" s="1284">
        <f>'Creación de Técnicas'!D193</f>
        <v>1</v>
      </c>
      <c r="AF11" s="750">
        <f>'Creación de Técnicas'!BT196</f>
        <v>0</v>
      </c>
      <c r="AG11" s="751" t="str">
        <f>'Creación de Técnicas'!DU219</f>
        <v/>
      </c>
      <c r="AH11" s="1370" t="str">
        <f>'Creación de Técnicas'!DV219</f>
        <v/>
      </c>
      <c r="AI11" s="1370" t="str">
        <f>'Creación de Técnicas'!DW219</f>
        <v/>
      </c>
      <c r="AJ11" s="1371" t="str">
        <f>'Creación de Técnicas'!DX219</f>
        <v/>
      </c>
      <c r="AK11" s="1248">
        <f t="shared" si="0"/>
        <v>193</v>
      </c>
      <c r="AO11" s="1282"/>
      <c r="AP11" s="1282"/>
    </row>
    <row r="12" spans="1:48" s="737" customFormat="1" ht="18" customHeight="1" x14ac:dyDescent="0.2">
      <c r="A12" s="777" t="s">
        <v>3342</v>
      </c>
      <c r="B12" s="778"/>
      <c r="C12" s="778"/>
      <c r="D12" s="778"/>
      <c r="E12" s="778"/>
      <c r="F12" s="778"/>
      <c r="G12" s="778"/>
      <c r="H12" s="778"/>
      <c r="I12" s="778"/>
      <c r="J12" s="778"/>
      <c r="K12" s="778"/>
      <c r="L12" s="779"/>
      <c r="M12" s="778"/>
      <c r="N12" s="778"/>
      <c r="O12" s="778"/>
      <c r="P12" s="778"/>
      <c r="Q12" s="778"/>
      <c r="R12" s="778"/>
      <c r="S12" s="778"/>
      <c r="T12" s="778"/>
      <c r="U12" s="778"/>
      <c r="V12" s="778"/>
      <c r="X12" s="746" t="s">
        <v>3343</v>
      </c>
      <c r="Z12" s="747" t="s">
        <v>3344</v>
      </c>
      <c r="AB12" s="1331">
        <v>7</v>
      </c>
      <c r="AC12" s="749"/>
      <c r="AD12" s="1280" t="str">
        <f>'Creación de Técnicas'!E230</f>
        <v>Nombre de la técnica</v>
      </c>
      <c r="AE12" s="1284">
        <f>'Creación de Técnicas'!D230</f>
        <v>1</v>
      </c>
      <c r="AF12" s="750">
        <f>'Creación de Técnicas'!BT233</f>
        <v>0</v>
      </c>
      <c r="AG12" s="751" t="str">
        <f>'Creación de Técnicas'!DU256</f>
        <v/>
      </c>
      <c r="AH12" s="1370" t="str">
        <f>'Creación de Técnicas'!DV256</f>
        <v/>
      </c>
      <c r="AI12" s="1370" t="str">
        <f>'Creación de Técnicas'!DW256</f>
        <v/>
      </c>
      <c r="AJ12" s="1371" t="str">
        <f>'Creación de Técnicas'!DX256</f>
        <v/>
      </c>
      <c r="AK12" s="1248">
        <f t="shared" si="0"/>
        <v>230</v>
      </c>
      <c r="AO12" s="1282"/>
      <c r="AP12" s="1282"/>
    </row>
    <row r="13" spans="1:48" s="784" customFormat="1" ht="18" customHeight="1" x14ac:dyDescent="0.2">
      <c r="A13" s="770" t="s">
        <v>3292</v>
      </c>
      <c r="B13" s="782"/>
      <c r="C13" s="782"/>
      <c r="D13" s="782"/>
      <c r="E13" s="782"/>
      <c r="F13" s="782"/>
      <c r="G13" s="782"/>
      <c r="H13" s="782"/>
      <c r="I13" s="782"/>
      <c r="J13" s="782"/>
      <c r="K13" s="782"/>
      <c r="L13" s="783"/>
      <c r="M13" s="782"/>
      <c r="N13" s="782"/>
      <c r="O13" s="782"/>
      <c r="P13" s="782"/>
      <c r="Q13" s="782"/>
      <c r="R13" s="782"/>
      <c r="S13" s="782"/>
      <c r="T13" s="782"/>
      <c r="U13" s="782"/>
      <c r="V13" s="782"/>
      <c r="X13" s="746" t="s">
        <v>3345</v>
      </c>
      <c r="Z13" s="785" t="s">
        <v>3346</v>
      </c>
      <c r="AB13" s="1331">
        <v>8</v>
      </c>
      <c r="AC13" s="749"/>
      <c r="AD13" s="1280" t="str">
        <f>'Creación de Técnicas'!E267</f>
        <v>Nombre de la técnica</v>
      </c>
      <c r="AE13" s="1284">
        <f>'Creación de Técnicas'!D267</f>
        <v>1</v>
      </c>
      <c r="AF13" s="750">
        <f>'Creación de Técnicas'!BT270</f>
        <v>0</v>
      </c>
      <c r="AG13" s="751" t="str">
        <f>'Creación de Técnicas'!DU293</f>
        <v/>
      </c>
      <c r="AH13" s="1370" t="str">
        <f>'Creación de Técnicas'!DV293</f>
        <v/>
      </c>
      <c r="AI13" s="1370" t="str">
        <f>'Creación de Técnicas'!DW293</f>
        <v/>
      </c>
      <c r="AJ13" s="1371" t="str">
        <f>'Creación de Técnicas'!DX293</f>
        <v/>
      </c>
      <c r="AK13" s="1248">
        <f t="shared" si="0"/>
        <v>267</v>
      </c>
      <c r="AL13" s="737"/>
      <c r="AM13" s="737"/>
      <c r="AN13" s="737"/>
      <c r="AO13" s="1282"/>
      <c r="AP13" s="1282"/>
      <c r="AQ13" s="737"/>
      <c r="AR13" s="737"/>
      <c r="AS13" s="737"/>
      <c r="AT13" s="737"/>
      <c r="AU13" s="737"/>
      <c r="AV13" s="737"/>
    </row>
    <row r="14" spans="1:48" s="784" customFormat="1" ht="18" customHeight="1" x14ac:dyDescent="0.2">
      <c r="A14" s="746" t="s">
        <v>3302</v>
      </c>
      <c r="B14" s="789"/>
      <c r="C14" s="789"/>
      <c r="D14" s="789"/>
      <c r="E14" s="789"/>
      <c r="F14" s="789"/>
      <c r="G14" s="789"/>
      <c r="H14" s="789"/>
      <c r="I14" s="789"/>
      <c r="J14" s="789"/>
      <c r="K14" s="789"/>
      <c r="L14" s="790"/>
      <c r="M14" s="789"/>
      <c r="N14" s="789"/>
      <c r="O14" s="789"/>
      <c r="P14" s="789"/>
      <c r="Q14" s="789"/>
      <c r="R14" s="789"/>
      <c r="S14" s="789"/>
      <c r="T14" s="789"/>
      <c r="U14" s="789"/>
      <c r="V14" s="789"/>
      <c r="X14" s="746" t="s">
        <v>3348</v>
      </c>
      <c r="Z14" s="791" t="s">
        <v>3349</v>
      </c>
      <c r="AB14" s="1331">
        <v>9</v>
      </c>
      <c r="AC14" s="749"/>
      <c r="AD14" s="1280" t="str">
        <f>'Creación de Técnicas'!E304</f>
        <v>Nombre de la técnica</v>
      </c>
      <c r="AE14" s="1284">
        <f>'Creación de Técnicas'!D304</f>
        <v>1</v>
      </c>
      <c r="AF14" s="750">
        <f>'Creación de Técnicas'!BT307</f>
        <v>0</v>
      </c>
      <c r="AG14" s="751" t="str">
        <f>'Creación de Técnicas'!DU330</f>
        <v/>
      </c>
      <c r="AH14" s="1370" t="str">
        <f>'Creación de Técnicas'!DV330</f>
        <v/>
      </c>
      <c r="AI14" s="1370" t="str">
        <f>'Creación de Técnicas'!DW330</f>
        <v/>
      </c>
      <c r="AJ14" s="1371" t="str">
        <f>'Creación de Técnicas'!DX330</f>
        <v/>
      </c>
      <c r="AK14" s="1248">
        <f t="shared" si="0"/>
        <v>304</v>
      </c>
      <c r="AL14" s="737"/>
      <c r="AM14" s="737"/>
      <c r="AN14" s="737"/>
      <c r="AO14" s="1282"/>
      <c r="AP14" s="1282"/>
      <c r="AQ14" s="737"/>
      <c r="AR14" s="737"/>
      <c r="AS14" s="737"/>
      <c r="AT14" s="737"/>
      <c r="AU14" s="737"/>
      <c r="AV14" s="737"/>
    </row>
    <row r="15" spans="1:48" s="737" customFormat="1" ht="18" customHeight="1" thickBot="1" x14ac:dyDescent="0.25">
      <c r="A15" s="794" t="s">
        <v>3350</v>
      </c>
      <c r="B15" s="795">
        <v>2</v>
      </c>
      <c r="C15" s="795">
        <v>4</v>
      </c>
      <c r="D15" s="795">
        <v>5</v>
      </c>
      <c r="E15" s="795">
        <v>1</v>
      </c>
      <c r="F15" s="795">
        <v>2</v>
      </c>
      <c r="G15" s="795">
        <v>4</v>
      </c>
      <c r="H15" s="795">
        <v>1</v>
      </c>
      <c r="I15" s="796" t="s">
        <v>3303</v>
      </c>
      <c r="J15" s="796" t="s">
        <v>1534</v>
      </c>
      <c r="K15" s="795" t="s">
        <v>1687</v>
      </c>
      <c r="L15" s="797" t="s">
        <v>1682</v>
      </c>
      <c r="M15" s="794" t="s">
        <v>3351</v>
      </c>
      <c r="N15" s="797" t="s">
        <v>1692</v>
      </c>
      <c r="O15" s="794" t="s">
        <v>3351</v>
      </c>
      <c r="P15" s="797" t="s">
        <v>1700</v>
      </c>
      <c r="Q15" s="794" t="s">
        <v>3351</v>
      </c>
      <c r="R15" s="797" t="s">
        <v>1701</v>
      </c>
      <c r="S15" s="794" t="s">
        <v>3352</v>
      </c>
      <c r="T15" s="798" t="s">
        <v>1922</v>
      </c>
      <c r="U15" s="798" t="s">
        <v>1929</v>
      </c>
      <c r="V15" s="798" t="s">
        <v>2020</v>
      </c>
      <c r="W15" s="795"/>
      <c r="X15" s="746" t="s">
        <v>3353</v>
      </c>
      <c r="AB15" s="1332">
        <v>10</v>
      </c>
      <c r="AC15" s="799"/>
      <c r="AD15" s="1333" t="str">
        <f>'Creación de Técnicas'!E341</f>
        <v>Nombre de la técnica</v>
      </c>
      <c r="AE15" s="1316">
        <f>'Creación de Técnicas'!D341</f>
        <v>1</v>
      </c>
      <c r="AF15" s="800">
        <f>'Creación de Técnicas'!BT344</f>
        <v>0</v>
      </c>
      <c r="AG15" s="801" t="str">
        <f>'Creación de Técnicas'!DU367</f>
        <v/>
      </c>
      <c r="AH15" s="1372" t="str">
        <f>'Creación de Técnicas'!DV367</f>
        <v/>
      </c>
      <c r="AI15" s="1372" t="str">
        <f>'Creación de Técnicas'!DW367</f>
        <v/>
      </c>
      <c r="AJ15" s="1373" t="str">
        <f>'Creación de Técnicas'!DX367</f>
        <v/>
      </c>
      <c r="AK15" s="1249">
        <f t="shared" si="0"/>
        <v>341</v>
      </c>
      <c r="AO15" s="1282"/>
      <c r="AP15" s="1282"/>
    </row>
    <row r="16" spans="1:48" s="737" customFormat="1" ht="18" customHeight="1" thickBot="1" x14ac:dyDescent="0.25">
      <c r="A16" s="794" t="s">
        <v>3354</v>
      </c>
      <c r="B16" s="795">
        <v>3</v>
      </c>
      <c r="C16" s="795">
        <v>5</v>
      </c>
      <c r="D16" s="795">
        <v>5</v>
      </c>
      <c r="E16" s="795">
        <v>2</v>
      </c>
      <c r="F16" s="795">
        <v>4</v>
      </c>
      <c r="G16" s="795">
        <v>7</v>
      </c>
      <c r="H16" s="795">
        <v>1</v>
      </c>
      <c r="I16" s="796" t="s">
        <v>3303</v>
      </c>
      <c r="J16" s="796" t="s">
        <v>1534</v>
      </c>
      <c r="K16" s="795" t="s">
        <v>1687</v>
      </c>
      <c r="L16" s="797" t="s">
        <v>1682</v>
      </c>
      <c r="M16" s="794" t="s">
        <v>3351</v>
      </c>
      <c r="N16" s="797" t="s">
        <v>1692</v>
      </c>
      <c r="O16" s="794" t="s">
        <v>3351</v>
      </c>
      <c r="P16" s="797" t="s">
        <v>1700</v>
      </c>
      <c r="Q16" s="794" t="s">
        <v>3351</v>
      </c>
      <c r="R16" s="797" t="s">
        <v>1701</v>
      </c>
      <c r="S16" s="794" t="s">
        <v>3352</v>
      </c>
      <c r="T16" s="798" t="s">
        <v>1922</v>
      </c>
      <c r="U16" s="798" t="s">
        <v>1929</v>
      </c>
      <c r="V16" s="798" t="s">
        <v>2020</v>
      </c>
      <c r="W16" s="795"/>
      <c r="X16" s="746" t="s">
        <v>3355</v>
      </c>
      <c r="Z16" s="1250" t="s">
        <v>7703</v>
      </c>
      <c r="AB16" s="748"/>
      <c r="AC16" s="803"/>
      <c r="AD16" s="804" t="s">
        <v>3356</v>
      </c>
      <c r="AE16" s="805"/>
      <c r="AF16" s="805"/>
      <c r="AG16" s="806"/>
      <c r="AH16" s="807"/>
      <c r="AI16" s="808"/>
      <c r="AJ16" s="809"/>
      <c r="AK16" s="748"/>
      <c r="AO16" s="1282"/>
      <c r="AP16" s="1282"/>
    </row>
    <row r="17" spans="1:42" s="737" customFormat="1" ht="18" customHeight="1" x14ac:dyDescent="0.2">
      <c r="A17" s="794" t="s">
        <v>3357</v>
      </c>
      <c r="B17" s="795">
        <v>4</v>
      </c>
      <c r="C17" s="795">
        <v>6</v>
      </c>
      <c r="D17" s="795">
        <v>10</v>
      </c>
      <c r="E17" s="795">
        <v>3</v>
      </c>
      <c r="F17" s="795">
        <v>6</v>
      </c>
      <c r="G17" s="795">
        <v>11</v>
      </c>
      <c r="H17" s="795">
        <v>1</v>
      </c>
      <c r="I17" s="796" t="s">
        <v>3303</v>
      </c>
      <c r="J17" s="796" t="s">
        <v>1534</v>
      </c>
      <c r="K17" s="795" t="s">
        <v>1687</v>
      </c>
      <c r="L17" s="797" t="s">
        <v>1682</v>
      </c>
      <c r="M17" s="794" t="s">
        <v>3351</v>
      </c>
      <c r="N17" s="797" t="s">
        <v>1692</v>
      </c>
      <c r="O17" s="794" t="s">
        <v>3351</v>
      </c>
      <c r="P17" s="797" t="s">
        <v>1700</v>
      </c>
      <c r="Q17" s="794" t="s">
        <v>3351</v>
      </c>
      <c r="R17" s="797" t="s">
        <v>1701</v>
      </c>
      <c r="S17" s="794" t="s">
        <v>3352</v>
      </c>
      <c r="T17" s="798" t="s">
        <v>1922</v>
      </c>
      <c r="U17" s="798" t="s">
        <v>1929</v>
      </c>
      <c r="V17" s="798" t="s">
        <v>2020</v>
      </c>
      <c r="W17" s="795"/>
      <c r="X17" s="746" t="s">
        <v>3358</v>
      </c>
      <c r="Z17" s="810" t="s">
        <v>1922</v>
      </c>
      <c r="AB17" s="748"/>
      <c r="AC17" s="749"/>
      <c r="AD17" s="811" t="s">
        <v>3359</v>
      </c>
      <c r="AE17" s="750">
        <v>1</v>
      </c>
      <c r="AF17" s="750">
        <v>25</v>
      </c>
      <c r="AG17" s="812" t="s">
        <v>3360</v>
      </c>
      <c r="AH17" s="813" t="s">
        <v>3361</v>
      </c>
      <c r="AI17" s="814"/>
      <c r="AJ17" s="809"/>
      <c r="AO17" s="1282"/>
      <c r="AP17" s="1282"/>
    </row>
    <row r="18" spans="1:42" s="737" customFormat="1" ht="18" customHeight="1" x14ac:dyDescent="0.2">
      <c r="A18" s="794" t="s">
        <v>3362</v>
      </c>
      <c r="B18" s="795">
        <v>5</v>
      </c>
      <c r="C18" s="795">
        <v>8</v>
      </c>
      <c r="D18" s="795">
        <v>15</v>
      </c>
      <c r="E18" s="795">
        <v>4</v>
      </c>
      <c r="F18" s="795">
        <v>8</v>
      </c>
      <c r="G18" s="795">
        <v>14</v>
      </c>
      <c r="H18" s="795">
        <v>1</v>
      </c>
      <c r="I18" s="796" t="s">
        <v>3303</v>
      </c>
      <c r="J18" s="796" t="s">
        <v>1534</v>
      </c>
      <c r="K18" s="795" t="s">
        <v>1687</v>
      </c>
      <c r="L18" s="797" t="s">
        <v>1682</v>
      </c>
      <c r="M18" s="794" t="s">
        <v>3351</v>
      </c>
      <c r="N18" s="797" t="s">
        <v>1692</v>
      </c>
      <c r="O18" s="794" t="s">
        <v>3351</v>
      </c>
      <c r="P18" s="797" t="s">
        <v>1700</v>
      </c>
      <c r="Q18" s="794" t="s">
        <v>3351</v>
      </c>
      <c r="R18" s="797" t="s">
        <v>1701</v>
      </c>
      <c r="S18" s="794" t="s">
        <v>3352</v>
      </c>
      <c r="T18" s="798" t="s">
        <v>1922</v>
      </c>
      <c r="U18" s="798" t="s">
        <v>1929</v>
      </c>
      <c r="V18" s="798" t="s">
        <v>2020</v>
      </c>
      <c r="W18" s="795"/>
      <c r="X18" s="746" t="s">
        <v>3363</v>
      </c>
      <c r="Z18" s="810" t="s">
        <v>1925</v>
      </c>
      <c r="AB18" s="748"/>
      <c r="AC18" s="749"/>
      <c r="AD18" s="811" t="s">
        <v>3364</v>
      </c>
      <c r="AE18" s="750">
        <v>1</v>
      </c>
      <c r="AF18" s="750">
        <v>25</v>
      </c>
      <c r="AG18" s="812" t="s">
        <v>3365</v>
      </c>
      <c r="AH18" s="813" t="s">
        <v>3366</v>
      </c>
      <c r="AI18" s="814"/>
      <c r="AJ18" s="809"/>
      <c r="AO18" s="1282"/>
      <c r="AP18" s="1282"/>
    </row>
    <row r="19" spans="1:42" s="737" customFormat="1" ht="18" customHeight="1" x14ac:dyDescent="0.2">
      <c r="A19" s="794" t="s">
        <v>3368</v>
      </c>
      <c r="B19" s="795">
        <v>9</v>
      </c>
      <c r="C19" s="795">
        <v>12</v>
      </c>
      <c r="D19" s="795">
        <v>20</v>
      </c>
      <c r="E19" s="795">
        <v>6</v>
      </c>
      <c r="F19" s="795">
        <v>12</v>
      </c>
      <c r="G19" s="795">
        <v>21</v>
      </c>
      <c r="H19" s="795">
        <v>1</v>
      </c>
      <c r="I19" s="796" t="s">
        <v>3303</v>
      </c>
      <c r="J19" s="796" t="s">
        <v>1534</v>
      </c>
      <c r="K19" s="795" t="s">
        <v>1687</v>
      </c>
      <c r="L19" s="797" t="s">
        <v>1682</v>
      </c>
      <c r="M19" s="794" t="s">
        <v>3351</v>
      </c>
      <c r="N19" s="797" t="s">
        <v>1692</v>
      </c>
      <c r="O19" s="794" t="s">
        <v>3351</v>
      </c>
      <c r="P19" s="797" t="s">
        <v>1700</v>
      </c>
      <c r="Q19" s="794" t="s">
        <v>3351</v>
      </c>
      <c r="R19" s="797" t="s">
        <v>1701</v>
      </c>
      <c r="S19" s="794" t="s">
        <v>3352</v>
      </c>
      <c r="T19" s="798" t="s">
        <v>1922</v>
      </c>
      <c r="U19" s="798" t="s">
        <v>1929</v>
      </c>
      <c r="V19" s="798" t="s">
        <v>2020</v>
      </c>
      <c r="W19" s="795"/>
      <c r="X19" s="746" t="s">
        <v>3369</v>
      </c>
      <c r="Z19" s="810" t="s">
        <v>1929</v>
      </c>
      <c r="AB19" s="748"/>
      <c r="AC19" s="749"/>
      <c r="AD19" s="811" t="s">
        <v>3370</v>
      </c>
      <c r="AE19" s="750">
        <v>2</v>
      </c>
      <c r="AF19" s="750">
        <v>45</v>
      </c>
      <c r="AG19" s="812" t="s">
        <v>3371</v>
      </c>
      <c r="AH19" s="813" t="s">
        <v>3372</v>
      </c>
      <c r="AI19" s="814"/>
      <c r="AJ19" s="809"/>
      <c r="AO19" s="1282"/>
      <c r="AP19" s="1282"/>
    </row>
    <row r="20" spans="1:42" s="737" customFormat="1" ht="18" customHeight="1" x14ac:dyDescent="0.2">
      <c r="A20" s="794" t="s">
        <v>3373</v>
      </c>
      <c r="B20" s="795">
        <v>12</v>
      </c>
      <c r="C20" s="795">
        <v>15</v>
      </c>
      <c r="D20" s="795">
        <v>25</v>
      </c>
      <c r="E20" s="795">
        <v>8</v>
      </c>
      <c r="F20" s="795">
        <v>16</v>
      </c>
      <c r="G20" s="795">
        <v>28</v>
      </c>
      <c r="H20" s="795">
        <v>1</v>
      </c>
      <c r="I20" s="796" t="s">
        <v>3303</v>
      </c>
      <c r="J20" s="796" t="s">
        <v>1534</v>
      </c>
      <c r="K20" s="795" t="s">
        <v>1687</v>
      </c>
      <c r="L20" s="797" t="s">
        <v>1682</v>
      </c>
      <c r="M20" s="794" t="s">
        <v>3351</v>
      </c>
      <c r="N20" s="797" t="s">
        <v>1692</v>
      </c>
      <c r="O20" s="794" t="s">
        <v>3351</v>
      </c>
      <c r="P20" s="797" t="s">
        <v>1700</v>
      </c>
      <c r="Q20" s="794" t="s">
        <v>3351</v>
      </c>
      <c r="R20" s="797" t="s">
        <v>1701</v>
      </c>
      <c r="S20" s="794" t="s">
        <v>3352</v>
      </c>
      <c r="T20" s="798" t="s">
        <v>1922</v>
      </c>
      <c r="U20" s="798" t="s">
        <v>1929</v>
      </c>
      <c r="V20" s="798" t="s">
        <v>2020</v>
      </c>
      <c r="W20" s="795"/>
      <c r="X20" s="746" t="s">
        <v>3374</v>
      </c>
      <c r="Z20" s="810" t="s">
        <v>2024</v>
      </c>
      <c r="AB20" s="748"/>
      <c r="AC20" s="749"/>
      <c r="AD20" s="811" t="s">
        <v>3375</v>
      </c>
      <c r="AE20" s="750">
        <v>2</v>
      </c>
      <c r="AF20" s="750">
        <v>45</v>
      </c>
      <c r="AG20" s="812" t="s">
        <v>3376</v>
      </c>
      <c r="AH20" s="813" t="s">
        <v>3377</v>
      </c>
      <c r="AI20" s="814"/>
      <c r="AJ20" s="809"/>
      <c r="AO20" s="1282"/>
      <c r="AP20" s="1282"/>
    </row>
    <row r="21" spans="1:42" s="737" customFormat="1" ht="18" customHeight="1" x14ac:dyDescent="0.2">
      <c r="A21" s="794" t="s">
        <v>3378</v>
      </c>
      <c r="B21" s="795">
        <v>14</v>
      </c>
      <c r="C21" s="795">
        <v>18</v>
      </c>
      <c r="D21" s="795">
        <v>30</v>
      </c>
      <c r="E21" s="795">
        <v>10</v>
      </c>
      <c r="F21" s="795">
        <v>20</v>
      </c>
      <c r="G21" s="795">
        <v>35</v>
      </c>
      <c r="H21" s="795">
        <v>1</v>
      </c>
      <c r="I21" s="796" t="s">
        <v>3303</v>
      </c>
      <c r="J21" s="796" t="s">
        <v>1534</v>
      </c>
      <c r="K21" s="795" t="s">
        <v>1687</v>
      </c>
      <c r="L21" s="797" t="s">
        <v>1682</v>
      </c>
      <c r="M21" s="794" t="s">
        <v>3351</v>
      </c>
      <c r="N21" s="797" t="s">
        <v>1692</v>
      </c>
      <c r="O21" s="794" t="s">
        <v>3351</v>
      </c>
      <c r="P21" s="797" t="s">
        <v>1700</v>
      </c>
      <c r="Q21" s="794" t="s">
        <v>3351</v>
      </c>
      <c r="R21" s="797" t="s">
        <v>1701</v>
      </c>
      <c r="S21" s="794" t="s">
        <v>3352</v>
      </c>
      <c r="T21" s="798" t="s">
        <v>1922</v>
      </c>
      <c r="U21" s="798" t="s">
        <v>1929</v>
      </c>
      <c r="V21" s="798" t="s">
        <v>2020</v>
      </c>
      <c r="W21" s="795"/>
      <c r="X21" s="746" t="s">
        <v>3379</v>
      </c>
      <c r="Z21" s="810" t="s">
        <v>2019</v>
      </c>
      <c r="AB21" s="748"/>
      <c r="AC21" s="749"/>
      <c r="AD21" s="811" t="s">
        <v>3380</v>
      </c>
      <c r="AE21" s="750">
        <v>3</v>
      </c>
      <c r="AF21" s="750">
        <v>85</v>
      </c>
      <c r="AG21" s="812" t="s">
        <v>3381</v>
      </c>
      <c r="AH21" s="813" t="s">
        <v>3382</v>
      </c>
      <c r="AI21" s="814"/>
      <c r="AJ21" s="809"/>
      <c r="AO21" s="1282"/>
      <c r="AP21" s="1282"/>
    </row>
    <row r="22" spans="1:42" s="737" customFormat="1" ht="18" customHeight="1" thickBot="1" x14ac:dyDescent="0.25">
      <c r="A22" s="794" t="s">
        <v>3383</v>
      </c>
      <c r="B22" s="795">
        <v>18</v>
      </c>
      <c r="C22" s="795">
        <v>22</v>
      </c>
      <c r="D22" s="795">
        <v>35</v>
      </c>
      <c r="E22" s="795">
        <v>12</v>
      </c>
      <c r="F22" s="795">
        <v>24</v>
      </c>
      <c r="G22" s="795">
        <v>42</v>
      </c>
      <c r="H22" s="795">
        <v>2</v>
      </c>
      <c r="I22" s="796" t="s">
        <v>3303</v>
      </c>
      <c r="J22" s="796" t="s">
        <v>1534</v>
      </c>
      <c r="K22" s="795" t="s">
        <v>1687</v>
      </c>
      <c r="L22" s="797" t="s">
        <v>1682</v>
      </c>
      <c r="M22" s="794" t="s">
        <v>3351</v>
      </c>
      <c r="N22" s="797" t="s">
        <v>1692</v>
      </c>
      <c r="O22" s="794" t="s">
        <v>3351</v>
      </c>
      <c r="P22" s="797" t="s">
        <v>1700</v>
      </c>
      <c r="Q22" s="794" t="s">
        <v>3351</v>
      </c>
      <c r="R22" s="797" t="s">
        <v>1701</v>
      </c>
      <c r="S22" s="794" t="s">
        <v>3352</v>
      </c>
      <c r="T22" s="798" t="s">
        <v>1922</v>
      </c>
      <c r="U22" s="798" t="s">
        <v>1929</v>
      </c>
      <c r="V22" s="798" t="s">
        <v>2020</v>
      </c>
      <c r="W22" s="795"/>
      <c r="X22" s="746" t="s">
        <v>3384</v>
      </c>
      <c r="Z22" s="815" t="s">
        <v>2020</v>
      </c>
      <c r="AB22" s="748"/>
      <c r="AC22" s="749"/>
      <c r="AD22" s="811" t="s">
        <v>3385</v>
      </c>
      <c r="AE22" s="750"/>
      <c r="AF22" s="750"/>
      <c r="AG22" s="812"/>
      <c r="AH22" s="813"/>
      <c r="AI22" s="814"/>
      <c r="AJ22" s="809"/>
      <c r="AO22" s="1282"/>
      <c r="AP22" s="1282"/>
    </row>
    <row r="23" spans="1:42" s="737" customFormat="1" ht="18" customHeight="1" x14ac:dyDescent="0.2">
      <c r="A23" s="794" t="s">
        <v>3386</v>
      </c>
      <c r="B23" s="795">
        <v>22</v>
      </c>
      <c r="C23" s="795">
        <v>26</v>
      </c>
      <c r="D23" s="795">
        <v>40</v>
      </c>
      <c r="E23" s="795">
        <v>14</v>
      </c>
      <c r="F23" s="795">
        <v>28</v>
      </c>
      <c r="G23" s="795">
        <v>49</v>
      </c>
      <c r="H23" s="795">
        <v>2</v>
      </c>
      <c r="I23" s="796" t="s">
        <v>3303</v>
      </c>
      <c r="J23" s="796" t="s">
        <v>1534</v>
      </c>
      <c r="K23" s="795" t="s">
        <v>1687</v>
      </c>
      <c r="L23" s="797" t="s">
        <v>1682</v>
      </c>
      <c r="M23" s="794" t="s">
        <v>3351</v>
      </c>
      <c r="N23" s="797" t="s">
        <v>1692</v>
      </c>
      <c r="O23" s="794" t="s">
        <v>3351</v>
      </c>
      <c r="P23" s="797" t="s">
        <v>1700</v>
      </c>
      <c r="Q23" s="794" t="s">
        <v>3351</v>
      </c>
      <c r="R23" s="797" t="s">
        <v>1701</v>
      </c>
      <c r="S23" s="794" t="s">
        <v>3352</v>
      </c>
      <c r="T23" s="798" t="s">
        <v>1922</v>
      </c>
      <c r="U23" s="798" t="s">
        <v>1929</v>
      </c>
      <c r="V23" s="798" t="s">
        <v>2020</v>
      </c>
      <c r="W23" s="795"/>
      <c r="X23" s="746" t="s">
        <v>3387</v>
      </c>
      <c r="AB23" s="748"/>
      <c r="AC23" s="749"/>
      <c r="AD23" s="811" t="s">
        <v>3388</v>
      </c>
      <c r="AE23" s="750">
        <v>1</v>
      </c>
      <c r="AF23" s="750">
        <v>20</v>
      </c>
      <c r="AG23" s="812" t="s">
        <v>3389</v>
      </c>
      <c r="AH23" s="817" t="s">
        <v>3390</v>
      </c>
      <c r="AI23" s="818"/>
      <c r="AJ23" s="809"/>
      <c r="AO23" s="1282"/>
      <c r="AP23" s="1282"/>
    </row>
    <row r="24" spans="1:42" s="737" customFormat="1" ht="18" customHeight="1" x14ac:dyDescent="0.2">
      <c r="A24" s="794" t="s">
        <v>3391</v>
      </c>
      <c r="B24" s="795">
        <v>26</v>
      </c>
      <c r="C24" s="795">
        <v>32</v>
      </c>
      <c r="D24" s="795">
        <v>45</v>
      </c>
      <c r="E24" s="795">
        <v>16</v>
      </c>
      <c r="F24" s="795">
        <v>32</v>
      </c>
      <c r="G24" s="795">
        <v>56</v>
      </c>
      <c r="H24" s="795">
        <v>3</v>
      </c>
      <c r="I24" s="796" t="s">
        <v>3303</v>
      </c>
      <c r="J24" s="796" t="s">
        <v>1534</v>
      </c>
      <c r="K24" s="795" t="s">
        <v>1687</v>
      </c>
      <c r="L24" s="797" t="s">
        <v>1682</v>
      </c>
      <c r="M24" s="794" t="s">
        <v>3351</v>
      </c>
      <c r="N24" s="797" t="s">
        <v>1692</v>
      </c>
      <c r="O24" s="794" t="s">
        <v>3351</v>
      </c>
      <c r="P24" s="797" t="s">
        <v>1700</v>
      </c>
      <c r="Q24" s="794" t="s">
        <v>3351</v>
      </c>
      <c r="R24" s="797" t="s">
        <v>1701</v>
      </c>
      <c r="S24" s="794" t="s">
        <v>3352</v>
      </c>
      <c r="T24" s="798" t="s">
        <v>1922</v>
      </c>
      <c r="U24" s="798" t="s">
        <v>1929</v>
      </c>
      <c r="V24" s="798" t="s">
        <v>2020</v>
      </c>
      <c r="W24" s="795"/>
      <c r="X24" s="770" t="s">
        <v>3392</v>
      </c>
      <c r="AB24" s="748"/>
      <c r="AC24" s="749"/>
      <c r="AD24" s="811" t="s">
        <v>3393</v>
      </c>
      <c r="AE24" s="750">
        <v>1</v>
      </c>
      <c r="AF24" s="750">
        <v>20</v>
      </c>
      <c r="AG24" s="812" t="s">
        <v>3394</v>
      </c>
      <c r="AH24" s="817" t="s">
        <v>3395</v>
      </c>
      <c r="AI24" s="818"/>
      <c r="AJ24" s="809"/>
      <c r="AO24" s="1282"/>
      <c r="AP24" s="1282"/>
    </row>
    <row r="25" spans="1:42" s="737" customFormat="1" ht="18" customHeight="1" x14ac:dyDescent="0.2">
      <c r="A25" s="794" t="s">
        <v>3396</v>
      </c>
      <c r="B25" s="795">
        <v>30</v>
      </c>
      <c r="C25" s="795">
        <v>36</v>
      </c>
      <c r="D25" s="795">
        <v>50</v>
      </c>
      <c r="E25" s="795">
        <v>18</v>
      </c>
      <c r="F25" s="795">
        <v>36</v>
      </c>
      <c r="G25" s="795">
        <v>63</v>
      </c>
      <c r="H25" s="795">
        <v>3</v>
      </c>
      <c r="I25" s="796" t="s">
        <v>3303</v>
      </c>
      <c r="J25" s="796" t="s">
        <v>1534</v>
      </c>
      <c r="K25" s="795" t="s">
        <v>1687</v>
      </c>
      <c r="L25" s="797" t="s">
        <v>1682</v>
      </c>
      <c r="M25" s="794" t="s">
        <v>3351</v>
      </c>
      <c r="N25" s="797" t="s">
        <v>1692</v>
      </c>
      <c r="O25" s="794" t="s">
        <v>3351</v>
      </c>
      <c r="P25" s="797" t="s">
        <v>1700</v>
      </c>
      <c r="Q25" s="794" t="s">
        <v>3351</v>
      </c>
      <c r="R25" s="797" t="s">
        <v>1701</v>
      </c>
      <c r="S25" s="794" t="s">
        <v>3352</v>
      </c>
      <c r="T25" s="798" t="s">
        <v>1922</v>
      </c>
      <c r="U25" s="798" t="s">
        <v>1929</v>
      </c>
      <c r="V25" s="798" t="s">
        <v>2020</v>
      </c>
      <c r="W25" s="795"/>
      <c r="X25" s="746" t="s">
        <v>3397</v>
      </c>
      <c r="AB25" s="748"/>
      <c r="AC25" s="749"/>
      <c r="AD25" s="811" t="s">
        <v>3398</v>
      </c>
      <c r="AE25" s="750">
        <v>2</v>
      </c>
      <c r="AF25" s="750">
        <v>40</v>
      </c>
      <c r="AG25" s="812" t="s">
        <v>3399</v>
      </c>
      <c r="AH25" s="813" t="s">
        <v>3400</v>
      </c>
      <c r="AI25" s="814" t="s">
        <v>3401</v>
      </c>
      <c r="AJ25" s="809"/>
      <c r="AO25" s="1282"/>
      <c r="AP25" s="1282"/>
    </row>
    <row r="26" spans="1:42" s="737" customFormat="1" ht="18" customHeight="1" x14ac:dyDescent="0.2">
      <c r="A26" s="746" t="s">
        <v>3307</v>
      </c>
      <c r="B26" s="789"/>
      <c r="C26" s="789"/>
      <c r="D26" s="789"/>
      <c r="E26" s="789"/>
      <c r="F26" s="789"/>
      <c r="G26" s="789"/>
      <c r="H26" s="789"/>
      <c r="I26" s="789"/>
      <c r="J26" s="789"/>
      <c r="K26" s="789"/>
      <c r="L26" s="790"/>
      <c r="M26" s="789"/>
      <c r="N26" s="789"/>
      <c r="O26" s="789"/>
      <c r="P26" s="789"/>
      <c r="Q26" s="789"/>
      <c r="R26" s="789"/>
      <c r="S26" s="789"/>
      <c r="T26" s="789"/>
      <c r="U26" s="789"/>
      <c r="V26" s="789"/>
      <c r="W26" s="795"/>
      <c r="X26" s="746" t="s">
        <v>3402</v>
      </c>
      <c r="AB26" s="748"/>
      <c r="AC26" s="749"/>
      <c r="AD26" s="811" t="s">
        <v>3403</v>
      </c>
      <c r="AE26" s="750">
        <v>2</v>
      </c>
      <c r="AF26" s="750">
        <v>40</v>
      </c>
      <c r="AG26" s="812" t="s">
        <v>3404</v>
      </c>
      <c r="AH26" s="813" t="s">
        <v>3405</v>
      </c>
      <c r="AI26" s="814" t="s">
        <v>3401</v>
      </c>
      <c r="AJ26" s="809"/>
      <c r="AO26" s="1282"/>
      <c r="AP26" s="1282"/>
    </row>
    <row r="27" spans="1:42" s="737" customFormat="1" ht="18" customHeight="1" x14ac:dyDescent="0.2">
      <c r="A27" s="794" t="s">
        <v>3406</v>
      </c>
      <c r="B27" s="795">
        <v>4</v>
      </c>
      <c r="C27" s="795">
        <v>6</v>
      </c>
      <c r="D27" s="795">
        <v>10</v>
      </c>
      <c r="E27" s="795">
        <v>2</v>
      </c>
      <c r="F27" s="795">
        <v>4</v>
      </c>
      <c r="G27" s="795">
        <v>7</v>
      </c>
      <c r="H27" s="795">
        <v>1</v>
      </c>
      <c r="I27" s="796" t="s">
        <v>3308</v>
      </c>
      <c r="J27" s="796" t="s">
        <v>1534</v>
      </c>
      <c r="K27" s="795" t="s">
        <v>1687</v>
      </c>
      <c r="L27" s="797" t="s">
        <v>1682</v>
      </c>
      <c r="M27" s="794" t="s">
        <v>3351</v>
      </c>
      <c r="N27" s="798" t="s">
        <v>1692</v>
      </c>
      <c r="O27" s="794" t="s">
        <v>3351</v>
      </c>
      <c r="P27" s="798" t="s">
        <v>1700</v>
      </c>
      <c r="Q27" s="794" t="s">
        <v>3351</v>
      </c>
      <c r="R27" s="798" t="s">
        <v>1701</v>
      </c>
      <c r="S27" s="794" t="s">
        <v>3352</v>
      </c>
      <c r="T27" s="798" t="s">
        <v>1922</v>
      </c>
      <c r="U27" s="798" t="s">
        <v>1929</v>
      </c>
      <c r="V27" s="798" t="s">
        <v>2020</v>
      </c>
      <c r="W27" s="795"/>
      <c r="X27" s="746" t="s">
        <v>3407</v>
      </c>
      <c r="AB27" s="748"/>
      <c r="AC27" s="749"/>
      <c r="AD27" s="811" t="s">
        <v>3408</v>
      </c>
      <c r="AE27" s="750">
        <v>3</v>
      </c>
      <c r="AF27" s="750">
        <v>60</v>
      </c>
      <c r="AG27" s="812" t="s">
        <v>3409</v>
      </c>
      <c r="AH27" s="813" t="s">
        <v>3410</v>
      </c>
      <c r="AI27" s="814" t="s">
        <v>3401</v>
      </c>
      <c r="AJ27" s="809"/>
      <c r="AO27" s="1282"/>
      <c r="AP27" s="1282"/>
    </row>
    <row r="28" spans="1:42" s="737" customFormat="1" ht="18" customHeight="1" x14ac:dyDescent="0.2">
      <c r="A28" s="794" t="s">
        <v>3411</v>
      </c>
      <c r="B28" s="795">
        <v>8</v>
      </c>
      <c r="C28" s="795">
        <v>11</v>
      </c>
      <c r="D28" s="795">
        <v>15</v>
      </c>
      <c r="E28" s="795">
        <v>5</v>
      </c>
      <c r="F28" s="795">
        <v>10</v>
      </c>
      <c r="G28" s="795">
        <v>18</v>
      </c>
      <c r="H28" s="795">
        <v>1</v>
      </c>
      <c r="I28" s="796" t="s">
        <v>3308</v>
      </c>
      <c r="J28" s="796" t="s">
        <v>1534</v>
      </c>
      <c r="K28" s="795" t="s">
        <v>1687</v>
      </c>
      <c r="L28" s="797" t="s">
        <v>1682</v>
      </c>
      <c r="M28" s="794" t="s">
        <v>3351</v>
      </c>
      <c r="N28" s="798" t="s">
        <v>1692</v>
      </c>
      <c r="O28" s="794" t="s">
        <v>3351</v>
      </c>
      <c r="P28" s="798" t="s">
        <v>1700</v>
      </c>
      <c r="Q28" s="794" t="s">
        <v>3351</v>
      </c>
      <c r="R28" s="798" t="s">
        <v>1701</v>
      </c>
      <c r="S28" s="794" t="s">
        <v>3352</v>
      </c>
      <c r="T28" s="798" t="s">
        <v>1922</v>
      </c>
      <c r="U28" s="798" t="s">
        <v>1929</v>
      </c>
      <c r="V28" s="798" t="s">
        <v>2020</v>
      </c>
      <c r="W28" s="795"/>
      <c r="X28" s="746" t="s">
        <v>3412</v>
      </c>
      <c r="AB28" s="748"/>
      <c r="AC28" s="803"/>
      <c r="AD28" s="804" t="s">
        <v>3413</v>
      </c>
      <c r="AE28" s="805"/>
      <c r="AF28" s="805"/>
      <c r="AG28" s="806"/>
      <c r="AH28" s="807"/>
      <c r="AI28" s="808"/>
      <c r="AJ28" s="809"/>
      <c r="AO28" s="1282"/>
      <c r="AP28" s="1282"/>
    </row>
    <row r="29" spans="1:42" s="737" customFormat="1" ht="18" customHeight="1" x14ac:dyDescent="0.2">
      <c r="A29" s="794" t="s">
        <v>3414</v>
      </c>
      <c r="B29" s="795">
        <v>10</v>
      </c>
      <c r="C29" s="795">
        <v>13</v>
      </c>
      <c r="D29" s="795">
        <v>20</v>
      </c>
      <c r="E29" s="795">
        <v>8</v>
      </c>
      <c r="F29" s="795">
        <v>16</v>
      </c>
      <c r="G29" s="795">
        <v>28</v>
      </c>
      <c r="H29" s="795">
        <v>1</v>
      </c>
      <c r="I29" s="796" t="s">
        <v>3308</v>
      </c>
      <c r="J29" s="796" t="s">
        <v>1534</v>
      </c>
      <c r="K29" s="795" t="s">
        <v>1687</v>
      </c>
      <c r="L29" s="797" t="s">
        <v>1682</v>
      </c>
      <c r="M29" s="794" t="s">
        <v>3351</v>
      </c>
      <c r="N29" s="798" t="s">
        <v>1692</v>
      </c>
      <c r="O29" s="794" t="s">
        <v>3351</v>
      </c>
      <c r="P29" s="798" t="s">
        <v>1700</v>
      </c>
      <c r="Q29" s="794" t="s">
        <v>3351</v>
      </c>
      <c r="R29" s="798" t="s">
        <v>1701</v>
      </c>
      <c r="S29" s="794" t="s">
        <v>3352</v>
      </c>
      <c r="T29" s="798" t="s">
        <v>1922</v>
      </c>
      <c r="U29" s="798" t="s">
        <v>1929</v>
      </c>
      <c r="V29" s="798" t="s">
        <v>2020</v>
      </c>
      <c r="W29" s="795"/>
      <c r="X29" s="770" t="s">
        <v>3415</v>
      </c>
      <c r="AB29" s="748"/>
      <c r="AC29" s="749"/>
      <c r="AD29" s="811" t="s">
        <v>3416</v>
      </c>
      <c r="AE29" s="750">
        <v>1</v>
      </c>
      <c r="AF29" s="750">
        <v>20</v>
      </c>
      <c r="AG29" s="812" t="s">
        <v>3417</v>
      </c>
      <c r="AH29" s="813" t="s">
        <v>3418</v>
      </c>
      <c r="AI29" s="814"/>
      <c r="AJ29" s="809"/>
      <c r="AO29" s="1282"/>
      <c r="AP29" s="1282"/>
    </row>
    <row r="30" spans="1:42" s="737" customFormat="1" ht="18" customHeight="1" x14ac:dyDescent="0.2">
      <c r="A30" s="794" t="s">
        <v>3419</v>
      </c>
      <c r="B30" s="795">
        <v>12</v>
      </c>
      <c r="C30" s="795">
        <v>15</v>
      </c>
      <c r="D30" s="795">
        <v>30</v>
      </c>
      <c r="E30" s="795">
        <v>10</v>
      </c>
      <c r="F30" s="795">
        <v>20</v>
      </c>
      <c r="G30" s="795">
        <v>35</v>
      </c>
      <c r="H30" s="795">
        <v>2</v>
      </c>
      <c r="I30" s="796" t="s">
        <v>3308</v>
      </c>
      <c r="J30" s="796" t="s">
        <v>1534</v>
      </c>
      <c r="K30" s="795" t="s">
        <v>1687</v>
      </c>
      <c r="L30" s="797" t="s">
        <v>1682</v>
      </c>
      <c r="M30" s="794" t="s">
        <v>3351</v>
      </c>
      <c r="N30" s="798" t="s">
        <v>1692</v>
      </c>
      <c r="O30" s="794" t="s">
        <v>3351</v>
      </c>
      <c r="P30" s="798" t="s">
        <v>1700</v>
      </c>
      <c r="Q30" s="794" t="s">
        <v>3351</v>
      </c>
      <c r="R30" s="798" t="s">
        <v>1701</v>
      </c>
      <c r="S30" s="794" t="s">
        <v>3352</v>
      </c>
      <c r="T30" s="798" t="s">
        <v>1922</v>
      </c>
      <c r="U30" s="798" t="s">
        <v>1929</v>
      </c>
      <c r="V30" s="798" t="s">
        <v>2020</v>
      </c>
      <c r="W30" s="795"/>
      <c r="X30" s="746" t="s">
        <v>3420</v>
      </c>
      <c r="AB30" s="748"/>
      <c r="AC30" s="749"/>
      <c r="AD30" s="811" t="s">
        <v>3421</v>
      </c>
      <c r="AE30" s="750">
        <v>1</v>
      </c>
      <c r="AF30" s="750">
        <v>30</v>
      </c>
      <c r="AG30" s="812" t="s">
        <v>3422</v>
      </c>
      <c r="AH30" s="813" t="s">
        <v>3423</v>
      </c>
      <c r="AI30" s="814"/>
      <c r="AJ30" s="809"/>
      <c r="AO30" s="1282"/>
      <c r="AP30" s="1282"/>
    </row>
    <row r="31" spans="1:42" s="737" customFormat="1" ht="18" customHeight="1" x14ac:dyDescent="0.2">
      <c r="A31" s="794" t="s">
        <v>3424</v>
      </c>
      <c r="B31" s="795">
        <v>18</v>
      </c>
      <c r="C31" s="795">
        <v>22</v>
      </c>
      <c r="D31" s="795">
        <v>50</v>
      </c>
      <c r="E31" s="795">
        <v>14</v>
      </c>
      <c r="F31" s="795">
        <v>28</v>
      </c>
      <c r="G31" s="795">
        <v>49</v>
      </c>
      <c r="H31" s="795">
        <v>2</v>
      </c>
      <c r="I31" s="796" t="s">
        <v>3308</v>
      </c>
      <c r="J31" s="796" t="s">
        <v>1534</v>
      </c>
      <c r="K31" s="795" t="s">
        <v>1687</v>
      </c>
      <c r="L31" s="797" t="s">
        <v>1682</v>
      </c>
      <c r="M31" s="794" t="s">
        <v>3351</v>
      </c>
      <c r="N31" s="798" t="s">
        <v>1692</v>
      </c>
      <c r="O31" s="794" t="s">
        <v>3351</v>
      </c>
      <c r="P31" s="798" t="s">
        <v>1700</v>
      </c>
      <c r="Q31" s="794" t="s">
        <v>3351</v>
      </c>
      <c r="R31" s="798" t="s">
        <v>1701</v>
      </c>
      <c r="S31" s="794" t="s">
        <v>3352</v>
      </c>
      <c r="T31" s="798" t="s">
        <v>1922</v>
      </c>
      <c r="U31" s="798" t="s">
        <v>1929</v>
      </c>
      <c r="V31" s="798" t="s">
        <v>2020</v>
      </c>
      <c r="W31" s="795"/>
      <c r="X31" s="746" t="s">
        <v>3425</v>
      </c>
      <c r="AB31" s="748"/>
      <c r="AC31" s="749"/>
      <c r="AD31" s="811" t="s">
        <v>3426</v>
      </c>
      <c r="AE31" s="750">
        <v>2</v>
      </c>
      <c r="AF31" s="750">
        <v>45</v>
      </c>
      <c r="AG31" s="812" t="s">
        <v>3427</v>
      </c>
      <c r="AH31" s="819" t="s">
        <v>3428</v>
      </c>
      <c r="AI31" s="814"/>
      <c r="AJ31" s="809"/>
      <c r="AO31" s="1282"/>
      <c r="AP31" s="1282"/>
    </row>
    <row r="32" spans="1:42" s="737" customFormat="1" ht="18" customHeight="1" x14ac:dyDescent="0.2">
      <c r="A32" s="794" t="s">
        <v>3429</v>
      </c>
      <c r="B32" s="795">
        <v>24</v>
      </c>
      <c r="C32" s="795">
        <v>29</v>
      </c>
      <c r="D32" s="795">
        <v>60</v>
      </c>
      <c r="E32" s="795">
        <v>18</v>
      </c>
      <c r="F32" s="795">
        <v>36</v>
      </c>
      <c r="G32" s="795">
        <v>63</v>
      </c>
      <c r="H32" s="795">
        <v>3</v>
      </c>
      <c r="I32" s="796" t="s">
        <v>3308</v>
      </c>
      <c r="J32" s="796" t="s">
        <v>1534</v>
      </c>
      <c r="K32" s="795" t="s">
        <v>1687</v>
      </c>
      <c r="L32" s="797" t="s">
        <v>1682</v>
      </c>
      <c r="M32" s="794" t="s">
        <v>3351</v>
      </c>
      <c r="N32" s="798" t="s">
        <v>1692</v>
      </c>
      <c r="O32" s="794" t="s">
        <v>3351</v>
      </c>
      <c r="P32" s="798" t="s">
        <v>1700</v>
      </c>
      <c r="Q32" s="794" t="s">
        <v>3351</v>
      </c>
      <c r="R32" s="798" t="s">
        <v>1701</v>
      </c>
      <c r="S32" s="794" t="s">
        <v>3352</v>
      </c>
      <c r="T32" s="798" t="s">
        <v>1922</v>
      </c>
      <c r="U32" s="798" t="s">
        <v>1929</v>
      </c>
      <c r="V32" s="798" t="s">
        <v>2020</v>
      </c>
      <c r="W32" s="795"/>
      <c r="X32" s="746" t="s">
        <v>3430</v>
      </c>
      <c r="AB32" s="748"/>
      <c r="AC32" s="749"/>
      <c r="AD32" s="811" t="s">
        <v>3431</v>
      </c>
      <c r="AE32" s="750">
        <v>2</v>
      </c>
      <c r="AF32" s="750">
        <v>55</v>
      </c>
      <c r="AG32" s="812" t="s">
        <v>3432</v>
      </c>
      <c r="AH32" s="819" t="s">
        <v>3433</v>
      </c>
      <c r="AI32" s="814"/>
      <c r="AJ32" s="809"/>
      <c r="AO32" s="1282"/>
      <c r="AP32" s="1282"/>
    </row>
    <row r="33" spans="1:42" s="737" customFormat="1" ht="18" customHeight="1" x14ac:dyDescent="0.2">
      <c r="A33" s="794" t="s">
        <v>3434</v>
      </c>
      <c r="B33" s="795">
        <v>28</v>
      </c>
      <c r="C33" s="795">
        <v>32</v>
      </c>
      <c r="D33" s="795">
        <v>70</v>
      </c>
      <c r="E33" s="795">
        <v>20</v>
      </c>
      <c r="F33" s="795">
        <v>40</v>
      </c>
      <c r="G33" s="795">
        <v>70</v>
      </c>
      <c r="H33" s="795">
        <v>3</v>
      </c>
      <c r="I33" s="796" t="s">
        <v>3308</v>
      </c>
      <c r="J33" s="796" t="s">
        <v>1534</v>
      </c>
      <c r="K33" s="795" t="s">
        <v>1687</v>
      </c>
      <c r="L33" s="797" t="s">
        <v>1682</v>
      </c>
      <c r="M33" s="794" t="s">
        <v>3351</v>
      </c>
      <c r="N33" s="798" t="s">
        <v>1692</v>
      </c>
      <c r="O33" s="794" t="s">
        <v>3351</v>
      </c>
      <c r="P33" s="798" t="s">
        <v>1700</v>
      </c>
      <c r="Q33" s="794" t="s">
        <v>3351</v>
      </c>
      <c r="R33" s="798" t="s">
        <v>1701</v>
      </c>
      <c r="S33" s="794" t="s">
        <v>3352</v>
      </c>
      <c r="T33" s="798" t="s">
        <v>1922</v>
      </c>
      <c r="U33" s="798" t="s">
        <v>1929</v>
      </c>
      <c r="V33" s="798" t="s">
        <v>2020</v>
      </c>
      <c r="W33" s="795"/>
      <c r="X33" s="770" t="s">
        <v>3435</v>
      </c>
      <c r="AB33" s="748"/>
      <c r="AC33" s="749"/>
      <c r="AD33" s="811" t="s">
        <v>3436</v>
      </c>
      <c r="AE33" s="750">
        <v>3</v>
      </c>
      <c r="AF33" s="750">
        <v>80</v>
      </c>
      <c r="AG33" s="812" t="s">
        <v>3437</v>
      </c>
      <c r="AH33" s="813" t="s">
        <v>3438</v>
      </c>
      <c r="AI33" s="814" t="s">
        <v>3439</v>
      </c>
      <c r="AJ33" s="809"/>
      <c r="AO33" s="1282"/>
      <c r="AP33" s="1282"/>
    </row>
    <row r="34" spans="1:42" s="737" customFormat="1" ht="18" customHeight="1" x14ac:dyDescent="0.2">
      <c r="A34" s="746" t="s">
        <v>3312</v>
      </c>
      <c r="B34" s="789"/>
      <c r="C34" s="789"/>
      <c r="D34" s="789"/>
      <c r="E34" s="789"/>
      <c r="F34" s="789"/>
      <c r="G34" s="789"/>
      <c r="H34" s="789"/>
      <c r="I34" s="789"/>
      <c r="J34" s="789"/>
      <c r="K34" s="789"/>
      <c r="L34" s="790"/>
      <c r="M34" s="789"/>
      <c r="N34" s="789"/>
      <c r="O34" s="789"/>
      <c r="P34" s="789"/>
      <c r="Q34" s="789"/>
      <c r="R34" s="789"/>
      <c r="S34" s="789"/>
      <c r="T34" s="789"/>
      <c r="U34" s="789"/>
      <c r="V34" s="789"/>
      <c r="W34" s="795"/>
      <c r="X34" s="746" t="s">
        <v>3440</v>
      </c>
      <c r="AB34" s="748"/>
      <c r="AC34" s="803"/>
      <c r="AD34" s="804" t="s">
        <v>7706</v>
      </c>
      <c r="AE34" s="805"/>
      <c r="AF34" s="805"/>
      <c r="AG34" s="806"/>
      <c r="AH34" s="807"/>
      <c r="AI34" s="808"/>
      <c r="AJ34" s="809"/>
      <c r="AO34" s="1282"/>
      <c r="AP34" s="1282"/>
    </row>
    <row r="35" spans="1:42" s="737" customFormat="1" ht="18" customHeight="1" x14ac:dyDescent="0.2">
      <c r="A35" s="794" t="s">
        <v>3441</v>
      </c>
      <c r="B35" s="795">
        <v>2</v>
      </c>
      <c r="C35" s="795">
        <v>4</v>
      </c>
      <c r="D35" s="795">
        <v>5</v>
      </c>
      <c r="E35" s="795">
        <v>1</v>
      </c>
      <c r="F35" s="795">
        <v>2</v>
      </c>
      <c r="G35" s="795">
        <v>4</v>
      </c>
      <c r="H35" s="795">
        <v>1</v>
      </c>
      <c r="I35" s="796" t="s">
        <v>3303</v>
      </c>
      <c r="J35" s="796" t="s">
        <v>1534</v>
      </c>
      <c r="K35" s="795" t="s">
        <v>1700</v>
      </c>
      <c r="L35" s="797" t="s">
        <v>1682</v>
      </c>
      <c r="M35" s="794" t="s">
        <v>3351</v>
      </c>
      <c r="N35" s="798" t="s">
        <v>1687</v>
      </c>
      <c r="O35" s="794" t="s">
        <v>3351</v>
      </c>
      <c r="P35" s="798" t="s">
        <v>1692</v>
      </c>
      <c r="Q35" s="794" t="s">
        <v>3352</v>
      </c>
      <c r="R35" s="798" t="s">
        <v>1701</v>
      </c>
      <c r="S35" s="794" t="s">
        <v>3442</v>
      </c>
      <c r="T35" s="798" t="s">
        <v>2019</v>
      </c>
      <c r="U35" s="798" t="s">
        <v>2020</v>
      </c>
      <c r="V35" s="798" t="s">
        <v>2024</v>
      </c>
      <c r="W35" s="795"/>
      <c r="X35" s="746" t="s">
        <v>3443</v>
      </c>
      <c r="AB35" s="748"/>
      <c r="AC35" s="749"/>
      <c r="AD35" s="811" t="s">
        <v>7707</v>
      </c>
      <c r="AE35" s="750">
        <v>1</v>
      </c>
      <c r="AF35" s="750">
        <v>35</v>
      </c>
      <c r="AG35" s="812" t="s">
        <v>7712</v>
      </c>
      <c r="AH35" s="819" t="s">
        <v>7713</v>
      </c>
      <c r="AI35" s="814"/>
      <c r="AJ35" s="809"/>
      <c r="AO35" s="1282"/>
      <c r="AP35" s="1282"/>
    </row>
    <row r="36" spans="1:42" s="737" customFormat="1" ht="18" customHeight="1" x14ac:dyDescent="0.2">
      <c r="A36" s="794" t="s">
        <v>3447</v>
      </c>
      <c r="B36" s="795">
        <v>4</v>
      </c>
      <c r="C36" s="795">
        <v>6</v>
      </c>
      <c r="D36" s="795">
        <v>5</v>
      </c>
      <c r="E36" s="795">
        <v>2</v>
      </c>
      <c r="F36" s="795">
        <v>4</v>
      </c>
      <c r="G36" s="795">
        <v>7</v>
      </c>
      <c r="H36" s="795">
        <v>1</v>
      </c>
      <c r="I36" s="796" t="s">
        <v>3303</v>
      </c>
      <c r="J36" s="796" t="s">
        <v>1534</v>
      </c>
      <c r="K36" s="795" t="s">
        <v>1700</v>
      </c>
      <c r="L36" s="797" t="s">
        <v>1682</v>
      </c>
      <c r="M36" s="794" t="s">
        <v>3351</v>
      </c>
      <c r="N36" s="798" t="s">
        <v>1687</v>
      </c>
      <c r="O36" s="794" t="s">
        <v>3351</v>
      </c>
      <c r="P36" s="798" t="s">
        <v>1692</v>
      </c>
      <c r="Q36" s="794" t="s">
        <v>3352</v>
      </c>
      <c r="R36" s="798" t="s">
        <v>1701</v>
      </c>
      <c r="S36" s="794" t="s">
        <v>3442</v>
      </c>
      <c r="T36" s="798" t="s">
        <v>2019</v>
      </c>
      <c r="U36" s="798" t="s">
        <v>2020</v>
      </c>
      <c r="V36" s="798" t="s">
        <v>2024</v>
      </c>
      <c r="W36" s="795"/>
      <c r="X36" s="746" t="s">
        <v>3448</v>
      </c>
      <c r="AB36" s="748"/>
      <c r="AC36" s="749"/>
      <c r="AD36" s="811" t="s">
        <v>7708</v>
      </c>
      <c r="AE36" s="750">
        <v>1</v>
      </c>
      <c r="AF36" s="750">
        <v>50</v>
      </c>
      <c r="AG36" s="812" t="s">
        <v>7714</v>
      </c>
      <c r="AH36" s="819" t="s">
        <v>7718</v>
      </c>
      <c r="AI36" s="814"/>
      <c r="AJ36" s="809"/>
      <c r="AO36" s="1282"/>
      <c r="AP36" s="1282"/>
    </row>
    <row r="37" spans="1:42" s="737" customFormat="1" ht="18" customHeight="1" x14ac:dyDescent="0.2">
      <c r="A37" s="794" t="s">
        <v>3452</v>
      </c>
      <c r="B37" s="795">
        <v>6</v>
      </c>
      <c r="C37" s="795">
        <v>9</v>
      </c>
      <c r="D37" s="795">
        <v>5</v>
      </c>
      <c r="E37" s="795">
        <v>3</v>
      </c>
      <c r="F37" s="795">
        <v>6</v>
      </c>
      <c r="G37" s="795">
        <v>11</v>
      </c>
      <c r="H37" s="795">
        <v>1</v>
      </c>
      <c r="I37" s="796" t="s">
        <v>3303</v>
      </c>
      <c r="J37" s="796" t="s">
        <v>1534</v>
      </c>
      <c r="K37" s="795" t="s">
        <v>1700</v>
      </c>
      <c r="L37" s="797" t="s">
        <v>1682</v>
      </c>
      <c r="M37" s="794" t="s">
        <v>3351</v>
      </c>
      <c r="N37" s="798" t="s">
        <v>1687</v>
      </c>
      <c r="O37" s="794" t="s">
        <v>3351</v>
      </c>
      <c r="P37" s="798" t="s">
        <v>1692</v>
      </c>
      <c r="Q37" s="794" t="s">
        <v>3352</v>
      </c>
      <c r="R37" s="798" t="s">
        <v>1701</v>
      </c>
      <c r="S37" s="794" t="s">
        <v>3442</v>
      </c>
      <c r="T37" s="798" t="s">
        <v>2019</v>
      </c>
      <c r="U37" s="798" t="s">
        <v>2020</v>
      </c>
      <c r="V37" s="798" t="s">
        <v>2024</v>
      </c>
      <c r="W37" s="795"/>
      <c r="X37" s="746" t="s">
        <v>3453</v>
      </c>
      <c r="AB37" s="748"/>
      <c r="AC37" s="749"/>
      <c r="AD37" s="811" t="s">
        <v>7709</v>
      </c>
      <c r="AE37" s="750">
        <v>2</v>
      </c>
      <c r="AF37" s="750">
        <v>60</v>
      </c>
      <c r="AG37" s="812" t="s">
        <v>7715</v>
      </c>
      <c r="AH37" s="819" t="s">
        <v>7719</v>
      </c>
      <c r="AI37" s="814"/>
      <c r="AJ37" s="809"/>
      <c r="AO37" s="1282"/>
      <c r="AP37" s="1282"/>
    </row>
    <row r="38" spans="1:42" s="737" customFormat="1" ht="18" customHeight="1" x14ac:dyDescent="0.2">
      <c r="A38" s="794" t="s">
        <v>3457</v>
      </c>
      <c r="B38" s="795">
        <v>8</v>
      </c>
      <c r="C38" s="795">
        <v>11</v>
      </c>
      <c r="D38" s="795">
        <v>10</v>
      </c>
      <c r="E38" s="795">
        <v>4</v>
      </c>
      <c r="F38" s="795">
        <v>8</v>
      </c>
      <c r="G38" s="795">
        <v>14</v>
      </c>
      <c r="H38" s="795">
        <v>1</v>
      </c>
      <c r="I38" s="796" t="s">
        <v>3303</v>
      </c>
      <c r="J38" s="796" t="s">
        <v>1534</v>
      </c>
      <c r="K38" s="795" t="s">
        <v>1700</v>
      </c>
      <c r="L38" s="797" t="s">
        <v>1682</v>
      </c>
      <c r="M38" s="794" t="s">
        <v>3351</v>
      </c>
      <c r="N38" s="798" t="s">
        <v>1687</v>
      </c>
      <c r="O38" s="794" t="s">
        <v>3351</v>
      </c>
      <c r="P38" s="798" t="s">
        <v>1692</v>
      </c>
      <c r="Q38" s="794" t="s">
        <v>3352</v>
      </c>
      <c r="R38" s="798" t="s">
        <v>1701</v>
      </c>
      <c r="S38" s="794" t="s">
        <v>3442</v>
      </c>
      <c r="T38" s="798" t="s">
        <v>2019</v>
      </c>
      <c r="U38" s="798" t="s">
        <v>2020</v>
      </c>
      <c r="V38" s="798" t="s">
        <v>2024</v>
      </c>
      <c r="W38" s="795"/>
      <c r="X38" s="746" t="s">
        <v>3458</v>
      </c>
      <c r="AB38" s="748"/>
      <c r="AC38" s="749"/>
      <c r="AD38" s="811" t="s">
        <v>7710</v>
      </c>
      <c r="AE38" s="750">
        <v>2</v>
      </c>
      <c r="AF38" s="750">
        <v>70</v>
      </c>
      <c r="AG38" s="812" t="s">
        <v>7716</v>
      </c>
      <c r="AH38" s="819" t="s">
        <v>7720</v>
      </c>
      <c r="AI38" s="814"/>
      <c r="AJ38" s="809"/>
      <c r="AO38" s="1282"/>
      <c r="AP38" s="1282"/>
    </row>
    <row r="39" spans="1:42" s="737" customFormat="1" ht="18" customHeight="1" x14ac:dyDescent="0.2">
      <c r="A39" s="794" t="s">
        <v>3462</v>
      </c>
      <c r="B39" s="795">
        <v>12</v>
      </c>
      <c r="C39" s="795">
        <v>15</v>
      </c>
      <c r="D39" s="795">
        <v>15</v>
      </c>
      <c r="E39" s="795">
        <v>6</v>
      </c>
      <c r="F39" s="795">
        <v>12</v>
      </c>
      <c r="G39" s="795">
        <v>21</v>
      </c>
      <c r="H39" s="795">
        <v>1</v>
      </c>
      <c r="I39" s="796" t="s">
        <v>3303</v>
      </c>
      <c r="J39" s="796" t="s">
        <v>1534</v>
      </c>
      <c r="K39" s="795" t="s">
        <v>1700</v>
      </c>
      <c r="L39" s="797" t="s">
        <v>1682</v>
      </c>
      <c r="M39" s="794" t="s">
        <v>3351</v>
      </c>
      <c r="N39" s="798" t="s">
        <v>1687</v>
      </c>
      <c r="O39" s="794" t="s">
        <v>3351</v>
      </c>
      <c r="P39" s="798" t="s">
        <v>1692</v>
      </c>
      <c r="Q39" s="794" t="s">
        <v>3352</v>
      </c>
      <c r="R39" s="798" t="s">
        <v>1701</v>
      </c>
      <c r="S39" s="794" t="s">
        <v>3442</v>
      </c>
      <c r="T39" s="798" t="s">
        <v>2019</v>
      </c>
      <c r="U39" s="798" t="s">
        <v>2020</v>
      </c>
      <c r="V39" s="798" t="s">
        <v>2024</v>
      </c>
      <c r="W39" s="795"/>
      <c r="X39" s="746" t="s">
        <v>3463</v>
      </c>
      <c r="AB39" s="748"/>
      <c r="AC39" s="749"/>
      <c r="AD39" s="811" t="s">
        <v>7711</v>
      </c>
      <c r="AE39" s="750">
        <v>3</v>
      </c>
      <c r="AF39" s="750">
        <v>90</v>
      </c>
      <c r="AG39" s="812" t="s">
        <v>7717</v>
      </c>
      <c r="AH39" s="819" t="s">
        <v>7721</v>
      </c>
      <c r="AI39" s="814"/>
      <c r="AJ39" s="809"/>
      <c r="AO39" s="1282"/>
      <c r="AP39" s="1282"/>
    </row>
    <row r="40" spans="1:42" s="737" customFormat="1" ht="18" customHeight="1" x14ac:dyDescent="0.2">
      <c r="A40" s="794" t="s">
        <v>3467</v>
      </c>
      <c r="B40" s="795">
        <v>16</v>
      </c>
      <c r="C40" s="795">
        <v>20</v>
      </c>
      <c r="D40" s="795">
        <v>25</v>
      </c>
      <c r="E40" s="795">
        <v>8</v>
      </c>
      <c r="F40" s="795">
        <v>16</v>
      </c>
      <c r="G40" s="795">
        <v>28</v>
      </c>
      <c r="H40" s="795">
        <v>2</v>
      </c>
      <c r="I40" s="796" t="s">
        <v>3303</v>
      </c>
      <c r="J40" s="796" t="s">
        <v>1534</v>
      </c>
      <c r="K40" s="795" t="s">
        <v>1700</v>
      </c>
      <c r="L40" s="797" t="s">
        <v>1682</v>
      </c>
      <c r="M40" s="794" t="s">
        <v>3351</v>
      </c>
      <c r="N40" s="798" t="s">
        <v>1687</v>
      </c>
      <c r="O40" s="794" t="s">
        <v>3351</v>
      </c>
      <c r="P40" s="798" t="s">
        <v>1692</v>
      </c>
      <c r="Q40" s="794" t="s">
        <v>3352</v>
      </c>
      <c r="R40" s="798" t="s">
        <v>1701</v>
      </c>
      <c r="S40" s="794" t="s">
        <v>3442</v>
      </c>
      <c r="T40" s="798" t="s">
        <v>2019</v>
      </c>
      <c r="U40" s="798" t="s">
        <v>2020</v>
      </c>
      <c r="V40" s="798" t="s">
        <v>2024</v>
      </c>
      <c r="W40" s="795"/>
      <c r="X40" s="770" t="s">
        <v>3468</v>
      </c>
      <c r="AB40" s="748"/>
      <c r="AC40" s="803"/>
      <c r="AD40" s="804" t="s">
        <v>7722</v>
      </c>
      <c r="AE40" s="805"/>
      <c r="AF40" s="805"/>
      <c r="AG40" s="806"/>
      <c r="AH40" s="807"/>
      <c r="AI40" s="808"/>
      <c r="AJ40" s="809"/>
      <c r="AO40" s="1282"/>
      <c r="AP40" s="1282"/>
    </row>
    <row r="41" spans="1:42" s="737" customFormat="1" ht="18" customHeight="1" x14ac:dyDescent="0.2">
      <c r="A41" s="794" t="s">
        <v>3470</v>
      </c>
      <c r="B41" s="795">
        <v>20</v>
      </c>
      <c r="C41" s="795">
        <v>24</v>
      </c>
      <c r="D41" s="795">
        <v>35</v>
      </c>
      <c r="E41" s="795">
        <v>10</v>
      </c>
      <c r="F41" s="795">
        <v>20</v>
      </c>
      <c r="G41" s="795">
        <v>35</v>
      </c>
      <c r="H41" s="795">
        <v>2</v>
      </c>
      <c r="I41" s="796" t="s">
        <v>3303</v>
      </c>
      <c r="J41" s="796" t="s">
        <v>1534</v>
      </c>
      <c r="K41" s="795" t="s">
        <v>1700</v>
      </c>
      <c r="L41" s="797" t="s">
        <v>1682</v>
      </c>
      <c r="M41" s="794" t="s">
        <v>3351</v>
      </c>
      <c r="N41" s="798" t="s">
        <v>1687</v>
      </c>
      <c r="O41" s="794" t="s">
        <v>3351</v>
      </c>
      <c r="P41" s="798" t="s">
        <v>1692</v>
      </c>
      <c r="Q41" s="794" t="s">
        <v>3352</v>
      </c>
      <c r="R41" s="798" t="s">
        <v>1701</v>
      </c>
      <c r="S41" s="794" t="s">
        <v>3442</v>
      </c>
      <c r="T41" s="798" t="s">
        <v>2019</v>
      </c>
      <c r="U41" s="798" t="s">
        <v>2020</v>
      </c>
      <c r="V41" s="798" t="s">
        <v>2024</v>
      </c>
      <c r="W41" s="795"/>
      <c r="X41" s="746" t="s">
        <v>3471</v>
      </c>
      <c r="AB41" s="748"/>
      <c r="AC41" s="749"/>
      <c r="AD41" s="811" t="s">
        <v>7724</v>
      </c>
      <c r="AE41" s="750">
        <v>1</v>
      </c>
      <c r="AF41" s="750">
        <v>30</v>
      </c>
      <c r="AG41" s="812" t="s">
        <v>7729</v>
      </c>
      <c r="AH41" s="819" t="s">
        <v>7735</v>
      </c>
      <c r="AI41" s="814" t="s">
        <v>7734</v>
      </c>
      <c r="AJ41" s="809"/>
      <c r="AO41" s="1282"/>
      <c r="AP41" s="1282"/>
    </row>
    <row r="42" spans="1:42" s="737" customFormat="1" ht="18" customHeight="1" x14ac:dyDescent="0.2">
      <c r="A42" s="794" t="s">
        <v>3475</v>
      </c>
      <c r="B42" s="795">
        <v>26</v>
      </c>
      <c r="C42" s="795">
        <v>32</v>
      </c>
      <c r="D42" s="795">
        <v>45</v>
      </c>
      <c r="E42" s="795">
        <v>12</v>
      </c>
      <c r="F42" s="795">
        <v>24</v>
      </c>
      <c r="G42" s="795">
        <v>42</v>
      </c>
      <c r="H42" s="795">
        <v>3</v>
      </c>
      <c r="I42" s="796" t="s">
        <v>3303</v>
      </c>
      <c r="J42" s="796" t="s">
        <v>1534</v>
      </c>
      <c r="K42" s="795" t="s">
        <v>1700</v>
      </c>
      <c r="L42" s="797" t="s">
        <v>1682</v>
      </c>
      <c r="M42" s="794" t="s">
        <v>3351</v>
      </c>
      <c r="N42" s="798" t="s">
        <v>1687</v>
      </c>
      <c r="O42" s="794" t="s">
        <v>3351</v>
      </c>
      <c r="P42" s="798" t="s">
        <v>1692</v>
      </c>
      <c r="Q42" s="794" t="s">
        <v>3352</v>
      </c>
      <c r="R42" s="798" t="s">
        <v>1701</v>
      </c>
      <c r="S42" s="794" t="s">
        <v>3442</v>
      </c>
      <c r="T42" s="798" t="s">
        <v>2019</v>
      </c>
      <c r="U42" s="798" t="s">
        <v>2020</v>
      </c>
      <c r="V42" s="798" t="s">
        <v>2024</v>
      </c>
      <c r="W42" s="795"/>
      <c r="X42" s="746" t="s">
        <v>3476</v>
      </c>
      <c r="AB42" s="748"/>
      <c r="AC42" s="749"/>
      <c r="AD42" s="811" t="s">
        <v>7725</v>
      </c>
      <c r="AE42" s="750">
        <v>1</v>
      </c>
      <c r="AF42" s="750">
        <v>30</v>
      </c>
      <c r="AG42" s="812" t="s">
        <v>7730</v>
      </c>
      <c r="AH42" s="819" t="s">
        <v>7736</v>
      </c>
      <c r="AI42" s="814"/>
      <c r="AJ42" s="809"/>
      <c r="AO42" s="1282"/>
      <c r="AP42" s="1282"/>
    </row>
    <row r="43" spans="1:42" s="737" customFormat="1" ht="18" customHeight="1" x14ac:dyDescent="0.2">
      <c r="A43" s="746" t="s">
        <v>3316</v>
      </c>
      <c r="B43" s="789"/>
      <c r="C43" s="789"/>
      <c r="D43" s="789"/>
      <c r="E43" s="789"/>
      <c r="F43" s="789"/>
      <c r="G43" s="789"/>
      <c r="H43" s="789"/>
      <c r="I43" s="789"/>
      <c r="J43" s="789"/>
      <c r="K43" s="789"/>
      <c r="L43" s="790"/>
      <c r="M43" s="789"/>
      <c r="N43" s="789"/>
      <c r="O43" s="789"/>
      <c r="P43" s="789"/>
      <c r="Q43" s="789"/>
      <c r="R43" s="789"/>
      <c r="S43" s="789"/>
      <c r="T43" s="789"/>
      <c r="U43" s="789"/>
      <c r="V43" s="789"/>
      <c r="W43" s="795"/>
      <c r="X43" s="746" t="s">
        <v>3480</v>
      </c>
      <c r="AB43" s="748"/>
      <c r="AC43" s="749"/>
      <c r="AD43" s="811" t="s">
        <v>7726</v>
      </c>
      <c r="AE43" s="750">
        <v>2</v>
      </c>
      <c r="AF43" s="750">
        <v>40</v>
      </c>
      <c r="AG43" s="812" t="s">
        <v>7731</v>
      </c>
      <c r="AH43" s="819" t="s">
        <v>7737</v>
      </c>
      <c r="AI43" s="814" t="s">
        <v>7734</v>
      </c>
      <c r="AJ43" s="809"/>
      <c r="AO43" s="1282"/>
      <c r="AP43" s="1282"/>
    </row>
    <row r="44" spans="1:42" s="737" customFormat="1" ht="18" customHeight="1" x14ac:dyDescent="0.2">
      <c r="A44" s="794" t="s">
        <v>3484</v>
      </c>
      <c r="B44" s="795">
        <v>1</v>
      </c>
      <c r="C44" s="795">
        <v>2</v>
      </c>
      <c r="D44" s="795">
        <v>5</v>
      </c>
      <c r="E44" s="795">
        <v>1</v>
      </c>
      <c r="F44" s="795">
        <v>2</v>
      </c>
      <c r="G44" s="795">
        <v>4</v>
      </c>
      <c r="H44" s="795">
        <v>1</v>
      </c>
      <c r="I44" s="796" t="s">
        <v>3303</v>
      </c>
      <c r="J44" s="796" t="s">
        <v>3485</v>
      </c>
      <c r="K44" s="795" t="s">
        <v>1687</v>
      </c>
      <c r="L44" s="797" t="s">
        <v>1682</v>
      </c>
      <c r="M44" s="794" t="s">
        <v>3351</v>
      </c>
      <c r="N44" s="798" t="s">
        <v>1692</v>
      </c>
      <c r="O44" s="794" t="s">
        <v>3351</v>
      </c>
      <c r="P44" s="798" t="s">
        <v>1700</v>
      </c>
      <c r="Q44" s="794" t="s">
        <v>3351</v>
      </c>
      <c r="R44" s="798" t="s">
        <v>1701</v>
      </c>
      <c r="S44" s="794" t="s">
        <v>3352</v>
      </c>
      <c r="T44" s="798" t="s">
        <v>1925</v>
      </c>
      <c r="U44" s="798" t="s">
        <v>1922</v>
      </c>
      <c r="V44" s="798" t="s">
        <v>2024</v>
      </c>
      <c r="W44" s="795"/>
      <c r="X44" s="746" t="s">
        <v>1860</v>
      </c>
      <c r="AB44" s="748"/>
      <c r="AC44" s="749"/>
      <c r="AD44" s="811" t="s">
        <v>7727</v>
      </c>
      <c r="AE44" s="750">
        <v>2</v>
      </c>
      <c r="AF44" s="750">
        <v>40</v>
      </c>
      <c r="AG44" s="812" t="s">
        <v>7732</v>
      </c>
      <c r="AH44" s="819" t="s">
        <v>7738</v>
      </c>
      <c r="AI44" s="814" t="s">
        <v>7734</v>
      </c>
      <c r="AJ44" s="809"/>
      <c r="AO44" s="1282"/>
      <c r="AP44" s="1282"/>
    </row>
    <row r="45" spans="1:42" s="737" customFormat="1" ht="18" customHeight="1" x14ac:dyDescent="0.2">
      <c r="A45" s="794" t="s">
        <v>3489</v>
      </c>
      <c r="B45" s="795">
        <v>2</v>
      </c>
      <c r="C45" s="795">
        <v>4</v>
      </c>
      <c r="D45" s="795">
        <v>5</v>
      </c>
      <c r="E45" s="795">
        <v>2</v>
      </c>
      <c r="F45" s="795">
        <v>4</v>
      </c>
      <c r="G45" s="795">
        <v>7</v>
      </c>
      <c r="H45" s="795">
        <v>1</v>
      </c>
      <c r="I45" s="796" t="s">
        <v>3303</v>
      </c>
      <c r="J45" s="796" t="s">
        <v>3485</v>
      </c>
      <c r="K45" s="795" t="s">
        <v>1687</v>
      </c>
      <c r="L45" s="797" t="s">
        <v>1682</v>
      </c>
      <c r="M45" s="794" t="s">
        <v>3351</v>
      </c>
      <c r="N45" s="798" t="s">
        <v>1692</v>
      </c>
      <c r="O45" s="794" t="s">
        <v>3351</v>
      </c>
      <c r="P45" s="798" t="s">
        <v>1700</v>
      </c>
      <c r="Q45" s="794" t="s">
        <v>3351</v>
      </c>
      <c r="R45" s="798" t="s">
        <v>1701</v>
      </c>
      <c r="S45" s="794" t="s">
        <v>3352</v>
      </c>
      <c r="T45" s="798" t="s">
        <v>1925</v>
      </c>
      <c r="U45" s="798" t="s">
        <v>1922</v>
      </c>
      <c r="V45" s="798" t="s">
        <v>2024</v>
      </c>
      <c r="W45" s="795"/>
      <c r="X45" s="770" t="s">
        <v>3490</v>
      </c>
      <c r="AB45" s="748"/>
      <c r="AC45" s="749"/>
      <c r="AD45" s="811" t="s">
        <v>7728</v>
      </c>
      <c r="AE45" s="750">
        <v>3</v>
      </c>
      <c r="AF45" s="750">
        <v>70</v>
      </c>
      <c r="AG45" s="812" t="s">
        <v>7733</v>
      </c>
      <c r="AH45" s="819" t="s">
        <v>7739</v>
      </c>
      <c r="AI45" s="814" t="s">
        <v>7734</v>
      </c>
      <c r="AJ45" s="809"/>
      <c r="AO45" s="1282"/>
      <c r="AP45" s="1282"/>
    </row>
    <row r="46" spans="1:42" s="737" customFormat="1" ht="18" customHeight="1" x14ac:dyDescent="0.2">
      <c r="A46" s="794" t="s">
        <v>3494</v>
      </c>
      <c r="B46" s="795">
        <v>3</v>
      </c>
      <c r="C46" s="795">
        <v>5</v>
      </c>
      <c r="D46" s="795">
        <v>10</v>
      </c>
      <c r="E46" s="795">
        <v>3</v>
      </c>
      <c r="F46" s="795">
        <v>6</v>
      </c>
      <c r="G46" s="795">
        <v>11</v>
      </c>
      <c r="H46" s="795">
        <v>1</v>
      </c>
      <c r="I46" s="796" t="s">
        <v>3303</v>
      </c>
      <c r="J46" s="796" t="s">
        <v>3485</v>
      </c>
      <c r="K46" s="795" t="s">
        <v>1687</v>
      </c>
      <c r="L46" s="797" t="s">
        <v>1682</v>
      </c>
      <c r="M46" s="794" t="s">
        <v>3351</v>
      </c>
      <c r="N46" s="798" t="s">
        <v>1692</v>
      </c>
      <c r="O46" s="794" t="s">
        <v>3351</v>
      </c>
      <c r="P46" s="798" t="s">
        <v>1700</v>
      </c>
      <c r="Q46" s="794" t="s">
        <v>3351</v>
      </c>
      <c r="R46" s="798" t="s">
        <v>1701</v>
      </c>
      <c r="S46" s="794" t="s">
        <v>3352</v>
      </c>
      <c r="T46" s="798" t="s">
        <v>1925</v>
      </c>
      <c r="U46" s="798" t="s">
        <v>1922</v>
      </c>
      <c r="V46" s="798" t="s">
        <v>2024</v>
      </c>
      <c r="W46" s="795"/>
      <c r="X46" s="746" t="s">
        <v>3495</v>
      </c>
      <c r="AB46" s="748"/>
      <c r="AC46" s="803"/>
      <c r="AD46" s="804" t="s">
        <v>7723</v>
      </c>
      <c r="AE46" s="805"/>
      <c r="AF46" s="805"/>
      <c r="AG46" s="806"/>
      <c r="AH46" s="807"/>
      <c r="AI46" s="808"/>
      <c r="AJ46" s="809"/>
      <c r="AO46" s="1282"/>
      <c r="AP46" s="1282"/>
    </row>
    <row r="47" spans="1:42" s="737" customFormat="1" ht="18" customHeight="1" x14ac:dyDescent="0.2">
      <c r="A47" s="794" t="s">
        <v>3497</v>
      </c>
      <c r="B47" s="795">
        <v>4</v>
      </c>
      <c r="C47" s="795">
        <v>6</v>
      </c>
      <c r="D47" s="795">
        <v>10</v>
      </c>
      <c r="E47" s="795">
        <v>4</v>
      </c>
      <c r="F47" s="795">
        <v>8</v>
      </c>
      <c r="G47" s="795">
        <v>14</v>
      </c>
      <c r="H47" s="795">
        <v>1</v>
      </c>
      <c r="I47" s="796" t="s">
        <v>3303</v>
      </c>
      <c r="J47" s="796" t="s">
        <v>3485</v>
      </c>
      <c r="K47" s="795" t="s">
        <v>1687</v>
      </c>
      <c r="L47" s="797" t="s">
        <v>1682</v>
      </c>
      <c r="M47" s="794" t="s">
        <v>3351</v>
      </c>
      <c r="N47" s="798" t="s">
        <v>1692</v>
      </c>
      <c r="O47" s="794" t="s">
        <v>3351</v>
      </c>
      <c r="P47" s="798" t="s">
        <v>1700</v>
      </c>
      <c r="Q47" s="794" t="s">
        <v>3351</v>
      </c>
      <c r="R47" s="798" t="s">
        <v>1701</v>
      </c>
      <c r="S47" s="794" t="s">
        <v>3352</v>
      </c>
      <c r="T47" s="798" t="s">
        <v>1925</v>
      </c>
      <c r="U47" s="798" t="s">
        <v>1922</v>
      </c>
      <c r="V47" s="798" t="s">
        <v>2024</v>
      </c>
      <c r="W47" s="795"/>
      <c r="X47" s="746" t="s">
        <v>3498</v>
      </c>
      <c r="AB47" s="748"/>
      <c r="AC47" s="749"/>
      <c r="AD47" s="811" t="s">
        <v>7740</v>
      </c>
      <c r="AE47" s="750">
        <v>1</v>
      </c>
      <c r="AF47" s="750">
        <v>25</v>
      </c>
      <c r="AG47" s="812" t="s">
        <v>7742</v>
      </c>
      <c r="AH47" s="819" t="s">
        <v>7744</v>
      </c>
      <c r="AI47" s="814"/>
      <c r="AJ47" s="809"/>
      <c r="AO47" s="1282"/>
      <c r="AP47" s="1282"/>
    </row>
    <row r="48" spans="1:42" s="737" customFormat="1" ht="18" customHeight="1" x14ac:dyDescent="0.2">
      <c r="A48" s="794" t="s">
        <v>3502</v>
      </c>
      <c r="B48" s="795">
        <v>6</v>
      </c>
      <c r="C48" s="795">
        <v>9</v>
      </c>
      <c r="D48" s="795">
        <v>15</v>
      </c>
      <c r="E48" s="795">
        <v>6</v>
      </c>
      <c r="F48" s="795">
        <v>12</v>
      </c>
      <c r="G48" s="795">
        <v>21</v>
      </c>
      <c r="H48" s="795">
        <v>1</v>
      </c>
      <c r="I48" s="796" t="s">
        <v>3303</v>
      </c>
      <c r="J48" s="796" t="s">
        <v>3485</v>
      </c>
      <c r="K48" s="795" t="s">
        <v>1687</v>
      </c>
      <c r="L48" s="797" t="s">
        <v>1682</v>
      </c>
      <c r="M48" s="794" t="s">
        <v>3351</v>
      </c>
      <c r="N48" s="798" t="s">
        <v>1692</v>
      </c>
      <c r="O48" s="794" t="s">
        <v>3351</v>
      </c>
      <c r="P48" s="798" t="s">
        <v>1700</v>
      </c>
      <c r="Q48" s="794" t="s">
        <v>3351</v>
      </c>
      <c r="R48" s="798" t="s">
        <v>1701</v>
      </c>
      <c r="S48" s="794" t="s">
        <v>3352</v>
      </c>
      <c r="T48" s="798" t="s">
        <v>1925</v>
      </c>
      <c r="U48" s="798" t="s">
        <v>1922</v>
      </c>
      <c r="V48" s="798" t="s">
        <v>2024</v>
      </c>
      <c r="W48" s="795"/>
      <c r="X48" s="746" t="s">
        <v>3503</v>
      </c>
      <c r="AB48" s="748"/>
      <c r="AC48" s="749"/>
      <c r="AD48" s="811" t="s">
        <v>7741</v>
      </c>
      <c r="AE48" s="750">
        <v>1</v>
      </c>
      <c r="AF48" s="750">
        <v>20</v>
      </c>
      <c r="AG48" s="812" t="s">
        <v>7743</v>
      </c>
      <c r="AH48" s="819" t="s">
        <v>7745</v>
      </c>
      <c r="AI48" s="814"/>
      <c r="AJ48" s="809"/>
      <c r="AO48" s="1282"/>
      <c r="AP48" s="1282"/>
    </row>
    <row r="49" spans="1:42" s="737" customFormat="1" ht="18" customHeight="1" x14ac:dyDescent="0.2">
      <c r="A49" s="794" t="s">
        <v>3507</v>
      </c>
      <c r="B49" s="795">
        <v>9</v>
      </c>
      <c r="C49" s="795">
        <v>12</v>
      </c>
      <c r="D49" s="795">
        <v>20</v>
      </c>
      <c r="E49" s="795">
        <v>8</v>
      </c>
      <c r="F49" s="795">
        <v>16</v>
      </c>
      <c r="G49" s="795">
        <v>28</v>
      </c>
      <c r="H49" s="795">
        <v>1</v>
      </c>
      <c r="I49" s="796" t="s">
        <v>3303</v>
      </c>
      <c r="J49" s="796" t="s">
        <v>3485</v>
      </c>
      <c r="K49" s="795" t="s">
        <v>1687</v>
      </c>
      <c r="L49" s="797" t="s">
        <v>1682</v>
      </c>
      <c r="M49" s="794" t="s">
        <v>3351</v>
      </c>
      <c r="N49" s="798" t="s">
        <v>1692</v>
      </c>
      <c r="O49" s="794" t="s">
        <v>3351</v>
      </c>
      <c r="P49" s="798" t="s">
        <v>1700</v>
      </c>
      <c r="Q49" s="794" t="s">
        <v>3351</v>
      </c>
      <c r="R49" s="798" t="s">
        <v>1701</v>
      </c>
      <c r="S49" s="794" t="s">
        <v>3352</v>
      </c>
      <c r="T49" s="798" t="s">
        <v>1925</v>
      </c>
      <c r="U49" s="798" t="s">
        <v>1922</v>
      </c>
      <c r="V49" s="798" t="s">
        <v>2024</v>
      </c>
      <c r="W49" s="795"/>
      <c r="X49" s="746" t="s">
        <v>3508</v>
      </c>
      <c r="AB49" s="748"/>
      <c r="AC49" s="749"/>
      <c r="AD49" s="811" t="s">
        <v>7746</v>
      </c>
      <c r="AE49" s="750">
        <v>2</v>
      </c>
      <c r="AF49" s="750">
        <v>50</v>
      </c>
      <c r="AG49" s="812" t="s">
        <v>7748</v>
      </c>
      <c r="AH49" s="819" t="s">
        <v>7751</v>
      </c>
      <c r="AI49" s="814"/>
      <c r="AJ49" s="809"/>
      <c r="AO49" s="1282"/>
      <c r="AP49" s="1282"/>
    </row>
    <row r="50" spans="1:42" s="737" customFormat="1" ht="18" customHeight="1" x14ac:dyDescent="0.2">
      <c r="A50" s="794" t="s">
        <v>3512</v>
      </c>
      <c r="B50" s="795">
        <v>12</v>
      </c>
      <c r="C50" s="795">
        <v>15</v>
      </c>
      <c r="D50" s="795">
        <v>25</v>
      </c>
      <c r="E50" s="795">
        <v>10</v>
      </c>
      <c r="F50" s="795">
        <v>20</v>
      </c>
      <c r="G50" s="795">
        <v>35</v>
      </c>
      <c r="H50" s="795">
        <v>1</v>
      </c>
      <c r="I50" s="796" t="s">
        <v>3303</v>
      </c>
      <c r="J50" s="796" t="s">
        <v>3485</v>
      </c>
      <c r="K50" s="795" t="s">
        <v>1687</v>
      </c>
      <c r="L50" s="797" t="s">
        <v>1682</v>
      </c>
      <c r="M50" s="794" t="s">
        <v>3351</v>
      </c>
      <c r="N50" s="798" t="s">
        <v>1692</v>
      </c>
      <c r="O50" s="794" t="s">
        <v>3351</v>
      </c>
      <c r="P50" s="798" t="s">
        <v>1700</v>
      </c>
      <c r="Q50" s="794" t="s">
        <v>3351</v>
      </c>
      <c r="R50" s="798" t="s">
        <v>1701</v>
      </c>
      <c r="S50" s="794" t="s">
        <v>3352</v>
      </c>
      <c r="T50" s="798" t="s">
        <v>1925</v>
      </c>
      <c r="U50" s="798" t="s">
        <v>1922</v>
      </c>
      <c r="V50" s="798" t="s">
        <v>2024</v>
      </c>
      <c r="W50" s="795"/>
      <c r="X50" s="746" t="s">
        <v>3513</v>
      </c>
      <c r="AB50" s="748"/>
      <c r="AC50" s="749"/>
      <c r="AD50" s="811" t="s">
        <v>908</v>
      </c>
      <c r="AE50" s="750">
        <v>2</v>
      </c>
      <c r="AF50" s="750">
        <v>50</v>
      </c>
      <c r="AG50" s="812" t="s">
        <v>7749</v>
      </c>
      <c r="AH50" s="819" t="s">
        <v>7752</v>
      </c>
      <c r="AI50" s="814"/>
      <c r="AJ50" s="809"/>
      <c r="AO50" s="1282"/>
      <c r="AP50" s="1282"/>
    </row>
    <row r="51" spans="1:42" s="737" customFormat="1" ht="18" customHeight="1" x14ac:dyDescent="0.2">
      <c r="A51" s="794" t="s">
        <v>3517</v>
      </c>
      <c r="B51" s="795">
        <v>14</v>
      </c>
      <c r="C51" s="795">
        <v>18</v>
      </c>
      <c r="D51" s="795">
        <v>30</v>
      </c>
      <c r="E51" s="795">
        <v>12</v>
      </c>
      <c r="F51" s="795">
        <v>24</v>
      </c>
      <c r="G51" s="795">
        <v>42</v>
      </c>
      <c r="H51" s="795">
        <v>2</v>
      </c>
      <c r="I51" s="796" t="s">
        <v>3303</v>
      </c>
      <c r="J51" s="796" t="s">
        <v>3485</v>
      </c>
      <c r="K51" s="795" t="s">
        <v>1687</v>
      </c>
      <c r="L51" s="797" t="s">
        <v>1682</v>
      </c>
      <c r="M51" s="794" t="s">
        <v>3351</v>
      </c>
      <c r="N51" s="798" t="s">
        <v>1692</v>
      </c>
      <c r="O51" s="794" t="s">
        <v>3351</v>
      </c>
      <c r="P51" s="798" t="s">
        <v>1700</v>
      </c>
      <c r="Q51" s="794" t="s">
        <v>3351</v>
      </c>
      <c r="R51" s="798" t="s">
        <v>1701</v>
      </c>
      <c r="S51" s="794" t="s">
        <v>3352</v>
      </c>
      <c r="T51" s="798" t="s">
        <v>1925</v>
      </c>
      <c r="U51" s="798" t="s">
        <v>1922</v>
      </c>
      <c r="V51" s="798" t="s">
        <v>2024</v>
      </c>
      <c r="W51" s="795"/>
      <c r="X51" s="746" t="s">
        <v>3518</v>
      </c>
      <c r="AB51" s="748"/>
      <c r="AC51" s="749"/>
      <c r="AD51" s="811" t="s">
        <v>7747</v>
      </c>
      <c r="AE51" s="750">
        <v>3</v>
      </c>
      <c r="AF51" s="750">
        <v>60</v>
      </c>
      <c r="AG51" s="812" t="s">
        <v>7750</v>
      </c>
      <c r="AH51" s="819" t="s">
        <v>7753</v>
      </c>
      <c r="AI51" s="814"/>
      <c r="AJ51" s="809"/>
      <c r="AO51" s="1282"/>
      <c r="AP51" s="1282"/>
    </row>
    <row r="52" spans="1:42" s="737" customFormat="1" ht="18" customHeight="1" x14ac:dyDescent="0.2">
      <c r="A52" s="794" t="s">
        <v>3523</v>
      </c>
      <c r="B52" s="795">
        <v>18</v>
      </c>
      <c r="C52" s="795">
        <v>22</v>
      </c>
      <c r="D52" s="795">
        <v>35</v>
      </c>
      <c r="E52" s="795">
        <v>14</v>
      </c>
      <c r="F52" s="795">
        <v>28</v>
      </c>
      <c r="G52" s="795">
        <v>49</v>
      </c>
      <c r="H52" s="795">
        <v>2</v>
      </c>
      <c r="I52" s="796" t="s">
        <v>3303</v>
      </c>
      <c r="J52" s="796" t="s">
        <v>3485</v>
      </c>
      <c r="K52" s="795" t="s">
        <v>1687</v>
      </c>
      <c r="L52" s="797" t="s">
        <v>1682</v>
      </c>
      <c r="M52" s="794" t="s">
        <v>3351</v>
      </c>
      <c r="N52" s="798" t="s">
        <v>1692</v>
      </c>
      <c r="O52" s="794" t="s">
        <v>3351</v>
      </c>
      <c r="P52" s="798" t="s">
        <v>1700</v>
      </c>
      <c r="Q52" s="794" t="s">
        <v>3351</v>
      </c>
      <c r="R52" s="798" t="s">
        <v>1701</v>
      </c>
      <c r="S52" s="794" t="s">
        <v>3352</v>
      </c>
      <c r="T52" s="798" t="s">
        <v>1925</v>
      </c>
      <c r="U52" s="798" t="s">
        <v>1922</v>
      </c>
      <c r="V52" s="798" t="s">
        <v>2024</v>
      </c>
      <c r="W52" s="795"/>
      <c r="X52" s="746" t="s">
        <v>3524</v>
      </c>
      <c r="AB52" s="748"/>
      <c r="AC52" s="749"/>
      <c r="AD52" s="804" t="s">
        <v>8487</v>
      </c>
      <c r="AE52" s="805"/>
      <c r="AF52" s="805"/>
      <c r="AG52" s="806"/>
      <c r="AH52" s="807"/>
      <c r="AI52" s="808"/>
      <c r="AJ52" s="809"/>
      <c r="AO52" s="1282"/>
      <c r="AP52" s="1282"/>
    </row>
    <row r="53" spans="1:42" s="737" customFormat="1" ht="18" customHeight="1" x14ac:dyDescent="0.2">
      <c r="A53" s="794" t="s">
        <v>3529</v>
      </c>
      <c r="B53" s="795">
        <v>22</v>
      </c>
      <c r="C53" s="795">
        <v>26</v>
      </c>
      <c r="D53" s="795">
        <v>40</v>
      </c>
      <c r="E53" s="795">
        <v>16</v>
      </c>
      <c r="F53" s="795">
        <v>32</v>
      </c>
      <c r="G53" s="795">
        <v>56</v>
      </c>
      <c r="H53" s="795">
        <v>3</v>
      </c>
      <c r="I53" s="796" t="s">
        <v>3303</v>
      </c>
      <c r="J53" s="796" t="s">
        <v>3485</v>
      </c>
      <c r="K53" s="795" t="s">
        <v>1687</v>
      </c>
      <c r="L53" s="797" t="s">
        <v>1682</v>
      </c>
      <c r="M53" s="794" t="s">
        <v>3351</v>
      </c>
      <c r="N53" s="798" t="s">
        <v>1692</v>
      </c>
      <c r="O53" s="794" t="s">
        <v>3351</v>
      </c>
      <c r="P53" s="798" t="s">
        <v>1700</v>
      </c>
      <c r="Q53" s="794" t="s">
        <v>3351</v>
      </c>
      <c r="R53" s="798" t="s">
        <v>1701</v>
      </c>
      <c r="S53" s="794" t="s">
        <v>3352</v>
      </c>
      <c r="T53" s="798" t="s">
        <v>1925</v>
      </c>
      <c r="U53" s="798" t="s">
        <v>1922</v>
      </c>
      <c r="V53" s="798" t="s">
        <v>2024</v>
      </c>
      <c r="W53" s="795"/>
      <c r="X53" s="746" t="s">
        <v>3530</v>
      </c>
      <c r="AB53" s="748"/>
      <c r="AC53" s="749"/>
      <c r="AD53" s="811" t="s">
        <v>3444</v>
      </c>
      <c r="AE53" s="750">
        <v>1</v>
      </c>
      <c r="AF53" s="750">
        <v>45</v>
      </c>
      <c r="AG53" s="812" t="s">
        <v>3445</v>
      </c>
      <c r="AH53" s="813" t="s">
        <v>3446</v>
      </c>
      <c r="AI53" s="814"/>
      <c r="AJ53" s="809"/>
      <c r="AO53" s="1282"/>
      <c r="AP53" s="1282"/>
    </row>
    <row r="54" spans="1:42" s="737" customFormat="1" ht="18" customHeight="1" x14ac:dyDescent="0.2">
      <c r="A54" s="794" t="s">
        <v>3532</v>
      </c>
      <c r="B54" s="795">
        <v>26</v>
      </c>
      <c r="C54" s="795">
        <v>32</v>
      </c>
      <c r="D54" s="795">
        <v>45</v>
      </c>
      <c r="E54" s="795">
        <v>18</v>
      </c>
      <c r="F54" s="795">
        <v>36</v>
      </c>
      <c r="G54" s="795">
        <v>63</v>
      </c>
      <c r="H54" s="795">
        <v>3</v>
      </c>
      <c r="I54" s="796" t="s">
        <v>3303</v>
      </c>
      <c r="J54" s="796" t="s">
        <v>3485</v>
      </c>
      <c r="K54" s="795" t="s">
        <v>1687</v>
      </c>
      <c r="L54" s="797" t="s">
        <v>1682</v>
      </c>
      <c r="M54" s="794" t="s">
        <v>3351</v>
      </c>
      <c r="N54" s="798" t="s">
        <v>1692</v>
      </c>
      <c r="O54" s="794" t="s">
        <v>3351</v>
      </c>
      <c r="P54" s="798" t="s">
        <v>1700</v>
      </c>
      <c r="Q54" s="794" t="s">
        <v>3351</v>
      </c>
      <c r="R54" s="798" t="s">
        <v>1701</v>
      </c>
      <c r="S54" s="794" t="s">
        <v>3352</v>
      </c>
      <c r="T54" s="798" t="s">
        <v>1925</v>
      </c>
      <c r="U54" s="798" t="s">
        <v>1922</v>
      </c>
      <c r="V54" s="798" t="s">
        <v>2024</v>
      </c>
      <c r="W54" s="795"/>
      <c r="X54" s="746" t="s">
        <v>3533</v>
      </c>
      <c r="AB54" s="748"/>
      <c r="AC54" s="749"/>
      <c r="AD54" s="811" t="s">
        <v>3449</v>
      </c>
      <c r="AE54" s="750">
        <v>1</v>
      </c>
      <c r="AF54" s="750">
        <v>30</v>
      </c>
      <c r="AG54" s="812" t="s">
        <v>3450</v>
      </c>
      <c r="AH54" s="813" t="s">
        <v>3451</v>
      </c>
      <c r="AI54" s="814"/>
      <c r="AJ54" s="809"/>
      <c r="AO54" s="1282"/>
      <c r="AP54" s="1282"/>
    </row>
    <row r="55" spans="1:42" s="737" customFormat="1" ht="18" customHeight="1" x14ac:dyDescent="0.2">
      <c r="A55" s="746" t="s">
        <v>3320</v>
      </c>
      <c r="B55" s="789"/>
      <c r="C55" s="789"/>
      <c r="D55" s="789"/>
      <c r="E55" s="789"/>
      <c r="F55" s="789"/>
      <c r="G55" s="789"/>
      <c r="H55" s="789"/>
      <c r="I55" s="789"/>
      <c r="J55" s="789"/>
      <c r="K55" s="789"/>
      <c r="L55" s="790"/>
      <c r="M55" s="789"/>
      <c r="N55" s="789"/>
      <c r="O55" s="789"/>
      <c r="P55" s="789"/>
      <c r="Q55" s="789"/>
      <c r="R55" s="789"/>
      <c r="S55" s="789"/>
      <c r="T55" s="789"/>
      <c r="U55" s="789"/>
      <c r="V55" s="789"/>
      <c r="W55" s="795"/>
      <c r="X55" s="770" t="s">
        <v>3537</v>
      </c>
      <c r="AB55" s="748"/>
      <c r="AC55" s="749"/>
      <c r="AD55" s="811" t="s">
        <v>3454</v>
      </c>
      <c r="AE55" s="750">
        <v>2</v>
      </c>
      <c r="AF55" s="750">
        <v>75</v>
      </c>
      <c r="AG55" s="812" t="s">
        <v>3455</v>
      </c>
      <c r="AH55" s="813" t="s">
        <v>3456</v>
      </c>
      <c r="AI55" s="814"/>
      <c r="AJ55" s="809"/>
      <c r="AO55" s="1282"/>
      <c r="AP55" s="1282"/>
    </row>
    <row r="56" spans="1:42" s="737" customFormat="1" ht="18" customHeight="1" x14ac:dyDescent="0.2">
      <c r="A56" s="794" t="s">
        <v>3541</v>
      </c>
      <c r="B56" s="795">
        <v>1</v>
      </c>
      <c r="C56" s="795">
        <v>2</v>
      </c>
      <c r="D56" s="795">
        <v>5</v>
      </c>
      <c r="E56" s="795">
        <v>1</v>
      </c>
      <c r="F56" s="795">
        <v>2</v>
      </c>
      <c r="G56" s="795">
        <v>4</v>
      </c>
      <c r="H56" s="795">
        <v>1</v>
      </c>
      <c r="I56" s="796" t="s">
        <v>3303</v>
      </c>
      <c r="J56" s="796" t="s">
        <v>1534</v>
      </c>
      <c r="K56" s="795" t="s">
        <v>1687</v>
      </c>
      <c r="L56" s="797" t="s">
        <v>1682</v>
      </c>
      <c r="M56" s="794" t="s">
        <v>3442</v>
      </c>
      <c r="N56" s="798" t="s">
        <v>1809</v>
      </c>
      <c r="O56" s="794" t="s">
        <v>3351</v>
      </c>
      <c r="P56" s="798" t="s">
        <v>1700</v>
      </c>
      <c r="Q56" s="794" t="s">
        <v>3351</v>
      </c>
      <c r="R56" s="798" t="s">
        <v>1701</v>
      </c>
      <c r="S56" s="794" t="s">
        <v>3351</v>
      </c>
      <c r="T56" s="798" t="s">
        <v>1922</v>
      </c>
      <c r="U56" s="795" t="s">
        <v>3228</v>
      </c>
      <c r="V56" s="795" t="s">
        <v>3228</v>
      </c>
      <c r="W56" s="795"/>
      <c r="X56" s="746" t="s">
        <v>3542</v>
      </c>
      <c r="AB56" s="748"/>
      <c r="AC56" s="749"/>
      <c r="AD56" s="811" t="s">
        <v>3459</v>
      </c>
      <c r="AE56" s="750">
        <v>2</v>
      </c>
      <c r="AF56" s="750">
        <v>55</v>
      </c>
      <c r="AG56" s="812" t="s">
        <v>3460</v>
      </c>
      <c r="AH56" s="813" t="s">
        <v>3461</v>
      </c>
      <c r="AI56" s="814"/>
      <c r="AJ56" s="809"/>
      <c r="AO56" s="1282"/>
      <c r="AP56" s="1282"/>
    </row>
    <row r="57" spans="1:42" s="737" customFormat="1" ht="18" customHeight="1" x14ac:dyDescent="0.2">
      <c r="A57" s="794" t="s">
        <v>3547</v>
      </c>
      <c r="B57" s="795">
        <v>2</v>
      </c>
      <c r="C57" s="795">
        <v>4</v>
      </c>
      <c r="D57" s="795">
        <v>5</v>
      </c>
      <c r="E57" s="795">
        <v>1</v>
      </c>
      <c r="F57" s="795">
        <v>2</v>
      </c>
      <c r="G57" s="795">
        <v>4</v>
      </c>
      <c r="H57" s="795">
        <v>1</v>
      </c>
      <c r="I57" s="796" t="s">
        <v>3303</v>
      </c>
      <c r="J57" s="796" t="s">
        <v>1534</v>
      </c>
      <c r="K57" s="795" t="s">
        <v>1687</v>
      </c>
      <c r="L57" s="797" t="s">
        <v>1682</v>
      </c>
      <c r="M57" s="794" t="s">
        <v>3442</v>
      </c>
      <c r="N57" s="798" t="s">
        <v>1809</v>
      </c>
      <c r="O57" s="794" t="s">
        <v>3351</v>
      </c>
      <c r="P57" s="798" t="s">
        <v>1700</v>
      </c>
      <c r="Q57" s="794" t="s">
        <v>3351</v>
      </c>
      <c r="R57" s="798" t="s">
        <v>1701</v>
      </c>
      <c r="S57" s="794" t="s">
        <v>3351</v>
      </c>
      <c r="T57" s="798" t="s">
        <v>1922</v>
      </c>
      <c r="U57" s="795" t="s">
        <v>3228</v>
      </c>
      <c r="V57" s="795" t="s">
        <v>3228</v>
      </c>
      <c r="W57" s="795"/>
      <c r="X57" s="746" t="s">
        <v>3548</v>
      </c>
      <c r="AB57" s="748"/>
      <c r="AC57" s="749"/>
      <c r="AD57" s="811" t="s">
        <v>3464</v>
      </c>
      <c r="AE57" s="750">
        <v>3</v>
      </c>
      <c r="AF57" s="750">
        <v>110</v>
      </c>
      <c r="AG57" s="812" t="s">
        <v>3465</v>
      </c>
      <c r="AH57" s="813" t="s">
        <v>3466</v>
      </c>
      <c r="AI57" s="814"/>
      <c r="AJ57" s="809"/>
      <c r="AO57" s="1282"/>
      <c r="AP57" s="1282"/>
    </row>
    <row r="58" spans="1:42" s="737" customFormat="1" ht="18" customHeight="1" x14ac:dyDescent="0.2">
      <c r="A58" s="794" t="s">
        <v>3553</v>
      </c>
      <c r="B58" s="795">
        <v>3</v>
      </c>
      <c r="C58" s="795">
        <v>5</v>
      </c>
      <c r="D58" s="795">
        <v>10</v>
      </c>
      <c r="E58" s="795">
        <v>2</v>
      </c>
      <c r="F58" s="795">
        <v>4</v>
      </c>
      <c r="G58" s="795">
        <v>7</v>
      </c>
      <c r="H58" s="795">
        <v>1</v>
      </c>
      <c r="I58" s="796" t="s">
        <v>3303</v>
      </c>
      <c r="J58" s="796" t="s">
        <v>1534</v>
      </c>
      <c r="K58" s="795" t="s">
        <v>1687</v>
      </c>
      <c r="L58" s="797" t="s">
        <v>1682</v>
      </c>
      <c r="M58" s="794" t="s">
        <v>3442</v>
      </c>
      <c r="N58" s="798" t="s">
        <v>1809</v>
      </c>
      <c r="O58" s="794" t="s">
        <v>3351</v>
      </c>
      <c r="P58" s="798" t="s">
        <v>1700</v>
      </c>
      <c r="Q58" s="794" t="s">
        <v>3351</v>
      </c>
      <c r="R58" s="798" t="s">
        <v>1701</v>
      </c>
      <c r="S58" s="794" t="s">
        <v>3351</v>
      </c>
      <c r="T58" s="798" t="s">
        <v>1922</v>
      </c>
      <c r="U58" s="795" t="s">
        <v>3228</v>
      </c>
      <c r="V58" s="795" t="s">
        <v>3228</v>
      </c>
      <c r="W58" s="795"/>
      <c r="X58" s="746" t="s">
        <v>3554</v>
      </c>
      <c r="AB58" s="748"/>
      <c r="AC58" s="749"/>
      <c r="AD58" s="804" t="s">
        <v>3469</v>
      </c>
      <c r="AE58" s="805"/>
      <c r="AF58" s="805"/>
      <c r="AG58" s="806"/>
      <c r="AH58" s="807"/>
      <c r="AI58" s="808"/>
      <c r="AJ58" s="809"/>
      <c r="AO58" s="1282"/>
      <c r="AP58" s="1282"/>
    </row>
    <row r="59" spans="1:42" s="737" customFormat="1" ht="18" customHeight="1" x14ac:dyDescent="0.2">
      <c r="A59" s="794" t="s">
        <v>3559</v>
      </c>
      <c r="B59" s="795">
        <v>4</v>
      </c>
      <c r="C59" s="795">
        <v>6</v>
      </c>
      <c r="D59" s="795">
        <v>10</v>
      </c>
      <c r="E59" s="795">
        <v>2</v>
      </c>
      <c r="F59" s="795">
        <v>4</v>
      </c>
      <c r="G59" s="795">
        <v>7</v>
      </c>
      <c r="H59" s="795">
        <v>2</v>
      </c>
      <c r="I59" s="796" t="s">
        <v>3303</v>
      </c>
      <c r="J59" s="796" t="s">
        <v>1534</v>
      </c>
      <c r="K59" s="795" t="s">
        <v>1687</v>
      </c>
      <c r="L59" s="797" t="s">
        <v>1682</v>
      </c>
      <c r="M59" s="794" t="s">
        <v>3442</v>
      </c>
      <c r="N59" s="798" t="s">
        <v>1809</v>
      </c>
      <c r="O59" s="794" t="s">
        <v>3351</v>
      </c>
      <c r="P59" s="798" t="s">
        <v>1700</v>
      </c>
      <c r="Q59" s="794" t="s">
        <v>3351</v>
      </c>
      <c r="R59" s="798" t="s">
        <v>1701</v>
      </c>
      <c r="S59" s="794" t="s">
        <v>3351</v>
      </c>
      <c r="T59" s="798" t="s">
        <v>1922</v>
      </c>
      <c r="U59" s="795" t="s">
        <v>3228</v>
      </c>
      <c r="V59" s="795" t="s">
        <v>3228</v>
      </c>
      <c r="W59" s="795"/>
      <c r="X59" s="746" t="s">
        <v>3560</v>
      </c>
      <c r="AB59" s="748"/>
      <c r="AC59" s="749"/>
      <c r="AD59" s="811" t="s">
        <v>3472</v>
      </c>
      <c r="AE59" s="750">
        <v>1</v>
      </c>
      <c r="AF59" s="750">
        <v>30</v>
      </c>
      <c r="AG59" s="812" t="s">
        <v>3473</v>
      </c>
      <c r="AH59" s="813" t="s">
        <v>3474</v>
      </c>
      <c r="AI59" s="814"/>
      <c r="AJ59" s="809"/>
      <c r="AO59" s="1282"/>
      <c r="AP59" s="1282"/>
    </row>
    <row r="60" spans="1:42" s="737" customFormat="1" ht="18" customHeight="1" x14ac:dyDescent="0.2">
      <c r="A60" s="794" t="s">
        <v>3562</v>
      </c>
      <c r="B60" s="795">
        <v>6</v>
      </c>
      <c r="C60" s="795">
        <v>9</v>
      </c>
      <c r="D60" s="795">
        <v>15</v>
      </c>
      <c r="E60" s="795">
        <v>3</v>
      </c>
      <c r="F60" s="795">
        <v>6</v>
      </c>
      <c r="G60" s="795">
        <v>11</v>
      </c>
      <c r="H60" s="795">
        <v>2</v>
      </c>
      <c r="I60" s="796" t="s">
        <v>3303</v>
      </c>
      <c r="J60" s="796" t="s">
        <v>1534</v>
      </c>
      <c r="K60" s="795" t="s">
        <v>1687</v>
      </c>
      <c r="L60" s="797" t="s">
        <v>1682</v>
      </c>
      <c r="M60" s="794" t="s">
        <v>3442</v>
      </c>
      <c r="N60" s="798" t="s">
        <v>1809</v>
      </c>
      <c r="O60" s="794" t="s">
        <v>3351</v>
      </c>
      <c r="P60" s="798" t="s">
        <v>1700</v>
      </c>
      <c r="Q60" s="794" t="s">
        <v>3351</v>
      </c>
      <c r="R60" s="798" t="s">
        <v>1701</v>
      </c>
      <c r="S60" s="794" t="s">
        <v>3351</v>
      </c>
      <c r="T60" s="798" t="s">
        <v>1922</v>
      </c>
      <c r="U60" s="795" t="s">
        <v>3228</v>
      </c>
      <c r="V60" s="795" t="s">
        <v>3228</v>
      </c>
      <c r="W60" s="795"/>
      <c r="X60" s="746" t="s">
        <v>3563</v>
      </c>
      <c r="AB60" s="748"/>
      <c r="AC60" s="749"/>
      <c r="AD60" s="811" t="s">
        <v>3477</v>
      </c>
      <c r="AE60" s="750">
        <v>1</v>
      </c>
      <c r="AF60" s="750">
        <v>20</v>
      </c>
      <c r="AG60" s="812" t="s">
        <v>3478</v>
      </c>
      <c r="AH60" s="813" t="s">
        <v>3479</v>
      </c>
      <c r="AI60" s="814"/>
      <c r="AJ60" s="809"/>
      <c r="AO60" s="1282"/>
      <c r="AP60" s="1282"/>
    </row>
    <row r="61" spans="1:42" s="737" customFormat="1" ht="18" customHeight="1" x14ac:dyDescent="0.2">
      <c r="A61" s="794" t="s">
        <v>3567</v>
      </c>
      <c r="B61" s="795">
        <v>8</v>
      </c>
      <c r="C61" s="795">
        <v>11</v>
      </c>
      <c r="D61" s="795">
        <v>20</v>
      </c>
      <c r="E61" s="795">
        <v>3</v>
      </c>
      <c r="F61" s="795">
        <v>6</v>
      </c>
      <c r="G61" s="795">
        <v>11</v>
      </c>
      <c r="H61" s="795">
        <v>3</v>
      </c>
      <c r="I61" s="796" t="s">
        <v>3303</v>
      </c>
      <c r="J61" s="796" t="s">
        <v>1534</v>
      </c>
      <c r="K61" s="795" t="s">
        <v>1687</v>
      </c>
      <c r="L61" s="797" t="s">
        <v>1682</v>
      </c>
      <c r="M61" s="794" t="s">
        <v>3442</v>
      </c>
      <c r="N61" s="798" t="s">
        <v>1809</v>
      </c>
      <c r="O61" s="794" t="s">
        <v>3351</v>
      </c>
      <c r="P61" s="798" t="s">
        <v>1700</v>
      </c>
      <c r="Q61" s="794" t="s">
        <v>3351</v>
      </c>
      <c r="R61" s="798" t="s">
        <v>1701</v>
      </c>
      <c r="S61" s="794" t="s">
        <v>3351</v>
      </c>
      <c r="T61" s="798" t="s">
        <v>1922</v>
      </c>
      <c r="U61" s="795" t="s">
        <v>3228</v>
      </c>
      <c r="V61" s="795" t="s">
        <v>3228</v>
      </c>
      <c r="W61" s="795"/>
      <c r="X61" s="746" t="s">
        <v>3568</v>
      </c>
      <c r="AB61" s="748"/>
      <c r="AC61" s="749"/>
      <c r="AD61" s="811" t="s">
        <v>3481</v>
      </c>
      <c r="AE61" s="750">
        <v>2</v>
      </c>
      <c r="AF61" s="750">
        <v>65</v>
      </c>
      <c r="AG61" s="812" t="s">
        <v>3482</v>
      </c>
      <c r="AH61" s="813" t="s">
        <v>3483</v>
      </c>
      <c r="AI61" s="814"/>
      <c r="AJ61" s="809"/>
      <c r="AO61" s="1282"/>
      <c r="AP61" s="1282"/>
    </row>
    <row r="62" spans="1:42" s="737" customFormat="1" ht="18" customHeight="1" x14ac:dyDescent="0.2">
      <c r="A62" s="746" t="s">
        <v>3324</v>
      </c>
      <c r="B62" s="789"/>
      <c r="C62" s="789"/>
      <c r="D62" s="789"/>
      <c r="E62" s="789"/>
      <c r="F62" s="789"/>
      <c r="G62" s="789"/>
      <c r="H62" s="789"/>
      <c r="I62" s="789"/>
      <c r="J62" s="789"/>
      <c r="K62" s="789"/>
      <c r="L62" s="790"/>
      <c r="M62" s="789"/>
      <c r="N62" s="789"/>
      <c r="O62" s="789"/>
      <c r="P62" s="789"/>
      <c r="Q62" s="789"/>
      <c r="R62" s="789"/>
      <c r="S62" s="789"/>
      <c r="T62" s="789"/>
      <c r="U62" s="789"/>
      <c r="V62" s="789"/>
      <c r="W62" s="795"/>
      <c r="X62" s="746" t="s">
        <v>3572</v>
      </c>
      <c r="AB62" s="748"/>
      <c r="AC62" s="749"/>
      <c r="AD62" s="811" t="s">
        <v>3486</v>
      </c>
      <c r="AE62" s="750">
        <v>2</v>
      </c>
      <c r="AF62" s="750">
        <v>70</v>
      </c>
      <c r="AG62" s="812" t="s">
        <v>3487</v>
      </c>
      <c r="AH62" s="813" t="s">
        <v>3488</v>
      </c>
      <c r="AI62" s="814"/>
      <c r="AJ62" s="809"/>
      <c r="AO62" s="1282"/>
      <c r="AP62" s="1282"/>
    </row>
    <row r="63" spans="1:42" s="737" customFormat="1" ht="18" customHeight="1" x14ac:dyDescent="0.2">
      <c r="A63" s="794" t="s">
        <v>3577</v>
      </c>
      <c r="B63" s="795">
        <v>2</v>
      </c>
      <c r="C63" s="795">
        <v>4</v>
      </c>
      <c r="D63" s="795">
        <v>10</v>
      </c>
      <c r="E63" s="795">
        <v>2</v>
      </c>
      <c r="F63" s="795">
        <v>4</v>
      </c>
      <c r="G63" s="795">
        <v>7</v>
      </c>
      <c r="H63" s="795">
        <v>1</v>
      </c>
      <c r="I63" s="796" t="s">
        <v>3308</v>
      </c>
      <c r="J63" s="796" t="s">
        <v>1534</v>
      </c>
      <c r="K63" s="795" t="s">
        <v>1687</v>
      </c>
      <c r="L63" s="797" t="s">
        <v>1682</v>
      </c>
      <c r="M63" s="794" t="s">
        <v>3442</v>
      </c>
      <c r="N63" s="798" t="s">
        <v>1809</v>
      </c>
      <c r="O63" s="794" t="s">
        <v>3351</v>
      </c>
      <c r="P63" s="798" t="s">
        <v>1700</v>
      </c>
      <c r="Q63" s="794" t="s">
        <v>3351</v>
      </c>
      <c r="R63" s="798" t="s">
        <v>1701</v>
      </c>
      <c r="S63" s="794" t="s">
        <v>3351</v>
      </c>
      <c r="T63" s="798" t="s">
        <v>1922</v>
      </c>
      <c r="U63" s="795" t="s">
        <v>3228</v>
      </c>
      <c r="V63" s="795" t="s">
        <v>3228</v>
      </c>
      <c r="W63" s="795"/>
      <c r="X63" s="746" t="s">
        <v>2005</v>
      </c>
      <c r="AB63" s="748"/>
      <c r="AC63" s="749"/>
      <c r="AD63" s="811" t="s">
        <v>3491</v>
      </c>
      <c r="AE63" s="750">
        <v>3</v>
      </c>
      <c r="AF63" s="750">
        <v>115</v>
      </c>
      <c r="AG63" s="812" t="s">
        <v>3492</v>
      </c>
      <c r="AH63" s="813" t="s">
        <v>3493</v>
      </c>
      <c r="AI63" s="814" t="s">
        <v>3439</v>
      </c>
      <c r="AJ63" s="809"/>
      <c r="AO63" s="1282"/>
      <c r="AP63" s="1282"/>
    </row>
    <row r="64" spans="1:42" s="737" customFormat="1" ht="18" customHeight="1" x14ac:dyDescent="0.2">
      <c r="A64" s="794" t="s">
        <v>3582</v>
      </c>
      <c r="B64" s="795">
        <v>4</v>
      </c>
      <c r="C64" s="795">
        <v>6</v>
      </c>
      <c r="D64" s="795">
        <v>15</v>
      </c>
      <c r="E64" s="795">
        <v>3</v>
      </c>
      <c r="F64" s="795">
        <v>6</v>
      </c>
      <c r="G64" s="795">
        <v>11</v>
      </c>
      <c r="H64" s="795">
        <v>1</v>
      </c>
      <c r="I64" s="796" t="s">
        <v>3308</v>
      </c>
      <c r="J64" s="796" t="s">
        <v>1534</v>
      </c>
      <c r="K64" s="795" t="s">
        <v>1687</v>
      </c>
      <c r="L64" s="797" t="s">
        <v>1682</v>
      </c>
      <c r="M64" s="794" t="s">
        <v>3442</v>
      </c>
      <c r="N64" s="798" t="s">
        <v>1809</v>
      </c>
      <c r="O64" s="794" t="s">
        <v>3351</v>
      </c>
      <c r="P64" s="798" t="s">
        <v>1700</v>
      </c>
      <c r="Q64" s="794" t="s">
        <v>3351</v>
      </c>
      <c r="R64" s="798" t="s">
        <v>1701</v>
      </c>
      <c r="S64" s="794" t="s">
        <v>3351</v>
      </c>
      <c r="T64" s="798" t="s">
        <v>1922</v>
      </c>
      <c r="U64" s="795" t="s">
        <v>3228</v>
      </c>
      <c r="V64" s="795" t="s">
        <v>3228</v>
      </c>
      <c r="W64" s="795"/>
      <c r="X64" s="746" t="s">
        <v>3583</v>
      </c>
      <c r="AB64" s="748"/>
      <c r="AC64" s="803"/>
      <c r="AD64" s="804" t="s">
        <v>3496</v>
      </c>
      <c r="AE64" s="805"/>
      <c r="AF64" s="805"/>
      <c r="AG64" s="806"/>
      <c r="AH64" s="807"/>
      <c r="AI64" s="808"/>
      <c r="AJ64" s="809"/>
      <c r="AO64" s="1282"/>
      <c r="AP64" s="1282"/>
    </row>
    <row r="65" spans="1:42" s="737" customFormat="1" ht="18" customHeight="1" x14ac:dyDescent="0.2">
      <c r="A65" s="794" t="s">
        <v>3588</v>
      </c>
      <c r="B65" s="795">
        <v>6</v>
      </c>
      <c r="C65" s="795">
        <v>9</v>
      </c>
      <c r="D65" s="795">
        <v>20</v>
      </c>
      <c r="E65" s="795">
        <v>4</v>
      </c>
      <c r="F65" s="795">
        <v>8</v>
      </c>
      <c r="G65" s="795">
        <v>14</v>
      </c>
      <c r="H65" s="795">
        <v>2</v>
      </c>
      <c r="I65" s="796" t="s">
        <v>3308</v>
      </c>
      <c r="J65" s="796" t="s">
        <v>1534</v>
      </c>
      <c r="K65" s="795" t="s">
        <v>1687</v>
      </c>
      <c r="L65" s="797" t="s">
        <v>1682</v>
      </c>
      <c r="M65" s="794" t="s">
        <v>3442</v>
      </c>
      <c r="N65" s="798" t="s">
        <v>1809</v>
      </c>
      <c r="O65" s="794" t="s">
        <v>3351</v>
      </c>
      <c r="P65" s="798" t="s">
        <v>1700</v>
      </c>
      <c r="Q65" s="794" t="s">
        <v>3351</v>
      </c>
      <c r="R65" s="798" t="s">
        <v>1701</v>
      </c>
      <c r="S65" s="794" t="s">
        <v>3351</v>
      </c>
      <c r="T65" s="798" t="s">
        <v>1922</v>
      </c>
      <c r="U65" s="795" t="s">
        <v>3228</v>
      </c>
      <c r="V65" s="795" t="s">
        <v>3228</v>
      </c>
      <c r="W65" s="795"/>
      <c r="X65" s="746" t="s">
        <v>3589</v>
      </c>
      <c r="AB65" s="748"/>
      <c r="AC65" s="749"/>
      <c r="AD65" s="811" t="s">
        <v>3499</v>
      </c>
      <c r="AE65" s="750">
        <v>1</v>
      </c>
      <c r="AF65" s="750">
        <v>25</v>
      </c>
      <c r="AG65" s="812" t="s">
        <v>3500</v>
      </c>
      <c r="AH65" s="813" t="s">
        <v>3501</v>
      </c>
      <c r="AI65" s="814"/>
      <c r="AJ65" s="809"/>
      <c r="AO65" s="1282"/>
      <c r="AP65" s="1282"/>
    </row>
    <row r="66" spans="1:42" s="737" customFormat="1" ht="18" customHeight="1" x14ac:dyDescent="0.2">
      <c r="A66" s="746" t="s">
        <v>3327</v>
      </c>
      <c r="B66" s="789"/>
      <c r="C66" s="789"/>
      <c r="D66" s="789"/>
      <c r="E66" s="789"/>
      <c r="F66" s="789"/>
      <c r="G66" s="789"/>
      <c r="H66" s="789"/>
      <c r="I66" s="789"/>
      <c r="J66" s="789"/>
      <c r="K66" s="789"/>
      <c r="L66" s="790"/>
      <c r="M66" s="789"/>
      <c r="N66" s="789"/>
      <c r="O66" s="789"/>
      <c r="P66" s="789"/>
      <c r="Q66" s="789"/>
      <c r="R66" s="789"/>
      <c r="S66" s="789"/>
      <c r="T66" s="789"/>
      <c r="U66" s="789"/>
      <c r="V66" s="789"/>
      <c r="W66" s="795"/>
      <c r="X66" s="746" t="s">
        <v>3591</v>
      </c>
      <c r="AB66" s="748"/>
      <c r="AC66" s="749"/>
      <c r="AD66" s="811" t="s">
        <v>3504</v>
      </c>
      <c r="AE66" s="750">
        <v>1</v>
      </c>
      <c r="AF66" s="750">
        <v>25</v>
      </c>
      <c r="AG66" s="812" t="s">
        <v>3505</v>
      </c>
      <c r="AH66" s="813" t="s">
        <v>3506</v>
      </c>
      <c r="AI66" s="814"/>
      <c r="AJ66" s="809"/>
      <c r="AO66" s="1282"/>
      <c r="AP66" s="1282"/>
    </row>
    <row r="67" spans="1:42" s="737" customFormat="1" ht="18" customHeight="1" x14ac:dyDescent="0.2">
      <c r="A67" s="794" t="s">
        <v>3596</v>
      </c>
      <c r="B67" s="795">
        <v>3</v>
      </c>
      <c r="C67" s="795">
        <v>5</v>
      </c>
      <c r="D67" s="795">
        <v>10</v>
      </c>
      <c r="E67" s="795">
        <v>2</v>
      </c>
      <c r="F67" s="795">
        <v>4</v>
      </c>
      <c r="G67" s="795">
        <v>7</v>
      </c>
      <c r="H67" s="795">
        <v>1</v>
      </c>
      <c r="I67" s="796" t="s">
        <v>3303</v>
      </c>
      <c r="J67" s="796" t="s">
        <v>1534</v>
      </c>
      <c r="K67" s="795" t="s">
        <v>1700</v>
      </c>
      <c r="L67" s="797" t="s">
        <v>1682</v>
      </c>
      <c r="M67" s="794" t="s">
        <v>3351</v>
      </c>
      <c r="N67" s="798" t="s">
        <v>1809</v>
      </c>
      <c r="O67" s="794" t="s">
        <v>3351</v>
      </c>
      <c r="P67" s="798" t="s">
        <v>1687</v>
      </c>
      <c r="Q67" s="794" t="s">
        <v>3351</v>
      </c>
      <c r="R67" s="798" t="s">
        <v>1701</v>
      </c>
      <c r="S67" s="794" t="s">
        <v>3351</v>
      </c>
      <c r="T67" s="798" t="s">
        <v>1925</v>
      </c>
      <c r="U67" s="798" t="s">
        <v>1922</v>
      </c>
      <c r="V67" s="798" t="s">
        <v>2020</v>
      </c>
      <c r="W67" s="795"/>
      <c r="X67" s="746" t="s">
        <v>3597</v>
      </c>
      <c r="AB67" s="748"/>
      <c r="AC67" s="749"/>
      <c r="AD67" s="811" t="s">
        <v>3509</v>
      </c>
      <c r="AE67" s="750">
        <v>1</v>
      </c>
      <c r="AF67" s="750">
        <v>30</v>
      </c>
      <c r="AG67" s="812" t="s">
        <v>3510</v>
      </c>
      <c r="AH67" s="813" t="s">
        <v>3511</v>
      </c>
      <c r="AI67" s="814"/>
      <c r="AJ67" s="809"/>
      <c r="AO67" s="1282"/>
      <c r="AP67" s="1282"/>
    </row>
    <row r="68" spans="1:42" s="737" customFormat="1" ht="18" customHeight="1" x14ac:dyDescent="0.2">
      <c r="A68" s="794" t="s">
        <v>3602</v>
      </c>
      <c r="B68" s="795">
        <v>6</v>
      </c>
      <c r="C68" s="795">
        <v>9</v>
      </c>
      <c r="D68" s="795">
        <v>20</v>
      </c>
      <c r="E68" s="795">
        <v>4</v>
      </c>
      <c r="F68" s="795">
        <v>8</v>
      </c>
      <c r="G68" s="795">
        <v>14</v>
      </c>
      <c r="H68" s="795">
        <v>2</v>
      </c>
      <c r="I68" s="796" t="s">
        <v>3303</v>
      </c>
      <c r="J68" s="796" t="s">
        <v>1534</v>
      </c>
      <c r="K68" s="795" t="s">
        <v>1700</v>
      </c>
      <c r="L68" s="797" t="s">
        <v>1682</v>
      </c>
      <c r="M68" s="794" t="s">
        <v>3351</v>
      </c>
      <c r="N68" s="798" t="s">
        <v>1809</v>
      </c>
      <c r="O68" s="794" t="s">
        <v>3351</v>
      </c>
      <c r="P68" s="798" t="s">
        <v>1687</v>
      </c>
      <c r="Q68" s="794" t="s">
        <v>3351</v>
      </c>
      <c r="R68" s="798" t="s">
        <v>1701</v>
      </c>
      <c r="S68" s="794" t="s">
        <v>3351</v>
      </c>
      <c r="T68" s="798" t="s">
        <v>1925</v>
      </c>
      <c r="U68" s="798" t="s">
        <v>1922</v>
      </c>
      <c r="V68" s="798" t="s">
        <v>2020</v>
      </c>
      <c r="W68" s="795"/>
      <c r="X68" s="746" t="s">
        <v>3603</v>
      </c>
      <c r="AB68" s="748"/>
      <c r="AC68" s="749"/>
      <c r="AD68" s="811" t="s">
        <v>3514</v>
      </c>
      <c r="AE68" s="750">
        <v>2</v>
      </c>
      <c r="AF68" s="750">
        <v>60</v>
      </c>
      <c r="AG68" s="812" t="s">
        <v>3515</v>
      </c>
      <c r="AH68" s="813" t="s">
        <v>3516</v>
      </c>
      <c r="AI68" s="814"/>
      <c r="AJ68" s="809"/>
      <c r="AO68" s="1282"/>
      <c r="AP68" s="1282"/>
    </row>
    <row r="69" spans="1:42" s="737" customFormat="1" ht="18" customHeight="1" x14ac:dyDescent="0.2">
      <c r="A69" s="794" t="s">
        <v>3609</v>
      </c>
      <c r="B69" s="795">
        <v>9</v>
      </c>
      <c r="C69" s="795">
        <v>12</v>
      </c>
      <c r="D69" s="795">
        <v>30</v>
      </c>
      <c r="E69" s="795">
        <v>6</v>
      </c>
      <c r="F69" s="795">
        <v>12</v>
      </c>
      <c r="G69" s="795">
        <v>21</v>
      </c>
      <c r="H69" s="795">
        <v>3</v>
      </c>
      <c r="I69" s="796" t="s">
        <v>3303</v>
      </c>
      <c r="J69" s="796" t="s">
        <v>1534</v>
      </c>
      <c r="K69" s="795" t="s">
        <v>1700</v>
      </c>
      <c r="L69" s="797" t="s">
        <v>1682</v>
      </c>
      <c r="M69" s="794" t="s">
        <v>3351</v>
      </c>
      <c r="N69" s="798" t="s">
        <v>1809</v>
      </c>
      <c r="O69" s="794" t="s">
        <v>3351</v>
      </c>
      <c r="P69" s="798" t="s">
        <v>1687</v>
      </c>
      <c r="Q69" s="794" t="s">
        <v>3351</v>
      </c>
      <c r="R69" s="798" t="s">
        <v>1701</v>
      </c>
      <c r="S69" s="794" t="s">
        <v>3351</v>
      </c>
      <c r="T69" s="798" t="s">
        <v>1925</v>
      </c>
      <c r="U69" s="798" t="s">
        <v>1922</v>
      </c>
      <c r="V69" s="798" t="s">
        <v>2020</v>
      </c>
      <c r="W69" s="795"/>
      <c r="X69" s="746" t="s">
        <v>3610</v>
      </c>
      <c r="AB69" s="748"/>
      <c r="AC69" s="749"/>
      <c r="AD69" s="811" t="s">
        <v>3519</v>
      </c>
      <c r="AE69" s="750">
        <v>2</v>
      </c>
      <c r="AF69" s="750">
        <v>45</v>
      </c>
      <c r="AG69" s="812" t="s">
        <v>3520</v>
      </c>
      <c r="AH69" s="813" t="s">
        <v>3521</v>
      </c>
      <c r="AI69" s="814" t="s">
        <v>3522</v>
      </c>
      <c r="AJ69" s="809"/>
      <c r="AO69" s="1282"/>
      <c r="AP69" s="1282"/>
    </row>
    <row r="70" spans="1:42" s="737" customFormat="1" ht="18" customHeight="1" x14ac:dyDescent="0.2">
      <c r="A70" s="746" t="s">
        <v>3329</v>
      </c>
      <c r="B70" s="789"/>
      <c r="C70" s="789"/>
      <c r="D70" s="789"/>
      <c r="E70" s="789"/>
      <c r="F70" s="789"/>
      <c r="G70" s="789"/>
      <c r="H70" s="789"/>
      <c r="I70" s="789"/>
      <c r="J70" s="789"/>
      <c r="K70" s="789"/>
      <c r="L70" s="790"/>
      <c r="M70" s="789"/>
      <c r="N70" s="789"/>
      <c r="O70" s="789"/>
      <c r="P70" s="789"/>
      <c r="Q70" s="789"/>
      <c r="R70" s="789"/>
      <c r="S70" s="789"/>
      <c r="T70" s="789"/>
      <c r="U70" s="789"/>
      <c r="V70" s="789"/>
      <c r="W70" s="795"/>
      <c r="X70" s="746" t="s">
        <v>3615</v>
      </c>
      <c r="AB70" s="748"/>
      <c r="AC70" s="749"/>
      <c r="AD70" s="811" t="s">
        <v>3525</v>
      </c>
      <c r="AE70" s="750">
        <v>2</v>
      </c>
      <c r="AF70" s="750">
        <v>80</v>
      </c>
      <c r="AG70" s="812" t="s">
        <v>3526</v>
      </c>
      <c r="AH70" s="813" t="s">
        <v>3527</v>
      </c>
      <c r="AI70" s="814" t="s">
        <v>3528</v>
      </c>
      <c r="AJ70" s="809"/>
      <c r="AO70" s="1282"/>
      <c r="AP70" s="1282"/>
    </row>
    <row r="71" spans="1:42" s="737" customFormat="1" ht="18" customHeight="1" x14ac:dyDescent="0.2">
      <c r="A71" s="794" t="s">
        <v>3620</v>
      </c>
      <c r="B71" s="795">
        <v>1</v>
      </c>
      <c r="C71" s="795">
        <v>2</v>
      </c>
      <c r="D71" s="795">
        <v>5</v>
      </c>
      <c r="E71" s="795">
        <v>1</v>
      </c>
      <c r="F71" s="795">
        <v>2</v>
      </c>
      <c r="G71" s="795">
        <v>4</v>
      </c>
      <c r="H71" s="795">
        <v>1</v>
      </c>
      <c r="I71" s="796" t="s">
        <v>3303</v>
      </c>
      <c r="J71" s="796" t="s">
        <v>1534</v>
      </c>
      <c r="K71" s="795" t="s">
        <v>1700</v>
      </c>
      <c r="L71" s="797" t="s">
        <v>1682</v>
      </c>
      <c r="M71" s="794" t="s">
        <v>3351</v>
      </c>
      <c r="N71" s="798" t="s">
        <v>1809</v>
      </c>
      <c r="O71" s="794" t="s">
        <v>3352</v>
      </c>
      <c r="P71" s="798" t="s">
        <v>1687</v>
      </c>
      <c r="Q71" s="794" t="s">
        <v>3442</v>
      </c>
      <c r="R71" s="798" t="s">
        <v>1701</v>
      </c>
      <c r="S71" s="794" t="s">
        <v>3351</v>
      </c>
      <c r="T71" s="798" t="s">
        <v>1925</v>
      </c>
      <c r="U71" s="798" t="s">
        <v>1922</v>
      </c>
      <c r="V71" s="798" t="s">
        <v>2020</v>
      </c>
      <c r="W71" s="795"/>
      <c r="X71" s="746" t="s">
        <v>3621</v>
      </c>
      <c r="AB71" s="748"/>
      <c r="AC71" s="803"/>
      <c r="AD71" s="804" t="s">
        <v>3531</v>
      </c>
      <c r="AE71" s="805"/>
      <c r="AF71" s="805"/>
      <c r="AG71" s="806"/>
      <c r="AH71" s="807"/>
      <c r="AI71" s="808"/>
      <c r="AJ71" s="809"/>
      <c r="AO71" s="1282"/>
      <c r="AP71" s="1282"/>
    </row>
    <row r="72" spans="1:42" s="737" customFormat="1" ht="18" customHeight="1" x14ac:dyDescent="0.2">
      <c r="A72" s="794" t="s">
        <v>3626</v>
      </c>
      <c r="B72" s="795">
        <v>2</v>
      </c>
      <c r="C72" s="795">
        <v>4</v>
      </c>
      <c r="D72" s="795">
        <v>5</v>
      </c>
      <c r="E72" s="795">
        <v>1</v>
      </c>
      <c r="F72" s="795">
        <v>2</v>
      </c>
      <c r="G72" s="795">
        <v>4</v>
      </c>
      <c r="H72" s="795">
        <v>1</v>
      </c>
      <c r="I72" s="796" t="s">
        <v>3303</v>
      </c>
      <c r="J72" s="796" t="s">
        <v>1534</v>
      </c>
      <c r="K72" s="795" t="s">
        <v>1700</v>
      </c>
      <c r="L72" s="797" t="s">
        <v>1682</v>
      </c>
      <c r="M72" s="794" t="s">
        <v>3351</v>
      </c>
      <c r="N72" s="798" t="s">
        <v>1809</v>
      </c>
      <c r="O72" s="794" t="s">
        <v>3352</v>
      </c>
      <c r="P72" s="798" t="s">
        <v>1687</v>
      </c>
      <c r="Q72" s="794" t="s">
        <v>3442</v>
      </c>
      <c r="R72" s="798" t="s">
        <v>1701</v>
      </c>
      <c r="S72" s="794" t="s">
        <v>3351</v>
      </c>
      <c r="T72" s="798" t="s">
        <v>1925</v>
      </c>
      <c r="U72" s="798" t="s">
        <v>1922</v>
      </c>
      <c r="V72" s="798" t="s">
        <v>2020</v>
      </c>
      <c r="W72" s="795"/>
      <c r="X72" s="746" t="s">
        <v>3627</v>
      </c>
      <c r="AB72" s="748"/>
      <c r="AC72" s="749"/>
      <c r="AD72" s="811" t="s">
        <v>3534</v>
      </c>
      <c r="AE72" s="750">
        <v>1</v>
      </c>
      <c r="AF72" s="750">
        <v>20</v>
      </c>
      <c r="AG72" s="812" t="s">
        <v>3535</v>
      </c>
      <c r="AH72" s="813" t="s">
        <v>3536</v>
      </c>
      <c r="AI72" s="814"/>
      <c r="AJ72" s="809"/>
      <c r="AO72" s="1282"/>
      <c r="AP72" s="1282"/>
    </row>
    <row r="73" spans="1:42" s="737" customFormat="1" ht="18" customHeight="1" x14ac:dyDescent="0.2">
      <c r="A73" s="794" t="s">
        <v>3629</v>
      </c>
      <c r="B73" s="795">
        <v>3</v>
      </c>
      <c r="C73" s="795">
        <v>5</v>
      </c>
      <c r="D73" s="795">
        <v>5</v>
      </c>
      <c r="E73" s="795">
        <v>1</v>
      </c>
      <c r="F73" s="795">
        <v>2</v>
      </c>
      <c r="G73" s="795">
        <v>4</v>
      </c>
      <c r="H73" s="795">
        <v>1</v>
      </c>
      <c r="I73" s="796" t="s">
        <v>3303</v>
      </c>
      <c r="J73" s="796" t="s">
        <v>1534</v>
      </c>
      <c r="K73" s="795" t="s">
        <v>1700</v>
      </c>
      <c r="L73" s="797" t="s">
        <v>1682</v>
      </c>
      <c r="M73" s="794" t="s">
        <v>3351</v>
      </c>
      <c r="N73" s="798" t="s">
        <v>1809</v>
      </c>
      <c r="O73" s="794" t="s">
        <v>3352</v>
      </c>
      <c r="P73" s="798" t="s">
        <v>1687</v>
      </c>
      <c r="Q73" s="794" t="s">
        <v>3442</v>
      </c>
      <c r="R73" s="798" t="s">
        <v>1701</v>
      </c>
      <c r="S73" s="794" t="s">
        <v>3351</v>
      </c>
      <c r="T73" s="798" t="s">
        <v>1925</v>
      </c>
      <c r="U73" s="798" t="s">
        <v>1922</v>
      </c>
      <c r="V73" s="798" t="s">
        <v>2020</v>
      </c>
      <c r="W73" s="795"/>
      <c r="X73" s="746" t="s">
        <v>3630</v>
      </c>
      <c r="AB73" s="748"/>
      <c r="AC73" s="749"/>
      <c r="AD73" s="811" t="s">
        <v>3538</v>
      </c>
      <c r="AE73" s="750">
        <v>1</v>
      </c>
      <c r="AF73" s="750">
        <v>30</v>
      </c>
      <c r="AG73" s="812" t="s">
        <v>3539</v>
      </c>
      <c r="AH73" s="813" t="s">
        <v>3540</v>
      </c>
      <c r="AI73" s="814"/>
      <c r="AJ73" s="809"/>
      <c r="AO73" s="1282"/>
      <c r="AP73" s="1282"/>
    </row>
    <row r="74" spans="1:42" s="737" customFormat="1" ht="18" customHeight="1" x14ac:dyDescent="0.2">
      <c r="A74" s="794" t="s">
        <v>3634</v>
      </c>
      <c r="B74" s="795">
        <v>5</v>
      </c>
      <c r="C74" s="795">
        <v>8</v>
      </c>
      <c r="D74" s="795">
        <v>10</v>
      </c>
      <c r="E74" s="795">
        <v>2</v>
      </c>
      <c r="F74" s="795">
        <v>4</v>
      </c>
      <c r="G74" s="795">
        <v>7</v>
      </c>
      <c r="H74" s="795">
        <v>1</v>
      </c>
      <c r="I74" s="796" t="s">
        <v>3303</v>
      </c>
      <c r="J74" s="796" t="s">
        <v>1534</v>
      </c>
      <c r="K74" s="795" t="s">
        <v>1700</v>
      </c>
      <c r="L74" s="797" t="s">
        <v>1682</v>
      </c>
      <c r="M74" s="794" t="s">
        <v>3351</v>
      </c>
      <c r="N74" s="798" t="s">
        <v>1809</v>
      </c>
      <c r="O74" s="794" t="s">
        <v>3352</v>
      </c>
      <c r="P74" s="798" t="s">
        <v>1687</v>
      </c>
      <c r="Q74" s="794" t="s">
        <v>3442</v>
      </c>
      <c r="R74" s="798" t="s">
        <v>1701</v>
      </c>
      <c r="S74" s="794" t="s">
        <v>3351</v>
      </c>
      <c r="T74" s="798" t="s">
        <v>1925</v>
      </c>
      <c r="U74" s="798" t="s">
        <v>1922</v>
      </c>
      <c r="V74" s="798" t="s">
        <v>2020</v>
      </c>
      <c r="W74" s="795"/>
      <c r="AB74" s="748"/>
      <c r="AC74" s="749"/>
      <c r="AD74" s="811" t="s">
        <v>3543</v>
      </c>
      <c r="AE74" s="750">
        <v>2</v>
      </c>
      <c r="AF74" s="750">
        <v>40</v>
      </c>
      <c r="AG74" s="812" t="s">
        <v>3544</v>
      </c>
      <c r="AH74" s="813" t="s">
        <v>3545</v>
      </c>
      <c r="AI74" s="814" t="s">
        <v>3546</v>
      </c>
      <c r="AJ74" s="809"/>
      <c r="AO74" s="1282"/>
      <c r="AP74" s="1282"/>
    </row>
    <row r="75" spans="1:42" s="737" customFormat="1" ht="18" customHeight="1" x14ac:dyDescent="0.2">
      <c r="A75" s="794" t="s">
        <v>3638</v>
      </c>
      <c r="B75" s="795">
        <v>6</v>
      </c>
      <c r="C75" s="795">
        <v>9</v>
      </c>
      <c r="D75" s="795">
        <v>10</v>
      </c>
      <c r="E75" s="795">
        <v>3</v>
      </c>
      <c r="F75" s="795">
        <v>6</v>
      </c>
      <c r="G75" s="795">
        <v>11</v>
      </c>
      <c r="H75" s="795">
        <v>1</v>
      </c>
      <c r="I75" s="796" t="s">
        <v>3303</v>
      </c>
      <c r="J75" s="796" t="s">
        <v>1534</v>
      </c>
      <c r="K75" s="795" t="s">
        <v>1700</v>
      </c>
      <c r="L75" s="797" t="s">
        <v>1682</v>
      </c>
      <c r="M75" s="794" t="s">
        <v>3351</v>
      </c>
      <c r="N75" s="798" t="s">
        <v>1809</v>
      </c>
      <c r="O75" s="794" t="s">
        <v>3352</v>
      </c>
      <c r="P75" s="798" t="s">
        <v>1687</v>
      </c>
      <c r="Q75" s="794" t="s">
        <v>3442</v>
      </c>
      <c r="R75" s="798" t="s">
        <v>1701</v>
      </c>
      <c r="S75" s="794" t="s">
        <v>3351</v>
      </c>
      <c r="T75" s="798" t="s">
        <v>1925</v>
      </c>
      <c r="U75" s="798" t="s">
        <v>1922</v>
      </c>
      <c r="V75" s="798" t="s">
        <v>2020</v>
      </c>
      <c r="W75" s="795"/>
      <c r="AB75" s="748"/>
      <c r="AC75" s="749"/>
      <c r="AD75" s="811" t="s">
        <v>3549</v>
      </c>
      <c r="AE75" s="750">
        <v>2</v>
      </c>
      <c r="AF75" s="750">
        <v>55</v>
      </c>
      <c r="AG75" s="812" t="s">
        <v>3550</v>
      </c>
      <c r="AH75" s="813" t="s">
        <v>3551</v>
      </c>
      <c r="AI75" s="814" t="s">
        <v>3552</v>
      </c>
      <c r="AJ75" s="809"/>
      <c r="AO75" s="1282"/>
      <c r="AP75" s="1282"/>
    </row>
    <row r="76" spans="1:42" s="737" customFormat="1" ht="18" customHeight="1" x14ac:dyDescent="0.2">
      <c r="A76" s="794" t="s">
        <v>3642</v>
      </c>
      <c r="B76" s="795">
        <v>7</v>
      </c>
      <c r="C76" s="795">
        <v>10</v>
      </c>
      <c r="D76" s="795">
        <v>15</v>
      </c>
      <c r="E76" s="795">
        <v>4</v>
      </c>
      <c r="F76" s="795">
        <v>8</v>
      </c>
      <c r="G76" s="795">
        <v>14</v>
      </c>
      <c r="H76" s="795">
        <v>2</v>
      </c>
      <c r="I76" s="796" t="s">
        <v>3303</v>
      </c>
      <c r="J76" s="796" t="s">
        <v>1534</v>
      </c>
      <c r="K76" s="795" t="s">
        <v>1700</v>
      </c>
      <c r="L76" s="797" t="s">
        <v>1682</v>
      </c>
      <c r="M76" s="794" t="s">
        <v>3351</v>
      </c>
      <c r="N76" s="798" t="s">
        <v>1809</v>
      </c>
      <c r="O76" s="794" t="s">
        <v>3352</v>
      </c>
      <c r="P76" s="798" t="s">
        <v>1687</v>
      </c>
      <c r="Q76" s="794" t="s">
        <v>3442</v>
      </c>
      <c r="R76" s="798" t="s">
        <v>1701</v>
      </c>
      <c r="S76" s="794" t="s">
        <v>3351</v>
      </c>
      <c r="T76" s="798" t="s">
        <v>1925</v>
      </c>
      <c r="U76" s="798" t="s">
        <v>1922</v>
      </c>
      <c r="V76" s="798" t="s">
        <v>2020</v>
      </c>
      <c r="W76" s="795"/>
      <c r="AB76" s="748"/>
      <c r="AC76" s="749"/>
      <c r="AD76" s="811" t="s">
        <v>3555</v>
      </c>
      <c r="AE76" s="750">
        <v>3</v>
      </c>
      <c r="AF76" s="750">
        <v>90</v>
      </c>
      <c r="AG76" s="812" t="s">
        <v>3556</v>
      </c>
      <c r="AH76" s="813" t="s">
        <v>3557</v>
      </c>
      <c r="AI76" s="814" t="s">
        <v>3558</v>
      </c>
      <c r="AJ76" s="809"/>
      <c r="AO76" s="1282"/>
      <c r="AP76" s="1282"/>
    </row>
    <row r="77" spans="1:42" s="737" customFormat="1" ht="18" customHeight="1" x14ac:dyDescent="0.2">
      <c r="A77" s="794" t="s">
        <v>3646</v>
      </c>
      <c r="B77" s="795">
        <v>8</v>
      </c>
      <c r="C77" s="795">
        <v>11</v>
      </c>
      <c r="D77" s="795">
        <v>20</v>
      </c>
      <c r="E77" s="795">
        <v>5</v>
      </c>
      <c r="F77" s="795">
        <v>10</v>
      </c>
      <c r="G77" s="795">
        <v>18</v>
      </c>
      <c r="H77" s="795">
        <v>2</v>
      </c>
      <c r="I77" s="796" t="s">
        <v>3303</v>
      </c>
      <c r="J77" s="796" t="s">
        <v>1534</v>
      </c>
      <c r="K77" s="795" t="s">
        <v>1700</v>
      </c>
      <c r="L77" s="797" t="s">
        <v>1682</v>
      </c>
      <c r="M77" s="794" t="s">
        <v>3351</v>
      </c>
      <c r="N77" s="798" t="s">
        <v>1809</v>
      </c>
      <c r="O77" s="794" t="s">
        <v>3352</v>
      </c>
      <c r="P77" s="798" t="s">
        <v>1687</v>
      </c>
      <c r="Q77" s="794" t="s">
        <v>3442</v>
      </c>
      <c r="R77" s="798" t="s">
        <v>1701</v>
      </c>
      <c r="S77" s="794" t="s">
        <v>3351</v>
      </c>
      <c r="T77" s="798" t="s">
        <v>1925</v>
      </c>
      <c r="U77" s="798" t="s">
        <v>1922</v>
      </c>
      <c r="V77" s="798" t="s">
        <v>2020</v>
      </c>
      <c r="W77" s="795"/>
      <c r="AB77" s="748"/>
      <c r="AC77" s="803"/>
      <c r="AD77" s="804" t="s">
        <v>3561</v>
      </c>
      <c r="AE77" s="805"/>
      <c r="AF77" s="805"/>
      <c r="AG77" s="806"/>
      <c r="AH77" s="807"/>
      <c r="AI77" s="808"/>
      <c r="AJ77" s="809"/>
      <c r="AO77" s="1282"/>
      <c r="AP77" s="1282"/>
    </row>
    <row r="78" spans="1:42" s="737" customFormat="1" ht="18" customHeight="1" x14ac:dyDescent="0.2">
      <c r="A78" s="794" t="s">
        <v>3651</v>
      </c>
      <c r="B78" s="795">
        <v>10</v>
      </c>
      <c r="C78" s="795">
        <v>13</v>
      </c>
      <c r="D78" s="795">
        <v>25</v>
      </c>
      <c r="E78" s="795">
        <v>6</v>
      </c>
      <c r="F78" s="795">
        <v>12</v>
      </c>
      <c r="G78" s="795">
        <v>21</v>
      </c>
      <c r="H78" s="795">
        <v>3</v>
      </c>
      <c r="I78" s="796" t="s">
        <v>3303</v>
      </c>
      <c r="J78" s="796" t="s">
        <v>1534</v>
      </c>
      <c r="K78" s="795" t="s">
        <v>1700</v>
      </c>
      <c r="L78" s="797" t="s">
        <v>1682</v>
      </c>
      <c r="M78" s="794" t="s">
        <v>3351</v>
      </c>
      <c r="N78" s="798" t="s">
        <v>1809</v>
      </c>
      <c r="O78" s="794" t="s">
        <v>3352</v>
      </c>
      <c r="P78" s="798" t="s">
        <v>1687</v>
      </c>
      <c r="Q78" s="794" t="s">
        <v>3442</v>
      </c>
      <c r="R78" s="798" t="s">
        <v>1701</v>
      </c>
      <c r="S78" s="794" t="s">
        <v>3351</v>
      </c>
      <c r="T78" s="798" t="s">
        <v>1925</v>
      </c>
      <c r="U78" s="798" t="s">
        <v>1922</v>
      </c>
      <c r="V78" s="798" t="s">
        <v>2020</v>
      </c>
      <c r="W78" s="795"/>
      <c r="AB78" s="748"/>
      <c r="AC78" s="749"/>
      <c r="AD78" s="811" t="s">
        <v>3564</v>
      </c>
      <c r="AE78" s="750">
        <v>1</v>
      </c>
      <c r="AF78" s="750">
        <v>25</v>
      </c>
      <c r="AG78" s="812" t="s">
        <v>3565</v>
      </c>
      <c r="AH78" s="813" t="s">
        <v>3566</v>
      </c>
      <c r="AI78" s="814"/>
      <c r="AJ78" s="809"/>
      <c r="AO78" s="1282"/>
      <c r="AP78" s="1282"/>
    </row>
    <row r="79" spans="1:42" s="737" customFormat="1" ht="18" customHeight="1" x14ac:dyDescent="0.2">
      <c r="A79" s="770" t="s">
        <v>3331</v>
      </c>
      <c r="B79" s="782"/>
      <c r="C79" s="782"/>
      <c r="D79" s="782"/>
      <c r="E79" s="782"/>
      <c r="F79" s="782"/>
      <c r="G79" s="782"/>
      <c r="H79" s="782"/>
      <c r="I79" s="782"/>
      <c r="J79" s="782"/>
      <c r="K79" s="782"/>
      <c r="L79" s="783"/>
      <c r="M79" s="782"/>
      <c r="N79" s="782"/>
      <c r="O79" s="782"/>
      <c r="P79" s="782"/>
      <c r="Q79" s="782"/>
      <c r="R79" s="782"/>
      <c r="S79" s="782"/>
      <c r="T79" s="782"/>
      <c r="U79" s="782"/>
      <c r="V79" s="782"/>
      <c r="W79" s="795"/>
      <c r="AB79" s="748"/>
      <c r="AC79" s="749"/>
      <c r="AD79" s="811" t="s">
        <v>3569</v>
      </c>
      <c r="AE79" s="750">
        <v>1</v>
      </c>
      <c r="AF79" s="750">
        <v>40</v>
      </c>
      <c r="AG79" s="812" t="s">
        <v>3570</v>
      </c>
      <c r="AH79" s="813" t="s">
        <v>3571</v>
      </c>
      <c r="AI79" s="814"/>
      <c r="AJ79" s="809"/>
      <c r="AO79" s="1282"/>
      <c r="AP79" s="1282"/>
    </row>
    <row r="80" spans="1:42" s="737" customFormat="1" ht="18" customHeight="1" x14ac:dyDescent="0.2">
      <c r="A80" s="746" t="s">
        <v>3340</v>
      </c>
      <c r="B80" s="789"/>
      <c r="C80" s="789"/>
      <c r="D80" s="789"/>
      <c r="E80" s="789"/>
      <c r="F80" s="789"/>
      <c r="G80" s="789"/>
      <c r="H80" s="789"/>
      <c r="I80" s="789"/>
      <c r="J80" s="789"/>
      <c r="K80" s="789"/>
      <c r="L80" s="790"/>
      <c r="M80" s="789"/>
      <c r="N80" s="789"/>
      <c r="O80" s="789"/>
      <c r="P80" s="789"/>
      <c r="Q80" s="789"/>
      <c r="R80" s="789"/>
      <c r="S80" s="789"/>
      <c r="T80" s="789"/>
      <c r="U80" s="789"/>
      <c r="V80" s="789"/>
      <c r="W80" s="795"/>
      <c r="AB80" s="748"/>
      <c r="AC80" s="749"/>
      <c r="AD80" s="811" t="s">
        <v>3573</v>
      </c>
      <c r="AE80" s="750">
        <v>2</v>
      </c>
      <c r="AF80" s="750">
        <v>75</v>
      </c>
      <c r="AG80" s="812" t="s">
        <v>3574</v>
      </c>
      <c r="AH80" s="813" t="s">
        <v>3575</v>
      </c>
      <c r="AI80" s="814" t="s">
        <v>3576</v>
      </c>
      <c r="AJ80" s="809"/>
      <c r="AO80" s="1282"/>
      <c r="AP80" s="1282"/>
    </row>
    <row r="81" spans="1:42" s="737" customFormat="1" ht="18" customHeight="1" x14ac:dyDescent="0.2">
      <c r="A81" s="794" t="s">
        <v>3660</v>
      </c>
      <c r="B81" s="795">
        <v>2</v>
      </c>
      <c r="C81" s="795">
        <v>4</v>
      </c>
      <c r="D81" s="795">
        <v>5</v>
      </c>
      <c r="E81" s="795">
        <v>1</v>
      </c>
      <c r="F81" s="795">
        <v>2</v>
      </c>
      <c r="G81" s="795">
        <v>4</v>
      </c>
      <c r="H81" s="795">
        <v>1</v>
      </c>
      <c r="I81" s="796" t="s">
        <v>3303</v>
      </c>
      <c r="J81" s="796" t="s">
        <v>1881</v>
      </c>
      <c r="K81" s="795" t="s">
        <v>1687</v>
      </c>
      <c r="L81" s="797" t="s">
        <v>1682</v>
      </c>
      <c r="M81" s="794" t="s">
        <v>3351</v>
      </c>
      <c r="N81" s="797" t="s">
        <v>1692</v>
      </c>
      <c r="O81" s="794" t="s">
        <v>3351</v>
      </c>
      <c r="P81" s="797" t="s">
        <v>1700</v>
      </c>
      <c r="Q81" s="794" t="s">
        <v>3351</v>
      </c>
      <c r="R81" s="797" t="s">
        <v>1701</v>
      </c>
      <c r="S81" s="794" t="s">
        <v>3352</v>
      </c>
      <c r="T81" s="798" t="s">
        <v>1925</v>
      </c>
      <c r="U81" s="798" t="s">
        <v>2019</v>
      </c>
      <c r="V81" s="798" t="s">
        <v>2024</v>
      </c>
      <c r="W81" s="795"/>
      <c r="AB81" s="748"/>
      <c r="AC81" s="749"/>
      <c r="AD81" s="811" t="s">
        <v>3578</v>
      </c>
      <c r="AE81" s="750">
        <v>2</v>
      </c>
      <c r="AF81" s="750">
        <v>75</v>
      </c>
      <c r="AG81" s="812" t="s">
        <v>3579</v>
      </c>
      <c r="AH81" s="813" t="s">
        <v>3580</v>
      </c>
      <c r="AI81" s="814" t="s">
        <v>3581</v>
      </c>
      <c r="AJ81" s="809"/>
      <c r="AO81" s="1282"/>
      <c r="AP81" s="1282"/>
    </row>
    <row r="82" spans="1:42" s="737" customFormat="1" ht="18" customHeight="1" x14ac:dyDescent="0.2">
      <c r="A82" s="794" t="s">
        <v>3664</v>
      </c>
      <c r="B82" s="795">
        <v>3</v>
      </c>
      <c r="C82" s="795">
        <v>5</v>
      </c>
      <c r="D82" s="795">
        <v>5</v>
      </c>
      <c r="E82" s="795">
        <v>1</v>
      </c>
      <c r="F82" s="795">
        <v>2</v>
      </c>
      <c r="G82" s="795">
        <v>4</v>
      </c>
      <c r="H82" s="795">
        <v>1</v>
      </c>
      <c r="I82" s="796" t="s">
        <v>3303</v>
      </c>
      <c r="J82" s="796" t="s">
        <v>1881</v>
      </c>
      <c r="K82" s="795" t="s">
        <v>1687</v>
      </c>
      <c r="L82" s="797" t="s">
        <v>1682</v>
      </c>
      <c r="M82" s="794" t="s">
        <v>3351</v>
      </c>
      <c r="N82" s="797" t="s">
        <v>1692</v>
      </c>
      <c r="O82" s="794" t="s">
        <v>3351</v>
      </c>
      <c r="P82" s="797" t="s">
        <v>1700</v>
      </c>
      <c r="Q82" s="794" t="s">
        <v>3351</v>
      </c>
      <c r="R82" s="797" t="s">
        <v>1701</v>
      </c>
      <c r="S82" s="794" t="s">
        <v>3352</v>
      </c>
      <c r="T82" s="798" t="s">
        <v>1925</v>
      </c>
      <c r="U82" s="798" t="s">
        <v>2019</v>
      </c>
      <c r="V82" s="798" t="s">
        <v>2024</v>
      </c>
      <c r="W82" s="795"/>
      <c r="AB82" s="748"/>
      <c r="AC82" s="803"/>
      <c r="AD82" s="811" t="s">
        <v>3584</v>
      </c>
      <c r="AE82" s="750">
        <v>3</v>
      </c>
      <c r="AF82" s="750">
        <v>95</v>
      </c>
      <c r="AG82" s="812" t="s">
        <v>3585</v>
      </c>
      <c r="AH82" s="813" t="s">
        <v>3586</v>
      </c>
      <c r="AI82" s="814" t="s">
        <v>3587</v>
      </c>
      <c r="AJ82" s="809"/>
      <c r="AO82" s="1282"/>
      <c r="AP82" s="1282"/>
    </row>
    <row r="83" spans="1:42" s="737" customFormat="1" ht="18" customHeight="1" x14ac:dyDescent="0.2">
      <c r="A83" s="794" t="s">
        <v>3669</v>
      </c>
      <c r="B83" s="795">
        <v>4</v>
      </c>
      <c r="C83" s="795">
        <v>6</v>
      </c>
      <c r="D83" s="795">
        <v>10</v>
      </c>
      <c r="E83" s="795">
        <v>2</v>
      </c>
      <c r="F83" s="795">
        <v>4</v>
      </c>
      <c r="G83" s="795">
        <v>7</v>
      </c>
      <c r="H83" s="795">
        <v>1</v>
      </c>
      <c r="I83" s="796" t="s">
        <v>3303</v>
      </c>
      <c r="J83" s="796" t="s">
        <v>1881</v>
      </c>
      <c r="K83" s="795" t="s">
        <v>1687</v>
      </c>
      <c r="L83" s="797" t="s">
        <v>1682</v>
      </c>
      <c r="M83" s="794" t="s">
        <v>3351</v>
      </c>
      <c r="N83" s="797" t="s">
        <v>1692</v>
      </c>
      <c r="O83" s="794" t="s">
        <v>3351</v>
      </c>
      <c r="P83" s="797" t="s">
        <v>1700</v>
      </c>
      <c r="Q83" s="794" t="s">
        <v>3351</v>
      </c>
      <c r="R83" s="797" t="s">
        <v>1701</v>
      </c>
      <c r="S83" s="794" t="s">
        <v>3352</v>
      </c>
      <c r="T83" s="798" t="s">
        <v>1925</v>
      </c>
      <c r="U83" s="798" t="s">
        <v>2019</v>
      </c>
      <c r="V83" s="798" t="s">
        <v>2024</v>
      </c>
      <c r="W83" s="795"/>
      <c r="AB83" s="748"/>
      <c r="AC83" s="803"/>
      <c r="AD83" s="804" t="s">
        <v>3590</v>
      </c>
      <c r="AE83" s="805"/>
      <c r="AF83" s="805"/>
      <c r="AG83" s="806"/>
      <c r="AH83" s="807"/>
      <c r="AI83" s="808"/>
      <c r="AJ83" s="809"/>
      <c r="AO83" s="1282"/>
      <c r="AP83" s="1282"/>
    </row>
    <row r="84" spans="1:42" s="737" customFormat="1" ht="18" customHeight="1" x14ac:dyDescent="0.2">
      <c r="A84" s="794" t="s">
        <v>3674</v>
      </c>
      <c r="B84" s="795">
        <v>5</v>
      </c>
      <c r="C84" s="795">
        <v>8</v>
      </c>
      <c r="D84" s="795">
        <v>15</v>
      </c>
      <c r="E84" s="795">
        <v>3</v>
      </c>
      <c r="F84" s="795">
        <v>6</v>
      </c>
      <c r="G84" s="795">
        <v>11</v>
      </c>
      <c r="H84" s="795">
        <v>1</v>
      </c>
      <c r="I84" s="796" t="s">
        <v>3303</v>
      </c>
      <c r="J84" s="796" t="s">
        <v>1881</v>
      </c>
      <c r="K84" s="795" t="s">
        <v>1687</v>
      </c>
      <c r="L84" s="797" t="s">
        <v>1682</v>
      </c>
      <c r="M84" s="794" t="s">
        <v>3351</v>
      </c>
      <c r="N84" s="797" t="s">
        <v>1692</v>
      </c>
      <c r="O84" s="794" t="s">
        <v>3351</v>
      </c>
      <c r="P84" s="797" t="s">
        <v>1700</v>
      </c>
      <c r="Q84" s="794" t="s">
        <v>3351</v>
      </c>
      <c r="R84" s="797" t="s">
        <v>1701</v>
      </c>
      <c r="S84" s="794" t="s">
        <v>3352</v>
      </c>
      <c r="T84" s="798" t="s">
        <v>1925</v>
      </c>
      <c r="U84" s="798" t="s">
        <v>2019</v>
      </c>
      <c r="V84" s="798" t="s">
        <v>2024</v>
      </c>
      <c r="W84" s="795"/>
      <c r="AB84" s="748"/>
      <c r="AC84" s="824"/>
      <c r="AD84" s="825" t="s">
        <v>3592</v>
      </c>
      <c r="AE84" s="826">
        <v>1</v>
      </c>
      <c r="AF84" s="826">
        <v>35</v>
      </c>
      <c r="AG84" s="827" t="s">
        <v>3593</v>
      </c>
      <c r="AH84" s="828" t="s">
        <v>3594</v>
      </c>
      <c r="AI84" s="814" t="s">
        <v>3595</v>
      </c>
      <c r="AJ84" s="809"/>
      <c r="AO84" s="1282"/>
      <c r="AP84" s="1282"/>
    </row>
    <row r="85" spans="1:42" s="737" customFormat="1" ht="18" customHeight="1" x14ac:dyDescent="0.2">
      <c r="A85" s="794" t="s">
        <v>3676</v>
      </c>
      <c r="B85" s="795">
        <v>9</v>
      </c>
      <c r="C85" s="795">
        <v>12</v>
      </c>
      <c r="D85" s="795">
        <v>20</v>
      </c>
      <c r="E85" s="795">
        <v>4</v>
      </c>
      <c r="F85" s="795">
        <v>8</v>
      </c>
      <c r="G85" s="795">
        <v>14</v>
      </c>
      <c r="H85" s="795">
        <v>1</v>
      </c>
      <c r="I85" s="796" t="s">
        <v>3303</v>
      </c>
      <c r="J85" s="796" t="s">
        <v>1881</v>
      </c>
      <c r="K85" s="795" t="s">
        <v>1687</v>
      </c>
      <c r="L85" s="797" t="s">
        <v>1682</v>
      </c>
      <c r="M85" s="794" t="s">
        <v>3351</v>
      </c>
      <c r="N85" s="797" t="s">
        <v>1692</v>
      </c>
      <c r="O85" s="794" t="s">
        <v>3351</v>
      </c>
      <c r="P85" s="797" t="s">
        <v>1700</v>
      </c>
      <c r="Q85" s="794" t="s">
        <v>3351</v>
      </c>
      <c r="R85" s="797" t="s">
        <v>1701</v>
      </c>
      <c r="S85" s="794" t="s">
        <v>3352</v>
      </c>
      <c r="T85" s="798" t="s">
        <v>1925</v>
      </c>
      <c r="U85" s="798" t="s">
        <v>2019</v>
      </c>
      <c r="V85" s="798" t="s">
        <v>2024</v>
      </c>
      <c r="W85" s="795"/>
      <c r="AB85" s="748"/>
      <c r="AC85" s="824"/>
      <c r="AD85" s="825" t="s">
        <v>3598</v>
      </c>
      <c r="AE85" s="826">
        <v>1</v>
      </c>
      <c r="AF85" s="826">
        <v>50</v>
      </c>
      <c r="AG85" s="827" t="s">
        <v>3599</v>
      </c>
      <c r="AH85" s="828" t="s">
        <v>3600</v>
      </c>
      <c r="AI85" s="814" t="s">
        <v>3601</v>
      </c>
      <c r="AJ85" s="809"/>
      <c r="AO85" s="1282"/>
      <c r="AP85" s="1282"/>
    </row>
    <row r="86" spans="1:42" s="737" customFormat="1" ht="18" customHeight="1" x14ac:dyDescent="0.2">
      <c r="A86" s="794" t="s">
        <v>3680</v>
      </c>
      <c r="B86" s="795">
        <v>12</v>
      </c>
      <c r="C86" s="795">
        <v>15</v>
      </c>
      <c r="D86" s="795">
        <v>25</v>
      </c>
      <c r="E86" s="795">
        <v>5</v>
      </c>
      <c r="F86" s="795">
        <v>10</v>
      </c>
      <c r="G86" s="795">
        <v>18</v>
      </c>
      <c r="H86" s="795">
        <v>1</v>
      </c>
      <c r="I86" s="796" t="s">
        <v>3303</v>
      </c>
      <c r="J86" s="796" t="s">
        <v>1881</v>
      </c>
      <c r="K86" s="795" t="s">
        <v>1687</v>
      </c>
      <c r="L86" s="797" t="s">
        <v>1682</v>
      </c>
      <c r="M86" s="794" t="s">
        <v>3351</v>
      </c>
      <c r="N86" s="797" t="s">
        <v>1692</v>
      </c>
      <c r="O86" s="794" t="s">
        <v>3351</v>
      </c>
      <c r="P86" s="797" t="s">
        <v>1700</v>
      </c>
      <c r="Q86" s="794" t="s">
        <v>3351</v>
      </c>
      <c r="R86" s="797" t="s">
        <v>1701</v>
      </c>
      <c r="S86" s="794" t="s">
        <v>3352</v>
      </c>
      <c r="T86" s="798" t="s">
        <v>1925</v>
      </c>
      <c r="U86" s="798" t="s">
        <v>2019</v>
      </c>
      <c r="V86" s="798" t="s">
        <v>2024</v>
      </c>
      <c r="W86" s="795"/>
      <c r="AB86" s="748"/>
      <c r="AC86" s="824"/>
      <c r="AD86" s="825" t="s">
        <v>3604</v>
      </c>
      <c r="AE86" s="826">
        <v>2</v>
      </c>
      <c r="AF86" s="826">
        <v>40</v>
      </c>
      <c r="AG86" s="827" t="s">
        <v>3605</v>
      </c>
      <c r="AH86" s="828" t="s">
        <v>3606</v>
      </c>
      <c r="AI86" s="814" t="s">
        <v>3439</v>
      </c>
      <c r="AJ86" s="809"/>
      <c r="AO86" s="1282"/>
      <c r="AP86" s="1282"/>
    </row>
    <row r="87" spans="1:42" s="737" customFormat="1" ht="18" customHeight="1" x14ac:dyDescent="0.2">
      <c r="A87" s="794" t="s">
        <v>3684</v>
      </c>
      <c r="B87" s="795">
        <v>14</v>
      </c>
      <c r="C87" s="795">
        <v>18</v>
      </c>
      <c r="D87" s="795">
        <v>30</v>
      </c>
      <c r="E87" s="795">
        <v>8</v>
      </c>
      <c r="F87" s="795">
        <v>16</v>
      </c>
      <c r="G87" s="795">
        <v>28</v>
      </c>
      <c r="H87" s="795">
        <v>1</v>
      </c>
      <c r="I87" s="796" t="s">
        <v>3303</v>
      </c>
      <c r="J87" s="796" t="s">
        <v>1881</v>
      </c>
      <c r="K87" s="795" t="s">
        <v>1687</v>
      </c>
      <c r="L87" s="797" t="s">
        <v>1682</v>
      </c>
      <c r="M87" s="794" t="s">
        <v>3351</v>
      </c>
      <c r="N87" s="797" t="s">
        <v>1692</v>
      </c>
      <c r="O87" s="794" t="s">
        <v>3351</v>
      </c>
      <c r="P87" s="797" t="s">
        <v>1700</v>
      </c>
      <c r="Q87" s="794" t="s">
        <v>3351</v>
      </c>
      <c r="R87" s="797" t="s">
        <v>1701</v>
      </c>
      <c r="S87" s="794" t="s">
        <v>3352</v>
      </c>
      <c r="T87" s="798" t="s">
        <v>1925</v>
      </c>
      <c r="U87" s="798" t="s">
        <v>2019</v>
      </c>
      <c r="V87" s="798" t="s">
        <v>2024</v>
      </c>
      <c r="W87" s="795"/>
      <c r="AB87" s="748"/>
      <c r="AC87" s="824"/>
      <c r="AD87" s="825" t="s">
        <v>3611</v>
      </c>
      <c r="AE87" s="826">
        <v>2</v>
      </c>
      <c r="AF87" s="826">
        <v>65</v>
      </c>
      <c r="AG87" s="827" t="s">
        <v>3612</v>
      </c>
      <c r="AH87" s="828" t="s">
        <v>3613</v>
      </c>
      <c r="AI87" s="814" t="s">
        <v>3614</v>
      </c>
      <c r="AJ87" s="809"/>
      <c r="AO87" s="1282"/>
      <c r="AP87" s="1282"/>
    </row>
    <row r="88" spans="1:42" s="737" customFormat="1" ht="18" customHeight="1" x14ac:dyDescent="0.2">
      <c r="A88" s="794" t="s">
        <v>3688</v>
      </c>
      <c r="B88" s="795">
        <v>18</v>
      </c>
      <c r="C88" s="795">
        <v>22</v>
      </c>
      <c r="D88" s="795">
        <v>35</v>
      </c>
      <c r="E88" s="795">
        <v>10</v>
      </c>
      <c r="F88" s="795">
        <v>20</v>
      </c>
      <c r="G88" s="795">
        <v>35</v>
      </c>
      <c r="H88" s="795">
        <v>2</v>
      </c>
      <c r="I88" s="796" t="s">
        <v>3303</v>
      </c>
      <c r="J88" s="796" t="s">
        <v>1881</v>
      </c>
      <c r="K88" s="795" t="s">
        <v>1687</v>
      </c>
      <c r="L88" s="797" t="s">
        <v>1682</v>
      </c>
      <c r="M88" s="794" t="s">
        <v>3351</v>
      </c>
      <c r="N88" s="797" t="s">
        <v>1692</v>
      </c>
      <c r="O88" s="794" t="s">
        <v>3351</v>
      </c>
      <c r="P88" s="797" t="s">
        <v>1700</v>
      </c>
      <c r="Q88" s="794" t="s">
        <v>3351</v>
      </c>
      <c r="R88" s="797" t="s">
        <v>1701</v>
      </c>
      <c r="S88" s="794" t="s">
        <v>3352</v>
      </c>
      <c r="T88" s="798" t="s">
        <v>1925</v>
      </c>
      <c r="U88" s="798" t="s">
        <v>2019</v>
      </c>
      <c r="V88" s="798" t="s">
        <v>2024</v>
      </c>
      <c r="W88" s="795"/>
      <c r="AB88" s="748"/>
      <c r="AC88" s="824"/>
      <c r="AD88" s="825" t="s">
        <v>3616</v>
      </c>
      <c r="AE88" s="826">
        <v>2</v>
      </c>
      <c r="AF88" s="826">
        <v>60</v>
      </c>
      <c r="AG88" s="827" t="s">
        <v>3617</v>
      </c>
      <c r="AH88" s="828" t="s">
        <v>3618</v>
      </c>
      <c r="AI88" s="814" t="s">
        <v>3619</v>
      </c>
      <c r="AJ88" s="809"/>
      <c r="AO88" s="1282"/>
      <c r="AP88" s="1282"/>
    </row>
    <row r="89" spans="1:42" s="737" customFormat="1" ht="18" customHeight="1" x14ac:dyDescent="0.2">
      <c r="A89" s="794" t="s">
        <v>3693</v>
      </c>
      <c r="B89" s="795">
        <v>22</v>
      </c>
      <c r="C89" s="795">
        <v>26</v>
      </c>
      <c r="D89" s="795">
        <v>40</v>
      </c>
      <c r="E89" s="795">
        <v>12</v>
      </c>
      <c r="F89" s="795">
        <v>24</v>
      </c>
      <c r="G89" s="795">
        <v>42</v>
      </c>
      <c r="H89" s="795">
        <v>2</v>
      </c>
      <c r="I89" s="796" t="s">
        <v>3303</v>
      </c>
      <c r="J89" s="796" t="s">
        <v>1881</v>
      </c>
      <c r="K89" s="795" t="s">
        <v>1687</v>
      </c>
      <c r="L89" s="797" t="s">
        <v>1682</v>
      </c>
      <c r="M89" s="794" t="s">
        <v>3351</v>
      </c>
      <c r="N89" s="797" t="s">
        <v>1692</v>
      </c>
      <c r="O89" s="794" t="s">
        <v>3351</v>
      </c>
      <c r="P89" s="797" t="s">
        <v>1700</v>
      </c>
      <c r="Q89" s="794" t="s">
        <v>3351</v>
      </c>
      <c r="R89" s="797" t="s">
        <v>1701</v>
      </c>
      <c r="S89" s="794" t="s">
        <v>3352</v>
      </c>
      <c r="T89" s="798" t="s">
        <v>1925</v>
      </c>
      <c r="U89" s="798" t="s">
        <v>2019</v>
      </c>
      <c r="V89" s="798" t="s">
        <v>2024</v>
      </c>
      <c r="W89" s="795"/>
      <c r="AB89" s="748"/>
      <c r="AC89" s="824"/>
      <c r="AD89" s="825" t="s">
        <v>3622</v>
      </c>
      <c r="AE89" s="826"/>
      <c r="AF89" s="826">
        <v>90</v>
      </c>
      <c r="AG89" s="827" t="s">
        <v>3623</v>
      </c>
      <c r="AH89" s="828" t="s">
        <v>3624</v>
      </c>
      <c r="AI89" s="814" t="s">
        <v>3625</v>
      </c>
      <c r="AJ89" s="809"/>
      <c r="AO89" s="1282"/>
      <c r="AP89" s="1282"/>
    </row>
    <row r="90" spans="1:42" s="737" customFormat="1" ht="18" customHeight="1" x14ac:dyDescent="0.2">
      <c r="A90" s="794" t="s">
        <v>3697</v>
      </c>
      <c r="B90" s="795">
        <v>26</v>
      </c>
      <c r="C90" s="795">
        <v>32</v>
      </c>
      <c r="D90" s="795">
        <v>45</v>
      </c>
      <c r="E90" s="795">
        <v>14</v>
      </c>
      <c r="F90" s="795">
        <v>28</v>
      </c>
      <c r="G90" s="795">
        <v>49</v>
      </c>
      <c r="H90" s="795">
        <v>3</v>
      </c>
      <c r="I90" s="796" t="s">
        <v>3303</v>
      </c>
      <c r="J90" s="796" t="s">
        <v>1881</v>
      </c>
      <c r="K90" s="795" t="s">
        <v>1687</v>
      </c>
      <c r="L90" s="797" t="s">
        <v>1682</v>
      </c>
      <c r="M90" s="794" t="s">
        <v>3351</v>
      </c>
      <c r="N90" s="797" t="s">
        <v>1692</v>
      </c>
      <c r="O90" s="794" t="s">
        <v>3351</v>
      </c>
      <c r="P90" s="797" t="s">
        <v>1700</v>
      </c>
      <c r="Q90" s="794" t="s">
        <v>3351</v>
      </c>
      <c r="R90" s="797" t="s">
        <v>1701</v>
      </c>
      <c r="S90" s="794" t="s">
        <v>3352</v>
      </c>
      <c r="T90" s="798" t="s">
        <v>1925</v>
      </c>
      <c r="U90" s="798" t="s">
        <v>2019</v>
      </c>
      <c r="V90" s="798" t="s">
        <v>2024</v>
      </c>
      <c r="W90" s="795"/>
      <c r="AB90" s="748"/>
      <c r="AC90" s="832"/>
      <c r="AD90" s="833" t="s">
        <v>3628</v>
      </c>
      <c r="AE90" s="834"/>
      <c r="AF90" s="834"/>
      <c r="AG90" s="835"/>
      <c r="AH90" s="836"/>
      <c r="AI90" s="808"/>
      <c r="AJ90" s="809"/>
      <c r="AO90" s="1282"/>
      <c r="AP90" s="1282"/>
    </row>
    <row r="91" spans="1:42" s="737" customFormat="1" ht="18" customHeight="1" x14ac:dyDescent="0.2">
      <c r="A91" s="794" t="s">
        <v>3699</v>
      </c>
      <c r="B91" s="795">
        <v>30</v>
      </c>
      <c r="C91" s="795">
        <v>36</v>
      </c>
      <c r="D91" s="795">
        <v>50</v>
      </c>
      <c r="E91" s="795">
        <v>16</v>
      </c>
      <c r="F91" s="795">
        <v>32</v>
      </c>
      <c r="G91" s="795">
        <v>56</v>
      </c>
      <c r="H91" s="795">
        <v>3</v>
      </c>
      <c r="I91" s="796" t="s">
        <v>3303</v>
      </c>
      <c r="J91" s="796" t="s">
        <v>1881</v>
      </c>
      <c r="K91" s="795" t="s">
        <v>1687</v>
      </c>
      <c r="L91" s="797" t="s">
        <v>1682</v>
      </c>
      <c r="M91" s="794" t="s">
        <v>3351</v>
      </c>
      <c r="N91" s="797" t="s">
        <v>1692</v>
      </c>
      <c r="O91" s="794" t="s">
        <v>3351</v>
      </c>
      <c r="P91" s="797" t="s">
        <v>1700</v>
      </c>
      <c r="Q91" s="794" t="s">
        <v>3351</v>
      </c>
      <c r="R91" s="797" t="s">
        <v>1701</v>
      </c>
      <c r="S91" s="794" t="s">
        <v>3352</v>
      </c>
      <c r="T91" s="798" t="s">
        <v>1925</v>
      </c>
      <c r="U91" s="798" t="s">
        <v>2019</v>
      </c>
      <c r="V91" s="798" t="s">
        <v>2024</v>
      </c>
      <c r="W91" s="795"/>
      <c r="AB91" s="748"/>
      <c r="AC91" s="824"/>
      <c r="AD91" s="825" t="s">
        <v>3631</v>
      </c>
      <c r="AE91" s="826">
        <v>1</v>
      </c>
      <c r="AF91" s="826">
        <v>20</v>
      </c>
      <c r="AG91" s="827" t="s">
        <v>3632</v>
      </c>
      <c r="AH91" s="828" t="s">
        <v>3633</v>
      </c>
      <c r="AI91" s="814"/>
      <c r="AJ91" s="809"/>
      <c r="AO91" s="1282"/>
      <c r="AP91" s="1282"/>
    </row>
    <row r="92" spans="1:42" s="737" customFormat="1" ht="18" customHeight="1" x14ac:dyDescent="0.2">
      <c r="A92" s="746" t="s">
        <v>3343</v>
      </c>
      <c r="B92" s="789"/>
      <c r="C92" s="789"/>
      <c r="D92" s="789"/>
      <c r="E92" s="789"/>
      <c r="F92" s="789"/>
      <c r="G92" s="789"/>
      <c r="H92" s="789"/>
      <c r="I92" s="789"/>
      <c r="J92" s="789"/>
      <c r="K92" s="789"/>
      <c r="L92" s="790"/>
      <c r="M92" s="789"/>
      <c r="N92" s="789"/>
      <c r="O92" s="789"/>
      <c r="P92" s="789"/>
      <c r="Q92" s="789"/>
      <c r="R92" s="789"/>
      <c r="S92" s="789"/>
      <c r="T92" s="789"/>
      <c r="U92" s="789"/>
      <c r="V92" s="789"/>
      <c r="W92" s="795"/>
      <c r="AB92" s="748"/>
      <c r="AC92" s="824"/>
      <c r="AD92" s="825" t="s">
        <v>3635</v>
      </c>
      <c r="AE92" s="826">
        <v>1</v>
      </c>
      <c r="AF92" s="826">
        <v>20</v>
      </c>
      <c r="AG92" s="827" t="s">
        <v>3636</v>
      </c>
      <c r="AH92" s="828" t="s">
        <v>3637</v>
      </c>
      <c r="AI92" s="814"/>
      <c r="AJ92" s="809"/>
      <c r="AO92" s="1282"/>
      <c r="AP92" s="1282"/>
    </row>
    <row r="93" spans="1:42" s="737" customFormat="1" ht="18" customHeight="1" x14ac:dyDescent="0.2">
      <c r="A93" s="794" t="s">
        <v>3707</v>
      </c>
      <c r="B93" s="795">
        <v>4</v>
      </c>
      <c r="C93" s="795">
        <v>6</v>
      </c>
      <c r="D93" s="795">
        <v>10</v>
      </c>
      <c r="E93" s="795">
        <v>2</v>
      </c>
      <c r="F93" s="795">
        <v>4</v>
      </c>
      <c r="G93" s="795">
        <v>7</v>
      </c>
      <c r="H93" s="795">
        <v>1</v>
      </c>
      <c r="I93" s="796" t="s">
        <v>3308</v>
      </c>
      <c r="J93" s="796" t="s">
        <v>1881</v>
      </c>
      <c r="K93" s="795" t="s">
        <v>1687</v>
      </c>
      <c r="L93" s="797" t="s">
        <v>1682</v>
      </c>
      <c r="M93" s="794" t="s">
        <v>3351</v>
      </c>
      <c r="N93" s="798" t="s">
        <v>1692</v>
      </c>
      <c r="O93" s="794" t="s">
        <v>3351</v>
      </c>
      <c r="P93" s="798" t="s">
        <v>1700</v>
      </c>
      <c r="Q93" s="794" t="s">
        <v>3351</v>
      </c>
      <c r="R93" s="798" t="s">
        <v>1701</v>
      </c>
      <c r="S93" s="794" t="s">
        <v>3352</v>
      </c>
      <c r="T93" s="798" t="s">
        <v>1925</v>
      </c>
      <c r="U93" s="798" t="s">
        <v>2019</v>
      </c>
      <c r="V93" s="798" t="s">
        <v>2024</v>
      </c>
      <c r="W93" s="795"/>
      <c r="AB93" s="748"/>
      <c r="AC93" s="824"/>
      <c r="AD93" s="825" t="s">
        <v>3639</v>
      </c>
      <c r="AE93" s="826">
        <v>1</v>
      </c>
      <c r="AF93" s="826">
        <v>40</v>
      </c>
      <c r="AG93" s="827" t="s">
        <v>3640</v>
      </c>
      <c r="AH93" s="828" t="s">
        <v>3641</v>
      </c>
      <c r="AI93" s="814"/>
      <c r="AJ93" s="809"/>
      <c r="AO93" s="1282"/>
      <c r="AP93" s="1282"/>
    </row>
    <row r="94" spans="1:42" s="737" customFormat="1" ht="18" customHeight="1" x14ac:dyDescent="0.2">
      <c r="A94" s="794" t="s">
        <v>3712</v>
      </c>
      <c r="B94" s="795">
        <v>6</v>
      </c>
      <c r="C94" s="795">
        <v>9</v>
      </c>
      <c r="D94" s="795">
        <v>15</v>
      </c>
      <c r="E94" s="795">
        <v>4</v>
      </c>
      <c r="F94" s="795">
        <v>8</v>
      </c>
      <c r="G94" s="795">
        <v>14</v>
      </c>
      <c r="H94" s="795">
        <v>1</v>
      </c>
      <c r="I94" s="796" t="s">
        <v>3308</v>
      </c>
      <c r="J94" s="796" t="s">
        <v>1881</v>
      </c>
      <c r="K94" s="795" t="s">
        <v>1687</v>
      </c>
      <c r="L94" s="797" t="s">
        <v>1682</v>
      </c>
      <c r="M94" s="794" t="s">
        <v>3351</v>
      </c>
      <c r="N94" s="798" t="s">
        <v>1692</v>
      </c>
      <c r="O94" s="794" t="s">
        <v>3351</v>
      </c>
      <c r="P94" s="798" t="s">
        <v>1700</v>
      </c>
      <c r="Q94" s="794" t="s">
        <v>3351</v>
      </c>
      <c r="R94" s="798" t="s">
        <v>1701</v>
      </c>
      <c r="S94" s="794" t="s">
        <v>3352</v>
      </c>
      <c r="T94" s="798" t="s">
        <v>1925</v>
      </c>
      <c r="U94" s="798" t="s">
        <v>2019</v>
      </c>
      <c r="V94" s="798" t="s">
        <v>2024</v>
      </c>
      <c r="W94" s="795"/>
      <c r="AB94" s="748"/>
      <c r="AC94" s="824"/>
      <c r="AD94" s="825" t="s">
        <v>3643</v>
      </c>
      <c r="AE94" s="826">
        <v>2</v>
      </c>
      <c r="AF94" s="826">
        <v>40</v>
      </c>
      <c r="AG94" s="827" t="s">
        <v>3644</v>
      </c>
      <c r="AH94" s="828" t="s">
        <v>3645</v>
      </c>
      <c r="AI94" s="814"/>
      <c r="AJ94" s="809"/>
      <c r="AO94" s="1282"/>
      <c r="AP94" s="1282"/>
    </row>
    <row r="95" spans="1:42" s="737" customFormat="1" ht="18" customHeight="1" x14ac:dyDescent="0.2">
      <c r="A95" s="794" t="s">
        <v>3716</v>
      </c>
      <c r="B95" s="795">
        <v>9</v>
      </c>
      <c r="C95" s="795">
        <v>12</v>
      </c>
      <c r="D95" s="795">
        <v>20</v>
      </c>
      <c r="E95" s="795">
        <v>6</v>
      </c>
      <c r="F95" s="795">
        <v>12</v>
      </c>
      <c r="G95" s="795">
        <v>21</v>
      </c>
      <c r="H95" s="795">
        <v>1</v>
      </c>
      <c r="I95" s="796" t="s">
        <v>3308</v>
      </c>
      <c r="J95" s="796" t="s">
        <v>1881</v>
      </c>
      <c r="K95" s="795" t="s">
        <v>1687</v>
      </c>
      <c r="L95" s="797" t="s">
        <v>1682</v>
      </c>
      <c r="M95" s="794" t="s">
        <v>3351</v>
      </c>
      <c r="N95" s="798" t="s">
        <v>1692</v>
      </c>
      <c r="O95" s="794" t="s">
        <v>3351</v>
      </c>
      <c r="P95" s="798" t="s">
        <v>1700</v>
      </c>
      <c r="Q95" s="794" t="s">
        <v>3351</v>
      </c>
      <c r="R95" s="798" t="s">
        <v>1701</v>
      </c>
      <c r="S95" s="794" t="s">
        <v>3352</v>
      </c>
      <c r="T95" s="798" t="s">
        <v>1925</v>
      </c>
      <c r="U95" s="798" t="s">
        <v>2019</v>
      </c>
      <c r="V95" s="798" t="s">
        <v>2024</v>
      </c>
      <c r="W95" s="795"/>
      <c r="AB95" s="748"/>
      <c r="AC95" s="824"/>
      <c r="AD95" s="825" t="s">
        <v>3647</v>
      </c>
      <c r="AE95" s="826">
        <v>2</v>
      </c>
      <c r="AF95" s="826">
        <v>45</v>
      </c>
      <c r="AG95" s="827" t="s">
        <v>3648</v>
      </c>
      <c r="AH95" s="828" t="s">
        <v>3649</v>
      </c>
      <c r="AI95" s="814" t="s">
        <v>3650</v>
      </c>
      <c r="AJ95" s="809"/>
      <c r="AO95" s="1282"/>
      <c r="AP95" s="1282"/>
    </row>
    <row r="96" spans="1:42" s="737" customFormat="1" ht="18" customHeight="1" x14ac:dyDescent="0.2">
      <c r="A96" s="794" t="s">
        <v>3720</v>
      </c>
      <c r="B96" s="795">
        <v>12</v>
      </c>
      <c r="C96" s="795">
        <v>15</v>
      </c>
      <c r="D96" s="795">
        <v>35</v>
      </c>
      <c r="E96" s="795">
        <v>9</v>
      </c>
      <c r="F96" s="795">
        <v>18</v>
      </c>
      <c r="G96" s="795">
        <v>32</v>
      </c>
      <c r="H96" s="795">
        <v>2</v>
      </c>
      <c r="I96" s="796" t="s">
        <v>3308</v>
      </c>
      <c r="J96" s="796" t="s">
        <v>1881</v>
      </c>
      <c r="K96" s="795" t="s">
        <v>1687</v>
      </c>
      <c r="L96" s="797" t="s">
        <v>1682</v>
      </c>
      <c r="M96" s="794" t="s">
        <v>3351</v>
      </c>
      <c r="N96" s="798" t="s">
        <v>1692</v>
      </c>
      <c r="O96" s="794" t="s">
        <v>3351</v>
      </c>
      <c r="P96" s="798" t="s">
        <v>1700</v>
      </c>
      <c r="Q96" s="794" t="s">
        <v>3351</v>
      </c>
      <c r="R96" s="798" t="s">
        <v>1701</v>
      </c>
      <c r="S96" s="794" t="s">
        <v>3352</v>
      </c>
      <c r="T96" s="798" t="s">
        <v>1925</v>
      </c>
      <c r="U96" s="798" t="s">
        <v>2019</v>
      </c>
      <c r="V96" s="798" t="s">
        <v>2024</v>
      </c>
      <c r="W96" s="795"/>
      <c r="AB96" s="748"/>
      <c r="AC96" s="837"/>
      <c r="AD96" s="833" t="s">
        <v>3652</v>
      </c>
      <c r="AE96" s="838"/>
      <c r="AF96" s="838"/>
      <c r="AG96" s="839"/>
      <c r="AH96" s="840"/>
      <c r="AI96" s="841"/>
      <c r="AJ96" s="809"/>
      <c r="AO96" s="1282"/>
      <c r="AP96" s="1282"/>
    </row>
    <row r="97" spans="1:42" s="737" customFormat="1" ht="18" customHeight="1" x14ac:dyDescent="0.2">
      <c r="A97" s="794" t="s">
        <v>3722</v>
      </c>
      <c r="B97" s="795">
        <v>18</v>
      </c>
      <c r="C97" s="795">
        <v>22</v>
      </c>
      <c r="D97" s="795">
        <v>50</v>
      </c>
      <c r="E97" s="795">
        <v>12</v>
      </c>
      <c r="F97" s="795">
        <v>24</v>
      </c>
      <c r="G97" s="795">
        <v>42</v>
      </c>
      <c r="H97" s="795">
        <v>2</v>
      </c>
      <c r="I97" s="796" t="s">
        <v>3308</v>
      </c>
      <c r="J97" s="796" t="s">
        <v>1881</v>
      </c>
      <c r="K97" s="795" t="s">
        <v>1687</v>
      </c>
      <c r="L97" s="797" t="s">
        <v>1682</v>
      </c>
      <c r="M97" s="794" t="s">
        <v>3351</v>
      </c>
      <c r="N97" s="798" t="s">
        <v>1692</v>
      </c>
      <c r="O97" s="794" t="s">
        <v>3351</v>
      </c>
      <c r="P97" s="798" t="s">
        <v>1700</v>
      </c>
      <c r="Q97" s="794" t="s">
        <v>3351</v>
      </c>
      <c r="R97" s="798" t="s">
        <v>1701</v>
      </c>
      <c r="S97" s="794" t="s">
        <v>3352</v>
      </c>
      <c r="T97" s="798" t="s">
        <v>1925</v>
      </c>
      <c r="U97" s="798" t="s">
        <v>2019</v>
      </c>
      <c r="V97" s="798" t="s">
        <v>2024</v>
      </c>
      <c r="W97" s="795"/>
      <c r="AB97" s="748"/>
      <c r="AC97" s="824"/>
      <c r="AD97" s="825" t="s">
        <v>3653</v>
      </c>
      <c r="AE97" s="826">
        <v>1</v>
      </c>
      <c r="AF97" s="826">
        <v>35</v>
      </c>
      <c r="AG97" s="842" t="s">
        <v>3654</v>
      </c>
      <c r="AH97" s="828" t="s">
        <v>3655</v>
      </c>
      <c r="AI97" s="814" t="s">
        <v>3656</v>
      </c>
      <c r="AJ97" s="809"/>
      <c r="AO97" s="1282"/>
      <c r="AP97" s="1282"/>
    </row>
    <row r="98" spans="1:42" s="737" customFormat="1" ht="18" customHeight="1" x14ac:dyDescent="0.2">
      <c r="A98" s="794" t="s">
        <v>3726</v>
      </c>
      <c r="B98" s="795">
        <v>26</v>
      </c>
      <c r="C98" s="795">
        <v>32</v>
      </c>
      <c r="D98" s="795">
        <v>65</v>
      </c>
      <c r="E98" s="795">
        <v>15</v>
      </c>
      <c r="F98" s="795">
        <v>30</v>
      </c>
      <c r="G98" s="795">
        <v>53</v>
      </c>
      <c r="H98" s="795">
        <v>3</v>
      </c>
      <c r="I98" s="796" t="s">
        <v>3308</v>
      </c>
      <c r="J98" s="796" t="s">
        <v>1881</v>
      </c>
      <c r="K98" s="795" t="s">
        <v>1687</v>
      </c>
      <c r="L98" s="797" t="s">
        <v>1682</v>
      </c>
      <c r="M98" s="794" t="s">
        <v>3351</v>
      </c>
      <c r="N98" s="798" t="s">
        <v>1692</v>
      </c>
      <c r="O98" s="794" t="s">
        <v>3351</v>
      </c>
      <c r="P98" s="798" t="s">
        <v>1700</v>
      </c>
      <c r="Q98" s="794" t="s">
        <v>3351</v>
      </c>
      <c r="R98" s="798" t="s">
        <v>1701</v>
      </c>
      <c r="S98" s="794" t="s">
        <v>3352</v>
      </c>
      <c r="T98" s="798" t="s">
        <v>1925</v>
      </c>
      <c r="U98" s="798" t="s">
        <v>2019</v>
      </c>
      <c r="V98" s="798" t="s">
        <v>2024</v>
      </c>
      <c r="W98" s="795"/>
      <c r="AB98" s="748"/>
      <c r="AC98" s="824"/>
      <c r="AD98" s="825" t="s">
        <v>3657</v>
      </c>
      <c r="AE98" s="826">
        <v>1</v>
      </c>
      <c r="AF98" s="826">
        <v>45</v>
      </c>
      <c r="AG98" s="842" t="s">
        <v>3658</v>
      </c>
      <c r="AH98" s="828" t="s">
        <v>3659</v>
      </c>
      <c r="AI98" s="814"/>
      <c r="AJ98" s="809"/>
      <c r="AO98" s="1282"/>
      <c r="AP98" s="1282"/>
    </row>
    <row r="99" spans="1:42" s="737" customFormat="1" ht="18" customHeight="1" x14ac:dyDescent="0.2">
      <c r="A99" s="794" t="s">
        <v>3731</v>
      </c>
      <c r="B99" s="795">
        <v>30</v>
      </c>
      <c r="C99" s="795">
        <v>36</v>
      </c>
      <c r="D99" s="795">
        <v>75</v>
      </c>
      <c r="E99" s="795">
        <v>18</v>
      </c>
      <c r="F99" s="795">
        <v>36</v>
      </c>
      <c r="G99" s="795">
        <v>63</v>
      </c>
      <c r="H99" s="795">
        <v>3</v>
      </c>
      <c r="I99" s="796" t="s">
        <v>3308</v>
      </c>
      <c r="J99" s="796" t="s">
        <v>1881</v>
      </c>
      <c r="K99" s="795" t="s">
        <v>1687</v>
      </c>
      <c r="L99" s="797" t="s">
        <v>1682</v>
      </c>
      <c r="M99" s="794" t="s">
        <v>3351</v>
      </c>
      <c r="N99" s="798" t="s">
        <v>1692</v>
      </c>
      <c r="O99" s="794" t="s">
        <v>3351</v>
      </c>
      <c r="P99" s="798" t="s">
        <v>1700</v>
      </c>
      <c r="Q99" s="794" t="s">
        <v>3351</v>
      </c>
      <c r="R99" s="798" t="s">
        <v>1701</v>
      </c>
      <c r="S99" s="794" t="s">
        <v>3352</v>
      </c>
      <c r="T99" s="798" t="s">
        <v>1925</v>
      </c>
      <c r="U99" s="798" t="s">
        <v>2019</v>
      </c>
      <c r="V99" s="798" t="s">
        <v>2024</v>
      </c>
      <c r="W99" s="795"/>
      <c r="AB99" s="748"/>
      <c r="AC99" s="824"/>
      <c r="AD99" s="825" t="s">
        <v>3661</v>
      </c>
      <c r="AE99" s="826">
        <v>2</v>
      </c>
      <c r="AF99" s="826">
        <v>75</v>
      </c>
      <c r="AG99" s="842" t="s">
        <v>3662</v>
      </c>
      <c r="AH99" s="828" t="s">
        <v>3663</v>
      </c>
      <c r="AI99" s="814"/>
      <c r="AJ99" s="809"/>
      <c r="AO99" s="1282"/>
      <c r="AP99" s="1282"/>
    </row>
    <row r="100" spans="1:42" s="737" customFormat="1" ht="18" customHeight="1" x14ac:dyDescent="0.2">
      <c r="A100" s="746" t="s">
        <v>3345</v>
      </c>
      <c r="B100" s="789"/>
      <c r="C100" s="789"/>
      <c r="D100" s="789"/>
      <c r="E100" s="789"/>
      <c r="F100" s="789"/>
      <c r="G100" s="789"/>
      <c r="H100" s="789"/>
      <c r="I100" s="789"/>
      <c r="J100" s="789"/>
      <c r="K100" s="789"/>
      <c r="L100" s="790"/>
      <c r="M100" s="789"/>
      <c r="N100" s="789"/>
      <c r="O100" s="789"/>
      <c r="P100" s="789"/>
      <c r="Q100" s="789"/>
      <c r="R100" s="789"/>
      <c r="S100" s="789"/>
      <c r="T100" s="789"/>
      <c r="U100" s="789"/>
      <c r="V100" s="789"/>
      <c r="W100" s="795"/>
      <c r="AB100" s="748"/>
      <c r="AC100" s="824"/>
      <c r="AD100" s="825" t="s">
        <v>3665</v>
      </c>
      <c r="AE100" s="826">
        <v>2</v>
      </c>
      <c r="AF100" s="826">
        <v>70</v>
      </c>
      <c r="AG100" s="842" t="s">
        <v>3666</v>
      </c>
      <c r="AH100" s="828" t="s">
        <v>3667</v>
      </c>
      <c r="AI100" s="814" t="s">
        <v>3668</v>
      </c>
      <c r="AJ100" s="809"/>
      <c r="AO100" s="1282"/>
      <c r="AP100" s="1282"/>
    </row>
    <row r="101" spans="1:42" s="737" customFormat="1" ht="18" customHeight="1" x14ac:dyDescent="0.2">
      <c r="A101" s="794" t="s">
        <v>3738</v>
      </c>
      <c r="B101" s="795">
        <v>1</v>
      </c>
      <c r="C101" s="795">
        <v>2</v>
      </c>
      <c r="D101" s="795">
        <v>5</v>
      </c>
      <c r="E101" s="795">
        <v>1</v>
      </c>
      <c r="F101" s="795">
        <v>2</v>
      </c>
      <c r="G101" s="795">
        <v>4</v>
      </c>
      <c r="H101" s="795">
        <v>1</v>
      </c>
      <c r="I101" s="796" t="s">
        <v>3303</v>
      </c>
      <c r="J101" s="796" t="s">
        <v>1881</v>
      </c>
      <c r="K101" s="795" t="s">
        <v>1687</v>
      </c>
      <c r="L101" s="797" t="s">
        <v>1682</v>
      </c>
      <c r="M101" s="794" t="s">
        <v>3351</v>
      </c>
      <c r="N101" s="797" t="s">
        <v>1692</v>
      </c>
      <c r="O101" s="794" t="s">
        <v>3351</v>
      </c>
      <c r="P101" s="797" t="s">
        <v>1700</v>
      </c>
      <c r="Q101" s="794" t="s">
        <v>3351</v>
      </c>
      <c r="R101" s="797" t="s">
        <v>1701</v>
      </c>
      <c r="S101" s="794" t="s">
        <v>3352</v>
      </c>
      <c r="T101" s="798" t="s">
        <v>1925</v>
      </c>
      <c r="U101" s="798" t="s">
        <v>2019</v>
      </c>
      <c r="V101" s="798" t="s">
        <v>2024</v>
      </c>
      <c r="W101" s="795"/>
      <c r="AB101" s="748"/>
      <c r="AC101" s="824"/>
      <c r="AD101" s="825" t="s">
        <v>3670</v>
      </c>
      <c r="AE101" s="826">
        <v>3</v>
      </c>
      <c r="AF101" s="826">
        <v>105</v>
      </c>
      <c r="AG101" s="842" t="s">
        <v>3671</v>
      </c>
      <c r="AH101" s="828" t="s">
        <v>3672</v>
      </c>
      <c r="AI101" s="814" t="s">
        <v>3673</v>
      </c>
      <c r="AJ101" s="809"/>
      <c r="AO101" s="1282"/>
      <c r="AP101" s="1282"/>
    </row>
    <row r="102" spans="1:42" s="737" customFormat="1" ht="18" customHeight="1" x14ac:dyDescent="0.2">
      <c r="A102" s="794" t="s">
        <v>3742</v>
      </c>
      <c r="B102" s="795">
        <v>2</v>
      </c>
      <c r="C102" s="795">
        <v>4</v>
      </c>
      <c r="D102" s="795">
        <v>5</v>
      </c>
      <c r="E102" s="795">
        <v>1</v>
      </c>
      <c r="F102" s="795">
        <v>2</v>
      </c>
      <c r="G102" s="795">
        <v>4</v>
      </c>
      <c r="H102" s="795">
        <v>1</v>
      </c>
      <c r="I102" s="796" t="s">
        <v>3303</v>
      </c>
      <c r="J102" s="796" t="s">
        <v>1881</v>
      </c>
      <c r="K102" s="795" t="s">
        <v>1687</v>
      </c>
      <c r="L102" s="797" t="s">
        <v>1682</v>
      </c>
      <c r="M102" s="794" t="s">
        <v>3351</v>
      </c>
      <c r="N102" s="797" t="s">
        <v>1692</v>
      </c>
      <c r="O102" s="794" t="s">
        <v>3351</v>
      </c>
      <c r="P102" s="797" t="s">
        <v>1700</v>
      </c>
      <c r="Q102" s="794" t="s">
        <v>3351</v>
      </c>
      <c r="R102" s="797" t="s">
        <v>1701</v>
      </c>
      <c r="S102" s="794" t="s">
        <v>3352</v>
      </c>
      <c r="T102" s="798" t="s">
        <v>1925</v>
      </c>
      <c r="U102" s="798" t="s">
        <v>2019</v>
      </c>
      <c r="V102" s="798" t="s">
        <v>2024</v>
      </c>
      <c r="W102" s="795"/>
      <c r="AB102" s="748"/>
      <c r="AC102" s="832"/>
      <c r="AD102" s="833" t="s">
        <v>3675</v>
      </c>
      <c r="AE102" s="838"/>
      <c r="AF102" s="834"/>
      <c r="AG102" s="843"/>
      <c r="AH102" s="836"/>
      <c r="AI102" s="808"/>
      <c r="AJ102" s="809"/>
      <c r="AO102" s="1282"/>
      <c r="AP102" s="1282"/>
    </row>
    <row r="103" spans="1:42" s="737" customFormat="1" ht="18" customHeight="1" x14ac:dyDescent="0.2">
      <c r="A103" s="794" t="s">
        <v>3747</v>
      </c>
      <c r="B103" s="795">
        <v>3</v>
      </c>
      <c r="C103" s="795">
        <v>5</v>
      </c>
      <c r="D103" s="795">
        <v>10</v>
      </c>
      <c r="E103" s="795">
        <v>1</v>
      </c>
      <c r="F103" s="795">
        <v>2</v>
      </c>
      <c r="G103" s="795">
        <v>4</v>
      </c>
      <c r="H103" s="795">
        <v>1</v>
      </c>
      <c r="I103" s="796" t="s">
        <v>3303</v>
      </c>
      <c r="J103" s="796" t="s">
        <v>1881</v>
      </c>
      <c r="K103" s="795" t="s">
        <v>1687</v>
      </c>
      <c r="L103" s="797" t="s">
        <v>1682</v>
      </c>
      <c r="M103" s="794" t="s">
        <v>3351</v>
      </c>
      <c r="N103" s="797" t="s">
        <v>1692</v>
      </c>
      <c r="O103" s="794" t="s">
        <v>3351</v>
      </c>
      <c r="P103" s="797" t="s">
        <v>1700</v>
      </c>
      <c r="Q103" s="794" t="s">
        <v>3351</v>
      </c>
      <c r="R103" s="797" t="s">
        <v>1701</v>
      </c>
      <c r="S103" s="794" t="s">
        <v>3352</v>
      </c>
      <c r="T103" s="798" t="s">
        <v>1925</v>
      </c>
      <c r="U103" s="798" t="s">
        <v>2019</v>
      </c>
      <c r="V103" s="798" t="s">
        <v>2024</v>
      </c>
      <c r="W103" s="795"/>
      <c r="AB103" s="748"/>
      <c r="AC103" s="824"/>
      <c r="AD103" s="825" t="s">
        <v>3677</v>
      </c>
      <c r="AE103" s="826">
        <v>1</v>
      </c>
      <c r="AF103" s="826">
        <v>30</v>
      </c>
      <c r="AG103" s="842" t="s">
        <v>3678</v>
      </c>
      <c r="AH103" s="828" t="s">
        <v>3679</v>
      </c>
      <c r="AI103" s="814"/>
      <c r="AJ103" s="809"/>
      <c r="AO103" s="1282"/>
      <c r="AP103" s="1282"/>
    </row>
    <row r="104" spans="1:42" s="737" customFormat="1" ht="18" customHeight="1" x14ac:dyDescent="0.2">
      <c r="A104" s="794" t="s">
        <v>3752</v>
      </c>
      <c r="B104" s="795">
        <v>4</v>
      </c>
      <c r="C104" s="795">
        <v>6</v>
      </c>
      <c r="D104" s="795">
        <v>10</v>
      </c>
      <c r="E104" s="795">
        <v>2</v>
      </c>
      <c r="F104" s="795">
        <v>4</v>
      </c>
      <c r="G104" s="795">
        <v>7</v>
      </c>
      <c r="H104" s="795">
        <v>1</v>
      </c>
      <c r="I104" s="796" t="s">
        <v>3303</v>
      </c>
      <c r="J104" s="796" t="s">
        <v>1881</v>
      </c>
      <c r="K104" s="795" t="s">
        <v>1687</v>
      </c>
      <c r="L104" s="797" t="s">
        <v>1682</v>
      </c>
      <c r="M104" s="794" t="s">
        <v>3351</v>
      </c>
      <c r="N104" s="797" t="s">
        <v>1692</v>
      </c>
      <c r="O104" s="794" t="s">
        <v>3351</v>
      </c>
      <c r="P104" s="797" t="s">
        <v>1700</v>
      </c>
      <c r="Q104" s="794" t="s">
        <v>3351</v>
      </c>
      <c r="R104" s="797" t="s">
        <v>1701</v>
      </c>
      <c r="S104" s="794" t="s">
        <v>3352</v>
      </c>
      <c r="T104" s="798" t="s">
        <v>1925</v>
      </c>
      <c r="U104" s="798" t="s">
        <v>2019</v>
      </c>
      <c r="V104" s="798" t="s">
        <v>2024</v>
      </c>
      <c r="W104" s="795"/>
      <c r="AB104" s="748"/>
      <c r="AC104" s="824"/>
      <c r="AD104" s="825" t="s">
        <v>3681</v>
      </c>
      <c r="AE104" s="826">
        <v>1</v>
      </c>
      <c r="AF104" s="826">
        <v>30</v>
      </c>
      <c r="AG104" s="842" t="s">
        <v>3682</v>
      </c>
      <c r="AH104" s="828" t="s">
        <v>3683</v>
      </c>
      <c r="AI104" s="814"/>
      <c r="AJ104" s="809"/>
      <c r="AO104" s="1282"/>
      <c r="AP104" s="1282"/>
    </row>
    <row r="105" spans="1:42" s="737" customFormat="1" ht="18" customHeight="1" x14ac:dyDescent="0.2">
      <c r="A105" s="794" t="s">
        <v>3754</v>
      </c>
      <c r="B105" s="795">
        <v>6</v>
      </c>
      <c r="C105" s="795">
        <v>9</v>
      </c>
      <c r="D105" s="795">
        <v>15</v>
      </c>
      <c r="E105" s="795">
        <v>3</v>
      </c>
      <c r="F105" s="795">
        <v>6</v>
      </c>
      <c r="G105" s="795">
        <v>11</v>
      </c>
      <c r="H105" s="795">
        <v>1</v>
      </c>
      <c r="I105" s="796" t="s">
        <v>3303</v>
      </c>
      <c r="J105" s="796" t="s">
        <v>1881</v>
      </c>
      <c r="K105" s="795" t="s">
        <v>1687</v>
      </c>
      <c r="L105" s="797" t="s">
        <v>1682</v>
      </c>
      <c r="M105" s="794" t="s">
        <v>3351</v>
      </c>
      <c r="N105" s="797" t="s">
        <v>1692</v>
      </c>
      <c r="O105" s="794" t="s">
        <v>3351</v>
      </c>
      <c r="P105" s="797" t="s">
        <v>1700</v>
      </c>
      <c r="Q105" s="794" t="s">
        <v>3351</v>
      </c>
      <c r="R105" s="797" t="s">
        <v>1701</v>
      </c>
      <c r="S105" s="794" t="s">
        <v>3352</v>
      </c>
      <c r="T105" s="798" t="s">
        <v>1925</v>
      </c>
      <c r="U105" s="798" t="s">
        <v>2019</v>
      </c>
      <c r="V105" s="798" t="s">
        <v>2024</v>
      </c>
      <c r="W105" s="795"/>
      <c r="AB105" s="748"/>
      <c r="AC105" s="824"/>
      <c r="AD105" s="825" t="s">
        <v>3685</v>
      </c>
      <c r="AE105" s="826">
        <v>2</v>
      </c>
      <c r="AF105" s="826">
        <v>70</v>
      </c>
      <c r="AG105" s="842" t="s">
        <v>3686</v>
      </c>
      <c r="AH105" s="828" t="s">
        <v>3687</v>
      </c>
      <c r="AI105" s="814"/>
      <c r="AJ105" s="809"/>
      <c r="AO105" s="1282"/>
      <c r="AP105" s="1282"/>
    </row>
    <row r="106" spans="1:42" s="737" customFormat="1" ht="18" customHeight="1" x14ac:dyDescent="0.2">
      <c r="A106" s="794" t="s">
        <v>3758</v>
      </c>
      <c r="B106" s="795">
        <v>8</v>
      </c>
      <c r="C106" s="795">
        <v>11</v>
      </c>
      <c r="D106" s="795">
        <v>20</v>
      </c>
      <c r="E106" s="795">
        <v>4</v>
      </c>
      <c r="F106" s="795">
        <v>8</v>
      </c>
      <c r="G106" s="795">
        <v>14</v>
      </c>
      <c r="H106" s="795">
        <v>1</v>
      </c>
      <c r="I106" s="796" t="s">
        <v>3303</v>
      </c>
      <c r="J106" s="796" t="s">
        <v>1881</v>
      </c>
      <c r="K106" s="795" t="s">
        <v>1687</v>
      </c>
      <c r="L106" s="797" t="s">
        <v>1682</v>
      </c>
      <c r="M106" s="794" t="s">
        <v>3351</v>
      </c>
      <c r="N106" s="797" t="s">
        <v>1692</v>
      </c>
      <c r="O106" s="794" t="s">
        <v>3351</v>
      </c>
      <c r="P106" s="797" t="s">
        <v>1700</v>
      </c>
      <c r="Q106" s="794" t="s">
        <v>3351</v>
      </c>
      <c r="R106" s="797" t="s">
        <v>1701</v>
      </c>
      <c r="S106" s="794" t="s">
        <v>3352</v>
      </c>
      <c r="T106" s="798" t="s">
        <v>1925</v>
      </c>
      <c r="U106" s="798" t="s">
        <v>2019</v>
      </c>
      <c r="V106" s="798" t="s">
        <v>2024</v>
      </c>
      <c r="W106" s="795"/>
      <c r="AB106" s="748"/>
      <c r="AC106" s="824"/>
      <c r="AD106" s="825" t="s">
        <v>3689</v>
      </c>
      <c r="AE106" s="826">
        <v>2</v>
      </c>
      <c r="AF106" s="826">
        <v>60</v>
      </c>
      <c r="AG106" s="842" t="s">
        <v>3690</v>
      </c>
      <c r="AH106" s="828" t="s">
        <v>3691</v>
      </c>
      <c r="AI106" s="814" t="s">
        <v>3692</v>
      </c>
      <c r="AJ106" s="809"/>
      <c r="AO106" s="1282"/>
      <c r="AP106" s="1282"/>
    </row>
    <row r="107" spans="1:42" s="737" customFormat="1" ht="18" customHeight="1" x14ac:dyDescent="0.2">
      <c r="A107" s="794" t="s">
        <v>3762</v>
      </c>
      <c r="B107" s="795">
        <v>10</v>
      </c>
      <c r="C107" s="795">
        <v>13</v>
      </c>
      <c r="D107" s="795">
        <v>25</v>
      </c>
      <c r="E107" s="795">
        <v>6</v>
      </c>
      <c r="F107" s="795">
        <v>12</v>
      </c>
      <c r="G107" s="795">
        <v>21</v>
      </c>
      <c r="H107" s="795">
        <v>1</v>
      </c>
      <c r="I107" s="796" t="s">
        <v>3303</v>
      </c>
      <c r="J107" s="796" t="s">
        <v>1881</v>
      </c>
      <c r="K107" s="795" t="s">
        <v>1687</v>
      </c>
      <c r="L107" s="797" t="s">
        <v>1682</v>
      </c>
      <c r="M107" s="794" t="s">
        <v>3351</v>
      </c>
      <c r="N107" s="797" t="s">
        <v>1692</v>
      </c>
      <c r="O107" s="794" t="s">
        <v>3351</v>
      </c>
      <c r="P107" s="797" t="s">
        <v>1700</v>
      </c>
      <c r="Q107" s="794" t="s">
        <v>3351</v>
      </c>
      <c r="R107" s="797" t="s">
        <v>1701</v>
      </c>
      <c r="S107" s="794" t="s">
        <v>3352</v>
      </c>
      <c r="T107" s="798" t="s">
        <v>1925</v>
      </c>
      <c r="U107" s="798" t="s">
        <v>2019</v>
      </c>
      <c r="V107" s="798" t="s">
        <v>2024</v>
      </c>
      <c r="W107" s="795"/>
      <c r="AB107" s="748"/>
      <c r="AC107" s="824"/>
      <c r="AD107" s="825" t="s">
        <v>3694</v>
      </c>
      <c r="AE107" s="826">
        <v>3</v>
      </c>
      <c r="AF107" s="826">
        <v>115</v>
      </c>
      <c r="AG107" s="842" t="s">
        <v>3695</v>
      </c>
      <c r="AH107" s="828" t="s">
        <v>3696</v>
      </c>
      <c r="AI107" s="814"/>
      <c r="AJ107" s="809"/>
      <c r="AO107" s="1282"/>
      <c r="AP107" s="1282"/>
    </row>
    <row r="108" spans="1:42" s="737" customFormat="1" ht="18" customHeight="1" x14ac:dyDescent="0.2">
      <c r="A108" s="794" t="s">
        <v>3765</v>
      </c>
      <c r="B108" s="795">
        <v>12</v>
      </c>
      <c r="C108" s="795">
        <v>15</v>
      </c>
      <c r="D108" s="795">
        <v>30</v>
      </c>
      <c r="E108" s="795">
        <v>8</v>
      </c>
      <c r="F108" s="795">
        <v>16</v>
      </c>
      <c r="G108" s="795">
        <v>28</v>
      </c>
      <c r="H108" s="795">
        <v>2</v>
      </c>
      <c r="I108" s="796" t="s">
        <v>3303</v>
      </c>
      <c r="J108" s="796" t="s">
        <v>1881</v>
      </c>
      <c r="K108" s="795" t="s">
        <v>1687</v>
      </c>
      <c r="L108" s="797" t="s">
        <v>1682</v>
      </c>
      <c r="M108" s="794" t="s">
        <v>3351</v>
      </c>
      <c r="N108" s="797" t="s">
        <v>1692</v>
      </c>
      <c r="O108" s="794" t="s">
        <v>3351</v>
      </c>
      <c r="P108" s="797" t="s">
        <v>1700</v>
      </c>
      <c r="Q108" s="794" t="s">
        <v>3351</v>
      </c>
      <c r="R108" s="797" t="s">
        <v>1701</v>
      </c>
      <c r="S108" s="794" t="s">
        <v>3352</v>
      </c>
      <c r="T108" s="798" t="s">
        <v>1925</v>
      </c>
      <c r="U108" s="798" t="s">
        <v>2019</v>
      </c>
      <c r="V108" s="798" t="s">
        <v>2024</v>
      </c>
      <c r="W108" s="795"/>
      <c r="AB108" s="748"/>
      <c r="AC108" s="832"/>
      <c r="AD108" s="833" t="s">
        <v>3698</v>
      </c>
      <c r="AE108" s="838"/>
      <c r="AF108" s="834"/>
      <c r="AG108" s="843"/>
      <c r="AH108" s="836"/>
      <c r="AI108" s="808"/>
      <c r="AJ108" s="809"/>
      <c r="AO108" s="1282"/>
      <c r="AP108" s="1282"/>
    </row>
    <row r="109" spans="1:42" s="737" customFormat="1" ht="18" customHeight="1" x14ac:dyDescent="0.2">
      <c r="A109" s="794" t="s">
        <v>3769</v>
      </c>
      <c r="B109" s="795">
        <v>16</v>
      </c>
      <c r="C109" s="795">
        <v>20</v>
      </c>
      <c r="D109" s="795">
        <v>35</v>
      </c>
      <c r="E109" s="795">
        <v>10</v>
      </c>
      <c r="F109" s="795">
        <v>20</v>
      </c>
      <c r="G109" s="795">
        <v>35</v>
      </c>
      <c r="H109" s="795">
        <v>2</v>
      </c>
      <c r="I109" s="796" t="s">
        <v>3303</v>
      </c>
      <c r="J109" s="796" t="s">
        <v>1881</v>
      </c>
      <c r="K109" s="795" t="s">
        <v>1687</v>
      </c>
      <c r="L109" s="797" t="s">
        <v>1682</v>
      </c>
      <c r="M109" s="794" t="s">
        <v>3351</v>
      </c>
      <c r="N109" s="797" t="s">
        <v>1692</v>
      </c>
      <c r="O109" s="794" t="s">
        <v>3351</v>
      </c>
      <c r="P109" s="797" t="s">
        <v>1700</v>
      </c>
      <c r="Q109" s="794" t="s">
        <v>3351</v>
      </c>
      <c r="R109" s="797" t="s">
        <v>1701</v>
      </c>
      <c r="S109" s="794" t="s">
        <v>3352</v>
      </c>
      <c r="T109" s="798" t="s">
        <v>1925</v>
      </c>
      <c r="U109" s="798" t="s">
        <v>2019</v>
      </c>
      <c r="V109" s="798" t="s">
        <v>2024</v>
      </c>
      <c r="W109" s="795"/>
      <c r="AB109" s="748"/>
      <c r="AC109" s="824"/>
      <c r="AD109" s="825" t="s">
        <v>3700</v>
      </c>
      <c r="AE109" s="826">
        <v>1</v>
      </c>
      <c r="AF109" s="826">
        <v>30</v>
      </c>
      <c r="AG109" s="842" t="s">
        <v>3701</v>
      </c>
      <c r="AH109" s="828" t="s">
        <v>3702</v>
      </c>
      <c r="AI109" s="814"/>
      <c r="AJ109" s="809"/>
      <c r="AO109" s="1282"/>
      <c r="AP109" s="1282"/>
    </row>
    <row r="110" spans="1:42" s="737" customFormat="1" ht="18" customHeight="1" x14ac:dyDescent="0.2">
      <c r="A110" s="794" t="s">
        <v>3773</v>
      </c>
      <c r="B110" s="795">
        <v>20</v>
      </c>
      <c r="C110" s="795">
        <v>24</v>
      </c>
      <c r="D110" s="795">
        <v>40</v>
      </c>
      <c r="E110" s="795">
        <v>12</v>
      </c>
      <c r="F110" s="795">
        <v>24</v>
      </c>
      <c r="G110" s="795">
        <v>42</v>
      </c>
      <c r="H110" s="795">
        <v>3</v>
      </c>
      <c r="I110" s="796" t="s">
        <v>3303</v>
      </c>
      <c r="J110" s="796" t="s">
        <v>1881</v>
      </c>
      <c r="K110" s="795" t="s">
        <v>1687</v>
      </c>
      <c r="L110" s="797" t="s">
        <v>1682</v>
      </c>
      <c r="M110" s="794" t="s">
        <v>3351</v>
      </c>
      <c r="N110" s="797" t="s">
        <v>1692</v>
      </c>
      <c r="O110" s="794" t="s">
        <v>3351</v>
      </c>
      <c r="P110" s="797" t="s">
        <v>1700</v>
      </c>
      <c r="Q110" s="794" t="s">
        <v>3351</v>
      </c>
      <c r="R110" s="797" t="s">
        <v>1701</v>
      </c>
      <c r="S110" s="794" t="s">
        <v>3352</v>
      </c>
      <c r="T110" s="798" t="s">
        <v>1925</v>
      </c>
      <c r="U110" s="798" t="s">
        <v>2019</v>
      </c>
      <c r="V110" s="798" t="s">
        <v>2024</v>
      </c>
      <c r="W110" s="795"/>
      <c r="AB110" s="748"/>
      <c r="AC110" s="824"/>
      <c r="AD110" s="825" t="s">
        <v>3703</v>
      </c>
      <c r="AE110" s="826">
        <v>1</v>
      </c>
      <c r="AF110" s="826">
        <v>25</v>
      </c>
      <c r="AG110" s="842" t="s">
        <v>3704</v>
      </c>
      <c r="AH110" s="828" t="s">
        <v>3705</v>
      </c>
      <c r="AI110" s="814" t="s">
        <v>3706</v>
      </c>
      <c r="AJ110" s="809"/>
      <c r="AO110" s="1282"/>
      <c r="AP110" s="1282"/>
    </row>
    <row r="111" spans="1:42" s="737" customFormat="1" ht="18" customHeight="1" x14ac:dyDescent="0.2">
      <c r="A111" s="794" t="s">
        <v>3777</v>
      </c>
      <c r="B111" s="795">
        <v>24</v>
      </c>
      <c r="C111" s="795">
        <v>29</v>
      </c>
      <c r="D111" s="795">
        <v>45</v>
      </c>
      <c r="E111" s="795">
        <v>14</v>
      </c>
      <c r="F111" s="795">
        <v>28</v>
      </c>
      <c r="G111" s="795">
        <v>49</v>
      </c>
      <c r="H111" s="795">
        <v>3</v>
      </c>
      <c r="I111" s="796" t="s">
        <v>3303</v>
      </c>
      <c r="J111" s="796" t="s">
        <v>1881</v>
      </c>
      <c r="K111" s="795" t="s">
        <v>1687</v>
      </c>
      <c r="L111" s="797" t="s">
        <v>1682</v>
      </c>
      <c r="M111" s="794" t="s">
        <v>3351</v>
      </c>
      <c r="N111" s="797" t="s">
        <v>1692</v>
      </c>
      <c r="O111" s="794" t="s">
        <v>3351</v>
      </c>
      <c r="P111" s="797" t="s">
        <v>1700</v>
      </c>
      <c r="Q111" s="794" t="s">
        <v>3351</v>
      </c>
      <c r="R111" s="797" t="s">
        <v>1701</v>
      </c>
      <c r="S111" s="794" t="s">
        <v>3352</v>
      </c>
      <c r="T111" s="798" t="s">
        <v>1925</v>
      </c>
      <c r="U111" s="798" t="s">
        <v>2019</v>
      </c>
      <c r="V111" s="798" t="s">
        <v>2024</v>
      </c>
      <c r="W111" s="795"/>
      <c r="AB111" s="748"/>
      <c r="AC111" s="824"/>
      <c r="AD111" s="825" t="s">
        <v>3708</v>
      </c>
      <c r="AE111" s="826">
        <v>2</v>
      </c>
      <c r="AF111" s="826">
        <v>70</v>
      </c>
      <c r="AG111" s="842" t="s">
        <v>3709</v>
      </c>
      <c r="AH111" s="828" t="s">
        <v>3710</v>
      </c>
      <c r="AI111" s="814" t="s">
        <v>3711</v>
      </c>
      <c r="AJ111" s="809"/>
      <c r="AO111" s="1282"/>
      <c r="AP111" s="1282"/>
    </row>
    <row r="112" spans="1:42" s="737" customFormat="1" ht="18" customHeight="1" x14ac:dyDescent="0.2">
      <c r="A112" s="746" t="s">
        <v>3348</v>
      </c>
      <c r="B112" s="789"/>
      <c r="C112" s="789"/>
      <c r="D112" s="789"/>
      <c r="E112" s="789"/>
      <c r="F112" s="789"/>
      <c r="G112" s="789"/>
      <c r="H112" s="789"/>
      <c r="I112" s="789"/>
      <c r="J112" s="789"/>
      <c r="K112" s="789"/>
      <c r="L112" s="790"/>
      <c r="M112" s="789"/>
      <c r="N112" s="789"/>
      <c r="O112" s="789"/>
      <c r="P112" s="789"/>
      <c r="Q112" s="789"/>
      <c r="R112" s="789"/>
      <c r="S112" s="789"/>
      <c r="T112" s="789"/>
      <c r="U112" s="789"/>
      <c r="V112" s="789"/>
      <c r="W112" s="795"/>
      <c r="AB112" s="748"/>
      <c r="AC112" s="824"/>
      <c r="AD112" s="825" t="s">
        <v>3713</v>
      </c>
      <c r="AE112" s="826">
        <v>2</v>
      </c>
      <c r="AF112" s="826">
        <v>65</v>
      </c>
      <c r="AG112" s="842" t="s">
        <v>3714</v>
      </c>
      <c r="AH112" s="828" t="s">
        <v>3715</v>
      </c>
      <c r="AI112" s="814" t="s">
        <v>3711</v>
      </c>
      <c r="AJ112" s="809"/>
      <c r="AO112" s="1282"/>
      <c r="AP112" s="1282"/>
    </row>
    <row r="113" spans="1:42" s="737" customFormat="1" ht="18" customHeight="1" x14ac:dyDescent="0.2">
      <c r="A113" s="794" t="s">
        <v>3783</v>
      </c>
      <c r="B113" s="795">
        <v>2</v>
      </c>
      <c r="C113" s="795">
        <v>4</v>
      </c>
      <c r="D113" s="795">
        <v>5</v>
      </c>
      <c r="E113" s="795">
        <v>1</v>
      </c>
      <c r="F113" s="795">
        <v>2</v>
      </c>
      <c r="G113" s="795">
        <v>4</v>
      </c>
      <c r="H113" s="795">
        <v>1</v>
      </c>
      <c r="I113" s="796" t="s">
        <v>3303</v>
      </c>
      <c r="J113" s="796" t="s">
        <v>1881</v>
      </c>
      <c r="K113" s="795" t="s">
        <v>1682</v>
      </c>
      <c r="L113" s="797" t="s">
        <v>1809</v>
      </c>
      <c r="M113" s="794" t="s">
        <v>3351</v>
      </c>
      <c r="N113" s="797" t="s">
        <v>1687</v>
      </c>
      <c r="O113" s="794" t="s">
        <v>3351</v>
      </c>
      <c r="P113" s="797" t="s">
        <v>1700</v>
      </c>
      <c r="Q113" s="794" t="s">
        <v>3351</v>
      </c>
      <c r="R113" s="797" t="s">
        <v>1701</v>
      </c>
      <c r="S113" s="794" t="s">
        <v>3352</v>
      </c>
      <c r="T113" s="798" t="s">
        <v>1925</v>
      </c>
      <c r="U113" s="798" t="s">
        <v>1922</v>
      </c>
      <c r="V113" s="798" t="s">
        <v>2019</v>
      </c>
      <c r="W113" s="795"/>
      <c r="AB113" s="748"/>
      <c r="AC113" s="824"/>
      <c r="AD113" s="825" t="s">
        <v>3717</v>
      </c>
      <c r="AE113" s="826">
        <v>2</v>
      </c>
      <c r="AF113" s="826">
        <v>100</v>
      </c>
      <c r="AG113" s="842" t="s">
        <v>3718</v>
      </c>
      <c r="AH113" s="828" t="s">
        <v>3719</v>
      </c>
      <c r="AI113" s="814"/>
      <c r="AJ113" s="809"/>
      <c r="AO113" s="1282"/>
      <c r="AP113" s="1282"/>
    </row>
    <row r="114" spans="1:42" s="737" customFormat="1" ht="18" customHeight="1" x14ac:dyDescent="0.2">
      <c r="A114" s="794" t="s">
        <v>3787</v>
      </c>
      <c r="B114" s="795">
        <v>3</v>
      </c>
      <c r="C114" s="795">
        <v>5</v>
      </c>
      <c r="D114" s="795">
        <v>5</v>
      </c>
      <c r="E114" s="795">
        <v>1</v>
      </c>
      <c r="F114" s="795">
        <v>2</v>
      </c>
      <c r="G114" s="795">
        <v>4</v>
      </c>
      <c r="H114" s="795">
        <v>1</v>
      </c>
      <c r="I114" s="796" t="s">
        <v>3303</v>
      </c>
      <c r="J114" s="796" t="s">
        <v>1881</v>
      </c>
      <c r="K114" s="795" t="s">
        <v>1682</v>
      </c>
      <c r="L114" s="797" t="s">
        <v>1809</v>
      </c>
      <c r="M114" s="794" t="s">
        <v>3351</v>
      </c>
      <c r="N114" s="797" t="s">
        <v>1687</v>
      </c>
      <c r="O114" s="794" t="s">
        <v>3351</v>
      </c>
      <c r="P114" s="797" t="s">
        <v>1700</v>
      </c>
      <c r="Q114" s="794" t="s">
        <v>3351</v>
      </c>
      <c r="R114" s="797" t="s">
        <v>1701</v>
      </c>
      <c r="S114" s="794" t="s">
        <v>3352</v>
      </c>
      <c r="T114" s="798" t="s">
        <v>1925</v>
      </c>
      <c r="U114" s="798" t="s">
        <v>1922</v>
      </c>
      <c r="V114" s="798" t="s">
        <v>2019</v>
      </c>
      <c r="W114" s="795"/>
      <c r="AB114" s="748"/>
      <c r="AC114" s="832"/>
      <c r="AD114" s="833" t="s">
        <v>3721</v>
      </c>
      <c r="AE114" s="838"/>
      <c r="AF114" s="834"/>
      <c r="AG114" s="843"/>
      <c r="AH114" s="836"/>
      <c r="AI114" s="808"/>
      <c r="AJ114" s="809"/>
      <c r="AO114" s="1282"/>
      <c r="AP114" s="1282"/>
    </row>
    <row r="115" spans="1:42" s="737" customFormat="1" ht="18" customHeight="1" x14ac:dyDescent="0.2">
      <c r="A115" s="794" t="s">
        <v>3792</v>
      </c>
      <c r="B115" s="795">
        <v>4</v>
      </c>
      <c r="C115" s="795">
        <v>6</v>
      </c>
      <c r="D115" s="795">
        <v>10</v>
      </c>
      <c r="E115" s="795">
        <v>2</v>
      </c>
      <c r="F115" s="795">
        <v>4</v>
      </c>
      <c r="G115" s="795">
        <v>7</v>
      </c>
      <c r="H115" s="795">
        <v>1</v>
      </c>
      <c r="I115" s="796" t="s">
        <v>3303</v>
      </c>
      <c r="J115" s="796" t="s">
        <v>1881</v>
      </c>
      <c r="K115" s="795" t="s">
        <v>1682</v>
      </c>
      <c r="L115" s="797" t="s">
        <v>1809</v>
      </c>
      <c r="M115" s="794" t="s">
        <v>3351</v>
      </c>
      <c r="N115" s="797" t="s">
        <v>1687</v>
      </c>
      <c r="O115" s="794" t="s">
        <v>3351</v>
      </c>
      <c r="P115" s="797" t="s">
        <v>1700</v>
      </c>
      <c r="Q115" s="794" t="s">
        <v>3351</v>
      </c>
      <c r="R115" s="797" t="s">
        <v>1701</v>
      </c>
      <c r="S115" s="794" t="s">
        <v>3352</v>
      </c>
      <c r="T115" s="798" t="s">
        <v>1925</v>
      </c>
      <c r="U115" s="798" t="s">
        <v>1922</v>
      </c>
      <c r="V115" s="798" t="s">
        <v>2019</v>
      </c>
      <c r="W115" s="795"/>
      <c r="AB115" s="748"/>
      <c r="AC115" s="824"/>
      <c r="AD115" s="825" t="s">
        <v>3723</v>
      </c>
      <c r="AE115" s="826">
        <v>1</v>
      </c>
      <c r="AF115" s="826">
        <v>35</v>
      </c>
      <c r="AG115" s="842" t="s">
        <v>3724</v>
      </c>
      <c r="AH115" s="828" t="s">
        <v>3725</v>
      </c>
      <c r="AI115" s="814"/>
      <c r="AJ115" s="809"/>
      <c r="AO115" s="1282"/>
      <c r="AP115" s="1282"/>
    </row>
    <row r="116" spans="1:42" s="737" customFormat="1" ht="18" customHeight="1" x14ac:dyDescent="0.2">
      <c r="A116" s="794" t="s">
        <v>3797</v>
      </c>
      <c r="B116" s="795">
        <v>5</v>
      </c>
      <c r="C116" s="795">
        <v>8</v>
      </c>
      <c r="D116" s="795">
        <v>15</v>
      </c>
      <c r="E116" s="795">
        <v>3</v>
      </c>
      <c r="F116" s="795">
        <v>6</v>
      </c>
      <c r="G116" s="795">
        <v>11</v>
      </c>
      <c r="H116" s="795">
        <v>1</v>
      </c>
      <c r="I116" s="796" t="s">
        <v>3303</v>
      </c>
      <c r="J116" s="796" t="s">
        <v>1881</v>
      </c>
      <c r="K116" s="795" t="s">
        <v>1682</v>
      </c>
      <c r="L116" s="797" t="s">
        <v>1809</v>
      </c>
      <c r="M116" s="794" t="s">
        <v>3351</v>
      </c>
      <c r="N116" s="797" t="s">
        <v>1687</v>
      </c>
      <c r="O116" s="794" t="s">
        <v>3351</v>
      </c>
      <c r="P116" s="797" t="s">
        <v>1700</v>
      </c>
      <c r="Q116" s="794" t="s">
        <v>3351</v>
      </c>
      <c r="R116" s="797" t="s">
        <v>1701</v>
      </c>
      <c r="S116" s="794" t="s">
        <v>3352</v>
      </c>
      <c r="T116" s="798" t="s">
        <v>1925</v>
      </c>
      <c r="U116" s="798" t="s">
        <v>1922</v>
      </c>
      <c r="V116" s="798" t="s">
        <v>2019</v>
      </c>
      <c r="W116" s="795"/>
      <c r="AB116" s="748"/>
      <c r="AC116" s="824"/>
      <c r="AD116" s="825" t="s">
        <v>3727</v>
      </c>
      <c r="AE116" s="826">
        <v>1</v>
      </c>
      <c r="AF116" s="826">
        <v>45</v>
      </c>
      <c r="AG116" s="842" t="s">
        <v>3728</v>
      </c>
      <c r="AH116" s="828" t="s">
        <v>3729</v>
      </c>
      <c r="AI116" s="814" t="s">
        <v>3730</v>
      </c>
      <c r="AJ116" s="809"/>
      <c r="AO116" s="1282"/>
      <c r="AP116" s="1282"/>
    </row>
    <row r="117" spans="1:42" s="737" customFormat="1" ht="18" customHeight="1" x14ac:dyDescent="0.2">
      <c r="A117" s="794" t="s">
        <v>3801</v>
      </c>
      <c r="B117" s="795">
        <v>8</v>
      </c>
      <c r="C117" s="795">
        <v>11</v>
      </c>
      <c r="D117" s="795">
        <v>20</v>
      </c>
      <c r="E117" s="795">
        <v>4</v>
      </c>
      <c r="F117" s="795">
        <v>8</v>
      </c>
      <c r="G117" s="795">
        <v>14</v>
      </c>
      <c r="H117" s="795">
        <v>1</v>
      </c>
      <c r="I117" s="796" t="s">
        <v>3303</v>
      </c>
      <c r="J117" s="796" t="s">
        <v>1881</v>
      </c>
      <c r="K117" s="795" t="s">
        <v>1682</v>
      </c>
      <c r="L117" s="797" t="s">
        <v>1809</v>
      </c>
      <c r="M117" s="794" t="s">
        <v>3351</v>
      </c>
      <c r="N117" s="797" t="s">
        <v>1687</v>
      </c>
      <c r="O117" s="794" t="s">
        <v>3351</v>
      </c>
      <c r="P117" s="797" t="s">
        <v>1700</v>
      </c>
      <c r="Q117" s="794" t="s">
        <v>3351</v>
      </c>
      <c r="R117" s="797" t="s">
        <v>1701</v>
      </c>
      <c r="S117" s="794" t="s">
        <v>3352</v>
      </c>
      <c r="T117" s="798" t="s">
        <v>1925</v>
      </c>
      <c r="U117" s="798" t="s">
        <v>1922</v>
      </c>
      <c r="V117" s="798" t="s">
        <v>2019</v>
      </c>
      <c r="W117" s="795"/>
      <c r="AB117" s="748"/>
      <c r="AC117" s="824"/>
      <c r="AD117" s="825" t="s">
        <v>3732</v>
      </c>
      <c r="AE117" s="826">
        <v>1</v>
      </c>
      <c r="AF117" s="826">
        <v>25</v>
      </c>
      <c r="AG117" s="842" t="s">
        <v>3733</v>
      </c>
      <c r="AH117" s="828" t="s">
        <v>3734</v>
      </c>
      <c r="AI117" s="814" t="s">
        <v>3730</v>
      </c>
      <c r="AJ117" s="809"/>
      <c r="AO117" s="1282"/>
      <c r="AP117" s="1282"/>
    </row>
    <row r="118" spans="1:42" s="737" customFormat="1" ht="18" customHeight="1" x14ac:dyDescent="0.2">
      <c r="A118" s="794" t="s">
        <v>3805</v>
      </c>
      <c r="B118" s="795">
        <v>12</v>
      </c>
      <c r="C118" s="795">
        <v>15</v>
      </c>
      <c r="D118" s="795">
        <v>25</v>
      </c>
      <c r="E118" s="795">
        <v>5</v>
      </c>
      <c r="F118" s="795">
        <v>10</v>
      </c>
      <c r="G118" s="795">
        <v>18</v>
      </c>
      <c r="H118" s="795">
        <v>1</v>
      </c>
      <c r="I118" s="796" t="s">
        <v>3303</v>
      </c>
      <c r="J118" s="796" t="s">
        <v>1881</v>
      </c>
      <c r="K118" s="795" t="s">
        <v>1682</v>
      </c>
      <c r="L118" s="797" t="s">
        <v>1809</v>
      </c>
      <c r="M118" s="794" t="s">
        <v>3351</v>
      </c>
      <c r="N118" s="797" t="s">
        <v>1687</v>
      </c>
      <c r="O118" s="794" t="s">
        <v>3351</v>
      </c>
      <c r="P118" s="797" t="s">
        <v>1700</v>
      </c>
      <c r="Q118" s="794" t="s">
        <v>3351</v>
      </c>
      <c r="R118" s="797" t="s">
        <v>1701</v>
      </c>
      <c r="S118" s="794" t="s">
        <v>3352</v>
      </c>
      <c r="T118" s="798" t="s">
        <v>1925</v>
      </c>
      <c r="U118" s="798" t="s">
        <v>1922</v>
      </c>
      <c r="V118" s="798" t="s">
        <v>2019</v>
      </c>
      <c r="W118" s="795"/>
      <c r="AB118" s="748"/>
      <c r="AC118" s="824"/>
      <c r="AD118" s="825" t="s">
        <v>3735</v>
      </c>
      <c r="AE118" s="826">
        <v>1</v>
      </c>
      <c r="AF118" s="826">
        <v>30</v>
      </c>
      <c r="AG118" s="842" t="s">
        <v>3733</v>
      </c>
      <c r="AH118" s="828" t="s">
        <v>3736</v>
      </c>
      <c r="AI118" s="814" t="s">
        <v>3737</v>
      </c>
      <c r="AJ118" s="809"/>
      <c r="AO118" s="1282"/>
      <c r="AP118" s="1282"/>
    </row>
    <row r="119" spans="1:42" s="737" customFormat="1" ht="18" customHeight="1" x14ac:dyDescent="0.2">
      <c r="A119" s="794" t="s">
        <v>3807</v>
      </c>
      <c r="B119" s="795">
        <v>14</v>
      </c>
      <c r="C119" s="795">
        <v>18</v>
      </c>
      <c r="D119" s="795">
        <v>30</v>
      </c>
      <c r="E119" s="795">
        <v>8</v>
      </c>
      <c r="F119" s="795">
        <v>16</v>
      </c>
      <c r="G119" s="795">
        <v>28</v>
      </c>
      <c r="H119" s="795">
        <v>1</v>
      </c>
      <c r="I119" s="796" t="s">
        <v>3303</v>
      </c>
      <c r="J119" s="796" t="s">
        <v>1881</v>
      </c>
      <c r="K119" s="795" t="s">
        <v>1682</v>
      </c>
      <c r="L119" s="797" t="s">
        <v>1809</v>
      </c>
      <c r="M119" s="794" t="s">
        <v>3351</v>
      </c>
      <c r="N119" s="797" t="s">
        <v>1687</v>
      </c>
      <c r="O119" s="794" t="s">
        <v>3351</v>
      </c>
      <c r="P119" s="797" t="s">
        <v>1700</v>
      </c>
      <c r="Q119" s="794" t="s">
        <v>3351</v>
      </c>
      <c r="R119" s="797" t="s">
        <v>1701</v>
      </c>
      <c r="S119" s="794" t="s">
        <v>3352</v>
      </c>
      <c r="T119" s="798" t="s">
        <v>1925</v>
      </c>
      <c r="U119" s="798" t="s">
        <v>1922</v>
      </c>
      <c r="V119" s="798" t="s">
        <v>2019</v>
      </c>
      <c r="W119" s="795"/>
      <c r="AB119" s="748"/>
      <c r="AC119" s="824"/>
      <c r="AD119" s="825" t="s">
        <v>3739</v>
      </c>
      <c r="AE119" s="826">
        <v>2</v>
      </c>
      <c r="AF119" s="826">
        <v>85</v>
      </c>
      <c r="AG119" s="842" t="s">
        <v>3740</v>
      </c>
      <c r="AH119" s="828" t="s">
        <v>3741</v>
      </c>
      <c r="AI119" s="814" t="s">
        <v>3730</v>
      </c>
      <c r="AJ119" s="809"/>
      <c r="AO119" s="1282"/>
      <c r="AP119" s="1282"/>
    </row>
    <row r="120" spans="1:42" s="737" customFormat="1" ht="18" customHeight="1" x14ac:dyDescent="0.2">
      <c r="A120" s="794" t="s">
        <v>3811</v>
      </c>
      <c r="B120" s="795">
        <v>18</v>
      </c>
      <c r="C120" s="795">
        <v>22</v>
      </c>
      <c r="D120" s="795">
        <v>35</v>
      </c>
      <c r="E120" s="795">
        <v>10</v>
      </c>
      <c r="F120" s="795">
        <v>20</v>
      </c>
      <c r="G120" s="795">
        <v>35</v>
      </c>
      <c r="H120" s="795">
        <v>2</v>
      </c>
      <c r="I120" s="796" t="s">
        <v>3303</v>
      </c>
      <c r="J120" s="796" t="s">
        <v>1881</v>
      </c>
      <c r="K120" s="795" t="s">
        <v>1682</v>
      </c>
      <c r="L120" s="797" t="s">
        <v>1809</v>
      </c>
      <c r="M120" s="794" t="s">
        <v>3351</v>
      </c>
      <c r="N120" s="797" t="s">
        <v>1687</v>
      </c>
      <c r="O120" s="794" t="s">
        <v>3351</v>
      </c>
      <c r="P120" s="797" t="s">
        <v>1700</v>
      </c>
      <c r="Q120" s="794" t="s">
        <v>3351</v>
      </c>
      <c r="R120" s="797" t="s">
        <v>1701</v>
      </c>
      <c r="S120" s="794" t="s">
        <v>3352</v>
      </c>
      <c r="T120" s="798" t="s">
        <v>1925</v>
      </c>
      <c r="U120" s="798" t="s">
        <v>1922</v>
      </c>
      <c r="V120" s="798" t="s">
        <v>2019</v>
      </c>
      <c r="W120" s="795"/>
      <c r="AB120" s="748"/>
      <c r="AC120" s="824"/>
      <c r="AD120" s="825" t="s">
        <v>3743</v>
      </c>
      <c r="AE120" s="826">
        <v>2</v>
      </c>
      <c r="AF120" s="826">
        <v>65</v>
      </c>
      <c r="AG120" s="842" t="s">
        <v>3744</v>
      </c>
      <c r="AH120" s="828" t="s">
        <v>3745</v>
      </c>
      <c r="AI120" s="814" t="s">
        <v>3746</v>
      </c>
      <c r="AJ120" s="809"/>
      <c r="AO120" s="1282"/>
      <c r="AP120" s="1282"/>
    </row>
    <row r="121" spans="1:42" s="737" customFormat="1" ht="18" customHeight="1" x14ac:dyDescent="0.2">
      <c r="A121" s="794" t="s">
        <v>3815</v>
      </c>
      <c r="B121" s="795">
        <v>22</v>
      </c>
      <c r="C121" s="795">
        <v>26</v>
      </c>
      <c r="D121" s="795">
        <v>40</v>
      </c>
      <c r="E121" s="795">
        <v>12</v>
      </c>
      <c r="F121" s="795">
        <v>24</v>
      </c>
      <c r="G121" s="795">
        <v>42</v>
      </c>
      <c r="H121" s="795">
        <v>2</v>
      </c>
      <c r="I121" s="796" t="s">
        <v>3303</v>
      </c>
      <c r="J121" s="796" t="s">
        <v>1881</v>
      </c>
      <c r="K121" s="795" t="s">
        <v>1682</v>
      </c>
      <c r="L121" s="797" t="s">
        <v>1809</v>
      </c>
      <c r="M121" s="794" t="s">
        <v>3351</v>
      </c>
      <c r="N121" s="797" t="s">
        <v>1687</v>
      </c>
      <c r="O121" s="794" t="s">
        <v>3351</v>
      </c>
      <c r="P121" s="797" t="s">
        <v>1700</v>
      </c>
      <c r="Q121" s="794" t="s">
        <v>3351</v>
      </c>
      <c r="R121" s="797" t="s">
        <v>1701</v>
      </c>
      <c r="S121" s="794" t="s">
        <v>3352</v>
      </c>
      <c r="T121" s="798" t="s">
        <v>1925</v>
      </c>
      <c r="U121" s="798" t="s">
        <v>1922</v>
      </c>
      <c r="V121" s="798" t="s">
        <v>2019</v>
      </c>
      <c r="W121" s="795"/>
      <c r="AB121" s="748"/>
      <c r="AC121" s="824"/>
      <c r="AD121" s="825" t="s">
        <v>3748</v>
      </c>
      <c r="AE121" s="826">
        <v>3</v>
      </c>
      <c r="AF121" s="826">
        <v>90</v>
      </c>
      <c r="AG121" s="842" t="s">
        <v>3749</v>
      </c>
      <c r="AH121" s="828" t="s">
        <v>3750</v>
      </c>
      <c r="AI121" s="814" t="s">
        <v>3751</v>
      </c>
      <c r="AJ121" s="809"/>
      <c r="AO121" s="1282"/>
      <c r="AP121" s="1282"/>
    </row>
    <row r="122" spans="1:42" s="737" customFormat="1" ht="18" customHeight="1" x14ac:dyDescent="0.2">
      <c r="A122" s="794" t="s">
        <v>3819</v>
      </c>
      <c r="B122" s="795">
        <v>26</v>
      </c>
      <c r="C122" s="795">
        <v>32</v>
      </c>
      <c r="D122" s="795">
        <v>45</v>
      </c>
      <c r="E122" s="795">
        <v>14</v>
      </c>
      <c r="F122" s="795">
        <v>28</v>
      </c>
      <c r="G122" s="795">
        <v>49</v>
      </c>
      <c r="H122" s="795">
        <v>3</v>
      </c>
      <c r="I122" s="796" t="s">
        <v>3303</v>
      </c>
      <c r="J122" s="796" t="s">
        <v>1881</v>
      </c>
      <c r="K122" s="795" t="s">
        <v>1682</v>
      </c>
      <c r="L122" s="797" t="s">
        <v>1809</v>
      </c>
      <c r="M122" s="794" t="s">
        <v>3351</v>
      </c>
      <c r="N122" s="797" t="s">
        <v>1687</v>
      </c>
      <c r="O122" s="794" t="s">
        <v>3351</v>
      </c>
      <c r="P122" s="797" t="s">
        <v>1700</v>
      </c>
      <c r="Q122" s="794" t="s">
        <v>3351</v>
      </c>
      <c r="R122" s="797" t="s">
        <v>1701</v>
      </c>
      <c r="S122" s="794" t="s">
        <v>3352</v>
      </c>
      <c r="T122" s="798" t="s">
        <v>1925</v>
      </c>
      <c r="U122" s="798" t="s">
        <v>1922</v>
      </c>
      <c r="V122" s="798" t="s">
        <v>2019</v>
      </c>
      <c r="W122" s="795"/>
      <c r="AB122" s="748"/>
      <c r="AC122" s="832"/>
      <c r="AD122" s="833" t="s">
        <v>3753</v>
      </c>
      <c r="AE122" s="838"/>
      <c r="AF122" s="834"/>
      <c r="AG122" s="843"/>
      <c r="AH122" s="836"/>
      <c r="AI122" s="808"/>
      <c r="AJ122" s="809"/>
      <c r="AO122" s="1282"/>
      <c r="AP122" s="1282"/>
    </row>
    <row r="123" spans="1:42" s="737" customFormat="1" ht="18" customHeight="1" x14ac:dyDescent="0.2">
      <c r="A123" s="794" t="s">
        <v>3823</v>
      </c>
      <c r="B123" s="795">
        <v>30</v>
      </c>
      <c r="C123" s="795">
        <v>36</v>
      </c>
      <c r="D123" s="795">
        <v>50</v>
      </c>
      <c r="E123" s="795">
        <v>16</v>
      </c>
      <c r="F123" s="795">
        <v>32</v>
      </c>
      <c r="G123" s="795">
        <v>56</v>
      </c>
      <c r="H123" s="795">
        <v>3</v>
      </c>
      <c r="I123" s="796" t="s">
        <v>3303</v>
      </c>
      <c r="J123" s="796" t="s">
        <v>1881</v>
      </c>
      <c r="K123" s="795" t="s">
        <v>1682</v>
      </c>
      <c r="L123" s="797" t="s">
        <v>1809</v>
      </c>
      <c r="M123" s="794" t="s">
        <v>3351</v>
      </c>
      <c r="N123" s="797" t="s">
        <v>1687</v>
      </c>
      <c r="O123" s="794" t="s">
        <v>3351</v>
      </c>
      <c r="P123" s="797" t="s">
        <v>1700</v>
      </c>
      <c r="Q123" s="794" t="s">
        <v>3351</v>
      </c>
      <c r="R123" s="797" t="s">
        <v>1701</v>
      </c>
      <c r="S123" s="794" t="s">
        <v>3352</v>
      </c>
      <c r="T123" s="798" t="s">
        <v>1925</v>
      </c>
      <c r="U123" s="798" t="s">
        <v>1922</v>
      </c>
      <c r="V123" s="798" t="s">
        <v>2019</v>
      </c>
      <c r="W123" s="795"/>
      <c r="AB123" s="748"/>
      <c r="AC123" s="824"/>
      <c r="AD123" s="825" t="s">
        <v>3755</v>
      </c>
      <c r="AE123" s="826">
        <v>1</v>
      </c>
      <c r="AF123" s="826">
        <v>20</v>
      </c>
      <c r="AG123" s="842" t="s">
        <v>3756</v>
      </c>
      <c r="AH123" s="828" t="s">
        <v>3757</v>
      </c>
      <c r="AI123" s="814"/>
      <c r="AJ123" s="809"/>
      <c r="AO123" s="1282"/>
      <c r="AP123" s="1282"/>
    </row>
    <row r="124" spans="1:42" s="737" customFormat="1" ht="18" customHeight="1" x14ac:dyDescent="0.2">
      <c r="A124" s="746" t="s">
        <v>3353</v>
      </c>
      <c r="B124" s="789"/>
      <c r="C124" s="789"/>
      <c r="D124" s="789"/>
      <c r="E124" s="789"/>
      <c r="F124" s="789"/>
      <c r="G124" s="789"/>
      <c r="H124" s="789"/>
      <c r="I124" s="789"/>
      <c r="J124" s="789"/>
      <c r="K124" s="789"/>
      <c r="L124" s="790"/>
      <c r="M124" s="789"/>
      <c r="N124" s="789"/>
      <c r="O124" s="789"/>
      <c r="P124" s="789"/>
      <c r="Q124" s="789"/>
      <c r="R124" s="789"/>
      <c r="S124" s="789"/>
      <c r="T124" s="789"/>
      <c r="U124" s="789"/>
      <c r="V124" s="789"/>
      <c r="W124" s="795"/>
      <c r="AB124" s="748"/>
      <c r="AC124" s="824"/>
      <c r="AD124" s="825" t="s">
        <v>3759</v>
      </c>
      <c r="AE124" s="826">
        <v>1</v>
      </c>
      <c r="AF124" s="826">
        <v>35</v>
      </c>
      <c r="AG124" s="842" t="s">
        <v>3760</v>
      </c>
      <c r="AH124" s="828" t="s">
        <v>3761</v>
      </c>
      <c r="AI124" s="814"/>
      <c r="AJ124" s="809"/>
      <c r="AO124" s="1282"/>
      <c r="AP124" s="1282"/>
    </row>
    <row r="125" spans="1:42" s="737" customFormat="1" ht="18" customHeight="1" x14ac:dyDescent="0.2">
      <c r="A125" s="794" t="s">
        <v>3829</v>
      </c>
      <c r="B125" s="795">
        <v>4</v>
      </c>
      <c r="C125" s="795">
        <v>6</v>
      </c>
      <c r="D125" s="795">
        <v>10</v>
      </c>
      <c r="E125" s="795">
        <v>2</v>
      </c>
      <c r="F125" s="795">
        <v>4</v>
      </c>
      <c r="G125" s="795">
        <v>7</v>
      </c>
      <c r="H125" s="795">
        <v>1</v>
      </c>
      <c r="I125" s="796" t="s">
        <v>3308</v>
      </c>
      <c r="J125" s="796" t="s">
        <v>1881</v>
      </c>
      <c r="K125" s="795" t="s">
        <v>1682</v>
      </c>
      <c r="L125" s="797" t="s">
        <v>1809</v>
      </c>
      <c r="M125" s="794" t="s">
        <v>3351</v>
      </c>
      <c r="N125" s="797" t="s">
        <v>1687</v>
      </c>
      <c r="O125" s="794" t="s">
        <v>3351</v>
      </c>
      <c r="P125" s="797" t="s">
        <v>1700</v>
      </c>
      <c r="Q125" s="794" t="s">
        <v>3351</v>
      </c>
      <c r="R125" s="797" t="s">
        <v>1701</v>
      </c>
      <c r="S125" s="794" t="s">
        <v>3352</v>
      </c>
      <c r="T125" s="798" t="s">
        <v>1925</v>
      </c>
      <c r="U125" s="798" t="s">
        <v>1922</v>
      </c>
      <c r="V125" s="798" t="s">
        <v>2019</v>
      </c>
      <c r="W125" s="795"/>
      <c r="AB125" s="748"/>
      <c r="AC125" s="824"/>
      <c r="AD125" s="825" t="s">
        <v>3763</v>
      </c>
      <c r="AE125" s="826">
        <v>1</v>
      </c>
      <c r="AF125" s="826">
        <v>45</v>
      </c>
      <c r="AG125" s="842" t="s">
        <v>3756</v>
      </c>
      <c r="AH125" s="828" t="s">
        <v>3764</v>
      </c>
      <c r="AI125" s="814"/>
      <c r="AJ125" s="809"/>
      <c r="AO125" s="1282"/>
      <c r="AP125" s="1282"/>
    </row>
    <row r="126" spans="1:42" s="737" customFormat="1" ht="18" customHeight="1" x14ac:dyDescent="0.2">
      <c r="A126" s="794" t="s">
        <v>3833</v>
      </c>
      <c r="B126" s="795">
        <v>6</v>
      </c>
      <c r="C126" s="795">
        <v>9</v>
      </c>
      <c r="D126" s="795">
        <v>15</v>
      </c>
      <c r="E126" s="795">
        <v>4</v>
      </c>
      <c r="F126" s="795">
        <v>8</v>
      </c>
      <c r="G126" s="795">
        <v>14</v>
      </c>
      <c r="H126" s="795">
        <v>1</v>
      </c>
      <c r="I126" s="796" t="s">
        <v>3308</v>
      </c>
      <c r="J126" s="796" t="s">
        <v>1881</v>
      </c>
      <c r="K126" s="795" t="s">
        <v>1682</v>
      </c>
      <c r="L126" s="797" t="s">
        <v>1809</v>
      </c>
      <c r="M126" s="794" t="s">
        <v>3351</v>
      </c>
      <c r="N126" s="797" t="s">
        <v>1687</v>
      </c>
      <c r="O126" s="794" t="s">
        <v>3351</v>
      </c>
      <c r="P126" s="797" t="s">
        <v>1700</v>
      </c>
      <c r="Q126" s="794" t="s">
        <v>3351</v>
      </c>
      <c r="R126" s="797" t="s">
        <v>1701</v>
      </c>
      <c r="S126" s="794" t="s">
        <v>3352</v>
      </c>
      <c r="T126" s="798" t="s">
        <v>1925</v>
      </c>
      <c r="U126" s="798" t="s">
        <v>1922</v>
      </c>
      <c r="V126" s="798" t="s">
        <v>2019</v>
      </c>
      <c r="W126" s="795"/>
      <c r="AB126" s="748"/>
      <c r="AC126" s="824"/>
      <c r="AD126" s="825" t="s">
        <v>3766</v>
      </c>
      <c r="AE126" s="826">
        <v>2</v>
      </c>
      <c r="AF126" s="826">
        <v>55</v>
      </c>
      <c r="AG126" s="842" t="s">
        <v>3767</v>
      </c>
      <c r="AH126" s="828" t="s">
        <v>3768</v>
      </c>
      <c r="AI126" s="814" t="s">
        <v>3692</v>
      </c>
      <c r="AJ126" s="809"/>
      <c r="AO126" s="1282"/>
      <c r="AP126" s="1282"/>
    </row>
    <row r="127" spans="1:42" s="737" customFormat="1" ht="18" customHeight="1" x14ac:dyDescent="0.2">
      <c r="A127" s="794" t="s">
        <v>3837</v>
      </c>
      <c r="B127" s="795">
        <v>9</v>
      </c>
      <c r="C127" s="795">
        <v>12</v>
      </c>
      <c r="D127" s="795">
        <v>20</v>
      </c>
      <c r="E127" s="795">
        <v>6</v>
      </c>
      <c r="F127" s="795">
        <v>12</v>
      </c>
      <c r="G127" s="795">
        <v>21</v>
      </c>
      <c r="H127" s="795">
        <v>1</v>
      </c>
      <c r="I127" s="796" t="s">
        <v>3308</v>
      </c>
      <c r="J127" s="796" t="s">
        <v>1881</v>
      </c>
      <c r="K127" s="795" t="s">
        <v>1682</v>
      </c>
      <c r="L127" s="797" t="s">
        <v>1809</v>
      </c>
      <c r="M127" s="794" t="s">
        <v>3351</v>
      </c>
      <c r="N127" s="797" t="s">
        <v>1687</v>
      </c>
      <c r="O127" s="794" t="s">
        <v>3351</v>
      </c>
      <c r="P127" s="797" t="s">
        <v>1700</v>
      </c>
      <c r="Q127" s="794" t="s">
        <v>3351</v>
      </c>
      <c r="R127" s="797" t="s">
        <v>1701</v>
      </c>
      <c r="S127" s="794" t="s">
        <v>3352</v>
      </c>
      <c r="T127" s="798" t="s">
        <v>1925</v>
      </c>
      <c r="U127" s="798" t="s">
        <v>1922</v>
      </c>
      <c r="V127" s="798" t="s">
        <v>2019</v>
      </c>
      <c r="W127" s="795"/>
      <c r="AB127" s="748"/>
      <c r="AC127" s="824"/>
      <c r="AD127" s="825" t="s">
        <v>3770</v>
      </c>
      <c r="AE127" s="826">
        <v>2</v>
      </c>
      <c r="AF127" s="826">
        <v>90</v>
      </c>
      <c r="AG127" s="842" t="s">
        <v>3771</v>
      </c>
      <c r="AH127" s="828" t="s">
        <v>3772</v>
      </c>
      <c r="AI127" s="814"/>
      <c r="AJ127" s="809"/>
      <c r="AO127" s="1282"/>
      <c r="AP127" s="1282"/>
    </row>
    <row r="128" spans="1:42" s="737" customFormat="1" ht="18" customHeight="1" x14ac:dyDescent="0.2">
      <c r="A128" s="794" t="s">
        <v>3841</v>
      </c>
      <c r="B128" s="795">
        <v>12</v>
      </c>
      <c r="C128" s="795">
        <v>15</v>
      </c>
      <c r="D128" s="795">
        <v>35</v>
      </c>
      <c r="E128" s="795">
        <v>9</v>
      </c>
      <c r="F128" s="795">
        <v>18</v>
      </c>
      <c r="G128" s="795">
        <v>32</v>
      </c>
      <c r="H128" s="795">
        <v>2</v>
      </c>
      <c r="I128" s="796" t="s">
        <v>3308</v>
      </c>
      <c r="J128" s="796" t="s">
        <v>1881</v>
      </c>
      <c r="K128" s="795" t="s">
        <v>1682</v>
      </c>
      <c r="L128" s="797" t="s">
        <v>1809</v>
      </c>
      <c r="M128" s="794" t="s">
        <v>3351</v>
      </c>
      <c r="N128" s="797" t="s">
        <v>1687</v>
      </c>
      <c r="O128" s="794" t="s">
        <v>3351</v>
      </c>
      <c r="P128" s="797" t="s">
        <v>1700</v>
      </c>
      <c r="Q128" s="794" t="s">
        <v>3351</v>
      </c>
      <c r="R128" s="797" t="s">
        <v>1701</v>
      </c>
      <c r="S128" s="794" t="s">
        <v>3352</v>
      </c>
      <c r="T128" s="798" t="s">
        <v>1925</v>
      </c>
      <c r="U128" s="798" t="s">
        <v>1922</v>
      </c>
      <c r="V128" s="798" t="s">
        <v>2019</v>
      </c>
      <c r="W128" s="795"/>
      <c r="AB128" s="748"/>
      <c r="AC128" s="824"/>
      <c r="AD128" s="825" t="s">
        <v>3774</v>
      </c>
      <c r="AE128" s="826">
        <v>3</v>
      </c>
      <c r="AF128" s="826">
        <v>95</v>
      </c>
      <c r="AG128" s="842" t="s">
        <v>3775</v>
      </c>
      <c r="AH128" s="828" t="s">
        <v>3776</v>
      </c>
      <c r="AI128" s="814"/>
      <c r="AJ128" s="809"/>
      <c r="AO128" s="1282"/>
      <c r="AP128" s="1282"/>
    </row>
    <row r="129" spans="1:42" s="737" customFormat="1" ht="18" customHeight="1" x14ac:dyDescent="0.2">
      <c r="A129" s="794" t="s">
        <v>3843</v>
      </c>
      <c r="B129" s="795">
        <v>18</v>
      </c>
      <c r="C129" s="795">
        <v>22</v>
      </c>
      <c r="D129" s="795">
        <v>50</v>
      </c>
      <c r="E129" s="795">
        <v>12</v>
      </c>
      <c r="F129" s="795">
        <v>24</v>
      </c>
      <c r="G129" s="795">
        <v>42</v>
      </c>
      <c r="H129" s="795">
        <v>2</v>
      </c>
      <c r="I129" s="796" t="s">
        <v>3308</v>
      </c>
      <c r="J129" s="796" t="s">
        <v>1881</v>
      </c>
      <c r="K129" s="795" t="s">
        <v>1682</v>
      </c>
      <c r="L129" s="797" t="s">
        <v>1809</v>
      </c>
      <c r="M129" s="794" t="s">
        <v>3351</v>
      </c>
      <c r="N129" s="797" t="s">
        <v>1687</v>
      </c>
      <c r="O129" s="794" t="s">
        <v>3351</v>
      </c>
      <c r="P129" s="797" t="s">
        <v>1700</v>
      </c>
      <c r="Q129" s="794" t="s">
        <v>3351</v>
      </c>
      <c r="R129" s="797" t="s">
        <v>1701</v>
      </c>
      <c r="S129" s="794" t="s">
        <v>3352</v>
      </c>
      <c r="T129" s="798" t="s">
        <v>1925</v>
      </c>
      <c r="U129" s="798" t="s">
        <v>1922</v>
      </c>
      <c r="V129" s="798" t="s">
        <v>2019</v>
      </c>
      <c r="W129" s="795"/>
      <c r="AB129" s="748"/>
      <c r="AC129" s="832"/>
      <c r="AD129" s="833" t="s">
        <v>3778</v>
      </c>
      <c r="AE129" s="838"/>
      <c r="AF129" s="834"/>
      <c r="AG129" s="843"/>
      <c r="AH129" s="836"/>
      <c r="AI129" s="808"/>
      <c r="AJ129" s="809"/>
      <c r="AO129" s="1282"/>
      <c r="AP129" s="1282"/>
    </row>
    <row r="130" spans="1:42" s="737" customFormat="1" ht="18" customHeight="1" x14ac:dyDescent="0.2">
      <c r="A130" s="794" t="s">
        <v>3848</v>
      </c>
      <c r="B130" s="795">
        <v>26</v>
      </c>
      <c r="C130" s="795">
        <v>32</v>
      </c>
      <c r="D130" s="795">
        <v>65</v>
      </c>
      <c r="E130" s="795">
        <v>15</v>
      </c>
      <c r="F130" s="795">
        <v>30</v>
      </c>
      <c r="G130" s="795">
        <v>53</v>
      </c>
      <c r="H130" s="795">
        <v>3</v>
      </c>
      <c r="I130" s="796" t="s">
        <v>3308</v>
      </c>
      <c r="J130" s="796" t="s">
        <v>1881</v>
      </c>
      <c r="K130" s="795" t="s">
        <v>1682</v>
      </c>
      <c r="L130" s="797" t="s">
        <v>1809</v>
      </c>
      <c r="M130" s="794" t="s">
        <v>3351</v>
      </c>
      <c r="N130" s="797" t="s">
        <v>1687</v>
      </c>
      <c r="O130" s="794" t="s">
        <v>3351</v>
      </c>
      <c r="P130" s="797" t="s">
        <v>1700</v>
      </c>
      <c r="Q130" s="794" t="s">
        <v>3351</v>
      </c>
      <c r="R130" s="797" t="s">
        <v>1701</v>
      </c>
      <c r="S130" s="794" t="s">
        <v>3352</v>
      </c>
      <c r="T130" s="798" t="s">
        <v>1925</v>
      </c>
      <c r="U130" s="798" t="s">
        <v>1922</v>
      </c>
      <c r="V130" s="798" t="s">
        <v>2019</v>
      </c>
      <c r="W130" s="795"/>
      <c r="AB130" s="748"/>
      <c r="AC130" s="824"/>
      <c r="AD130" s="825" t="s">
        <v>3779</v>
      </c>
      <c r="AE130" s="826">
        <v>1</v>
      </c>
      <c r="AF130" s="826">
        <v>30</v>
      </c>
      <c r="AG130" s="842" t="s">
        <v>3780</v>
      </c>
      <c r="AH130" s="828" t="s">
        <v>3781</v>
      </c>
      <c r="AI130" s="814" t="s">
        <v>3782</v>
      </c>
      <c r="AJ130" s="809"/>
      <c r="AO130" s="1282"/>
      <c r="AP130" s="1282"/>
    </row>
    <row r="131" spans="1:42" s="737" customFormat="1" ht="18" customHeight="1" x14ac:dyDescent="0.2">
      <c r="A131" s="794" t="s">
        <v>3852</v>
      </c>
      <c r="B131" s="795">
        <v>30</v>
      </c>
      <c r="C131" s="795">
        <v>36</v>
      </c>
      <c r="D131" s="795">
        <v>75</v>
      </c>
      <c r="E131" s="795">
        <v>18</v>
      </c>
      <c r="F131" s="795">
        <v>36</v>
      </c>
      <c r="G131" s="795">
        <v>63</v>
      </c>
      <c r="H131" s="795">
        <v>3</v>
      </c>
      <c r="I131" s="796" t="s">
        <v>3308</v>
      </c>
      <c r="J131" s="796" t="s">
        <v>1881</v>
      </c>
      <c r="K131" s="795" t="s">
        <v>1682</v>
      </c>
      <c r="L131" s="797" t="s">
        <v>1809</v>
      </c>
      <c r="M131" s="794" t="s">
        <v>3351</v>
      </c>
      <c r="N131" s="797" t="s">
        <v>1687</v>
      </c>
      <c r="O131" s="794" t="s">
        <v>3351</v>
      </c>
      <c r="P131" s="797" t="s">
        <v>1700</v>
      </c>
      <c r="Q131" s="794" t="s">
        <v>3351</v>
      </c>
      <c r="R131" s="797" t="s">
        <v>1701</v>
      </c>
      <c r="S131" s="794" t="s">
        <v>3352</v>
      </c>
      <c r="T131" s="798" t="s">
        <v>1925</v>
      </c>
      <c r="U131" s="798" t="s">
        <v>1922</v>
      </c>
      <c r="V131" s="798" t="s">
        <v>2019</v>
      </c>
      <c r="W131" s="795"/>
      <c r="AB131" s="748"/>
      <c r="AC131" s="824"/>
      <c r="AD131" s="825" t="s">
        <v>3784</v>
      </c>
      <c r="AE131" s="826">
        <v>1</v>
      </c>
      <c r="AF131" s="826">
        <v>25</v>
      </c>
      <c r="AG131" s="842" t="s">
        <v>3785</v>
      </c>
      <c r="AH131" s="828" t="s">
        <v>3786</v>
      </c>
      <c r="AI131" s="814"/>
      <c r="AJ131" s="809"/>
      <c r="AO131" s="1282"/>
      <c r="AP131" s="1282"/>
    </row>
    <row r="132" spans="1:42" s="737" customFormat="1" ht="18" customHeight="1" x14ac:dyDescent="0.2">
      <c r="A132" s="746" t="s">
        <v>3355</v>
      </c>
      <c r="B132" s="789"/>
      <c r="C132" s="789"/>
      <c r="D132" s="789"/>
      <c r="E132" s="789"/>
      <c r="F132" s="789"/>
      <c r="G132" s="789"/>
      <c r="H132" s="789"/>
      <c r="I132" s="789"/>
      <c r="J132" s="789"/>
      <c r="K132" s="789"/>
      <c r="L132" s="790"/>
      <c r="M132" s="789"/>
      <c r="N132" s="789"/>
      <c r="O132" s="789"/>
      <c r="P132" s="789"/>
      <c r="Q132" s="789"/>
      <c r="R132" s="789"/>
      <c r="S132" s="789"/>
      <c r="T132" s="789"/>
      <c r="U132" s="789"/>
      <c r="V132" s="789"/>
      <c r="W132" s="795"/>
      <c r="AB132" s="748"/>
      <c r="AC132" s="824"/>
      <c r="AD132" s="825" t="s">
        <v>3788</v>
      </c>
      <c r="AE132" s="826">
        <v>1</v>
      </c>
      <c r="AF132" s="826">
        <v>35</v>
      </c>
      <c r="AG132" s="842" t="s">
        <v>3789</v>
      </c>
      <c r="AH132" s="828" t="s">
        <v>3790</v>
      </c>
      <c r="AI132" s="814" t="s">
        <v>3791</v>
      </c>
      <c r="AJ132" s="809"/>
      <c r="AO132" s="1282"/>
      <c r="AP132" s="1282"/>
    </row>
    <row r="133" spans="1:42" s="737" customFormat="1" ht="18" customHeight="1" x14ac:dyDescent="0.2">
      <c r="A133" s="794" t="s">
        <v>3858</v>
      </c>
      <c r="B133" s="795">
        <v>1</v>
      </c>
      <c r="C133" s="795">
        <v>2</v>
      </c>
      <c r="D133" s="795">
        <v>5</v>
      </c>
      <c r="E133" s="795">
        <v>1</v>
      </c>
      <c r="F133" s="795">
        <v>2</v>
      </c>
      <c r="G133" s="795">
        <v>4</v>
      </c>
      <c r="H133" s="795">
        <v>1</v>
      </c>
      <c r="I133" s="796" t="s">
        <v>3303</v>
      </c>
      <c r="J133" s="796" t="s">
        <v>1881</v>
      </c>
      <c r="K133" s="795" t="s">
        <v>1682</v>
      </c>
      <c r="L133" s="797" t="s">
        <v>1809</v>
      </c>
      <c r="M133" s="794" t="s">
        <v>3351</v>
      </c>
      <c r="N133" s="797" t="s">
        <v>1687</v>
      </c>
      <c r="O133" s="794" t="s">
        <v>3351</v>
      </c>
      <c r="P133" s="797" t="s">
        <v>1700</v>
      </c>
      <c r="Q133" s="794" t="s">
        <v>3351</v>
      </c>
      <c r="R133" s="797" t="s">
        <v>1701</v>
      </c>
      <c r="S133" s="794" t="s">
        <v>3352</v>
      </c>
      <c r="T133" s="798" t="s">
        <v>1922</v>
      </c>
      <c r="U133" s="798" t="s">
        <v>2019</v>
      </c>
      <c r="V133" s="798" t="s">
        <v>2020</v>
      </c>
      <c r="W133" s="795"/>
      <c r="AB133" s="748"/>
      <c r="AC133" s="824"/>
      <c r="AD133" s="825" t="s">
        <v>3793</v>
      </c>
      <c r="AE133" s="826">
        <v>2</v>
      </c>
      <c r="AF133" s="826">
        <v>45</v>
      </c>
      <c r="AG133" s="842" t="s">
        <v>3794</v>
      </c>
      <c r="AH133" s="828" t="s">
        <v>3795</v>
      </c>
      <c r="AI133" s="814" t="s">
        <v>3796</v>
      </c>
      <c r="AJ133" s="809"/>
      <c r="AO133" s="1282"/>
      <c r="AP133" s="1282"/>
    </row>
    <row r="134" spans="1:42" s="737" customFormat="1" ht="18" customHeight="1" x14ac:dyDescent="0.2">
      <c r="A134" s="794" t="s">
        <v>3863</v>
      </c>
      <c r="B134" s="795">
        <v>2</v>
      </c>
      <c r="C134" s="795">
        <v>4</v>
      </c>
      <c r="D134" s="795">
        <v>5</v>
      </c>
      <c r="E134" s="795">
        <v>1</v>
      </c>
      <c r="F134" s="795">
        <v>2</v>
      </c>
      <c r="G134" s="795">
        <v>4</v>
      </c>
      <c r="H134" s="795">
        <v>1</v>
      </c>
      <c r="I134" s="796" t="s">
        <v>3303</v>
      </c>
      <c r="J134" s="796" t="s">
        <v>1881</v>
      </c>
      <c r="K134" s="795" t="s">
        <v>1682</v>
      </c>
      <c r="L134" s="797" t="s">
        <v>1809</v>
      </c>
      <c r="M134" s="794" t="s">
        <v>3351</v>
      </c>
      <c r="N134" s="797" t="s">
        <v>1687</v>
      </c>
      <c r="O134" s="794" t="s">
        <v>3351</v>
      </c>
      <c r="P134" s="797" t="s">
        <v>1700</v>
      </c>
      <c r="Q134" s="794" t="s">
        <v>3351</v>
      </c>
      <c r="R134" s="797" t="s">
        <v>1701</v>
      </c>
      <c r="S134" s="794" t="s">
        <v>3352</v>
      </c>
      <c r="T134" s="798" t="s">
        <v>1922</v>
      </c>
      <c r="U134" s="798" t="s">
        <v>2019</v>
      </c>
      <c r="V134" s="798" t="s">
        <v>2020</v>
      </c>
      <c r="W134" s="795"/>
      <c r="AB134" s="748"/>
      <c r="AC134" s="824"/>
      <c r="AD134" s="825" t="s">
        <v>3798</v>
      </c>
      <c r="AE134" s="826">
        <v>2</v>
      </c>
      <c r="AF134" s="826">
        <v>75</v>
      </c>
      <c r="AG134" s="842" t="s">
        <v>3799</v>
      </c>
      <c r="AH134" s="828" t="s">
        <v>3800</v>
      </c>
      <c r="AI134" s="814"/>
      <c r="AJ134" s="809"/>
      <c r="AO134" s="1282"/>
      <c r="AP134" s="1282"/>
    </row>
    <row r="135" spans="1:42" s="737" customFormat="1" ht="18" customHeight="1" x14ac:dyDescent="0.2">
      <c r="A135" s="794" t="s">
        <v>3868</v>
      </c>
      <c r="B135" s="795">
        <v>3</v>
      </c>
      <c r="C135" s="795">
        <v>5</v>
      </c>
      <c r="D135" s="795">
        <v>10</v>
      </c>
      <c r="E135" s="795">
        <v>1</v>
      </c>
      <c r="F135" s="795">
        <v>2</v>
      </c>
      <c r="G135" s="795">
        <v>4</v>
      </c>
      <c r="H135" s="795">
        <v>1</v>
      </c>
      <c r="I135" s="796" t="s">
        <v>3303</v>
      </c>
      <c r="J135" s="796" t="s">
        <v>1881</v>
      </c>
      <c r="K135" s="795" t="s">
        <v>1682</v>
      </c>
      <c r="L135" s="797" t="s">
        <v>1809</v>
      </c>
      <c r="M135" s="794" t="s">
        <v>3351</v>
      </c>
      <c r="N135" s="797" t="s">
        <v>1687</v>
      </c>
      <c r="O135" s="794" t="s">
        <v>3351</v>
      </c>
      <c r="P135" s="797" t="s">
        <v>1700</v>
      </c>
      <c r="Q135" s="794" t="s">
        <v>3351</v>
      </c>
      <c r="R135" s="797" t="s">
        <v>1701</v>
      </c>
      <c r="S135" s="794" t="s">
        <v>3352</v>
      </c>
      <c r="T135" s="798" t="s">
        <v>1922</v>
      </c>
      <c r="U135" s="798" t="s">
        <v>2019</v>
      </c>
      <c r="V135" s="798" t="s">
        <v>2020</v>
      </c>
      <c r="W135" s="795"/>
      <c r="AB135" s="748"/>
      <c r="AC135" s="824"/>
      <c r="AD135" s="825" t="s">
        <v>3802</v>
      </c>
      <c r="AE135" s="826">
        <v>3</v>
      </c>
      <c r="AF135" s="826">
        <v>95</v>
      </c>
      <c r="AG135" s="842" t="s">
        <v>3803</v>
      </c>
      <c r="AH135" s="828" t="s">
        <v>3804</v>
      </c>
      <c r="AI135" s="814" t="s">
        <v>3552</v>
      </c>
      <c r="AJ135" s="809"/>
      <c r="AO135" s="1282"/>
      <c r="AP135" s="1282"/>
    </row>
    <row r="136" spans="1:42" s="737" customFormat="1" ht="18" customHeight="1" x14ac:dyDescent="0.2">
      <c r="A136" s="794" t="s">
        <v>3870</v>
      </c>
      <c r="B136" s="795">
        <v>4</v>
      </c>
      <c r="C136" s="795">
        <v>6</v>
      </c>
      <c r="D136" s="795">
        <v>10</v>
      </c>
      <c r="E136" s="795">
        <v>2</v>
      </c>
      <c r="F136" s="795">
        <v>4</v>
      </c>
      <c r="G136" s="795">
        <v>7</v>
      </c>
      <c r="H136" s="795">
        <v>1</v>
      </c>
      <c r="I136" s="796" t="s">
        <v>3303</v>
      </c>
      <c r="J136" s="796" t="s">
        <v>1881</v>
      </c>
      <c r="K136" s="795" t="s">
        <v>1682</v>
      </c>
      <c r="L136" s="797" t="s">
        <v>1809</v>
      </c>
      <c r="M136" s="794" t="s">
        <v>3351</v>
      </c>
      <c r="N136" s="797" t="s">
        <v>1687</v>
      </c>
      <c r="O136" s="794" t="s">
        <v>3351</v>
      </c>
      <c r="P136" s="797" t="s">
        <v>1700</v>
      </c>
      <c r="Q136" s="794" t="s">
        <v>3351</v>
      </c>
      <c r="R136" s="797" t="s">
        <v>1701</v>
      </c>
      <c r="S136" s="794" t="s">
        <v>3352</v>
      </c>
      <c r="T136" s="798" t="s">
        <v>1922</v>
      </c>
      <c r="U136" s="798" t="s">
        <v>2019</v>
      </c>
      <c r="V136" s="798" t="s">
        <v>2020</v>
      </c>
      <c r="W136" s="795"/>
      <c r="AB136" s="748"/>
      <c r="AC136" s="832"/>
      <c r="AD136" s="833" t="s">
        <v>3806</v>
      </c>
      <c r="AE136" s="838"/>
      <c r="AF136" s="834"/>
      <c r="AG136" s="843"/>
      <c r="AH136" s="836"/>
      <c r="AI136" s="808"/>
      <c r="AJ136" s="809"/>
      <c r="AO136" s="1282"/>
      <c r="AP136" s="1282"/>
    </row>
    <row r="137" spans="1:42" s="737" customFormat="1" ht="18" customHeight="1" x14ac:dyDescent="0.2">
      <c r="A137" s="794" t="s">
        <v>3875</v>
      </c>
      <c r="B137" s="795">
        <v>6</v>
      </c>
      <c r="C137" s="795">
        <v>9</v>
      </c>
      <c r="D137" s="795">
        <v>15</v>
      </c>
      <c r="E137" s="795">
        <v>3</v>
      </c>
      <c r="F137" s="795">
        <v>6</v>
      </c>
      <c r="G137" s="795">
        <v>11</v>
      </c>
      <c r="H137" s="795">
        <v>1</v>
      </c>
      <c r="I137" s="796" t="s">
        <v>3303</v>
      </c>
      <c r="J137" s="796" t="s">
        <v>1881</v>
      </c>
      <c r="K137" s="795" t="s">
        <v>1682</v>
      </c>
      <c r="L137" s="797" t="s">
        <v>1809</v>
      </c>
      <c r="M137" s="794" t="s">
        <v>3351</v>
      </c>
      <c r="N137" s="797" t="s">
        <v>1687</v>
      </c>
      <c r="O137" s="794" t="s">
        <v>3351</v>
      </c>
      <c r="P137" s="797" t="s">
        <v>1700</v>
      </c>
      <c r="Q137" s="794" t="s">
        <v>3351</v>
      </c>
      <c r="R137" s="797" t="s">
        <v>1701</v>
      </c>
      <c r="S137" s="794" t="s">
        <v>3352</v>
      </c>
      <c r="T137" s="798" t="s">
        <v>1922</v>
      </c>
      <c r="U137" s="798" t="s">
        <v>2019</v>
      </c>
      <c r="V137" s="798" t="s">
        <v>2020</v>
      </c>
      <c r="W137" s="795"/>
      <c r="AB137" s="748"/>
      <c r="AC137" s="824"/>
      <c r="AD137" s="825" t="s">
        <v>3808</v>
      </c>
      <c r="AE137" s="826">
        <v>1</v>
      </c>
      <c r="AF137" s="826">
        <v>20</v>
      </c>
      <c r="AG137" s="842" t="s">
        <v>3809</v>
      </c>
      <c r="AH137" s="828" t="s">
        <v>3810</v>
      </c>
      <c r="AI137" s="814"/>
      <c r="AJ137" s="809"/>
      <c r="AO137" s="1282"/>
      <c r="AP137" s="1282"/>
    </row>
    <row r="138" spans="1:42" s="737" customFormat="1" ht="18" customHeight="1" x14ac:dyDescent="0.2">
      <c r="A138" s="794" t="s">
        <v>3880</v>
      </c>
      <c r="B138" s="795">
        <v>8</v>
      </c>
      <c r="C138" s="795">
        <v>11</v>
      </c>
      <c r="D138" s="795">
        <v>20</v>
      </c>
      <c r="E138" s="795">
        <v>4</v>
      </c>
      <c r="F138" s="795">
        <v>8</v>
      </c>
      <c r="G138" s="795">
        <v>14</v>
      </c>
      <c r="H138" s="795">
        <v>1</v>
      </c>
      <c r="I138" s="796" t="s">
        <v>3303</v>
      </c>
      <c r="J138" s="796" t="s">
        <v>1881</v>
      </c>
      <c r="K138" s="795" t="s">
        <v>1682</v>
      </c>
      <c r="L138" s="797" t="s">
        <v>1809</v>
      </c>
      <c r="M138" s="794" t="s">
        <v>3351</v>
      </c>
      <c r="N138" s="797" t="s">
        <v>1687</v>
      </c>
      <c r="O138" s="794" t="s">
        <v>3351</v>
      </c>
      <c r="P138" s="797" t="s">
        <v>1700</v>
      </c>
      <c r="Q138" s="794" t="s">
        <v>3351</v>
      </c>
      <c r="R138" s="797" t="s">
        <v>1701</v>
      </c>
      <c r="S138" s="794" t="s">
        <v>3352</v>
      </c>
      <c r="T138" s="798" t="s">
        <v>1922</v>
      </c>
      <c r="U138" s="798" t="s">
        <v>2019</v>
      </c>
      <c r="V138" s="798" t="s">
        <v>2020</v>
      </c>
      <c r="W138" s="795"/>
      <c r="AB138" s="748"/>
      <c r="AC138" s="824"/>
      <c r="AD138" s="825" t="s">
        <v>3812</v>
      </c>
      <c r="AE138" s="826">
        <v>1</v>
      </c>
      <c r="AF138" s="826">
        <v>20</v>
      </c>
      <c r="AG138" s="842" t="s">
        <v>3813</v>
      </c>
      <c r="AH138" s="828" t="s">
        <v>3814</v>
      </c>
      <c r="AI138" s="814"/>
      <c r="AJ138" s="809"/>
      <c r="AO138" s="1282"/>
      <c r="AP138" s="1282"/>
    </row>
    <row r="139" spans="1:42" s="737" customFormat="1" ht="18" customHeight="1" x14ac:dyDescent="0.2">
      <c r="A139" s="794" t="s">
        <v>3885</v>
      </c>
      <c r="B139" s="795">
        <v>10</v>
      </c>
      <c r="C139" s="795">
        <v>13</v>
      </c>
      <c r="D139" s="795">
        <v>25</v>
      </c>
      <c r="E139" s="795">
        <v>6</v>
      </c>
      <c r="F139" s="795">
        <v>12</v>
      </c>
      <c r="G139" s="795">
        <v>21</v>
      </c>
      <c r="H139" s="795">
        <v>1</v>
      </c>
      <c r="I139" s="796" t="s">
        <v>3303</v>
      </c>
      <c r="J139" s="796" t="s">
        <v>1881</v>
      </c>
      <c r="K139" s="795" t="s">
        <v>1682</v>
      </c>
      <c r="L139" s="797" t="s">
        <v>1809</v>
      </c>
      <c r="M139" s="794" t="s">
        <v>3351</v>
      </c>
      <c r="N139" s="797" t="s">
        <v>1687</v>
      </c>
      <c r="O139" s="794" t="s">
        <v>3351</v>
      </c>
      <c r="P139" s="797" t="s">
        <v>1700</v>
      </c>
      <c r="Q139" s="794" t="s">
        <v>3351</v>
      </c>
      <c r="R139" s="797" t="s">
        <v>1701</v>
      </c>
      <c r="S139" s="794" t="s">
        <v>3352</v>
      </c>
      <c r="T139" s="798" t="s">
        <v>1922</v>
      </c>
      <c r="U139" s="798" t="s">
        <v>2019</v>
      </c>
      <c r="V139" s="798" t="s">
        <v>2020</v>
      </c>
      <c r="W139" s="795"/>
      <c r="AB139" s="748"/>
      <c r="AC139" s="824"/>
      <c r="AD139" s="825" t="s">
        <v>3816</v>
      </c>
      <c r="AE139" s="826">
        <v>1</v>
      </c>
      <c r="AF139" s="826">
        <v>25</v>
      </c>
      <c r="AG139" s="842" t="s">
        <v>3817</v>
      </c>
      <c r="AH139" s="828" t="s">
        <v>3818</v>
      </c>
      <c r="AI139" s="814"/>
      <c r="AJ139" s="809"/>
      <c r="AO139" s="1282"/>
      <c r="AP139" s="1282"/>
    </row>
    <row r="140" spans="1:42" s="737" customFormat="1" ht="18" customHeight="1" x14ac:dyDescent="0.2">
      <c r="A140" s="794" t="s">
        <v>3890</v>
      </c>
      <c r="B140" s="795">
        <v>12</v>
      </c>
      <c r="C140" s="795">
        <v>15</v>
      </c>
      <c r="D140" s="795">
        <v>30</v>
      </c>
      <c r="E140" s="795">
        <v>8</v>
      </c>
      <c r="F140" s="795">
        <v>16</v>
      </c>
      <c r="G140" s="795">
        <v>28</v>
      </c>
      <c r="H140" s="795">
        <v>2</v>
      </c>
      <c r="I140" s="796" t="s">
        <v>3303</v>
      </c>
      <c r="J140" s="796" t="s">
        <v>1881</v>
      </c>
      <c r="K140" s="795" t="s">
        <v>1682</v>
      </c>
      <c r="L140" s="797" t="s">
        <v>1809</v>
      </c>
      <c r="M140" s="794" t="s">
        <v>3351</v>
      </c>
      <c r="N140" s="797" t="s">
        <v>1687</v>
      </c>
      <c r="O140" s="794" t="s">
        <v>3351</v>
      </c>
      <c r="P140" s="797" t="s">
        <v>1700</v>
      </c>
      <c r="Q140" s="794" t="s">
        <v>3351</v>
      </c>
      <c r="R140" s="797" t="s">
        <v>1701</v>
      </c>
      <c r="S140" s="794" t="s">
        <v>3352</v>
      </c>
      <c r="T140" s="798" t="s">
        <v>1922</v>
      </c>
      <c r="U140" s="798" t="s">
        <v>2019</v>
      </c>
      <c r="V140" s="798" t="s">
        <v>2020</v>
      </c>
      <c r="W140" s="795"/>
      <c r="AB140" s="748"/>
      <c r="AC140" s="824"/>
      <c r="AD140" s="825" t="s">
        <v>3820</v>
      </c>
      <c r="AE140" s="826">
        <v>1</v>
      </c>
      <c r="AF140" s="826">
        <v>30</v>
      </c>
      <c r="AG140" s="842" t="s">
        <v>3821</v>
      </c>
      <c r="AH140" s="828" t="s">
        <v>3822</v>
      </c>
      <c r="AI140" s="814" t="s">
        <v>3552</v>
      </c>
      <c r="AJ140" s="809"/>
      <c r="AO140" s="1282"/>
      <c r="AP140" s="1282"/>
    </row>
    <row r="141" spans="1:42" s="737" customFormat="1" ht="18" customHeight="1" x14ac:dyDescent="0.2">
      <c r="A141" s="794" t="s">
        <v>3895</v>
      </c>
      <c r="B141" s="795">
        <v>16</v>
      </c>
      <c r="C141" s="795">
        <v>20</v>
      </c>
      <c r="D141" s="795">
        <v>35</v>
      </c>
      <c r="E141" s="795">
        <v>10</v>
      </c>
      <c r="F141" s="795">
        <v>20</v>
      </c>
      <c r="G141" s="795">
        <v>35</v>
      </c>
      <c r="H141" s="795">
        <v>2</v>
      </c>
      <c r="I141" s="796" t="s">
        <v>3303</v>
      </c>
      <c r="J141" s="796" t="s">
        <v>1881</v>
      </c>
      <c r="K141" s="795" t="s">
        <v>1682</v>
      </c>
      <c r="L141" s="797" t="s">
        <v>1809</v>
      </c>
      <c r="M141" s="794" t="s">
        <v>3351</v>
      </c>
      <c r="N141" s="797" t="s">
        <v>1687</v>
      </c>
      <c r="O141" s="794" t="s">
        <v>3351</v>
      </c>
      <c r="P141" s="797" t="s">
        <v>1700</v>
      </c>
      <c r="Q141" s="794" t="s">
        <v>3351</v>
      </c>
      <c r="R141" s="797" t="s">
        <v>1701</v>
      </c>
      <c r="S141" s="794" t="s">
        <v>3352</v>
      </c>
      <c r="T141" s="798" t="s">
        <v>1922</v>
      </c>
      <c r="U141" s="798" t="s">
        <v>2019</v>
      </c>
      <c r="V141" s="798" t="s">
        <v>2020</v>
      </c>
      <c r="W141" s="795"/>
      <c r="AB141" s="748"/>
      <c r="AC141" s="824"/>
      <c r="AD141" s="825" t="s">
        <v>3824</v>
      </c>
      <c r="AE141" s="826">
        <v>1</v>
      </c>
      <c r="AF141" s="826">
        <v>30</v>
      </c>
      <c r="AG141" s="842" t="s">
        <v>3813</v>
      </c>
      <c r="AH141" s="828" t="s">
        <v>3825</v>
      </c>
      <c r="AI141" s="814" t="s">
        <v>3692</v>
      </c>
      <c r="AJ141" s="809"/>
      <c r="AO141" s="1282"/>
      <c r="AP141" s="1282"/>
    </row>
    <row r="142" spans="1:42" s="737" customFormat="1" ht="18" customHeight="1" x14ac:dyDescent="0.2">
      <c r="A142" s="794" t="s">
        <v>3900</v>
      </c>
      <c r="B142" s="795">
        <v>20</v>
      </c>
      <c r="C142" s="795">
        <v>24</v>
      </c>
      <c r="D142" s="795">
        <v>40</v>
      </c>
      <c r="E142" s="795">
        <v>12</v>
      </c>
      <c r="F142" s="795">
        <v>24</v>
      </c>
      <c r="G142" s="795">
        <v>42</v>
      </c>
      <c r="H142" s="795">
        <v>3</v>
      </c>
      <c r="I142" s="796" t="s">
        <v>3303</v>
      </c>
      <c r="J142" s="796" t="s">
        <v>1881</v>
      </c>
      <c r="K142" s="795" t="s">
        <v>1682</v>
      </c>
      <c r="L142" s="797" t="s">
        <v>1809</v>
      </c>
      <c r="M142" s="794" t="s">
        <v>3351</v>
      </c>
      <c r="N142" s="797" t="s">
        <v>1687</v>
      </c>
      <c r="O142" s="794" t="s">
        <v>3351</v>
      </c>
      <c r="P142" s="797" t="s">
        <v>1700</v>
      </c>
      <c r="Q142" s="794" t="s">
        <v>3351</v>
      </c>
      <c r="R142" s="797" t="s">
        <v>1701</v>
      </c>
      <c r="S142" s="794" t="s">
        <v>3352</v>
      </c>
      <c r="T142" s="798" t="s">
        <v>1922</v>
      </c>
      <c r="U142" s="798" t="s">
        <v>2019</v>
      </c>
      <c r="V142" s="798" t="s">
        <v>2020</v>
      </c>
      <c r="W142" s="795"/>
      <c r="AB142" s="748"/>
      <c r="AC142" s="824"/>
      <c r="AD142" s="825" t="s">
        <v>3826</v>
      </c>
      <c r="AE142" s="826">
        <v>1</v>
      </c>
      <c r="AF142" s="826">
        <v>30</v>
      </c>
      <c r="AG142" s="842" t="s">
        <v>3827</v>
      </c>
      <c r="AH142" s="828" t="s">
        <v>3828</v>
      </c>
      <c r="AI142" s="814"/>
      <c r="AJ142" s="809"/>
      <c r="AO142" s="1282"/>
      <c r="AP142" s="1282"/>
    </row>
    <row r="143" spans="1:42" s="737" customFormat="1" ht="18" customHeight="1" x14ac:dyDescent="0.2">
      <c r="A143" s="794" t="s">
        <v>3902</v>
      </c>
      <c r="B143" s="795">
        <v>24</v>
      </c>
      <c r="C143" s="795">
        <v>29</v>
      </c>
      <c r="D143" s="795">
        <v>45</v>
      </c>
      <c r="E143" s="795">
        <v>14</v>
      </c>
      <c r="F143" s="795">
        <v>28</v>
      </c>
      <c r="G143" s="795">
        <v>49</v>
      </c>
      <c r="H143" s="795">
        <v>3</v>
      </c>
      <c r="I143" s="796" t="s">
        <v>3303</v>
      </c>
      <c r="J143" s="796" t="s">
        <v>1881</v>
      </c>
      <c r="K143" s="795" t="s">
        <v>1682</v>
      </c>
      <c r="L143" s="797" t="s">
        <v>1809</v>
      </c>
      <c r="M143" s="794" t="s">
        <v>3351</v>
      </c>
      <c r="N143" s="797" t="s">
        <v>1687</v>
      </c>
      <c r="O143" s="794" t="s">
        <v>3351</v>
      </c>
      <c r="P143" s="797" t="s">
        <v>1700</v>
      </c>
      <c r="Q143" s="794" t="s">
        <v>3351</v>
      </c>
      <c r="R143" s="797" t="s">
        <v>1701</v>
      </c>
      <c r="S143" s="794" t="s">
        <v>3352</v>
      </c>
      <c r="T143" s="798" t="s">
        <v>1922</v>
      </c>
      <c r="U143" s="798" t="s">
        <v>2019</v>
      </c>
      <c r="V143" s="798" t="s">
        <v>2020</v>
      </c>
      <c r="W143" s="795"/>
      <c r="AB143" s="748"/>
      <c r="AC143" s="824"/>
      <c r="AD143" s="825" t="s">
        <v>3830</v>
      </c>
      <c r="AE143" s="826">
        <v>2</v>
      </c>
      <c r="AF143" s="826">
        <v>50</v>
      </c>
      <c r="AG143" s="842" t="s">
        <v>3831</v>
      </c>
      <c r="AH143" s="828" t="s">
        <v>3832</v>
      </c>
      <c r="AI143" s="814"/>
      <c r="AJ143" s="809"/>
      <c r="AO143" s="1282"/>
      <c r="AP143" s="1282"/>
    </row>
    <row r="144" spans="1:42" s="737" customFormat="1" ht="18" customHeight="1" x14ac:dyDescent="0.2">
      <c r="A144" s="746" t="s">
        <v>3358</v>
      </c>
      <c r="B144" s="789"/>
      <c r="C144" s="789"/>
      <c r="D144" s="789"/>
      <c r="E144" s="789"/>
      <c r="F144" s="789"/>
      <c r="G144" s="789"/>
      <c r="H144" s="789"/>
      <c r="I144" s="789"/>
      <c r="J144" s="789"/>
      <c r="K144" s="789"/>
      <c r="L144" s="790"/>
      <c r="M144" s="789"/>
      <c r="N144" s="789"/>
      <c r="O144" s="789"/>
      <c r="P144" s="789"/>
      <c r="Q144" s="789"/>
      <c r="R144" s="789"/>
      <c r="S144" s="789"/>
      <c r="T144" s="789"/>
      <c r="U144" s="789"/>
      <c r="V144" s="789"/>
      <c r="W144" s="795"/>
      <c r="AB144" s="748"/>
      <c r="AC144" s="824"/>
      <c r="AD144" s="825" t="s">
        <v>3834</v>
      </c>
      <c r="AE144" s="826">
        <v>2</v>
      </c>
      <c r="AF144" s="826">
        <v>70</v>
      </c>
      <c r="AG144" s="842" t="s">
        <v>3835</v>
      </c>
      <c r="AH144" s="828" t="s">
        <v>3836</v>
      </c>
      <c r="AI144" s="814"/>
      <c r="AJ144" s="809"/>
      <c r="AO144" s="1282"/>
      <c r="AP144" s="1282"/>
    </row>
    <row r="145" spans="1:42" s="737" customFormat="1" ht="18" customHeight="1" x14ac:dyDescent="0.2">
      <c r="A145" s="794" t="s">
        <v>3910</v>
      </c>
      <c r="B145" s="795">
        <v>2</v>
      </c>
      <c r="C145" s="795">
        <v>4</v>
      </c>
      <c r="D145" s="795">
        <v>5</v>
      </c>
      <c r="E145" s="795">
        <v>1</v>
      </c>
      <c r="F145" s="795">
        <v>2</v>
      </c>
      <c r="G145" s="795">
        <v>4</v>
      </c>
      <c r="H145" s="795">
        <v>1</v>
      </c>
      <c r="I145" s="796" t="s">
        <v>3303</v>
      </c>
      <c r="J145" s="796" t="s">
        <v>1881</v>
      </c>
      <c r="K145" s="795" t="s">
        <v>1687</v>
      </c>
      <c r="L145" s="797" t="s">
        <v>1682</v>
      </c>
      <c r="M145" s="794" t="s">
        <v>3442</v>
      </c>
      <c r="N145" s="797" t="s">
        <v>1809</v>
      </c>
      <c r="O145" s="794" t="s">
        <v>3352</v>
      </c>
      <c r="P145" s="797" t="s">
        <v>1700</v>
      </c>
      <c r="Q145" s="794" t="s">
        <v>3351</v>
      </c>
      <c r="R145" s="797" t="s">
        <v>1701</v>
      </c>
      <c r="S145" s="794" t="s">
        <v>3351</v>
      </c>
      <c r="T145" s="798" t="s">
        <v>1925</v>
      </c>
      <c r="U145" s="798" t="s">
        <v>2019</v>
      </c>
      <c r="V145" s="798" t="s">
        <v>2024</v>
      </c>
      <c r="W145" s="795"/>
      <c r="AB145" s="748"/>
      <c r="AC145" s="824"/>
      <c r="AD145" s="825" t="s">
        <v>3838</v>
      </c>
      <c r="AE145" s="826">
        <v>2</v>
      </c>
      <c r="AF145" s="826">
        <v>85</v>
      </c>
      <c r="AG145" s="842" t="s">
        <v>3839</v>
      </c>
      <c r="AH145" s="828" t="s">
        <v>3840</v>
      </c>
      <c r="AI145" s="814"/>
      <c r="AJ145" s="809"/>
      <c r="AO145" s="1282"/>
      <c r="AP145" s="1282"/>
    </row>
    <row r="146" spans="1:42" s="737" customFormat="1" ht="18" customHeight="1" x14ac:dyDescent="0.2">
      <c r="A146" s="794" t="s">
        <v>3915</v>
      </c>
      <c r="B146" s="795">
        <v>4</v>
      </c>
      <c r="C146" s="795">
        <v>6</v>
      </c>
      <c r="D146" s="795">
        <v>5</v>
      </c>
      <c r="E146" s="795">
        <v>2</v>
      </c>
      <c r="F146" s="795">
        <v>4</v>
      </c>
      <c r="G146" s="795">
        <v>7</v>
      </c>
      <c r="H146" s="795">
        <v>1</v>
      </c>
      <c r="I146" s="796" t="s">
        <v>3303</v>
      </c>
      <c r="J146" s="796" t="s">
        <v>1881</v>
      </c>
      <c r="K146" s="795" t="s">
        <v>1687</v>
      </c>
      <c r="L146" s="797" t="s">
        <v>1682</v>
      </c>
      <c r="M146" s="794" t="s">
        <v>3442</v>
      </c>
      <c r="N146" s="797" t="s">
        <v>1809</v>
      </c>
      <c r="O146" s="794" t="s">
        <v>3352</v>
      </c>
      <c r="P146" s="797" t="s">
        <v>1700</v>
      </c>
      <c r="Q146" s="794" t="s">
        <v>3351</v>
      </c>
      <c r="R146" s="797" t="s">
        <v>1701</v>
      </c>
      <c r="S146" s="794" t="s">
        <v>3351</v>
      </c>
      <c r="T146" s="798" t="s">
        <v>1925</v>
      </c>
      <c r="U146" s="798" t="s">
        <v>2019</v>
      </c>
      <c r="V146" s="798" t="s">
        <v>2024</v>
      </c>
      <c r="W146" s="795"/>
      <c r="AB146" s="748"/>
      <c r="AC146" s="832"/>
      <c r="AD146" s="833" t="s">
        <v>3842</v>
      </c>
      <c r="AE146" s="838"/>
      <c r="AF146" s="834"/>
      <c r="AG146" s="843"/>
      <c r="AH146" s="836"/>
      <c r="AI146" s="808"/>
      <c r="AJ146" s="809"/>
      <c r="AO146" s="1282"/>
      <c r="AP146" s="1282"/>
    </row>
    <row r="147" spans="1:42" s="737" customFormat="1" ht="18" customHeight="1" x14ac:dyDescent="0.2">
      <c r="A147" s="794" t="s">
        <v>3919</v>
      </c>
      <c r="B147" s="795">
        <v>6</v>
      </c>
      <c r="C147" s="795">
        <v>9</v>
      </c>
      <c r="D147" s="795">
        <v>5</v>
      </c>
      <c r="E147" s="795">
        <v>3</v>
      </c>
      <c r="F147" s="795">
        <v>6</v>
      </c>
      <c r="G147" s="795">
        <v>11</v>
      </c>
      <c r="H147" s="795">
        <v>1</v>
      </c>
      <c r="I147" s="796" t="s">
        <v>3303</v>
      </c>
      <c r="J147" s="796" t="s">
        <v>1881</v>
      </c>
      <c r="K147" s="795" t="s">
        <v>1687</v>
      </c>
      <c r="L147" s="797" t="s">
        <v>1682</v>
      </c>
      <c r="M147" s="794" t="s">
        <v>3442</v>
      </c>
      <c r="N147" s="797" t="s">
        <v>1809</v>
      </c>
      <c r="O147" s="794" t="s">
        <v>3352</v>
      </c>
      <c r="P147" s="797" t="s">
        <v>1700</v>
      </c>
      <c r="Q147" s="794" t="s">
        <v>3351</v>
      </c>
      <c r="R147" s="797" t="s">
        <v>1701</v>
      </c>
      <c r="S147" s="794" t="s">
        <v>3351</v>
      </c>
      <c r="T147" s="798" t="s">
        <v>1925</v>
      </c>
      <c r="U147" s="798" t="s">
        <v>2019</v>
      </c>
      <c r="V147" s="798" t="s">
        <v>2024</v>
      </c>
      <c r="W147" s="795"/>
      <c r="AB147" s="748"/>
      <c r="AC147" s="824"/>
      <c r="AD147" s="825" t="s">
        <v>3844</v>
      </c>
      <c r="AE147" s="826">
        <v>1</v>
      </c>
      <c r="AF147" s="826">
        <v>30</v>
      </c>
      <c r="AG147" s="842" t="s">
        <v>3845</v>
      </c>
      <c r="AH147" s="828" t="s">
        <v>3846</v>
      </c>
      <c r="AI147" s="814" t="s">
        <v>3847</v>
      </c>
      <c r="AJ147" s="809"/>
      <c r="AO147" s="1282"/>
      <c r="AP147" s="1282"/>
    </row>
    <row r="148" spans="1:42" s="737" customFormat="1" ht="18" customHeight="1" x14ac:dyDescent="0.2">
      <c r="A148" s="794" t="s">
        <v>3922</v>
      </c>
      <c r="B148" s="795">
        <v>8</v>
      </c>
      <c r="C148" s="795">
        <v>11</v>
      </c>
      <c r="D148" s="795">
        <v>10</v>
      </c>
      <c r="E148" s="795">
        <v>4</v>
      </c>
      <c r="F148" s="795">
        <v>8</v>
      </c>
      <c r="G148" s="795">
        <v>14</v>
      </c>
      <c r="H148" s="795">
        <v>1</v>
      </c>
      <c r="I148" s="796" t="s">
        <v>3303</v>
      </c>
      <c r="J148" s="796" t="s">
        <v>1881</v>
      </c>
      <c r="K148" s="795" t="s">
        <v>1687</v>
      </c>
      <c r="L148" s="797" t="s">
        <v>1682</v>
      </c>
      <c r="M148" s="794" t="s">
        <v>3442</v>
      </c>
      <c r="N148" s="797" t="s">
        <v>1809</v>
      </c>
      <c r="O148" s="794" t="s">
        <v>3352</v>
      </c>
      <c r="P148" s="797" t="s">
        <v>1700</v>
      </c>
      <c r="Q148" s="794" t="s">
        <v>3351</v>
      </c>
      <c r="R148" s="797" t="s">
        <v>1701</v>
      </c>
      <c r="S148" s="794" t="s">
        <v>3351</v>
      </c>
      <c r="T148" s="798" t="s">
        <v>1925</v>
      </c>
      <c r="U148" s="798" t="s">
        <v>2019</v>
      </c>
      <c r="V148" s="798" t="s">
        <v>2024</v>
      </c>
      <c r="W148" s="795"/>
      <c r="AB148" s="748"/>
      <c r="AC148" s="824"/>
      <c r="AD148" s="825" t="s">
        <v>3849</v>
      </c>
      <c r="AE148" s="826">
        <v>1</v>
      </c>
      <c r="AF148" s="826">
        <v>20</v>
      </c>
      <c r="AG148" s="842" t="s">
        <v>3850</v>
      </c>
      <c r="AH148" s="828" t="s">
        <v>3851</v>
      </c>
      <c r="AI148" s="814"/>
      <c r="AJ148" s="809"/>
      <c r="AO148" s="1282"/>
      <c r="AP148" s="1282"/>
    </row>
    <row r="149" spans="1:42" s="737" customFormat="1" ht="18" customHeight="1" x14ac:dyDescent="0.2">
      <c r="A149" s="794" t="s">
        <v>3927</v>
      </c>
      <c r="B149" s="795">
        <v>12</v>
      </c>
      <c r="C149" s="795">
        <v>15</v>
      </c>
      <c r="D149" s="795">
        <v>15</v>
      </c>
      <c r="E149" s="795">
        <v>6</v>
      </c>
      <c r="F149" s="795">
        <v>12</v>
      </c>
      <c r="G149" s="795">
        <v>21</v>
      </c>
      <c r="H149" s="795">
        <v>1</v>
      </c>
      <c r="I149" s="796" t="s">
        <v>3303</v>
      </c>
      <c r="J149" s="796" t="s">
        <v>1881</v>
      </c>
      <c r="K149" s="795" t="s">
        <v>1687</v>
      </c>
      <c r="L149" s="797" t="s">
        <v>1682</v>
      </c>
      <c r="M149" s="794" t="s">
        <v>3442</v>
      </c>
      <c r="N149" s="797" t="s">
        <v>1809</v>
      </c>
      <c r="O149" s="794" t="s">
        <v>3352</v>
      </c>
      <c r="P149" s="797" t="s">
        <v>1700</v>
      </c>
      <c r="Q149" s="794" t="s">
        <v>3351</v>
      </c>
      <c r="R149" s="797" t="s">
        <v>1701</v>
      </c>
      <c r="S149" s="794" t="s">
        <v>3351</v>
      </c>
      <c r="T149" s="798" t="s">
        <v>1925</v>
      </c>
      <c r="U149" s="798" t="s">
        <v>2019</v>
      </c>
      <c r="V149" s="798" t="s">
        <v>2024</v>
      </c>
      <c r="W149" s="795"/>
      <c r="AB149" s="748"/>
      <c r="AC149" s="824"/>
      <c r="AD149" s="825" t="s">
        <v>3853</v>
      </c>
      <c r="AE149" s="826">
        <v>1</v>
      </c>
      <c r="AF149" s="826">
        <v>20</v>
      </c>
      <c r="AG149" s="842" t="s">
        <v>3854</v>
      </c>
      <c r="AH149" s="828" t="s">
        <v>3855</v>
      </c>
      <c r="AI149" s="814"/>
      <c r="AJ149" s="809"/>
      <c r="AO149" s="1282"/>
      <c r="AP149" s="1282"/>
    </row>
    <row r="150" spans="1:42" s="737" customFormat="1" ht="18" customHeight="1" x14ac:dyDescent="0.2">
      <c r="A150" s="794" t="s">
        <v>3929</v>
      </c>
      <c r="B150" s="795">
        <v>16</v>
      </c>
      <c r="C150" s="795">
        <v>20</v>
      </c>
      <c r="D150" s="795">
        <v>25</v>
      </c>
      <c r="E150" s="795">
        <v>8</v>
      </c>
      <c r="F150" s="795">
        <v>16</v>
      </c>
      <c r="G150" s="795">
        <v>28</v>
      </c>
      <c r="H150" s="795">
        <v>2</v>
      </c>
      <c r="I150" s="796" t="s">
        <v>3303</v>
      </c>
      <c r="J150" s="796" t="s">
        <v>1881</v>
      </c>
      <c r="K150" s="795" t="s">
        <v>1687</v>
      </c>
      <c r="L150" s="797" t="s">
        <v>1682</v>
      </c>
      <c r="M150" s="794" t="s">
        <v>3442</v>
      </c>
      <c r="N150" s="797" t="s">
        <v>1809</v>
      </c>
      <c r="O150" s="794" t="s">
        <v>3352</v>
      </c>
      <c r="P150" s="797" t="s">
        <v>1700</v>
      </c>
      <c r="Q150" s="794" t="s">
        <v>3351</v>
      </c>
      <c r="R150" s="797" t="s">
        <v>1701</v>
      </c>
      <c r="S150" s="794" t="s">
        <v>3351</v>
      </c>
      <c r="T150" s="798" t="s">
        <v>1925</v>
      </c>
      <c r="U150" s="798" t="s">
        <v>2019</v>
      </c>
      <c r="V150" s="798" t="s">
        <v>2024</v>
      </c>
      <c r="W150" s="795"/>
      <c r="AB150" s="748"/>
      <c r="AC150" s="844"/>
      <c r="AD150" s="825" t="s">
        <v>3856</v>
      </c>
      <c r="AE150" s="826">
        <v>2</v>
      </c>
      <c r="AF150" s="845">
        <v>50</v>
      </c>
      <c r="AG150" s="846" t="s">
        <v>3771</v>
      </c>
      <c r="AH150" s="847" t="s">
        <v>3857</v>
      </c>
      <c r="AI150" s="848"/>
      <c r="AJ150" s="809"/>
      <c r="AO150" s="1282"/>
      <c r="AP150" s="1282"/>
    </row>
    <row r="151" spans="1:42" s="737" customFormat="1" ht="18" customHeight="1" x14ac:dyDescent="0.2">
      <c r="A151" s="794" t="s">
        <v>3934</v>
      </c>
      <c r="B151" s="795">
        <v>20</v>
      </c>
      <c r="C151" s="795">
        <v>24</v>
      </c>
      <c r="D151" s="795">
        <v>35</v>
      </c>
      <c r="E151" s="795">
        <v>10</v>
      </c>
      <c r="F151" s="795">
        <v>20</v>
      </c>
      <c r="G151" s="795">
        <v>35</v>
      </c>
      <c r="H151" s="795">
        <v>2</v>
      </c>
      <c r="I151" s="796" t="s">
        <v>3303</v>
      </c>
      <c r="J151" s="796" t="s">
        <v>1881</v>
      </c>
      <c r="K151" s="795" t="s">
        <v>1687</v>
      </c>
      <c r="L151" s="797" t="s">
        <v>1682</v>
      </c>
      <c r="M151" s="794" t="s">
        <v>3442</v>
      </c>
      <c r="N151" s="797" t="s">
        <v>1809</v>
      </c>
      <c r="O151" s="794" t="s">
        <v>3352</v>
      </c>
      <c r="P151" s="797" t="s">
        <v>1700</v>
      </c>
      <c r="Q151" s="794" t="s">
        <v>3351</v>
      </c>
      <c r="R151" s="797" t="s">
        <v>1701</v>
      </c>
      <c r="S151" s="794" t="s">
        <v>3351</v>
      </c>
      <c r="T151" s="798" t="s">
        <v>1925</v>
      </c>
      <c r="U151" s="798" t="s">
        <v>2019</v>
      </c>
      <c r="V151" s="798" t="s">
        <v>2024</v>
      </c>
      <c r="W151" s="795"/>
      <c r="AB151" s="748"/>
      <c r="AC151" s="844"/>
      <c r="AD151" s="825" t="s">
        <v>3859</v>
      </c>
      <c r="AE151" s="826">
        <v>2</v>
      </c>
      <c r="AF151" s="845">
        <v>70</v>
      </c>
      <c r="AG151" s="846" t="s">
        <v>3860</v>
      </c>
      <c r="AH151" s="847" t="s">
        <v>3861</v>
      </c>
      <c r="AI151" s="848" t="s">
        <v>3862</v>
      </c>
      <c r="AJ151" s="809"/>
      <c r="AO151" s="1282"/>
      <c r="AP151" s="1282"/>
    </row>
    <row r="152" spans="1:42" s="737" customFormat="1" ht="18" customHeight="1" x14ac:dyDescent="0.2">
      <c r="A152" s="794" t="s">
        <v>3937</v>
      </c>
      <c r="B152" s="795">
        <v>26</v>
      </c>
      <c r="C152" s="795">
        <v>32</v>
      </c>
      <c r="D152" s="795">
        <v>45</v>
      </c>
      <c r="E152" s="795">
        <v>12</v>
      </c>
      <c r="F152" s="795">
        <v>24</v>
      </c>
      <c r="G152" s="795">
        <v>42</v>
      </c>
      <c r="H152" s="795">
        <v>3</v>
      </c>
      <c r="I152" s="796" t="s">
        <v>3303</v>
      </c>
      <c r="J152" s="796" t="s">
        <v>1881</v>
      </c>
      <c r="K152" s="795" t="s">
        <v>1687</v>
      </c>
      <c r="L152" s="797" t="s">
        <v>1682</v>
      </c>
      <c r="M152" s="794" t="s">
        <v>3442</v>
      </c>
      <c r="N152" s="797" t="s">
        <v>1809</v>
      </c>
      <c r="O152" s="794" t="s">
        <v>3352</v>
      </c>
      <c r="P152" s="797" t="s">
        <v>1700</v>
      </c>
      <c r="Q152" s="794" t="s">
        <v>3351</v>
      </c>
      <c r="R152" s="797" t="s">
        <v>1701</v>
      </c>
      <c r="S152" s="794" t="s">
        <v>3351</v>
      </c>
      <c r="T152" s="798" t="s">
        <v>1925</v>
      </c>
      <c r="U152" s="798" t="s">
        <v>2019</v>
      </c>
      <c r="V152" s="798" t="s">
        <v>2024</v>
      </c>
      <c r="W152" s="795"/>
      <c r="AB152" s="748"/>
      <c r="AC152" s="824"/>
      <c r="AD152" s="825" t="s">
        <v>3864</v>
      </c>
      <c r="AE152" s="826">
        <v>3</v>
      </c>
      <c r="AF152" s="826">
        <v>75</v>
      </c>
      <c r="AG152" s="842" t="s">
        <v>3865</v>
      </c>
      <c r="AH152" s="828" t="s">
        <v>3866</v>
      </c>
      <c r="AI152" s="814" t="s">
        <v>3867</v>
      </c>
      <c r="AJ152" s="809"/>
      <c r="AO152" s="1282"/>
      <c r="AP152" s="1282"/>
    </row>
    <row r="153" spans="1:42" s="737" customFormat="1" ht="18" customHeight="1" x14ac:dyDescent="0.2">
      <c r="A153" s="746" t="s">
        <v>3363</v>
      </c>
      <c r="B153" s="789"/>
      <c r="C153" s="789"/>
      <c r="D153" s="789"/>
      <c r="E153" s="789"/>
      <c r="F153" s="789"/>
      <c r="G153" s="789"/>
      <c r="H153" s="789"/>
      <c r="I153" s="789"/>
      <c r="J153" s="789"/>
      <c r="K153" s="789"/>
      <c r="L153" s="790"/>
      <c r="M153" s="789"/>
      <c r="N153" s="789"/>
      <c r="O153" s="789"/>
      <c r="P153" s="789"/>
      <c r="Q153" s="789"/>
      <c r="R153" s="789"/>
      <c r="S153" s="789"/>
      <c r="T153" s="789"/>
      <c r="U153" s="789"/>
      <c r="V153" s="789"/>
      <c r="W153" s="795"/>
      <c r="AB153" s="748"/>
      <c r="AC153" s="832"/>
      <c r="AD153" s="833" t="s">
        <v>3869</v>
      </c>
      <c r="AE153" s="838"/>
      <c r="AF153" s="834"/>
      <c r="AG153" s="843"/>
      <c r="AH153" s="836"/>
      <c r="AI153" s="808"/>
      <c r="AJ153" s="809"/>
      <c r="AO153" s="1282"/>
      <c r="AP153" s="1282"/>
    </row>
    <row r="154" spans="1:42" s="737" customFormat="1" ht="18" customHeight="1" x14ac:dyDescent="0.2">
      <c r="A154" s="794" t="s">
        <v>3943</v>
      </c>
      <c r="B154" s="795">
        <v>1</v>
      </c>
      <c r="C154" s="795">
        <v>2</v>
      </c>
      <c r="D154" s="795">
        <v>5</v>
      </c>
      <c r="E154" s="795">
        <v>1</v>
      </c>
      <c r="F154" s="795">
        <v>2</v>
      </c>
      <c r="G154" s="795">
        <v>4</v>
      </c>
      <c r="H154" s="795">
        <v>1</v>
      </c>
      <c r="I154" s="796" t="s">
        <v>3303</v>
      </c>
      <c r="J154" s="796" t="s">
        <v>1534</v>
      </c>
      <c r="K154" s="795" t="s">
        <v>1692</v>
      </c>
      <c r="L154" s="797" t="s">
        <v>1809</v>
      </c>
      <c r="M154" s="794" t="s">
        <v>3442</v>
      </c>
      <c r="N154" s="797" t="s">
        <v>1687</v>
      </c>
      <c r="O154" s="794" t="s">
        <v>3352</v>
      </c>
      <c r="P154" s="797" t="s">
        <v>1700</v>
      </c>
      <c r="Q154" s="794" t="s">
        <v>3351</v>
      </c>
      <c r="R154" s="797" t="s">
        <v>1701</v>
      </c>
      <c r="S154" s="794" t="s">
        <v>3442</v>
      </c>
      <c r="T154" s="798" t="s">
        <v>1929</v>
      </c>
      <c r="U154" s="798" t="s">
        <v>2024</v>
      </c>
      <c r="V154" s="795" t="s">
        <v>3228</v>
      </c>
      <c r="W154" s="795"/>
      <c r="AB154" s="748"/>
      <c r="AC154" s="824"/>
      <c r="AD154" s="825" t="s">
        <v>3871</v>
      </c>
      <c r="AE154" s="826">
        <v>1</v>
      </c>
      <c r="AF154" s="826">
        <v>25</v>
      </c>
      <c r="AG154" s="842" t="s">
        <v>3872</v>
      </c>
      <c r="AH154" s="828" t="s">
        <v>3873</v>
      </c>
      <c r="AI154" s="814" t="s">
        <v>3874</v>
      </c>
      <c r="AJ154" s="809"/>
      <c r="AO154" s="1282"/>
      <c r="AP154" s="1282"/>
    </row>
    <row r="155" spans="1:42" s="737" customFormat="1" ht="18" customHeight="1" x14ac:dyDescent="0.2">
      <c r="A155" s="794" t="s">
        <v>3947</v>
      </c>
      <c r="B155" s="795">
        <v>2</v>
      </c>
      <c r="C155" s="795">
        <v>4</v>
      </c>
      <c r="D155" s="795">
        <v>5</v>
      </c>
      <c r="E155" s="795">
        <v>1</v>
      </c>
      <c r="F155" s="795">
        <v>2</v>
      </c>
      <c r="G155" s="795">
        <v>4</v>
      </c>
      <c r="H155" s="795">
        <v>1</v>
      </c>
      <c r="I155" s="796" t="s">
        <v>3303</v>
      </c>
      <c r="J155" s="796" t="s">
        <v>1534</v>
      </c>
      <c r="K155" s="795" t="s">
        <v>1692</v>
      </c>
      <c r="L155" s="797" t="s">
        <v>1809</v>
      </c>
      <c r="M155" s="794" t="s">
        <v>3442</v>
      </c>
      <c r="N155" s="797" t="s">
        <v>1687</v>
      </c>
      <c r="O155" s="794" t="s">
        <v>3352</v>
      </c>
      <c r="P155" s="797" t="s">
        <v>1700</v>
      </c>
      <c r="Q155" s="794" t="s">
        <v>3351</v>
      </c>
      <c r="R155" s="797" t="s">
        <v>1701</v>
      </c>
      <c r="S155" s="794" t="s">
        <v>3442</v>
      </c>
      <c r="T155" s="798" t="s">
        <v>1929</v>
      </c>
      <c r="U155" s="798" t="s">
        <v>2024</v>
      </c>
      <c r="V155" s="795" t="s">
        <v>3228</v>
      </c>
      <c r="W155" s="795"/>
      <c r="AB155" s="748"/>
      <c r="AC155" s="824"/>
      <c r="AD155" s="825" t="s">
        <v>3876</v>
      </c>
      <c r="AE155" s="826">
        <v>1</v>
      </c>
      <c r="AF155" s="826">
        <v>45</v>
      </c>
      <c r="AG155" s="842" t="s">
        <v>3877</v>
      </c>
      <c r="AH155" s="828" t="s">
        <v>3878</v>
      </c>
      <c r="AI155" s="814" t="s">
        <v>3879</v>
      </c>
      <c r="AJ155" s="809"/>
      <c r="AO155" s="1282"/>
      <c r="AP155" s="1282"/>
    </row>
    <row r="156" spans="1:42" s="737" customFormat="1" ht="18" customHeight="1" x14ac:dyDescent="0.2">
      <c r="A156" s="794" t="s">
        <v>3951</v>
      </c>
      <c r="B156" s="795">
        <v>3</v>
      </c>
      <c r="C156" s="795">
        <v>5</v>
      </c>
      <c r="D156" s="795">
        <v>10</v>
      </c>
      <c r="E156" s="795">
        <v>1</v>
      </c>
      <c r="F156" s="795">
        <v>2</v>
      </c>
      <c r="G156" s="795">
        <v>4</v>
      </c>
      <c r="H156" s="795">
        <v>1</v>
      </c>
      <c r="I156" s="796" t="s">
        <v>3303</v>
      </c>
      <c r="J156" s="796" t="s">
        <v>1534</v>
      </c>
      <c r="K156" s="795" t="s">
        <v>1692</v>
      </c>
      <c r="L156" s="797" t="s">
        <v>1809</v>
      </c>
      <c r="M156" s="794" t="s">
        <v>3442</v>
      </c>
      <c r="N156" s="797" t="s">
        <v>1687</v>
      </c>
      <c r="O156" s="794" t="s">
        <v>3352</v>
      </c>
      <c r="P156" s="797" t="s">
        <v>1700</v>
      </c>
      <c r="Q156" s="794" t="s">
        <v>3351</v>
      </c>
      <c r="R156" s="797" t="s">
        <v>1701</v>
      </c>
      <c r="S156" s="794" t="s">
        <v>3442</v>
      </c>
      <c r="T156" s="798" t="s">
        <v>1929</v>
      </c>
      <c r="U156" s="798" t="s">
        <v>2024</v>
      </c>
      <c r="V156" s="795" t="s">
        <v>3228</v>
      </c>
      <c r="W156" s="795"/>
      <c r="AB156" s="748"/>
      <c r="AC156" s="824"/>
      <c r="AD156" s="825" t="s">
        <v>3881</v>
      </c>
      <c r="AE156" s="826">
        <v>2</v>
      </c>
      <c r="AF156" s="826">
        <v>65</v>
      </c>
      <c r="AG156" s="842" t="s">
        <v>3882</v>
      </c>
      <c r="AH156" s="828" t="s">
        <v>3883</v>
      </c>
      <c r="AI156" s="814" t="s">
        <v>3884</v>
      </c>
      <c r="AJ156" s="809"/>
      <c r="AO156" s="1282"/>
      <c r="AP156" s="1282"/>
    </row>
    <row r="157" spans="1:42" s="737" customFormat="1" ht="18" customHeight="1" x14ac:dyDescent="0.2">
      <c r="A157" s="794" t="s">
        <v>3955</v>
      </c>
      <c r="B157" s="795">
        <v>4</v>
      </c>
      <c r="C157" s="795">
        <v>6</v>
      </c>
      <c r="D157" s="795">
        <v>15</v>
      </c>
      <c r="E157" s="795">
        <v>2</v>
      </c>
      <c r="F157" s="795">
        <v>4</v>
      </c>
      <c r="G157" s="795">
        <v>7</v>
      </c>
      <c r="H157" s="795">
        <v>1</v>
      </c>
      <c r="I157" s="796" t="s">
        <v>3303</v>
      </c>
      <c r="J157" s="796" t="s">
        <v>1534</v>
      </c>
      <c r="K157" s="795" t="s">
        <v>1692</v>
      </c>
      <c r="L157" s="797" t="s">
        <v>1809</v>
      </c>
      <c r="M157" s="794" t="s">
        <v>3442</v>
      </c>
      <c r="N157" s="797" t="s">
        <v>1687</v>
      </c>
      <c r="O157" s="794" t="s">
        <v>3352</v>
      </c>
      <c r="P157" s="797" t="s">
        <v>1700</v>
      </c>
      <c r="Q157" s="794" t="s">
        <v>3351</v>
      </c>
      <c r="R157" s="797" t="s">
        <v>1701</v>
      </c>
      <c r="S157" s="794" t="s">
        <v>3442</v>
      </c>
      <c r="T157" s="798" t="s">
        <v>1929</v>
      </c>
      <c r="U157" s="798" t="s">
        <v>2024</v>
      </c>
      <c r="V157" s="795" t="s">
        <v>3228</v>
      </c>
      <c r="W157" s="795"/>
      <c r="AB157" s="748"/>
      <c r="AC157" s="824"/>
      <c r="AD157" s="825" t="s">
        <v>3886</v>
      </c>
      <c r="AE157" s="826">
        <v>2</v>
      </c>
      <c r="AF157" s="826">
        <v>75</v>
      </c>
      <c r="AG157" s="842" t="s">
        <v>3887</v>
      </c>
      <c r="AH157" s="828" t="s">
        <v>3888</v>
      </c>
      <c r="AI157" s="814" t="s">
        <v>3889</v>
      </c>
      <c r="AJ157" s="809"/>
      <c r="AO157" s="1282"/>
      <c r="AP157" s="1282"/>
    </row>
    <row r="158" spans="1:42" s="737" customFormat="1" ht="18" customHeight="1" x14ac:dyDescent="0.2">
      <c r="A158" s="794" t="s">
        <v>3959</v>
      </c>
      <c r="B158" s="795">
        <v>6</v>
      </c>
      <c r="C158" s="795">
        <v>9</v>
      </c>
      <c r="D158" s="795">
        <v>20</v>
      </c>
      <c r="E158" s="795">
        <v>3</v>
      </c>
      <c r="F158" s="795">
        <v>6</v>
      </c>
      <c r="G158" s="795">
        <v>11</v>
      </c>
      <c r="H158" s="795">
        <v>1</v>
      </c>
      <c r="I158" s="796" t="s">
        <v>3303</v>
      </c>
      <c r="J158" s="796" t="s">
        <v>1534</v>
      </c>
      <c r="K158" s="795" t="s">
        <v>1692</v>
      </c>
      <c r="L158" s="797" t="s">
        <v>1809</v>
      </c>
      <c r="M158" s="794" t="s">
        <v>3442</v>
      </c>
      <c r="N158" s="797" t="s">
        <v>1687</v>
      </c>
      <c r="O158" s="794" t="s">
        <v>3352</v>
      </c>
      <c r="P158" s="797" t="s">
        <v>1700</v>
      </c>
      <c r="Q158" s="794" t="s">
        <v>3351</v>
      </c>
      <c r="R158" s="797" t="s">
        <v>1701</v>
      </c>
      <c r="S158" s="794" t="s">
        <v>3442</v>
      </c>
      <c r="T158" s="798" t="s">
        <v>1929</v>
      </c>
      <c r="U158" s="798" t="s">
        <v>2024</v>
      </c>
      <c r="V158" s="795" t="s">
        <v>3228</v>
      </c>
      <c r="W158" s="795"/>
      <c r="AB158" s="748"/>
      <c r="AC158" s="824"/>
      <c r="AD158" s="825" t="s">
        <v>3891</v>
      </c>
      <c r="AE158" s="826">
        <v>3</v>
      </c>
      <c r="AF158" s="826">
        <v>110</v>
      </c>
      <c r="AG158" s="842" t="s">
        <v>3892</v>
      </c>
      <c r="AH158" s="813" t="s">
        <v>3893</v>
      </c>
      <c r="AI158" s="814" t="s">
        <v>3894</v>
      </c>
      <c r="AJ158" s="809"/>
      <c r="AO158" s="1282"/>
      <c r="AP158" s="1282"/>
    </row>
    <row r="159" spans="1:42" s="737" customFormat="1" ht="18" customHeight="1" x14ac:dyDescent="0.2">
      <c r="A159" s="794" t="s">
        <v>3964</v>
      </c>
      <c r="B159" s="795">
        <v>8</v>
      </c>
      <c r="C159" s="795">
        <v>11</v>
      </c>
      <c r="D159" s="795">
        <v>25</v>
      </c>
      <c r="E159" s="795">
        <v>4</v>
      </c>
      <c r="F159" s="795">
        <v>8</v>
      </c>
      <c r="G159" s="795">
        <v>14</v>
      </c>
      <c r="H159" s="795">
        <v>1</v>
      </c>
      <c r="I159" s="796" t="s">
        <v>3303</v>
      </c>
      <c r="J159" s="796" t="s">
        <v>1534</v>
      </c>
      <c r="K159" s="795" t="s">
        <v>1692</v>
      </c>
      <c r="L159" s="797" t="s">
        <v>1809</v>
      </c>
      <c r="M159" s="794" t="s">
        <v>3442</v>
      </c>
      <c r="N159" s="797" t="s">
        <v>1687</v>
      </c>
      <c r="O159" s="794" t="s">
        <v>3352</v>
      </c>
      <c r="P159" s="797" t="s">
        <v>1700</v>
      </c>
      <c r="Q159" s="794" t="s">
        <v>3351</v>
      </c>
      <c r="R159" s="797" t="s">
        <v>1701</v>
      </c>
      <c r="S159" s="794" t="s">
        <v>3442</v>
      </c>
      <c r="T159" s="798" t="s">
        <v>1929</v>
      </c>
      <c r="U159" s="798" t="s">
        <v>2024</v>
      </c>
      <c r="V159" s="795" t="s">
        <v>3228</v>
      </c>
      <c r="W159" s="795"/>
      <c r="AB159" s="748"/>
      <c r="AC159" s="824"/>
      <c r="AD159" s="825" t="s">
        <v>3896</v>
      </c>
      <c r="AE159" s="826">
        <v>3</v>
      </c>
      <c r="AF159" s="826">
        <v>110</v>
      </c>
      <c r="AG159" s="842" t="s">
        <v>3897</v>
      </c>
      <c r="AH159" s="828" t="s">
        <v>3898</v>
      </c>
      <c r="AI159" s="814" t="s">
        <v>3899</v>
      </c>
      <c r="AJ159" s="809"/>
      <c r="AO159" s="1282"/>
      <c r="AP159" s="1282"/>
    </row>
    <row r="160" spans="1:42" s="737" customFormat="1" ht="18" customHeight="1" x14ac:dyDescent="0.2">
      <c r="A160" s="794" t="s">
        <v>3966</v>
      </c>
      <c r="B160" s="795">
        <v>10</v>
      </c>
      <c r="C160" s="795">
        <v>13</v>
      </c>
      <c r="D160" s="795">
        <v>30</v>
      </c>
      <c r="E160" s="795">
        <v>5</v>
      </c>
      <c r="F160" s="795">
        <v>10</v>
      </c>
      <c r="G160" s="795">
        <v>18</v>
      </c>
      <c r="H160" s="795">
        <v>1</v>
      </c>
      <c r="I160" s="796" t="s">
        <v>3303</v>
      </c>
      <c r="J160" s="796" t="s">
        <v>1534</v>
      </c>
      <c r="K160" s="795" t="s">
        <v>1692</v>
      </c>
      <c r="L160" s="797" t="s">
        <v>1809</v>
      </c>
      <c r="M160" s="794" t="s">
        <v>3442</v>
      </c>
      <c r="N160" s="797" t="s">
        <v>1687</v>
      </c>
      <c r="O160" s="794" t="s">
        <v>3352</v>
      </c>
      <c r="P160" s="797" t="s">
        <v>1700</v>
      </c>
      <c r="Q160" s="794" t="s">
        <v>3351</v>
      </c>
      <c r="R160" s="797" t="s">
        <v>1701</v>
      </c>
      <c r="S160" s="794" t="s">
        <v>3442</v>
      </c>
      <c r="T160" s="798" t="s">
        <v>1929</v>
      </c>
      <c r="U160" s="798" t="s">
        <v>2024</v>
      </c>
      <c r="V160" s="795" t="s">
        <v>3228</v>
      </c>
      <c r="W160" s="795"/>
      <c r="AB160" s="748"/>
      <c r="AC160" s="832"/>
      <c r="AD160" s="833" t="s">
        <v>3901</v>
      </c>
      <c r="AE160" s="838"/>
      <c r="AF160" s="834"/>
      <c r="AG160" s="843"/>
      <c r="AH160" s="836"/>
      <c r="AI160" s="808"/>
      <c r="AJ160" s="809"/>
      <c r="AO160" s="1282"/>
      <c r="AP160" s="1282"/>
    </row>
    <row r="161" spans="1:37" x14ac:dyDescent="0.2">
      <c r="A161" s="849" t="s">
        <v>3970</v>
      </c>
      <c r="B161" s="850">
        <v>14</v>
      </c>
      <c r="C161" s="850">
        <v>18</v>
      </c>
      <c r="D161" s="850">
        <v>35</v>
      </c>
      <c r="E161" s="850">
        <v>6</v>
      </c>
      <c r="F161" s="850">
        <v>12</v>
      </c>
      <c r="G161" s="850">
        <v>21</v>
      </c>
      <c r="H161" s="850">
        <v>2</v>
      </c>
      <c r="I161" s="851" t="s">
        <v>3303</v>
      </c>
      <c r="J161" s="851" t="s">
        <v>1534</v>
      </c>
      <c r="K161" s="850" t="s">
        <v>1692</v>
      </c>
      <c r="L161" s="852" t="s">
        <v>1809</v>
      </c>
      <c r="M161" s="849" t="s">
        <v>3442</v>
      </c>
      <c r="N161" s="852" t="s">
        <v>1687</v>
      </c>
      <c r="O161" s="849" t="s">
        <v>3352</v>
      </c>
      <c r="P161" s="852" t="s">
        <v>1700</v>
      </c>
      <c r="Q161" s="849" t="s">
        <v>3351</v>
      </c>
      <c r="R161" s="852" t="s">
        <v>1701</v>
      </c>
      <c r="S161" s="849" t="s">
        <v>3442</v>
      </c>
      <c r="T161" s="853" t="s">
        <v>1929</v>
      </c>
      <c r="U161" s="853" t="s">
        <v>2024</v>
      </c>
      <c r="V161" s="795" t="s">
        <v>3228</v>
      </c>
      <c r="W161" s="850"/>
      <c r="AC161" s="824"/>
      <c r="AD161" s="825" t="s">
        <v>3903</v>
      </c>
      <c r="AE161" s="826">
        <v>1</v>
      </c>
      <c r="AF161" s="826">
        <v>20</v>
      </c>
      <c r="AG161" s="842" t="s">
        <v>3904</v>
      </c>
      <c r="AH161" s="828" t="s">
        <v>3905</v>
      </c>
      <c r="AI161" s="814" t="s">
        <v>3884</v>
      </c>
      <c r="AJ161" s="809"/>
      <c r="AK161" s="737"/>
    </row>
    <row r="162" spans="1:37" x14ac:dyDescent="0.2">
      <c r="A162" s="849" t="s">
        <v>3974</v>
      </c>
      <c r="B162" s="850">
        <v>16</v>
      </c>
      <c r="C162" s="850">
        <v>20</v>
      </c>
      <c r="D162" s="850">
        <v>40</v>
      </c>
      <c r="E162" s="850">
        <v>8</v>
      </c>
      <c r="F162" s="850">
        <v>16</v>
      </c>
      <c r="G162" s="850">
        <v>28</v>
      </c>
      <c r="H162" s="850">
        <v>2</v>
      </c>
      <c r="I162" s="851" t="s">
        <v>3303</v>
      </c>
      <c r="J162" s="851" t="s">
        <v>1534</v>
      </c>
      <c r="K162" s="850" t="s">
        <v>1692</v>
      </c>
      <c r="L162" s="852" t="s">
        <v>1809</v>
      </c>
      <c r="M162" s="849" t="s">
        <v>3442</v>
      </c>
      <c r="N162" s="852" t="s">
        <v>1687</v>
      </c>
      <c r="O162" s="849" t="s">
        <v>3352</v>
      </c>
      <c r="P162" s="852" t="s">
        <v>1700</v>
      </c>
      <c r="Q162" s="849" t="s">
        <v>3351</v>
      </c>
      <c r="R162" s="852" t="s">
        <v>1701</v>
      </c>
      <c r="S162" s="849" t="s">
        <v>3442</v>
      </c>
      <c r="T162" s="853" t="s">
        <v>1929</v>
      </c>
      <c r="U162" s="853" t="s">
        <v>2024</v>
      </c>
      <c r="V162" s="795" t="s">
        <v>3228</v>
      </c>
      <c r="W162" s="850"/>
      <c r="AC162" s="824"/>
      <c r="AD162" s="825" t="s">
        <v>3906</v>
      </c>
      <c r="AE162" s="826">
        <v>1</v>
      </c>
      <c r="AF162" s="826">
        <v>25</v>
      </c>
      <c r="AG162" s="842" t="s">
        <v>3907</v>
      </c>
      <c r="AH162" s="828" t="s">
        <v>3908</v>
      </c>
      <c r="AI162" s="814" t="s">
        <v>3909</v>
      </c>
      <c r="AJ162" s="809"/>
    </row>
    <row r="163" spans="1:37" x14ac:dyDescent="0.2">
      <c r="A163" s="849" t="s">
        <v>3978</v>
      </c>
      <c r="B163" s="850">
        <v>18</v>
      </c>
      <c r="C163" s="850">
        <v>22</v>
      </c>
      <c r="D163" s="850">
        <v>45</v>
      </c>
      <c r="E163" s="850">
        <v>10</v>
      </c>
      <c r="F163" s="850">
        <v>20</v>
      </c>
      <c r="G163" s="850">
        <v>35</v>
      </c>
      <c r="H163" s="850">
        <v>3</v>
      </c>
      <c r="I163" s="851" t="s">
        <v>3303</v>
      </c>
      <c r="J163" s="851" t="s">
        <v>1534</v>
      </c>
      <c r="K163" s="850" t="s">
        <v>1692</v>
      </c>
      <c r="L163" s="852" t="s">
        <v>1809</v>
      </c>
      <c r="M163" s="849" t="s">
        <v>3442</v>
      </c>
      <c r="N163" s="852" t="s">
        <v>1687</v>
      </c>
      <c r="O163" s="849" t="s">
        <v>3352</v>
      </c>
      <c r="P163" s="852" t="s">
        <v>1700</v>
      </c>
      <c r="Q163" s="849" t="s">
        <v>3351</v>
      </c>
      <c r="R163" s="852" t="s">
        <v>1701</v>
      </c>
      <c r="S163" s="849" t="s">
        <v>3442</v>
      </c>
      <c r="T163" s="853" t="s">
        <v>1929</v>
      </c>
      <c r="U163" s="853" t="s">
        <v>2024</v>
      </c>
      <c r="V163" s="795" t="s">
        <v>3228</v>
      </c>
      <c r="W163" s="850"/>
      <c r="AC163" s="824"/>
      <c r="AD163" s="825" t="s">
        <v>3911</v>
      </c>
      <c r="AE163" s="826">
        <v>2</v>
      </c>
      <c r="AF163" s="826">
        <v>65</v>
      </c>
      <c r="AG163" s="842" t="s">
        <v>3912</v>
      </c>
      <c r="AH163" s="828" t="s">
        <v>3913</v>
      </c>
      <c r="AI163" s="814" t="s">
        <v>3914</v>
      </c>
      <c r="AJ163" s="809"/>
    </row>
    <row r="164" spans="1:37" x14ac:dyDescent="0.2">
      <c r="A164" s="849" t="s">
        <v>3982</v>
      </c>
      <c r="B164" s="850">
        <v>20</v>
      </c>
      <c r="C164" s="850">
        <v>24</v>
      </c>
      <c r="D164" s="850">
        <v>50</v>
      </c>
      <c r="E164" s="850">
        <v>12</v>
      </c>
      <c r="F164" s="850">
        <v>24</v>
      </c>
      <c r="G164" s="850">
        <v>42</v>
      </c>
      <c r="H164" s="850">
        <v>3</v>
      </c>
      <c r="I164" s="851" t="s">
        <v>3303</v>
      </c>
      <c r="J164" s="851" t="s">
        <v>1534</v>
      </c>
      <c r="K164" s="850" t="s">
        <v>1692</v>
      </c>
      <c r="L164" s="852" t="s">
        <v>1809</v>
      </c>
      <c r="M164" s="849" t="s">
        <v>3442</v>
      </c>
      <c r="N164" s="852" t="s">
        <v>1687</v>
      </c>
      <c r="O164" s="849" t="s">
        <v>3352</v>
      </c>
      <c r="P164" s="852" t="s">
        <v>1700</v>
      </c>
      <c r="Q164" s="849" t="s">
        <v>3351</v>
      </c>
      <c r="R164" s="852" t="s">
        <v>1701</v>
      </c>
      <c r="S164" s="849" t="s">
        <v>3442</v>
      </c>
      <c r="T164" s="853" t="s">
        <v>1929</v>
      </c>
      <c r="U164" s="853" t="s">
        <v>2024</v>
      </c>
      <c r="V164" s="795" t="s">
        <v>3228</v>
      </c>
      <c r="W164" s="850"/>
      <c r="AC164" s="824"/>
      <c r="AD164" s="825" t="s">
        <v>3916</v>
      </c>
      <c r="AE164" s="826">
        <v>2</v>
      </c>
      <c r="AF164" s="826">
        <v>50</v>
      </c>
      <c r="AG164" s="842" t="s">
        <v>3917</v>
      </c>
      <c r="AH164" s="828" t="s">
        <v>3918</v>
      </c>
      <c r="AI164" s="814" t="s">
        <v>3914</v>
      </c>
      <c r="AJ164" s="809"/>
    </row>
    <row r="165" spans="1:37" x14ac:dyDescent="0.2">
      <c r="A165" s="855" t="s">
        <v>3986</v>
      </c>
      <c r="B165" s="856"/>
      <c r="C165" s="856"/>
      <c r="D165" s="856"/>
      <c r="E165" s="856"/>
      <c r="F165" s="856"/>
      <c r="G165" s="856"/>
      <c r="H165" s="856"/>
      <c r="I165" s="856"/>
      <c r="J165" s="856"/>
      <c r="K165" s="856"/>
      <c r="L165" s="857"/>
      <c r="M165" s="856"/>
      <c r="N165" s="856"/>
      <c r="O165" s="856"/>
      <c r="P165" s="856"/>
      <c r="Q165" s="856"/>
      <c r="R165" s="856"/>
      <c r="S165" s="856"/>
      <c r="T165" s="856"/>
      <c r="U165" s="856"/>
      <c r="V165" s="856"/>
      <c r="W165" s="850"/>
      <c r="AC165" s="824"/>
      <c r="AD165" s="825" t="s">
        <v>3920</v>
      </c>
      <c r="AE165" s="826">
        <v>2</v>
      </c>
      <c r="AF165" s="826">
        <v>60</v>
      </c>
      <c r="AG165" s="842" t="s">
        <v>3917</v>
      </c>
      <c r="AH165" s="828" t="s">
        <v>3921</v>
      </c>
      <c r="AI165" s="814" t="s">
        <v>3914</v>
      </c>
      <c r="AJ165" s="809"/>
    </row>
    <row r="166" spans="1:37" x14ac:dyDescent="0.2">
      <c r="A166" s="849" t="s">
        <v>3988</v>
      </c>
      <c r="B166" s="858">
        <v>4</v>
      </c>
      <c r="C166" s="858">
        <v>4</v>
      </c>
      <c r="D166" s="850">
        <v>15</v>
      </c>
      <c r="E166" s="850">
        <v>3</v>
      </c>
      <c r="F166" s="850">
        <v>6</v>
      </c>
      <c r="G166" s="850">
        <v>11</v>
      </c>
      <c r="H166" s="850"/>
      <c r="I166" s="850"/>
      <c r="J166" s="850"/>
      <c r="K166" s="850"/>
      <c r="L166" s="859"/>
      <c r="M166" s="850"/>
      <c r="N166" s="850"/>
      <c r="O166" s="850"/>
      <c r="P166" s="850"/>
      <c r="Q166" s="850"/>
      <c r="R166" s="850"/>
      <c r="S166" s="850"/>
      <c r="T166" s="850"/>
      <c r="U166" s="850"/>
      <c r="V166" s="850"/>
      <c r="W166" s="850"/>
      <c r="AC166" s="824"/>
      <c r="AD166" s="825" t="s">
        <v>3923</v>
      </c>
      <c r="AE166" s="826">
        <v>3</v>
      </c>
      <c r="AF166" s="826">
        <v>90</v>
      </c>
      <c r="AG166" s="842" t="s">
        <v>3924</v>
      </c>
      <c r="AH166" s="828" t="s">
        <v>3925</v>
      </c>
      <c r="AI166" s="814" t="s">
        <v>3926</v>
      </c>
      <c r="AJ166" s="809"/>
    </row>
    <row r="167" spans="1:37" x14ac:dyDescent="0.2">
      <c r="A167" s="849" t="s">
        <v>3992</v>
      </c>
      <c r="B167" s="858">
        <v>10</v>
      </c>
      <c r="C167" s="858">
        <v>10</v>
      </c>
      <c r="D167" s="850">
        <v>50</v>
      </c>
      <c r="E167" s="850">
        <v>4</v>
      </c>
      <c r="F167" s="850">
        <v>8</v>
      </c>
      <c r="G167" s="850">
        <v>14</v>
      </c>
      <c r="H167" s="850"/>
      <c r="I167" s="850"/>
      <c r="J167" s="850"/>
      <c r="K167" s="850"/>
      <c r="L167" s="859"/>
      <c r="M167" s="850"/>
      <c r="N167" s="850"/>
      <c r="O167" s="850"/>
      <c r="P167" s="850"/>
      <c r="Q167" s="850"/>
      <c r="R167" s="850"/>
      <c r="S167" s="850"/>
      <c r="T167" s="850"/>
      <c r="U167" s="850"/>
      <c r="V167" s="850"/>
      <c r="W167" s="850"/>
      <c r="AC167" s="832"/>
      <c r="AD167" s="833" t="s">
        <v>3928</v>
      </c>
      <c r="AE167" s="838"/>
      <c r="AF167" s="834"/>
      <c r="AG167" s="843"/>
      <c r="AH167" s="836"/>
      <c r="AI167" s="808"/>
      <c r="AJ167" s="809"/>
    </row>
    <row r="168" spans="1:37" x14ac:dyDescent="0.2">
      <c r="A168" s="849" t="s">
        <v>3996</v>
      </c>
      <c r="B168" s="858">
        <v>2</v>
      </c>
      <c r="C168" s="858">
        <v>2</v>
      </c>
      <c r="D168" s="850">
        <v>10</v>
      </c>
      <c r="E168" s="850">
        <v>2</v>
      </c>
      <c r="F168" s="850">
        <v>4</v>
      </c>
      <c r="G168" s="850">
        <v>7</v>
      </c>
      <c r="H168" s="850"/>
      <c r="I168" s="850"/>
      <c r="J168" s="850"/>
      <c r="K168" s="850"/>
      <c r="L168" s="859"/>
      <c r="M168" s="850"/>
      <c r="N168" s="850"/>
      <c r="O168" s="850"/>
      <c r="P168" s="850"/>
      <c r="Q168" s="850"/>
      <c r="R168" s="850"/>
      <c r="S168" s="850"/>
      <c r="T168" s="850"/>
      <c r="U168" s="850"/>
      <c r="V168" s="850"/>
      <c r="W168" s="850"/>
      <c r="AC168" s="824"/>
      <c r="AD168" s="825" t="s">
        <v>3930</v>
      </c>
      <c r="AE168" s="826">
        <v>1</v>
      </c>
      <c r="AF168" s="826">
        <v>50</v>
      </c>
      <c r="AG168" s="842" t="s">
        <v>3931</v>
      </c>
      <c r="AH168" s="828" t="s">
        <v>3932</v>
      </c>
      <c r="AI168" s="814" t="s">
        <v>3933</v>
      </c>
      <c r="AJ168" s="809"/>
    </row>
    <row r="169" spans="1:37" x14ac:dyDescent="0.2">
      <c r="A169" s="849" t="s">
        <v>4001</v>
      </c>
      <c r="B169" s="858">
        <v>2</v>
      </c>
      <c r="C169" s="858">
        <v>2</v>
      </c>
      <c r="D169" s="850">
        <v>10</v>
      </c>
      <c r="E169" s="850">
        <v>2</v>
      </c>
      <c r="F169" s="850">
        <v>4</v>
      </c>
      <c r="G169" s="850">
        <v>7</v>
      </c>
      <c r="H169" s="850"/>
      <c r="I169" s="850"/>
      <c r="J169" s="850"/>
      <c r="K169" s="850"/>
      <c r="L169" s="859"/>
      <c r="M169" s="850"/>
      <c r="N169" s="850"/>
      <c r="O169" s="850"/>
      <c r="P169" s="850"/>
      <c r="Q169" s="850"/>
      <c r="R169" s="850"/>
      <c r="S169" s="850"/>
      <c r="T169" s="850"/>
      <c r="U169" s="850"/>
      <c r="V169" s="850"/>
      <c r="W169" s="850"/>
      <c r="AC169" s="824"/>
      <c r="AD169" s="825" t="s">
        <v>3935</v>
      </c>
      <c r="AE169" s="826">
        <v>1</v>
      </c>
      <c r="AF169" s="826">
        <v>25</v>
      </c>
      <c r="AG169" s="842" t="s">
        <v>3854</v>
      </c>
      <c r="AH169" s="828" t="s">
        <v>3936</v>
      </c>
      <c r="AI169" s="814" t="s">
        <v>3933</v>
      </c>
      <c r="AJ169" s="809"/>
    </row>
    <row r="170" spans="1:37" x14ac:dyDescent="0.2">
      <c r="A170" s="855" t="s">
        <v>4005</v>
      </c>
      <c r="B170" s="860"/>
      <c r="C170" s="860"/>
      <c r="D170" s="856"/>
      <c r="E170" s="856"/>
      <c r="F170" s="856"/>
      <c r="G170" s="856"/>
      <c r="H170" s="856"/>
      <c r="I170" s="856"/>
      <c r="J170" s="856"/>
      <c r="K170" s="856"/>
      <c r="L170" s="857"/>
      <c r="M170" s="856"/>
      <c r="N170" s="856"/>
      <c r="O170" s="856"/>
      <c r="P170" s="856"/>
      <c r="Q170" s="856"/>
      <c r="R170" s="856"/>
      <c r="S170" s="856"/>
      <c r="T170" s="856"/>
      <c r="U170" s="856"/>
      <c r="V170" s="856"/>
      <c r="W170" s="850"/>
      <c r="AC170" s="824"/>
      <c r="AD170" s="825" t="s">
        <v>3938</v>
      </c>
      <c r="AE170" s="826">
        <v>1</v>
      </c>
      <c r="AF170" s="826">
        <v>35</v>
      </c>
      <c r="AG170" s="842" t="s">
        <v>3860</v>
      </c>
      <c r="AH170" s="828" t="s">
        <v>3939</v>
      </c>
      <c r="AI170" s="814" t="s">
        <v>3933</v>
      </c>
      <c r="AJ170" s="809"/>
    </row>
    <row r="171" spans="1:37" x14ac:dyDescent="0.2">
      <c r="A171" s="849" t="s">
        <v>4010</v>
      </c>
      <c r="B171" s="858">
        <v>12</v>
      </c>
      <c r="C171" s="858">
        <v>12</v>
      </c>
      <c r="D171" s="850">
        <v>30</v>
      </c>
      <c r="E171" s="850">
        <v>4</v>
      </c>
      <c r="F171" s="850">
        <v>8</v>
      </c>
      <c r="G171" s="850">
        <v>14</v>
      </c>
      <c r="H171" s="850"/>
      <c r="I171" s="850"/>
      <c r="J171" s="850"/>
      <c r="K171" s="850"/>
      <c r="L171" s="859"/>
      <c r="M171" s="850"/>
      <c r="N171" s="850"/>
      <c r="O171" s="850"/>
      <c r="P171" s="850"/>
      <c r="Q171" s="850"/>
      <c r="R171" s="850"/>
      <c r="S171" s="850"/>
      <c r="T171" s="850"/>
      <c r="U171" s="850"/>
      <c r="V171" s="850"/>
      <c r="W171" s="850"/>
      <c r="AC171" s="824"/>
      <c r="AD171" s="825" t="s">
        <v>3940</v>
      </c>
      <c r="AE171" s="826">
        <v>2</v>
      </c>
      <c r="AF171" s="826">
        <v>65</v>
      </c>
      <c r="AG171" s="842" t="s">
        <v>3941</v>
      </c>
      <c r="AH171" s="828" t="s">
        <v>3942</v>
      </c>
      <c r="AI171" s="814" t="s">
        <v>3933</v>
      </c>
      <c r="AJ171" s="809"/>
    </row>
    <row r="172" spans="1:37" x14ac:dyDescent="0.2">
      <c r="A172" s="691" t="s">
        <v>3369</v>
      </c>
      <c r="B172" s="869"/>
      <c r="C172" s="869"/>
      <c r="D172" s="869"/>
      <c r="E172" s="869"/>
      <c r="F172" s="869"/>
      <c r="G172" s="869"/>
      <c r="H172" s="869"/>
      <c r="I172" s="869"/>
      <c r="J172" s="869"/>
      <c r="K172" s="869"/>
      <c r="L172" s="870"/>
      <c r="M172" s="869"/>
      <c r="N172" s="869"/>
      <c r="O172" s="869"/>
      <c r="P172" s="869"/>
      <c r="Q172" s="869"/>
      <c r="R172" s="869"/>
      <c r="S172" s="869"/>
      <c r="T172" s="869"/>
      <c r="U172" s="869"/>
      <c r="V172" s="869"/>
      <c r="W172" s="850"/>
      <c r="AC172" s="824"/>
      <c r="AD172" s="825" t="s">
        <v>3944</v>
      </c>
      <c r="AE172" s="826">
        <v>2</v>
      </c>
      <c r="AF172" s="826">
        <v>60</v>
      </c>
      <c r="AG172" s="842" t="s">
        <v>3945</v>
      </c>
      <c r="AH172" s="828" t="s">
        <v>3946</v>
      </c>
      <c r="AI172" s="814" t="s">
        <v>3933</v>
      </c>
      <c r="AJ172" s="809"/>
    </row>
    <row r="173" spans="1:37" x14ac:dyDescent="0.2">
      <c r="A173" s="849" t="s">
        <v>4011</v>
      </c>
      <c r="B173" s="850">
        <v>2</v>
      </c>
      <c r="C173" s="850">
        <v>4</v>
      </c>
      <c r="D173" s="850">
        <v>10</v>
      </c>
      <c r="E173" s="850">
        <v>1</v>
      </c>
      <c r="F173" s="850">
        <v>2</v>
      </c>
      <c r="G173" s="850">
        <v>4</v>
      </c>
      <c r="H173" s="850">
        <v>1</v>
      </c>
      <c r="I173" s="851" t="s">
        <v>3308</v>
      </c>
      <c r="J173" s="851" t="s">
        <v>1534</v>
      </c>
      <c r="K173" s="850" t="s">
        <v>1692</v>
      </c>
      <c r="L173" s="852" t="s">
        <v>1809</v>
      </c>
      <c r="M173" s="849" t="s">
        <v>3442</v>
      </c>
      <c r="N173" s="852" t="s">
        <v>1687</v>
      </c>
      <c r="O173" s="849" t="s">
        <v>3352</v>
      </c>
      <c r="P173" s="852" t="s">
        <v>1700</v>
      </c>
      <c r="Q173" s="849" t="s">
        <v>3351</v>
      </c>
      <c r="R173" s="852" t="s">
        <v>1701</v>
      </c>
      <c r="S173" s="849" t="s">
        <v>3351</v>
      </c>
      <c r="T173" s="853" t="s">
        <v>1929</v>
      </c>
      <c r="U173" s="853" t="s">
        <v>2024</v>
      </c>
      <c r="V173" s="795" t="s">
        <v>3228</v>
      </c>
      <c r="W173" s="850"/>
      <c r="AC173" s="824"/>
      <c r="AD173" s="825" t="s">
        <v>3948</v>
      </c>
      <c r="AE173" s="826">
        <v>2</v>
      </c>
      <c r="AF173" s="826">
        <v>100</v>
      </c>
      <c r="AG173" s="842" t="s">
        <v>3949</v>
      </c>
      <c r="AH173" s="828" t="s">
        <v>3950</v>
      </c>
      <c r="AI173" s="814" t="s">
        <v>3933</v>
      </c>
      <c r="AJ173" s="809"/>
    </row>
    <row r="174" spans="1:37" x14ac:dyDescent="0.2">
      <c r="A174" s="849" t="s">
        <v>4012</v>
      </c>
      <c r="B174" s="850">
        <v>3</v>
      </c>
      <c r="C174" s="850">
        <v>5</v>
      </c>
      <c r="D174" s="850">
        <v>15</v>
      </c>
      <c r="E174" s="850">
        <v>2</v>
      </c>
      <c r="F174" s="850">
        <v>4</v>
      </c>
      <c r="G174" s="850">
        <v>7</v>
      </c>
      <c r="H174" s="850">
        <v>1</v>
      </c>
      <c r="I174" s="851" t="s">
        <v>3308</v>
      </c>
      <c r="J174" s="851" t="s">
        <v>1534</v>
      </c>
      <c r="K174" s="850" t="s">
        <v>1692</v>
      </c>
      <c r="L174" s="852" t="s">
        <v>1809</v>
      </c>
      <c r="M174" s="849" t="s">
        <v>3442</v>
      </c>
      <c r="N174" s="852" t="s">
        <v>1687</v>
      </c>
      <c r="O174" s="849" t="s">
        <v>3352</v>
      </c>
      <c r="P174" s="852" t="s">
        <v>1700</v>
      </c>
      <c r="Q174" s="849" t="s">
        <v>3351</v>
      </c>
      <c r="R174" s="852" t="s">
        <v>1701</v>
      </c>
      <c r="S174" s="849" t="s">
        <v>3351</v>
      </c>
      <c r="T174" s="853" t="s">
        <v>1929</v>
      </c>
      <c r="U174" s="853" t="s">
        <v>2024</v>
      </c>
      <c r="V174" s="795" t="s">
        <v>3228</v>
      </c>
      <c r="W174" s="850"/>
      <c r="AC174" s="824"/>
      <c r="AD174" s="825" t="s">
        <v>3952</v>
      </c>
      <c r="AE174" s="826">
        <v>2</v>
      </c>
      <c r="AF174" s="826">
        <v>65</v>
      </c>
      <c r="AG174" s="842" t="s">
        <v>3854</v>
      </c>
      <c r="AH174" s="828" t="s">
        <v>3953</v>
      </c>
      <c r="AI174" s="814" t="s">
        <v>3954</v>
      </c>
      <c r="AJ174" s="809"/>
    </row>
    <row r="175" spans="1:37" x14ac:dyDescent="0.2">
      <c r="A175" s="849" t="s">
        <v>4013</v>
      </c>
      <c r="B175" s="850">
        <v>5</v>
      </c>
      <c r="C175" s="850">
        <v>8</v>
      </c>
      <c r="D175" s="850">
        <v>20</v>
      </c>
      <c r="E175" s="850">
        <v>3</v>
      </c>
      <c r="F175" s="850">
        <v>6</v>
      </c>
      <c r="G175" s="850">
        <v>11</v>
      </c>
      <c r="H175" s="850">
        <v>1</v>
      </c>
      <c r="I175" s="851" t="s">
        <v>3308</v>
      </c>
      <c r="J175" s="851" t="s">
        <v>1534</v>
      </c>
      <c r="K175" s="850" t="s">
        <v>1692</v>
      </c>
      <c r="L175" s="852" t="s">
        <v>1809</v>
      </c>
      <c r="M175" s="849" t="s">
        <v>3442</v>
      </c>
      <c r="N175" s="852" t="s">
        <v>1687</v>
      </c>
      <c r="O175" s="849" t="s">
        <v>3352</v>
      </c>
      <c r="P175" s="852" t="s">
        <v>1700</v>
      </c>
      <c r="Q175" s="849" t="s">
        <v>3351</v>
      </c>
      <c r="R175" s="852" t="s">
        <v>1701</v>
      </c>
      <c r="S175" s="849" t="s">
        <v>3351</v>
      </c>
      <c r="T175" s="853" t="s">
        <v>1929</v>
      </c>
      <c r="U175" s="853" t="s">
        <v>2024</v>
      </c>
      <c r="V175" s="795" t="s">
        <v>3228</v>
      </c>
      <c r="W175" s="850"/>
      <c r="AC175" s="824"/>
      <c r="AD175" s="825" t="s">
        <v>3956</v>
      </c>
      <c r="AE175" s="826">
        <v>3</v>
      </c>
      <c r="AF175" s="826">
        <v>95</v>
      </c>
      <c r="AG175" s="842" t="s">
        <v>3957</v>
      </c>
      <c r="AH175" s="828" t="s">
        <v>3958</v>
      </c>
      <c r="AI175" s="814" t="s">
        <v>3933</v>
      </c>
      <c r="AJ175" s="809"/>
    </row>
    <row r="176" spans="1:37" x14ac:dyDescent="0.2">
      <c r="A176" s="849" t="s">
        <v>4014</v>
      </c>
      <c r="B176" s="850">
        <v>7</v>
      </c>
      <c r="C176" s="850">
        <v>10</v>
      </c>
      <c r="D176" s="850">
        <v>25</v>
      </c>
      <c r="E176" s="850">
        <v>4</v>
      </c>
      <c r="F176" s="850">
        <v>8</v>
      </c>
      <c r="G176" s="850">
        <v>14</v>
      </c>
      <c r="H176" s="850">
        <v>2</v>
      </c>
      <c r="I176" s="851" t="s">
        <v>3308</v>
      </c>
      <c r="J176" s="851" t="s">
        <v>1534</v>
      </c>
      <c r="K176" s="850" t="s">
        <v>1692</v>
      </c>
      <c r="L176" s="852" t="s">
        <v>1809</v>
      </c>
      <c r="M176" s="849" t="s">
        <v>3442</v>
      </c>
      <c r="N176" s="852" t="s">
        <v>1687</v>
      </c>
      <c r="O176" s="849" t="s">
        <v>3352</v>
      </c>
      <c r="P176" s="852" t="s">
        <v>1700</v>
      </c>
      <c r="Q176" s="849" t="s">
        <v>3351</v>
      </c>
      <c r="R176" s="852" t="s">
        <v>1701</v>
      </c>
      <c r="S176" s="849" t="s">
        <v>3351</v>
      </c>
      <c r="T176" s="853" t="s">
        <v>1929</v>
      </c>
      <c r="U176" s="853" t="s">
        <v>2024</v>
      </c>
      <c r="V176" s="795" t="s">
        <v>3228</v>
      </c>
      <c r="W176" s="850"/>
      <c r="AC176" s="824"/>
      <c r="AD176" s="825" t="s">
        <v>3960</v>
      </c>
      <c r="AE176" s="826">
        <v>3</v>
      </c>
      <c r="AF176" s="826">
        <v>80</v>
      </c>
      <c r="AG176" s="842" t="s">
        <v>3961</v>
      </c>
      <c r="AH176" s="828" t="s">
        <v>3962</v>
      </c>
      <c r="AI176" s="814" t="s">
        <v>3963</v>
      </c>
      <c r="AJ176" s="809"/>
    </row>
    <row r="177" spans="1:36" x14ac:dyDescent="0.2">
      <c r="A177" s="849" t="s">
        <v>4015</v>
      </c>
      <c r="B177" s="850">
        <v>10</v>
      </c>
      <c r="C177" s="850">
        <v>13</v>
      </c>
      <c r="D177" s="850">
        <v>35</v>
      </c>
      <c r="E177" s="850">
        <v>6</v>
      </c>
      <c r="F177" s="850">
        <v>12</v>
      </c>
      <c r="G177" s="850">
        <v>21</v>
      </c>
      <c r="H177" s="850">
        <v>2</v>
      </c>
      <c r="I177" s="851" t="s">
        <v>3308</v>
      </c>
      <c r="J177" s="851" t="s">
        <v>1534</v>
      </c>
      <c r="K177" s="850" t="s">
        <v>1692</v>
      </c>
      <c r="L177" s="852" t="s">
        <v>1809</v>
      </c>
      <c r="M177" s="849" t="s">
        <v>3442</v>
      </c>
      <c r="N177" s="852" t="s">
        <v>1687</v>
      </c>
      <c r="O177" s="849" t="s">
        <v>3352</v>
      </c>
      <c r="P177" s="852" t="s">
        <v>1700</v>
      </c>
      <c r="Q177" s="849" t="s">
        <v>3351</v>
      </c>
      <c r="R177" s="852" t="s">
        <v>1701</v>
      </c>
      <c r="S177" s="849" t="s">
        <v>3351</v>
      </c>
      <c r="T177" s="853" t="s">
        <v>1929</v>
      </c>
      <c r="U177" s="853" t="s">
        <v>2024</v>
      </c>
      <c r="V177" s="795" t="s">
        <v>3228</v>
      </c>
      <c r="W177" s="850"/>
      <c r="AC177" s="832"/>
      <c r="AD177" s="833" t="s">
        <v>3965</v>
      </c>
      <c r="AE177" s="838"/>
      <c r="AF177" s="834"/>
      <c r="AG177" s="843"/>
      <c r="AH177" s="836"/>
      <c r="AI177" s="808"/>
      <c r="AJ177" s="809"/>
    </row>
    <row r="178" spans="1:36" x14ac:dyDescent="0.2">
      <c r="A178" s="849" t="s">
        <v>4016</v>
      </c>
      <c r="B178" s="850">
        <v>12</v>
      </c>
      <c r="C178" s="850">
        <v>15</v>
      </c>
      <c r="D178" s="850">
        <v>40</v>
      </c>
      <c r="E178" s="850">
        <v>8</v>
      </c>
      <c r="F178" s="850">
        <v>16</v>
      </c>
      <c r="G178" s="850">
        <v>28</v>
      </c>
      <c r="H178" s="850">
        <v>3</v>
      </c>
      <c r="I178" s="851" t="s">
        <v>3308</v>
      </c>
      <c r="J178" s="851" t="s">
        <v>1534</v>
      </c>
      <c r="K178" s="850" t="s">
        <v>1692</v>
      </c>
      <c r="L178" s="852" t="s">
        <v>1809</v>
      </c>
      <c r="M178" s="849" t="s">
        <v>3442</v>
      </c>
      <c r="N178" s="852" t="s">
        <v>1687</v>
      </c>
      <c r="O178" s="849" t="s">
        <v>3352</v>
      </c>
      <c r="P178" s="852" t="s">
        <v>1700</v>
      </c>
      <c r="Q178" s="849" t="s">
        <v>3351</v>
      </c>
      <c r="R178" s="852" t="s">
        <v>1701</v>
      </c>
      <c r="S178" s="849" t="s">
        <v>3351</v>
      </c>
      <c r="T178" s="853" t="s">
        <v>1929</v>
      </c>
      <c r="U178" s="853" t="s">
        <v>2024</v>
      </c>
      <c r="V178" s="795" t="s">
        <v>3228</v>
      </c>
      <c r="W178" s="850"/>
      <c r="AC178" s="824"/>
      <c r="AD178" s="825" t="s">
        <v>3967</v>
      </c>
      <c r="AE178" s="826">
        <v>1</v>
      </c>
      <c r="AF178" s="826">
        <v>35</v>
      </c>
      <c r="AG178" s="842" t="s">
        <v>3968</v>
      </c>
      <c r="AH178" s="828" t="s">
        <v>3969</v>
      </c>
      <c r="AI178" s="814"/>
      <c r="AJ178" s="809"/>
    </row>
    <row r="179" spans="1:36" x14ac:dyDescent="0.2">
      <c r="A179" s="849" t="s">
        <v>4017</v>
      </c>
      <c r="B179" s="850">
        <v>14</v>
      </c>
      <c r="C179" s="850">
        <v>18</v>
      </c>
      <c r="D179" s="850">
        <v>50</v>
      </c>
      <c r="E179" s="850">
        <v>10</v>
      </c>
      <c r="F179" s="850">
        <v>20</v>
      </c>
      <c r="G179" s="850">
        <v>35</v>
      </c>
      <c r="H179" s="850">
        <v>3</v>
      </c>
      <c r="I179" s="851" t="s">
        <v>3308</v>
      </c>
      <c r="J179" s="851" t="s">
        <v>1534</v>
      </c>
      <c r="K179" s="850" t="s">
        <v>1692</v>
      </c>
      <c r="L179" s="852" t="s">
        <v>1809</v>
      </c>
      <c r="M179" s="849" t="s">
        <v>3442</v>
      </c>
      <c r="N179" s="852" t="s">
        <v>1687</v>
      </c>
      <c r="O179" s="849" t="s">
        <v>3352</v>
      </c>
      <c r="P179" s="852" t="s">
        <v>1700</v>
      </c>
      <c r="Q179" s="849" t="s">
        <v>3351</v>
      </c>
      <c r="R179" s="852" t="s">
        <v>1701</v>
      </c>
      <c r="S179" s="849" t="s">
        <v>3351</v>
      </c>
      <c r="T179" s="853" t="s">
        <v>1929</v>
      </c>
      <c r="U179" s="853" t="s">
        <v>2024</v>
      </c>
      <c r="V179" s="795" t="s">
        <v>3228</v>
      </c>
      <c r="W179" s="850"/>
      <c r="AC179" s="824"/>
      <c r="AD179" s="825" t="s">
        <v>3971</v>
      </c>
      <c r="AE179" s="826">
        <v>1</v>
      </c>
      <c r="AF179" s="826">
        <v>25</v>
      </c>
      <c r="AG179" s="842" t="s">
        <v>3972</v>
      </c>
      <c r="AH179" s="828" t="s">
        <v>3973</v>
      </c>
      <c r="AI179" s="814"/>
      <c r="AJ179" s="854"/>
    </row>
    <row r="180" spans="1:36" x14ac:dyDescent="0.2">
      <c r="A180" s="691" t="s">
        <v>3374</v>
      </c>
      <c r="B180" s="869"/>
      <c r="C180" s="869"/>
      <c r="D180" s="869"/>
      <c r="E180" s="869"/>
      <c r="F180" s="869"/>
      <c r="G180" s="869"/>
      <c r="H180" s="869"/>
      <c r="I180" s="869"/>
      <c r="J180" s="869"/>
      <c r="K180" s="869"/>
      <c r="L180" s="870"/>
      <c r="M180" s="869"/>
      <c r="N180" s="869"/>
      <c r="O180" s="869"/>
      <c r="P180" s="869"/>
      <c r="Q180" s="869"/>
      <c r="R180" s="869"/>
      <c r="S180" s="869"/>
      <c r="T180" s="869"/>
      <c r="U180" s="869"/>
      <c r="V180" s="869"/>
      <c r="W180" s="850"/>
      <c r="AC180" s="824"/>
      <c r="AD180" s="825" t="s">
        <v>3975</v>
      </c>
      <c r="AE180" s="826">
        <v>2</v>
      </c>
      <c r="AF180" s="826">
        <v>45</v>
      </c>
      <c r="AG180" s="842" t="s">
        <v>3976</v>
      </c>
      <c r="AH180" s="828" t="s">
        <v>3977</v>
      </c>
      <c r="AI180" s="814"/>
      <c r="AJ180" s="854"/>
    </row>
    <row r="181" spans="1:36" x14ac:dyDescent="0.2">
      <c r="A181" s="849" t="s">
        <v>4018</v>
      </c>
      <c r="B181" s="850">
        <v>10</v>
      </c>
      <c r="C181" s="850">
        <v>15</v>
      </c>
      <c r="D181" s="850">
        <v>25</v>
      </c>
      <c r="E181" s="850">
        <v>4</v>
      </c>
      <c r="F181" s="850">
        <v>8</v>
      </c>
      <c r="G181" s="850">
        <v>14</v>
      </c>
      <c r="H181" s="850">
        <v>1</v>
      </c>
      <c r="I181" s="851" t="s">
        <v>3303</v>
      </c>
      <c r="J181" s="851" t="s">
        <v>1534</v>
      </c>
      <c r="K181" s="850" t="s">
        <v>1692</v>
      </c>
      <c r="L181" s="852" t="s">
        <v>1809</v>
      </c>
      <c r="M181" s="849" t="s">
        <v>3351</v>
      </c>
      <c r="N181" s="852" t="s">
        <v>1687</v>
      </c>
      <c r="O181" s="849" t="s">
        <v>3352</v>
      </c>
      <c r="P181" s="852" t="s">
        <v>1700</v>
      </c>
      <c r="Q181" s="849" t="s">
        <v>3442</v>
      </c>
      <c r="R181" s="852" t="s">
        <v>1701</v>
      </c>
      <c r="S181" s="849" t="s">
        <v>3442</v>
      </c>
      <c r="T181" s="853" t="s">
        <v>1929</v>
      </c>
      <c r="U181" s="853" t="s">
        <v>2024</v>
      </c>
      <c r="V181" s="795" t="s">
        <v>3228</v>
      </c>
      <c r="W181" s="850"/>
      <c r="AC181" s="824"/>
      <c r="AD181" s="825" t="s">
        <v>3979</v>
      </c>
      <c r="AE181" s="826">
        <v>2</v>
      </c>
      <c r="AF181" s="826">
        <v>45</v>
      </c>
      <c r="AG181" s="842" t="s">
        <v>3980</v>
      </c>
      <c r="AH181" s="828" t="s">
        <v>3981</v>
      </c>
      <c r="AI181" s="814"/>
      <c r="AJ181" s="854"/>
    </row>
    <row r="182" spans="1:36" x14ac:dyDescent="0.2">
      <c r="A182" s="849" t="s">
        <v>4019</v>
      </c>
      <c r="B182" s="850">
        <v>15</v>
      </c>
      <c r="C182" s="850">
        <v>20</v>
      </c>
      <c r="D182" s="850">
        <v>40</v>
      </c>
      <c r="E182" s="850">
        <v>8</v>
      </c>
      <c r="F182" s="850">
        <v>16</v>
      </c>
      <c r="G182" s="850">
        <v>28</v>
      </c>
      <c r="H182" s="850">
        <v>2</v>
      </c>
      <c r="I182" s="851" t="s">
        <v>3303</v>
      </c>
      <c r="J182" s="851" t="s">
        <v>1534</v>
      </c>
      <c r="K182" s="850" t="s">
        <v>1692</v>
      </c>
      <c r="L182" s="852" t="s">
        <v>1809</v>
      </c>
      <c r="M182" s="849" t="s">
        <v>3351</v>
      </c>
      <c r="N182" s="852" t="s">
        <v>1687</v>
      </c>
      <c r="O182" s="849" t="s">
        <v>3352</v>
      </c>
      <c r="P182" s="852" t="s">
        <v>1700</v>
      </c>
      <c r="Q182" s="849" t="s">
        <v>3442</v>
      </c>
      <c r="R182" s="852" t="s">
        <v>1701</v>
      </c>
      <c r="S182" s="849" t="s">
        <v>3442</v>
      </c>
      <c r="T182" s="853" t="s">
        <v>1929</v>
      </c>
      <c r="U182" s="853" t="s">
        <v>2024</v>
      </c>
      <c r="V182" s="795" t="s">
        <v>3228</v>
      </c>
      <c r="W182" s="850"/>
      <c r="AC182" s="824"/>
      <c r="AD182" s="825" t="s">
        <v>3983</v>
      </c>
      <c r="AE182" s="826">
        <v>3</v>
      </c>
      <c r="AF182" s="826">
        <v>75</v>
      </c>
      <c r="AG182" s="842" t="s">
        <v>3984</v>
      </c>
      <c r="AH182" s="828" t="s">
        <v>3985</v>
      </c>
      <c r="AI182" s="814"/>
      <c r="AJ182" s="854"/>
    </row>
    <row r="183" spans="1:36" x14ac:dyDescent="0.2">
      <c r="A183" s="849" t="s">
        <v>4020</v>
      </c>
      <c r="B183" s="850">
        <v>20</v>
      </c>
      <c r="C183" s="850">
        <v>30</v>
      </c>
      <c r="D183" s="850">
        <v>80</v>
      </c>
      <c r="E183" s="850">
        <v>12</v>
      </c>
      <c r="F183" s="850">
        <v>24</v>
      </c>
      <c r="G183" s="850">
        <v>42</v>
      </c>
      <c r="H183" s="850">
        <v>3</v>
      </c>
      <c r="I183" s="851" t="s">
        <v>3303</v>
      </c>
      <c r="J183" s="851" t="s">
        <v>1534</v>
      </c>
      <c r="K183" s="850" t="s">
        <v>1692</v>
      </c>
      <c r="L183" s="852" t="s">
        <v>1809</v>
      </c>
      <c r="M183" s="849" t="s">
        <v>3351</v>
      </c>
      <c r="N183" s="852" t="s">
        <v>1687</v>
      </c>
      <c r="O183" s="849" t="s">
        <v>3352</v>
      </c>
      <c r="P183" s="852" t="s">
        <v>1700</v>
      </c>
      <c r="Q183" s="849" t="s">
        <v>3442</v>
      </c>
      <c r="R183" s="852" t="s">
        <v>1701</v>
      </c>
      <c r="S183" s="849" t="s">
        <v>3442</v>
      </c>
      <c r="T183" s="853" t="s">
        <v>1929</v>
      </c>
      <c r="U183" s="853" t="s">
        <v>2024</v>
      </c>
      <c r="V183" s="795" t="s">
        <v>3228</v>
      </c>
      <c r="W183" s="850"/>
      <c r="AC183" s="832"/>
      <c r="AD183" s="833" t="s">
        <v>3987</v>
      </c>
      <c r="AE183" s="838"/>
      <c r="AF183" s="834"/>
      <c r="AG183" s="843"/>
      <c r="AH183" s="836"/>
      <c r="AI183" s="808"/>
      <c r="AJ183" s="854"/>
    </row>
    <row r="184" spans="1:36" x14ac:dyDescent="0.2">
      <c r="A184" s="691" t="s">
        <v>3379</v>
      </c>
      <c r="B184" s="869"/>
      <c r="C184" s="869"/>
      <c r="D184" s="869"/>
      <c r="E184" s="869"/>
      <c r="F184" s="869"/>
      <c r="G184" s="869"/>
      <c r="H184" s="869"/>
      <c r="I184" s="869"/>
      <c r="J184" s="869"/>
      <c r="K184" s="869"/>
      <c r="L184" s="870"/>
      <c r="M184" s="869"/>
      <c r="N184" s="869"/>
      <c r="O184" s="869"/>
      <c r="P184" s="869"/>
      <c r="Q184" s="869"/>
      <c r="R184" s="869"/>
      <c r="S184" s="869"/>
      <c r="T184" s="869"/>
      <c r="U184" s="869"/>
      <c r="V184" s="869"/>
      <c r="W184" s="850"/>
      <c r="AC184" s="824"/>
      <c r="AD184" s="825" t="s">
        <v>3989</v>
      </c>
      <c r="AE184" s="826">
        <v>1</v>
      </c>
      <c r="AF184" s="826">
        <v>50</v>
      </c>
      <c r="AG184" s="842" t="s">
        <v>3990</v>
      </c>
      <c r="AH184" s="828" t="s">
        <v>3991</v>
      </c>
      <c r="AI184" s="814"/>
      <c r="AJ184" s="854"/>
    </row>
    <row r="185" spans="1:36" x14ac:dyDescent="0.2">
      <c r="A185" s="849" t="s">
        <v>4021</v>
      </c>
      <c r="B185" s="850">
        <v>20</v>
      </c>
      <c r="C185" s="850">
        <v>30</v>
      </c>
      <c r="D185" s="850">
        <v>40</v>
      </c>
      <c r="E185" s="850">
        <v>8</v>
      </c>
      <c r="F185" s="850">
        <v>16</v>
      </c>
      <c r="G185" s="850">
        <v>28</v>
      </c>
      <c r="H185" s="850">
        <v>1</v>
      </c>
      <c r="I185" s="851" t="s">
        <v>3308</v>
      </c>
      <c r="J185" s="851" t="s">
        <v>1534</v>
      </c>
      <c r="K185" s="850" t="s">
        <v>1692</v>
      </c>
      <c r="L185" s="852" t="s">
        <v>1809</v>
      </c>
      <c r="M185" s="849" t="s">
        <v>3351</v>
      </c>
      <c r="N185" s="852" t="s">
        <v>1687</v>
      </c>
      <c r="O185" s="849" t="s">
        <v>3352</v>
      </c>
      <c r="P185" s="852" t="s">
        <v>1700</v>
      </c>
      <c r="Q185" s="849" t="s">
        <v>3442</v>
      </c>
      <c r="R185" s="852" t="s">
        <v>1701</v>
      </c>
      <c r="S185" s="849" t="s">
        <v>3442</v>
      </c>
      <c r="T185" s="853" t="s">
        <v>1929</v>
      </c>
      <c r="U185" s="853" t="s">
        <v>2024</v>
      </c>
      <c r="V185" s="795" t="s">
        <v>3228</v>
      </c>
      <c r="W185" s="850"/>
      <c r="AC185" s="824"/>
      <c r="AD185" s="825" t="s">
        <v>3993</v>
      </c>
      <c r="AE185" s="826">
        <v>1</v>
      </c>
      <c r="AF185" s="826">
        <v>40</v>
      </c>
      <c r="AG185" s="842" t="s">
        <v>3994</v>
      </c>
      <c r="AH185" s="828" t="s">
        <v>3995</v>
      </c>
      <c r="AI185" s="814"/>
      <c r="AJ185" s="854"/>
    </row>
    <row r="186" spans="1:36" x14ac:dyDescent="0.2">
      <c r="A186" s="849" t="s">
        <v>4022</v>
      </c>
      <c r="B186" s="850">
        <v>30</v>
      </c>
      <c r="C186" s="850">
        <v>36</v>
      </c>
      <c r="D186" s="850">
        <v>70</v>
      </c>
      <c r="E186" s="850">
        <v>16</v>
      </c>
      <c r="F186" s="850">
        <v>32</v>
      </c>
      <c r="G186" s="850">
        <v>56</v>
      </c>
      <c r="H186" s="850">
        <v>2</v>
      </c>
      <c r="I186" s="851" t="s">
        <v>3308</v>
      </c>
      <c r="J186" s="851" t="s">
        <v>1534</v>
      </c>
      <c r="K186" s="850" t="s">
        <v>1692</v>
      </c>
      <c r="L186" s="852" t="s">
        <v>1809</v>
      </c>
      <c r="M186" s="849" t="s">
        <v>3351</v>
      </c>
      <c r="N186" s="852" t="s">
        <v>1687</v>
      </c>
      <c r="O186" s="849" t="s">
        <v>3352</v>
      </c>
      <c r="P186" s="852" t="s">
        <v>1700</v>
      </c>
      <c r="Q186" s="849" t="s">
        <v>3442</v>
      </c>
      <c r="R186" s="852" t="s">
        <v>1701</v>
      </c>
      <c r="S186" s="849" t="s">
        <v>3442</v>
      </c>
      <c r="T186" s="853" t="s">
        <v>1929</v>
      </c>
      <c r="U186" s="853" t="s">
        <v>2024</v>
      </c>
      <c r="V186" s="795" t="s">
        <v>3228</v>
      </c>
      <c r="W186" s="850"/>
      <c r="AC186" s="824"/>
      <c r="AD186" s="825" t="s">
        <v>3997</v>
      </c>
      <c r="AE186" s="826">
        <v>2</v>
      </c>
      <c r="AF186" s="826">
        <v>100</v>
      </c>
      <c r="AG186" s="842" t="s">
        <v>3998</v>
      </c>
      <c r="AH186" s="828" t="s">
        <v>3999</v>
      </c>
      <c r="AI186" s="814" t="s">
        <v>4000</v>
      </c>
      <c r="AJ186" s="854"/>
    </row>
    <row r="187" spans="1:36" x14ac:dyDescent="0.2">
      <c r="A187" s="849" t="s">
        <v>4023</v>
      </c>
      <c r="B187" s="850">
        <v>40</v>
      </c>
      <c r="C187" s="850">
        <v>48</v>
      </c>
      <c r="D187" s="850">
        <v>100</v>
      </c>
      <c r="E187" s="850">
        <v>22</v>
      </c>
      <c r="F187" s="850">
        <v>44</v>
      </c>
      <c r="G187" s="850">
        <v>77</v>
      </c>
      <c r="H187" s="850">
        <v>3</v>
      </c>
      <c r="I187" s="851" t="s">
        <v>3308</v>
      </c>
      <c r="J187" s="851" t="s">
        <v>1534</v>
      </c>
      <c r="K187" s="850" t="s">
        <v>1692</v>
      </c>
      <c r="L187" s="852" t="s">
        <v>1809</v>
      </c>
      <c r="M187" s="849" t="s">
        <v>3351</v>
      </c>
      <c r="N187" s="852" t="s">
        <v>1687</v>
      </c>
      <c r="O187" s="849" t="s">
        <v>3352</v>
      </c>
      <c r="P187" s="852" t="s">
        <v>1700</v>
      </c>
      <c r="Q187" s="849" t="s">
        <v>3442</v>
      </c>
      <c r="R187" s="852" t="s">
        <v>1701</v>
      </c>
      <c r="S187" s="849" t="s">
        <v>3442</v>
      </c>
      <c r="T187" s="853" t="s">
        <v>1929</v>
      </c>
      <c r="U187" s="853" t="s">
        <v>2024</v>
      </c>
      <c r="V187" s="795" t="s">
        <v>3228</v>
      </c>
      <c r="W187" s="850"/>
      <c r="AC187" s="824"/>
      <c r="AD187" s="825" t="s">
        <v>4002</v>
      </c>
      <c r="AE187" s="826">
        <v>2</v>
      </c>
      <c r="AF187" s="826">
        <v>100</v>
      </c>
      <c r="AG187" s="842" t="s">
        <v>4003</v>
      </c>
      <c r="AH187" s="828" t="s">
        <v>4004</v>
      </c>
      <c r="AI187" s="814"/>
      <c r="AJ187" s="854"/>
    </row>
    <row r="188" spans="1:36" ht="13.5" thickBot="1" x14ac:dyDescent="0.25">
      <c r="A188" s="849" t="s">
        <v>3384</v>
      </c>
      <c r="B188" s="869"/>
      <c r="C188" s="869"/>
      <c r="D188" s="869"/>
      <c r="E188" s="869"/>
      <c r="F188" s="869"/>
      <c r="G188" s="869"/>
      <c r="H188" s="869"/>
      <c r="I188" s="869"/>
      <c r="J188" s="869"/>
      <c r="K188" s="869"/>
      <c r="L188" s="870"/>
      <c r="M188" s="869"/>
      <c r="N188" s="869"/>
      <c r="O188" s="869"/>
      <c r="P188" s="869"/>
      <c r="Q188" s="869"/>
      <c r="R188" s="869"/>
      <c r="S188" s="869"/>
      <c r="T188" s="869"/>
      <c r="U188" s="869"/>
      <c r="V188" s="869"/>
      <c r="W188" s="850"/>
      <c r="AC188" s="861"/>
      <c r="AD188" s="862" t="s">
        <v>4006</v>
      </c>
      <c r="AE188" s="863">
        <v>3</v>
      </c>
      <c r="AF188" s="863">
        <v>200</v>
      </c>
      <c r="AG188" s="864" t="s">
        <v>4007</v>
      </c>
      <c r="AH188" s="865" t="s">
        <v>4008</v>
      </c>
      <c r="AI188" s="866" t="s">
        <v>4009</v>
      </c>
      <c r="AJ188" s="867"/>
    </row>
    <row r="189" spans="1:36" x14ac:dyDescent="0.2">
      <c r="A189" s="849" t="s">
        <v>4024</v>
      </c>
      <c r="B189" s="850">
        <v>1</v>
      </c>
      <c r="C189" s="850">
        <v>2</v>
      </c>
      <c r="D189" s="850">
        <v>5</v>
      </c>
      <c r="E189" s="850">
        <v>1</v>
      </c>
      <c r="F189" s="850">
        <v>2</v>
      </c>
      <c r="G189" s="850">
        <v>4</v>
      </c>
      <c r="H189" s="850">
        <v>1</v>
      </c>
      <c r="I189" s="851" t="s">
        <v>3303</v>
      </c>
      <c r="J189" s="851" t="s">
        <v>1534</v>
      </c>
      <c r="K189" s="850" t="s">
        <v>1692</v>
      </c>
      <c r="L189" s="852" t="s">
        <v>1809</v>
      </c>
      <c r="M189" s="849" t="s">
        <v>3442</v>
      </c>
      <c r="N189" s="852" t="s">
        <v>1687</v>
      </c>
      <c r="O189" s="849" t="s">
        <v>3352</v>
      </c>
      <c r="P189" s="852" t="s">
        <v>1700</v>
      </c>
      <c r="Q189" s="849" t="s">
        <v>3351</v>
      </c>
      <c r="R189" s="852" t="s">
        <v>1701</v>
      </c>
      <c r="S189" s="849" t="s">
        <v>3351</v>
      </c>
      <c r="T189" s="853" t="s">
        <v>1929</v>
      </c>
      <c r="U189" s="853" t="s">
        <v>2024</v>
      </c>
      <c r="V189" s="795" t="s">
        <v>3228</v>
      </c>
      <c r="W189" s="850"/>
    </row>
    <row r="190" spans="1:36" x14ac:dyDescent="0.2">
      <c r="A190" s="849" t="s">
        <v>4025</v>
      </c>
      <c r="B190" s="850">
        <v>3</v>
      </c>
      <c r="C190" s="850">
        <v>5</v>
      </c>
      <c r="D190" s="850">
        <v>10</v>
      </c>
      <c r="E190" s="850">
        <v>2</v>
      </c>
      <c r="F190" s="850">
        <v>4</v>
      </c>
      <c r="G190" s="850">
        <v>7</v>
      </c>
      <c r="H190" s="850">
        <v>1</v>
      </c>
      <c r="I190" s="851" t="s">
        <v>3303</v>
      </c>
      <c r="J190" s="851" t="s">
        <v>1534</v>
      </c>
      <c r="K190" s="850" t="s">
        <v>1692</v>
      </c>
      <c r="L190" s="852" t="s">
        <v>1809</v>
      </c>
      <c r="M190" s="849" t="s">
        <v>3442</v>
      </c>
      <c r="N190" s="852" t="s">
        <v>1687</v>
      </c>
      <c r="O190" s="849" t="s">
        <v>3352</v>
      </c>
      <c r="P190" s="852" t="s">
        <v>1700</v>
      </c>
      <c r="Q190" s="849" t="s">
        <v>3351</v>
      </c>
      <c r="R190" s="852" t="s">
        <v>1701</v>
      </c>
      <c r="S190" s="849" t="s">
        <v>3351</v>
      </c>
      <c r="T190" s="853" t="s">
        <v>1929</v>
      </c>
      <c r="U190" s="853" t="s">
        <v>2024</v>
      </c>
      <c r="V190" s="795" t="s">
        <v>3228</v>
      </c>
      <c r="W190" s="850"/>
    </row>
    <row r="191" spans="1:36" x14ac:dyDescent="0.2">
      <c r="A191" s="849" t="s">
        <v>4026</v>
      </c>
      <c r="B191" s="850">
        <v>5</v>
      </c>
      <c r="C191" s="850">
        <v>8</v>
      </c>
      <c r="D191" s="850">
        <v>15</v>
      </c>
      <c r="E191" s="850">
        <v>3</v>
      </c>
      <c r="F191" s="850">
        <v>6</v>
      </c>
      <c r="G191" s="850">
        <v>11</v>
      </c>
      <c r="H191" s="850">
        <v>1</v>
      </c>
      <c r="I191" s="851" t="s">
        <v>3303</v>
      </c>
      <c r="J191" s="851" t="s">
        <v>1534</v>
      </c>
      <c r="K191" s="850" t="s">
        <v>1692</v>
      </c>
      <c r="L191" s="852" t="s">
        <v>1809</v>
      </c>
      <c r="M191" s="849" t="s">
        <v>3442</v>
      </c>
      <c r="N191" s="852" t="s">
        <v>1687</v>
      </c>
      <c r="O191" s="849" t="s">
        <v>3352</v>
      </c>
      <c r="P191" s="852" t="s">
        <v>1700</v>
      </c>
      <c r="Q191" s="849" t="s">
        <v>3351</v>
      </c>
      <c r="R191" s="852" t="s">
        <v>1701</v>
      </c>
      <c r="S191" s="849" t="s">
        <v>3351</v>
      </c>
      <c r="T191" s="853" t="s">
        <v>1929</v>
      </c>
      <c r="U191" s="853" t="s">
        <v>2024</v>
      </c>
      <c r="V191" s="795" t="s">
        <v>3228</v>
      </c>
      <c r="W191" s="850"/>
    </row>
    <row r="192" spans="1:36" x14ac:dyDescent="0.2">
      <c r="A192" s="849" t="s">
        <v>4027</v>
      </c>
      <c r="B192" s="850">
        <v>7</v>
      </c>
      <c r="C192" s="850">
        <v>10</v>
      </c>
      <c r="D192" s="850">
        <v>20</v>
      </c>
      <c r="E192" s="850">
        <v>5</v>
      </c>
      <c r="F192" s="850">
        <v>10</v>
      </c>
      <c r="G192" s="850">
        <v>18</v>
      </c>
      <c r="H192" s="850">
        <v>2</v>
      </c>
      <c r="I192" s="851" t="s">
        <v>3303</v>
      </c>
      <c r="J192" s="851" t="s">
        <v>1534</v>
      </c>
      <c r="K192" s="850" t="s">
        <v>1692</v>
      </c>
      <c r="L192" s="852" t="s">
        <v>1809</v>
      </c>
      <c r="M192" s="849" t="s">
        <v>3442</v>
      </c>
      <c r="N192" s="852" t="s">
        <v>1687</v>
      </c>
      <c r="O192" s="849" t="s">
        <v>3352</v>
      </c>
      <c r="P192" s="852" t="s">
        <v>1700</v>
      </c>
      <c r="Q192" s="849" t="s">
        <v>3351</v>
      </c>
      <c r="R192" s="852" t="s">
        <v>1701</v>
      </c>
      <c r="S192" s="849" t="s">
        <v>3351</v>
      </c>
      <c r="T192" s="853" t="s">
        <v>1929</v>
      </c>
      <c r="U192" s="853" t="s">
        <v>2024</v>
      </c>
      <c r="V192" s="795" t="s">
        <v>3228</v>
      </c>
      <c r="W192" s="850"/>
    </row>
    <row r="193" spans="1:23" x14ac:dyDescent="0.2">
      <c r="A193" s="849" t="s">
        <v>4028</v>
      </c>
      <c r="B193" s="850">
        <v>9</v>
      </c>
      <c r="C193" s="850">
        <v>12</v>
      </c>
      <c r="D193" s="850">
        <v>25</v>
      </c>
      <c r="E193" s="850">
        <v>7</v>
      </c>
      <c r="F193" s="850">
        <v>14</v>
      </c>
      <c r="G193" s="850">
        <v>25</v>
      </c>
      <c r="H193" s="850">
        <v>2</v>
      </c>
      <c r="I193" s="851" t="s">
        <v>3303</v>
      </c>
      <c r="J193" s="851" t="s">
        <v>1534</v>
      </c>
      <c r="K193" s="850" t="s">
        <v>1692</v>
      </c>
      <c r="L193" s="852" t="s">
        <v>1809</v>
      </c>
      <c r="M193" s="849" t="s">
        <v>3442</v>
      </c>
      <c r="N193" s="852" t="s">
        <v>1687</v>
      </c>
      <c r="O193" s="849" t="s">
        <v>3352</v>
      </c>
      <c r="P193" s="852" t="s">
        <v>1700</v>
      </c>
      <c r="Q193" s="849" t="s">
        <v>3351</v>
      </c>
      <c r="R193" s="852" t="s">
        <v>1701</v>
      </c>
      <c r="S193" s="849" t="s">
        <v>3351</v>
      </c>
      <c r="T193" s="853" t="s">
        <v>1929</v>
      </c>
      <c r="U193" s="853" t="s">
        <v>2024</v>
      </c>
      <c r="V193" s="795" t="s">
        <v>3228</v>
      </c>
      <c r="W193" s="850"/>
    </row>
    <row r="194" spans="1:23" x14ac:dyDescent="0.2">
      <c r="A194" s="849" t="s">
        <v>4029</v>
      </c>
      <c r="B194" s="850">
        <v>12</v>
      </c>
      <c r="C194" s="850">
        <v>15</v>
      </c>
      <c r="D194" s="850">
        <v>30</v>
      </c>
      <c r="E194" s="850">
        <v>9</v>
      </c>
      <c r="F194" s="850">
        <v>18</v>
      </c>
      <c r="G194" s="850">
        <v>32</v>
      </c>
      <c r="H194" s="850">
        <v>3</v>
      </c>
      <c r="I194" s="851" t="s">
        <v>3303</v>
      </c>
      <c r="J194" s="851" t="s">
        <v>1534</v>
      </c>
      <c r="K194" s="850" t="s">
        <v>1692</v>
      </c>
      <c r="L194" s="852" t="s">
        <v>1809</v>
      </c>
      <c r="M194" s="849" t="s">
        <v>3442</v>
      </c>
      <c r="N194" s="852" t="s">
        <v>1687</v>
      </c>
      <c r="O194" s="849" t="s">
        <v>3352</v>
      </c>
      <c r="P194" s="852" t="s">
        <v>1700</v>
      </c>
      <c r="Q194" s="849" t="s">
        <v>3351</v>
      </c>
      <c r="R194" s="852" t="s">
        <v>1701</v>
      </c>
      <c r="S194" s="849" t="s">
        <v>3351</v>
      </c>
      <c r="T194" s="853" t="s">
        <v>1929</v>
      </c>
      <c r="U194" s="853" t="s">
        <v>2024</v>
      </c>
      <c r="V194" s="795" t="s">
        <v>3228</v>
      </c>
      <c r="W194" s="850"/>
    </row>
    <row r="195" spans="1:23" x14ac:dyDescent="0.2">
      <c r="A195" s="849" t="s">
        <v>4030</v>
      </c>
      <c r="B195" s="850">
        <v>15</v>
      </c>
      <c r="C195" s="850">
        <v>19</v>
      </c>
      <c r="D195" s="850">
        <v>35</v>
      </c>
      <c r="E195" s="850">
        <v>12</v>
      </c>
      <c r="F195" s="850">
        <v>24</v>
      </c>
      <c r="G195" s="850">
        <v>42</v>
      </c>
      <c r="H195" s="850">
        <v>3</v>
      </c>
      <c r="I195" s="851" t="s">
        <v>3303</v>
      </c>
      <c r="J195" s="851" t="s">
        <v>1534</v>
      </c>
      <c r="K195" s="850" t="s">
        <v>1692</v>
      </c>
      <c r="L195" s="852" t="s">
        <v>1809</v>
      </c>
      <c r="M195" s="849" t="s">
        <v>3442</v>
      </c>
      <c r="N195" s="852" t="s">
        <v>1687</v>
      </c>
      <c r="O195" s="849" t="s">
        <v>3352</v>
      </c>
      <c r="P195" s="852" t="s">
        <v>1700</v>
      </c>
      <c r="Q195" s="849" t="s">
        <v>3351</v>
      </c>
      <c r="R195" s="852" t="s">
        <v>1701</v>
      </c>
      <c r="S195" s="849" t="s">
        <v>3351</v>
      </c>
      <c r="T195" s="853" t="s">
        <v>1929</v>
      </c>
      <c r="U195" s="853" t="s">
        <v>2024</v>
      </c>
      <c r="V195" s="795" t="s">
        <v>3228</v>
      </c>
      <c r="W195" s="850"/>
    </row>
    <row r="196" spans="1:23" x14ac:dyDescent="0.2">
      <c r="A196" s="691" t="s">
        <v>3387</v>
      </c>
      <c r="B196" s="869"/>
      <c r="C196" s="869"/>
      <c r="D196" s="869"/>
      <c r="E196" s="869"/>
      <c r="F196" s="869"/>
      <c r="G196" s="869"/>
      <c r="H196" s="869"/>
      <c r="I196" s="869"/>
      <c r="J196" s="869"/>
      <c r="K196" s="869"/>
      <c r="L196" s="870"/>
      <c r="M196" s="869"/>
      <c r="N196" s="869"/>
      <c r="O196" s="869"/>
      <c r="P196" s="869"/>
      <c r="Q196" s="869"/>
      <c r="R196" s="869"/>
      <c r="S196" s="869"/>
      <c r="T196" s="869"/>
      <c r="U196" s="869"/>
      <c r="V196" s="869"/>
      <c r="W196" s="850"/>
    </row>
    <row r="197" spans="1:23" x14ac:dyDescent="0.2">
      <c r="A197" s="849" t="s">
        <v>4031</v>
      </c>
      <c r="B197" s="850">
        <v>3</v>
      </c>
      <c r="C197" s="850">
        <v>5</v>
      </c>
      <c r="D197" s="850">
        <v>10</v>
      </c>
      <c r="E197" s="850">
        <v>2</v>
      </c>
      <c r="F197" s="850">
        <v>4</v>
      </c>
      <c r="G197" s="850">
        <v>7</v>
      </c>
      <c r="H197" s="850">
        <v>1</v>
      </c>
      <c r="I197" s="851" t="s">
        <v>3308</v>
      </c>
      <c r="J197" s="851" t="s">
        <v>1534</v>
      </c>
      <c r="K197" s="850" t="s">
        <v>1692</v>
      </c>
      <c r="L197" s="852" t="s">
        <v>1809</v>
      </c>
      <c r="M197" s="849" t="s">
        <v>3442</v>
      </c>
      <c r="N197" s="852" t="s">
        <v>1687</v>
      </c>
      <c r="O197" s="849" t="s">
        <v>3352</v>
      </c>
      <c r="P197" s="852" t="s">
        <v>1700</v>
      </c>
      <c r="Q197" s="849" t="s">
        <v>3351</v>
      </c>
      <c r="R197" s="852" t="s">
        <v>1701</v>
      </c>
      <c r="S197" s="849" t="s">
        <v>3351</v>
      </c>
      <c r="T197" s="853" t="s">
        <v>1929</v>
      </c>
      <c r="U197" s="853" t="s">
        <v>2024</v>
      </c>
      <c r="V197" s="795" t="s">
        <v>3228</v>
      </c>
      <c r="W197" s="850"/>
    </row>
    <row r="198" spans="1:23" x14ac:dyDescent="0.2">
      <c r="A198" s="849" t="s">
        <v>4032</v>
      </c>
      <c r="B198" s="850">
        <v>5</v>
      </c>
      <c r="C198" s="850">
        <v>8</v>
      </c>
      <c r="D198" s="850">
        <v>15</v>
      </c>
      <c r="E198" s="850">
        <v>5</v>
      </c>
      <c r="F198" s="850">
        <v>10</v>
      </c>
      <c r="G198" s="850">
        <v>18</v>
      </c>
      <c r="H198" s="850">
        <v>1</v>
      </c>
      <c r="I198" s="851" t="s">
        <v>3308</v>
      </c>
      <c r="J198" s="851" t="s">
        <v>1534</v>
      </c>
      <c r="K198" s="850" t="s">
        <v>1692</v>
      </c>
      <c r="L198" s="852" t="s">
        <v>1809</v>
      </c>
      <c r="M198" s="849" t="s">
        <v>3442</v>
      </c>
      <c r="N198" s="852" t="s">
        <v>1687</v>
      </c>
      <c r="O198" s="849" t="s">
        <v>3352</v>
      </c>
      <c r="P198" s="852" t="s">
        <v>1700</v>
      </c>
      <c r="Q198" s="849" t="s">
        <v>3351</v>
      </c>
      <c r="R198" s="852" t="s">
        <v>1701</v>
      </c>
      <c r="S198" s="849" t="s">
        <v>3351</v>
      </c>
      <c r="T198" s="853" t="s">
        <v>1929</v>
      </c>
      <c r="U198" s="853" t="s">
        <v>2024</v>
      </c>
      <c r="V198" s="795" t="s">
        <v>3228</v>
      </c>
      <c r="W198" s="850"/>
    </row>
    <row r="199" spans="1:23" x14ac:dyDescent="0.2">
      <c r="A199" s="849" t="s">
        <v>4033</v>
      </c>
      <c r="B199" s="850">
        <v>8</v>
      </c>
      <c r="C199" s="850">
        <v>11</v>
      </c>
      <c r="D199" s="850">
        <v>20</v>
      </c>
      <c r="E199" s="850">
        <v>6</v>
      </c>
      <c r="F199" s="850">
        <v>12</v>
      </c>
      <c r="G199" s="850">
        <v>21</v>
      </c>
      <c r="H199" s="850">
        <v>1</v>
      </c>
      <c r="I199" s="851" t="s">
        <v>3308</v>
      </c>
      <c r="J199" s="851" t="s">
        <v>1534</v>
      </c>
      <c r="K199" s="850" t="s">
        <v>1692</v>
      </c>
      <c r="L199" s="852" t="s">
        <v>1809</v>
      </c>
      <c r="M199" s="849" t="s">
        <v>3442</v>
      </c>
      <c r="N199" s="852" t="s">
        <v>1687</v>
      </c>
      <c r="O199" s="849" t="s">
        <v>3352</v>
      </c>
      <c r="P199" s="852" t="s">
        <v>1700</v>
      </c>
      <c r="Q199" s="849" t="s">
        <v>3351</v>
      </c>
      <c r="R199" s="852" t="s">
        <v>1701</v>
      </c>
      <c r="S199" s="849" t="s">
        <v>3351</v>
      </c>
      <c r="T199" s="853" t="s">
        <v>1929</v>
      </c>
      <c r="U199" s="853" t="s">
        <v>2024</v>
      </c>
      <c r="V199" s="795" t="s">
        <v>3228</v>
      </c>
      <c r="W199" s="850"/>
    </row>
    <row r="200" spans="1:23" x14ac:dyDescent="0.2">
      <c r="A200" s="849" t="s">
        <v>4034</v>
      </c>
      <c r="B200" s="850">
        <v>12</v>
      </c>
      <c r="C200" s="850">
        <v>15</v>
      </c>
      <c r="D200" s="850">
        <v>30</v>
      </c>
      <c r="E200" s="850">
        <v>8</v>
      </c>
      <c r="F200" s="850">
        <v>16</v>
      </c>
      <c r="G200" s="850">
        <v>28</v>
      </c>
      <c r="H200" s="850">
        <v>2</v>
      </c>
      <c r="I200" s="851" t="s">
        <v>3308</v>
      </c>
      <c r="J200" s="851" t="s">
        <v>1534</v>
      </c>
      <c r="K200" s="850" t="s">
        <v>1692</v>
      </c>
      <c r="L200" s="852" t="s">
        <v>1809</v>
      </c>
      <c r="M200" s="849" t="s">
        <v>3442</v>
      </c>
      <c r="N200" s="852" t="s">
        <v>1687</v>
      </c>
      <c r="O200" s="849" t="s">
        <v>3352</v>
      </c>
      <c r="P200" s="852" t="s">
        <v>1700</v>
      </c>
      <c r="Q200" s="849" t="s">
        <v>3351</v>
      </c>
      <c r="R200" s="852" t="s">
        <v>1701</v>
      </c>
      <c r="S200" s="849" t="s">
        <v>3351</v>
      </c>
      <c r="T200" s="853" t="s">
        <v>1929</v>
      </c>
      <c r="U200" s="853" t="s">
        <v>2024</v>
      </c>
      <c r="V200" s="795" t="s">
        <v>3228</v>
      </c>
      <c r="W200" s="850"/>
    </row>
    <row r="201" spans="1:23" x14ac:dyDescent="0.2">
      <c r="A201" s="849" t="s">
        <v>4035</v>
      </c>
      <c r="B201" s="850">
        <v>15</v>
      </c>
      <c r="C201" s="850">
        <v>19</v>
      </c>
      <c r="D201" s="850">
        <v>40</v>
      </c>
      <c r="E201" s="850">
        <v>10</v>
      </c>
      <c r="F201" s="850">
        <v>20</v>
      </c>
      <c r="G201" s="850">
        <v>35</v>
      </c>
      <c r="H201" s="850">
        <v>2</v>
      </c>
      <c r="I201" s="851" t="s">
        <v>3308</v>
      </c>
      <c r="J201" s="851" t="s">
        <v>1534</v>
      </c>
      <c r="K201" s="850" t="s">
        <v>1692</v>
      </c>
      <c r="L201" s="852" t="s">
        <v>1809</v>
      </c>
      <c r="M201" s="849" t="s">
        <v>3442</v>
      </c>
      <c r="N201" s="852" t="s">
        <v>1687</v>
      </c>
      <c r="O201" s="849" t="s">
        <v>3352</v>
      </c>
      <c r="P201" s="852" t="s">
        <v>1700</v>
      </c>
      <c r="Q201" s="849" t="s">
        <v>3351</v>
      </c>
      <c r="R201" s="852" t="s">
        <v>1701</v>
      </c>
      <c r="S201" s="849" t="s">
        <v>3351</v>
      </c>
      <c r="T201" s="853" t="s">
        <v>1929</v>
      </c>
      <c r="U201" s="853" t="s">
        <v>2024</v>
      </c>
      <c r="V201" s="795" t="s">
        <v>3228</v>
      </c>
      <c r="W201" s="850"/>
    </row>
    <row r="202" spans="1:23" x14ac:dyDescent="0.2">
      <c r="A202" s="849" t="s">
        <v>4036</v>
      </c>
      <c r="B202" s="850">
        <v>18</v>
      </c>
      <c r="C202" s="850">
        <v>22</v>
      </c>
      <c r="D202" s="850">
        <v>50</v>
      </c>
      <c r="E202" s="850">
        <v>12</v>
      </c>
      <c r="F202" s="850">
        <v>24</v>
      </c>
      <c r="G202" s="850">
        <v>42</v>
      </c>
      <c r="H202" s="850">
        <v>3</v>
      </c>
      <c r="I202" s="851" t="s">
        <v>3308</v>
      </c>
      <c r="J202" s="851" t="s">
        <v>1534</v>
      </c>
      <c r="K202" s="850" t="s">
        <v>1692</v>
      </c>
      <c r="L202" s="852" t="s">
        <v>1809</v>
      </c>
      <c r="M202" s="849" t="s">
        <v>3442</v>
      </c>
      <c r="N202" s="852" t="s">
        <v>1687</v>
      </c>
      <c r="O202" s="849" t="s">
        <v>3352</v>
      </c>
      <c r="P202" s="852" t="s">
        <v>1700</v>
      </c>
      <c r="Q202" s="849" t="s">
        <v>3351</v>
      </c>
      <c r="R202" s="852" t="s">
        <v>1701</v>
      </c>
      <c r="S202" s="849" t="s">
        <v>3351</v>
      </c>
      <c r="T202" s="853" t="s">
        <v>1929</v>
      </c>
      <c r="U202" s="853" t="s">
        <v>2024</v>
      </c>
      <c r="V202" s="795" t="s">
        <v>3228</v>
      </c>
      <c r="W202" s="850"/>
    </row>
    <row r="203" spans="1:23" x14ac:dyDescent="0.2">
      <c r="A203" s="684" t="s">
        <v>3392</v>
      </c>
      <c r="B203" s="873"/>
      <c r="C203" s="873"/>
      <c r="D203" s="873"/>
      <c r="E203" s="873"/>
      <c r="F203" s="873"/>
      <c r="G203" s="873"/>
      <c r="H203" s="873"/>
      <c r="I203" s="873"/>
      <c r="J203" s="873"/>
      <c r="K203" s="873"/>
      <c r="L203" s="874"/>
      <c r="M203" s="873"/>
      <c r="N203" s="873"/>
      <c r="O203" s="873"/>
      <c r="P203" s="873"/>
      <c r="Q203" s="873"/>
      <c r="R203" s="873"/>
      <c r="S203" s="873"/>
      <c r="T203" s="873"/>
      <c r="U203" s="873"/>
      <c r="V203" s="873"/>
      <c r="W203" s="850"/>
    </row>
    <row r="204" spans="1:23" x14ac:dyDescent="0.2">
      <c r="A204" s="691" t="s">
        <v>3397</v>
      </c>
      <c r="B204" s="869"/>
      <c r="C204" s="869"/>
      <c r="D204" s="869"/>
      <c r="E204" s="869"/>
      <c r="F204" s="869"/>
      <c r="G204" s="869"/>
      <c r="H204" s="869"/>
      <c r="I204" s="869"/>
      <c r="J204" s="869"/>
      <c r="K204" s="869"/>
      <c r="L204" s="870"/>
      <c r="M204" s="869"/>
      <c r="N204" s="869"/>
      <c r="O204" s="869"/>
      <c r="P204" s="869"/>
      <c r="Q204" s="869"/>
      <c r="R204" s="869"/>
      <c r="S204" s="869"/>
      <c r="T204" s="869"/>
      <c r="U204" s="869"/>
      <c r="V204" s="869"/>
      <c r="W204" s="850"/>
    </row>
    <row r="205" spans="1:23" x14ac:dyDescent="0.2">
      <c r="A205" s="849" t="s">
        <v>4037</v>
      </c>
      <c r="B205" s="850">
        <v>6</v>
      </c>
      <c r="C205" s="850">
        <v>9</v>
      </c>
      <c r="D205" s="850">
        <v>20</v>
      </c>
      <c r="E205" s="850">
        <v>3</v>
      </c>
      <c r="F205" s="850">
        <v>6</v>
      </c>
      <c r="G205" s="850">
        <v>11</v>
      </c>
      <c r="H205" s="850">
        <v>1</v>
      </c>
      <c r="I205" s="851" t="s">
        <v>3303</v>
      </c>
      <c r="J205" s="851" t="s">
        <v>1534</v>
      </c>
      <c r="K205" s="850" t="s">
        <v>1687</v>
      </c>
      <c r="L205" s="852" t="s">
        <v>1682</v>
      </c>
      <c r="M205" s="849" t="s">
        <v>3351</v>
      </c>
      <c r="N205" s="852" t="s">
        <v>1809</v>
      </c>
      <c r="O205" s="849" t="s">
        <v>3442</v>
      </c>
      <c r="P205" s="852" t="s">
        <v>1700</v>
      </c>
      <c r="Q205" s="849" t="s">
        <v>3352</v>
      </c>
      <c r="R205" s="852" t="s">
        <v>1701</v>
      </c>
      <c r="S205" s="849" t="s">
        <v>3352</v>
      </c>
      <c r="T205" s="853" t="s">
        <v>1925</v>
      </c>
      <c r="U205" s="853" t="s">
        <v>1922</v>
      </c>
      <c r="V205" s="795" t="s">
        <v>3228</v>
      </c>
      <c r="W205" s="850"/>
    </row>
    <row r="206" spans="1:23" x14ac:dyDescent="0.2">
      <c r="A206" s="849" t="s">
        <v>4038</v>
      </c>
      <c r="B206" s="850">
        <v>12</v>
      </c>
      <c r="C206" s="850">
        <v>15</v>
      </c>
      <c r="D206" s="850">
        <v>30</v>
      </c>
      <c r="E206" s="850">
        <v>6</v>
      </c>
      <c r="F206" s="850">
        <v>12</v>
      </c>
      <c r="G206" s="850">
        <v>21</v>
      </c>
      <c r="H206" s="850">
        <v>1</v>
      </c>
      <c r="I206" s="851" t="s">
        <v>3303</v>
      </c>
      <c r="J206" s="851" t="s">
        <v>1534</v>
      </c>
      <c r="K206" s="850" t="s">
        <v>1687</v>
      </c>
      <c r="L206" s="852" t="s">
        <v>1682</v>
      </c>
      <c r="M206" s="849" t="s">
        <v>3351</v>
      </c>
      <c r="N206" s="852" t="s">
        <v>1809</v>
      </c>
      <c r="O206" s="849" t="s">
        <v>3442</v>
      </c>
      <c r="P206" s="852" t="s">
        <v>1700</v>
      </c>
      <c r="Q206" s="849" t="s">
        <v>3352</v>
      </c>
      <c r="R206" s="852" t="s">
        <v>1701</v>
      </c>
      <c r="S206" s="849" t="s">
        <v>3352</v>
      </c>
      <c r="T206" s="853" t="s">
        <v>1925</v>
      </c>
      <c r="U206" s="853" t="s">
        <v>1922</v>
      </c>
      <c r="V206" s="795" t="s">
        <v>3228</v>
      </c>
      <c r="W206" s="850"/>
    </row>
    <row r="207" spans="1:23" x14ac:dyDescent="0.2">
      <c r="A207" s="849" t="s">
        <v>4039</v>
      </c>
      <c r="B207" s="850">
        <v>18</v>
      </c>
      <c r="C207" s="850">
        <v>22</v>
      </c>
      <c r="D207" s="850">
        <v>40</v>
      </c>
      <c r="E207" s="850">
        <v>9</v>
      </c>
      <c r="F207" s="850">
        <v>18</v>
      </c>
      <c r="G207" s="850">
        <v>32</v>
      </c>
      <c r="H207" s="850">
        <v>1</v>
      </c>
      <c r="I207" s="851" t="s">
        <v>3303</v>
      </c>
      <c r="J207" s="851" t="s">
        <v>1534</v>
      </c>
      <c r="K207" s="850" t="s">
        <v>1687</v>
      </c>
      <c r="L207" s="852" t="s">
        <v>1682</v>
      </c>
      <c r="M207" s="849" t="s">
        <v>3351</v>
      </c>
      <c r="N207" s="852" t="s">
        <v>1809</v>
      </c>
      <c r="O207" s="849" t="s">
        <v>3442</v>
      </c>
      <c r="P207" s="852" t="s">
        <v>1700</v>
      </c>
      <c r="Q207" s="849" t="s">
        <v>3352</v>
      </c>
      <c r="R207" s="852" t="s">
        <v>1701</v>
      </c>
      <c r="S207" s="849" t="s">
        <v>3352</v>
      </c>
      <c r="T207" s="853" t="s">
        <v>1925</v>
      </c>
      <c r="U207" s="853" t="s">
        <v>1922</v>
      </c>
      <c r="V207" s="795" t="s">
        <v>3228</v>
      </c>
      <c r="W207" s="850"/>
    </row>
    <row r="208" spans="1:23" x14ac:dyDescent="0.2">
      <c r="A208" s="849" t="s">
        <v>4040</v>
      </c>
      <c r="B208" s="850">
        <v>24</v>
      </c>
      <c r="C208" s="850">
        <v>29</v>
      </c>
      <c r="D208" s="850">
        <v>50</v>
      </c>
      <c r="E208" s="850">
        <v>12</v>
      </c>
      <c r="F208" s="850">
        <v>24</v>
      </c>
      <c r="G208" s="850">
        <v>42</v>
      </c>
      <c r="H208" s="850">
        <v>2</v>
      </c>
      <c r="I208" s="851" t="s">
        <v>3303</v>
      </c>
      <c r="J208" s="851" t="s">
        <v>1534</v>
      </c>
      <c r="K208" s="850" t="s">
        <v>1687</v>
      </c>
      <c r="L208" s="852" t="s">
        <v>1682</v>
      </c>
      <c r="M208" s="849" t="s">
        <v>3351</v>
      </c>
      <c r="N208" s="852" t="s">
        <v>1809</v>
      </c>
      <c r="O208" s="849" t="s">
        <v>3442</v>
      </c>
      <c r="P208" s="852" t="s">
        <v>1700</v>
      </c>
      <c r="Q208" s="849" t="s">
        <v>3352</v>
      </c>
      <c r="R208" s="852" t="s">
        <v>1701</v>
      </c>
      <c r="S208" s="849" t="s">
        <v>3352</v>
      </c>
      <c r="T208" s="853" t="s">
        <v>1925</v>
      </c>
      <c r="U208" s="853" t="s">
        <v>1922</v>
      </c>
      <c r="V208" s="795" t="s">
        <v>3228</v>
      </c>
      <c r="W208" s="850"/>
    </row>
    <row r="209" spans="1:23" x14ac:dyDescent="0.2">
      <c r="A209" s="849" t="s">
        <v>4041</v>
      </c>
      <c r="B209" s="850">
        <v>30</v>
      </c>
      <c r="C209" s="850">
        <v>36</v>
      </c>
      <c r="D209" s="850">
        <v>60</v>
      </c>
      <c r="E209" s="850">
        <v>15</v>
      </c>
      <c r="F209" s="850">
        <v>30</v>
      </c>
      <c r="G209" s="850">
        <v>53</v>
      </c>
      <c r="H209" s="850">
        <v>3</v>
      </c>
      <c r="I209" s="851" t="s">
        <v>3303</v>
      </c>
      <c r="J209" s="851" t="s">
        <v>1534</v>
      </c>
      <c r="K209" s="850" t="s">
        <v>1687</v>
      </c>
      <c r="L209" s="852" t="s">
        <v>1682</v>
      </c>
      <c r="M209" s="849" t="s">
        <v>3351</v>
      </c>
      <c r="N209" s="852" t="s">
        <v>1809</v>
      </c>
      <c r="O209" s="849" t="s">
        <v>3442</v>
      </c>
      <c r="P209" s="852" t="s">
        <v>1700</v>
      </c>
      <c r="Q209" s="849" t="s">
        <v>3352</v>
      </c>
      <c r="R209" s="852" t="s">
        <v>1701</v>
      </c>
      <c r="S209" s="849" t="s">
        <v>3352</v>
      </c>
      <c r="T209" s="853" t="s">
        <v>1925</v>
      </c>
      <c r="U209" s="853" t="s">
        <v>1922</v>
      </c>
      <c r="V209" s="795" t="s">
        <v>3228</v>
      </c>
      <c r="W209" s="850"/>
    </row>
    <row r="210" spans="1:23" x14ac:dyDescent="0.2">
      <c r="A210" s="855" t="s">
        <v>4042</v>
      </c>
      <c r="B210" s="856"/>
      <c r="C210" s="856"/>
      <c r="D210" s="856"/>
      <c r="E210" s="856"/>
      <c r="F210" s="856"/>
      <c r="G210" s="856"/>
      <c r="H210" s="856"/>
      <c r="I210" s="856"/>
      <c r="J210" s="856"/>
      <c r="K210" s="856"/>
      <c r="L210" s="857"/>
      <c r="M210" s="856"/>
      <c r="N210" s="856"/>
      <c r="O210" s="856"/>
      <c r="P210" s="856"/>
      <c r="Q210" s="856"/>
      <c r="R210" s="856"/>
      <c r="S210" s="856"/>
      <c r="T210" s="856"/>
      <c r="U210" s="856"/>
      <c r="V210" s="856"/>
      <c r="W210" s="850"/>
    </row>
    <row r="211" spans="1:23" x14ac:dyDescent="0.2">
      <c r="A211" s="849" t="s">
        <v>4043</v>
      </c>
      <c r="B211" s="850">
        <v>10</v>
      </c>
      <c r="C211" s="850">
        <v>10</v>
      </c>
      <c r="D211" s="850">
        <v>30</v>
      </c>
      <c r="E211" s="850">
        <v>5</v>
      </c>
      <c r="F211" s="850">
        <v>10</v>
      </c>
      <c r="G211" s="850">
        <v>18</v>
      </c>
      <c r="H211" s="850"/>
      <c r="I211" s="850"/>
      <c r="J211" s="850"/>
      <c r="K211" s="850"/>
      <c r="L211" s="859"/>
      <c r="M211" s="850"/>
      <c r="N211" s="850"/>
      <c r="O211" s="850"/>
      <c r="P211" s="850"/>
      <c r="Q211" s="850"/>
      <c r="R211" s="850"/>
      <c r="S211" s="850"/>
      <c r="T211" s="850"/>
      <c r="U211" s="850"/>
      <c r="V211" s="850"/>
      <c r="W211" s="850"/>
    </row>
    <row r="212" spans="1:23" x14ac:dyDescent="0.2">
      <c r="A212" s="855" t="s">
        <v>4044</v>
      </c>
      <c r="B212" s="856"/>
      <c r="C212" s="856"/>
      <c r="D212" s="856"/>
      <c r="E212" s="856"/>
      <c r="F212" s="856"/>
      <c r="G212" s="856"/>
      <c r="H212" s="856"/>
      <c r="I212" s="856"/>
      <c r="J212" s="856"/>
      <c r="K212" s="856"/>
      <c r="L212" s="857"/>
      <c r="M212" s="856"/>
      <c r="N212" s="856"/>
      <c r="O212" s="856"/>
      <c r="P212" s="856"/>
      <c r="Q212" s="856"/>
      <c r="R212" s="856"/>
      <c r="S212" s="856"/>
      <c r="T212" s="856"/>
      <c r="U212" s="856"/>
      <c r="V212" s="856"/>
      <c r="W212" s="850"/>
    </row>
    <row r="213" spans="1:23" x14ac:dyDescent="0.2">
      <c r="A213" s="849" t="s">
        <v>4045</v>
      </c>
      <c r="B213" s="850">
        <v>6</v>
      </c>
      <c r="C213" s="850">
        <v>6</v>
      </c>
      <c r="D213" s="850">
        <v>20</v>
      </c>
      <c r="E213" s="850">
        <v>2</v>
      </c>
      <c r="F213" s="850">
        <v>4</v>
      </c>
      <c r="G213" s="850">
        <v>7</v>
      </c>
      <c r="H213" s="850"/>
      <c r="I213" s="850"/>
      <c r="J213" s="850"/>
      <c r="K213" s="850"/>
      <c r="L213" s="859"/>
      <c r="M213" s="850"/>
      <c r="N213" s="850"/>
      <c r="O213" s="850"/>
      <c r="P213" s="850"/>
      <c r="Q213" s="850"/>
      <c r="R213" s="850"/>
      <c r="S213" s="850"/>
      <c r="T213" s="850"/>
      <c r="U213" s="850"/>
      <c r="V213" s="850"/>
      <c r="W213" s="850"/>
    </row>
    <row r="214" spans="1:23" x14ac:dyDescent="0.2">
      <c r="A214" s="875" t="s">
        <v>4046</v>
      </c>
      <c r="B214" s="876"/>
      <c r="C214" s="876"/>
      <c r="D214" s="876"/>
      <c r="E214" s="876"/>
      <c r="F214" s="876"/>
      <c r="G214" s="876"/>
      <c r="H214" s="876"/>
      <c r="I214" s="876"/>
      <c r="J214" s="876"/>
      <c r="K214" s="876"/>
      <c r="L214" s="877"/>
      <c r="M214" s="876"/>
      <c r="N214" s="876"/>
      <c r="O214" s="876"/>
      <c r="P214" s="876"/>
      <c r="Q214" s="876"/>
      <c r="R214" s="876"/>
      <c r="S214" s="876"/>
      <c r="T214" s="876"/>
      <c r="U214" s="876"/>
      <c r="V214" s="876"/>
      <c r="W214" s="850"/>
    </row>
    <row r="215" spans="1:23" x14ac:dyDescent="0.2">
      <c r="A215" s="849" t="s">
        <v>4047</v>
      </c>
      <c r="B215" s="850">
        <v>-3</v>
      </c>
      <c r="C215" s="850">
        <v>-3</v>
      </c>
      <c r="D215" s="850">
        <v>-10</v>
      </c>
      <c r="E215" s="850"/>
      <c r="F215" s="850"/>
      <c r="G215" s="850"/>
      <c r="H215" s="850"/>
      <c r="I215" s="850"/>
      <c r="J215" s="850"/>
      <c r="K215" s="850"/>
      <c r="L215" s="859"/>
      <c r="M215" s="850"/>
      <c r="N215" s="850"/>
      <c r="O215" s="850"/>
      <c r="P215" s="850"/>
      <c r="Q215" s="850"/>
      <c r="R215" s="850"/>
      <c r="S215" s="850"/>
      <c r="T215" s="850"/>
      <c r="U215" s="850"/>
      <c r="V215" s="850"/>
      <c r="W215" s="850"/>
    </row>
    <row r="216" spans="1:23" x14ac:dyDescent="0.2">
      <c r="A216" s="849" t="s">
        <v>4048</v>
      </c>
      <c r="B216" s="850">
        <v>-6</v>
      </c>
      <c r="C216" s="850">
        <v>-6</v>
      </c>
      <c r="D216" s="850">
        <v>-20</v>
      </c>
      <c r="E216" s="850"/>
      <c r="F216" s="850"/>
      <c r="G216" s="850"/>
      <c r="H216" s="850"/>
      <c r="I216" s="850"/>
      <c r="J216" s="850"/>
      <c r="K216" s="850"/>
      <c r="L216" s="859"/>
      <c r="M216" s="850"/>
      <c r="N216" s="850"/>
      <c r="O216" s="850"/>
      <c r="P216" s="850"/>
      <c r="Q216" s="850"/>
      <c r="R216" s="850"/>
      <c r="S216" s="850"/>
      <c r="T216" s="850"/>
      <c r="U216" s="850"/>
      <c r="V216" s="850"/>
      <c r="W216" s="850"/>
    </row>
    <row r="217" spans="1:23" x14ac:dyDescent="0.2">
      <c r="A217" s="691" t="s">
        <v>3402</v>
      </c>
      <c r="B217" s="869"/>
      <c r="C217" s="869"/>
      <c r="D217" s="869"/>
      <c r="E217" s="869"/>
      <c r="F217" s="869"/>
      <c r="G217" s="869"/>
      <c r="H217" s="869"/>
      <c r="I217" s="869"/>
      <c r="J217" s="869"/>
      <c r="K217" s="869"/>
      <c r="L217" s="870"/>
      <c r="M217" s="869"/>
      <c r="N217" s="869"/>
      <c r="O217" s="869"/>
      <c r="P217" s="869"/>
      <c r="Q217" s="869"/>
      <c r="R217" s="869"/>
      <c r="S217" s="869"/>
      <c r="T217" s="869"/>
      <c r="U217" s="869"/>
      <c r="V217" s="869"/>
      <c r="W217" s="850"/>
    </row>
    <row r="218" spans="1:23" x14ac:dyDescent="0.2">
      <c r="A218" s="849" t="s">
        <v>4049</v>
      </c>
      <c r="B218" s="850">
        <v>3</v>
      </c>
      <c r="C218" s="850">
        <v>5</v>
      </c>
      <c r="D218" s="850">
        <v>5</v>
      </c>
      <c r="E218" s="850">
        <v>1</v>
      </c>
      <c r="F218" s="850">
        <v>2</v>
      </c>
      <c r="G218" s="850">
        <v>4</v>
      </c>
      <c r="H218" s="850">
        <v>1</v>
      </c>
      <c r="I218" s="851" t="s">
        <v>3303</v>
      </c>
      <c r="J218" s="851" t="s">
        <v>1534</v>
      </c>
      <c r="K218" s="850" t="s">
        <v>1687</v>
      </c>
      <c r="L218" s="852" t="s">
        <v>1682</v>
      </c>
      <c r="M218" s="849" t="s">
        <v>3351</v>
      </c>
      <c r="N218" s="852" t="s">
        <v>1809</v>
      </c>
      <c r="O218" s="849" t="s">
        <v>3442</v>
      </c>
      <c r="P218" s="852" t="s">
        <v>1700</v>
      </c>
      <c r="Q218" s="849" t="s">
        <v>3352</v>
      </c>
      <c r="R218" s="852" t="s">
        <v>1701</v>
      </c>
      <c r="S218" s="849" t="s">
        <v>3352</v>
      </c>
      <c r="T218" s="853" t="s">
        <v>1925</v>
      </c>
      <c r="U218" s="853" t="s">
        <v>1922</v>
      </c>
      <c r="V218" s="853" t="s">
        <v>2020</v>
      </c>
      <c r="W218" s="850"/>
    </row>
    <row r="219" spans="1:23" x14ac:dyDescent="0.2">
      <c r="A219" s="849" t="s">
        <v>4050</v>
      </c>
      <c r="B219" s="850">
        <v>6</v>
      </c>
      <c r="C219" s="850">
        <v>9</v>
      </c>
      <c r="D219" s="850">
        <v>10</v>
      </c>
      <c r="E219" s="850">
        <v>2</v>
      </c>
      <c r="F219" s="850">
        <v>4</v>
      </c>
      <c r="G219" s="850">
        <v>7</v>
      </c>
      <c r="H219" s="850">
        <v>1</v>
      </c>
      <c r="I219" s="851" t="s">
        <v>3303</v>
      </c>
      <c r="J219" s="851" t="s">
        <v>1534</v>
      </c>
      <c r="K219" s="850" t="s">
        <v>1687</v>
      </c>
      <c r="L219" s="852" t="s">
        <v>1682</v>
      </c>
      <c r="M219" s="849" t="s">
        <v>3351</v>
      </c>
      <c r="N219" s="852" t="s">
        <v>1809</v>
      </c>
      <c r="O219" s="849" t="s">
        <v>3442</v>
      </c>
      <c r="P219" s="852" t="s">
        <v>1700</v>
      </c>
      <c r="Q219" s="849" t="s">
        <v>3352</v>
      </c>
      <c r="R219" s="852" t="s">
        <v>1701</v>
      </c>
      <c r="S219" s="849" t="s">
        <v>3352</v>
      </c>
      <c r="T219" s="853" t="s">
        <v>1925</v>
      </c>
      <c r="U219" s="853" t="s">
        <v>1922</v>
      </c>
      <c r="V219" s="853" t="s">
        <v>2020</v>
      </c>
      <c r="W219" s="850"/>
    </row>
    <row r="220" spans="1:23" x14ac:dyDescent="0.2">
      <c r="A220" s="849" t="s">
        <v>4051</v>
      </c>
      <c r="B220" s="850">
        <v>9</v>
      </c>
      <c r="C220" s="850">
        <v>12</v>
      </c>
      <c r="D220" s="850">
        <v>15</v>
      </c>
      <c r="E220" s="850">
        <v>3</v>
      </c>
      <c r="F220" s="850">
        <v>6</v>
      </c>
      <c r="G220" s="850">
        <v>11</v>
      </c>
      <c r="H220" s="850">
        <v>1</v>
      </c>
      <c r="I220" s="851" t="s">
        <v>3303</v>
      </c>
      <c r="J220" s="851" t="s">
        <v>1534</v>
      </c>
      <c r="K220" s="850" t="s">
        <v>1687</v>
      </c>
      <c r="L220" s="852" t="s">
        <v>1682</v>
      </c>
      <c r="M220" s="849" t="s">
        <v>3351</v>
      </c>
      <c r="N220" s="852" t="s">
        <v>1809</v>
      </c>
      <c r="O220" s="849" t="s">
        <v>3442</v>
      </c>
      <c r="P220" s="852" t="s">
        <v>1700</v>
      </c>
      <c r="Q220" s="849" t="s">
        <v>3352</v>
      </c>
      <c r="R220" s="852" t="s">
        <v>1701</v>
      </c>
      <c r="S220" s="849" t="s">
        <v>3352</v>
      </c>
      <c r="T220" s="853" t="s">
        <v>1925</v>
      </c>
      <c r="U220" s="853" t="s">
        <v>1922</v>
      </c>
      <c r="V220" s="853" t="s">
        <v>2020</v>
      </c>
      <c r="W220" s="850"/>
    </row>
    <row r="221" spans="1:23" x14ac:dyDescent="0.2">
      <c r="A221" s="849" t="s">
        <v>4052</v>
      </c>
      <c r="B221" s="850">
        <v>12</v>
      </c>
      <c r="C221" s="850">
        <v>15</v>
      </c>
      <c r="D221" s="850">
        <v>20</v>
      </c>
      <c r="E221" s="850">
        <v>4</v>
      </c>
      <c r="F221" s="850">
        <v>8</v>
      </c>
      <c r="G221" s="850">
        <v>14</v>
      </c>
      <c r="H221" s="850">
        <v>1</v>
      </c>
      <c r="I221" s="851" t="s">
        <v>3303</v>
      </c>
      <c r="J221" s="851" t="s">
        <v>1534</v>
      </c>
      <c r="K221" s="850" t="s">
        <v>1687</v>
      </c>
      <c r="L221" s="852" t="s">
        <v>1682</v>
      </c>
      <c r="M221" s="849" t="s">
        <v>3351</v>
      </c>
      <c r="N221" s="852" t="s">
        <v>1809</v>
      </c>
      <c r="O221" s="849" t="s">
        <v>3442</v>
      </c>
      <c r="P221" s="852" t="s">
        <v>1700</v>
      </c>
      <c r="Q221" s="849" t="s">
        <v>3352</v>
      </c>
      <c r="R221" s="852" t="s">
        <v>1701</v>
      </c>
      <c r="S221" s="849" t="s">
        <v>3352</v>
      </c>
      <c r="T221" s="853" t="s">
        <v>1925</v>
      </c>
      <c r="U221" s="853" t="s">
        <v>1922</v>
      </c>
      <c r="V221" s="853" t="s">
        <v>2020</v>
      </c>
      <c r="W221" s="850"/>
    </row>
    <row r="222" spans="1:23" x14ac:dyDescent="0.2">
      <c r="A222" s="849" t="s">
        <v>4053</v>
      </c>
      <c r="B222" s="850">
        <v>15</v>
      </c>
      <c r="C222" s="850">
        <v>19</v>
      </c>
      <c r="D222" s="850">
        <v>30</v>
      </c>
      <c r="E222" s="850">
        <v>6</v>
      </c>
      <c r="F222" s="850">
        <v>12</v>
      </c>
      <c r="G222" s="850">
        <v>21</v>
      </c>
      <c r="H222" s="850">
        <v>1</v>
      </c>
      <c r="I222" s="851" t="s">
        <v>3303</v>
      </c>
      <c r="J222" s="851" t="s">
        <v>1534</v>
      </c>
      <c r="K222" s="850" t="s">
        <v>1687</v>
      </c>
      <c r="L222" s="852" t="s">
        <v>1682</v>
      </c>
      <c r="M222" s="849" t="s">
        <v>3351</v>
      </c>
      <c r="N222" s="852" t="s">
        <v>1809</v>
      </c>
      <c r="O222" s="849" t="s">
        <v>3442</v>
      </c>
      <c r="P222" s="852" t="s">
        <v>1700</v>
      </c>
      <c r="Q222" s="849" t="s">
        <v>3352</v>
      </c>
      <c r="R222" s="852" t="s">
        <v>1701</v>
      </c>
      <c r="S222" s="849" t="s">
        <v>3352</v>
      </c>
      <c r="T222" s="853" t="s">
        <v>1925</v>
      </c>
      <c r="U222" s="853" t="s">
        <v>1922</v>
      </c>
      <c r="V222" s="853" t="s">
        <v>2020</v>
      </c>
      <c r="W222" s="850"/>
    </row>
    <row r="223" spans="1:23" x14ac:dyDescent="0.2">
      <c r="A223" s="849" t="s">
        <v>4054</v>
      </c>
      <c r="B223" s="850">
        <v>18</v>
      </c>
      <c r="C223" s="850">
        <v>22</v>
      </c>
      <c r="D223" s="850">
        <v>40</v>
      </c>
      <c r="E223" s="850">
        <v>8</v>
      </c>
      <c r="F223" s="850">
        <v>16</v>
      </c>
      <c r="G223" s="850">
        <v>28</v>
      </c>
      <c r="H223" s="850">
        <v>2</v>
      </c>
      <c r="I223" s="851" t="s">
        <v>3303</v>
      </c>
      <c r="J223" s="851" t="s">
        <v>1534</v>
      </c>
      <c r="K223" s="850" t="s">
        <v>1687</v>
      </c>
      <c r="L223" s="852" t="s">
        <v>1682</v>
      </c>
      <c r="M223" s="849" t="s">
        <v>3351</v>
      </c>
      <c r="N223" s="852" t="s">
        <v>1809</v>
      </c>
      <c r="O223" s="849" t="s">
        <v>3442</v>
      </c>
      <c r="P223" s="852" t="s">
        <v>1700</v>
      </c>
      <c r="Q223" s="849" t="s">
        <v>3352</v>
      </c>
      <c r="R223" s="852" t="s">
        <v>1701</v>
      </c>
      <c r="S223" s="849" t="s">
        <v>3352</v>
      </c>
      <c r="T223" s="853" t="s">
        <v>1925</v>
      </c>
      <c r="U223" s="853" t="s">
        <v>1922</v>
      </c>
      <c r="V223" s="853" t="s">
        <v>2020</v>
      </c>
      <c r="W223" s="850"/>
    </row>
    <row r="224" spans="1:23" x14ac:dyDescent="0.2">
      <c r="A224" s="849" t="s">
        <v>4055</v>
      </c>
      <c r="B224" s="850">
        <v>22</v>
      </c>
      <c r="C224" s="850">
        <v>26</v>
      </c>
      <c r="D224" s="850">
        <v>50</v>
      </c>
      <c r="E224" s="850">
        <v>10</v>
      </c>
      <c r="F224" s="850">
        <v>20</v>
      </c>
      <c r="G224" s="850">
        <v>35</v>
      </c>
      <c r="H224" s="850">
        <v>2</v>
      </c>
      <c r="I224" s="851" t="s">
        <v>3303</v>
      </c>
      <c r="J224" s="851" t="s">
        <v>1534</v>
      </c>
      <c r="K224" s="850" t="s">
        <v>1687</v>
      </c>
      <c r="L224" s="852" t="s">
        <v>1682</v>
      </c>
      <c r="M224" s="849" t="s">
        <v>3351</v>
      </c>
      <c r="N224" s="852" t="s">
        <v>1809</v>
      </c>
      <c r="O224" s="849" t="s">
        <v>3442</v>
      </c>
      <c r="P224" s="852" t="s">
        <v>1700</v>
      </c>
      <c r="Q224" s="849" t="s">
        <v>3352</v>
      </c>
      <c r="R224" s="852" t="s">
        <v>1701</v>
      </c>
      <c r="S224" s="849" t="s">
        <v>3352</v>
      </c>
      <c r="T224" s="853" t="s">
        <v>1925</v>
      </c>
      <c r="U224" s="853" t="s">
        <v>1922</v>
      </c>
      <c r="V224" s="853" t="s">
        <v>2020</v>
      </c>
      <c r="W224" s="850"/>
    </row>
    <row r="225" spans="1:23" x14ac:dyDescent="0.2">
      <c r="A225" s="849" t="s">
        <v>4056</v>
      </c>
      <c r="B225" s="850">
        <v>26</v>
      </c>
      <c r="C225" s="850">
        <v>32</v>
      </c>
      <c r="D225" s="850">
        <v>60</v>
      </c>
      <c r="E225" s="850">
        <v>12</v>
      </c>
      <c r="F225" s="850">
        <v>24</v>
      </c>
      <c r="G225" s="850">
        <v>42</v>
      </c>
      <c r="H225" s="850">
        <v>3</v>
      </c>
      <c r="I225" s="851" t="s">
        <v>3303</v>
      </c>
      <c r="J225" s="851" t="s">
        <v>1534</v>
      </c>
      <c r="K225" s="850" t="s">
        <v>1687</v>
      </c>
      <c r="L225" s="852" t="s">
        <v>1682</v>
      </c>
      <c r="M225" s="849" t="s">
        <v>3351</v>
      </c>
      <c r="N225" s="852" t="s">
        <v>1809</v>
      </c>
      <c r="O225" s="849" t="s">
        <v>3442</v>
      </c>
      <c r="P225" s="852" t="s">
        <v>1700</v>
      </c>
      <c r="Q225" s="849" t="s">
        <v>3352</v>
      </c>
      <c r="R225" s="852" t="s">
        <v>1701</v>
      </c>
      <c r="S225" s="849" t="s">
        <v>3352</v>
      </c>
      <c r="T225" s="853" t="s">
        <v>1925</v>
      </c>
      <c r="U225" s="853" t="s">
        <v>1922</v>
      </c>
      <c r="V225" s="853" t="s">
        <v>2020</v>
      </c>
      <c r="W225" s="850"/>
    </row>
    <row r="226" spans="1:23" x14ac:dyDescent="0.2">
      <c r="A226" s="855" t="s">
        <v>4042</v>
      </c>
      <c r="B226" s="856"/>
      <c r="C226" s="856"/>
      <c r="D226" s="856"/>
      <c r="E226" s="856"/>
      <c r="F226" s="856"/>
      <c r="G226" s="856"/>
      <c r="H226" s="856"/>
      <c r="I226" s="856"/>
      <c r="J226" s="856"/>
      <c r="K226" s="856"/>
      <c r="L226" s="857"/>
      <c r="M226" s="856"/>
      <c r="N226" s="856"/>
      <c r="O226" s="856"/>
      <c r="P226" s="856"/>
      <c r="Q226" s="856"/>
      <c r="R226" s="856"/>
      <c r="S226" s="856"/>
      <c r="T226" s="856"/>
      <c r="U226" s="856"/>
      <c r="V226" s="856"/>
      <c r="W226" s="850"/>
    </row>
    <row r="227" spans="1:23" x14ac:dyDescent="0.2">
      <c r="A227" s="849" t="s">
        <v>4043</v>
      </c>
      <c r="B227" s="850">
        <v>10</v>
      </c>
      <c r="C227" s="850">
        <v>10</v>
      </c>
      <c r="D227" s="850">
        <v>30</v>
      </c>
      <c r="E227" s="850">
        <v>5</v>
      </c>
      <c r="F227" s="850">
        <v>10</v>
      </c>
      <c r="G227" s="850">
        <v>18</v>
      </c>
      <c r="H227" s="850"/>
      <c r="I227" s="850"/>
      <c r="J227" s="850"/>
      <c r="K227" s="850"/>
      <c r="L227" s="859"/>
      <c r="M227" s="850"/>
      <c r="N227" s="850"/>
      <c r="O227" s="850"/>
      <c r="P227" s="850"/>
      <c r="Q227" s="850"/>
      <c r="R227" s="850"/>
      <c r="S227" s="850"/>
      <c r="T227" s="850"/>
      <c r="U227" s="850"/>
      <c r="V227" s="850"/>
      <c r="W227" s="850"/>
    </row>
    <row r="228" spans="1:23" x14ac:dyDescent="0.2">
      <c r="A228" s="691" t="s">
        <v>3407</v>
      </c>
      <c r="B228" s="869"/>
      <c r="C228" s="869"/>
      <c r="D228" s="869"/>
      <c r="E228" s="869"/>
      <c r="F228" s="869"/>
      <c r="G228" s="869"/>
      <c r="H228" s="869"/>
      <c r="I228" s="869"/>
      <c r="J228" s="869"/>
      <c r="K228" s="869"/>
      <c r="L228" s="870"/>
      <c r="M228" s="869"/>
      <c r="N228" s="869"/>
      <c r="O228" s="869"/>
      <c r="P228" s="869"/>
      <c r="Q228" s="869"/>
      <c r="R228" s="869"/>
      <c r="S228" s="869"/>
      <c r="T228" s="869"/>
      <c r="U228" s="869"/>
      <c r="V228" s="869"/>
      <c r="W228" s="850"/>
    </row>
    <row r="229" spans="1:23" x14ac:dyDescent="0.2">
      <c r="A229" s="849" t="s">
        <v>4057</v>
      </c>
      <c r="B229" s="850">
        <v>1</v>
      </c>
      <c r="C229" s="850">
        <v>2</v>
      </c>
      <c r="D229" s="850">
        <v>5</v>
      </c>
      <c r="E229" s="850">
        <v>1</v>
      </c>
      <c r="F229" s="850">
        <v>2</v>
      </c>
      <c r="G229" s="850">
        <v>4</v>
      </c>
      <c r="H229" s="850">
        <v>1</v>
      </c>
      <c r="I229" s="851" t="s">
        <v>3303</v>
      </c>
      <c r="J229" s="851" t="s">
        <v>1881</v>
      </c>
      <c r="K229" s="850" t="s">
        <v>1682</v>
      </c>
      <c r="L229" s="852" t="s">
        <v>1809</v>
      </c>
      <c r="M229" s="849" t="s">
        <v>3351</v>
      </c>
      <c r="N229" s="852" t="s">
        <v>1687</v>
      </c>
      <c r="O229" s="849" t="s">
        <v>3442</v>
      </c>
      <c r="P229" s="852" t="s">
        <v>1700</v>
      </c>
      <c r="Q229" s="849" t="s">
        <v>3352</v>
      </c>
      <c r="R229" s="852" t="s">
        <v>1701</v>
      </c>
      <c r="S229" s="849" t="s">
        <v>3352</v>
      </c>
      <c r="T229" s="853" t="s">
        <v>2019</v>
      </c>
      <c r="U229" s="795" t="s">
        <v>3228</v>
      </c>
      <c r="V229" s="795" t="s">
        <v>3228</v>
      </c>
      <c r="W229" s="850"/>
    </row>
    <row r="230" spans="1:23" x14ac:dyDescent="0.2">
      <c r="A230" s="849" t="s">
        <v>4058</v>
      </c>
      <c r="B230" s="850">
        <v>2</v>
      </c>
      <c r="C230" s="850">
        <v>4</v>
      </c>
      <c r="D230" s="850">
        <v>5</v>
      </c>
      <c r="E230" s="850">
        <v>2</v>
      </c>
      <c r="F230" s="850">
        <v>4</v>
      </c>
      <c r="G230" s="850">
        <v>7</v>
      </c>
      <c r="H230" s="850">
        <v>1</v>
      </c>
      <c r="I230" s="851" t="s">
        <v>3303</v>
      </c>
      <c r="J230" s="851" t="s">
        <v>1881</v>
      </c>
      <c r="K230" s="850" t="s">
        <v>1682</v>
      </c>
      <c r="L230" s="852" t="s">
        <v>1809</v>
      </c>
      <c r="M230" s="849" t="s">
        <v>3351</v>
      </c>
      <c r="N230" s="852" t="s">
        <v>1687</v>
      </c>
      <c r="O230" s="849" t="s">
        <v>3442</v>
      </c>
      <c r="P230" s="852" t="s">
        <v>1700</v>
      </c>
      <c r="Q230" s="849" t="s">
        <v>3352</v>
      </c>
      <c r="R230" s="852" t="s">
        <v>1701</v>
      </c>
      <c r="S230" s="849" t="s">
        <v>3352</v>
      </c>
      <c r="T230" s="853" t="s">
        <v>2019</v>
      </c>
      <c r="U230" s="795" t="s">
        <v>3228</v>
      </c>
      <c r="V230" s="795" t="s">
        <v>3228</v>
      </c>
      <c r="W230" s="850"/>
    </row>
    <row r="231" spans="1:23" x14ac:dyDescent="0.2">
      <c r="A231" s="849" t="s">
        <v>4059</v>
      </c>
      <c r="B231" s="850">
        <v>3</v>
      </c>
      <c r="C231" s="850">
        <v>5</v>
      </c>
      <c r="D231" s="850">
        <v>10</v>
      </c>
      <c r="E231" s="850">
        <v>3</v>
      </c>
      <c r="F231" s="850">
        <v>6</v>
      </c>
      <c r="G231" s="850">
        <v>11</v>
      </c>
      <c r="H231" s="850">
        <v>1</v>
      </c>
      <c r="I231" s="851" t="s">
        <v>3303</v>
      </c>
      <c r="J231" s="851" t="s">
        <v>1881</v>
      </c>
      <c r="K231" s="850" t="s">
        <v>1682</v>
      </c>
      <c r="L231" s="852" t="s">
        <v>1809</v>
      </c>
      <c r="M231" s="849" t="s">
        <v>3351</v>
      </c>
      <c r="N231" s="852" t="s">
        <v>1687</v>
      </c>
      <c r="O231" s="849" t="s">
        <v>3442</v>
      </c>
      <c r="P231" s="852" t="s">
        <v>1700</v>
      </c>
      <c r="Q231" s="849" t="s">
        <v>3352</v>
      </c>
      <c r="R231" s="852" t="s">
        <v>1701</v>
      </c>
      <c r="S231" s="849" t="s">
        <v>3352</v>
      </c>
      <c r="T231" s="853" t="s">
        <v>2019</v>
      </c>
      <c r="U231" s="795" t="s">
        <v>3228</v>
      </c>
      <c r="V231" s="795" t="s">
        <v>3228</v>
      </c>
      <c r="W231" s="850"/>
    </row>
    <row r="232" spans="1:23" x14ac:dyDescent="0.2">
      <c r="A232" s="849" t="s">
        <v>4060</v>
      </c>
      <c r="B232" s="850">
        <v>4</v>
      </c>
      <c r="C232" s="850">
        <v>6</v>
      </c>
      <c r="D232" s="850">
        <v>15</v>
      </c>
      <c r="E232" s="850">
        <v>4</v>
      </c>
      <c r="F232" s="850">
        <v>8</v>
      </c>
      <c r="G232" s="850">
        <v>14</v>
      </c>
      <c r="H232" s="850">
        <v>1</v>
      </c>
      <c r="I232" s="851" t="s">
        <v>3303</v>
      </c>
      <c r="J232" s="851" t="s">
        <v>1881</v>
      </c>
      <c r="K232" s="850" t="s">
        <v>1682</v>
      </c>
      <c r="L232" s="852" t="s">
        <v>1809</v>
      </c>
      <c r="M232" s="849" t="s">
        <v>3351</v>
      </c>
      <c r="N232" s="852" t="s">
        <v>1687</v>
      </c>
      <c r="O232" s="849" t="s">
        <v>3442</v>
      </c>
      <c r="P232" s="852" t="s">
        <v>1700</v>
      </c>
      <c r="Q232" s="849" t="s">
        <v>3352</v>
      </c>
      <c r="R232" s="852" t="s">
        <v>1701</v>
      </c>
      <c r="S232" s="849" t="s">
        <v>3352</v>
      </c>
      <c r="T232" s="853" t="s">
        <v>2019</v>
      </c>
      <c r="U232" s="795" t="s">
        <v>3228</v>
      </c>
      <c r="V232" s="795" t="s">
        <v>3228</v>
      </c>
      <c r="W232" s="850"/>
    </row>
    <row r="233" spans="1:23" x14ac:dyDescent="0.2">
      <c r="A233" s="849" t="s">
        <v>4061</v>
      </c>
      <c r="B233" s="850">
        <v>5</v>
      </c>
      <c r="C233" s="850">
        <v>8</v>
      </c>
      <c r="D233" s="850">
        <v>20</v>
      </c>
      <c r="E233" s="850">
        <v>6</v>
      </c>
      <c r="F233" s="850">
        <v>12</v>
      </c>
      <c r="G233" s="850">
        <v>21</v>
      </c>
      <c r="H233" s="850">
        <v>1</v>
      </c>
      <c r="I233" s="851" t="s">
        <v>3303</v>
      </c>
      <c r="J233" s="851" t="s">
        <v>1881</v>
      </c>
      <c r="K233" s="850" t="s">
        <v>1682</v>
      </c>
      <c r="L233" s="852" t="s">
        <v>1809</v>
      </c>
      <c r="M233" s="849" t="s">
        <v>3351</v>
      </c>
      <c r="N233" s="852" t="s">
        <v>1687</v>
      </c>
      <c r="O233" s="849" t="s">
        <v>3442</v>
      </c>
      <c r="P233" s="852" t="s">
        <v>1700</v>
      </c>
      <c r="Q233" s="849" t="s">
        <v>3352</v>
      </c>
      <c r="R233" s="852" t="s">
        <v>1701</v>
      </c>
      <c r="S233" s="849" t="s">
        <v>3352</v>
      </c>
      <c r="T233" s="853" t="s">
        <v>2019</v>
      </c>
      <c r="U233" s="795" t="s">
        <v>3228</v>
      </c>
      <c r="V233" s="795" t="s">
        <v>3228</v>
      </c>
      <c r="W233" s="850"/>
    </row>
    <row r="234" spans="1:23" x14ac:dyDescent="0.2">
      <c r="A234" s="849" t="s">
        <v>4062</v>
      </c>
      <c r="B234" s="850">
        <v>6</v>
      </c>
      <c r="C234" s="850">
        <v>9</v>
      </c>
      <c r="D234" s="850">
        <v>25</v>
      </c>
      <c r="E234" s="850">
        <v>8</v>
      </c>
      <c r="F234" s="850">
        <v>16</v>
      </c>
      <c r="G234" s="850">
        <v>28</v>
      </c>
      <c r="H234" s="850">
        <v>1</v>
      </c>
      <c r="I234" s="851" t="s">
        <v>3303</v>
      </c>
      <c r="J234" s="851" t="s">
        <v>1881</v>
      </c>
      <c r="K234" s="850" t="s">
        <v>1682</v>
      </c>
      <c r="L234" s="852" t="s">
        <v>1809</v>
      </c>
      <c r="M234" s="849" t="s">
        <v>3351</v>
      </c>
      <c r="N234" s="852" t="s">
        <v>1687</v>
      </c>
      <c r="O234" s="849" t="s">
        <v>3442</v>
      </c>
      <c r="P234" s="852" t="s">
        <v>1700</v>
      </c>
      <c r="Q234" s="849" t="s">
        <v>3352</v>
      </c>
      <c r="R234" s="852" t="s">
        <v>1701</v>
      </c>
      <c r="S234" s="849" t="s">
        <v>3352</v>
      </c>
      <c r="T234" s="853" t="s">
        <v>2019</v>
      </c>
      <c r="U234" s="795" t="s">
        <v>3228</v>
      </c>
      <c r="V234" s="795" t="s">
        <v>3228</v>
      </c>
      <c r="W234" s="850"/>
    </row>
    <row r="235" spans="1:23" x14ac:dyDescent="0.2">
      <c r="A235" s="849" t="s">
        <v>4063</v>
      </c>
      <c r="B235" s="850">
        <v>7</v>
      </c>
      <c r="C235" s="850">
        <v>10</v>
      </c>
      <c r="D235" s="850">
        <v>30</v>
      </c>
      <c r="E235" s="850">
        <v>10</v>
      </c>
      <c r="F235" s="850">
        <v>20</v>
      </c>
      <c r="G235" s="850">
        <v>35</v>
      </c>
      <c r="H235" s="850">
        <v>2</v>
      </c>
      <c r="I235" s="851" t="s">
        <v>3303</v>
      </c>
      <c r="J235" s="851" t="s">
        <v>1881</v>
      </c>
      <c r="K235" s="850" t="s">
        <v>1682</v>
      </c>
      <c r="L235" s="852" t="s">
        <v>1809</v>
      </c>
      <c r="M235" s="849" t="s">
        <v>3351</v>
      </c>
      <c r="N235" s="852" t="s">
        <v>1687</v>
      </c>
      <c r="O235" s="849" t="s">
        <v>3442</v>
      </c>
      <c r="P235" s="852" t="s">
        <v>1700</v>
      </c>
      <c r="Q235" s="849" t="s">
        <v>3352</v>
      </c>
      <c r="R235" s="852" t="s">
        <v>1701</v>
      </c>
      <c r="S235" s="849" t="s">
        <v>3352</v>
      </c>
      <c r="T235" s="853" t="s">
        <v>2019</v>
      </c>
      <c r="U235" s="795" t="s">
        <v>3228</v>
      </c>
      <c r="V235" s="795" t="s">
        <v>3228</v>
      </c>
      <c r="W235" s="850"/>
    </row>
    <row r="236" spans="1:23" x14ac:dyDescent="0.2">
      <c r="A236" s="849" t="s">
        <v>4064</v>
      </c>
      <c r="B236" s="850">
        <v>8</v>
      </c>
      <c r="C236" s="850">
        <v>11</v>
      </c>
      <c r="D236" s="850">
        <v>35</v>
      </c>
      <c r="E236" s="850">
        <v>12</v>
      </c>
      <c r="F236" s="850">
        <v>24</v>
      </c>
      <c r="G236" s="850">
        <v>42</v>
      </c>
      <c r="H236" s="850">
        <v>3</v>
      </c>
      <c r="I236" s="851" t="s">
        <v>3303</v>
      </c>
      <c r="J236" s="851" t="s">
        <v>1881</v>
      </c>
      <c r="K236" s="850" t="s">
        <v>1682</v>
      </c>
      <c r="L236" s="852" t="s">
        <v>1809</v>
      </c>
      <c r="M236" s="849" t="s">
        <v>3351</v>
      </c>
      <c r="N236" s="852" t="s">
        <v>1687</v>
      </c>
      <c r="O236" s="849" t="s">
        <v>3442</v>
      </c>
      <c r="P236" s="852" t="s">
        <v>1700</v>
      </c>
      <c r="Q236" s="849" t="s">
        <v>3352</v>
      </c>
      <c r="R236" s="852" t="s">
        <v>1701</v>
      </c>
      <c r="S236" s="849" t="s">
        <v>3352</v>
      </c>
      <c r="T236" s="853" t="s">
        <v>2019</v>
      </c>
      <c r="U236" s="795" t="s">
        <v>3228</v>
      </c>
      <c r="V236" s="795" t="s">
        <v>3228</v>
      </c>
      <c r="W236" s="850"/>
    </row>
    <row r="237" spans="1:23" x14ac:dyDescent="0.2">
      <c r="A237" s="855" t="s">
        <v>4044</v>
      </c>
      <c r="B237" s="856"/>
      <c r="C237" s="856"/>
      <c r="D237" s="856"/>
      <c r="E237" s="856"/>
      <c r="F237" s="856"/>
      <c r="G237" s="856"/>
      <c r="H237" s="856"/>
      <c r="I237" s="856"/>
      <c r="J237" s="856"/>
      <c r="K237" s="856"/>
      <c r="L237" s="857"/>
      <c r="M237" s="856"/>
      <c r="N237" s="856"/>
      <c r="O237" s="856"/>
      <c r="P237" s="856"/>
      <c r="Q237" s="856"/>
      <c r="R237" s="856"/>
      <c r="S237" s="856"/>
      <c r="T237" s="856"/>
      <c r="U237" s="856"/>
      <c r="V237" s="856"/>
      <c r="W237" s="850"/>
    </row>
    <row r="238" spans="1:23" x14ac:dyDescent="0.2">
      <c r="A238" s="849" t="s">
        <v>4045</v>
      </c>
      <c r="B238" s="850">
        <v>6</v>
      </c>
      <c r="C238" s="850">
        <v>6</v>
      </c>
      <c r="D238" s="850">
        <v>20</v>
      </c>
      <c r="E238" s="850">
        <v>2</v>
      </c>
      <c r="F238" s="850">
        <v>4</v>
      </c>
      <c r="G238" s="850">
        <v>7</v>
      </c>
      <c r="H238" s="850"/>
      <c r="I238" s="850"/>
      <c r="J238" s="850"/>
      <c r="K238" s="850"/>
      <c r="L238" s="859"/>
      <c r="M238" s="850"/>
      <c r="N238" s="850"/>
      <c r="O238" s="850"/>
      <c r="P238" s="850"/>
      <c r="Q238" s="850"/>
      <c r="R238" s="850"/>
      <c r="S238" s="850"/>
      <c r="T238" s="850"/>
      <c r="U238" s="850"/>
      <c r="V238" s="850"/>
      <c r="W238" s="850"/>
    </row>
    <row r="239" spans="1:23" x14ac:dyDescent="0.2">
      <c r="A239" s="691" t="s">
        <v>3412</v>
      </c>
      <c r="B239" s="869"/>
      <c r="C239" s="869"/>
      <c r="D239" s="869"/>
      <c r="E239" s="869"/>
      <c r="F239" s="869"/>
      <c r="G239" s="869"/>
      <c r="H239" s="869"/>
      <c r="I239" s="869"/>
      <c r="J239" s="869"/>
      <c r="K239" s="869"/>
      <c r="L239" s="870"/>
      <c r="M239" s="869"/>
      <c r="N239" s="869"/>
      <c r="O239" s="869"/>
      <c r="P239" s="869"/>
      <c r="Q239" s="869"/>
      <c r="R239" s="869"/>
      <c r="S239" s="869"/>
      <c r="T239" s="869"/>
      <c r="U239" s="869"/>
      <c r="V239" s="869"/>
      <c r="W239" s="850"/>
    </row>
    <row r="240" spans="1:23" x14ac:dyDescent="0.2">
      <c r="A240" s="849" t="s">
        <v>4065</v>
      </c>
      <c r="B240" s="850">
        <v>1</v>
      </c>
      <c r="C240" s="850">
        <v>2</v>
      </c>
      <c r="D240" s="850">
        <v>5</v>
      </c>
      <c r="E240" s="850">
        <v>1</v>
      </c>
      <c r="F240" s="850">
        <v>2</v>
      </c>
      <c r="G240" s="850">
        <v>4</v>
      </c>
      <c r="H240" s="850">
        <v>1</v>
      </c>
      <c r="I240" s="851" t="s">
        <v>3308</v>
      </c>
      <c r="J240" s="851" t="s">
        <v>4066</v>
      </c>
      <c r="K240" s="850" t="s">
        <v>1687</v>
      </c>
      <c r="L240" s="852" t="s">
        <v>1682</v>
      </c>
      <c r="M240" s="849" t="s">
        <v>3442</v>
      </c>
      <c r="N240" s="852" t="s">
        <v>1809</v>
      </c>
      <c r="O240" s="849" t="s">
        <v>3442</v>
      </c>
      <c r="P240" s="852" t="s">
        <v>1700</v>
      </c>
      <c r="Q240" s="849" t="s">
        <v>3352</v>
      </c>
      <c r="R240" s="852" t="s">
        <v>1701</v>
      </c>
      <c r="S240" s="849" t="s">
        <v>3351</v>
      </c>
      <c r="T240" s="853" t="s">
        <v>1922</v>
      </c>
      <c r="U240" s="795" t="s">
        <v>3228</v>
      </c>
      <c r="V240" s="795" t="s">
        <v>3228</v>
      </c>
      <c r="W240" s="850"/>
    </row>
    <row r="241" spans="1:23" x14ac:dyDescent="0.2">
      <c r="A241" s="849" t="s">
        <v>4067</v>
      </c>
      <c r="B241" s="850">
        <v>2</v>
      </c>
      <c r="C241" s="850">
        <v>4</v>
      </c>
      <c r="D241" s="850">
        <v>5</v>
      </c>
      <c r="E241" s="850">
        <v>2</v>
      </c>
      <c r="F241" s="850">
        <v>4</v>
      </c>
      <c r="G241" s="850">
        <v>7</v>
      </c>
      <c r="H241" s="850">
        <v>1</v>
      </c>
      <c r="I241" s="851" t="s">
        <v>3308</v>
      </c>
      <c r="J241" s="851" t="s">
        <v>4066</v>
      </c>
      <c r="K241" s="850" t="s">
        <v>1687</v>
      </c>
      <c r="L241" s="852" t="s">
        <v>1682</v>
      </c>
      <c r="M241" s="849" t="s">
        <v>3442</v>
      </c>
      <c r="N241" s="852" t="s">
        <v>1809</v>
      </c>
      <c r="O241" s="849" t="s">
        <v>3442</v>
      </c>
      <c r="P241" s="852" t="s">
        <v>1700</v>
      </c>
      <c r="Q241" s="849" t="s">
        <v>3352</v>
      </c>
      <c r="R241" s="852" t="s">
        <v>1701</v>
      </c>
      <c r="S241" s="849" t="s">
        <v>3351</v>
      </c>
      <c r="T241" s="853" t="s">
        <v>1922</v>
      </c>
      <c r="U241" s="795" t="s">
        <v>3228</v>
      </c>
      <c r="V241" s="795" t="s">
        <v>3228</v>
      </c>
      <c r="W241" s="850"/>
    </row>
    <row r="242" spans="1:23" x14ac:dyDescent="0.2">
      <c r="A242" s="849" t="s">
        <v>4068</v>
      </c>
      <c r="B242" s="850">
        <v>3</v>
      </c>
      <c r="C242" s="850">
        <v>5</v>
      </c>
      <c r="D242" s="850">
        <v>10</v>
      </c>
      <c r="E242" s="850">
        <v>3</v>
      </c>
      <c r="F242" s="850">
        <v>6</v>
      </c>
      <c r="G242" s="850">
        <v>11</v>
      </c>
      <c r="H242" s="850">
        <v>1</v>
      </c>
      <c r="I242" s="851" t="s">
        <v>3308</v>
      </c>
      <c r="J242" s="851" t="s">
        <v>4066</v>
      </c>
      <c r="K242" s="850" t="s">
        <v>1687</v>
      </c>
      <c r="L242" s="852" t="s">
        <v>1682</v>
      </c>
      <c r="M242" s="849" t="s">
        <v>3442</v>
      </c>
      <c r="N242" s="852" t="s">
        <v>1809</v>
      </c>
      <c r="O242" s="849" t="s">
        <v>3442</v>
      </c>
      <c r="P242" s="852" t="s">
        <v>1700</v>
      </c>
      <c r="Q242" s="849" t="s">
        <v>3352</v>
      </c>
      <c r="R242" s="852" t="s">
        <v>1701</v>
      </c>
      <c r="S242" s="849" t="s">
        <v>3351</v>
      </c>
      <c r="T242" s="853" t="s">
        <v>1922</v>
      </c>
      <c r="U242" s="795" t="s">
        <v>3228</v>
      </c>
      <c r="V242" s="795" t="s">
        <v>3228</v>
      </c>
      <c r="W242" s="850"/>
    </row>
    <row r="243" spans="1:23" x14ac:dyDescent="0.2">
      <c r="A243" s="849" t="s">
        <v>4069</v>
      </c>
      <c r="B243" s="850">
        <v>4</v>
      </c>
      <c r="C243" s="850">
        <v>6</v>
      </c>
      <c r="D243" s="850">
        <v>15</v>
      </c>
      <c r="E243" s="850">
        <v>4</v>
      </c>
      <c r="F243" s="850">
        <v>8</v>
      </c>
      <c r="G243" s="850">
        <v>14</v>
      </c>
      <c r="H243" s="850">
        <v>1</v>
      </c>
      <c r="I243" s="851" t="s">
        <v>3308</v>
      </c>
      <c r="J243" s="851" t="s">
        <v>4066</v>
      </c>
      <c r="K243" s="850" t="s">
        <v>1687</v>
      </c>
      <c r="L243" s="852" t="s">
        <v>1682</v>
      </c>
      <c r="M243" s="849" t="s">
        <v>3442</v>
      </c>
      <c r="N243" s="852" t="s">
        <v>1809</v>
      </c>
      <c r="O243" s="849" t="s">
        <v>3442</v>
      </c>
      <c r="P243" s="852" t="s">
        <v>1700</v>
      </c>
      <c r="Q243" s="849" t="s">
        <v>3352</v>
      </c>
      <c r="R243" s="852" t="s">
        <v>1701</v>
      </c>
      <c r="S243" s="849" t="s">
        <v>3351</v>
      </c>
      <c r="T243" s="853" t="s">
        <v>1922</v>
      </c>
      <c r="U243" s="795" t="s">
        <v>3228</v>
      </c>
      <c r="V243" s="795" t="s">
        <v>3228</v>
      </c>
      <c r="W243" s="850"/>
    </row>
    <row r="244" spans="1:23" x14ac:dyDescent="0.2">
      <c r="A244" s="849" t="s">
        <v>4070</v>
      </c>
      <c r="B244" s="850">
        <v>5</v>
      </c>
      <c r="C244" s="850">
        <v>8</v>
      </c>
      <c r="D244" s="850">
        <v>20</v>
      </c>
      <c r="E244" s="850">
        <v>6</v>
      </c>
      <c r="F244" s="850">
        <v>12</v>
      </c>
      <c r="G244" s="850">
        <v>21</v>
      </c>
      <c r="H244" s="850">
        <v>1</v>
      </c>
      <c r="I244" s="851" t="s">
        <v>3308</v>
      </c>
      <c r="J244" s="851" t="s">
        <v>4066</v>
      </c>
      <c r="K244" s="850" t="s">
        <v>1687</v>
      </c>
      <c r="L244" s="852" t="s">
        <v>1682</v>
      </c>
      <c r="M244" s="849" t="s">
        <v>3442</v>
      </c>
      <c r="N244" s="852" t="s">
        <v>1809</v>
      </c>
      <c r="O244" s="849" t="s">
        <v>3442</v>
      </c>
      <c r="P244" s="852" t="s">
        <v>1700</v>
      </c>
      <c r="Q244" s="849" t="s">
        <v>3352</v>
      </c>
      <c r="R244" s="852" t="s">
        <v>1701</v>
      </c>
      <c r="S244" s="849" t="s">
        <v>3351</v>
      </c>
      <c r="T244" s="853" t="s">
        <v>1922</v>
      </c>
      <c r="U244" s="795" t="s">
        <v>3228</v>
      </c>
      <c r="V244" s="795" t="s">
        <v>3228</v>
      </c>
      <c r="W244" s="850"/>
    </row>
    <row r="245" spans="1:23" x14ac:dyDescent="0.2">
      <c r="A245" s="849" t="s">
        <v>4071</v>
      </c>
      <c r="B245" s="850">
        <v>6</v>
      </c>
      <c r="C245" s="850">
        <v>9</v>
      </c>
      <c r="D245" s="850">
        <v>25</v>
      </c>
      <c r="E245" s="850">
        <v>8</v>
      </c>
      <c r="F245" s="850">
        <v>16</v>
      </c>
      <c r="G245" s="850">
        <v>28</v>
      </c>
      <c r="H245" s="850">
        <v>1</v>
      </c>
      <c r="I245" s="851" t="s">
        <v>3308</v>
      </c>
      <c r="J245" s="851" t="s">
        <v>4066</v>
      </c>
      <c r="K245" s="850" t="s">
        <v>1687</v>
      </c>
      <c r="L245" s="852" t="s">
        <v>1682</v>
      </c>
      <c r="M245" s="849" t="s">
        <v>3442</v>
      </c>
      <c r="N245" s="852" t="s">
        <v>1809</v>
      </c>
      <c r="O245" s="849" t="s">
        <v>3442</v>
      </c>
      <c r="P245" s="852" t="s">
        <v>1700</v>
      </c>
      <c r="Q245" s="849" t="s">
        <v>3352</v>
      </c>
      <c r="R245" s="852" t="s">
        <v>1701</v>
      </c>
      <c r="S245" s="849" t="s">
        <v>3351</v>
      </c>
      <c r="T245" s="853" t="s">
        <v>1922</v>
      </c>
      <c r="U245" s="795" t="s">
        <v>3228</v>
      </c>
      <c r="V245" s="795" t="s">
        <v>3228</v>
      </c>
      <c r="W245" s="850"/>
    </row>
    <row r="246" spans="1:23" x14ac:dyDescent="0.2">
      <c r="A246" s="849" t="s">
        <v>4072</v>
      </c>
      <c r="B246" s="850">
        <v>7</v>
      </c>
      <c r="C246" s="850">
        <v>10</v>
      </c>
      <c r="D246" s="850">
        <v>30</v>
      </c>
      <c r="E246" s="850">
        <v>10</v>
      </c>
      <c r="F246" s="850">
        <v>20</v>
      </c>
      <c r="G246" s="850">
        <v>35</v>
      </c>
      <c r="H246" s="850">
        <v>2</v>
      </c>
      <c r="I246" s="851" t="s">
        <v>3308</v>
      </c>
      <c r="J246" s="851" t="s">
        <v>4066</v>
      </c>
      <c r="K246" s="850" t="s">
        <v>1687</v>
      </c>
      <c r="L246" s="852" t="s">
        <v>1682</v>
      </c>
      <c r="M246" s="849" t="s">
        <v>3442</v>
      </c>
      <c r="N246" s="852" t="s">
        <v>1809</v>
      </c>
      <c r="O246" s="849" t="s">
        <v>3442</v>
      </c>
      <c r="P246" s="852" t="s">
        <v>1700</v>
      </c>
      <c r="Q246" s="849" t="s">
        <v>3352</v>
      </c>
      <c r="R246" s="852" t="s">
        <v>1701</v>
      </c>
      <c r="S246" s="849" t="s">
        <v>3351</v>
      </c>
      <c r="T246" s="853" t="s">
        <v>1922</v>
      </c>
      <c r="U246" s="795" t="s">
        <v>3228</v>
      </c>
      <c r="V246" s="795" t="s">
        <v>3228</v>
      </c>
      <c r="W246" s="850"/>
    </row>
    <row r="247" spans="1:23" x14ac:dyDescent="0.2">
      <c r="A247" s="849" t="s">
        <v>4073</v>
      </c>
      <c r="B247" s="850">
        <v>8</v>
      </c>
      <c r="C247" s="850">
        <v>11</v>
      </c>
      <c r="D247" s="850">
        <v>35</v>
      </c>
      <c r="E247" s="850">
        <v>12</v>
      </c>
      <c r="F247" s="850">
        <v>24</v>
      </c>
      <c r="G247" s="850">
        <v>42</v>
      </c>
      <c r="H247" s="850">
        <v>3</v>
      </c>
      <c r="I247" s="851" t="s">
        <v>3308</v>
      </c>
      <c r="J247" s="851" t="s">
        <v>4066</v>
      </c>
      <c r="K247" s="850" t="s">
        <v>1687</v>
      </c>
      <c r="L247" s="852" t="s">
        <v>1682</v>
      </c>
      <c r="M247" s="849" t="s">
        <v>3442</v>
      </c>
      <c r="N247" s="852" t="s">
        <v>1809</v>
      </c>
      <c r="O247" s="849" t="s">
        <v>3442</v>
      </c>
      <c r="P247" s="852" t="s">
        <v>1700</v>
      </c>
      <c r="Q247" s="849" t="s">
        <v>3352</v>
      </c>
      <c r="R247" s="852" t="s">
        <v>1701</v>
      </c>
      <c r="S247" s="849" t="s">
        <v>3351</v>
      </c>
      <c r="T247" s="853" t="s">
        <v>1922</v>
      </c>
      <c r="U247" s="795" t="s">
        <v>3228</v>
      </c>
      <c r="V247" s="795" t="s">
        <v>3228</v>
      </c>
      <c r="W247" s="850"/>
    </row>
    <row r="248" spans="1:23" x14ac:dyDescent="0.2">
      <c r="A248" s="855" t="s">
        <v>4044</v>
      </c>
      <c r="B248" s="856"/>
      <c r="C248" s="856"/>
      <c r="D248" s="856"/>
      <c r="E248" s="856"/>
      <c r="F248" s="856"/>
      <c r="G248" s="856"/>
      <c r="H248" s="856"/>
      <c r="I248" s="856"/>
      <c r="J248" s="856"/>
      <c r="K248" s="856"/>
      <c r="L248" s="857"/>
      <c r="M248" s="856"/>
      <c r="N248" s="856"/>
      <c r="O248" s="856"/>
      <c r="P248" s="856"/>
      <c r="Q248" s="856"/>
      <c r="R248" s="856"/>
      <c r="S248" s="856"/>
      <c r="T248" s="856"/>
      <c r="U248" s="856"/>
      <c r="V248" s="856"/>
      <c r="W248" s="850"/>
    </row>
    <row r="249" spans="1:23" x14ac:dyDescent="0.2">
      <c r="A249" s="849" t="s">
        <v>4045</v>
      </c>
      <c r="B249" s="850">
        <v>6</v>
      </c>
      <c r="C249" s="850">
        <v>6</v>
      </c>
      <c r="D249" s="850">
        <v>20</v>
      </c>
      <c r="E249" s="850">
        <v>1</v>
      </c>
      <c r="F249" s="850">
        <v>2</v>
      </c>
      <c r="G249" s="850">
        <v>4</v>
      </c>
      <c r="H249" s="850"/>
      <c r="I249" s="850"/>
      <c r="J249" s="850"/>
      <c r="K249" s="850"/>
      <c r="L249" s="859"/>
      <c r="M249" s="850"/>
      <c r="N249" s="850"/>
      <c r="O249" s="850"/>
      <c r="P249" s="850"/>
      <c r="Q249" s="850"/>
      <c r="R249" s="850"/>
      <c r="S249" s="850"/>
      <c r="T249" s="850"/>
      <c r="U249" s="795" t="s">
        <v>3228</v>
      </c>
      <c r="V249" s="795" t="s">
        <v>3228</v>
      </c>
      <c r="W249" s="850"/>
    </row>
    <row r="250" spans="1:23" x14ac:dyDescent="0.2">
      <c r="A250" s="684" t="s">
        <v>3415</v>
      </c>
      <c r="B250" s="873"/>
      <c r="C250" s="873"/>
      <c r="D250" s="873"/>
      <c r="E250" s="873"/>
      <c r="F250" s="873"/>
      <c r="G250" s="873"/>
      <c r="H250" s="873"/>
      <c r="I250" s="873"/>
      <c r="J250" s="873"/>
      <c r="K250" s="873"/>
      <c r="L250" s="874"/>
      <c r="M250" s="873"/>
      <c r="N250" s="873"/>
      <c r="O250" s="873"/>
      <c r="P250" s="873"/>
      <c r="Q250" s="873"/>
      <c r="R250" s="873"/>
      <c r="S250" s="873"/>
      <c r="T250" s="873"/>
      <c r="U250" s="873"/>
      <c r="V250" s="873"/>
      <c r="W250" s="850"/>
    </row>
    <row r="251" spans="1:23" x14ac:dyDescent="0.2">
      <c r="A251" s="691" t="s">
        <v>3420</v>
      </c>
      <c r="B251" s="869"/>
      <c r="C251" s="869"/>
      <c r="D251" s="869"/>
      <c r="E251" s="869"/>
      <c r="F251" s="869"/>
      <c r="G251" s="869"/>
      <c r="H251" s="869"/>
      <c r="I251" s="869"/>
      <c r="J251" s="869"/>
      <c r="K251" s="869"/>
      <c r="L251" s="870"/>
      <c r="M251" s="869"/>
      <c r="N251" s="869"/>
      <c r="O251" s="869"/>
      <c r="P251" s="869"/>
      <c r="Q251" s="869"/>
      <c r="R251" s="869"/>
      <c r="S251" s="869"/>
      <c r="T251" s="869"/>
      <c r="U251" s="869"/>
      <c r="V251" s="869"/>
      <c r="W251" s="850"/>
    </row>
    <row r="252" spans="1:23" x14ac:dyDescent="0.2">
      <c r="A252" s="849" t="s">
        <v>4074</v>
      </c>
      <c r="B252" s="850">
        <v>1</v>
      </c>
      <c r="C252" s="850">
        <v>2</v>
      </c>
      <c r="D252" s="850">
        <v>5</v>
      </c>
      <c r="E252" s="850">
        <v>1</v>
      </c>
      <c r="F252" s="850">
        <v>2</v>
      </c>
      <c r="G252" s="850">
        <v>4</v>
      </c>
      <c r="H252" s="850">
        <v>1</v>
      </c>
      <c r="I252" s="851" t="s">
        <v>3308</v>
      </c>
      <c r="J252" s="851" t="s">
        <v>4066</v>
      </c>
      <c r="K252" s="850" t="s">
        <v>1682</v>
      </c>
      <c r="L252" s="852" t="s">
        <v>1809</v>
      </c>
      <c r="M252" s="849" t="s">
        <v>3351</v>
      </c>
      <c r="N252" s="852" t="s">
        <v>1687</v>
      </c>
      <c r="O252" s="849" t="s">
        <v>3442</v>
      </c>
      <c r="P252" s="852" t="s">
        <v>1700</v>
      </c>
      <c r="Q252" s="849" t="s">
        <v>3352</v>
      </c>
      <c r="R252" s="852" t="s">
        <v>1701</v>
      </c>
      <c r="S252" s="849" t="s">
        <v>3352</v>
      </c>
      <c r="T252" s="853" t="s">
        <v>1922</v>
      </c>
      <c r="U252" s="795" t="s">
        <v>3228</v>
      </c>
      <c r="V252" s="795" t="s">
        <v>3228</v>
      </c>
      <c r="W252" s="850"/>
    </row>
    <row r="253" spans="1:23" x14ac:dyDescent="0.2">
      <c r="A253" s="849" t="s">
        <v>4075</v>
      </c>
      <c r="B253" s="850">
        <v>2</v>
      </c>
      <c r="C253" s="850">
        <v>4</v>
      </c>
      <c r="D253" s="850">
        <v>10</v>
      </c>
      <c r="E253" s="850">
        <v>1</v>
      </c>
      <c r="F253" s="850">
        <v>2</v>
      </c>
      <c r="G253" s="850">
        <v>4</v>
      </c>
      <c r="H253" s="850">
        <v>1</v>
      </c>
      <c r="I253" s="851" t="s">
        <v>3308</v>
      </c>
      <c r="J253" s="851" t="s">
        <v>4066</v>
      </c>
      <c r="K253" s="850" t="s">
        <v>1682</v>
      </c>
      <c r="L253" s="852" t="s">
        <v>1809</v>
      </c>
      <c r="M253" s="849" t="s">
        <v>3351</v>
      </c>
      <c r="N253" s="852" t="s">
        <v>1687</v>
      </c>
      <c r="O253" s="849" t="s">
        <v>3442</v>
      </c>
      <c r="P253" s="852" t="s">
        <v>1700</v>
      </c>
      <c r="Q253" s="849" t="s">
        <v>3352</v>
      </c>
      <c r="R253" s="852" t="s">
        <v>1701</v>
      </c>
      <c r="S253" s="849" t="s">
        <v>3352</v>
      </c>
      <c r="T253" s="853" t="s">
        <v>1922</v>
      </c>
      <c r="U253" s="795" t="s">
        <v>3228</v>
      </c>
      <c r="V253" s="795" t="s">
        <v>3228</v>
      </c>
      <c r="W253" s="850"/>
    </row>
    <row r="254" spans="1:23" x14ac:dyDescent="0.2">
      <c r="A254" s="849" t="s">
        <v>4076</v>
      </c>
      <c r="B254" s="850">
        <v>4</v>
      </c>
      <c r="C254" s="850">
        <v>6</v>
      </c>
      <c r="D254" s="850">
        <v>15</v>
      </c>
      <c r="E254" s="850">
        <v>2</v>
      </c>
      <c r="F254" s="850">
        <v>4</v>
      </c>
      <c r="G254" s="850">
        <v>7</v>
      </c>
      <c r="H254" s="850">
        <v>1</v>
      </c>
      <c r="I254" s="851" t="s">
        <v>3308</v>
      </c>
      <c r="J254" s="851" t="s">
        <v>4066</v>
      </c>
      <c r="K254" s="850" t="s">
        <v>1682</v>
      </c>
      <c r="L254" s="852" t="s">
        <v>1809</v>
      </c>
      <c r="M254" s="849" t="s">
        <v>3351</v>
      </c>
      <c r="N254" s="852" t="s">
        <v>1687</v>
      </c>
      <c r="O254" s="849" t="s">
        <v>3442</v>
      </c>
      <c r="P254" s="852" t="s">
        <v>1700</v>
      </c>
      <c r="Q254" s="849" t="s">
        <v>3352</v>
      </c>
      <c r="R254" s="852" t="s">
        <v>1701</v>
      </c>
      <c r="S254" s="849" t="s">
        <v>3352</v>
      </c>
      <c r="T254" s="853" t="s">
        <v>1922</v>
      </c>
      <c r="U254" s="795" t="s">
        <v>3228</v>
      </c>
      <c r="V254" s="795" t="s">
        <v>3228</v>
      </c>
      <c r="W254" s="850"/>
    </row>
    <row r="255" spans="1:23" x14ac:dyDescent="0.2">
      <c r="A255" s="849" t="s">
        <v>4077</v>
      </c>
      <c r="B255" s="850">
        <v>6</v>
      </c>
      <c r="C255" s="850">
        <v>9</v>
      </c>
      <c r="D255" s="850">
        <v>20</v>
      </c>
      <c r="E255" s="850">
        <v>3</v>
      </c>
      <c r="F255" s="850">
        <v>6</v>
      </c>
      <c r="G255" s="850">
        <v>11</v>
      </c>
      <c r="H255" s="850">
        <v>1</v>
      </c>
      <c r="I255" s="851" t="s">
        <v>3308</v>
      </c>
      <c r="J255" s="851" t="s">
        <v>4066</v>
      </c>
      <c r="K255" s="850" t="s">
        <v>1682</v>
      </c>
      <c r="L255" s="852" t="s">
        <v>1809</v>
      </c>
      <c r="M255" s="849" t="s">
        <v>3351</v>
      </c>
      <c r="N255" s="852" t="s">
        <v>1687</v>
      </c>
      <c r="O255" s="849" t="s">
        <v>3442</v>
      </c>
      <c r="P255" s="852" t="s">
        <v>1700</v>
      </c>
      <c r="Q255" s="849" t="s">
        <v>3352</v>
      </c>
      <c r="R255" s="852" t="s">
        <v>1701</v>
      </c>
      <c r="S255" s="849" t="s">
        <v>3352</v>
      </c>
      <c r="T255" s="853" t="s">
        <v>1922</v>
      </c>
      <c r="U255" s="795" t="s">
        <v>3228</v>
      </c>
      <c r="V255" s="795" t="s">
        <v>3228</v>
      </c>
      <c r="W255" s="850"/>
    </row>
    <row r="256" spans="1:23" x14ac:dyDescent="0.2">
      <c r="A256" s="849" t="s">
        <v>4078</v>
      </c>
      <c r="B256" s="850">
        <v>8</v>
      </c>
      <c r="C256" s="850">
        <v>11</v>
      </c>
      <c r="D256" s="850">
        <v>25</v>
      </c>
      <c r="E256" s="850">
        <v>4</v>
      </c>
      <c r="F256" s="850">
        <v>8</v>
      </c>
      <c r="G256" s="850">
        <v>14</v>
      </c>
      <c r="H256" s="850">
        <v>2</v>
      </c>
      <c r="I256" s="851" t="s">
        <v>3308</v>
      </c>
      <c r="J256" s="851" t="s">
        <v>4066</v>
      </c>
      <c r="K256" s="850" t="s">
        <v>1682</v>
      </c>
      <c r="L256" s="852" t="s">
        <v>1809</v>
      </c>
      <c r="M256" s="849" t="s">
        <v>3351</v>
      </c>
      <c r="N256" s="852" t="s">
        <v>1687</v>
      </c>
      <c r="O256" s="849" t="s">
        <v>3442</v>
      </c>
      <c r="P256" s="852" t="s">
        <v>1700</v>
      </c>
      <c r="Q256" s="849" t="s">
        <v>3352</v>
      </c>
      <c r="R256" s="852" t="s">
        <v>1701</v>
      </c>
      <c r="S256" s="849" t="s">
        <v>3352</v>
      </c>
      <c r="T256" s="853" t="s">
        <v>1922</v>
      </c>
      <c r="U256" s="795" t="s">
        <v>3228</v>
      </c>
      <c r="V256" s="795" t="s">
        <v>3228</v>
      </c>
      <c r="W256" s="850"/>
    </row>
    <row r="257" spans="1:23" x14ac:dyDescent="0.2">
      <c r="A257" s="849" t="s">
        <v>4079</v>
      </c>
      <c r="B257" s="850">
        <v>10</v>
      </c>
      <c r="C257" s="850">
        <v>13</v>
      </c>
      <c r="D257" s="850">
        <v>30</v>
      </c>
      <c r="E257" s="850">
        <v>5</v>
      </c>
      <c r="F257" s="850">
        <v>10</v>
      </c>
      <c r="G257" s="850">
        <v>18</v>
      </c>
      <c r="H257" s="850">
        <v>2</v>
      </c>
      <c r="I257" s="851" t="s">
        <v>3308</v>
      </c>
      <c r="J257" s="851" t="s">
        <v>4066</v>
      </c>
      <c r="K257" s="850" t="s">
        <v>1682</v>
      </c>
      <c r="L257" s="852" t="s">
        <v>1809</v>
      </c>
      <c r="M257" s="849" t="s">
        <v>3351</v>
      </c>
      <c r="N257" s="852" t="s">
        <v>1687</v>
      </c>
      <c r="O257" s="849" t="s">
        <v>3442</v>
      </c>
      <c r="P257" s="852" t="s">
        <v>1700</v>
      </c>
      <c r="Q257" s="849" t="s">
        <v>3352</v>
      </c>
      <c r="R257" s="852" t="s">
        <v>1701</v>
      </c>
      <c r="S257" s="849" t="s">
        <v>3352</v>
      </c>
      <c r="T257" s="853" t="s">
        <v>1922</v>
      </c>
      <c r="U257" s="795" t="s">
        <v>3228</v>
      </c>
      <c r="V257" s="795" t="s">
        <v>3228</v>
      </c>
      <c r="W257" s="850"/>
    </row>
    <row r="258" spans="1:23" x14ac:dyDescent="0.2">
      <c r="A258" s="849" t="s">
        <v>4080</v>
      </c>
      <c r="B258" s="850">
        <v>12</v>
      </c>
      <c r="C258" s="850">
        <v>15</v>
      </c>
      <c r="D258" s="850">
        <v>35</v>
      </c>
      <c r="E258" s="850">
        <v>6</v>
      </c>
      <c r="F258" s="850">
        <v>12</v>
      </c>
      <c r="G258" s="850">
        <v>21</v>
      </c>
      <c r="H258" s="850">
        <v>3</v>
      </c>
      <c r="I258" s="851" t="s">
        <v>3308</v>
      </c>
      <c r="J258" s="851" t="s">
        <v>4066</v>
      </c>
      <c r="K258" s="850" t="s">
        <v>1682</v>
      </c>
      <c r="L258" s="852" t="s">
        <v>1809</v>
      </c>
      <c r="M258" s="849" t="s">
        <v>3351</v>
      </c>
      <c r="N258" s="852" t="s">
        <v>1687</v>
      </c>
      <c r="O258" s="849" t="s">
        <v>3442</v>
      </c>
      <c r="P258" s="852" t="s">
        <v>1700</v>
      </c>
      <c r="Q258" s="849" t="s">
        <v>3352</v>
      </c>
      <c r="R258" s="852" t="s">
        <v>1701</v>
      </c>
      <c r="S258" s="849" t="s">
        <v>3352</v>
      </c>
      <c r="T258" s="853" t="s">
        <v>1922</v>
      </c>
      <c r="U258" s="795" t="s">
        <v>3228</v>
      </c>
      <c r="V258" s="795" t="s">
        <v>3228</v>
      </c>
      <c r="W258" s="850"/>
    </row>
    <row r="259" spans="1:23" x14ac:dyDescent="0.2">
      <c r="A259" s="849" t="s">
        <v>4081</v>
      </c>
      <c r="B259" s="850">
        <v>14</v>
      </c>
      <c r="C259" s="850">
        <v>18</v>
      </c>
      <c r="D259" s="850">
        <v>40</v>
      </c>
      <c r="E259" s="850">
        <v>7</v>
      </c>
      <c r="F259" s="850">
        <v>14</v>
      </c>
      <c r="G259" s="850">
        <v>25</v>
      </c>
      <c r="H259" s="850">
        <v>3</v>
      </c>
      <c r="I259" s="851" t="s">
        <v>3308</v>
      </c>
      <c r="J259" s="851" t="s">
        <v>4066</v>
      </c>
      <c r="K259" s="850" t="s">
        <v>1682</v>
      </c>
      <c r="L259" s="852" t="s">
        <v>1809</v>
      </c>
      <c r="M259" s="849" t="s">
        <v>3351</v>
      </c>
      <c r="N259" s="852" t="s">
        <v>1687</v>
      </c>
      <c r="O259" s="849" t="s">
        <v>3442</v>
      </c>
      <c r="P259" s="852" t="s">
        <v>1700</v>
      </c>
      <c r="Q259" s="849" t="s">
        <v>3352</v>
      </c>
      <c r="R259" s="852" t="s">
        <v>1701</v>
      </c>
      <c r="S259" s="849" t="s">
        <v>3352</v>
      </c>
      <c r="T259" s="853" t="s">
        <v>1922</v>
      </c>
      <c r="U259" s="795" t="s">
        <v>3228</v>
      </c>
      <c r="V259" s="795" t="s">
        <v>3228</v>
      </c>
      <c r="W259" s="850"/>
    </row>
    <row r="260" spans="1:23" x14ac:dyDescent="0.2">
      <c r="A260" s="691" t="s">
        <v>3425</v>
      </c>
      <c r="B260" s="869"/>
      <c r="C260" s="869"/>
      <c r="D260" s="869"/>
      <c r="E260" s="869"/>
      <c r="F260" s="869"/>
      <c r="G260" s="869"/>
      <c r="H260" s="869"/>
      <c r="I260" s="869"/>
      <c r="J260" s="869"/>
      <c r="K260" s="869"/>
      <c r="L260" s="870"/>
      <c r="M260" s="869"/>
      <c r="N260" s="869"/>
      <c r="O260" s="869"/>
      <c r="P260" s="869"/>
      <c r="Q260" s="869"/>
      <c r="R260" s="869"/>
      <c r="S260" s="869"/>
      <c r="T260" s="869"/>
      <c r="U260" s="869"/>
      <c r="V260" s="869"/>
      <c r="W260" s="850"/>
    </row>
    <row r="261" spans="1:23" x14ac:dyDescent="0.2">
      <c r="A261" s="849" t="s">
        <v>4082</v>
      </c>
      <c r="B261" s="850">
        <v>6</v>
      </c>
      <c r="C261" s="850">
        <v>9</v>
      </c>
      <c r="D261" s="850">
        <v>25</v>
      </c>
      <c r="E261" s="850">
        <v>2</v>
      </c>
      <c r="F261" s="850">
        <v>4</v>
      </c>
      <c r="G261" s="850">
        <v>7</v>
      </c>
      <c r="H261" s="850">
        <v>1</v>
      </c>
      <c r="I261" s="851" t="s">
        <v>3303</v>
      </c>
      <c r="J261" s="851" t="s">
        <v>4066</v>
      </c>
      <c r="K261" s="850" t="s">
        <v>1701</v>
      </c>
      <c r="L261" s="852" t="s">
        <v>1682</v>
      </c>
      <c r="M261" s="849" t="s">
        <v>3351</v>
      </c>
      <c r="N261" s="852" t="s">
        <v>1809</v>
      </c>
      <c r="O261" s="849" t="s">
        <v>3351</v>
      </c>
      <c r="P261" s="852" t="s">
        <v>1687</v>
      </c>
      <c r="Q261" s="849" t="s">
        <v>3352</v>
      </c>
      <c r="R261" s="852" t="s">
        <v>1700</v>
      </c>
      <c r="S261" s="849" t="s">
        <v>3351</v>
      </c>
      <c r="T261" s="853" t="s">
        <v>1922</v>
      </c>
      <c r="U261" s="853" t="s">
        <v>2019</v>
      </c>
      <c r="V261" s="853" t="s">
        <v>1925</v>
      </c>
      <c r="W261" s="850"/>
    </row>
    <row r="262" spans="1:23" x14ac:dyDescent="0.2">
      <c r="A262" s="691" t="s">
        <v>3430</v>
      </c>
      <c r="B262" s="869"/>
      <c r="C262" s="869"/>
      <c r="D262" s="869"/>
      <c r="E262" s="869"/>
      <c r="F262" s="869"/>
      <c r="G262" s="869"/>
      <c r="H262" s="869"/>
      <c r="I262" s="869"/>
      <c r="J262" s="869"/>
      <c r="K262" s="869"/>
      <c r="L262" s="870"/>
      <c r="M262" s="869"/>
      <c r="N262" s="869"/>
      <c r="O262" s="869"/>
      <c r="P262" s="869"/>
      <c r="Q262" s="869"/>
      <c r="R262" s="869"/>
      <c r="S262" s="869"/>
      <c r="T262" s="869"/>
      <c r="U262" s="869"/>
      <c r="V262" s="869"/>
      <c r="W262" s="850"/>
    </row>
    <row r="263" spans="1:23" x14ac:dyDescent="0.2">
      <c r="A263" s="849" t="s">
        <v>4083</v>
      </c>
      <c r="B263" s="850">
        <v>3</v>
      </c>
      <c r="C263" s="850">
        <v>5</v>
      </c>
      <c r="D263" s="850">
        <v>10</v>
      </c>
      <c r="E263" s="850">
        <v>1</v>
      </c>
      <c r="F263" s="850">
        <v>2</v>
      </c>
      <c r="G263" s="850">
        <v>4</v>
      </c>
      <c r="H263" s="850">
        <v>1</v>
      </c>
      <c r="I263" s="851" t="s">
        <v>3308</v>
      </c>
      <c r="J263" s="851" t="s">
        <v>4066</v>
      </c>
      <c r="K263" s="850" t="s">
        <v>1700</v>
      </c>
      <c r="L263" s="852" t="s">
        <v>1809</v>
      </c>
      <c r="M263" s="849" t="s">
        <v>3351</v>
      </c>
      <c r="N263" s="852" t="s">
        <v>1687</v>
      </c>
      <c r="O263" s="849" t="s">
        <v>3352</v>
      </c>
      <c r="P263" s="852" t="s">
        <v>1692</v>
      </c>
      <c r="Q263" s="849" t="s">
        <v>3442</v>
      </c>
      <c r="R263" s="852" t="s">
        <v>1701</v>
      </c>
      <c r="S263" s="849" t="s">
        <v>3442</v>
      </c>
      <c r="T263" s="853" t="s">
        <v>1922</v>
      </c>
      <c r="U263" s="853" t="s">
        <v>1929</v>
      </c>
      <c r="V263" s="853" t="s">
        <v>2019</v>
      </c>
      <c r="W263" s="850"/>
    </row>
    <row r="264" spans="1:23" x14ac:dyDescent="0.2">
      <c r="A264" s="849" t="s">
        <v>4084</v>
      </c>
      <c r="B264" s="850">
        <v>6</v>
      </c>
      <c r="C264" s="850">
        <v>9</v>
      </c>
      <c r="D264" s="850">
        <v>25</v>
      </c>
      <c r="E264" s="850">
        <v>3</v>
      </c>
      <c r="F264" s="850">
        <v>6</v>
      </c>
      <c r="G264" s="850">
        <v>11</v>
      </c>
      <c r="H264" s="850">
        <v>1</v>
      </c>
      <c r="I264" s="851" t="s">
        <v>3308</v>
      </c>
      <c r="J264" s="851" t="s">
        <v>4066</v>
      </c>
      <c r="K264" s="850" t="s">
        <v>1700</v>
      </c>
      <c r="L264" s="852" t="s">
        <v>1809</v>
      </c>
      <c r="M264" s="849" t="s">
        <v>3351</v>
      </c>
      <c r="N264" s="852" t="s">
        <v>1687</v>
      </c>
      <c r="O264" s="849" t="s">
        <v>3352</v>
      </c>
      <c r="P264" s="852" t="s">
        <v>1692</v>
      </c>
      <c r="Q264" s="849" t="s">
        <v>3442</v>
      </c>
      <c r="R264" s="852" t="s">
        <v>1701</v>
      </c>
      <c r="S264" s="849" t="s">
        <v>3442</v>
      </c>
      <c r="T264" s="853" t="s">
        <v>1922</v>
      </c>
      <c r="U264" s="853" t="s">
        <v>1929</v>
      </c>
      <c r="V264" s="853" t="s">
        <v>2019</v>
      </c>
      <c r="W264" s="850"/>
    </row>
    <row r="265" spans="1:23" x14ac:dyDescent="0.2">
      <c r="A265" s="684" t="s">
        <v>3435</v>
      </c>
      <c r="B265" s="873"/>
      <c r="C265" s="873"/>
      <c r="D265" s="873"/>
      <c r="E265" s="873"/>
      <c r="F265" s="873"/>
      <c r="G265" s="873"/>
      <c r="H265" s="873"/>
      <c r="I265" s="873"/>
      <c r="J265" s="873"/>
      <c r="K265" s="873"/>
      <c r="L265" s="874"/>
      <c r="M265" s="873"/>
      <c r="N265" s="873"/>
      <c r="O265" s="873"/>
      <c r="P265" s="873"/>
      <c r="Q265" s="873"/>
      <c r="R265" s="873"/>
      <c r="S265" s="873"/>
      <c r="T265" s="873"/>
      <c r="U265" s="873"/>
      <c r="V265" s="873"/>
      <c r="W265" s="850"/>
    </row>
    <row r="266" spans="1:23" x14ac:dyDescent="0.2">
      <c r="A266" s="691" t="s">
        <v>3440</v>
      </c>
      <c r="B266" s="869"/>
      <c r="C266" s="869"/>
      <c r="D266" s="869"/>
      <c r="E266" s="869"/>
      <c r="F266" s="869"/>
      <c r="G266" s="869"/>
      <c r="H266" s="869"/>
      <c r="I266" s="869"/>
      <c r="J266" s="869"/>
      <c r="K266" s="869"/>
      <c r="L266" s="870"/>
      <c r="M266" s="869"/>
      <c r="N266" s="869"/>
      <c r="O266" s="869"/>
      <c r="P266" s="869"/>
      <c r="Q266" s="869"/>
      <c r="R266" s="869"/>
      <c r="S266" s="869"/>
      <c r="T266" s="869"/>
      <c r="U266" s="869"/>
      <c r="V266" s="869"/>
      <c r="W266" s="850"/>
    </row>
    <row r="267" spans="1:23" x14ac:dyDescent="0.2">
      <c r="A267" s="849" t="s">
        <v>4085</v>
      </c>
      <c r="B267" s="850">
        <v>1</v>
      </c>
      <c r="C267" s="850">
        <v>2</v>
      </c>
      <c r="D267" s="850">
        <v>5</v>
      </c>
      <c r="E267" s="850">
        <v>1</v>
      </c>
      <c r="F267" s="850">
        <v>2</v>
      </c>
      <c r="G267" s="850">
        <v>4</v>
      </c>
      <c r="H267" s="850">
        <v>1</v>
      </c>
      <c r="I267" s="851" t="s">
        <v>3303</v>
      </c>
      <c r="J267" s="851" t="s">
        <v>1534</v>
      </c>
      <c r="K267" s="850" t="s">
        <v>1700</v>
      </c>
      <c r="L267" s="852" t="s">
        <v>1682</v>
      </c>
      <c r="M267" s="849" t="s">
        <v>3352</v>
      </c>
      <c r="N267" s="852" t="s">
        <v>1809</v>
      </c>
      <c r="O267" s="849" t="s">
        <v>4086</v>
      </c>
      <c r="P267" s="852" t="s">
        <v>1687</v>
      </c>
      <c r="Q267" s="849" t="s">
        <v>3351</v>
      </c>
      <c r="R267" s="852" t="s">
        <v>1701</v>
      </c>
      <c r="S267" s="849" t="s">
        <v>3442</v>
      </c>
      <c r="T267" s="853" t="s">
        <v>1925</v>
      </c>
      <c r="U267" s="853" t="s">
        <v>1922</v>
      </c>
      <c r="V267" s="853" t="s">
        <v>1929</v>
      </c>
      <c r="W267" s="850"/>
    </row>
    <row r="268" spans="1:23" x14ac:dyDescent="0.2">
      <c r="A268" s="849" t="s">
        <v>4087</v>
      </c>
      <c r="B268" s="850">
        <v>2</v>
      </c>
      <c r="C268" s="850">
        <v>4</v>
      </c>
      <c r="D268" s="850">
        <v>10</v>
      </c>
      <c r="E268" s="850">
        <v>1</v>
      </c>
      <c r="F268" s="850">
        <v>2</v>
      </c>
      <c r="G268" s="850">
        <v>4</v>
      </c>
      <c r="H268" s="850">
        <v>1</v>
      </c>
      <c r="I268" s="851" t="s">
        <v>3303</v>
      </c>
      <c r="J268" s="851" t="s">
        <v>1534</v>
      </c>
      <c r="K268" s="850" t="s">
        <v>1700</v>
      </c>
      <c r="L268" s="852" t="s">
        <v>1682</v>
      </c>
      <c r="M268" s="849" t="s">
        <v>3352</v>
      </c>
      <c r="N268" s="852" t="s">
        <v>1809</v>
      </c>
      <c r="O268" s="849" t="s">
        <v>4086</v>
      </c>
      <c r="P268" s="852" t="s">
        <v>1687</v>
      </c>
      <c r="Q268" s="849" t="s">
        <v>3351</v>
      </c>
      <c r="R268" s="852" t="s">
        <v>1701</v>
      </c>
      <c r="S268" s="849" t="s">
        <v>3442</v>
      </c>
      <c r="T268" s="853" t="s">
        <v>1925</v>
      </c>
      <c r="U268" s="853" t="s">
        <v>1922</v>
      </c>
      <c r="V268" s="853" t="s">
        <v>1929</v>
      </c>
      <c r="W268" s="850"/>
    </row>
    <row r="269" spans="1:23" x14ac:dyDescent="0.2">
      <c r="A269" s="849" t="s">
        <v>4088</v>
      </c>
      <c r="B269" s="850">
        <v>3</v>
      </c>
      <c r="C269" s="850">
        <v>5</v>
      </c>
      <c r="D269" s="850">
        <v>10</v>
      </c>
      <c r="E269" s="850">
        <v>2</v>
      </c>
      <c r="F269" s="850">
        <v>4</v>
      </c>
      <c r="G269" s="850">
        <v>7</v>
      </c>
      <c r="H269" s="850">
        <v>1</v>
      </c>
      <c r="I269" s="851" t="s">
        <v>3303</v>
      </c>
      <c r="J269" s="851" t="s">
        <v>1534</v>
      </c>
      <c r="K269" s="850" t="s">
        <v>1700</v>
      </c>
      <c r="L269" s="852" t="s">
        <v>1682</v>
      </c>
      <c r="M269" s="849" t="s">
        <v>3352</v>
      </c>
      <c r="N269" s="852" t="s">
        <v>1809</v>
      </c>
      <c r="O269" s="849" t="s">
        <v>4086</v>
      </c>
      <c r="P269" s="852" t="s">
        <v>1687</v>
      </c>
      <c r="Q269" s="849" t="s">
        <v>3351</v>
      </c>
      <c r="R269" s="852" t="s">
        <v>1701</v>
      </c>
      <c r="S269" s="849" t="s">
        <v>3442</v>
      </c>
      <c r="T269" s="853" t="s">
        <v>1925</v>
      </c>
      <c r="U269" s="853" t="s">
        <v>1922</v>
      </c>
      <c r="V269" s="853" t="s">
        <v>1929</v>
      </c>
      <c r="W269" s="850"/>
    </row>
    <row r="270" spans="1:23" x14ac:dyDescent="0.2">
      <c r="A270" s="849" t="s">
        <v>4089</v>
      </c>
      <c r="B270" s="850">
        <v>4</v>
      </c>
      <c r="C270" s="850">
        <v>6</v>
      </c>
      <c r="D270" s="850">
        <v>15</v>
      </c>
      <c r="E270" s="850">
        <v>3</v>
      </c>
      <c r="F270" s="850">
        <v>6</v>
      </c>
      <c r="G270" s="850">
        <v>11</v>
      </c>
      <c r="H270" s="850">
        <v>1</v>
      </c>
      <c r="I270" s="851" t="s">
        <v>3303</v>
      </c>
      <c r="J270" s="851" t="s">
        <v>1534</v>
      </c>
      <c r="K270" s="850" t="s">
        <v>1700</v>
      </c>
      <c r="L270" s="852" t="s">
        <v>1682</v>
      </c>
      <c r="M270" s="849" t="s">
        <v>3352</v>
      </c>
      <c r="N270" s="852" t="s">
        <v>1809</v>
      </c>
      <c r="O270" s="849" t="s">
        <v>4086</v>
      </c>
      <c r="P270" s="852" t="s">
        <v>1687</v>
      </c>
      <c r="Q270" s="849" t="s">
        <v>3351</v>
      </c>
      <c r="R270" s="852" t="s">
        <v>1701</v>
      </c>
      <c r="S270" s="849" t="s">
        <v>3442</v>
      </c>
      <c r="T270" s="853" t="s">
        <v>1925</v>
      </c>
      <c r="U270" s="853" t="s">
        <v>1922</v>
      </c>
      <c r="V270" s="853" t="s">
        <v>1929</v>
      </c>
      <c r="W270" s="850"/>
    </row>
    <row r="271" spans="1:23" x14ac:dyDescent="0.2">
      <c r="A271" s="849" t="s">
        <v>4090</v>
      </c>
      <c r="B271" s="850">
        <v>5</v>
      </c>
      <c r="C271" s="850">
        <v>8</v>
      </c>
      <c r="D271" s="850">
        <v>20</v>
      </c>
      <c r="E271" s="850">
        <v>4</v>
      </c>
      <c r="F271" s="850">
        <v>8</v>
      </c>
      <c r="G271" s="850">
        <v>14</v>
      </c>
      <c r="H271" s="850">
        <v>1</v>
      </c>
      <c r="I271" s="851" t="s">
        <v>3303</v>
      </c>
      <c r="J271" s="851" t="s">
        <v>1534</v>
      </c>
      <c r="K271" s="850" t="s">
        <v>1700</v>
      </c>
      <c r="L271" s="852" t="s">
        <v>1682</v>
      </c>
      <c r="M271" s="849" t="s">
        <v>3352</v>
      </c>
      <c r="N271" s="852" t="s">
        <v>1809</v>
      </c>
      <c r="O271" s="849" t="s">
        <v>4086</v>
      </c>
      <c r="P271" s="852" t="s">
        <v>1687</v>
      </c>
      <c r="Q271" s="849" t="s">
        <v>3351</v>
      </c>
      <c r="R271" s="852" t="s">
        <v>1701</v>
      </c>
      <c r="S271" s="849" t="s">
        <v>3442</v>
      </c>
      <c r="T271" s="853" t="s">
        <v>1925</v>
      </c>
      <c r="U271" s="853" t="s">
        <v>1922</v>
      </c>
      <c r="V271" s="853" t="s">
        <v>1929</v>
      </c>
      <c r="W271" s="850"/>
    </row>
    <row r="272" spans="1:23" x14ac:dyDescent="0.2">
      <c r="A272" s="849" t="s">
        <v>4091</v>
      </c>
      <c r="B272" s="850">
        <v>6</v>
      </c>
      <c r="C272" s="850">
        <v>9</v>
      </c>
      <c r="D272" s="850">
        <v>25</v>
      </c>
      <c r="E272" s="850">
        <v>5</v>
      </c>
      <c r="F272" s="850">
        <v>10</v>
      </c>
      <c r="G272" s="850">
        <v>18</v>
      </c>
      <c r="H272" s="850">
        <v>2</v>
      </c>
      <c r="I272" s="851" t="s">
        <v>3303</v>
      </c>
      <c r="J272" s="851" t="s">
        <v>1534</v>
      </c>
      <c r="K272" s="850" t="s">
        <v>1700</v>
      </c>
      <c r="L272" s="852" t="s">
        <v>1682</v>
      </c>
      <c r="M272" s="849" t="s">
        <v>3352</v>
      </c>
      <c r="N272" s="852" t="s">
        <v>1809</v>
      </c>
      <c r="O272" s="849" t="s">
        <v>4086</v>
      </c>
      <c r="P272" s="852" t="s">
        <v>1687</v>
      </c>
      <c r="Q272" s="849" t="s">
        <v>3351</v>
      </c>
      <c r="R272" s="852" t="s">
        <v>1701</v>
      </c>
      <c r="S272" s="849" t="s">
        <v>3442</v>
      </c>
      <c r="T272" s="853" t="s">
        <v>1925</v>
      </c>
      <c r="U272" s="853" t="s">
        <v>1922</v>
      </c>
      <c r="V272" s="853" t="s">
        <v>1929</v>
      </c>
      <c r="W272" s="850"/>
    </row>
    <row r="273" spans="1:23" x14ac:dyDescent="0.2">
      <c r="A273" s="849" t="s">
        <v>4092</v>
      </c>
      <c r="B273" s="850">
        <v>8</v>
      </c>
      <c r="C273" s="850">
        <v>11</v>
      </c>
      <c r="D273" s="850">
        <v>30</v>
      </c>
      <c r="E273" s="850">
        <v>6</v>
      </c>
      <c r="F273" s="850">
        <v>12</v>
      </c>
      <c r="G273" s="850">
        <v>21</v>
      </c>
      <c r="H273" s="850">
        <v>2</v>
      </c>
      <c r="I273" s="851" t="s">
        <v>3303</v>
      </c>
      <c r="J273" s="851" t="s">
        <v>1534</v>
      </c>
      <c r="K273" s="850" t="s">
        <v>1700</v>
      </c>
      <c r="L273" s="852" t="s">
        <v>1682</v>
      </c>
      <c r="M273" s="849" t="s">
        <v>3352</v>
      </c>
      <c r="N273" s="852" t="s">
        <v>1809</v>
      </c>
      <c r="O273" s="849" t="s">
        <v>4086</v>
      </c>
      <c r="P273" s="852" t="s">
        <v>1687</v>
      </c>
      <c r="Q273" s="849" t="s">
        <v>3351</v>
      </c>
      <c r="R273" s="852" t="s">
        <v>1701</v>
      </c>
      <c r="S273" s="849" t="s">
        <v>3442</v>
      </c>
      <c r="T273" s="853" t="s">
        <v>1925</v>
      </c>
      <c r="U273" s="853" t="s">
        <v>1922</v>
      </c>
      <c r="V273" s="853" t="s">
        <v>1929</v>
      </c>
      <c r="W273" s="850"/>
    </row>
    <row r="274" spans="1:23" x14ac:dyDescent="0.2">
      <c r="A274" s="849" t="s">
        <v>4093</v>
      </c>
      <c r="B274" s="850">
        <v>10</v>
      </c>
      <c r="C274" s="850">
        <v>13</v>
      </c>
      <c r="D274" s="850">
        <v>35</v>
      </c>
      <c r="E274" s="850">
        <v>8</v>
      </c>
      <c r="F274" s="850">
        <v>16</v>
      </c>
      <c r="G274" s="850">
        <v>28</v>
      </c>
      <c r="H274" s="850">
        <v>2</v>
      </c>
      <c r="I274" s="851" t="s">
        <v>3303</v>
      </c>
      <c r="J274" s="851" t="s">
        <v>1534</v>
      </c>
      <c r="K274" s="850" t="s">
        <v>1700</v>
      </c>
      <c r="L274" s="852" t="s">
        <v>1682</v>
      </c>
      <c r="M274" s="849" t="s">
        <v>3352</v>
      </c>
      <c r="N274" s="852" t="s">
        <v>1809</v>
      </c>
      <c r="O274" s="849" t="s">
        <v>4086</v>
      </c>
      <c r="P274" s="852" t="s">
        <v>1687</v>
      </c>
      <c r="Q274" s="849" t="s">
        <v>3351</v>
      </c>
      <c r="R274" s="852" t="s">
        <v>1701</v>
      </c>
      <c r="S274" s="849" t="s">
        <v>3442</v>
      </c>
      <c r="T274" s="853" t="s">
        <v>1925</v>
      </c>
      <c r="U274" s="853" t="s">
        <v>1922</v>
      </c>
      <c r="V274" s="853" t="s">
        <v>1929</v>
      </c>
      <c r="W274" s="850"/>
    </row>
    <row r="275" spans="1:23" x14ac:dyDescent="0.2">
      <c r="A275" s="849" t="s">
        <v>4094</v>
      </c>
      <c r="B275" s="850">
        <v>14</v>
      </c>
      <c r="C275" s="850">
        <v>18</v>
      </c>
      <c r="D275" s="850">
        <v>40</v>
      </c>
      <c r="E275" s="850">
        <v>10</v>
      </c>
      <c r="F275" s="850">
        <v>20</v>
      </c>
      <c r="G275" s="850">
        <v>35</v>
      </c>
      <c r="H275" s="850">
        <v>3</v>
      </c>
      <c r="I275" s="851" t="s">
        <v>3303</v>
      </c>
      <c r="J275" s="851" t="s">
        <v>1534</v>
      </c>
      <c r="K275" s="850" t="s">
        <v>1700</v>
      </c>
      <c r="L275" s="852" t="s">
        <v>1682</v>
      </c>
      <c r="M275" s="849" t="s">
        <v>3352</v>
      </c>
      <c r="N275" s="852" t="s">
        <v>1809</v>
      </c>
      <c r="O275" s="849" t="s">
        <v>4086</v>
      </c>
      <c r="P275" s="852" t="s">
        <v>1687</v>
      </c>
      <c r="Q275" s="849" t="s">
        <v>3351</v>
      </c>
      <c r="R275" s="852" t="s">
        <v>1701</v>
      </c>
      <c r="S275" s="849" t="s">
        <v>3442</v>
      </c>
      <c r="T275" s="853" t="s">
        <v>1925</v>
      </c>
      <c r="U275" s="853" t="s">
        <v>1922</v>
      </c>
      <c r="V275" s="853" t="s">
        <v>1929</v>
      </c>
      <c r="W275" s="850"/>
    </row>
    <row r="276" spans="1:23" x14ac:dyDescent="0.2">
      <c r="A276" s="849" t="s">
        <v>4095</v>
      </c>
      <c r="B276" s="850">
        <v>18</v>
      </c>
      <c r="C276" s="850">
        <v>22</v>
      </c>
      <c r="D276" s="850">
        <v>45</v>
      </c>
      <c r="E276" s="850">
        <v>12</v>
      </c>
      <c r="F276" s="850">
        <v>24</v>
      </c>
      <c r="G276" s="850">
        <v>42</v>
      </c>
      <c r="H276" s="850">
        <v>3</v>
      </c>
      <c r="I276" s="851" t="s">
        <v>3303</v>
      </c>
      <c r="J276" s="851" t="s">
        <v>1534</v>
      </c>
      <c r="K276" s="850" t="s">
        <v>1700</v>
      </c>
      <c r="L276" s="852" t="s">
        <v>1682</v>
      </c>
      <c r="M276" s="849" t="s">
        <v>3352</v>
      </c>
      <c r="N276" s="852" t="s">
        <v>1809</v>
      </c>
      <c r="O276" s="849" t="s">
        <v>4086</v>
      </c>
      <c r="P276" s="852" t="s">
        <v>1687</v>
      </c>
      <c r="Q276" s="849" t="s">
        <v>3351</v>
      </c>
      <c r="R276" s="852" t="s">
        <v>1701</v>
      </c>
      <c r="S276" s="849" t="s">
        <v>3442</v>
      </c>
      <c r="T276" s="853" t="s">
        <v>1925</v>
      </c>
      <c r="U276" s="853" t="s">
        <v>1922</v>
      </c>
      <c r="V276" s="853" t="s">
        <v>1929</v>
      </c>
      <c r="W276" s="850"/>
    </row>
    <row r="277" spans="1:23" x14ac:dyDescent="0.2">
      <c r="A277" s="849" t="s">
        <v>4096</v>
      </c>
      <c r="B277" s="850">
        <v>22</v>
      </c>
      <c r="C277" s="850">
        <v>26</v>
      </c>
      <c r="D277" s="850">
        <v>50</v>
      </c>
      <c r="E277" s="850">
        <v>14</v>
      </c>
      <c r="F277" s="850">
        <v>28</v>
      </c>
      <c r="G277" s="850">
        <v>49</v>
      </c>
      <c r="H277" s="850">
        <v>3</v>
      </c>
      <c r="I277" s="851" t="s">
        <v>3303</v>
      </c>
      <c r="J277" s="851" t="s">
        <v>1534</v>
      </c>
      <c r="K277" s="850" t="s">
        <v>1700</v>
      </c>
      <c r="L277" s="852" t="s">
        <v>1682</v>
      </c>
      <c r="M277" s="849" t="s">
        <v>3352</v>
      </c>
      <c r="N277" s="852" t="s">
        <v>1809</v>
      </c>
      <c r="O277" s="849" t="s">
        <v>4086</v>
      </c>
      <c r="P277" s="852" t="s">
        <v>1687</v>
      </c>
      <c r="Q277" s="849" t="s">
        <v>3351</v>
      </c>
      <c r="R277" s="852" t="s">
        <v>1701</v>
      </c>
      <c r="S277" s="849" t="s">
        <v>3442</v>
      </c>
      <c r="T277" s="853" t="s">
        <v>1925</v>
      </c>
      <c r="U277" s="853" t="s">
        <v>1922</v>
      </c>
      <c r="V277" s="853" t="s">
        <v>1929</v>
      </c>
      <c r="W277" s="850"/>
    </row>
    <row r="278" spans="1:23" x14ac:dyDescent="0.2">
      <c r="A278" s="855" t="s">
        <v>4097</v>
      </c>
      <c r="B278" s="856"/>
      <c r="C278" s="856"/>
      <c r="D278" s="856"/>
      <c r="E278" s="856"/>
      <c r="F278" s="856"/>
      <c r="G278" s="856"/>
      <c r="H278" s="856"/>
      <c r="I278" s="856"/>
      <c r="J278" s="856"/>
      <c r="K278" s="856"/>
      <c r="L278" s="857"/>
      <c r="M278" s="856"/>
      <c r="N278" s="856"/>
      <c r="O278" s="856"/>
      <c r="P278" s="856"/>
      <c r="Q278" s="856"/>
      <c r="R278" s="856"/>
      <c r="S278" s="856"/>
      <c r="T278" s="856"/>
      <c r="U278" s="856"/>
      <c r="V278" s="856"/>
      <c r="W278" s="850"/>
    </row>
    <row r="279" spans="1:23" x14ac:dyDescent="0.2">
      <c r="A279" s="849" t="s">
        <v>3102</v>
      </c>
      <c r="B279" s="850">
        <v>4</v>
      </c>
      <c r="C279" s="850">
        <v>4</v>
      </c>
      <c r="D279" s="850">
        <v>10</v>
      </c>
      <c r="E279" s="850">
        <v>1</v>
      </c>
      <c r="F279" s="850">
        <v>2</v>
      </c>
      <c r="G279" s="850">
        <v>4</v>
      </c>
      <c r="H279" s="850"/>
      <c r="I279" s="850"/>
      <c r="J279" s="850"/>
      <c r="K279" s="850"/>
      <c r="L279" s="859"/>
      <c r="M279" s="850"/>
      <c r="N279" s="850"/>
      <c r="O279" s="850"/>
      <c r="P279" s="850"/>
      <c r="Q279" s="850"/>
      <c r="R279" s="850"/>
      <c r="S279" s="850"/>
      <c r="T279" s="850"/>
      <c r="U279" s="850"/>
      <c r="V279" s="850"/>
      <c r="W279" s="850"/>
    </row>
    <row r="280" spans="1:23" x14ac:dyDescent="0.2">
      <c r="A280" s="855" t="s">
        <v>4098</v>
      </c>
      <c r="B280" s="856"/>
      <c r="C280" s="856"/>
      <c r="D280" s="856"/>
      <c r="E280" s="856"/>
      <c r="F280" s="856"/>
      <c r="G280" s="856"/>
      <c r="H280" s="856"/>
      <c r="I280" s="856"/>
      <c r="J280" s="856"/>
      <c r="K280" s="856"/>
      <c r="L280" s="857"/>
      <c r="M280" s="856"/>
      <c r="N280" s="856"/>
      <c r="O280" s="856"/>
      <c r="P280" s="856"/>
      <c r="Q280" s="856"/>
      <c r="R280" s="856"/>
      <c r="S280" s="856"/>
      <c r="T280" s="856"/>
      <c r="U280" s="856"/>
      <c r="V280" s="856"/>
      <c r="W280" s="850"/>
    </row>
    <row r="281" spans="1:23" x14ac:dyDescent="0.2">
      <c r="A281" s="849" t="s">
        <v>4099</v>
      </c>
      <c r="B281" s="850">
        <v>8</v>
      </c>
      <c r="C281" s="850">
        <v>8</v>
      </c>
      <c r="D281" s="850">
        <v>20</v>
      </c>
      <c r="E281" s="850">
        <v>1</v>
      </c>
      <c r="F281" s="850">
        <v>2</v>
      </c>
      <c r="G281" s="850">
        <v>4</v>
      </c>
      <c r="H281" s="850"/>
      <c r="I281" s="850"/>
      <c r="J281" s="850"/>
      <c r="K281" s="850"/>
      <c r="L281" s="859"/>
      <c r="M281" s="850"/>
      <c r="N281" s="850"/>
      <c r="O281" s="850"/>
      <c r="P281" s="850"/>
      <c r="Q281" s="850"/>
      <c r="R281" s="850"/>
      <c r="S281" s="850"/>
      <c r="T281" s="850"/>
      <c r="U281" s="850"/>
      <c r="V281" s="850"/>
      <c r="W281" s="850"/>
    </row>
    <row r="282" spans="1:23" x14ac:dyDescent="0.2">
      <c r="A282" s="691" t="s">
        <v>3443</v>
      </c>
      <c r="B282" s="869"/>
      <c r="C282" s="869"/>
      <c r="D282" s="869"/>
      <c r="E282" s="869"/>
      <c r="F282" s="869"/>
      <c r="G282" s="869"/>
      <c r="H282" s="869"/>
      <c r="I282" s="869"/>
      <c r="J282" s="869"/>
      <c r="K282" s="869"/>
      <c r="L282" s="870"/>
      <c r="M282" s="869"/>
      <c r="N282" s="869"/>
      <c r="O282" s="869"/>
      <c r="P282" s="869"/>
      <c r="Q282" s="869"/>
      <c r="R282" s="869"/>
      <c r="S282" s="869"/>
      <c r="T282" s="869"/>
      <c r="U282" s="869"/>
      <c r="V282" s="869"/>
      <c r="W282" s="850"/>
    </row>
    <row r="283" spans="1:23" x14ac:dyDescent="0.2">
      <c r="A283" s="849" t="s">
        <v>4100</v>
      </c>
      <c r="B283" s="850">
        <v>2</v>
      </c>
      <c r="C283" s="850">
        <v>4</v>
      </c>
      <c r="D283" s="850">
        <v>10</v>
      </c>
      <c r="E283" s="850">
        <v>2</v>
      </c>
      <c r="F283" s="850">
        <v>4</v>
      </c>
      <c r="G283" s="850">
        <v>7</v>
      </c>
      <c r="H283" s="850">
        <v>1</v>
      </c>
      <c r="I283" s="851" t="s">
        <v>3308</v>
      </c>
      <c r="J283" s="851" t="s">
        <v>1534</v>
      </c>
      <c r="K283" s="850" t="s">
        <v>1700</v>
      </c>
      <c r="L283" s="852" t="s">
        <v>1682</v>
      </c>
      <c r="M283" s="849" t="s">
        <v>3352</v>
      </c>
      <c r="N283" s="852" t="s">
        <v>1809</v>
      </c>
      <c r="O283" s="849" t="s">
        <v>4086</v>
      </c>
      <c r="P283" s="852" t="s">
        <v>1687</v>
      </c>
      <c r="Q283" s="849" t="s">
        <v>3351</v>
      </c>
      <c r="R283" s="852" t="s">
        <v>1701</v>
      </c>
      <c r="S283" s="849" t="s">
        <v>3442</v>
      </c>
      <c r="T283" s="853" t="s">
        <v>1925</v>
      </c>
      <c r="U283" s="853" t="s">
        <v>1922</v>
      </c>
      <c r="V283" s="853" t="s">
        <v>1929</v>
      </c>
      <c r="W283" s="850"/>
    </row>
    <row r="284" spans="1:23" x14ac:dyDescent="0.2">
      <c r="A284" s="849" t="s">
        <v>4101</v>
      </c>
      <c r="B284" s="850">
        <v>4</v>
      </c>
      <c r="C284" s="850">
        <v>6</v>
      </c>
      <c r="D284" s="850">
        <v>15</v>
      </c>
      <c r="E284" s="850">
        <v>3</v>
      </c>
      <c r="F284" s="850">
        <v>6</v>
      </c>
      <c r="G284" s="850">
        <v>11</v>
      </c>
      <c r="H284" s="850">
        <v>1</v>
      </c>
      <c r="I284" s="851" t="s">
        <v>3308</v>
      </c>
      <c r="J284" s="851" t="s">
        <v>1534</v>
      </c>
      <c r="K284" s="850" t="s">
        <v>1700</v>
      </c>
      <c r="L284" s="852" t="s">
        <v>1682</v>
      </c>
      <c r="M284" s="849" t="s">
        <v>3352</v>
      </c>
      <c r="N284" s="852" t="s">
        <v>1809</v>
      </c>
      <c r="O284" s="849" t="s">
        <v>4086</v>
      </c>
      <c r="P284" s="852" t="s">
        <v>1687</v>
      </c>
      <c r="Q284" s="849" t="s">
        <v>3351</v>
      </c>
      <c r="R284" s="852" t="s">
        <v>1701</v>
      </c>
      <c r="S284" s="849" t="s">
        <v>3442</v>
      </c>
      <c r="T284" s="853" t="s">
        <v>1925</v>
      </c>
      <c r="U284" s="853" t="s">
        <v>1922</v>
      </c>
      <c r="V284" s="853" t="s">
        <v>1929</v>
      </c>
      <c r="W284" s="850"/>
    </row>
    <row r="285" spans="1:23" x14ac:dyDescent="0.2">
      <c r="A285" s="849" t="s">
        <v>4102</v>
      </c>
      <c r="B285" s="850">
        <v>6</v>
      </c>
      <c r="C285" s="850">
        <v>9</v>
      </c>
      <c r="D285" s="850">
        <v>20</v>
      </c>
      <c r="E285" s="850">
        <v>4</v>
      </c>
      <c r="F285" s="850">
        <v>8</v>
      </c>
      <c r="G285" s="850">
        <v>14</v>
      </c>
      <c r="H285" s="850">
        <v>1</v>
      </c>
      <c r="I285" s="851" t="s">
        <v>3308</v>
      </c>
      <c r="J285" s="851" t="s">
        <v>1534</v>
      </c>
      <c r="K285" s="850" t="s">
        <v>1700</v>
      </c>
      <c r="L285" s="852" t="s">
        <v>1682</v>
      </c>
      <c r="M285" s="849" t="s">
        <v>3352</v>
      </c>
      <c r="N285" s="852" t="s">
        <v>1809</v>
      </c>
      <c r="O285" s="849" t="s">
        <v>4086</v>
      </c>
      <c r="P285" s="852" t="s">
        <v>1687</v>
      </c>
      <c r="Q285" s="849" t="s">
        <v>3351</v>
      </c>
      <c r="R285" s="852" t="s">
        <v>1701</v>
      </c>
      <c r="S285" s="849" t="s">
        <v>3442</v>
      </c>
      <c r="T285" s="853" t="s">
        <v>1925</v>
      </c>
      <c r="U285" s="853" t="s">
        <v>1922</v>
      </c>
      <c r="V285" s="853" t="s">
        <v>1929</v>
      </c>
      <c r="W285" s="850"/>
    </row>
    <row r="286" spans="1:23" x14ac:dyDescent="0.2">
      <c r="A286" s="849" t="s">
        <v>4103</v>
      </c>
      <c r="B286" s="850">
        <v>8</v>
      </c>
      <c r="C286" s="850">
        <v>11</v>
      </c>
      <c r="D286" s="850">
        <v>25</v>
      </c>
      <c r="E286" s="850">
        <v>5</v>
      </c>
      <c r="F286" s="850">
        <v>10</v>
      </c>
      <c r="G286" s="850">
        <v>18</v>
      </c>
      <c r="H286" s="850">
        <v>1</v>
      </c>
      <c r="I286" s="851" t="s">
        <v>3308</v>
      </c>
      <c r="J286" s="851" t="s">
        <v>1534</v>
      </c>
      <c r="K286" s="850" t="s">
        <v>1700</v>
      </c>
      <c r="L286" s="852" t="s">
        <v>1682</v>
      </c>
      <c r="M286" s="849" t="s">
        <v>3352</v>
      </c>
      <c r="N286" s="852" t="s">
        <v>1809</v>
      </c>
      <c r="O286" s="849" t="s">
        <v>4086</v>
      </c>
      <c r="P286" s="852" t="s">
        <v>1687</v>
      </c>
      <c r="Q286" s="849" t="s">
        <v>3351</v>
      </c>
      <c r="R286" s="852" t="s">
        <v>1701</v>
      </c>
      <c r="S286" s="849" t="s">
        <v>3442</v>
      </c>
      <c r="T286" s="853" t="s">
        <v>1925</v>
      </c>
      <c r="U286" s="853" t="s">
        <v>1922</v>
      </c>
      <c r="V286" s="853" t="s">
        <v>1929</v>
      </c>
      <c r="W286" s="850"/>
    </row>
    <row r="287" spans="1:23" x14ac:dyDescent="0.2">
      <c r="A287" s="849" t="s">
        <v>4104</v>
      </c>
      <c r="B287" s="850">
        <v>10</v>
      </c>
      <c r="C287" s="850">
        <v>13</v>
      </c>
      <c r="D287" s="850">
        <v>35</v>
      </c>
      <c r="E287" s="850">
        <v>6</v>
      </c>
      <c r="F287" s="850">
        <v>12</v>
      </c>
      <c r="G287" s="850">
        <v>21</v>
      </c>
      <c r="H287" s="850">
        <v>2</v>
      </c>
      <c r="I287" s="851" t="s">
        <v>3308</v>
      </c>
      <c r="J287" s="851" t="s">
        <v>1534</v>
      </c>
      <c r="K287" s="850" t="s">
        <v>1700</v>
      </c>
      <c r="L287" s="852" t="s">
        <v>1682</v>
      </c>
      <c r="M287" s="849" t="s">
        <v>3352</v>
      </c>
      <c r="N287" s="852" t="s">
        <v>1809</v>
      </c>
      <c r="O287" s="849" t="s">
        <v>4086</v>
      </c>
      <c r="P287" s="852" t="s">
        <v>1687</v>
      </c>
      <c r="Q287" s="849" t="s">
        <v>3351</v>
      </c>
      <c r="R287" s="852" t="s">
        <v>1701</v>
      </c>
      <c r="S287" s="849" t="s">
        <v>3442</v>
      </c>
      <c r="T287" s="853" t="s">
        <v>1925</v>
      </c>
      <c r="U287" s="853" t="s">
        <v>1922</v>
      </c>
      <c r="V287" s="853" t="s">
        <v>1929</v>
      </c>
      <c r="W287" s="850"/>
    </row>
    <row r="288" spans="1:23" x14ac:dyDescent="0.2">
      <c r="A288" s="849" t="s">
        <v>4105</v>
      </c>
      <c r="B288" s="850">
        <v>12</v>
      </c>
      <c r="C288" s="850">
        <v>15</v>
      </c>
      <c r="D288" s="850">
        <v>45</v>
      </c>
      <c r="E288" s="850">
        <v>8</v>
      </c>
      <c r="F288" s="850">
        <v>16</v>
      </c>
      <c r="G288" s="850">
        <v>28</v>
      </c>
      <c r="H288" s="850">
        <v>2</v>
      </c>
      <c r="I288" s="851" t="s">
        <v>3308</v>
      </c>
      <c r="J288" s="851" t="s">
        <v>1534</v>
      </c>
      <c r="K288" s="850" t="s">
        <v>1700</v>
      </c>
      <c r="L288" s="852" t="s">
        <v>1682</v>
      </c>
      <c r="M288" s="849" t="s">
        <v>3352</v>
      </c>
      <c r="N288" s="852" t="s">
        <v>1809</v>
      </c>
      <c r="O288" s="849" t="s">
        <v>4086</v>
      </c>
      <c r="P288" s="852" t="s">
        <v>1687</v>
      </c>
      <c r="Q288" s="849" t="s">
        <v>3351</v>
      </c>
      <c r="R288" s="852" t="s">
        <v>1701</v>
      </c>
      <c r="S288" s="849" t="s">
        <v>3442</v>
      </c>
      <c r="T288" s="853" t="s">
        <v>1925</v>
      </c>
      <c r="U288" s="853" t="s">
        <v>1922</v>
      </c>
      <c r="V288" s="853" t="s">
        <v>1929</v>
      </c>
      <c r="W288" s="850"/>
    </row>
    <row r="289" spans="1:23" x14ac:dyDescent="0.2">
      <c r="A289" s="849" t="s">
        <v>4106</v>
      </c>
      <c r="B289" s="850">
        <v>16</v>
      </c>
      <c r="C289" s="850">
        <v>20</v>
      </c>
      <c r="D289" s="850">
        <v>55</v>
      </c>
      <c r="E289" s="850">
        <v>10</v>
      </c>
      <c r="F289" s="850">
        <v>20</v>
      </c>
      <c r="G289" s="850">
        <v>35</v>
      </c>
      <c r="H289" s="850">
        <v>2</v>
      </c>
      <c r="I289" s="851" t="s">
        <v>3308</v>
      </c>
      <c r="J289" s="851" t="s">
        <v>1534</v>
      </c>
      <c r="K289" s="850" t="s">
        <v>1700</v>
      </c>
      <c r="L289" s="852" t="s">
        <v>1682</v>
      </c>
      <c r="M289" s="849" t="s">
        <v>3352</v>
      </c>
      <c r="N289" s="852" t="s">
        <v>1809</v>
      </c>
      <c r="O289" s="849" t="s">
        <v>4086</v>
      </c>
      <c r="P289" s="852" t="s">
        <v>1687</v>
      </c>
      <c r="Q289" s="849" t="s">
        <v>3351</v>
      </c>
      <c r="R289" s="852" t="s">
        <v>1701</v>
      </c>
      <c r="S289" s="849" t="s">
        <v>3442</v>
      </c>
      <c r="T289" s="853" t="s">
        <v>1925</v>
      </c>
      <c r="U289" s="853" t="s">
        <v>1922</v>
      </c>
      <c r="V289" s="853" t="s">
        <v>1929</v>
      </c>
      <c r="W289" s="850"/>
    </row>
    <row r="290" spans="1:23" x14ac:dyDescent="0.2">
      <c r="A290" s="849" t="s">
        <v>4107</v>
      </c>
      <c r="B290" s="850">
        <v>20</v>
      </c>
      <c r="C290" s="850">
        <v>24</v>
      </c>
      <c r="D290" s="850">
        <v>70</v>
      </c>
      <c r="E290" s="850">
        <v>12</v>
      </c>
      <c r="F290" s="850">
        <v>24</v>
      </c>
      <c r="G290" s="850">
        <v>42</v>
      </c>
      <c r="H290" s="850">
        <v>3</v>
      </c>
      <c r="I290" s="851" t="s">
        <v>3308</v>
      </c>
      <c r="J290" s="851" t="s">
        <v>1534</v>
      </c>
      <c r="K290" s="850" t="s">
        <v>1700</v>
      </c>
      <c r="L290" s="852" t="s">
        <v>1682</v>
      </c>
      <c r="M290" s="849" t="s">
        <v>3352</v>
      </c>
      <c r="N290" s="852" t="s">
        <v>1809</v>
      </c>
      <c r="O290" s="849" t="s">
        <v>4086</v>
      </c>
      <c r="P290" s="852" t="s">
        <v>1687</v>
      </c>
      <c r="Q290" s="849" t="s">
        <v>3351</v>
      </c>
      <c r="R290" s="852" t="s">
        <v>1701</v>
      </c>
      <c r="S290" s="849" t="s">
        <v>3442</v>
      </c>
      <c r="T290" s="853" t="s">
        <v>1925</v>
      </c>
      <c r="U290" s="853" t="s">
        <v>1922</v>
      </c>
      <c r="V290" s="853" t="s">
        <v>1929</v>
      </c>
      <c r="W290" s="850"/>
    </row>
    <row r="291" spans="1:23" x14ac:dyDescent="0.2">
      <c r="A291" s="691" t="s">
        <v>3448</v>
      </c>
      <c r="B291" s="869"/>
      <c r="C291" s="869"/>
      <c r="D291" s="869"/>
      <c r="E291" s="869"/>
      <c r="F291" s="869"/>
      <c r="G291" s="869"/>
      <c r="H291" s="869"/>
      <c r="I291" s="869"/>
      <c r="J291" s="869"/>
      <c r="K291" s="869"/>
      <c r="L291" s="870"/>
      <c r="M291" s="869"/>
      <c r="N291" s="869"/>
      <c r="O291" s="869"/>
      <c r="P291" s="869"/>
      <c r="Q291" s="869"/>
      <c r="R291" s="869"/>
      <c r="S291" s="869"/>
      <c r="T291" s="869"/>
      <c r="U291" s="869"/>
      <c r="V291" s="869"/>
      <c r="W291" s="850"/>
    </row>
    <row r="292" spans="1:23" x14ac:dyDescent="0.2">
      <c r="A292" s="849" t="s">
        <v>4108</v>
      </c>
      <c r="B292" s="850">
        <v>1</v>
      </c>
      <c r="C292" s="850">
        <v>2</v>
      </c>
      <c r="D292" s="850">
        <v>5</v>
      </c>
      <c r="E292" s="850">
        <v>1</v>
      </c>
      <c r="F292" s="850">
        <v>2</v>
      </c>
      <c r="G292" s="850">
        <v>4</v>
      </c>
      <c r="H292" s="850">
        <v>1</v>
      </c>
      <c r="I292" s="851" t="s">
        <v>3303</v>
      </c>
      <c r="J292" s="851" t="s">
        <v>1534</v>
      </c>
      <c r="K292" s="850" t="s">
        <v>1700</v>
      </c>
      <c r="L292" s="852" t="s">
        <v>1682</v>
      </c>
      <c r="M292" s="849" t="s">
        <v>3351</v>
      </c>
      <c r="N292" s="852" t="s">
        <v>1809</v>
      </c>
      <c r="O292" s="849" t="s">
        <v>3352</v>
      </c>
      <c r="P292" s="852" t="s">
        <v>1687</v>
      </c>
      <c r="Q292" s="849" t="s">
        <v>3351</v>
      </c>
      <c r="R292" s="852" t="s">
        <v>1701</v>
      </c>
      <c r="S292" s="849" t="s">
        <v>3442</v>
      </c>
      <c r="T292" s="853" t="s">
        <v>1929</v>
      </c>
      <c r="U292" s="853" t="s">
        <v>2019</v>
      </c>
      <c r="V292" s="853" t="s">
        <v>2020</v>
      </c>
      <c r="W292" s="850"/>
    </row>
    <row r="293" spans="1:23" x14ac:dyDescent="0.2">
      <c r="A293" s="849" t="s">
        <v>4109</v>
      </c>
      <c r="B293" s="850">
        <v>2</v>
      </c>
      <c r="C293" s="850">
        <v>4</v>
      </c>
      <c r="D293" s="850">
        <v>10</v>
      </c>
      <c r="E293" s="850">
        <v>1</v>
      </c>
      <c r="F293" s="850">
        <v>2</v>
      </c>
      <c r="G293" s="850">
        <v>4</v>
      </c>
      <c r="H293" s="850">
        <v>1</v>
      </c>
      <c r="I293" s="851" t="s">
        <v>3303</v>
      </c>
      <c r="J293" s="851" t="s">
        <v>1534</v>
      </c>
      <c r="K293" s="850" t="s">
        <v>1700</v>
      </c>
      <c r="L293" s="852" t="s">
        <v>1682</v>
      </c>
      <c r="M293" s="849" t="s">
        <v>3351</v>
      </c>
      <c r="N293" s="852" t="s">
        <v>1809</v>
      </c>
      <c r="O293" s="849" t="s">
        <v>3352</v>
      </c>
      <c r="P293" s="852" t="s">
        <v>1687</v>
      </c>
      <c r="Q293" s="849" t="s">
        <v>3351</v>
      </c>
      <c r="R293" s="852" t="s">
        <v>1701</v>
      </c>
      <c r="S293" s="849" t="s">
        <v>3442</v>
      </c>
      <c r="T293" s="853" t="s">
        <v>1929</v>
      </c>
      <c r="U293" s="853" t="s">
        <v>2019</v>
      </c>
      <c r="V293" s="853" t="s">
        <v>2020</v>
      </c>
      <c r="W293" s="850"/>
    </row>
    <row r="294" spans="1:23" x14ac:dyDescent="0.2">
      <c r="A294" s="849" t="s">
        <v>4110</v>
      </c>
      <c r="B294" s="850">
        <v>3</v>
      </c>
      <c r="C294" s="850">
        <v>5</v>
      </c>
      <c r="D294" s="850">
        <v>15</v>
      </c>
      <c r="E294" s="850">
        <v>2</v>
      </c>
      <c r="F294" s="850">
        <v>4</v>
      </c>
      <c r="G294" s="850">
        <v>7</v>
      </c>
      <c r="H294" s="850">
        <v>1</v>
      </c>
      <c r="I294" s="851" t="s">
        <v>3303</v>
      </c>
      <c r="J294" s="851" t="s">
        <v>1534</v>
      </c>
      <c r="K294" s="850" t="s">
        <v>1700</v>
      </c>
      <c r="L294" s="852" t="s">
        <v>1682</v>
      </c>
      <c r="M294" s="849" t="s">
        <v>3351</v>
      </c>
      <c r="N294" s="852" t="s">
        <v>1809</v>
      </c>
      <c r="O294" s="849" t="s">
        <v>3352</v>
      </c>
      <c r="P294" s="852" t="s">
        <v>1687</v>
      </c>
      <c r="Q294" s="849" t="s">
        <v>3351</v>
      </c>
      <c r="R294" s="852" t="s">
        <v>1701</v>
      </c>
      <c r="S294" s="849" t="s">
        <v>3442</v>
      </c>
      <c r="T294" s="853" t="s">
        <v>1929</v>
      </c>
      <c r="U294" s="853" t="s">
        <v>2019</v>
      </c>
      <c r="V294" s="853" t="s">
        <v>2020</v>
      </c>
      <c r="W294" s="850"/>
    </row>
    <row r="295" spans="1:23" x14ac:dyDescent="0.2">
      <c r="A295" s="849" t="s">
        <v>4111</v>
      </c>
      <c r="B295" s="850">
        <v>4</v>
      </c>
      <c r="C295" s="850">
        <v>6</v>
      </c>
      <c r="D295" s="850">
        <v>20</v>
      </c>
      <c r="E295" s="850">
        <v>3</v>
      </c>
      <c r="F295" s="850">
        <v>6</v>
      </c>
      <c r="G295" s="850">
        <v>11</v>
      </c>
      <c r="H295" s="850">
        <v>1</v>
      </c>
      <c r="I295" s="851" t="s">
        <v>3303</v>
      </c>
      <c r="J295" s="851" t="s">
        <v>1534</v>
      </c>
      <c r="K295" s="850" t="s">
        <v>1700</v>
      </c>
      <c r="L295" s="852" t="s">
        <v>1682</v>
      </c>
      <c r="M295" s="849" t="s">
        <v>3351</v>
      </c>
      <c r="N295" s="852" t="s">
        <v>1809</v>
      </c>
      <c r="O295" s="849" t="s">
        <v>3352</v>
      </c>
      <c r="P295" s="852" t="s">
        <v>1687</v>
      </c>
      <c r="Q295" s="849" t="s">
        <v>3351</v>
      </c>
      <c r="R295" s="852" t="s">
        <v>1701</v>
      </c>
      <c r="S295" s="849" t="s">
        <v>3442</v>
      </c>
      <c r="T295" s="853" t="s">
        <v>1929</v>
      </c>
      <c r="U295" s="853" t="s">
        <v>2019</v>
      </c>
      <c r="V295" s="853" t="s">
        <v>2020</v>
      </c>
      <c r="W295" s="850"/>
    </row>
    <row r="296" spans="1:23" x14ac:dyDescent="0.2">
      <c r="A296" s="849" t="s">
        <v>4112</v>
      </c>
      <c r="B296" s="850">
        <v>6</v>
      </c>
      <c r="C296" s="850">
        <v>9</v>
      </c>
      <c r="D296" s="850">
        <v>25</v>
      </c>
      <c r="E296" s="850">
        <v>4</v>
      </c>
      <c r="F296" s="850">
        <v>8</v>
      </c>
      <c r="G296" s="850">
        <v>14</v>
      </c>
      <c r="H296" s="850">
        <v>2</v>
      </c>
      <c r="I296" s="851" t="s">
        <v>3303</v>
      </c>
      <c r="J296" s="851" t="s">
        <v>1534</v>
      </c>
      <c r="K296" s="850" t="s">
        <v>1700</v>
      </c>
      <c r="L296" s="852" t="s">
        <v>1682</v>
      </c>
      <c r="M296" s="849" t="s">
        <v>3351</v>
      </c>
      <c r="N296" s="852" t="s">
        <v>1809</v>
      </c>
      <c r="O296" s="849" t="s">
        <v>3352</v>
      </c>
      <c r="P296" s="852" t="s">
        <v>1687</v>
      </c>
      <c r="Q296" s="849" t="s">
        <v>3351</v>
      </c>
      <c r="R296" s="852" t="s">
        <v>1701</v>
      </c>
      <c r="S296" s="849" t="s">
        <v>3442</v>
      </c>
      <c r="T296" s="853" t="s">
        <v>1929</v>
      </c>
      <c r="U296" s="853" t="s">
        <v>2019</v>
      </c>
      <c r="V296" s="853" t="s">
        <v>2020</v>
      </c>
      <c r="W296" s="850"/>
    </row>
    <row r="297" spans="1:23" x14ac:dyDescent="0.2">
      <c r="A297" s="849" t="s">
        <v>4113</v>
      </c>
      <c r="B297" s="850">
        <v>8</v>
      </c>
      <c r="C297" s="850">
        <v>11</v>
      </c>
      <c r="D297" s="850">
        <v>30</v>
      </c>
      <c r="E297" s="850">
        <v>5</v>
      </c>
      <c r="F297" s="850">
        <v>10</v>
      </c>
      <c r="G297" s="850">
        <v>18</v>
      </c>
      <c r="H297" s="850">
        <v>2</v>
      </c>
      <c r="I297" s="851" t="s">
        <v>3303</v>
      </c>
      <c r="J297" s="851" t="s">
        <v>1534</v>
      </c>
      <c r="K297" s="850" t="s">
        <v>1700</v>
      </c>
      <c r="L297" s="852" t="s">
        <v>1682</v>
      </c>
      <c r="M297" s="849" t="s">
        <v>3351</v>
      </c>
      <c r="N297" s="852" t="s">
        <v>1809</v>
      </c>
      <c r="O297" s="849" t="s">
        <v>3352</v>
      </c>
      <c r="P297" s="852" t="s">
        <v>1687</v>
      </c>
      <c r="Q297" s="849" t="s">
        <v>3351</v>
      </c>
      <c r="R297" s="852" t="s">
        <v>1701</v>
      </c>
      <c r="S297" s="849" t="s">
        <v>3442</v>
      </c>
      <c r="T297" s="853" t="s">
        <v>1929</v>
      </c>
      <c r="U297" s="853" t="s">
        <v>2019</v>
      </c>
      <c r="V297" s="853" t="s">
        <v>2020</v>
      </c>
      <c r="W297" s="850"/>
    </row>
    <row r="298" spans="1:23" x14ac:dyDescent="0.2">
      <c r="A298" s="849" t="s">
        <v>4114</v>
      </c>
      <c r="B298" s="850">
        <v>10</v>
      </c>
      <c r="C298" s="850">
        <v>13</v>
      </c>
      <c r="D298" s="850">
        <v>40</v>
      </c>
      <c r="E298" s="850">
        <v>6</v>
      </c>
      <c r="F298" s="850">
        <v>12</v>
      </c>
      <c r="G298" s="850">
        <v>21</v>
      </c>
      <c r="H298" s="850">
        <v>2</v>
      </c>
      <c r="I298" s="851" t="s">
        <v>3303</v>
      </c>
      <c r="J298" s="851" t="s">
        <v>1534</v>
      </c>
      <c r="K298" s="850" t="s">
        <v>1700</v>
      </c>
      <c r="L298" s="852" t="s">
        <v>1682</v>
      </c>
      <c r="M298" s="849" t="s">
        <v>3351</v>
      </c>
      <c r="N298" s="852" t="s">
        <v>1809</v>
      </c>
      <c r="O298" s="849" t="s">
        <v>3352</v>
      </c>
      <c r="P298" s="852" t="s">
        <v>1687</v>
      </c>
      <c r="Q298" s="849" t="s">
        <v>3351</v>
      </c>
      <c r="R298" s="852" t="s">
        <v>1701</v>
      </c>
      <c r="S298" s="849" t="s">
        <v>3442</v>
      </c>
      <c r="T298" s="853" t="s">
        <v>1929</v>
      </c>
      <c r="U298" s="853" t="s">
        <v>2019</v>
      </c>
      <c r="V298" s="853" t="s">
        <v>2020</v>
      </c>
      <c r="W298" s="850"/>
    </row>
    <row r="299" spans="1:23" x14ac:dyDescent="0.2">
      <c r="A299" s="849" t="s">
        <v>4115</v>
      </c>
      <c r="B299" s="850">
        <v>12</v>
      </c>
      <c r="C299" s="850">
        <v>15</v>
      </c>
      <c r="D299" s="850">
        <v>50</v>
      </c>
      <c r="E299" s="850">
        <v>8</v>
      </c>
      <c r="F299" s="850">
        <v>16</v>
      </c>
      <c r="G299" s="850">
        <v>28</v>
      </c>
      <c r="H299" s="850">
        <v>3</v>
      </c>
      <c r="I299" s="851" t="s">
        <v>3303</v>
      </c>
      <c r="J299" s="851" t="s">
        <v>1534</v>
      </c>
      <c r="K299" s="850" t="s">
        <v>1700</v>
      </c>
      <c r="L299" s="852" t="s">
        <v>1682</v>
      </c>
      <c r="M299" s="849" t="s">
        <v>3351</v>
      </c>
      <c r="N299" s="852" t="s">
        <v>1809</v>
      </c>
      <c r="O299" s="849" t="s">
        <v>3352</v>
      </c>
      <c r="P299" s="852" t="s">
        <v>1687</v>
      </c>
      <c r="Q299" s="849" t="s">
        <v>3351</v>
      </c>
      <c r="R299" s="852" t="s">
        <v>1701</v>
      </c>
      <c r="S299" s="849" t="s">
        <v>3442</v>
      </c>
      <c r="T299" s="853" t="s">
        <v>1929</v>
      </c>
      <c r="U299" s="853" t="s">
        <v>2019</v>
      </c>
      <c r="V299" s="853" t="s">
        <v>2020</v>
      </c>
      <c r="W299" s="850"/>
    </row>
    <row r="300" spans="1:23" x14ac:dyDescent="0.2">
      <c r="A300" s="849" t="s">
        <v>4116</v>
      </c>
      <c r="B300" s="850">
        <v>16</v>
      </c>
      <c r="C300" s="850">
        <v>20</v>
      </c>
      <c r="D300" s="850">
        <v>60</v>
      </c>
      <c r="E300" s="850">
        <v>10</v>
      </c>
      <c r="F300" s="850">
        <v>20</v>
      </c>
      <c r="G300" s="850">
        <v>35</v>
      </c>
      <c r="H300" s="850">
        <v>3</v>
      </c>
      <c r="I300" s="851" t="s">
        <v>3303</v>
      </c>
      <c r="J300" s="851" t="s">
        <v>1534</v>
      </c>
      <c r="K300" s="850" t="s">
        <v>1700</v>
      </c>
      <c r="L300" s="852" t="s">
        <v>1682</v>
      </c>
      <c r="M300" s="849" t="s">
        <v>3351</v>
      </c>
      <c r="N300" s="852" t="s">
        <v>1809</v>
      </c>
      <c r="O300" s="849" t="s">
        <v>3352</v>
      </c>
      <c r="P300" s="852" t="s">
        <v>1687</v>
      </c>
      <c r="Q300" s="849" t="s">
        <v>3351</v>
      </c>
      <c r="R300" s="852" t="s">
        <v>1701</v>
      </c>
      <c r="S300" s="849" t="s">
        <v>3442</v>
      </c>
      <c r="T300" s="853" t="s">
        <v>1929</v>
      </c>
      <c r="U300" s="853" t="s">
        <v>2019</v>
      </c>
      <c r="V300" s="853" t="s">
        <v>2020</v>
      </c>
      <c r="W300" s="850"/>
    </row>
    <row r="301" spans="1:23" x14ac:dyDescent="0.2">
      <c r="A301" s="855" t="s">
        <v>4117</v>
      </c>
      <c r="B301" s="856"/>
      <c r="C301" s="856"/>
      <c r="D301" s="856"/>
      <c r="E301" s="856"/>
      <c r="F301" s="856"/>
      <c r="G301" s="856"/>
      <c r="H301" s="856"/>
      <c r="I301" s="856"/>
      <c r="J301" s="856"/>
      <c r="K301" s="856"/>
      <c r="L301" s="857"/>
      <c r="M301" s="856"/>
      <c r="N301" s="856"/>
      <c r="O301" s="856"/>
      <c r="P301" s="856"/>
      <c r="Q301" s="856"/>
      <c r="R301" s="856"/>
      <c r="S301" s="856"/>
      <c r="T301" s="856"/>
      <c r="U301" s="856"/>
      <c r="V301" s="856"/>
      <c r="W301" s="850"/>
    </row>
    <row r="302" spans="1:23" x14ac:dyDescent="0.2">
      <c r="A302" s="849" t="s">
        <v>4118</v>
      </c>
      <c r="B302" s="850">
        <v>2</v>
      </c>
      <c r="C302" s="850">
        <v>2</v>
      </c>
      <c r="D302" s="850">
        <v>10</v>
      </c>
      <c r="E302" s="850">
        <v>1</v>
      </c>
      <c r="F302" s="850">
        <v>2</v>
      </c>
      <c r="G302" s="850">
        <v>4</v>
      </c>
      <c r="H302" s="850"/>
      <c r="I302" s="850"/>
      <c r="J302" s="850"/>
      <c r="K302" s="850"/>
      <c r="L302" s="859"/>
      <c r="M302" s="850"/>
      <c r="N302" s="850"/>
      <c r="O302" s="850"/>
      <c r="P302" s="850"/>
      <c r="Q302" s="850"/>
      <c r="R302" s="850"/>
      <c r="S302" s="850"/>
      <c r="T302" s="850"/>
      <c r="U302" s="850"/>
      <c r="V302" s="850"/>
      <c r="W302" s="850"/>
    </row>
    <row r="303" spans="1:23" x14ac:dyDescent="0.2">
      <c r="A303" s="691" t="s">
        <v>3453</v>
      </c>
      <c r="B303" s="869"/>
      <c r="C303" s="869"/>
      <c r="D303" s="869"/>
      <c r="E303" s="869"/>
      <c r="F303" s="869"/>
      <c r="G303" s="869"/>
      <c r="H303" s="869"/>
      <c r="I303" s="869"/>
      <c r="J303" s="869"/>
      <c r="K303" s="869"/>
      <c r="L303" s="870"/>
      <c r="M303" s="869"/>
      <c r="N303" s="869"/>
      <c r="O303" s="869"/>
      <c r="P303" s="869"/>
      <c r="Q303" s="869"/>
      <c r="R303" s="869"/>
      <c r="S303" s="869"/>
      <c r="T303" s="869"/>
      <c r="U303" s="869"/>
      <c r="V303" s="869"/>
      <c r="W303" s="850"/>
    </row>
    <row r="304" spans="1:23" x14ac:dyDescent="0.2">
      <c r="A304" s="849" t="s">
        <v>4119</v>
      </c>
      <c r="B304" s="850">
        <v>2</v>
      </c>
      <c r="C304" s="850">
        <v>4</v>
      </c>
      <c r="D304" s="850">
        <v>10</v>
      </c>
      <c r="E304" s="850">
        <v>2</v>
      </c>
      <c r="F304" s="850">
        <v>4</v>
      </c>
      <c r="G304" s="850">
        <v>4</v>
      </c>
      <c r="H304" s="850">
        <v>1</v>
      </c>
      <c r="I304" s="851" t="s">
        <v>3308</v>
      </c>
      <c r="J304" s="851" t="s">
        <v>1534</v>
      </c>
      <c r="K304" s="850" t="s">
        <v>1700</v>
      </c>
      <c r="L304" s="852" t="s">
        <v>1682</v>
      </c>
      <c r="M304" s="849" t="s">
        <v>3351</v>
      </c>
      <c r="N304" s="852" t="s">
        <v>1809</v>
      </c>
      <c r="O304" s="849" t="s">
        <v>3352</v>
      </c>
      <c r="P304" s="852" t="s">
        <v>1687</v>
      </c>
      <c r="Q304" s="849" t="s">
        <v>3351</v>
      </c>
      <c r="R304" s="852" t="s">
        <v>1701</v>
      </c>
      <c r="S304" s="849" t="s">
        <v>3442</v>
      </c>
      <c r="T304" s="853" t="s">
        <v>1929</v>
      </c>
      <c r="U304" s="853" t="s">
        <v>2019</v>
      </c>
      <c r="V304" s="853" t="s">
        <v>2020</v>
      </c>
      <c r="W304" s="850"/>
    </row>
    <row r="305" spans="1:23" x14ac:dyDescent="0.2">
      <c r="A305" s="849" t="s">
        <v>4120</v>
      </c>
      <c r="B305" s="850">
        <v>4</v>
      </c>
      <c r="C305" s="850">
        <v>6</v>
      </c>
      <c r="D305" s="850">
        <v>15</v>
      </c>
      <c r="E305" s="850">
        <v>3</v>
      </c>
      <c r="F305" s="850">
        <v>6</v>
      </c>
      <c r="G305" s="850">
        <v>6</v>
      </c>
      <c r="H305" s="850">
        <v>1</v>
      </c>
      <c r="I305" s="851" t="s">
        <v>3308</v>
      </c>
      <c r="J305" s="851" t="s">
        <v>1534</v>
      </c>
      <c r="K305" s="850" t="s">
        <v>1700</v>
      </c>
      <c r="L305" s="852" t="s">
        <v>1682</v>
      </c>
      <c r="M305" s="849" t="s">
        <v>3351</v>
      </c>
      <c r="N305" s="852" t="s">
        <v>1809</v>
      </c>
      <c r="O305" s="849" t="s">
        <v>3352</v>
      </c>
      <c r="P305" s="852" t="s">
        <v>1687</v>
      </c>
      <c r="Q305" s="849" t="s">
        <v>3351</v>
      </c>
      <c r="R305" s="852" t="s">
        <v>1701</v>
      </c>
      <c r="S305" s="849" t="s">
        <v>3442</v>
      </c>
      <c r="T305" s="853" t="s">
        <v>1929</v>
      </c>
      <c r="U305" s="853" t="s">
        <v>2019</v>
      </c>
      <c r="V305" s="853" t="s">
        <v>2020</v>
      </c>
      <c r="W305" s="850"/>
    </row>
    <row r="306" spans="1:23" x14ac:dyDescent="0.2">
      <c r="A306" s="849" t="s">
        <v>4121</v>
      </c>
      <c r="B306" s="850">
        <v>6</v>
      </c>
      <c r="C306" s="850">
        <v>9</v>
      </c>
      <c r="D306" s="850">
        <v>20</v>
      </c>
      <c r="E306" s="850">
        <v>4</v>
      </c>
      <c r="F306" s="850">
        <v>8</v>
      </c>
      <c r="G306" s="850">
        <v>8</v>
      </c>
      <c r="H306" s="850">
        <v>1</v>
      </c>
      <c r="I306" s="851" t="s">
        <v>3308</v>
      </c>
      <c r="J306" s="851" t="s">
        <v>1534</v>
      </c>
      <c r="K306" s="850" t="s">
        <v>1700</v>
      </c>
      <c r="L306" s="852" t="s">
        <v>1682</v>
      </c>
      <c r="M306" s="849" t="s">
        <v>3351</v>
      </c>
      <c r="N306" s="852" t="s">
        <v>1809</v>
      </c>
      <c r="O306" s="849" t="s">
        <v>3352</v>
      </c>
      <c r="P306" s="852" t="s">
        <v>1687</v>
      </c>
      <c r="Q306" s="849" t="s">
        <v>3351</v>
      </c>
      <c r="R306" s="852" t="s">
        <v>1701</v>
      </c>
      <c r="S306" s="849" t="s">
        <v>3442</v>
      </c>
      <c r="T306" s="853" t="s">
        <v>1929</v>
      </c>
      <c r="U306" s="853" t="s">
        <v>2019</v>
      </c>
      <c r="V306" s="853" t="s">
        <v>2020</v>
      </c>
      <c r="W306" s="850"/>
    </row>
    <row r="307" spans="1:23" x14ac:dyDescent="0.2">
      <c r="A307" s="849" t="s">
        <v>4122</v>
      </c>
      <c r="B307" s="850">
        <v>8</v>
      </c>
      <c r="C307" s="850">
        <v>11</v>
      </c>
      <c r="D307" s="850">
        <v>30</v>
      </c>
      <c r="E307" s="850">
        <v>5</v>
      </c>
      <c r="F307" s="850">
        <v>10</v>
      </c>
      <c r="G307" s="850">
        <v>10</v>
      </c>
      <c r="H307" s="850">
        <v>2</v>
      </c>
      <c r="I307" s="851" t="s">
        <v>3308</v>
      </c>
      <c r="J307" s="851" t="s">
        <v>1534</v>
      </c>
      <c r="K307" s="850" t="s">
        <v>1700</v>
      </c>
      <c r="L307" s="852" t="s">
        <v>1682</v>
      </c>
      <c r="M307" s="849" t="s">
        <v>3351</v>
      </c>
      <c r="N307" s="852" t="s">
        <v>1809</v>
      </c>
      <c r="O307" s="849" t="s">
        <v>3352</v>
      </c>
      <c r="P307" s="852" t="s">
        <v>1687</v>
      </c>
      <c r="Q307" s="849" t="s">
        <v>3351</v>
      </c>
      <c r="R307" s="852" t="s">
        <v>1701</v>
      </c>
      <c r="S307" s="849" t="s">
        <v>3442</v>
      </c>
      <c r="T307" s="853" t="s">
        <v>1929</v>
      </c>
      <c r="U307" s="853" t="s">
        <v>2019</v>
      </c>
      <c r="V307" s="853" t="s">
        <v>2020</v>
      </c>
      <c r="W307" s="850"/>
    </row>
    <row r="308" spans="1:23" x14ac:dyDescent="0.2">
      <c r="A308" s="849" t="s">
        <v>4123</v>
      </c>
      <c r="B308" s="850">
        <v>12</v>
      </c>
      <c r="C308" s="850">
        <v>15</v>
      </c>
      <c r="D308" s="850">
        <v>45</v>
      </c>
      <c r="E308" s="850">
        <v>6</v>
      </c>
      <c r="F308" s="850">
        <v>12</v>
      </c>
      <c r="G308" s="850">
        <v>12</v>
      </c>
      <c r="H308" s="850">
        <v>2</v>
      </c>
      <c r="I308" s="851" t="s">
        <v>3308</v>
      </c>
      <c r="J308" s="851" t="s">
        <v>1534</v>
      </c>
      <c r="K308" s="850" t="s">
        <v>1700</v>
      </c>
      <c r="L308" s="852" t="s">
        <v>1682</v>
      </c>
      <c r="M308" s="849" t="s">
        <v>3351</v>
      </c>
      <c r="N308" s="852" t="s">
        <v>1809</v>
      </c>
      <c r="O308" s="849" t="s">
        <v>3352</v>
      </c>
      <c r="P308" s="852" t="s">
        <v>1687</v>
      </c>
      <c r="Q308" s="849" t="s">
        <v>3351</v>
      </c>
      <c r="R308" s="852" t="s">
        <v>1701</v>
      </c>
      <c r="S308" s="849" t="s">
        <v>3442</v>
      </c>
      <c r="T308" s="853" t="s">
        <v>1929</v>
      </c>
      <c r="U308" s="853" t="s">
        <v>2019</v>
      </c>
      <c r="V308" s="853" t="s">
        <v>2020</v>
      </c>
      <c r="W308" s="850"/>
    </row>
    <row r="309" spans="1:23" x14ac:dyDescent="0.2">
      <c r="A309" s="849" t="s">
        <v>4124</v>
      </c>
      <c r="B309" s="850">
        <v>16</v>
      </c>
      <c r="C309" s="850">
        <v>20</v>
      </c>
      <c r="D309" s="850">
        <v>65</v>
      </c>
      <c r="E309" s="850">
        <v>8</v>
      </c>
      <c r="F309" s="850">
        <v>16</v>
      </c>
      <c r="G309" s="850">
        <v>16</v>
      </c>
      <c r="H309" s="850">
        <v>3</v>
      </c>
      <c r="I309" s="851" t="s">
        <v>3308</v>
      </c>
      <c r="J309" s="851" t="s">
        <v>1534</v>
      </c>
      <c r="K309" s="850" t="s">
        <v>1700</v>
      </c>
      <c r="L309" s="852" t="s">
        <v>1682</v>
      </c>
      <c r="M309" s="849" t="s">
        <v>3351</v>
      </c>
      <c r="N309" s="852" t="s">
        <v>1809</v>
      </c>
      <c r="O309" s="849" t="s">
        <v>3352</v>
      </c>
      <c r="P309" s="852" t="s">
        <v>1687</v>
      </c>
      <c r="Q309" s="849" t="s">
        <v>3351</v>
      </c>
      <c r="R309" s="852" t="s">
        <v>1701</v>
      </c>
      <c r="S309" s="849" t="s">
        <v>3442</v>
      </c>
      <c r="T309" s="853" t="s">
        <v>1929</v>
      </c>
      <c r="U309" s="853" t="s">
        <v>2019</v>
      </c>
      <c r="V309" s="853" t="s">
        <v>2020</v>
      </c>
      <c r="W309" s="850"/>
    </row>
    <row r="310" spans="1:23" x14ac:dyDescent="0.2">
      <c r="A310" s="855" t="s">
        <v>4117</v>
      </c>
      <c r="B310" s="856"/>
      <c r="C310" s="856"/>
      <c r="D310" s="856"/>
      <c r="E310" s="856"/>
      <c r="F310" s="856"/>
      <c r="G310" s="856"/>
      <c r="H310" s="856"/>
      <c r="I310" s="856"/>
      <c r="J310" s="856"/>
      <c r="K310" s="856"/>
      <c r="L310" s="857"/>
      <c r="M310" s="856"/>
      <c r="N310" s="856"/>
      <c r="O310" s="856"/>
      <c r="P310" s="856"/>
      <c r="Q310" s="856"/>
      <c r="R310" s="856"/>
      <c r="S310" s="856"/>
      <c r="T310" s="856"/>
      <c r="U310" s="856"/>
      <c r="V310" s="856"/>
      <c r="W310" s="850"/>
    </row>
    <row r="311" spans="1:23" x14ac:dyDescent="0.2">
      <c r="A311" s="849" t="s">
        <v>4118</v>
      </c>
      <c r="B311" s="850">
        <v>2</v>
      </c>
      <c r="C311" s="850">
        <v>2</v>
      </c>
      <c r="D311" s="850">
        <v>10</v>
      </c>
      <c r="E311" s="850">
        <v>1</v>
      </c>
      <c r="F311" s="850">
        <v>2</v>
      </c>
      <c r="G311" s="850">
        <v>4</v>
      </c>
      <c r="H311" s="850"/>
      <c r="I311" s="850"/>
      <c r="J311" s="850"/>
      <c r="K311" s="850"/>
      <c r="L311" s="859"/>
      <c r="M311" s="850"/>
      <c r="N311" s="850"/>
      <c r="O311" s="850"/>
      <c r="P311" s="850"/>
      <c r="Q311" s="850"/>
      <c r="R311" s="850"/>
      <c r="S311" s="850"/>
      <c r="T311" s="850"/>
      <c r="U311" s="850"/>
      <c r="V311" s="850"/>
      <c r="W311" s="850"/>
    </row>
    <row r="312" spans="1:23" x14ac:dyDescent="0.2">
      <c r="A312" s="691" t="s">
        <v>3458</v>
      </c>
      <c r="B312" s="869"/>
      <c r="C312" s="869"/>
      <c r="D312" s="869"/>
      <c r="E312" s="869"/>
      <c r="F312" s="869"/>
      <c r="G312" s="869"/>
      <c r="H312" s="869"/>
      <c r="I312" s="869"/>
      <c r="J312" s="869"/>
      <c r="K312" s="869"/>
      <c r="L312" s="870"/>
      <c r="M312" s="869"/>
      <c r="N312" s="869"/>
      <c r="O312" s="869"/>
      <c r="P312" s="869"/>
      <c r="Q312" s="869"/>
      <c r="R312" s="869"/>
      <c r="S312" s="869"/>
      <c r="T312" s="869"/>
      <c r="U312" s="869"/>
      <c r="V312" s="869"/>
      <c r="W312" s="850"/>
    </row>
    <row r="313" spans="1:23" x14ac:dyDescent="0.2">
      <c r="A313" s="849" t="s">
        <v>4125</v>
      </c>
      <c r="B313" s="850">
        <v>1</v>
      </c>
      <c r="C313" s="850">
        <v>2</v>
      </c>
      <c r="D313" s="850">
        <v>5</v>
      </c>
      <c r="E313" s="850">
        <v>1</v>
      </c>
      <c r="F313" s="850">
        <v>2</v>
      </c>
      <c r="G313" s="850">
        <v>4</v>
      </c>
      <c r="H313" s="850">
        <v>1</v>
      </c>
      <c r="I313" s="851" t="s">
        <v>3303</v>
      </c>
      <c r="J313" s="851" t="s">
        <v>1881</v>
      </c>
      <c r="K313" s="850" t="s">
        <v>1700</v>
      </c>
      <c r="L313" s="852" t="s">
        <v>1809</v>
      </c>
      <c r="M313" s="849" t="s">
        <v>3351</v>
      </c>
      <c r="N313" s="852" t="s">
        <v>1687</v>
      </c>
      <c r="O313" s="849" t="s">
        <v>3351</v>
      </c>
      <c r="P313" s="852" t="s">
        <v>1692</v>
      </c>
      <c r="Q313" s="849" t="s">
        <v>3351</v>
      </c>
      <c r="R313" s="852" t="s">
        <v>1701</v>
      </c>
      <c r="S313" s="849" t="s">
        <v>3352</v>
      </c>
      <c r="T313" s="853" t="s">
        <v>2019</v>
      </c>
      <c r="U313" s="853" t="s">
        <v>2024</v>
      </c>
      <c r="V313" s="853" t="s">
        <v>1925</v>
      </c>
      <c r="W313" s="850"/>
    </row>
    <row r="314" spans="1:23" x14ac:dyDescent="0.2">
      <c r="A314" s="849" t="s">
        <v>4126</v>
      </c>
      <c r="B314" s="850">
        <v>2</v>
      </c>
      <c r="C314" s="850">
        <v>4</v>
      </c>
      <c r="D314" s="850">
        <v>5</v>
      </c>
      <c r="E314" s="850">
        <v>2</v>
      </c>
      <c r="F314" s="850">
        <v>4</v>
      </c>
      <c r="G314" s="850">
        <v>7</v>
      </c>
      <c r="H314" s="850">
        <v>1</v>
      </c>
      <c r="I314" s="851" t="s">
        <v>3303</v>
      </c>
      <c r="J314" s="851" t="s">
        <v>1881</v>
      </c>
      <c r="K314" s="850" t="s">
        <v>1700</v>
      </c>
      <c r="L314" s="852" t="s">
        <v>1809</v>
      </c>
      <c r="M314" s="849" t="s">
        <v>3351</v>
      </c>
      <c r="N314" s="852" t="s">
        <v>1687</v>
      </c>
      <c r="O314" s="849" t="s">
        <v>3351</v>
      </c>
      <c r="P314" s="852" t="s">
        <v>1692</v>
      </c>
      <c r="Q314" s="849" t="s">
        <v>3351</v>
      </c>
      <c r="R314" s="852" t="s">
        <v>1701</v>
      </c>
      <c r="S314" s="849" t="s">
        <v>3352</v>
      </c>
      <c r="T314" s="853" t="s">
        <v>2019</v>
      </c>
      <c r="U314" s="853" t="s">
        <v>2024</v>
      </c>
      <c r="V314" s="853" t="s">
        <v>1925</v>
      </c>
      <c r="W314" s="850"/>
    </row>
    <row r="315" spans="1:23" x14ac:dyDescent="0.2">
      <c r="A315" s="849" t="s">
        <v>4127</v>
      </c>
      <c r="B315" s="850">
        <v>3</v>
      </c>
      <c r="C315" s="850">
        <v>5</v>
      </c>
      <c r="D315" s="850">
        <v>10</v>
      </c>
      <c r="E315" s="850">
        <v>3</v>
      </c>
      <c r="F315" s="850">
        <v>6</v>
      </c>
      <c r="G315" s="850">
        <v>11</v>
      </c>
      <c r="H315" s="850">
        <v>1</v>
      </c>
      <c r="I315" s="851" t="s">
        <v>3303</v>
      </c>
      <c r="J315" s="851" t="s">
        <v>1881</v>
      </c>
      <c r="K315" s="850" t="s">
        <v>1700</v>
      </c>
      <c r="L315" s="852" t="s">
        <v>1809</v>
      </c>
      <c r="M315" s="849" t="s">
        <v>3351</v>
      </c>
      <c r="N315" s="852" t="s">
        <v>1687</v>
      </c>
      <c r="O315" s="849" t="s">
        <v>3351</v>
      </c>
      <c r="P315" s="852" t="s">
        <v>1692</v>
      </c>
      <c r="Q315" s="849" t="s">
        <v>3351</v>
      </c>
      <c r="R315" s="852" t="s">
        <v>1701</v>
      </c>
      <c r="S315" s="849" t="s">
        <v>3352</v>
      </c>
      <c r="T315" s="853" t="s">
        <v>2019</v>
      </c>
      <c r="U315" s="853" t="s">
        <v>2024</v>
      </c>
      <c r="V315" s="853" t="s">
        <v>1925</v>
      </c>
      <c r="W315" s="850"/>
    </row>
    <row r="316" spans="1:23" x14ac:dyDescent="0.2">
      <c r="A316" s="849" t="s">
        <v>4128</v>
      </c>
      <c r="B316" s="850">
        <v>4</v>
      </c>
      <c r="C316" s="850">
        <v>6</v>
      </c>
      <c r="D316" s="850">
        <v>15</v>
      </c>
      <c r="E316" s="850">
        <v>4</v>
      </c>
      <c r="F316" s="850">
        <v>8</v>
      </c>
      <c r="G316" s="850">
        <v>14</v>
      </c>
      <c r="H316" s="850">
        <v>1</v>
      </c>
      <c r="I316" s="851" t="s">
        <v>3303</v>
      </c>
      <c r="J316" s="851" t="s">
        <v>1881</v>
      </c>
      <c r="K316" s="850" t="s">
        <v>1700</v>
      </c>
      <c r="L316" s="852" t="s">
        <v>1809</v>
      </c>
      <c r="M316" s="849" t="s">
        <v>3351</v>
      </c>
      <c r="N316" s="852" t="s">
        <v>1687</v>
      </c>
      <c r="O316" s="849" t="s">
        <v>3351</v>
      </c>
      <c r="P316" s="852" t="s">
        <v>1692</v>
      </c>
      <c r="Q316" s="849" t="s">
        <v>3351</v>
      </c>
      <c r="R316" s="852" t="s">
        <v>1701</v>
      </c>
      <c r="S316" s="849" t="s">
        <v>3352</v>
      </c>
      <c r="T316" s="853" t="s">
        <v>2019</v>
      </c>
      <c r="U316" s="853" t="s">
        <v>2024</v>
      </c>
      <c r="V316" s="853" t="s">
        <v>1925</v>
      </c>
      <c r="W316" s="850"/>
    </row>
    <row r="317" spans="1:23" x14ac:dyDescent="0.2">
      <c r="A317" s="849" t="s">
        <v>4129</v>
      </c>
      <c r="B317" s="850">
        <v>5</v>
      </c>
      <c r="C317" s="850">
        <v>8</v>
      </c>
      <c r="D317" s="850">
        <v>20</v>
      </c>
      <c r="E317" s="850">
        <v>5</v>
      </c>
      <c r="F317" s="850">
        <v>10</v>
      </c>
      <c r="G317" s="850">
        <v>18</v>
      </c>
      <c r="H317" s="850">
        <v>2</v>
      </c>
      <c r="I317" s="851" t="s">
        <v>3303</v>
      </c>
      <c r="J317" s="851" t="s">
        <v>1881</v>
      </c>
      <c r="K317" s="850" t="s">
        <v>1700</v>
      </c>
      <c r="L317" s="852" t="s">
        <v>1809</v>
      </c>
      <c r="M317" s="849" t="s">
        <v>3351</v>
      </c>
      <c r="N317" s="852" t="s">
        <v>1687</v>
      </c>
      <c r="O317" s="849" t="s">
        <v>3351</v>
      </c>
      <c r="P317" s="852" t="s">
        <v>1692</v>
      </c>
      <c r="Q317" s="849" t="s">
        <v>3351</v>
      </c>
      <c r="R317" s="852" t="s">
        <v>1701</v>
      </c>
      <c r="S317" s="849" t="s">
        <v>3352</v>
      </c>
      <c r="T317" s="853" t="s">
        <v>2019</v>
      </c>
      <c r="U317" s="853" t="s">
        <v>2024</v>
      </c>
      <c r="V317" s="853" t="s">
        <v>1925</v>
      </c>
      <c r="W317" s="850"/>
    </row>
    <row r="318" spans="1:23" x14ac:dyDescent="0.2">
      <c r="A318" s="849" t="s">
        <v>4130</v>
      </c>
      <c r="B318" s="850">
        <v>6</v>
      </c>
      <c r="C318" s="850">
        <v>9</v>
      </c>
      <c r="D318" s="850">
        <v>25</v>
      </c>
      <c r="E318" s="850">
        <v>6</v>
      </c>
      <c r="F318" s="850">
        <v>12</v>
      </c>
      <c r="G318" s="850">
        <v>21</v>
      </c>
      <c r="H318" s="850">
        <v>2</v>
      </c>
      <c r="I318" s="851" t="s">
        <v>3303</v>
      </c>
      <c r="J318" s="851" t="s">
        <v>1881</v>
      </c>
      <c r="K318" s="850" t="s">
        <v>1700</v>
      </c>
      <c r="L318" s="852" t="s">
        <v>1809</v>
      </c>
      <c r="M318" s="849" t="s">
        <v>3351</v>
      </c>
      <c r="N318" s="852" t="s">
        <v>1687</v>
      </c>
      <c r="O318" s="849" t="s">
        <v>3351</v>
      </c>
      <c r="P318" s="852" t="s">
        <v>1692</v>
      </c>
      <c r="Q318" s="849" t="s">
        <v>3351</v>
      </c>
      <c r="R318" s="852" t="s">
        <v>1701</v>
      </c>
      <c r="S318" s="849" t="s">
        <v>3352</v>
      </c>
      <c r="T318" s="853" t="s">
        <v>2019</v>
      </c>
      <c r="U318" s="853" t="s">
        <v>2024</v>
      </c>
      <c r="V318" s="853" t="s">
        <v>1925</v>
      </c>
      <c r="W318" s="850"/>
    </row>
    <row r="319" spans="1:23" x14ac:dyDescent="0.2">
      <c r="A319" s="849" t="s">
        <v>4131</v>
      </c>
      <c r="B319" s="850">
        <v>8</v>
      </c>
      <c r="C319" s="850">
        <v>11</v>
      </c>
      <c r="D319" s="850">
        <v>30</v>
      </c>
      <c r="E319" s="850">
        <v>7</v>
      </c>
      <c r="F319" s="850">
        <v>14</v>
      </c>
      <c r="G319" s="850">
        <v>25</v>
      </c>
      <c r="H319" s="850">
        <v>3</v>
      </c>
      <c r="I319" s="851" t="s">
        <v>3303</v>
      </c>
      <c r="J319" s="851" t="s">
        <v>1881</v>
      </c>
      <c r="K319" s="850" t="s">
        <v>1700</v>
      </c>
      <c r="L319" s="852" t="s">
        <v>1809</v>
      </c>
      <c r="M319" s="849" t="s">
        <v>3351</v>
      </c>
      <c r="N319" s="852" t="s">
        <v>1687</v>
      </c>
      <c r="O319" s="849" t="s">
        <v>3351</v>
      </c>
      <c r="P319" s="852" t="s">
        <v>1692</v>
      </c>
      <c r="Q319" s="849" t="s">
        <v>3351</v>
      </c>
      <c r="R319" s="852" t="s">
        <v>1701</v>
      </c>
      <c r="S319" s="849" t="s">
        <v>3352</v>
      </c>
      <c r="T319" s="853" t="s">
        <v>2019</v>
      </c>
      <c r="U319" s="853" t="s">
        <v>2024</v>
      </c>
      <c r="V319" s="853" t="s">
        <v>1925</v>
      </c>
      <c r="W319" s="850"/>
    </row>
    <row r="320" spans="1:23" x14ac:dyDescent="0.2">
      <c r="A320" s="849" t="s">
        <v>4132</v>
      </c>
      <c r="B320" s="850">
        <v>10</v>
      </c>
      <c r="C320" s="850">
        <v>13</v>
      </c>
      <c r="D320" s="850">
        <v>35</v>
      </c>
      <c r="E320" s="850">
        <v>8</v>
      </c>
      <c r="F320" s="850">
        <v>16</v>
      </c>
      <c r="G320" s="850">
        <v>28</v>
      </c>
      <c r="H320" s="850">
        <v>3</v>
      </c>
      <c r="I320" s="851" t="s">
        <v>3303</v>
      </c>
      <c r="J320" s="851" t="s">
        <v>1881</v>
      </c>
      <c r="K320" s="850" t="s">
        <v>1700</v>
      </c>
      <c r="L320" s="852" t="s">
        <v>1809</v>
      </c>
      <c r="M320" s="849" t="s">
        <v>3351</v>
      </c>
      <c r="N320" s="852" t="s">
        <v>1687</v>
      </c>
      <c r="O320" s="849" t="s">
        <v>3351</v>
      </c>
      <c r="P320" s="852" t="s">
        <v>1692</v>
      </c>
      <c r="Q320" s="849" t="s">
        <v>3351</v>
      </c>
      <c r="R320" s="852" t="s">
        <v>1701</v>
      </c>
      <c r="S320" s="849" t="s">
        <v>3352</v>
      </c>
      <c r="T320" s="853" t="s">
        <v>2019</v>
      </c>
      <c r="U320" s="853" t="s">
        <v>2024</v>
      </c>
      <c r="V320" s="853" t="s">
        <v>1925</v>
      </c>
      <c r="W320" s="850"/>
    </row>
    <row r="321" spans="1:23" x14ac:dyDescent="0.2">
      <c r="A321" s="691" t="s">
        <v>3463</v>
      </c>
      <c r="B321" s="869"/>
      <c r="C321" s="869"/>
      <c r="D321" s="869"/>
      <c r="E321" s="869"/>
      <c r="F321" s="869"/>
      <c r="G321" s="869"/>
      <c r="H321" s="869"/>
      <c r="I321" s="869"/>
      <c r="J321" s="869"/>
      <c r="K321" s="869"/>
      <c r="L321" s="870"/>
      <c r="M321" s="869"/>
      <c r="N321" s="869"/>
      <c r="O321" s="869"/>
      <c r="P321" s="869"/>
      <c r="Q321" s="869"/>
      <c r="R321" s="869"/>
      <c r="S321" s="869"/>
      <c r="T321" s="869"/>
      <c r="U321" s="869"/>
      <c r="V321" s="869"/>
      <c r="W321" s="850"/>
    </row>
    <row r="322" spans="1:23" x14ac:dyDescent="0.2">
      <c r="A322" s="849" t="s">
        <v>4133</v>
      </c>
      <c r="B322" s="850">
        <v>2</v>
      </c>
      <c r="C322" s="850">
        <v>4</v>
      </c>
      <c r="D322" s="850">
        <v>5</v>
      </c>
      <c r="E322" s="850">
        <v>1</v>
      </c>
      <c r="F322" s="850">
        <v>2</v>
      </c>
      <c r="G322" s="850">
        <v>4</v>
      </c>
      <c r="H322" s="850">
        <v>1</v>
      </c>
      <c r="I322" s="851" t="s">
        <v>3303</v>
      </c>
      <c r="J322" s="851" t="s">
        <v>4066</v>
      </c>
      <c r="K322" s="850" t="s">
        <v>1682</v>
      </c>
      <c r="L322" s="852" t="s">
        <v>1809</v>
      </c>
      <c r="M322" s="849" t="s">
        <v>3351</v>
      </c>
      <c r="N322" s="852" t="s">
        <v>1687</v>
      </c>
      <c r="O322" s="849" t="s">
        <v>3351</v>
      </c>
      <c r="P322" s="852" t="s">
        <v>1692</v>
      </c>
      <c r="Q322" s="849" t="s">
        <v>3351</v>
      </c>
      <c r="R322" s="852" t="s">
        <v>1700</v>
      </c>
      <c r="S322" s="849" t="s">
        <v>3352</v>
      </c>
      <c r="T322" s="853" t="s">
        <v>1922</v>
      </c>
      <c r="U322" s="853" t="s">
        <v>2019</v>
      </c>
      <c r="V322" s="853" t="s">
        <v>2020</v>
      </c>
      <c r="W322" s="850"/>
    </row>
    <row r="323" spans="1:23" x14ac:dyDescent="0.2">
      <c r="A323" s="849" t="s">
        <v>4134</v>
      </c>
      <c r="B323" s="850">
        <v>3</v>
      </c>
      <c r="C323" s="850">
        <v>5</v>
      </c>
      <c r="D323" s="850">
        <v>10</v>
      </c>
      <c r="E323" s="850">
        <v>2</v>
      </c>
      <c r="F323" s="850">
        <v>4</v>
      </c>
      <c r="G323" s="850">
        <v>7</v>
      </c>
      <c r="H323" s="850">
        <v>1</v>
      </c>
      <c r="I323" s="851" t="s">
        <v>3303</v>
      </c>
      <c r="J323" s="851" t="s">
        <v>4066</v>
      </c>
      <c r="K323" s="850" t="s">
        <v>1682</v>
      </c>
      <c r="L323" s="852" t="s">
        <v>1809</v>
      </c>
      <c r="M323" s="849" t="s">
        <v>3351</v>
      </c>
      <c r="N323" s="852" t="s">
        <v>1687</v>
      </c>
      <c r="O323" s="849" t="s">
        <v>3351</v>
      </c>
      <c r="P323" s="852" t="s">
        <v>1692</v>
      </c>
      <c r="Q323" s="849" t="s">
        <v>3351</v>
      </c>
      <c r="R323" s="852" t="s">
        <v>1700</v>
      </c>
      <c r="S323" s="849" t="s">
        <v>3352</v>
      </c>
      <c r="T323" s="853" t="s">
        <v>1922</v>
      </c>
      <c r="U323" s="853" t="s">
        <v>2019</v>
      </c>
      <c r="V323" s="853" t="s">
        <v>2020</v>
      </c>
      <c r="W323" s="850"/>
    </row>
    <row r="324" spans="1:23" x14ac:dyDescent="0.2">
      <c r="A324" s="849" t="s">
        <v>4135</v>
      </c>
      <c r="B324" s="850">
        <v>4</v>
      </c>
      <c r="C324" s="850">
        <v>6</v>
      </c>
      <c r="D324" s="850">
        <v>10</v>
      </c>
      <c r="E324" s="850">
        <v>3</v>
      </c>
      <c r="F324" s="850">
        <v>6</v>
      </c>
      <c r="G324" s="850">
        <v>11</v>
      </c>
      <c r="H324" s="850">
        <v>1</v>
      </c>
      <c r="I324" s="851" t="s">
        <v>3303</v>
      </c>
      <c r="J324" s="851" t="s">
        <v>4066</v>
      </c>
      <c r="K324" s="850" t="s">
        <v>1682</v>
      </c>
      <c r="L324" s="852" t="s">
        <v>1809</v>
      </c>
      <c r="M324" s="849" t="s">
        <v>3351</v>
      </c>
      <c r="N324" s="852" t="s">
        <v>1687</v>
      </c>
      <c r="O324" s="849" t="s">
        <v>3351</v>
      </c>
      <c r="P324" s="852" t="s">
        <v>1692</v>
      </c>
      <c r="Q324" s="849" t="s">
        <v>3351</v>
      </c>
      <c r="R324" s="852" t="s">
        <v>1700</v>
      </c>
      <c r="S324" s="849" t="s">
        <v>3352</v>
      </c>
      <c r="T324" s="853" t="s">
        <v>1922</v>
      </c>
      <c r="U324" s="853" t="s">
        <v>2019</v>
      </c>
      <c r="V324" s="853" t="s">
        <v>2020</v>
      </c>
      <c r="W324" s="850"/>
    </row>
    <row r="325" spans="1:23" x14ac:dyDescent="0.2">
      <c r="A325" s="849" t="s">
        <v>4136</v>
      </c>
      <c r="B325" s="850">
        <v>5</v>
      </c>
      <c r="C325" s="850">
        <v>8</v>
      </c>
      <c r="D325" s="850">
        <v>15</v>
      </c>
      <c r="E325" s="850">
        <v>4</v>
      </c>
      <c r="F325" s="850">
        <v>8</v>
      </c>
      <c r="G325" s="850">
        <v>14</v>
      </c>
      <c r="H325" s="850">
        <v>1</v>
      </c>
      <c r="I325" s="851" t="s">
        <v>3303</v>
      </c>
      <c r="J325" s="851" t="s">
        <v>4066</v>
      </c>
      <c r="K325" s="850" t="s">
        <v>1682</v>
      </c>
      <c r="L325" s="852" t="s">
        <v>1809</v>
      </c>
      <c r="M325" s="849" t="s">
        <v>3351</v>
      </c>
      <c r="N325" s="852" t="s">
        <v>1687</v>
      </c>
      <c r="O325" s="849" t="s">
        <v>3351</v>
      </c>
      <c r="P325" s="852" t="s">
        <v>1692</v>
      </c>
      <c r="Q325" s="849" t="s">
        <v>3351</v>
      </c>
      <c r="R325" s="852" t="s">
        <v>1700</v>
      </c>
      <c r="S325" s="849" t="s">
        <v>3352</v>
      </c>
      <c r="T325" s="853" t="s">
        <v>1922</v>
      </c>
      <c r="U325" s="853" t="s">
        <v>2019</v>
      </c>
      <c r="V325" s="853" t="s">
        <v>2020</v>
      </c>
      <c r="W325" s="850"/>
    </row>
    <row r="326" spans="1:23" x14ac:dyDescent="0.2">
      <c r="A326" s="849" t="s">
        <v>4137</v>
      </c>
      <c r="B326" s="850">
        <v>6</v>
      </c>
      <c r="C326" s="850">
        <v>9</v>
      </c>
      <c r="D326" s="850">
        <v>20</v>
      </c>
      <c r="E326" s="850">
        <v>5</v>
      </c>
      <c r="F326" s="850">
        <v>10</v>
      </c>
      <c r="G326" s="850">
        <v>18</v>
      </c>
      <c r="H326" s="850">
        <v>1</v>
      </c>
      <c r="I326" s="851" t="s">
        <v>3303</v>
      </c>
      <c r="J326" s="851" t="s">
        <v>4066</v>
      </c>
      <c r="K326" s="850" t="s">
        <v>1682</v>
      </c>
      <c r="L326" s="852" t="s">
        <v>1809</v>
      </c>
      <c r="M326" s="849" t="s">
        <v>3351</v>
      </c>
      <c r="N326" s="852" t="s">
        <v>1687</v>
      </c>
      <c r="O326" s="849" t="s">
        <v>3351</v>
      </c>
      <c r="P326" s="852" t="s">
        <v>1692</v>
      </c>
      <c r="Q326" s="849" t="s">
        <v>3351</v>
      </c>
      <c r="R326" s="852" t="s">
        <v>1700</v>
      </c>
      <c r="S326" s="849" t="s">
        <v>3352</v>
      </c>
      <c r="T326" s="853" t="s">
        <v>1922</v>
      </c>
      <c r="U326" s="853" t="s">
        <v>2019</v>
      </c>
      <c r="V326" s="853" t="s">
        <v>2020</v>
      </c>
      <c r="W326" s="850"/>
    </row>
    <row r="327" spans="1:23" x14ac:dyDescent="0.2">
      <c r="A327" s="849" t="s">
        <v>4138</v>
      </c>
      <c r="B327" s="850">
        <v>8</v>
      </c>
      <c r="C327" s="850">
        <v>11</v>
      </c>
      <c r="D327" s="850">
        <v>25</v>
      </c>
      <c r="E327" s="850">
        <v>6</v>
      </c>
      <c r="F327" s="850">
        <v>12</v>
      </c>
      <c r="G327" s="850">
        <v>21</v>
      </c>
      <c r="H327" s="850">
        <v>2</v>
      </c>
      <c r="I327" s="851" t="s">
        <v>3303</v>
      </c>
      <c r="J327" s="851" t="s">
        <v>4066</v>
      </c>
      <c r="K327" s="850" t="s">
        <v>1682</v>
      </c>
      <c r="L327" s="852" t="s">
        <v>1809</v>
      </c>
      <c r="M327" s="849" t="s">
        <v>3351</v>
      </c>
      <c r="N327" s="852" t="s">
        <v>1687</v>
      </c>
      <c r="O327" s="849" t="s">
        <v>3351</v>
      </c>
      <c r="P327" s="852" t="s">
        <v>1692</v>
      </c>
      <c r="Q327" s="849" t="s">
        <v>3351</v>
      </c>
      <c r="R327" s="852" t="s">
        <v>1700</v>
      </c>
      <c r="S327" s="849" t="s">
        <v>3352</v>
      </c>
      <c r="T327" s="853" t="s">
        <v>1922</v>
      </c>
      <c r="U327" s="853" t="s">
        <v>2019</v>
      </c>
      <c r="V327" s="853" t="s">
        <v>2020</v>
      </c>
      <c r="W327" s="850"/>
    </row>
    <row r="328" spans="1:23" x14ac:dyDescent="0.2">
      <c r="A328" s="849" t="s">
        <v>4139</v>
      </c>
      <c r="B328" s="850">
        <v>10</v>
      </c>
      <c r="C328" s="850">
        <v>13</v>
      </c>
      <c r="D328" s="850">
        <v>30</v>
      </c>
      <c r="E328" s="850">
        <v>7</v>
      </c>
      <c r="F328" s="850">
        <v>14</v>
      </c>
      <c r="G328" s="850">
        <v>25</v>
      </c>
      <c r="H328" s="850">
        <v>2</v>
      </c>
      <c r="I328" s="851" t="s">
        <v>3303</v>
      </c>
      <c r="J328" s="851" t="s">
        <v>4066</v>
      </c>
      <c r="K328" s="850" t="s">
        <v>1682</v>
      </c>
      <c r="L328" s="852" t="s">
        <v>1809</v>
      </c>
      <c r="M328" s="849" t="s">
        <v>3351</v>
      </c>
      <c r="N328" s="852" t="s">
        <v>1687</v>
      </c>
      <c r="O328" s="849" t="s">
        <v>3351</v>
      </c>
      <c r="P328" s="852" t="s">
        <v>1692</v>
      </c>
      <c r="Q328" s="849" t="s">
        <v>3351</v>
      </c>
      <c r="R328" s="852" t="s">
        <v>1700</v>
      </c>
      <c r="S328" s="849" t="s">
        <v>3352</v>
      </c>
      <c r="T328" s="853" t="s">
        <v>1922</v>
      </c>
      <c r="U328" s="853" t="s">
        <v>2019</v>
      </c>
      <c r="V328" s="853" t="s">
        <v>2020</v>
      </c>
      <c r="W328" s="850"/>
    </row>
    <row r="329" spans="1:23" x14ac:dyDescent="0.2">
      <c r="A329" s="849" t="s">
        <v>4140</v>
      </c>
      <c r="B329" s="850">
        <v>14</v>
      </c>
      <c r="C329" s="850">
        <v>18</v>
      </c>
      <c r="D329" s="850">
        <v>35</v>
      </c>
      <c r="E329" s="850">
        <v>8</v>
      </c>
      <c r="F329" s="850">
        <v>16</v>
      </c>
      <c r="G329" s="850">
        <v>28</v>
      </c>
      <c r="H329" s="850">
        <v>2</v>
      </c>
      <c r="I329" s="851" t="s">
        <v>3303</v>
      </c>
      <c r="J329" s="851" t="s">
        <v>4066</v>
      </c>
      <c r="K329" s="850" t="s">
        <v>1682</v>
      </c>
      <c r="L329" s="852" t="s">
        <v>1809</v>
      </c>
      <c r="M329" s="849" t="s">
        <v>3351</v>
      </c>
      <c r="N329" s="852" t="s">
        <v>1687</v>
      </c>
      <c r="O329" s="849" t="s">
        <v>3351</v>
      </c>
      <c r="P329" s="852" t="s">
        <v>1692</v>
      </c>
      <c r="Q329" s="849" t="s">
        <v>3351</v>
      </c>
      <c r="R329" s="852" t="s">
        <v>1700</v>
      </c>
      <c r="S329" s="849" t="s">
        <v>3352</v>
      </c>
      <c r="T329" s="853" t="s">
        <v>1922</v>
      </c>
      <c r="U329" s="853" t="s">
        <v>2019</v>
      </c>
      <c r="V329" s="853" t="s">
        <v>2020</v>
      </c>
      <c r="W329" s="850"/>
    </row>
    <row r="330" spans="1:23" x14ac:dyDescent="0.2">
      <c r="A330" s="849" t="s">
        <v>4141</v>
      </c>
      <c r="B330" s="850">
        <v>18</v>
      </c>
      <c r="C330" s="850">
        <v>22</v>
      </c>
      <c r="D330" s="850">
        <v>40</v>
      </c>
      <c r="E330" s="850">
        <v>10</v>
      </c>
      <c r="F330" s="850">
        <v>20</v>
      </c>
      <c r="G330" s="850">
        <v>35</v>
      </c>
      <c r="H330" s="850">
        <v>3</v>
      </c>
      <c r="I330" s="851" t="s">
        <v>3303</v>
      </c>
      <c r="J330" s="851" t="s">
        <v>4066</v>
      </c>
      <c r="K330" s="850" t="s">
        <v>1682</v>
      </c>
      <c r="L330" s="852" t="s">
        <v>1809</v>
      </c>
      <c r="M330" s="849" t="s">
        <v>3351</v>
      </c>
      <c r="N330" s="852" t="s">
        <v>1687</v>
      </c>
      <c r="O330" s="849" t="s">
        <v>3351</v>
      </c>
      <c r="P330" s="852" t="s">
        <v>1692</v>
      </c>
      <c r="Q330" s="849" t="s">
        <v>3351</v>
      </c>
      <c r="R330" s="852" t="s">
        <v>1700</v>
      </c>
      <c r="S330" s="849" t="s">
        <v>3352</v>
      </c>
      <c r="T330" s="853" t="s">
        <v>1922</v>
      </c>
      <c r="U330" s="853" t="s">
        <v>2019</v>
      </c>
      <c r="V330" s="853" t="s">
        <v>2020</v>
      </c>
      <c r="W330" s="850"/>
    </row>
    <row r="331" spans="1:23" x14ac:dyDescent="0.2">
      <c r="A331" s="849" t="s">
        <v>4142</v>
      </c>
      <c r="B331" s="850">
        <v>22</v>
      </c>
      <c r="C331" s="850">
        <v>26</v>
      </c>
      <c r="D331" s="850">
        <v>50</v>
      </c>
      <c r="E331" s="850">
        <v>12</v>
      </c>
      <c r="F331" s="850">
        <v>24</v>
      </c>
      <c r="G331" s="850">
        <v>42</v>
      </c>
      <c r="H331" s="850">
        <v>3</v>
      </c>
      <c r="I331" s="851" t="s">
        <v>3303</v>
      </c>
      <c r="J331" s="851" t="s">
        <v>4066</v>
      </c>
      <c r="K331" s="850" t="s">
        <v>1682</v>
      </c>
      <c r="L331" s="852" t="s">
        <v>1809</v>
      </c>
      <c r="M331" s="849" t="s">
        <v>3351</v>
      </c>
      <c r="N331" s="852" t="s">
        <v>1687</v>
      </c>
      <c r="O331" s="849" t="s">
        <v>3351</v>
      </c>
      <c r="P331" s="852" t="s">
        <v>1692</v>
      </c>
      <c r="Q331" s="849" t="s">
        <v>3351</v>
      </c>
      <c r="R331" s="852" t="s">
        <v>1700</v>
      </c>
      <c r="S331" s="849" t="s">
        <v>3352</v>
      </c>
      <c r="T331" s="853" t="s">
        <v>1922</v>
      </c>
      <c r="U331" s="853" t="s">
        <v>2019</v>
      </c>
      <c r="V331" s="853" t="s">
        <v>2020</v>
      </c>
      <c r="W331" s="850"/>
    </row>
    <row r="332" spans="1:23" x14ac:dyDescent="0.2">
      <c r="A332" s="684" t="s">
        <v>3468</v>
      </c>
      <c r="B332" s="873"/>
      <c r="C332" s="873"/>
      <c r="D332" s="873"/>
      <c r="E332" s="873"/>
      <c r="F332" s="873"/>
      <c r="G332" s="873"/>
      <c r="H332" s="873"/>
      <c r="I332" s="873"/>
      <c r="J332" s="873"/>
      <c r="K332" s="873"/>
      <c r="L332" s="874"/>
      <c r="M332" s="873"/>
      <c r="N332" s="873"/>
      <c r="O332" s="873"/>
      <c r="P332" s="873"/>
      <c r="Q332" s="873"/>
      <c r="R332" s="873"/>
      <c r="S332" s="873"/>
      <c r="T332" s="873"/>
      <c r="U332" s="873"/>
      <c r="V332" s="873"/>
      <c r="W332" s="850"/>
    </row>
    <row r="333" spans="1:23" x14ac:dyDescent="0.2">
      <c r="A333" s="691" t="s">
        <v>3471</v>
      </c>
      <c r="B333" s="869"/>
      <c r="C333" s="869"/>
      <c r="D333" s="869"/>
      <c r="E333" s="869"/>
      <c r="F333" s="869"/>
      <c r="G333" s="869"/>
      <c r="H333" s="869"/>
      <c r="I333" s="869"/>
      <c r="J333" s="869"/>
      <c r="K333" s="869"/>
      <c r="L333" s="870"/>
      <c r="M333" s="869"/>
      <c r="N333" s="869"/>
      <c r="O333" s="869"/>
      <c r="P333" s="869"/>
      <c r="Q333" s="869"/>
      <c r="R333" s="869"/>
      <c r="S333" s="869"/>
      <c r="T333" s="869"/>
      <c r="U333" s="869"/>
      <c r="V333" s="869"/>
      <c r="W333" s="850"/>
    </row>
    <row r="334" spans="1:23" x14ac:dyDescent="0.2">
      <c r="A334" s="849" t="s">
        <v>4143</v>
      </c>
      <c r="B334" s="850">
        <v>1</v>
      </c>
      <c r="C334" s="850">
        <v>2</v>
      </c>
      <c r="D334" s="850">
        <v>5</v>
      </c>
      <c r="E334" s="850">
        <v>1</v>
      </c>
      <c r="F334" s="850">
        <v>2</v>
      </c>
      <c r="G334" s="850">
        <v>4</v>
      </c>
      <c r="H334" s="850">
        <v>1</v>
      </c>
      <c r="I334" s="851" t="s">
        <v>3308</v>
      </c>
      <c r="J334" s="851" t="s">
        <v>1534</v>
      </c>
      <c r="K334" s="850" t="s">
        <v>1692</v>
      </c>
      <c r="L334" s="852" t="s">
        <v>1809</v>
      </c>
      <c r="M334" s="849" t="s">
        <v>3351</v>
      </c>
      <c r="N334" s="852" t="s">
        <v>1687</v>
      </c>
      <c r="O334" s="849" t="s">
        <v>4086</v>
      </c>
      <c r="P334" s="852" t="s">
        <v>1700</v>
      </c>
      <c r="Q334" s="849" t="s">
        <v>3351</v>
      </c>
      <c r="R334" s="852" t="s">
        <v>1701</v>
      </c>
      <c r="S334" s="849" t="s">
        <v>3442</v>
      </c>
      <c r="T334" s="853" t="s">
        <v>1929</v>
      </c>
      <c r="U334" s="853" t="s">
        <v>2024</v>
      </c>
      <c r="V334" s="795" t="s">
        <v>3228</v>
      </c>
      <c r="W334" s="795" t="s">
        <v>3228</v>
      </c>
    </row>
    <row r="335" spans="1:23" x14ac:dyDescent="0.2">
      <c r="A335" s="849" t="s">
        <v>4144</v>
      </c>
      <c r="B335" s="850">
        <v>2</v>
      </c>
      <c r="C335" s="850">
        <v>4</v>
      </c>
      <c r="D335" s="850">
        <v>10</v>
      </c>
      <c r="E335" s="850">
        <v>1</v>
      </c>
      <c r="F335" s="850">
        <v>2</v>
      </c>
      <c r="G335" s="850">
        <v>4</v>
      </c>
      <c r="H335" s="850">
        <v>1</v>
      </c>
      <c r="I335" s="851" t="s">
        <v>3308</v>
      </c>
      <c r="J335" s="851" t="s">
        <v>1534</v>
      </c>
      <c r="K335" s="850" t="s">
        <v>1692</v>
      </c>
      <c r="L335" s="852" t="s">
        <v>1809</v>
      </c>
      <c r="M335" s="849" t="s">
        <v>3351</v>
      </c>
      <c r="N335" s="852" t="s">
        <v>1687</v>
      </c>
      <c r="O335" s="849" t="s">
        <v>4086</v>
      </c>
      <c r="P335" s="852" t="s">
        <v>1700</v>
      </c>
      <c r="Q335" s="849" t="s">
        <v>3351</v>
      </c>
      <c r="R335" s="852" t="s">
        <v>1701</v>
      </c>
      <c r="S335" s="849" t="s">
        <v>3442</v>
      </c>
      <c r="T335" s="853" t="s">
        <v>1929</v>
      </c>
      <c r="U335" s="853" t="s">
        <v>2024</v>
      </c>
      <c r="V335" s="795" t="s">
        <v>3228</v>
      </c>
      <c r="W335" s="795" t="s">
        <v>3228</v>
      </c>
    </row>
    <row r="336" spans="1:23" x14ac:dyDescent="0.2">
      <c r="A336" s="849" t="s">
        <v>4145</v>
      </c>
      <c r="B336" s="850">
        <v>4</v>
      </c>
      <c r="C336" s="850">
        <v>6</v>
      </c>
      <c r="D336" s="850">
        <v>15</v>
      </c>
      <c r="E336" s="850">
        <v>2</v>
      </c>
      <c r="F336" s="850">
        <v>4</v>
      </c>
      <c r="G336" s="850">
        <v>7</v>
      </c>
      <c r="H336" s="850">
        <v>1</v>
      </c>
      <c r="I336" s="851" t="s">
        <v>3308</v>
      </c>
      <c r="J336" s="851" t="s">
        <v>1534</v>
      </c>
      <c r="K336" s="850" t="s">
        <v>1692</v>
      </c>
      <c r="L336" s="852" t="s">
        <v>1809</v>
      </c>
      <c r="M336" s="849" t="s">
        <v>3351</v>
      </c>
      <c r="N336" s="852" t="s">
        <v>1687</v>
      </c>
      <c r="O336" s="849" t="s">
        <v>4086</v>
      </c>
      <c r="P336" s="852" t="s">
        <v>1700</v>
      </c>
      <c r="Q336" s="849" t="s">
        <v>3351</v>
      </c>
      <c r="R336" s="852" t="s">
        <v>1701</v>
      </c>
      <c r="S336" s="849" t="s">
        <v>3442</v>
      </c>
      <c r="T336" s="853" t="s">
        <v>1929</v>
      </c>
      <c r="U336" s="853" t="s">
        <v>2024</v>
      </c>
      <c r="V336" s="795" t="s">
        <v>3228</v>
      </c>
      <c r="W336" s="795" t="s">
        <v>3228</v>
      </c>
    </row>
    <row r="337" spans="1:23" x14ac:dyDescent="0.2">
      <c r="A337" s="849" t="s">
        <v>4146</v>
      </c>
      <c r="B337" s="850">
        <v>6</v>
      </c>
      <c r="C337" s="850">
        <v>9</v>
      </c>
      <c r="D337" s="850">
        <v>20</v>
      </c>
      <c r="E337" s="850">
        <v>3</v>
      </c>
      <c r="F337" s="850">
        <v>6</v>
      </c>
      <c r="G337" s="850">
        <v>11</v>
      </c>
      <c r="H337" s="850">
        <v>1</v>
      </c>
      <c r="I337" s="851" t="s">
        <v>3308</v>
      </c>
      <c r="J337" s="851" t="s">
        <v>1534</v>
      </c>
      <c r="K337" s="850" t="s">
        <v>1692</v>
      </c>
      <c r="L337" s="852" t="s">
        <v>1809</v>
      </c>
      <c r="M337" s="849" t="s">
        <v>3351</v>
      </c>
      <c r="N337" s="852" t="s">
        <v>1687</v>
      </c>
      <c r="O337" s="849" t="s">
        <v>4086</v>
      </c>
      <c r="P337" s="852" t="s">
        <v>1700</v>
      </c>
      <c r="Q337" s="849" t="s">
        <v>3351</v>
      </c>
      <c r="R337" s="852" t="s">
        <v>1701</v>
      </c>
      <c r="S337" s="849" t="s">
        <v>3442</v>
      </c>
      <c r="T337" s="853" t="s">
        <v>1929</v>
      </c>
      <c r="U337" s="853" t="s">
        <v>2024</v>
      </c>
      <c r="V337" s="795" t="s">
        <v>3228</v>
      </c>
      <c r="W337" s="795" t="s">
        <v>3228</v>
      </c>
    </row>
    <row r="338" spans="1:23" x14ac:dyDescent="0.2">
      <c r="A338" s="849" t="s">
        <v>4147</v>
      </c>
      <c r="B338" s="850">
        <v>8</v>
      </c>
      <c r="C338" s="850">
        <v>11</v>
      </c>
      <c r="D338" s="850">
        <v>25</v>
      </c>
      <c r="E338" s="850">
        <v>4</v>
      </c>
      <c r="F338" s="850">
        <v>8</v>
      </c>
      <c r="G338" s="850">
        <v>14</v>
      </c>
      <c r="H338" s="850">
        <v>2</v>
      </c>
      <c r="I338" s="851" t="s">
        <v>3308</v>
      </c>
      <c r="J338" s="851" t="s">
        <v>1534</v>
      </c>
      <c r="K338" s="850" t="s">
        <v>1692</v>
      </c>
      <c r="L338" s="852" t="s">
        <v>1809</v>
      </c>
      <c r="M338" s="849" t="s">
        <v>3351</v>
      </c>
      <c r="N338" s="852" t="s">
        <v>1687</v>
      </c>
      <c r="O338" s="849" t="s">
        <v>4086</v>
      </c>
      <c r="P338" s="852" t="s">
        <v>1700</v>
      </c>
      <c r="Q338" s="849" t="s">
        <v>3351</v>
      </c>
      <c r="R338" s="852" t="s">
        <v>1701</v>
      </c>
      <c r="S338" s="849" t="s">
        <v>3442</v>
      </c>
      <c r="T338" s="853" t="s">
        <v>1929</v>
      </c>
      <c r="U338" s="853" t="s">
        <v>2024</v>
      </c>
      <c r="V338" s="795" t="s">
        <v>3228</v>
      </c>
      <c r="W338" s="795" t="s">
        <v>3228</v>
      </c>
    </row>
    <row r="339" spans="1:23" x14ac:dyDescent="0.2">
      <c r="A339" s="849" t="s">
        <v>4148</v>
      </c>
      <c r="B339" s="850">
        <v>12</v>
      </c>
      <c r="C339" s="850">
        <v>15</v>
      </c>
      <c r="D339" s="850">
        <v>30</v>
      </c>
      <c r="E339" s="850">
        <v>5</v>
      </c>
      <c r="F339" s="850">
        <v>10</v>
      </c>
      <c r="G339" s="850">
        <v>18</v>
      </c>
      <c r="H339" s="850">
        <v>2</v>
      </c>
      <c r="I339" s="851" t="s">
        <v>3308</v>
      </c>
      <c r="J339" s="851" t="s">
        <v>1534</v>
      </c>
      <c r="K339" s="850" t="s">
        <v>1692</v>
      </c>
      <c r="L339" s="852" t="s">
        <v>1809</v>
      </c>
      <c r="M339" s="849" t="s">
        <v>3351</v>
      </c>
      <c r="N339" s="852" t="s">
        <v>1687</v>
      </c>
      <c r="O339" s="849" t="s">
        <v>4086</v>
      </c>
      <c r="P339" s="852" t="s">
        <v>1700</v>
      </c>
      <c r="Q339" s="849" t="s">
        <v>3351</v>
      </c>
      <c r="R339" s="852" t="s">
        <v>1701</v>
      </c>
      <c r="S339" s="849" t="s">
        <v>3442</v>
      </c>
      <c r="T339" s="853" t="s">
        <v>1929</v>
      </c>
      <c r="U339" s="853" t="s">
        <v>2024</v>
      </c>
      <c r="V339" s="795" t="s">
        <v>3228</v>
      </c>
      <c r="W339" s="795" t="s">
        <v>3228</v>
      </c>
    </row>
    <row r="340" spans="1:23" x14ac:dyDescent="0.2">
      <c r="A340" s="849" t="s">
        <v>4149</v>
      </c>
      <c r="B340" s="850">
        <v>14</v>
      </c>
      <c r="C340" s="850">
        <v>18</v>
      </c>
      <c r="D340" s="850">
        <v>35</v>
      </c>
      <c r="E340" s="850">
        <v>6</v>
      </c>
      <c r="F340" s="850">
        <v>12</v>
      </c>
      <c r="G340" s="850">
        <v>21</v>
      </c>
      <c r="H340" s="850">
        <v>2</v>
      </c>
      <c r="I340" s="851" t="s">
        <v>3308</v>
      </c>
      <c r="J340" s="851" t="s">
        <v>1534</v>
      </c>
      <c r="K340" s="850" t="s">
        <v>1692</v>
      </c>
      <c r="L340" s="852" t="s">
        <v>1809</v>
      </c>
      <c r="M340" s="849" t="s">
        <v>3351</v>
      </c>
      <c r="N340" s="852" t="s">
        <v>1687</v>
      </c>
      <c r="O340" s="849" t="s">
        <v>4086</v>
      </c>
      <c r="P340" s="852" t="s">
        <v>1700</v>
      </c>
      <c r="Q340" s="849" t="s">
        <v>3351</v>
      </c>
      <c r="R340" s="852" t="s">
        <v>1701</v>
      </c>
      <c r="S340" s="849" t="s">
        <v>3442</v>
      </c>
      <c r="T340" s="853" t="s">
        <v>1929</v>
      </c>
      <c r="U340" s="853" t="s">
        <v>2024</v>
      </c>
      <c r="V340" s="795" t="s">
        <v>3228</v>
      </c>
      <c r="W340" s="795" t="s">
        <v>3228</v>
      </c>
    </row>
    <row r="341" spans="1:23" x14ac:dyDescent="0.2">
      <c r="A341" s="849" t="s">
        <v>4150</v>
      </c>
      <c r="B341" s="850">
        <v>18</v>
      </c>
      <c r="C341" s="850">
        <v>22</v>
      </c>
      <c r="D341" s="850">
        <v>40</v>
      </c>
      <c r="E341" s="850">
        <v>8</v>
      </c>
      <c r="F341" s="850">
        <v>16</v>
      </c>
      <c r="G341" s="850">
        <v>28</v>
      </c>
      <c r="H341" s="850">
        <v>3</v>
      </c>
      <c r="I341" s="851" t="s">
        <v>3308</v>
      </c>
      <c r="J341" s="851" t="s">
        <v>1534</v>
      </c>
      <c r="K341" s="850" t="s">
        <v>1692</v>
      </c>
      <c r="L341" s="852" t="s">
        <v>1809</v>
      </c>
      <c r="M341" s="849" t="s">
        <v>3351</v>
      </c>
      <c r="N341" s="852" t="s">
        <v>1687</v>
      </c>
      <c r="O341" s="849" t="s">
        <v>4086</v>
      </c>
      <c r="P341" s="852" t="s">
        <v>1700</v>
      </c>
      <c r="Q341" s="849" t="s">
        <v>3351</v>
      </c>
      <c r="R341" s="852" t="s">
        <v>1701</v>
      </c>
      <c r="S341" s="849" t="s">
        <v>3442</v>
      </c>
      <c r="T341" s="853" t="s">
        <v>1929</v>
      </c>
      <c r="U341" s="853" t="s">
        <v>2024</v>
      </c>
      <c r="V341" s="795" t="s">
        <v>3228</v>
      </c>
      <c r="W341" s="795" t="s">
        <v>3228</v>
      </c>
    </row>
    <row r="342" spans="1:23" x14ac:dyDescent="0.2">
      <c r="A342" s="691" t="s">
        <v>3476</v>
      </c>
      <c r="B342" s="869"/>
      <c r="C342" s="869"/>
      <c r="D342" s="869"/>
      <c r="E342" s="869"/>
      <c r="F342" s="869"/>
      <c r="G342" s="869"/>
      <c r="H342" s="869"/>
      <c r="I342" s="869"/>
      <c r="J342" s="869"/>
      <c r="K342" s="869"/>
      <c r="L342" s="870"/>
      <c r="M342" s="869"/>
      <c r="N342" s="869"/>
      <c r="O342" s="869"/>
      <c r="P342" s="869"/>
      <c r="Q342" s="869"/>
      <c r="R342" s="869"/>
      <c r="S342" s="869"/>
      <c r="T342" s="869"/>
      <c r="U342" s="869"/>
      <c r="V342" s="869"/>
      <c r="W342" s="850"/>
    </row>
    <row r="343" spans="1:23" x14ac:dyDescent="0.2">
      <c r="A343" s="849" t="s">
        <v>4151</v>
      </c>
      <c r="B343" s="850">
        <v>1</v>
      </c>
      <c r="C343" s="850">
        <v>2</v>
      </c>
      <c r="D343" s="850">
        <v>5</v>
      </c>
      <c r="E343" s="850">
        <v>1</v>
      </c>
      <c r="F343" s="850">
        <v>2</v>
      </c>
      <c r="G343" s="850">
        <v>4</v>
      </c>
      <c r="H343" s="850">
        <v>1</v>
      </c>
      <c r="I343" s="851" t="s">
        <v>3308</v>
      </c>
      <c r="J343" s="851" t="s">
        <v>1881</v>
      </c>
      <c r="K343" s="850" t="s">
        <v>1809</v>
      </c>
      <c r="L343" s="852" t="s">
        <v>1692</v>
      </c>
      <c r="M343" s="849" t="s">
        <v>3351</v>
      </c>
      <c r="N343" s="852" t="s">
        <v>1687</v>
      </c>
      <c r="O343" s="849" t="s">
        <v>4086</v>
      </c>
      <c r="P343" s="852" t="s">
        <v>1700</v>
      </c>
      <c r="Q343" s="849" t="s">
        <v>3351</v>
      </c>
      <c r="R343" s="852" t="s">
        <v>1701</v>
      </c>
      <c r="S343" s="849" t="s">
        <v>3442</v>
      </c>
      <c r="T343" s="853" t="s">
        <v>1929</v>
      </c>
      <c r="U343" s="853" t="s">
        <v>2019</v>
      </c>
      <c r="V343" s="853" t="s">
        <v>2024</v>
      </c>
      <c r="W343" s="850"/>
    </row>
    <row r="344" spans="1:23" x14ac:dyDescent="0.2">
      <c r="A344" s="849" t="s">
        <v>4152</v>
      </c>
      <c r="B344" s="850">
        <v>2</v>
      </c>
      <c r="C344" s="850">
        <v>4</v>
      </c>
      <c r="D344" s="850">
        <v>5</v>
      </c>
      <c r="E344" s="850">
        <v>1</v>
      </c>
      <c r="F344" s="850">
        <v>2</v>
      </c>
      <c r="G344" s="850">
        <v>4</v>
      </c>
      <c r="H344" s="850">
        <v>1</v>
      </c>
      <c r="I344" s="851" t="s">
        <v>3308</v>
      </c>
      <c r="J344" s="851" t="s">
        <v>1881</v>
      </c>
      <c r="K344" s="850" t="s">
        <v>1809</v>
      </c>
      <c r="L344" s="852" t="s">
        <v>1692</v>
      </c>
      <c r="M344" s="849" t="s">
        <v>3351</v>
      </c>
      <c r="N344" s="852" t="s">
        <v>1687</v>
      </c>
      <c r="O344" s="849" t="s">
        <v>4086</v>
      </c>
      <c r="P344" s="852" t="s">
        <v>1700</v>
      </c>
      <c r="Q344" s="849" t="s">
        <v>3351</v>
      </c>
      <c r="R344" s="852" t="s">
        <v>1701</v>
      </c>
      <c r="S344" s="849" t="s">
        <v>3442</v>
      </c>
      <c r="T344" s="853" t="s">
        <v>1929</v>
      </c>
      <c r="U344" s="853" t="s">
        <v>2019</v>
      </c>
      <c r="V344" s="853" t="s">
        <v>2024</v>
      </c>
      <c r="W344" s="850"/>
    </row>
    <row r="345" spans="1:23" x14ac:dyDescent="0.2">
      <c r="A345" s="849" t="s">
        <v>4153</v>
      </c>
      <c r="B345" s="850">
        <v>3</v>
      </c>
      <c r="C345" s="850">
        <v>5</v>
      </c>
      <c r="D345" s="850">
        <v>10</v>
      </c>
      <c r="E345" s="850">
        <v>2</v>
      </c>
      <c r="F345" s="850">
        <v>4</v>
      </c>
      <c r="G345" s="850">
        <v>7</v>
      </c>
      <c r="H345" s="850">
        <v>1</v>
      </c>
      <c r="I345" s="851" t="s">
        <v>3308</v>
      </c>
      <c r="J345" s="851" t="s">
        <v>1881</v>
      </c>
      <c r="K345" s="850" t="s">
        <v>1809</v>
      </c>
      <c r="L345" s="852" t="s">
        <v>1692</v>
      </c>
      <c r="M345" s="849" t="s">
        <v>3351</v>
      </c>
      <c r="N345" s="852" t="s">
        <v>1687</v>
      </c>
      <c r="O345" s="849" t="s">
        <v>4086</v>
      </c>
      <c r="P345" s="852" t="s">
        <v>1700</v>
      </c>
      <c r="Q345" s="849" t="s">
        <v>3351</v>
      </c>
      <c r="R345" s="852" t="s">
        <v>1701</v>
      </c>
      <c r="S345" s="849" t="s">
        <v>3442</v>
      </c>
      <c r="T345" s="853" t="s">
        <v>1929</v>
      </c>
      <c r="U345" s="853" t="s">
        <v>2019</v>
      </c>
      <c r="V345" s="853" t="s">
        <v>2024</v>
      </c>
      <c r="W345" s="850"/>
    </row>
    <row r="346" spans="1:23" x14ac:dyDescent="0.2">
      <c r="A346" s="849" t="s">
        <v>4154</v>
      </c>
      <c r="B346" s="850">
        <v>4</v>
      </c>
      <c r="C346" s="850">
        <v>6</v>
      </c>
      <c r="D346" s="850">
        <v>10</v>
      </c>
      <c r="E346" s="850">
        <v>2</v>
      </c>
      <c r="F346" s="850">
        <v>4</v>
      </c>
      <c r="G346" s="850">
        <v>7</v>
      </c>
      <c r="H346" s="850">
        <v>1</v>
      </c>
      <c r="I346" s="851" t="s">
        <v>3308</v>
      </c>
      <c r="J346" s="851" t="s">
        <v>1881</v>
      </c>
      <c r="K346" s="850" t="s">
        <v>1809</v>
      </c>
      <c r="L346" s="852" t="s">
        <v>1692</v>
      </c>
      <c r="M346" s="849" t="s">
        <v>3351</v>
      </c>
      <c r="N346" s="852" t="s">
        <v>1687</v>
      </c>
      <c r="O346" s="849" t="s">
        <v>4086</v>
      </c>
      <c r="P346" s="852" t="s">
        <v>1700</v>
      </c>
      <c r="Q346" s="849" t="s">
        <v>3351</v>
      </c>
      <c r="R346" s="852" t="s">
        <v>1701</v>
      </c>
      <c r="S346" s="849" t="s">
        <v>3442</v>
      </c>
      <c r="T346" s="853" t="s">
        <v>1929</v>
      </c>
      <c r="U346" s="853" t="s">
        <v>2019</v>
      </c>
      <c r="V346" s="853" t="s">
        <v>2024</v>
      </c>
      <c r="W346" s="850"/>
    </row>
    <row r="347" spans="1:23" x14ac:dyDescent="0.2">
      <c r="A347" s="849" t="s">
        <v>4155</v>
      </c>
      <c r="B347" s="850">
        <v>5</v>
      </c>
      <c r="C347" s="850">
        <v>8</v>
      </c>
      <c r="D347" s="850">
        <v>15</v>
      </c>
      <c r="E347" s="850">
        <v>3</v>
      </c>
      <c r="F347" s="850">
        <v>6</v>
      </c>
      <c r="G347" s="850">
        <v>11</v>
      </c>
      <c r="H347" s="850">
        <v>2</v>
      </c>
      <c r="I347" s="851" t="s">
        <v>3308</v>
      </c>
      <c r="J347" s="851" t="s">
        <v>1881</v>
      </c>
      <c r="K347" s="850" t="s">
        <v>1809</v>
      </c>
      <c r="L347" s="852" t="s">
        <v>1692</v>
      </c>
      <c r="M347" s="849" t="s">
        <v>3351</v>
      </c>
      <c r="N347" s="852" t="s">
        <v>1687</v>
      </c>
      <c r="O347" s="849" t="s">
        <v>4086</v>
      </c>
      <c r="P347" s="852" t="s">
        <v>1700</v>
      </c>
      <c r="Q347" s="849" t="s">
        <v>3351</v>
      </c>
      <c r="R347" s="852" t="s">
        <v>1701</v>
      </c>
      <c r="S347" s="849" t="s">
        <v>3442</v>
      </c>
      <c r="T347" s="853" t="s">
        <v>1929</v>
      </c>
      <c r="U347" s="853" t="s">
        <v>2019</v>
      </c>
      <c r="V347" s="853" t="s">
        <v>2024</v>
      </c>
      <c r="W347" s="850"/>
    </row>
    <row r="348" spans="1:23" x14ac:dyDescent="0.2">
      <c r="A348" s="849" t="s">
        <v>4156</v>
      </c>
      <c r="B348" s="850">
        <v>6</v>
      </c>
      <c r="C348" s="850">
        <v>9</v>
      </c>
      <c r="D348" s="850">
        <v>20</v>
      </c>
      <c r="E348" s="850">
        <v>3</v>
      </c>
      <c r="F348" s="850">
        <v>6</v>
      </c>
      <c r="G348" s="850">
        <v>11</v>
      </c>
      <c r="H348" s="850">
        <v>2</v>
      </c>
      <c r="I348" s="851" t="s">
        <v>3308</v>
      </c>
      <c r="J348" s="851" t="s">
        <v>1881</v>
      </c>
      <c r="K348" s="850" t="s">
        <v>1809</v>
      </c>
      <c r="L348" s="852" t="s">
        <v>1692</v>
      </c>
      <c r="M348" s="849" t="s">
        <v>3351</v>
      </c>
      <c r="N348" s="852" t="s">
        <v>1687</v>
      </c>
      <c r="O348" s="849" t="s">
        <v>4086</v>
      </c>
      <c r="P348" s="852" t="s">
        <v>1700</v>
      </c>
      <c r="Q348" s="849" t="s">
        <v>3351</v>
      </c>
      <c r="R348" s="852" t="s">
        <v>1701</v>
      </c>
      <c r="S348" s="849" t="s">
        <v>3442</v>
      </c>
      <c r="T348" s="853" t="s">
        <v>1929</v>
      </c>
      <c r="U348" s="853" t="s">
        <v>2019</v>
      </c>
      <c r="V348" s="853" t="s">
        <v>2024</v>
      </c>
      <c r="W348" s="850"/>
    </row>
    <row r="349" spans="1:23" x14ac:dyDescent="0.2">
      <c r="A349" s="849" t="s">
        <v>4157</v>
      </c>
      <c r="B349" s="850">
        <v>7</v>
      </c>
      <c r="C349" s="850">
        <v>10</v>
      </c>
      <c r="D349" s="850">
        <v>25</v>
      </c>
      <c r="E349" s="850">
        <v>4</v>
      </c>
      <c r="F349" s="850">
        <v>8</v>
      </c>
      <c r="G349" s="850">
        <v>14</v>
      </c>
      <c r="H349" s="850">
        <v>3</v>
      </c>
      <c r="I349" s="851" t="s">
        <v>3308</v>
      </c>
      <c r="J349" s="851" t="s">
        <v>1881</v>
      </c>
      <c r="K349" s="850" t="s">
        <v>1809</v>
      </c>
      <c r="L349" s="852" t="s">
        <v>1692</v>
      </c>
      <c r="M349" s="849" t="s">
        <v>3351</v>
      </c>
      <c r="N349" s="852" t="s">
        <v>1687</v>
      </c>
      <c r="O349" s="849" t="s">
        <v>4086</v>
      </c>
      <c r="P349" s="852" t="s">
        <v>1700</v>
      </c>
      <c r="Q349" s="849" t="s">
        <v>3351</v>
      </c>
      <c r="R349" s="852" t="s">
        <v>1701</v>
      </c>
      <c r="S349" s="849" t="s">
        <v>3442</v>
      </c>
      <c r="T349" s="853" t="s">
        <v>1929</v>
      </c>
      <c r="U349" s="853" t="s">
        <v>2019</v>
      </c>
      <c r="V349" s="853" t="s">
        <v>2024</v>
      </c>
      <c r="W349" s="850"/>
    </row>
    <row r="350" spans="1:23" x14ac:dyDescent="0.2">
      <c r="A350" s="691" t="s">
        <v>3480</v>
      </c>
      <c r="B350" s="869"/>
      <c r="C350" s="869"/>
      <c r="D350" s="869"/>
      <c r="E350" s="869"/>
      <c r="F350" s="869"/>
      <c r="G350" s="869"/>
      <c r="H350" s="869"/>
      <c r="I350" s="869"/>
      <c r="J350" s="869"/>
      <c r="K350" s="869"/>
      <c r="L350" s="870"/>
      <c r="M350" s="869"/>
      <c r="N350" s="869"/>
      <c r="O350" s="869"/>
      <c r="P350" s="869"/>
      <c r="Q350" s="869"/>
      <c r="R350" s="869"/>
      <c r="S350" s="869"/>
      <c r="T350" s="869"/>
      <c r="U350" s="869"/>
      <c r="V350" s="869"/>
      <c r="W350" s="850"/>
    </row>
    <row r="351" spans="1:23" x14ac:dyDescent="0.2">
      <c r="A351" s="849" t="s">
        <v>4158</v>
      </c>
      <c r="B351" s="850">
        <v>1</v>
      </c>
      <c r="C351" s="850">
        <v>2</v>
      </c>
      <c r="D351" s="850">
        <v>5</v>
      </c>
      <c r="E351" s="850">
        <v>1</v>
      </c>
      <c r="F351" s="850">
        <v>2</v>
      </c>
      <c r="G351" s="850">
        <v>4</v>
      </c>
      <c r="H351" s="850">
        <v>1</v>
      </c>
      <c r="I351" s="851" t="s">
        <v>3303</v>
      </c>
      <c r="J351" s="851" t="s">
        <v>1534</v>
      </c>
      <c r="K351" s="850" t="s">
        <v>1692</v>
      </c>
      <c r="L351" s="852" t="s">
        <v>1809</v>
      </c>
      <c r="M351" s="849" t="s">
        <v>3351</v>
      </c>
      <c r="N351" s="852" t="s">
        <v>1687</v>
      </c>
      <c r="O351" s="849" t="s">
        <v>3351</v>
      </c>
      <c r="P351" s="852" t="s">
        <v>1700</v>
      </c>
      <c r="Q351" s="849" t="s">
        <v>3442</v>
      </c>
      <c r="R351" s="852" t="s">
        <v>1701</v>
      </c>
      <c r="S351" s="849" t="s">
        <v>3351</v>
      </c>
      <c r="T351" s="853" t="s">
        <v>1929</v>
      </c>
      <c r="U351" s="853" t="s">
        <v>2020</v>
      </c>
      <c r="V351" s="853"/>
      <c r="W351" s="853"/>
    </row>
    <row r="352" spans="1:23" x14ac:dyDescent="0.2">
      <c r="A352" s="849" t="s">
        <v>4159</v>
      </c>
      <c r="B352" s="850">
        <v>2</v>
      </c>
      <c r="C352" s="850">
        <v>4</v>
      </c>
      <c r="D352" s="850">
        <v>5</v>
      </c>
      <c r="E352" s="850">
        <v>1</v>
      </c>
      <c r="F352" s="850">
        <v>2</v>
      </c>
      <c r="G352" s="850">
        <v>4</v>
      </c>
      <c r="H352" s="850">
        <v>1</v>
      </c>
      <c r="I352" s="851" t="s">
        <v>3303</v>
      </c>
      <c r="J352" s="851" t="s">
        <v>1534</v>
      </c>
      <c r="K352" s="850" t="s">
        <v>1692</v>
      </c>
      <c r="L352" s="852" t="s">
        <v>1809</v>
      </c>
      <c r="M352" s="849" t="s">
        <v>3351</v>
      </c>
      <c r="N352" s="852" t="s">
        <v>1687</v>
      </c>
      <c r="O352" s="849" t="s">
        <v>3351</v>
      </c>
      <c r="P352" s="852" t="s">
        <v>1700</v>
      </c>
      <c r="Q352" s="849" t="s">
        <v>3442</v>
      </c>
      <c r="R352" s="852" t="s">
        <v>1701</v>
      </c>
      <c r="S352" s="849" t="s">
        <v>3351</v>
      </c>
      <c r="T352" s="853" t="s">
        <v>1929</v>
      </c>
      <c r="U352" s="853" t="s">
        <v>2020</v>
      </c>
      <c r="V352" s="853"/>
      <c r="W352" s="850"/>
    </row>
    <row r="353" spans="1:23" x14ac:dyDescent="0.2">
      <c r="A353" s="849" t="s">
        <v>4160</v>
      </c>
      <c r="B353" s="850">
        <v>3</v>
      </c>
      <c r="C353" s="850">
        <v>5</v>
      </c>
      <c r="D353" s="850">
        <v>10</v>
      </c>
      <c r="E353" s="850">
        <v>2</v>
      </c>
      <c r="F353" s="850">
        <v>4</v>
      </c>
      <c r="G353" s="850">
        <v>7</v>
      </c>
      <c r="H353" s="850">
        <v>1</v>
      </c>
      <c r="I353" s="851" t="s">
        <v>3303</v>
      </c>
      <c r="J353" s="851" t="s">
        <v>1534</v>
      </c>
      <c r="K353" s="850" t="s">
        <v>1692</v>
      </c>
      <c r="L353" s="852" t="s">
        <v>1809</v>
      </c>
      <c r="M353" s="849" t="s">
        <v>3351</v>
      </c>
      <c r="N353" s="852" t="s">
        <v>1687</v>
      </c>
      <c r="O353" s="849" t="s">
        <v>3351</v>
      </c>
      <c r="P353" s="852" t="s">
        <v>1700</v>
      </c>
      <c r="Q353" s="849" t="s">
        <v>3442</v>
      </c>
      <c r="R353" s="852" t="s">
        <v>1701</v>
      </c>
      <c r="S353" s="849" t="s">
        <v>3351</v>
      </c>
      <c r="T353" s="853" t="s">
        <v>1929</v>
      </c>
      <c r="U353" s="853" t="s">
        <v>2020</v>
      </c>
      <c r="V353" s="853"/>
      <c r="W353" s="850"/>
    </row>
    <row r="354" spans="1:23" x14ac:dyDescent="0.2">
      <c r="A354" s="849" t="s">
        <v>4161</v>
      </c>
      <c r="B354" s="850">
        <v>4</v>
      </c>
      <c r="C354" s="850">
        <v>6</v>
      </c>
      <c r="D354" s="850">
        <v>10</v>
      </c>
      <c r="E354" s="850">
        <v>2</v>
      </c>
      <c r="F354" s="850">
        <v>4</v>
      </c>
      <c r="G354" s="850">
        <v>7</v>
      </c>
      <c r="H354" s="850">
        <v>1</v>
      </c>
      <c r="I354" s="851" t="s">
        <v>3303</v>
      </c>
      <c r="J354" s="851" t="s">
        <v>1534</v>
      </c>
      <c r="K354" s="850" t="s">
        <v>1692</v>
      </c>
      <c r="L354" s="852" t="s">
        <v>1809</v>
      </c>
      <c r="M354" s="849" t="s">
        <v>3351</v>
      </c>
      <c r="N354" s="852" t="s">
        <v>1687</v>
      </c>
      <c r="O354" s="849" t="s">
        <v>3351</v>
      </c>
      <c r="P354" s="852" t="s">
        <v>1700</v>
      </c>
      <c r="Q354" s="849" t="s">
        <v>3442</v>
      </c>
      <c r="R354" s="852" t="s">
        <v>1701</v>
      </c>
      <c r="S354" s="849" t="s">
        <v>3351</v>
      </c>
      <c r="T354" s="853" t="s">
        <v>1929</v>
      </c>
      <c r="U354" s="853" t="s">
        <v>2020</v>
      </c>
      <c r="V354" s="853"/>
      <c r="W354" s="850"/>
    </row>
    <row r="355" spans="1:23" x14ac:dyDescent="0.2">
      <c r="A355" s="849" t="s">
        <v>4162</v>
      </c>
      <c r="B355" s="850">
        <v>5</v>
      </c>
      <c r="C355" s="850">
        <v>8</v>
      </c>
      <c r="D355" s="850">
        <v>15</v>
      </c>
      <c r="E355" s="850">
        <v>3</v>
      </c>
      <c r="F355" s="850">
        <v>6</v>
      </c>
      <c r="G355" s="850">
        <v>11</v>
      </c>
      <c r="H355" s="850">
        <v>2</v>
      </c>
      <c r="I355" s="851" t="s">
        <v>3303</v>
      </c>
      <c r="J355" s="851" t="s">
        <v>1534</v>
      </c>
      <c r="K355" s="850" t="s">
        <v>1692</v>
      </c>
      <c r="L355" s="852" t="s">
        <v>1809</v>
      </c>
      <c r="M355" s="849" t="s">
        <v>3351</v>
      </c>
      <c r="N355" s="852" t="s">
        <v>1687</v>
      </c>
      <c r="O355" s="849" t="s">
        <v>3351</v>
      </c>
      <c r="P355" s="852" t="s">
        <v>1700</v>
      </c>
      <c r="Q355" s="849" t="s">
        <v>3442</v>
      </c>
      <c r="R355" s="852" t="s">
        <v>1701</v>
      </c>
      <c r="S355" s="849" t="s">
        <v>3351</v>
      </c>
      <c r="T355" s="853" t="s">
        <v>1929</v>
      </c>
      <c r="U355" s="853" t="s">
        <v>2020</v>
      </c>
      <c r="V355" s="853"/>
      <c r="W355" s="850"/>
    </row>
    <row r="356" spans="1:23" x14ac:dyDescent="0.2">
      <c r="A356" s="849" t="s">
        <v>4163</v>
      </c>
      <c r="B356" s="850">
        <v>6</v>
      </c>
      <c r="C356" s="850">
        <v>9</v>
      </c>
      <c r="D356" s="850">
        <v>20</v>
      </c>
      <c r="E356" s="850">
        <v>3</v>
      </c>
      <c r="F356" s="850">
        <v>6</v>
      </c>
      <c r="G356" s="850">
        <v>11</v>
      </c>
      <c r="H356" s="850">
        <v>2</v>
      </c>
      <c r="I356" s="851" t="s">
        <v>3303</v>
      </c>
      <c r="J356" s="851" t="s">
        <v>1534</v>
      </c>
      <c r="K356" s="850" t="s">
        <v>1692</v>
      </c>
      <c r="L356" s="852" t="s">
        <v>1809</v>
      </c>
      <c r="M356" s="849" t="s">
        <v>3351</v>
      </c>
      <c r="N356" s="852" t="s">
        <v>1687</v>
      </c>
      <c r="O356" s="849" t="s">
        <v>3351</v>
      </c>
      <c r="P356" s="852" t="s">
        <v>1700</v>
      </c>
      <c r="Q356" s="849" t="s">
        <v>3442</v>
      </c>
      <c r="R356" s="852" t="s">
        <v>1701</v>
      </c>
      <c r="S356" s="849" t="s">
        <v>3351</v>
      </c>
      <c r="T356" s="853" t="s">
        <v>1929</v>
      </c>
      <c r="U356" s="853" t="s">
        <v>2020</v>
      </c>
      <c r="V356" s="853"/>
      <c r="W356" s="850"/>
    </row>
    <row r="357" spans="1:23" x14ac:dyDescent="0.2">
      <c r="A357" s="849" t="s">
        <v>4164</v>
      </c>
      <c r="B357" s="850">
        <v>8</v>
      </c>
      <c r="C357" s="850">
        <v>11</v>
      </c>
      <c r="D357" s="850">
        <v>25</v>
      </c>
      <c r="E357" s="850">
        <v>4</v>
      </c>
      <c r="F357" s="850">
        <v>8</v>
      </c>
      <c r="G357" s="850">
        <v>14</v>
      </c>
      <c r="H357" s="850">
        <v>2</v>
      </c>
      <c r="I357" s="851" t="s">
        <v>3303</v>
      </c>
      <c r="J357" s="851" t="s">
        <v>1534</v>
      </c>
      <c r="K357" s="850" t="s">
        <v>1692</v>
      </c>
      <c r="L357" s="852" t="s">
        <v>1809</v>
      </c>
      <c r="M357" s="849" t="s">
        <v>3351</v>
      </c>
      <c r="N357" s="852" t="s">
        <v>1687</v>
      </c>
      <c r="O357" s="849" t="s">
        <v>3351</v>
      </c>
      <c r="P357" s="852" t="s">
        <v>1700</v>
      </c>
      <c r="Q357" s="849" t="s">
        <v>3442</v>
      </c>
      <c r="R357" s="852" t="s">
        <v>1701</v>
      </c>
      <c r="S357" s="849" t="s">
        <v>3351</v>
      </c>
      <c r="T357" s="853" t="s">
        <v>1929</v>
      </c>
      <c r="U357" s="853" t="s">
        <v>2020</v>
      </c>
      <c r="V357" s="853"/>
      <c r="W357" s="850"/>
    </row>
    <row r="358" spans="1:23" x14ac:dyDescent="0.2">
      <c r="A358" s="849" t="s">
        <v>4165</v>
      </c>
      <c r="B358" s="850">
        <v>10</v>
      </c>
      <c r="C358" s="850">
        <v>13</v>
      </c>
      <c r="D358" s="850">
        <v>30</v>
      </c>
      <c r="E358" s="850">
        <v>5</v>
      </c>
      <c r="F358" s="850">
        <v>10</v>
      </c>
      <c r="G358" s="850">
        <v>18</v>
      </c>
      <c r="H358" s="850">
        <v>3</v>
      </c>
      <c r="I358" s="851" t="s">
        <v>3303</v>
      </c>
      <c r="J358" s="851" t="s">
        <v>1534</v>
      </c>
      <c r="K358" s="850" t="s">
        <v>1692</v>
      </c>
      <c r="L358" s="852" t="s">
        <v>1809</v>
      </c>
      <c r="M358" s="849" t="s">
        <v>3351</v>
      </c>
      <c r="N358" s="852" t="s">
        <v>1687</v>
      </c>
      <c r="O358" s="849" t="s">
        <v>3351</v>
      </c>
      <c r="P358" s="852" t="s">
        <v>1700</v>
      </c>
      <c r="Q358" s="849" t="s">
        <v>3442</v>
      </c>
      <c r="R358" s="852" t="s">
        <v>1701</v>
      </c>
      <c r="S358" s="849" t="s">
        <v>3351</v>
      </c>
      <c r="T358" s="853" t="s">
        <v>1929</v>
      </c>
      <c r="U358" s="853" t="s">
        <v>2020</v>
      </c>
      <c r="V358" s="853"/>
      <c r="W358" s="850"/>
    </row>
    <row r="359" spans="1:23" x14ac:dyDescent="0.2">
      <c r="A359" s="849" t="s">
        <v>4166</v>
      </c>
      <c r="B359" s="850">
        <v>12</v>
      </c>
      <c r="C359" s="850">
        <v>15</v>
      </c>
      <c r="D359" s="850">
        <v>40</v>
      </c>
      <c r="E359" s="850">
        <v>6</v>
      </c>
      <c r="F359" s="850">
        <v>12</v>
      </c>
      <c r="G359" s="850">
        <v>21</v>
      </c>
      <c r="H359" s="850">
        <v>3</v>
      </c>
      <c r="I359" s="851" t="s">
        <v>3303</v>
      </c>
      <c r="J359" s="851" t="s">
        <v>1534</v>
      </c>
      <c r="K359" s="850" t="s">
        <v>1692</v>
      </c>
      <c r="L359" s="852" t="s">
        <v>1809</v>
      </c>
      <c r="M359" s="849" t="s">
        <v>3351</v>
      </c>
      <c r="N359" s="852" t="s">
        <v>1687</v>
      </c>
      <c r="O359" s="849" t="s">
        <v>3351</v>
      </c>
      <c r="P359" s="852" t="s">
        <v>1700</v>
      </c>
      <c r="Q359" s="849" t="s">
        <v>3442</v>
      </c>
      <c r="R359" s="852" t="s">
        <v>1701</v>
      </c>
      <c r="S359" s="849" t="s">
        <v>3351</v>
      </c>
      <c r="T359" s="853" t="s">
        <v>1929</v>
      </c>
      <c r="U359" s="853" t="s">
        <v>2020</v>
      </c>
      <c r="V359" s="853"/>
      <c r="W359" s="850"/>
    </row>
    <row r="360" spans="1:23" x14ac:dyDescent="0.2">
      <c r="A360" s="691" t="s">
        <v>1860</v>
      </c>
      <c r="B360" s="869"/>
      <c r="C360" s="869"/>
      <c r="D360" s="869"/>
      <c r="E360" s="869"/>
      <c r="F360" s="869"/>
      <c r="G360" s="869"/>
      <c r="H360" s="869"/>
      <c r="I360" s="869"/>
      <c r="J360" s="869"/>
      <c r="K360" s="869"/>
      <c r="L360" s="870"/>
      <c r="M360" s="869"/>
      <c r="N360" s="869"/>
      <c r="O360" s="869"/>
      <c r="P360" s="869"/>
      <c r="Q360" s="869"/>
      <c r="R360" s="869"/>
      <c r="S360" s="869"/>
      <c r="T360" s="869"/>
      <c r="U360" s="869"/>
      <c r="V360" s="869"/>
      <c r="W360" s="850"/>
    </row>
    <row r="361" spans="1:23" x14ac:dyDescent="0.2">
      <c r="A361" s="849" t="s">
        <v>4167</v>
      </c>
      <c r="B361" s="850">
        <v>1</v>
      </c>
      <c r="C361" s="850">
        <v>2</v>
      </c>
      <c r="D361" s="850">
        <v>5</v>
      </c>
      <c r="E361" s="850">
        <v>1</v>
      </c>
      <c r="F361" s="850">
        <v>2</v>
      </c>
      <c r="G361" s="850">
        <v>4</v>
      </c>
      <c r="H361" s="850">
        <v>1</v>
      </c>
      <c r="I361" s="851" t="s">
        <v>3308</v>
      </c>
      <c r="J361" s="851" t="s">
        <v>1881</v>
      </c>
      <c r="K361" s="850" t="s">
        <v>1809</v>
      </c>
      <c r="L361" s="852" t="s">
        <v>1682</v>
      </c>
      <c r="M361" s="849" t="s">
        <v>3352</v>
      </c>
      <c r="N361" s="852" t="s">
        <v>1692</v>
      </c>
      <c r="O361" s="849" t="s">
        <v>3351</v>
      </c>
      <c r="P361" s="852" t="s">
        <v>1700</v>
      </c>
      <c r="Q361" s="849" t="s">
        <v>3442</v>
      </c>
      <c r="R361" s="852" t="s">
        <v>1701</v>
      </c>
      <c r="S361" s="849" t="s">
        <v>3351</v>
      </c>
      <c r="T361" s="853" t="s">
        <v>1925</v>
      </c>
      <c r="U361" s="853" t="s">
        <v>2019</v>
      </c>
      <c r="V361" s="853" t="s">
        <v>2024</v>
      </c>
      <c r="W361" s="850"/>
    </row>
    <row r="362" spans="1:23" x14ac:dyDescent="0.2">
      <c r="A362" s="849" t="s">
        <v>4168</v>
      </c>
      <c r="B362" s="850">
        <v>2</v>
      </c>
      <c r="C362" s="850">
        <v>4</v>
      </c>
      <c r="D362" s="850">
        <v>5</v>
      </c>
      <c r="E362" s="850">
        <v>1</v>
      </c>
      <c r="F362" s="850">
        <v>2</v>
      </c>
      <c r="G362" s="850">
        <v>4</v>
      </c>
      <c r="H362" s="850">
        <v>1</v>
      </c>
      <c r="I362" s="851" t="s">
        <v>3308</v>
      </c>
      <c r="J362" s="851" t="s">
        <v>1881</v>
      </c>
      <c r="K362" s="850" t="s">
        <v>1809</v>
      </c>
      <c r="L362" s="852" t="s">
        <v>1682</v>
      </c>
      <c r="M362" s="849" t="s">
        <v>3352</v>
      </c>
      <c r="N362" s="852" t="s">
        <v>1692</v>
      </c>
      <c r="O362" s="849" t="s">
        <v>3351</v>
      </c>
      <c r="P362" s="852" t="s">
        <v>1700</v>
      </c>
      <c r="Q362" s="849" t="s">
        <v>3442</v>
      </c>
      <c r="R362" s="852" t="s">
        <v>1701</v>
      </c>
      <c r="S362" s="849" t="s">
        <v>3351</v>
      </c>
      <c r="T362" s="853" t="s">
        <v>1925</v>
      </c>
      <c r="U362" s="853" t="s">
        <v>2019</v>
      </c>
      <c r="V362" s="853" t="s">
        <v>2024</v>
      </c>
      <c r="W362" s="850"/>
    </row>
    <row r="363" spans="1:23" x14ac:dyDescent="0.2">
      <c r="A363" s="849" t="s">
        <v>4169</v>
      </c>
      <c r="B363" s="850">
        <v>4</v>
      </c>
      <c r="C363" s="850">
        <v>6</v>
      </c>
      <c r="D363" s="850">
        <v>10</v>
      </c>
      <c r="E363" s="850">
        <v>2</v>
      </c>
      <c r="F363" s="850">
        <v>4</v>
      </c>
      <c r="G363" s="850">
        <v>7</v>
      </c>
      <c r="H363" s="850">
        <v>1</v>
      </c>
      <c r="I363" s="851" t="s">
        <v>3308</v>
      </c>
      <c r="J363" s="851" t="s">
        <v>1881</v>
      </c>
      <c r="K363" s="850" t="s">
        <v>1809</v>
      </c>
      <c r="L363" s="852" t="s">
        <v>1682</v>
      </c>
      <c r="M363" s="849" t="s">
        <v>3352</v>
      </c>
      <c r="N363" s="852" t="s">
        <v>1692</v>
      </c>
      <c r="O363" s="849" t="s">
        <v>3351</v>
      </c>
      <c r="P363" s="852" t="s">
        <v>1700</v>
      </c>
      <c r="Q363" s="849" t="s">
        <v>3442</v>
      </c>
      <c r="R363" s="852" t="s">
        <v>1701</v>
      </c>
      <c r="S363" s="849" t="s">
        <v>3351</v>
      </c>
      <c r="T363" s="853" t="s">
        <v>1925</v>
      </c>
      <c r="U363" s="853" t="s">
        <v>2019</v>
      </c>
      <c r="V363" s="853" t="s">
        <v>2024</v>
      </c>
      <c r="W363" s="850"/>
    </row>
    <row r="364" spans="1:23" x14ac:dyDescent="0.2">
      <c r="A364" s="849" t="s">
        <v>4170</v>
      </c>
      <c r="B364" s="850">
        <v>6</v>
      </c>
      <c r="C364" s="850">
        <v>9</v>
      </c>
      <c r="D364" s="850">
        <v>15</v>
      </c>
      <c r="E364" s="850">
        <v>2</v>
      </c>
      <c r="F364" s="850">
        <v>4</v>
      </c>
      <c r="G364" s="850">
        <v>7</v>
      </c>
      <c r="H364" s="850">
        <v>1</v>
      </c>
      <c r="I364" s="851" t="s">
        <v>3308</v>
      </c>
      <c r="J364" s="851" t="s">
        <v>1881</v>
      </c>
      <c r="K364" s="850" t="s">
        <v>1809</v>
      </c>
      <c r="L364" s="852" t="s">
        <v>1682</v>
      </c>
      <c r="M364" s="849" t="s">
        <v>3352</v>
      </c>
      <c r="N364" s="852" t="s">
        <v>1692</v>
      </c>
      <c r="O364" s="849" t="s">
        <v>3351</v>
      </c>
      <c r="P364" s="852" t="s">
        <v>1700</v>
      </c>
      <c r="Q364" s="849" t="s">
        <v>3442</v>
      </c>
      <c r="R364" s="852" t="s">
        <v>1701</v>
      </c>
      <c r="S364" s="849" t="s">
        <v>3351</v>
      </c>
      <c r="T364" s="853" t="s">
        <v>1925</v>
      </c>
      <c r="U364" s="853" t="s">
        <v>2019</v>
      </c>
      <c r="V364" s="853" t="s">
        <v>2024</v>
      </c>
      <c r="W364" s="850"/>
    </row>
    <row r="365" spans="1:23" x14ac:dyDescent="0.2">
      <c r="A365" s="849" t="s">
        <v>4171</v>
      </c>
      <c r="B365" s="850">
        <v>8</v>
      </c>
      <c r="C365" s="850">
        <v>11</v>
      </c>
      <c r="D365" s="850">
        <v>20</v>
      </c>
      <c r="E365" s="850">
        <v>3</v>
      </c>
      <c r="F365" s="850">
        <v>6</v>
      </c>
      <c r="G365" s="850">
        <v>11</v>
      </c>
      <c r="H365" s="850">
        <v>2</v>
      </c>
      <c r="I365" s="851" t="s">
        <v>3308</v>
      </c>
      <c r="J365" s="851" t="s">
        <v>1881</v>
      </c>
      <c r="K365" s="850" t="s">
        <v>1809</v>
      </c>
      <c r="L365" s="852" t="s">
        <v>1682</v>
      </c>
      <c r="M365" s="849" t="s">
        <v>3352</v>
      </c>
      <c r="N365" s="852" t="s">
        <v>1692</v>
      </c>
      <c r="O365" s="849" t="s">
        <v>3351</v>
      </c>
      <c r="P365" s="852" t="s">
        <v>1700</v>
      </c>
      <c r="Q365" s="849" t="s">
        <v>3442</v>
      </c>
      <c r="R365" s="852" t="s">
        <v>1701</v>
      </c>
      <c r="S365" s="849" t="s">
        <v>3351</v>
      </c>
      <c r="T365" s="853" t="s">
        <v>1925</v>
      </c>
      <c r="U365" s="853" t="s">
        <v>2019</v>
      </c>
      <c r="V365" s="853" t="s">
        <v>2024</v>
      </c>
      <c r="W365" s="850"/>
    </row>
    <row r="366" spans="1:23" x14ac:dyDescent="0.2">
      <c r="A366" s="849" t="s">
        <v>4172</v>
      </c>
      <c r="B366" s="850">
        <v>10</v>
      </c>
      <c r="C366" s="850">
        <v>13</v>
      </c>
      <c r="D366" s="850">
        <v>25</v>
      </c>
      <c r="E366" s="850">
        <v>3</v>
      </c>
      <c r="F366" s="850">
        <v>6</v>
      </c>
      <c r="G366" s="850">
        <v>11</v>
      </c>
      <c r="H366" s="850">
        <v>2</v>
      </c>
      <c r="I366" s="851" t="s">
        <v>3308</v>
      </c>
      <c r="J366" s="851" t="s">
        <v>1881</v>
      </c>
      <c r="K366" s="850" t="s">
        <v>1809</v>
      </c>
      <c r="L366" s="852" t="s">
        <v>1682</v>
      </c>
      <c r="M366" s="849" t="s">
        <v>3352</v>
      </c>
      <c r="N366" s="852" t="s">
        <v>1692</v>
      </c>
      <c r="O366" s="849" t="s">
        <v>3351</v>
      </c>
      <c r="P366" s="852" t="s">
        <v>1700</v>
      </c>
      <c r="Q366" s="849" t="s">
        <v>3442</v>
      </c>
      <c r="R366" s="852" t="s">
        <v>1701</v>
      </c>
      <c r="S366" s="849" t="s">
        <v>3351</v>
      </c>
      <c r="T366" s="853" t="s">
        <v>1925</v>
      </c>
      <c r="U366" s="853" t="s">
        <v>2019</v>
      </c>
      <c r="V366" s="853" t="s">
        <v>2024</v>
      </c>
      <c r="W366" s="850"/>
    </row>
    <row r="367" spans="1:23" x14ac:dyDescent="0.2">
      <c r="A367" s="849" t="s">
        <v>4173</v>
      </c>
      <c r="B367" s="850">
        <v>12</v>
      </c>
      <c r="C367" s="850">
        <v>15</v>
      </c>
      <c r="D367" s="850">
        <v>30</v>
      </c>
      <c r="E367" s="850">
        <v>4</v>
      </c>
      <c r="F367" s="850">
        <v>8</v>
      </c>
      <c r="G367" s="850">
        <v>14</v>
      </c>
      <c r="H367" s="850">
        <v>3</v>
      </c>
      <c r="I367" s="851" t="s">
        <v>3308</v>
      </c>
      <c r="J367" s="851" t="s">
        <v>1881</v>
      </c>
      <c r="K367" s="850" t="s">
        <v>1809</v>
      </c>
      <c r="L367" s="852" t="s">
        <v>1682</v>
      </c>
      <c r="M367" s="849" t="s">
        <v>3352</v>
      </c>
      <c r="N367" s="852" t="s">
        <v>1692</v>
      </c>
      <c r="O367" s="849" t="s">
        <v>3351</v>
      </c>
      <c r="P367" s="852" t="s">
        <v>1700</v>
      </c>
      <c r="Q367" s="849" t="s">
        <v>3442</v>
      </c>
      <c r="R367" s="852" t="s">
        <v>1701</v>
      </c>
      <c r="S367" s="849" t="s">
        <v>3351</v>
      </c>
      <c r="T367" s="853" t="s">
        <v>1925</v>
      </c>
      <c r="U367" s="853" t="s">
        <v>2019</v>
      </c>
      <c r="V367" s="853" t="s">
        <v>2024</v>
      </c>
      <c r="W367" s="850"/>
    </row>
    <row r="368" spans="1:23" x14ac:dyDescent="0.2">
      <c r="A368" s="849" t="s">
        <v>4174</v>
      </c>
      <c r="B368" s="850">
        <v>14</v>
      </c>
      <c r="C368" s="850">
        <v>18</v>
      </c>
      <c r="D368" s="850">
        <v>40</v>
      </c>
      <c r="E368" s="850">
        <v>5</v>
      </c>
      <c r="F368" s="850">
        <v>10</v>
      </c>
      <c r="G368" s="850">
        <v>18</v>
      </c>
      <c r="H368" s="850">
        <v>3</v>
      </c>
      <c r="I368" s="851" t="s">
        <v>3308</v>
      </c>
      <c r="J368" s="851" t="s">
        <v>1881</v>
      </c>
      <c r="K368" s="850" t="s">
        <v>1809</v>
      </c>
      <c r="L368" s="852" t="s">
        <v>1682</v>
      </c>
      <c r="M368" s="849" t="s">
        <v>3352</v>
      </c>
      <c r="N368" s="852" t="s">
        <v>1692</v>
      </c>
      <c r="O368" s="849" t="s">
        <v>3351</v>
      </c>
      <c r="P368" s="852" t="s">
        <v>1700</v>
      </c>
      <c r="Q368" s="849" t="s">
        <v>3442</v>
      </c>
      <c r="R368" s="852" t="s">
        <v>1701</v>
      </c>
      <c r="S368" s="849" t="s">
        <v>3351</v>
      </c>
      <c r="T368" s="853" t="s">
        <v>1925</v>
      </c>
      <c r="U368" s="853" t="s">
        <v>2019</v>
      </c>
      <c r="V368" s="853" t="s">
        <v>2024</v>
      </c>
      <c r="W368" s="850"/>
    </row>
    <row r="369" spans="1:23" x14ac:dyDescent="0.2">
      <c r="A369" s="855" t="s">
        <v>4175</v>
      </c>
      <c r="B369" s="856"/>
      <c r="C369" s="856"/>
      <c r="D369" s="856"/>
      <c r="E369" s="856"/>
      <c r="F369" s="856"/>
      <c r="G369" s="856"/>
      <c r="H369" s="856"/>
      <c r="I369" s="856"/>
      <c r="J369" s="856"/>
      <c r="K369" s="856"/>
      <c r="L369" s="857"/>
      <c r="M369" s="856"/>
      <c r="N369" s="856"/>
      <c r="O369" s="856"/>
      <c r="P369" s="856"/>
      <c r="Q369" s="856"/>
      <c r="R369" s="856"/>
      <c r="S369" s="856"/>
      <c r="T369" s="856"/>
      <c r="U369" s="856"/>
      <c r="V369" s="856"/>
      <c r="W369" s="850"/>
    </row>
    <row r="370" spans="1:23" x14ac:dyDescent="0.2">
      <c r="A370" s="849" t="s">
        <v>4176</v>
      </c>
      <c r="B370" s="850">
        <v>4</v>
      </c>
      <c r="C370" s="850">
        <v>4</v>
      </c>
      <c r="D370" s="850">
        <v>15</v>
      </c>
      <c r="E370" s="850">
        <v>2</v>
      </c>
      <c r="F370" s="850">
        <v>4</v>
      </c>
      <c r="G370" s="850">
        <v>7</v>
      </c>
      <c r="H370" s="850"/>
      <c r="I370" s="850"/>
      <c r="J370" s="850"/>
      <c r="K370" s="850"/>
      <c r="L370" s="859"/>
      <c r="M370" s="850"/>
      <c r="N370" s="850"/>
      <c r="O370" s="850"/>
      <c r="P370" s="850"/>
      <c r="Q370" s="850"/>
      <c r="R370" s="850"/>
      <c r="S370" s="850"/>
      <c r="T370" s="850"/>
      <c r="U370" s="850"/>
      <c r="V370" s="850"/>
      <c r="W370" s="850"/>
    </row>
    <row r="371" spans="1:23" x14ac:dyDescent="0.2">
      <c r="A371" s="875" t="s">
        <v>4177</v>
      </c>
      <c r="B371" s="876"/>
      <c r="C371" s="876"/>
      <c r="D371" s="876"/>
      <c r="E371" s="876"/>
      <c r="F371" s="876"/>
      <c r="G371" s="876"/>
      <c r="H371" s="876"/>
      <c r="I371" s="876"/>
      <c r="J371" s="876"/>
      <c r="K371" s="876"/>
      <c r="L371" s="877"/>
      <c r="M371" s="876"/>
      <c r="N371" s="876"/>
      <c r="O371" s="876"/>
      <c r="P371" s="876"/>
      <c r="Q371" s="876"/>
      <c r="R371" s="876"/>
      <c r="S371" s="876"/>
      <c r="T371" s="876"/>
      <c r="U371" s="876"/>
      <c r="V371" s="876"/>
      <c r="W371" s="850"/>
    </row>
    <row r="372" spans="1:23" x14ac:dyDescent="0.2">
      <c r="A372" s="849" t="s">
        <v>4178</v>
      </c>
      <c r="B372" s="850">
        <v>-1</v>
      </c>
      <c r="C372" s="850">
        <v>-1</v>
      </c>
      <c r="D372" s="850">
        <v>-5</v>
      </c>
      <c r="E372" s="850"/>
      <c r="F372" s="850"/>
      <c r="G372" s="850"/>
      <c r="H372" s="850"/>
      <c r="I372" s="850"/>
      <c r="J372" s="850"/>
      <c r="K372" s="850"/>
      <c r="L372" s="859"/>
      <c r="M372" s="850"/>
      <c r="N372" s="850"/>
      <c r="O372" s="850"/>
      <c r="P372" s="850"/>
      <c r="Q372" s="850"/>
      <c r="R372" s="850"/>
      <c r="S372" s="850"/>
      <c r="T372" s="850"/>
      <c r="U372" s="850"/>
      <c r="V372" s="850"/>
      <c r="W372" s="850"/>
    </row>
    <row r="373" spans="1:23" x14ac:dyDescent="0.2">
      <c r="A373" s="875" t="s">
        <v>4179</v>
      </c>
      <c r="B373" s="876"/>
      <c r="C373" s="876"/>
      <c r="D373" s="876"/>
      <c r="E373" s="876"/>
      <c r="F373" s="876"/>
      <c r="G373" s="876"/>
      <c r="H373" s="876"/>
      <c r="I373" s="876"/>
      <c r="J373" s="876"/>
      <c r="K373" s="876"/>
      <c r="L373" s="877"/>
      <c r="M373" s="876"/>
      <c r="N373" s="876"/>
      <c r="O373" s="876"/>
      <c r="P373" s="876"/>
      <c r="Q373" s="876"/>
      <c r="R373" s="876"/>
      <c r="S373" s="876"/>
      <c r="T373" s="876"/>
      <c r="U373" s="876"/>
      <c r="V373" s="876"/>
      <c r="W373" s="850"/>
    </row>
    <row r="374" spans="1:23" x14ac:dyDescent="0.2">
      <c r="A374" s="849" t="s">
        <v>3601</v>
      </c>
      <c r="B374" s="850">
        <v>-1</v>
      </c>
      <c r="C374" s="850">
        <v>-1</v>
      </c>
      <c r="D374" s="850">
        <v>-10</v>
      </c>
      <c r="E374" s="850"/>
      <c r="F374" s="850"/>
      <c r="G374" s="850"/>
      <c r="H374" s="850"/>
      <c r="I374" s="850"/>
      <c r="J374" s="850"/>
      <c r="K374" s="850"/>
      <c r="L374" s="859"/>
      <c r="M374" s="850"/>
      <c r="N374" s="850"/>
      <c r="O374" s="850"/>
      <c r="P374" s="850"/>
      <c r="Q374" s="850"/>
      <c r="R374" s="850"/>
      <c r="S374" s="850"/>
      <c r="T374" s="850"/>
      <c r="U374" s="850"/>
      <c r="V374" s="850"/>
      <c r="W374" s="850"/>
    </row>
    <row r="375" spans="1:23" x14ac:dyDescent="0.2">
      <c r="A375" s="684" t="s">
        <v>3490</v>
      </c>
      <c r="B375" s="873"/>
      <c r="C375" s="873"/>
      <c r="D375" s="873"/>
      <c r="E375" s="873"/>
      <c r="F375" s="873"/>
      <c r="G375" s="873"/>
      <c r="H375" s="873"/>
      <c r="I375" s="873"/>
      <c r="J375" s="873"/>
      <c r="K375" s="873"/>
      <c r="L375" s="874"/>
      <c r="M375" s="873"/>
      <c r="N375" s="873"/>
      <c r="O375" s="873"/>
      <c r="P375" s="873"/>
      <c r="Q375" s="873"/>
      <c r="R375" s="873"/>
      <c r="S375" s="873"/>
      <c r="T375" s="873"/>
      <c r="U375" s="873"/>
      <c r="V375" s="873"/>
      <c r="W375" s="850"/>
    </row>
    <row r="376" spans="1:23" x14ac:dyDescent="0.2">
      <c r="A376" s="691" t="s">
        <v>3495</v>
      </c>
      <c r="B376" s="869"/>
      <c r="C376" s="869"/>
      <c r="D376" s="869"/>
      <c r="E376" s="869"/>
      <c r="F376" s="869"/>
      <c r="G376" s="869"/>
      <c r="H376" s="869"/>
      <c r="I376" s="869"/>
      <c r="J376" s="869"/>
      <c r="K376" s="869"/>
      <c r="L376" s="870"/>
      <c r="M376" s="869"/>
      <c r="N376" s="869"/>
      <c r="O376" s="869"/>
      <c r="P376" s="869"/>
      <c r="Q376" s="869"/>
      <c r="R376" s="869"/>
      <c r="S376" s="869"/>
      <c r="T376" s="869"/>
      <c r="U376" s="869"/>
      <c r="V376" s="869"/>
      <c r="W376" s="850"/>
    </row>
    <row r="377" spans="1:23" x14ac:dyDescent="0.2">
      <c r="A377" s="849" t="s">
        <v>4180</v>
      </c>
      <c r="B377" s="850">
        <v>1</v>
      </c>
      <c r="C377" s="850">
        <v>2</v>
      </c>
      <c r="D377" s="850">
        <v>5</v>
      </c>
      <c r="E377" s="850">
        <v>1</v>
      </c>
      <c r="F377" s="850">
        <v>2</v>
      </c>
      <c r="G377" s="850">
        <v>4</v>
      </c>
      <c r="H377" s="850">
        <v>1</v>
      </c>
      <c r="I377" s="851" t="s">
        <v>3308</v>
      </c>
      <c r="J377" s="851" t="s">
        <v>4066</v>
      </c>
      <c r="K377" s="850" t="s">
        <v>1682</v>
      </c>
      <c r="L377" s="852" t="s">
        <v>1809</v>
      </c>
      <c r="M377" s="849" t="s">
        <v>3442</v>
      </c>
      <c r="N377" s="852" t="s">
        <v>1687</v>
      </c>
      <c r="O377" s="849" t="s">
        <v>3351</v>
      </c>
      <c r="P377" s="852" t="s">
        <v>1700</v>
      </c>
      <c r="Q377" s="849" t="s">
        <v>3352</v>
      </c>
      <c r="R377" s="852" t="s">
        <v>1701</v>
      </c>
      <c r="S377" s="849" t="s">
        <v>3352</v>
      </c>
      <c r="T377" s="853" t="s">
        <v>1922</v>
      </c>
      <c r="U377" s="853" t="s">
        <v>1929</v>
      </c>
      <c r="V377" s="853" t="s">
        <v>2019</v>
      </c>
      <c r="W377" s="850"/>
    </row>
    <row r="378" spans="1:23" x14ac:dyDescent="0.2">
      <c r="A378" s="849" t="s">
        <v>4181</v>
      </c>
      <c r="B378" s="850">
        <v>2</v>
      </c>
      <c r="C378" s="850">
        <v>4</v>
      </c>
      <c r="D378" s="850">
        <v>10</v>
      </c>
      <c r="E378" s="850">
        <v>2</v>
      </c>
      <c r="F378" s="850">
        <v>4</v>
      </c>
      <c r="G378" s="850">
        <v>7</v>
      </c>
      <c r="H378" s="850">
        <v>1</v>
      </c>
      <c r="I378" s="851" t="s">
        <v>3308</v>
      </c>
      <c r="J378" s="851" t="s">
        <v>4066</v>
      </c>
      <c r="K378" s="850" t="s">
        <v>1682</v>
      </c>
      <c r="L378" s="852" t="s">
        <v>1809</v>
      </c>
      <c r="M378" s="849" t="s">
        <v>3442</v>
      </c>
      <c r="N378" s="852" t="s">
        <v>1687</v>
      </c>
      <c r="O378" s="849" t="s">
        <v>3351</v>
      </c>
      <c r="P378" s="852" t="s">
        <v>1700</v>
      </c>
      <c r="Q378" s="849" t="s">
        <v>3352</v>
      </c>
      <c r="R378" s="852" t="s">
        <v>1701</v>
      </c>
      <c r="S378" s="849" t="s">
        <v>3352</v>
      </c>
      <c r="T378" s="853" t="s">
        <v>1922</v>
      </c>
      <c r="U378" s="853" t="s">
        <v>1929</v>
      </c>
      <c r="V378" s="853" t="s">
        <v>2019</v>
      </c>
      <c r="W378" s="850"/>
    </row>
    <row r="379" spans="1:23" x14ac:dyDescent="0.2">
      <c r="A379" s="849" t="s">
        <v>4182</v>
      </c>
      <c r="B379" s="850">
        <v>4</v>
      </c>
      <c r="C379" s="850">
        <v>6</v>
      </c>
      <c r="D379" s="850">
        <v>15</v>
      </c>
      <c r="E379" s="850">
        <v>3</v>
      </c>
      <c r="F379" s="850">
        <v>6</v>
      </c>
      <c r="G379" s="850">
        <v>11</v>
      </c>
      <c r="H379" s="850">
        <v>1</v>
      </c>
      <c r="I379" s="851" t="s">
        <v>3308</v>
      </c>
      <c r="J379" s="851" t="s">
        <v>4066</v>
      </c>
      <c r="K379" s="850" t="s">
        <v>1682</v>
      </c>
      <c r="L379" s="852" t="s">
        <v>1809</v>
      </c>
      <c r="M379" s="849" t="s">
        <v>3442</v>
      </c>
      <c r="N379" s="852" t="s">
        <v>1687</v>
      </c>
      <c r="O379" s="849" t="s">
        <v>3351</v>
      </c>
      <c r="P379" s="852" t="s">
        <v>1700</v>
      </c>
      <c r="Q379" s="849" t="s">
        <v>3352</v>
      </c>
      <c r="R379" s="852" t="s">
        <v>1701</v>
      </c>
      <c r="S379" s="849" t="s">
        <v>3352</v>
      </c>
      <c r="T379" s="853" t="s">
        <v>1922</v>
      </c>
      <c r="U379" s="853" t="s">
        <v>1929</v>
      </c>
      <c r="V379" s="853" t="s">
        <v>2019</v>
      </c>
      <c r="W379" s="850"/>
    </row>
    <row r="380" spans="1:23" x14ac:dyDescent="0.2">
      <c r="A380" s="849" t="s">
        <v>4183</v>
      </c>
      <c r="B380" s="850">
        <v>6</v>
      </c>
      <c r="C380" s="850">
        <v>9</v>
      </c>
      <c r="D380" s="850">
        <v>20</v>
      </c>
      <c r="E380" s="850">
        <v>4</v>
      </c>
      <c r="F380" s="850">
        <v>8</v>
      </c>
      <c r="G380" s="850">
        <v>14</v>
      </c>
      <c r="H380" s="850">
        <v>2</v>
      </c>
      <c r="I380" s="851" t="s">
        <v>3308</v>
      </c>
      <c r="J380" s="851" t="s">
        <v>4066</v>
      </c>
      <c r="K380" s="850" t="s">
        <v>1682</v>
      </c>
      <c r="L380" s="852" t="s">
        <v>1809</v>
      </c>
      <c r="M380" s="849" t="s">
        <v>3442</v>
      </c>
      <c r="N380" s="852" t="s">
        <v>1687</v>
      </c>
      <c r="O380" s="849" t="s">
        <v>3351</v>
      </c>
      <c r="P380" s="852" t="s">
        <v>1700</v>
      </c>
      <c r="Q380" s="849" t="s">
        <v>3352</v>
      </c>
      <c r="R380" s="852" t="s">
        <v>1701</v>
      </c>
      <c r="S380" s="849" t="s">
        <v>3352</v>
      </c>
      <c r="T380" s="853" t="s">
        <v>1922</v>
      </c>
      <c r="U380" s="853" t="s">
        <v>1929</v>
      </c>
      <c r="V380" s="853" t="s">
        <v>2019</v>
      </c>
      <c r="W380" s="850"/>
    </row>
    <row r="381" spans="1:23" x14ac:dyDescent="0.2">
      <c r="A381" s="849" t="s">
        <v>4184</v>
      </c>
      <c r="B381" s="850">
        <v>8</v>
      </c>
      <c r="C381" s="850">
        <v>11</v>
      </c>
      <c r="D381" s="850">
        <v>25</v>
      </c>
      <c r="E381" s="850">
        <v>5</v>
      </c>
      <c r="F381" s="850">
        <v>10</v>
      </c>
      <c r="G381" s="850">
        <v>18</v>
      </c>
      <c r="H381" s="850">
        <v>3</v>
      </c>
      <c r="I381" s="851" t="s">
        <v>3308</v>
      </c>
      <c r="J381" s="851" t="s">
        <v>4066</v>
      </c>
      <c r="K381" s="850" t="s">
        <v>1682</v>
      </c>
      <c r="L381" s="852" t="s">
        <v>1809</v>
      </c>
      <c r="M381" s="849" t="s">
        <v>3442</v>
      </c>
      <c r="N381" s="852" t="s">
        <v>1687</v>
      </c>
      <c r="O381" s="849" t="s">
        <v>3351</v>
      </c>
      <c r="P381" s="852" t="s">
        <v>1700</v>
      </c>
      <c r="Q381" s="849" t="s">
        <v>3352</v>
      </c>
      <c r="R381" s="852" t="s">
        <v>1701</v>
      </c>
      <c r="S381" s="849" t="s">
        <v>3352</v>
      </c>
      <c r="T381" s="853" t="s">
        <v>1922</v>
      </c>
      <c r="U381" s="853" t="s">
        <v>1929</v>
      </c>
      <c r="V381" s="853" t="s">
        <v>2019</v>
      </c>
      <c r="W381" s="850"/>
    </row>
    <row r="382" spans="1:23" x14ac:dyDescent="0.2">
      <c r="A382" s="691" t="s">
        <v>3498</v>
      </c>
      <c r="B382" s="869"/>
      <c r="C382" s="869"/>
      <c r="D382" s="869"/>
      <c r="E382" s="869"/>
      <c r="F382" s="869"/>
      <c r="G382" s="869"/>
      <c r="H382" s="869"/>
      <c r="I382" s="869"/>
      <c r="J382" s="869"/>
      <c r="K382" s="869"/>
      <c r="L382" s="870"/>
      <c r="M382" s="869"/>
      <c r="N382" s="869"/>
      <c r="O382" s="869"/>
      <c r="P382" s="869"/>
      <c r="Q382" s="869"/>
      <c r="R382" s="869"/>
      <c r="S382" s="869"/>
      <c r="T382" s="869"/>
      <c r="U382" s="869"/>
      <c r="V382" s="869"/>
      <c r="W382" s="850"/>
    </row>
    <row r="383" spans="1:23" x14ac:dyDescent="0.2">
      <c r="A383" s="849" t="s">
        <v>4185</v>
      </c>
      <c r="B383" s="850">
        <v>2</v>
      </c>
      <c r="C383" s="850">
        <v>4</v>
      </c>
      <c r="D383" s="850">
        <v>5</v>
      </c>
      <c r="E383" s="850">
        <v>1</v>
      </c>
      <c r="F383" s="850">
        <v>2</v>
      </c>
      <c r="G383" s="850">
        <v>4</v>
      </c>
      <c r="H383" s="850">
        <v>1</v>
      </c>
      <c r="I383" s="851" t="s">
        <v>3308</v>
      </c>
      <c r="J383" s="851" t="s">
        <v>4066</v>
      </c>
      <c r="K383" s="850" t="s">
        <v>1809</v>
      </c>
      <c r="L383" s="852" t="s">
        <v>1682</v>
      </c>
      <c r="M383" s="849" t="s">
        <v>3351</v>
      </c>
      <c r="N383" s="852" t="s">
        <v>1687</v>
      </c>
      <c r="O383" s="849" t="s">
        <v>3352</v>
      </c>
      <c r="P383" s="852" t="s">
        <v>1700</v>
      </c>
      <c r="Q383" s="849" t="s">
        <v>3351</v>
      </c>
      <c r="R383" s="852" t="s">
        <v>1701</v>
      </c>
      <c r="S383" s="849" t="s">
        <v>3442</v>
      </c>
      <c r="T383" s="853" t="s">
        <v>1922</v>
      </c>
      <c r="U383" s="853" t="s">
        <v>2024</v>
      </c>
      <c r="V383" s="853" t="s">
        <v>2019</v>
      </c>
      <c r="W383" s="850"/>
    </row>
    <row r="384" spans="1:23" x14ac:dyDescent="0.2">
      <c r="A384" s="849" t="s">
        <v>4186</v>
      </c>
      <c r="B384" s="850">
        <v>4</v>
      </c>
      <c r="C384" s="850">
        <v>6</v>
      </c>
      <c r="D384" s="850">
        <v>5</v>
      </c>
      <c r="E384" s="850">
        <v>2</v>
      </c>
      <c r="F384" s="850">
        <v>4</v>
      </c>
      <c r="G384" s="850">
        <v>7</v>
      </c>
      <c r="H384" s="850">
        <v>1</v>
      </c>
      <c r="I384" s="851" t="s">
        <v>3308</v>
      </c>
      <c r="J384" s="851" t="s">
        <v>4066</v>
      </c>
      <c r="K384" s="850" t="s">
        <v>1809</v>
      </c>
      <c r="L384" s="852" t="s">
        <v>1682</v>
      </c>
      <c r="M384" s="849" t="s">
        <v>3351</v>
      </c>
      <c r="N384" s="852" t="s">
        <v>1687</v>
      </c>
      <c r="O384" s="849" t="s">
        <v>3352</v>
      </c>
      <c r="P384" s="852" t="s">
        <v>1700</v>
      </c>
      <c r="Q384" s="849" t="s">
        <v>3351</v>
      </c>
      <c r="R384" s="852" t="s">
        <v>1701</v>
      </c>
      <c r="S384" s="849" t="s">
        <v>3442</v>
      </c>
      <c r="T384" s="853" t="s">
        <v>1922</v>
      </c>
      <c r="U384" s="853" t="s">
        <v>2024</v>
      </c>
      <c r="V384" s="853" t="s">
        <v>2019</v>
      </c>
      <c r="W384" s="850"/>
    </row>
    <row r="385" spans="1:23" x14ac:dyDescent="0.2">
      <c r="A385" s="849" t="s">
        <v>4187</v>
      </c>
      <c r="B385" s="850">
        <v>6</v>
      </c>
      <c r="C385" s="850">
        <v>9</v>
      </c>
      <c r="D385" s="850">
        <v>10</v>
      </c>
      <c r="E385" s="850">
        <v>3</v>
      </c>
      <c r="F385" s="850">
        <v>6</v>
      </c>
      <c r="G385" s="850">
        <v>11</v>
      </c>
      <c r="H385" s="850">
        <v>2</v>
      </c>
      <c r="I385" s="851" t="s">
        <v>3308</v>
      </c>
      <c r="J385" s="851" t="s">
        <v>4066</v>
      </c>
      <c r="K385" s="850" t="s">
        <v>1809</v>
      </c>
      <c r="L385" s="852" t="s">
        <v>1682</v>
      </c>
      <c r="M385" s="849" t="s">
        <v>3351</v>
      </c>
      <c r="N385" s="852" t="s">
        <v>1687</v>
      </c>
      <c r="O385" s="849" t="s">
        <v>3352</v>
      </c>
      <c r="P385" s="852" t="s">
        <v>1700</v>
      </c>
      <c r="Q385" s="849" t="s">
        <v>3351</v>
      </c>
      <c r="R385" s="852" t="s">
        <v>1701</v>
      </c>
      <c r="S385" s="849" t="s">
        <v>3442</v>
      </c>
      <c r="T385" s="853" t="s">
        <v>1922</v>
      </c>
      <c r="U385" s="853" t="s">
        <v>2024</v>
      </c>
      <c r="V385" s="853" t="s">
        <v>2019</v>
      </c>
      <c r="W385" s="850"/>
    </row>
    <row r="386" spans="1:23" x14ac:dyDescent="0.2">
      <c r="A386" s="849" t="s">
        <v>4188</v>
      </c>
      <c r="B386" s="850">
        <v>9</v>
      </c>
      <c r="C386" s="850">
        <v>12</v>
      </c>
      <c r="D386" s="850">
        <v>15</v>
      </c>
      <c r="E386" s="850">
        <v>4</v>
      </c>
      <c r="F386" s="850">
        <v>8</v>
      </c>
      <c r="G386" s="850">
        <v>14</v>
      </c>
      <c r="H386" s="850">
        <v>2</v>
      </c>
      <c r="I386" s="851" t="s">
        <v>3308</v>
      </c>
      <c r="J386" s="851" t="s">
        <v>4066</v>
      </c>
      <c r="K386" s="850" t="s">
        <v>1809</v>
      </c>
      <c r="L386" s="852" t="s">
        <v>1682</v>
      </c>
      <c r="M386" s="849" t="s">
        <v>3351</v>
      </c>
      <c r="N386" s="852" t="s">
        <v>1687</v>
      </c>
      <c r="O386" s="849" t="s">
        <v>3352</v>
      </c>
      <c r="P386" s="852" t="s">
        <v>1700</v>
      </c>
      <c r="Q386" s="849" t="s">
        <v>3351</v>
      </c>
      <c r="R386" s="852" t="s">
        <v>1701</v>
      </c>
      <c r="S386" s="849" t="s">
        <v>3442</v>
      </c>
      <c r="T386" s="853" t="s">
        <v>1922</v>
      </c>
      <c r="U386" s="853" t="s">
        <v>2024</v>
      </c>
      <c r="V386" s="853" t="s">
        <v>2019</v>
      </c>
      <c r="W386" s="850"/>
    </row>
    <row r="387" spans="1:23" x14ac:dyDescent="0.2">
      <c r="A387" s="849" t="s">
        <v>4189</v>
      </c>
      <c r="B387" s="850">
        <v>12</v>
      </c>
      <c r="C387" s="850">
        <v>15</v>
      </c>
      <c r="D387" s="850">
        <v>20</v>
      </c>
      <c r="E387" s="850">
        <v>5</v>
      </c>
      <c r="F387" s="850">
        <v>10</v>
      </c>
      <c r="G387" s="850">
        <v>18</v>
      </c>
      <c r="H387" s="850">
        <v>3</v>
      </c>
      <c r="I387" s="851" t="s">
        <v>3308</v>
      </c>
      <c r="J387" s="851" t="s">
        <v>4066</v>
      </c>
      <c r="K387" s="850" t="s">
        <v>1809</v>
      </c>
      <c r="L387" s="852" t="s">
        <v>1682</v>
      </c>
      <c r="M387" s="849" t="s">
        <v>3351</v>
      </c>
      <c r="N387" s="852" t="s">
        <v>1687</v>
      </c>
      <c r="O387" s="849" t="s">
        <v>3352</v>
      </c>
      <c r="P387" s="852" t="s">
        <v>1700</v>
      </c>
      <c r="Q387" s="849" t="s">
        <v>3351</v>
      </c>
      <c r="R387" s="852" t="s">
        <v>1701</v>
      </c>
      <c r="S387" s="849" t="s">
        <v>3442</v>
      </c>
      <c r="T387" s="853" t="s">
        <v>1922</v>
      </c>
      <c r="U387" s="853" t="s">
        <v>2024</v>
      </c>
      <c r="V387" s="853" t="s">
        <v>2019</v>
      </c>
      <c r="W387" s="850"/>
    </row>
    <row r="388" spans="1:23" x14ac:dyDescent="0.2">
      <c r="A388" s="849" t="s">
        <v>4190</v>
      </c>
      <c r="B388" s="850">
        <v>15</v>
      </c>
      <c r="C388" s="850">
        <v>19</v>
      </c>
      <c r="D388" s="850">
        <v>25</v>
      </c>
      <c r="E388" s="850">
        <v>6</v>
      </c>
      <c r="F388" s="850">
        <v>12</v>
      </c>
      <c r="G388" s="850">
        <v>21</v>
      </c>
      <c r="H388" s="850">
        <v>3</v>
      </c>
      <c r="I388" s="851" t="s">
        <v>3308</v>
      </c>
      <c r="J388" s="851" t="s">
        <v>4066</v>
      </c>
      <c r="K388" s="850" t="s">
        <v>1809</v>
      </c>
      <c r="L388" s="852" t="s">
        <v>1682</v>
      </c>
      <c r="M388" s="849" t="s">
        <v>3351</v>
      </c>
      <c r="N388" s="852" t="s">
        <v>1687</v>
      </c>
      <c r="O388" s="849" t="s">
        <v>3352</v>
      </c>
      <c r="P388" s="852" t="s">
        <v>1700</v>
      </c>
      <c r="Q388" s="849" t="s">
        <v>3351</v>
      </c>
      <c r="R388" s="852" t="s">
        <v>1701</v>
      </c>
      <c r="S388" s="849" t="s">
        <v>3442</v>
      </c>
      <c r="T388" s="853" t="s">
        <v>1922</v>
      </c>
      <c r="U388" s="853" t="s">
        <v>2024</v>
      </c>
      <c r="V388" s="853" t="s">
        <v>2019</v>
      </c>
      <c r="W388" s="850"/>
    </row>
    <row r="389" spans="1:23" x14ac:dyDescent="0.2">
      <c r="A389" s="691" t="s">
        <v>3503</v>
      </c>
      <c r="B389" s="869"/>
      <c r="C389" s="869"/>
      <c r="D389" s="869"/>
      <c r="E389" s="869"/>
      <c r="F389" s="869"/>
      <c r="G389" s="869"/>
      <c r="H389" s="869"/>
      <c r="I389" s="869"/>
      <c r="J389" s="869"/>
      <c r="K389" s="869"/>
      <c r="L389" s="870"/>
      <c r="M389" s="869"/>
      <c r="N389" s="869"/>
      <c r="O389" s="869"/>
      <c r="P389" s="869"/>
      <c r="Q389" s="869"/>
      <c r="R389" s="869"/>
      <c r="S389" s="869"/>
      <c r="T389" s="869"/>
      <c r="U389" s="869"/>
      <c r="V389" s="869"/>
      <c r="W389" s="851" t="s">
        <v>4191</v>
      </c>
    </row>
    <row r="390" spans="1:23" x14ac:dyDescent="0.2">
      <c r="A390" s="849" t="s">
        <v>4192</v>
      </c>
      <c r="B390" s="850">
        <v>1</v>
      </c>
      <c r="C390" s="850">
        <v>2</v>
      </c>
      <c r="D390" s="850">
        <v>5</v>
      </c>
      <c r="E390" s="850">
        <v>1</v>
      </c>
      <c r="F390" s="850">
        <v>2</v>
      </c>
      <c r="G390" s="850">
        <v>4</v>
      </c>
      <c r="H390" s="850">
        <v>1</v>
      </c>
      <c r="I390" s="851" t="s">
        <v>3303</v>
      </c>
      <c r="J390" s="851" t="s">
        <v>4066</v>
      </c>
      <c r="K390" s="850" t="s">
        <v>1682</v>
      </c>
      <c r="L390" s="852" t="s">
        <v>1809</v>
      </c>
      <c r="M390" s="849" t="s">
        <v>3442</v>
      </c>
      <c r="N390" s="852" t="s">
        <v>1700</v>
      </c>
      <c r="O390" s="849" t="s">
        <v>3442</v>
      </c>
      <c r="P390" s="852" t="s">
        <v>1701</v>
      </c>
      <c r="Q390" s="849" t="s">
        <v>3351</v>
      </c>
      <c r="R390" s="850"/>
      <c r="S390" s="850"/>
      <c r="T390" s="853" t="s">
        <v>1925</v>
      </c>
      <c r="U390" s="853" t="s">
        <v>1929</v>
      </c>
      <c r="V390" s="853" t="s">
        <v>2020</v>
      </c>
      <c r="W390" s="851"/>
    </row>
    <row r="391" spans="1:23" x14ac:dyDescent="0.2">
      <c r="A391" s="849" t="s">
        <v>4193</v>
      </c>
      <c r="B391" s="850">
        <v>2</v>
      </c>
      <c r="C391" s="850">
        <v>4</v>
      </c>
      <c r="D391" s="850">
        <v>5</v>
      </c>
      <c r="E391" s="850">
        <v>2</v>
      </c>
      <c r="F391" s="850">
        <v>4</v>
      </c>
      <c r="G391" s="850">
        <v>7</v>
      </c>
      <c r="H391" s="850">
        <v>1</v>
      </c>
      <c r="I391" s="851" t="s">
        <v>3303</v>
      </c>
      <c r="J391" s="851" t="s">
        <v>4066</v>
      </c>
      <c r="K391" s="850" t="s">
        <v>1682</v>
      </c>
      <c r="L391" s="852" t="s">
        <v>1809</v>
      </c>
      <c r="M391" s="849" t="s">
        <v>3442</v>
      </c>
      <c r="N391" s="852" t="s">
        <v>1700</v>
      </c>
      <c r="O391" s="849" t="s">
        <v>3442</v>
      </c>
      <c r="P391" s="852" t="s">
        <v>1701</v>
      </c>
      <c r="Q391" s="849" t="s">
        <v>3351</v>
      </c>
      <c r="R391" s="850"/>
      <c r="S391" s="850"/>
      <c r="T391" s="853" t="s">
        <v>1925</v>
      </c>
      <c r="U391" s="853" t="s">
        <v>1929</v>
      </c>
      <c r="V391" s="853" t="s">
        <v>2020</v>
      </c>
      <c r="W391" s="851"/>
    </row>
    <row r="392" spans="1:23" x14ac:dyDescent="0.2">
      <c r="A392" s="849" t="s">
        <v>4194</v>
      </c>
      <c r="B392" s="850">
        <v>4</v>
      </c>
      <c r="C392" s="850">
        <v>6</v>
      </c>
      <c r="D392" s="850">
        <v>5</v>
      </c>
      <c r="E392" s="850">
        <v>3</v>
      </c>
      <c r="F392" s="850">
        <v>6</v>
      </c>
      <c r="G392" s="850">
        <v>11</v>
      </c>
      <c r="H392" s="850">
        <v>1</v>
      </c>
      <c r="I392" s="851" t="s">
        <v>3303</v>
      </c>
      <c r="J392" s="851" t="s">
        <v>4066</v>
      </c>
      <c r="K392" s="850" t="s">
        <v>1682</v>
      </c>
      <c r="L392" s="852" t="s">
        <v>1809</v>
      </c>
      <c r="M392" s="849" t="s">
        <v>3442</v>
      </c>
      <c r="N392" s="852" t="s">
        <v>1700</v>
      </c>
      <c r="O392" s="849" t="s">
        <v>3442</v>
      </c>
      <c r="P392" s="852" t="s">
        <v>1701</v>
      </c>
      <c r="Q392" s="849" t="s">
        <v>3351</v>
      </c>
      <c r="R392" s="850"/>
      <c r="S392" s="850"/>
      <c r="T392" s="853" t="s">
        <v>1925</v>
      </c>
      <c r="U392" s="853" t="s">
        <v>1929</v>
      </c>
      <c r="V392" s="853" t="s">
        <v>2020</v>
      </c>
      <c r="W392" s="851"/>
    </row>
    <row r="393" spans="1:23" x14ac:dyDescent="0.2">
      <c r="A393" s="849" t="s">
        <v>4195</v>
      </c>
      <c r="B393" s="850">
        <v>6</v>
      </c>
      <c r="C393" s="850">
        <v>9</v>
      </c>
      <c r="D393" s="850">
        <v>10</v>
      </c>
      <c r="E393" s="850">
        <v>4</v>
      </c>
      <c r="F393" s="850">
        <v>8</v>
      </c>
      <c r="G393" s="850">
        <v>14</v>
      </c>
      <c r="H393" s="850">
        <v>1</v>
      </c>
      <c r="I393" s="851" t="s">
        <v>3303</v>
      </c>
      <c r="J393" s="851" t="s">
        <v>4066</v>
      </c>
      <c r="K393" s="850" t="s">
        <v>1682</v>
      </c>
      <c r="L393" s="852" t="s">
        <v>1809</v>
      </c>
      <c r="M393" s="849" t="s">
        <v>3442</v>
      </c>
      <c r="N393" s="852" t="s">
        <v>1700</v>
      </c>
      <c r="O393" s="849" t="s">
        <v>3442</v>
      </c>
      <c r="P393" s="852" t="s">
        <v>1701</v>
      </c>
      <c r="Q393" s="849" t="s">
        <v>3351</v>
      </c>
      <c r="R393" s="850"/>
      <c r="S393" s="850"/>
      <c r="T393" s="853" t="s">
        <v>1925</v>
      </c>
      <c r="U393" s="853" t="s">
        <v>1929</v>
      </c>
      <c r="V393" s="853" t="s">
        <v>2020</v>
      </c>
      <c r="W393" s="851"/>
    </row>
    <row r="394" spans="1:23" x14ac:dyDescent="0.2">
      <c r="A394" s="849" t="s">
        <v>4196</v>
      </c>
      <c r="B394" s="850">
        <v>8</v>
      </c>
      <c r="C394" s="850">
        <v>11</v>
      </c>
      <c r="D394" s="850">
        <v>15</v>
      </c>
      <c r="E394" s="850">
        <v>5</v>
      </c>
      <c r="F394" s="850">
        <v>10</v>
      </c>
      <c r="G394" s="850">
        <v>18</v>
      </c>
      <c r="H394" s="850">
        <v>2</v>
      </c>
      <c r="I394" s="851" t="s">
        <v>3303</v>
      </c>
      <c r="J394" s="851" t="s">
        <v>4066</v>
      </c>
      <c r="K394" s="850" t="s">
        <v>1682</v>
      </c>
      <c r="L394" s="852" t="s">
        <v>1809</v>
      </c>
      <c r="M394" s="849" t="s">
        <v>3442</v>
      </c>
      <c r="N394" s="852" t="s">
        <v>1700</v>
      </c>
      <c r="O394" s="849" t="s">
        <v>3442</v>
      </c>
      <c r="P394" s="852" t="s">
        <v>1701</v>
      </c>
      <c r="Q394" s="849" t="s">
        <v>3351</v>
      </c>
      <c r="R394" s="850"/>
      <c r="S394" s="850"/>
      <c r="T394" s="853" t="s">
        <v>1925</v>
      </c>
      <c r="U394" s="853" t="s">
        <v>1929</v>
      </c>
      <c r="V394" s="853" t="s">
        <v>2020</v>
      </c>
      <c r="W394" s="851"/>
    </row>
    <row r="395" spans="1:23" x14ac:dyDescent="0.2">
      <c r="A395" s="849" t="s">
        <v>4197</v>
      </c>
      <c r="B395" s="850">
        <v>10</v>
      </c>
      <c r="C395" s="850">
        <v>13</v>
      </c>
      <c r="D395" s="850">
        <v>20</v>
      </c>
      <c r="E395" s="850">
        <v>6</v>
      </c>
      <c r="F395" s="850">
        <v>12</v>
      </c>
      <c r="G395" s="850">
        <v>21</v>
      </c>
      <c r="H395" s="850">
        <v>2</v>
      </c>
      <c r="I395" s="851" t="s">
        <v>3303</v>
      </c>
      <c r="J395" s="851" t="s">
        <v>4066</v>
      </c>
      <c r="K395" s="850" t="s">
        <v>1682</v>
      </c>
      <c r="L395" s="852" t="s">
        <v>1809</v>
      </c>
      <c r="M395" s="849" t="s">
        <v>3442</v>
      </c>
      <c r="N395" s="852" t="s">
        <v>1700</v>
      </c>
      <c r="O395" s="849" t="s">
        <v>3442</v>
      </c>
      <c r="P395" s="852" t="s">
        <v>1701</v>
      </c>
      <c r="Q395" s="849" t="s">
        <v>3351</v>
      </c>
      <c r="R395" s="850"/>
      <c r="S395" s="850"/>
      <c r="T395" s="853" t="s">
        <v>1925</v>
      </c>
      <c r="U395" s="853" t="s">
        <v>1929</v>
      </c>
      <c r="V395" s="853" t="s">
        <v>2020</v>
      </c>
      <c r="W395" s="851"/>
    </row>
    <row r="396" spans="1:23" x14ac:dyDescent="0.2">
      <c r="A396" s="849" t="s">
        <v>4198</v>
      </c>
      <c r="B396" s="850">
        <v>12</v>
      </c>
      <c r="C396" s="850">
        <v>15</v>
      </c>
      <c r="D396" s="850">
        <v>25</v>
      </c>
      <c r="E396" s="850">
        <v>7</v>
      </c>
      <c r="F396" s="850">
        <v>14</v>
      </c>
      <c r="G396" s="850">
        <v>25</v>
      </c>
      <c r="H396" s="850">
        <v>3</v>
      </c>
      <c r="I396" s="851" t="s">
        <v>3303</v>
      </c>
      <c r="J396" s="851" t="s">
        <v>4066</v>
      </c>
      <c r="K396" s="850" t="s">
        <v>1682</v>
      </c>
      <c r="L396" s="852" t="s">
        <v>1809</v>
      </c>
      <c r="M396" s="849" t="s">
        <v>3442</v>
      </c>
      <c r="N396" s="852" t="s">
        <v>1700</v>
      </c>
      <c r="O396" s="849" t="s">
        <v>3442</v>
      </c>
      <c r="P396" s="852" t="s">
        <v>1701</v>
      </c>
      <c r="Q396" s="849" t="s">
        <v>3351</v>
      </c>
      <c r="R396" s="850"/>
      <c r="S396" s="850"/>
      <c r="T396" s="853" t="s">
        <v>1925</v>
      </c>
      <c r="U396" s="853" t="s">
        <v>1929</v>
      </c>
      <c r="V396" s="853" t="s">
        <v>2020</v>
      </c>
      <c r="W396" s="851"/>
    </row>
    <row r="397" spans="1:23" x14ac:dyDescent="0.2">
      <c r="A397" s="849" t="s">
        <v>4199</v>
      </c>
      <c r="B397" s="850">
        <v>14</v>
      </c>
      <c r="C397" s="850">
        <v>18</v>
      </c>
      <c r="D397" s="850">
        <v>30</v>
      </c>
      <c r="E397" s="850">
        <v>8</v>
      </c>
      <c r="F397" s="850">
        <v>16</v>
      </c>
      <c r="G397" s="850">
        <v>28</v>
      </c>
      <c r="H397" s="850">
        <v>3</v>
      </c>
      <c r="I397" s="851" t="s">
        <v>3303</v>
      </c>
      <c r="J397" s="851" t="s">
        <v>4066</v>
      </c>
      <c r="K397" s="850" t="s">
        <v>1682</v>
      </c>
      <c r="L397" s="852" t="s">
        <v>1809</v>
      </c>
      <c r="M397" s="849" t="s">
        <v>3442</v>
      </c>
      <c r="N397" s="852" t="s">
        <v>1700</v>
      </c>
      <c r="O397" s="849" t="s">
        <v>3442</v>
      </c>
      <c r="P397" s="852" t="s">
        <v>1701</v>
      </c>
      <c r="Q397" s="849" t="s">
        <v>3351</v>
      </c>
      <c r="R397" s="850"/>
      <c r="S397" s="850"/>
      <c r="T397" s="853" t="s">
        <v>1925</v>
      </c>
      <c r="U397" s="853" t="s">
        <v>1929</v>
      </c>
      <c r="V397" s="853" t="s">
        <v>2020</v>
      </c>
      <c r="W397" s="851"/>
    </row>
    <row r="398" spans="1:23" x14ac:dyDescent="0.2">
      <c r="A398" s="691" t="s">
        <v>3508</v>
      </c>
      <c r="B398" s="869"/>
      <c r="C398" s="869"/>
      <c r="D398" s="869"/>
      <c r="E398" s="869"/>
      <c r="F398" s="869"/>
      <c r="G398" s="869"/>
      <c r="H398" s="869"/>
      <c r="I398" s="869"/>
      <c r="J398" s="869"/>
      <c r="K398" s="869"/>
      <c r="L398" s="870"/>
      <c r="M398" s="869"/>
      <c r="N398" s="869"/>
      <c r="O398" s="869"/>
      <c r="P398" s="869"/>
      <c r="Q398" s="869"/>
      <c r="R398" s="869"/>
      <c r="S398" s="869"/>
      <c r="T398" s="869"/>
      <c r="U398" s="869"/>
      <c r="V398" s="869"/>
      <c r="W398" s="851" t="s">
        <v>4191</v>
      </c>
    </row>
    <row r="399" spans="1:23" x14ac:dyDescent="0.2">
      <c r="A399" s="849" t="s">
        <v>4200</v>
      </c>
      <c r="B399" s="850">
        <v>1</v>
      </c>
      <c r="C399" s="850">
        <v>2</v>
      </c>
      <c r="D399" s="850">
        <v>5</v>
      </c>
      <c r="E399" s="850">
        <v>1</v>
      </c>
      <c r="F399" s="850">
        <v>2</v>
      </c>
      <c r="G399" s="850">
        <v>4</v>
      </c>
      <c r="H399" s="850">
        <v>1</v>
      </c>
      <c r="I399" s="851" t="s">
        <v>3303</v>
      </c>
      <c r="J399" s="851" t="s">
        <v>4066</v>
      </c>
      <c r="K399" s="850" t="s">
        <v>1692</v>
      </c>
      <c r="L399" s="852" t="s">
        <v>1809</v>
      </c>
      <c r="M399" s="849" t="s">
        <v>3442</v>
      </c>
      <c r="N399" s="852" t="s">
        <v>1700</v>
      </c>
      <c r="O399" s="849" t="s">
        <v>3442</v>
      </c>
      <c r="P399" s="852" t="s">
        <v>1701</v>
      </c>
      <c r="Q399" s="849" t="s">
        <v>3351</v>
      </c>
      <c r="R399" s="850"/>
      <c r="S399" s="850"/>
      <c r="T399" s="853" t="s">
        <v>1925</v>
      </c>
      <c r="U399" s="853" t="s">
        <v>1929</v>
      </c>
      <c r="V399" s="853" t="s">
        <v>2020</v>
      </c>
      <c r="W399" s="851"/>
    </row>
    <row r="400" spans="1:23" x14ac:dyDescent="0.2">
      <c r="A400" s="849" t="s">
        <v>4201</v>
      </c>
      <c r="B400" s="850">
        <v>2</v>
      </c>
      <c r="C400" s="850">
        <v>4</v>
      </c>
      <c r="D400" s="850">
        <v>5</v>
      </c>
      <c r="E400" s="850">
        <v>2</v>
      </c>
      <c r="F400" s="850">
        <v>4</v>
      </c>
      <c r="G400" s="850">
        <v>7</v>
      </c>
      <c r="H400" s="850">
        <v>1</v>
      </c>
      <c r="I400" s="851" t="s">
        <v>3303</v>
      </c>
      <c r="J400" s="851" t="s">
        <v>4066</v>
      </c>
      <c r="K400" s="850" t="s">
        <v>1692</v>
      </c>
      <c r="L400" s="852" t="s">
        <v>1809</v>
      </c>
      <c r="M400" s="849" t="s">
        <v>3442</v>
      </c>
      <c r="N400" s="852" t="s">
        <v>1700</v>
      </c>
      <c r="O400" s="849" t="s">
        <v>3442</v>
      </c>
      <c r="P400" s="852" t="s">
        <v>1701</v>
      </c>
      <c r="Q400" s="849" t="s">
        <v>3351</v>
      </c>
      <c r="R400" s="850"/>
      <c r="S400" s="850"/>
      <c r="T400" s="853" t="s">
        <v>1925</v>
      </c>
      <c r="U400" s="853" t="s">
        <v>1929</v>
      </c>
      <c r="V400" s="853" t="s">
        <v>2020</v>
      </c>
      <c r="W400" s="851"/>
    </row>
    <row r="401" spans="1:23" x14ac:dyDescent="0.2">
      <c r="A401" s="849" t="s">
        <v>4202</v>
      </c>
      <c r="B401" s="850">
        <v>4</v>
      </c>
      <c r="C401" s="850">
        <v>6</v>
      </c>
      <c r="D401" s="850">
        <v>5</v>
      </c>
      <c r="E401" s="850">
        <v>3</v>
      </c>
      <c r="F401" s="850">
        <v>6</v>
      </c>
      <c r="G401" s="850">
        <v>11</v>
      </c>
      <c r="H401" s="850">
        <v>1</v>
      </c>
      <c r="I401" s="851" t="s">
        <v>3303</v>
      </c>
      <c r="J401" s="851" t="s">
        <v>4066</v>
      </c>
      <c r="K401" s="850" t="s">
        <v>1692</v>
      </c>
      <c r="L401" s="852" t="s">
        <v>1809</v>
      </c>
      <c r="M401" s="849" t="s">
        <v>3442</v>
      </c>
      <c r="N401" s="852" t="s">
        <v>1700</v>
      </c>
      <c r="O401" s="849" t="s">
        <v>3442</v>
      </c>
      <c r="P401" s="852" t="s">
        <v>1701</v>
      </c>
      <c r="Q401" s="849" t="s">
        <v>3351</v>
      </c>
      <c r="R401" s="850"/>
      <c r="S401" s="850"/>
      <c r="T401" s="853" t="s">
        <v>1925</v>
      </c>
      <c r="U401" s="853" t="s">
        <v>1929</v>
      </c>
      <c r="V401" s="853" t="s">
        <v>2020</v>
      </c>
      <c r="W401" s="851"/>
    </row>
    <row r="402" spans="1:23" x14ac:dyDescent="0.2">
      <c r="A402" s="849" t="s">
        <v>4203</v>
      </c>
      <c r="B402" s="850">
        <v>6</v>
      </c>
      <c r="C402" s="850">
        <v>9</v>
      </c>
      <c r="D402" s="850">
        <v>10</v>
      </c>
      <c r="E402" s="850">
        <v>4</v>
      </c>
      <c r="F402" s="850">
        <v>8</v>
      </c>
      <c r="G402" s="850">
        <v>14</v>
      </c>
      <c r="H402" s="850">
        <v>1</v>
      </c>
      <c r="I402" s="851" t="s">
        <v>3303</v>
      </c>
      <c r="J402" s="851" t="s">
        <v>4066</v>
      </c>
      <c r="K402" s="850" t="s">
        <v>1692</v>
      </c>
      <c r="L402" s="852" t="s">
        <v>1809</v>
      </c>
      <c r="M402" s="849" t="s">
        <v>3442</v>
      </c>
      <c r="N402" s="852" t="s">
        <v>1700</v>
      </c>
      <c r="O402" s="849" t="s">
        <v>3442</v>
      </c>
      <c r="P402" s="852" t="s">
        <v>1701</v>
      </c>
      <c r="Q402" s="849" t="s">
        <v>3351</v>
      </c>
      <c r="R402" s="850"/>
      <c r="S402" s="850"/>
      <c r="T402" s="853" t="s">
        <v>1925</v>
      </c>
      <c r="U402" s="853" t="s">
        <v>1929</v>
      </c>
      <c r="V402" s="853" t="s">
        <v>2020</v>
      </c>
      <c r="W402" s="851"/>
    </row>
    <row r="403" spans="1:23" x14ac:dyDescent="0.2">
      <c r="A403" s="849" t="s">
        <v>4204</v>
      </c>
      <c r="B403" s="850">
        <v>8</v>
      </c>
      <c r="C403" s="850">
        <v>11</v>
      </c>
      <c r="D403" s="850">
        <v>15</v>
      </c>
      <c r="E403" s="850">
        <v>5</v>
      </c>
      <c r="F403" s="850">
        <v>10</v>
      </c>
      <c r="G403" s="850">
        <v>18</v>
      </c>
      <c r="H403" s="850">
        <v>2</v>
      </c>
      <c r="I403" s="851" t="s">
        <v>3303</v>
      </c>
      <c r="J403" s="851" t="s">
        <v>4066</v>
      </c>
      <c r="K403" s="850" t="s">
        <v>1692</v>
      </c>
      <c r="L403" s="852" t="s">
        <v>1809</v>
      </c>
      <c r="M403" s="849" t="s">
        <v>3442</v>
      </c>
      <c r="N403" s="852" t="s">
        <v>1700</v>
      </c>
      <c r="O403" s="849" t="s">
        <v>3442</v>
      </c>
      <c r="P403" s="852" t="s">
        <v>1701</v>
      </c>
      <c r="Q403" s="849" t="s">
        <v>3351</v>
      </c>
      <c r="R403" s="850"/>
      <c r="S403" s="850"/>
      <c r="T403" s="853" t="s">
        <v>1925</v>
      </c>
      <c r="U403" s="853" t="s">
        <v>1929</v>
      </c>
      <c r="V403" s="853" t="s">
        <v>2020</v>
      </c>
      <c r="W403" s="851"/>
    </row>
    <row r="404" spans="1:23" x14ac:dyDescent="0.2">
      <c r="A404" s="849" t="s">
        <v>4205</v>
      </c>
      <c r="B404" s="850">
        <v>10</v>
      </c>
      <c r="C404" s="850">
        <v>13</v>
      </c>
      <c r="D404" s="850">
        <v>20</v>
      </c>
      <c r="E404" s="850">
        <v>6</v>
      </c>
      <c r="F404" s="850">
        <v>12</v>
      </c>
      <c r="G404" s="850">
        <v>21</v>
      </c>
      <c r="H404" s="850">
        <v>2</v>
      </c>
      <c r="I404" s="851" t="s">
        <v>3303</v>
      </c>
      <c r="J404" s="851" t="s">
        <v>4066</v>
      </c>
      <c r="K404" s="850" t="s">
        <v>1692</v>
      </c>
      <c r="L404" s="852" t="s">
        <v>1809</v>
      </c>
      <c r="M404" s="849" t="s">
        <v>3442</v>
      </c>
      <c r="N404" s="852" t="s">
        <v>1700</v>
      </c>
      <c r="O404" s="849" t="s">
        <v>3442</v>
      </c>
      <c r="P404" s="852" t="s">
        <v>1701</v>
      </c>
      <c r="Q404" s="849" t="s">
        <v>3351</v>
      </c>
      <c r="R404" s="850"/>
      <c r="S404" s="850"/>
      <c r="T404" s="853" t="s">
        <v>1925</v>
      </c>
      <c r="U404" s="853" t="s">
        <v>1929</v>
      </c>
      <c r="V404" s="853" t="s">
        <v>2020</v>
      </c>
      <c r="W404" s="851"/>
    </row>
    <row r="405" spans="1:23" x14ac:dyDescent="0.2">
      <c r="A405" s="849" t="s">
        <v>4206</v>
      </c>
      <c r="B405" s="850">
        <v>12</v>
      </c>
      <c r="C405" s="850">
        <v>15</v>
      </c>
      <c r="D405" s="850">
        <v>25</v>
      </c>
      <c r="E405" s="850">
        <v>7</v>
      </c>
      <c r="F405" s="850">
        <v>14</v>
      </c>
      <c r="G405" s="850">
        <v>25</v>
      </c>
      <c r="H405" s="850">
        <v>3</v>
      </c>
      <c r="I405" s="851" t="s">
        <v>3303</v>
      </c>
      <c r="J405" s="851" t="s">
        <v>4066</v>
      </c>
      <c r="K405" s="850" t="s">
        <v>1692</v>
      </c>
      <c r="L405" s="852" t="s">
        <v>1809</v>
      </c>
      <c r="M405" s="849" t="s">
        <v>3442</v>
      </c>
      <c r="N405" s="852" t="s">
        <v>1700</v>
      </c>
      <c r="O405" s="849" t="s">
        <v>3442</v>
      </c>
      <c r="P405" s="852" t="s">
        <v>1701</v>
      </c>
      <c r="Q405" s="849" t="s">
        <v>3351</v>
      </c>
      <c r="R405" s="850"/>
      <c r="S405" s="850"/>
      <c r="T405" s="853" t="s">
        <v>1925</v>
      </c>
      <c r="U405" s="853" t="s">
        <v>1929</v>
      </c>
      <c r="V405" s="853" t="s">
        <v>2020</v>
      </c>
      <c r="W405" s="851"/>
    </row>
    <row r="406" spans="1:23" x14ac:dyDescent="0.2">
      <c r="A406" s="849" t="s">
        <v>4207</v>
      </c>
      <c r="B406" s="850">
        <v>14</v>
      </c>
      <c r="C406" s="850">
        <v>18</v>
      </c>
      <c r="D406" s="850">
        <v>30</v>
      </c>
      <c r="E406" s="850">
        <v>8</v>
      </c>
      <c r="F406" s="850">
        <v>16</v>
      </c>
      <c r="G406" s="850">
        <v>28</v>
      </c>
      <c r="H406" s="850">
        <v>3</v>
      </c>
      <c r="I406" s="851" t="s">
        <v>3303</v>
      </c>
      <c r="J406" s="851" t="s">
        <v>4066</v>
      </c>
      <c r="K406" s="850" t="s">
        <v>1692</v>
      </c>
      <c r="L406" s="852" t="s">
        <v>1809</v>
      </c>
      <c r="M406" s="849" t="s">
        <v>3442</v>
      </c>
      <c r="N406" s="852" t="s">
        <v>1700</v>
      </c>
      <c r="O406" s="849" t="s">
        <v>3442</v>
      </c>
      <c r="P406" s="852" t="s">
        <v>1701</v>
      </c>
      <c r="Q406" s="849" t="s">
        <v>3351</v>
      </c>
      <c r="R406" s="850"/>
      <c r="S406" s="850"/>
      <c r="T406" s="853" t="s">
        <v>1925</v>
      </c>
      <c r="U406" s="853" t="s">
        <v>1929</v>
      </c>
      <c r="V406" s="853" t="s">
        <v>2020</v>
      </c>
      <c r="W406" s="851"/>
    </row>
    <row r="407" spans="1:23" x14ac:dyDescent="0.2">
      <c r="A407" s="691" t="s">
        <v>3513</v>
      </c>
      <c r="B407" s="869"/>
      <c r="C407" s="869"/>
      <c r="D407" s="869"/>
      <c r="E407" s="869"/>
      <c r="F407" s="869"/>
      <c r="G407" s="869"/>
      <c r="H407" s="869"/>
      <c r="I407" s="869"/>
      <c r="J407" s="869"/>
      <c r="K407" s="869"/>
      <c r="L407" s="870"/>
      <c r="M407" s="869"/>
      <c r="N407" s="869"/>
      <c r="O407" s="869"/>
      <c r="P407" s="869"/>
      <c r="Q407" s="869"/>
      <c r="R407" s="869"/>
      <c r="S407" s="869"/>
      <c r="T407" s="869"/>
      <c r="U407" s="869"/>
      <c r="V407" s="869"/>
      <c r="W407" s="851" t="s">
        <v>4191</v>
      </c>
    </row>
    <row r="408" spans="1:23" x14ac:dyDescent="0.2">
      <c r="A408" s="849" t="s">
        <v>4208</v>
      </c>
      <c r="B408" s="850">
        <v>1</v>
      </c>
      <c r="C408" s="850">
        <v>2</v>
      </c>
      <c r="D408" s="850">
        <v>5</v>
      </c>
      <c r="E408" s="850">
        <v>1</v>
      </c>
      <c r="F408" s="850">
        <v>2</v>
      </c>
      <c r="G408" s="850">
        <v>4</v>
      </c>
      <c r="H408" s="850">
        <v>1</v>
      </c>
      <c r="I408" s="851" t="s">
        <v>3303</v>
      </c>
      <c r="J408" s="851" t="s">
        <v>4066</v>
      </c>
      <c r="K408" s="850" t="s">
        <v>1687</v>
      </c>
      <c r="L408" s="852" t="s">
        <v>1809</v>
      </c>
      <c r="M408" s="849" t="s">
        <v>3442</v>
      </c>
      <c r="N408" s="852" t="s">
        <v>1700</v>
      </c>
      <c r="O408" s="849" t="s">
        <v>3442</v>
      </c>
      <c r="P408" s="852" t="s">
        <v>1701</v>
      </c>
      <c r="Q408" s="849" t="s">
        <v>3351</v>
      </c>
      <c r="R408" s="850"/>
      <c r="S408" s="850"/>
      <c r="T408" s="853" t="s">
        <v>1925</v>
      </c>
      <c r="U408" s="853" t="s">
        <v>1929</v>
      </c>
      <c r="V408" s="853" t="s">
        <v>2020</v>
      </c>
      <c r="W408" s="850"/>
    </row>
    <row r="409" spans="1:23" x14ac:dyDescent="0.2">
      <c r="A409" s="849" t="s">
        <v>4209</v>
      </c>
      <c r="B409" s="850">
        <v>2</v>
      </c>
      <c r="C409" s="850">
        <v>4</v>
      </c>
      <c r="D409" s="850">
        <v>5</v>
      </c>
      <c r="E409" s="850">
        <v>2</v>
      </c>
      <c r="F409" s="850">
        <v>4</v>
      </c>
      <c r="G409" s="850">
        <v>7</v>
      </c>
      <c r="H409" s="850">
        <v>1</v>
      </c>
      <c r="I409" s="851" t="s">
        <v>3303</v>
      </c>
      <c r="J409" s="851" t="s">
        <v>4066</v>
      </c>
      <c r="K409" s="850" t="s">
        <v>1687</v>
      </c>
      <c r="L409" s="852" t="s">
        <v>1809</v>
      </c>
      <c r="M409" s="849" t="s">
        <v>3442</v>
      </c>
      <c r="N409" s="852" t="s">
        <v>1700</v>
      </c>
      <c r="O409" s="849" t="s">
        <v>3442</v>
      </c>
      <c r="P409" s="852" t="s">
        <v>1701</v>
      </c>
      <c r="Q409" s="849" t="s">
        <v>3351</v>
      </c>
      <c r="R409" s="850"/>
      <c r="S409" s="850"/>
      <c r="T409" s="853" t="s">
        <v>1925</v>
      </c>
      <c r="U409" s="853" t="s">
        <v>1929</v>
      </c>
      <c r="V409" s="853" t="s">
        <v>2020</v>
      </c>
      <c r="W409" s="850"/>
    </row>
    <row r="410" spans="1:23" x14ac:dyDescent="0.2">
      <c r="A410" s="849" t="s">
        <v>4210</v>
      </c>
      <c r="B410" s="850">
        <v>4</v>
      </c>
      <c r="C410" s="850">
        <v>6</v>
      </c>
      <c r="D410" s="850">
        <v>5</v>
      </c>
      <c r="E410" s="850">
        <v>3</v>
      </c>
      <c r="F410" s="850">
        <v>6</v>
      </c>
      <c r="G410" s="850">
        <v>11</v>
      </c>
      <c r="H410" s="850">
        <v>1</v>
      </c>
      <c r="I410" s="851" t="s">
        <v>3303</v>
      </c>
      <c r="J410" s="851" t="s">
        <v>4066</v>
      </c>
      <c r="K410" s="850" t="s">
        <v>1687</v>
      </c>
      <c r="L410" s="852" t="s">
        <v>1809</v>
      </c>
      <c r="M410" s="849" t="s">
        <v>3442</v>
      </c>
      <c r="N410" s="852" t="s">
        <v>1700</v>
      </c>
      <c r="O410" s="849" t="s">
        <v>3442</v>
      </c>
      <c r="P410" s="852" t="s">
        <v>1701</v>
      </c>
      <c r="Q410" s="849" t="s">
        <v>3351</v>
      </c>
      <c r="R410" s="850"/>
      <c r="S410" s="850"/>
      <c r="T410" s="853" t="s">
        <v>1925</v>
      </c>
      <c r="U410" s="853" t="s">
        <v>1929</v>
      </c>
      <c r="V410" s="853" t="s">
        <v>2020</v>
      </c>
      <c r="W410" s="850"/>
    </row>
    <row r="411" spans="1:23" x14ac:dyDescent="0.2">
      <c r="A411" s="849" t="s">
        <v>4211</v>
      </c>
      <c r="B411" s="850">
        <v>6</v>
      </c>
      <c r="C411" s="850">
        <v>9</v>
      </c>
      <c r="D411" s="850">
        <v>10</v>
      </c>
      <c r="E411" s="850">
        <v>4</v>
      </c>
      <c r="F411" s="850">
        <v>8</v>
      </c>
      <c r="G411" s="850">
        <v>14</v>
      </c>
      <c r="H411" s="850">
        <v>1</v>
      </c>
      <c r="I411" s="851" t="s">
        <v>3303</v>
      </c>
      <c r="J411" s="851" t="s">
        <v>4066</v>
      </c>
      <c r="K411" s="850" t="s">
        <v>1687</v>
      </c>
      <c r="L411" s="852" t="s">
        <v>1809</v>
      </c>
      <c r="M411" s="849" t="s">
        <v>3442</v>
      </c>
      <c r="N411" s="852" t="s">
        <v>1700</v>
      </c>
      <c r="O411" s="849" t="s">
        <v>3442</v>
      </c>
      <c r="P411" s="852" t="s">
        <v>1701</v>
      </c>
      <c r="Q411" s="849" t="s">
        <v>3351</v>
      </c>
      <c r="R411" s="850"/>
      <c r="S411" s="850"/>
      <c r="T411" s="853" t="s">
        <v>1925</v>
      </c>
      <c r="U411" s="853" t="s">
        <v>1929</v>
      </c>
      <c r="V411" s="853" t="s">
        <v>2020</v>
      </c>
      <c r="W411" s="850"/>
    </row>
    <row r="412" spans="1:23" x14ac:dyDescent="0.2">
      <c r="A412" s="849" t="s">
        <v>4212</v>
      </c>
      <c r="B412" s="850">
        <v>8</v>
      </c>
      <c r="C412" s="850">
        <v>11</v>
      </c>
      <c r="D412" s="850">
        <v>15</v>
      </c>
      <c r="E412" s="850">
        <v>5</v>
      </c>
      <c r="F412" s="850">
        <v>10</v>
      </c>
      <c r="G412" s="850">
        <v>18</v>
      </c>
      <c r="H412" s="850">
        <v>2</v>
      </c>
      <c r="I412" s="851" t="s">
        <v>3303</v>
      </c>
      <c r="J412" s="851" t="s">
        <v>4066</v>
      </c>
      <c r="K412" s="850" t="s">
        <v>1687</v>
      </c>
      <c r="L412" s="852" t="s">
        <v>1809</v>
      </c>
      <c r="M412" s="849" t="s">
        <v>3442</v>
      </c>
      <c r="N412" s="852" t="s">
        <v>1700</v>
      </c>
      <c r="O412" s="849" t="s">
        <v>3442</v>
      </c>
      <c r="P412" s="852" t="s">
        <v>1701</v>
      </c>
      <c r="Q412" s="849" t="s">
        <v>3351</v>
      </c>
      <c r="R412" s="850"/>
      <c r="S412" s="850"/>
      <c r="T412" s="853" t="s">
        <v>1925</v>
      </c>
      <c r="U412" s="853" t="s">
        <v>1929</v>
      </c>
      <c r="V412" s="853" t="s">
        <v>2020</v>
      </c>
      <c r="W412" s="850"/>
    </row>
    <row r="413" spans="1:23" x14ac:dyDescent="0.2">
      <c r="A413" s="849" t="s">
        <v>4213</v>
      </c>
      <c r="B413" s="850">
        <v>10</v>
      </c>
      <c r="C413" s="850">
        <v>13</v>
      </c>
      <c r="D413" s="850">
        <v>20</v>
      </c>
      <c r="E413" s="850">
        <v>6</v>
      </c>
      <c r="F413" s="850">
        <v>12</v>
      </c>
      <c r="G413" s="850">
        <v>21</v>
      </c>
      <c r="H413" s="850">
        <v>2</v>
      </c>
      <c r="I413" s="851" t="s">
        <v>3303</v>
      </c>
      <c r="J413" s="851" t="s">
        <v>4066</v>
      </c>
      <c r="K413" s="850" t="s">
        <v>1687</v>
      </c>
      <c r="L413" s="852" t="s">
        <v>1809</v>
      </c>
      <c r="M413" s="849" t="s">
        <v>3442</v>
      </c>
      <c r="N413" s="852" t="s">
        <v>1700</v>
      </c>
      <c r="O413" s="849" t="s">
        <v>3442</v>
      </c>
      <c r="P413" s="852" t="s">
        <v>1701</v>
      </c>
      <c r="Q413" s="849" t="s">
        <v>3351</v>
      </c>
      <c r="R413" s="850"/>
      <c r="S413" s="850"/>
      <c r="T413" s="853" t="s">
        <v>1925</v>
      </c>
      <c r="U413" s="853" t="s">
        <v>1929</v>
      </c>
      <c r="V413" s="853" t="s">
        <v>2020</v>
      </c>
      <c r="W413" s="850"/>
    </row>
    <row r="414" spans="1:23" x14ac:dyDescent="0.2">
      <c r="A414" s="849" t="s">
        <v>4214</v>
      </c>
      <c r="B414" s="850">
        <v>12</v>
      </c>
      <c r="C414" s="850">
        <v>15</v>
      </c>
      <c r="D414" s="850">
        <v>25</v>
      </c>
      <c r="E414" s="850">
        <v>7</v>
      </c>
      <c r="F414" s="850">
        <v>14</v>
      </c>
      <c r="G414" s="850">
        <v>25</v>
      </c>
      <c r="H414" s="850">
        <v>3</v>
      </c>
      <c r="I414" s="851" t="s">
        <v>3303</v>
      </c>
      <c r="J414" s="851" t="s">
        <v>4066</v>
      </c>
      <c r="K414" s="850" t="s">
        <v>1687</v>
      </c>
      <c r="L414" s="852" t="s">
        <v>1809</v>
      </c>
      <c r="M414" s="849" t="s">
        <v>3442</v>
      </c>
      <c r="N414" s="852" t="s">
        <v>1700</v>
      </c>
      <c r="O414" s="849" t="s">
        <v>3442</v>
      </c>
      <c r="P414" s="852" t="s">
        <v>1701</v>
      </c>
      <c r="Q414" s="849" t="s">
        <v>3351</v>
      </c>
      <c r="R414" s="850"/>
      <c r="S414" s="850"/>
      <c r="T414" s="853" t="s">
        <v>1925</v>
      </c>
      <c r="U414" s="853" t="s">
        <v>1929</v>
      </c>
      <c r="V414" s="853" t="s">
        <v>2020</v>
      </c>
      <c r="W414" s="850"/>
    </row>
    <row r="415" spans="1:23" x14ac:dyDescent="0.2">
      <c r="A415" s="849" t="s">
        <v>4215</v>
      </c>
      <c r="B415" s="850">
        <v>14</v>
      </c>
      <c r="C415" s="850">
        <v>18</v>
      </c>
      <c r="D415" s="850">
        <v>30</v>
      </c>
      <c r="E415" s="850">
        <v>8</v>
      </c>
      <c r="F415" s="850">
        <v>16</v>
      </c>
      <c r="G415" s="850">
        <v>28</v>
      </c>
      <c r="H415" s="850">
        <v>3</v>
      </c>
      <c r="I415" s="851" t="s">
        <v>3303</v>
      </c>
      <c r="J415" s="851" t="s">
        <v>4066</v>
      </c>
      <c r="K415" s="850" t="s">
        <v>1687</v>
      </c>
      <c r="L415" s="852" t="s">
        <v>1809</v>
      </c>
      <c r="M415" s="849" t="s">
        <v>3442</v>
      </c>
      <c r="N415" s="852" t="s">
        <v>1700</v>
      </c>
      <c r="O415" s="849" t="s">
        <v>3442</v>
      </c>
      <c r="P415" s="852" t="s">
        <v>1701</v>
      </c>
      <c r="Q415" s="849" t="s">
        <v>3351</v>
      </c>
      <c r="R415" s="850"/>
      <c r="S415" s="850"/>
      <c r="T415" s="853" t="s">
        <v>1925</v>
      </c>
      <c r="U415" s="853" t="s">
        <v>1929</v>
      </c>
      <c r="V415" s="853" t="s">
        <v>2020</v>
      </c>
      <c r="W415" s="850"/>
    </row>
    <row r="416" spans="1:23" x14ac:dyDescent="0.2">
      <c r="A416" s="691" t="s">
        <v>3518</v>
      </c>
      <c r="B416" s="869"/>
      <c r="C416" s="869"/>
      <c r="D416" s="869"/>
      <c r="E416" s="869"/>
      <c r="F416" s="869"/>
      <c r="G416" s="869"/>
      <c r="H416" s="869"/>
      <c r="I416" s="869"/>
      <c r="J416" s="869"/>
      <c r="K416" s="869"/>
      <c r="L416" s="870"/>
      <c r="M416" s="869"/>
      <c r="N416" s="869"/>
      <c r="O416" s="869"/>
      <c r="P416" s="869"/>
      <c r="Q416" s="869"/>
      <c r="R416" s="869"/>
      <c r="S416" s="869"/>
      <c r="T416" s="869"/>
      <c r="U416" s="869"/>
      <c r="V416" s="869"/>
      <c r="W416" s="850"/>
    </row>
    <row r="417" spans="1:23" x14ac:dyDescent="0.2">
      <c r="A417" s="849" t="s">
        <v>4216</v>
      </c>
      <c r="B417" s="850">
        <v>1</v>
      </c>
      <c r="C417" s="850">
        <v>2</v>
      </c>
      <c r="D417" s="850">
        <v>5</v>
      </c>
      <c r="E417" s="850">
        <v>1</v>
      </c>
      <c r="F417" s="850">
        <v>2</v>
      </c>
      <c r="G417" s="850">
        <v>4</v>
      </c>
      <c r="H417" s="850">
        <v>1</v>
      </c>
      <c r="I417" s="851" t="s">
        <v>3308</v>
      </c>
      <c r="J417" s="851" t="s">
        <v>4066</v>
      </c>
      <c r="K417" s="850" t="s">
        <v>1809</v>
      </c>
      <c r="L417" s="852" t="s">
        <v>1687</v>
      </c>
      <c r="M417" s="849" t="s">
        <v>3352</v>
      </c>
      <c r="N417" s="852" t="s">
        <v>1692</v>
      </c>
      <c r="O417" s="849" t="s">
        <v>3351</v>
      </c>
      <c r="P417" s="852" t="s">
        <v>1700</v>
      </c>
      <c r="Q417" s="849" t="s">
        <v>3442</v>
      </c>
      <c r="R417" s="852" t="s">
        <v>1701</v>
      </c>
      <c r="S417" s="849" t="s">
        <v>3442</v>
      </c>
      <c r="T417" s="853" t="s">
        <v>1925</v>
      </c>
      <c r="U417" s="853" t="s">
        <v>2019</v>
      </c>
      <c r="V417" s="853" t="s">
        <v>2024</v>
      </c>
      <c r="W417" s="850"/>
    </row>
    <row r="418" spans="1:23" x14ac:dyDescent="0.2">
      <c r="A418" s="849" t="s">
        <v>4217</v>
      </c>
      <c r="B418" s="850">
        <v>2</v>
      </c>
      <c r="C418" s="850">
        <v>4</v>
      </c>
      <c r="D418" s="850">
        <v>5</v>
      </c>
      <c r="E418" s="850">
        <v>2</v>
      </c>
      <c r="F418" s="850">
        <v>4</v>
      </c>
      <c r="G418" s="850">
        <v>7</v>
      </c>
      <c r="H418" s="850">
        <v>1</v>
      </c>
      <c r="I418" s="851" t="s">
        <v>3308</v>
      </c>
      <c r="J418" s="851" t="s">
        <v>4066</v>
      </c>
      <c r="K418" s="850" t="s">
        <v>1809</v>
      </c>
      <c r="L418" s="852" t="s">
        <v>1687</v>
      </c>
      <c r="M418" s="849" t="s">
        <v>3352</v>
      </c>
      <c r="N418" s="852" t="s">
        <v>1692</v>
      </c>
      <c r="O418" s="849" t="s">
        <v>3351</v>
      </c>
      <c r="P418" s="852" t="s">
        <v>1700</v>
      </c>
      <c r="Q418" s="849" t="s">
        <v>3442</v>
      </c>
      <c r="R418" s="852" t="s">
        <v>1701</v>
      </c>
      <c r="S418" s="849" t="s">
        <v>3442</v>
      </c>
      <c r="T418" s="853" t="s">
        <v>1925</v>
      </c>
      <c r="U418" s="853" t="s">
        <v>2019</v>
      </c>
      <c r="V418" s="853" t="s">
        <v>2024</v>
      </c>
      <c r="W418" s="850"/>
    </row>
    <row r="419" spans="1:23" x14ac:dyDescent="0.2">
      <c r="A419" s="849" t="s">
        <v>4218</v>
      </c>
      <c r="B419" s="850">
        <v>4</v>
      </c>
      <c r="C419" s="850">
        <v>6</v>
      </c>
      <c r="D419" s="850">
        <v>10</v>
      </c>
      <c r="E419" s="850">
        <v>3</v>
      </c>
      <c r="F419" s="850">
        <v>6</v>
      </c>
      <c r="G419" s="850">
        <v>11</v>
      </c>
      <c r="H419" s="850">
        <v>1</v>
      </c>
      <c r="I419" s="851" t="s">
        <v>3308</v>
      </c>
      <c r="J419" s="851" t="s">
        <v>4066</v>
      </c>
      <c r="K419" s="850" t="s">
        <v>1809</v>
      </c>
      <c r="L419" s="852" t="s">
        <v>1687</v>
      </c>
      <c r="M419" s="849" t="s">
        <v>3352</v>
      </c>
      <c r="N419" s="852" t="s">
        <v>1692</v>
      </c>
      <c r="O419" s="849" t="s">
        <v>3351</v>
      </c>
      <c r="P419" s="852" t="s">
        <v>1700</v>
      </c>
      <c r="Q419" s="849" t="s">
        <v>3442</v>
      </c>
      <c r="R419" s="852" t="s">
        <v>1701</v>
      </c>
      <c r="S419" s="849" t="s">
        <v>3442</v>
      </c>
      <c r="T419" s="853" t="s">
        <v>1925</v>
      </c>
      <c r="U419" s="853" t="s">
        <v>2019</v>
      </c>
      <c r="V419" s="853" t="s">
        <v>2024</v>
      </c>
      <c r="W419" s="850"/>
    </row>
    <row r="420" spans="1:23" x14ac:dyDescent="0.2">
      <c r="A420" s="849" t="s">
        <v>4219</v>
      </c>
      <c r="B420" s="850">
        <v>6</v>
      </c>
      <c r="C420" s="850">
        <v>9</v>
      </c>
      <c r="D420" s="850">
        <v>15</v>
      </c>
      <c r="E420" s="850">
        <v>4</v>
      </c>
      <c r="F420" s="850">
        <v>8</v>
      </c>
      <c r="G420" s="850">
        <v>14</v>
      </c>
      <c r="H420" s="850">
        <v>1</v>
      </c>
      <c r="I420" s="851" t="s">
        <v>3308</v>
      </c>
      <c r="J420" s="851" t="s">
        <v>4066</v>
      </c>
      <c r="K420" s="850" t="s">
        <v>1809</v>
      </c>
      <c r="L420" s="852" t="s">
        <v>1687</v>
      </c>
      <c r="M420" s="849" t="s">
        <v>3352</v>
      </c>
      <c r="N420" s="852" t="s">
        <v>1692</v>
      </c>
      <c r="O420" s="849" t="s">
        <v>3351</v>
      </c>
      <c r="P420" s="852" t="s">
        <v>1700</v>
      </c>
      <c r="Q420" s="849" t="s">
        <v>3442</v>
      </c>
      <c r="R420" s="852" t="s">
        <v>1701</v>
      </c>
      <c r="S420" s="849" t="s">
        <v>3442</v>
      </c>
      <c r="T420" s="853" t="s">
        <v>1925</v>
      </c>
      <c r="U420" s="853" t="s">
        <v>2019</v>
      </c>
      <c r="V420" s="853" t="s">
        <v>2024</v>
      </c>
      <c r="W420" s="850"/>
    </row>
    <row r="421" spans="1:23" x14ac:dyDescent="0.2">
      <c r="A421" s="849" t="s">
        <v>4220</v>
      </c>
      <c r="B421" s="850">
        <v>8</v>
      </c>
      <c r="C421" s="850">
        <v>11</v>
      </c>
      <c r="D421" s="850">
        <v>20</v>
      </c>
      <c r="E421" s="850">
        <v>5</v>
      </c>
      <c r="F421" s="850">
        <v>10</v>
      </c>
      <c r="G421" s="850">
        <v>18</v>
      </c>
      <c r="H421" s="850">
        <v>2</v>
      </c>
      <c r="I421" s="851" t="s">
        <v>3308</v>
      </c>
      <c r="J421" s="851" t="s">
        <v>4066</v>
      </c>
      <c r="K421" s="850" t="s">
        <v>1809</v>
      </c>
      <c r="L421" s="852" t="s">
        <v>1687</v>
      </c>
      <c r="M421" s="849" t="s">
        <v>3352</v>
      </c>
      <c r="N421" s="852" t="s">
        <v>1692</v>
      </c>
      <c r="O421" s="849" t="s">
        <v>3351</v>
      </c>
      <c r="P421" s="852" t="s">
        <v>1700</v>
      </c>
      <c r="Q421" s="849" t="s">
        <v>3442</v>
      </c>
      <c r="R421" s="852" t="s">
        <v>1701</v>
      </c>
      <c r="S421" s="849" t="s">
        <v>3442</v>
      </c>
      <c r="T421" s="853" t="s">
        <v>1925</v>
      </c>
      <c r="U421" s="853" t="s">
        <v>2019</v>
      </c>
      <c r="V421" s="853" t="s">
        <v>2024</v>
      </c>
      <c r="W421" s="850"/>
    </row>
    <row r="422" spans="1:23" x14ac:dyDescent="0.2">
      <c r="A422" s="849" t="s">
        <v>4221</v>
      </c>
      <c r="B422" s="850">
        <v>10</v>
      </c>
      <c r="C422" s="850">
        <v>13</v>
      </c>
      <c r="D422" s="850">
        <v>25</v>
      </c>
      <c r="E422" s="850">
        <v>6</v>
      </c>
      <c r="F422" s="850">
        <v>12</v>
      </c>
      <c r="G422" s="850">
        <v>21</v>
      </c>
      <c r="H422" s="850">
        <v>2</v>
      </c>
      <c r="I422" s="851" t="s">
        <v>3308</v>
      </c>
      <c r="J422" s="851" t="s">
        <v>4066</v>
      </c>
      <c r="K422" s="850" t="s">
        <v>1809</v>
      </c>
      <c r="L422" s="852" t="s">
        <v>1687</v>
      </c>
      <c r="M422" s="849" t="s">
        <v>3352</v>
      </c>
      <c r="N422" s="852" t="s">
        <v>1692</v>
      </c>
      <c r="O422" s="849" t="s">
        <v>3351</v>
      </c>
      <c r="P422" s="852" t="s">
        <v>1700</v>
      </c>
      <c r="Q422" s="849" t="s">
        <v>3442</v>
      </c>
      <c r="R422" s="852" t="s">
        <v>1701</v>
      </c>
      <c r="S422" s="849" t="s">
        <v>3442</v>
      </c>
      <c r="T422" s="853" t="s">
        <v>1925</v>
      </c>
      <c r="U422" s="853" t="s">
        <v>2019</v>
      </c>
      <c r="V422" s="853" t="s">
        <v>2024</v>
      </c>
      <c r="W422" s="850"/>
    </row>
    <row r="423" spans="1:23" x14ac:dyDescent="0.2">
      <c r="A423" s="849" t="s">
        <v>4222</v>
      </c>
      <c r="B423" s="850">
        <v>14</v>
      </c>
      <c r="C423" s="850">
        <v>18</v>
      </c>
      <c r="D423" s="850">
        <v>30</v>
      </c>
      <c r="E423" s="850">
        <v>7</v>
      </c>
      <c r="F423" s="850">
        <v>14</v>
      </c>
      <c r="G423" s="850">
        <v>25</v>
      </c>
      <c r="H423" s="850">
        <v>3</v>
      </c>
      <c r="I423" s="851" t="s">
        <v>3308</v>
      </c>
      <c r="J423" s="851" t="s">
        <v>4066</v>
      </c>
      <c r="K423" s="850" t="s">
        <v>1809</v>
      </c>
      <c r="L423" s="852" t="s">
        <v>1687</v>
      </c>
      <c r="M423" s="849" t="s">
        <v>3352</v>
      </c>
      <c r="N423" s="852" t="s">
        <v>1692</v>
      </c>
      <c r="O423" s="849" t="s">
        <v>3351</v>
      </c>
      <c r="P423" s="852" t="s">
        <v>1700</v>
      </c>
      <c r="Q423" s="849" t="s">
        <v>3442</v>
      </c>
      <c r="R423" s="852" t="s">
        <v>1701</v>
      </c>
      <c r="S423" s="849" t="s">
        <v>3442</v>
      </c>
      <c r="T423" s="853" t="s">
        <v>1925</v>
      </c>
      <c r="U423" s="853" t="s">
        <v>2019</v>
      </c>
      <c r="V423" s="853" t="s">
        <v>2024</v>
      </c>
      <c r="W423" s="850"/>
    </row>
    <row r="424" spans="1:23" x14ac:dyDescent="0.2">
      <c r="A424" s="849" t="s">
        <v>4223</v>
      </c>
      <c r="B424" s="850">
        <v>18</v>
      </c>
      <c r="C424" s="850">
        <v>22</v>
      </c>
      <c r="D424" s="850">
        <v>40</v>
      </c>
      <c r="E424" s="850">
        <v>8</v>
      </c>
      <c r="F424" s="850">
        <v>16</v>
      </c>
      <c r="G424" s="850">
        <v>28</v>
      </c>
      <c r="H424" s="850">
        <v>3</v>
      </c>
      <c r="I424" s="851" t="s">
        <v>3308</v>
      </c>
      <c r="J424" s="851" t="s">
        <v>4066</v>
      </c>
      <c r="K424" s="850" t="s">
        <v>1809</v>
      </c>
      <c r="L424" s="852" t="s">
        <v>1687</v>
      </c>
      <c r="M424" s="849" t="s">
        <v>3352</v>
      </c>
      <c r="N424" s="852" t="s">
        <v>1692</v>
      </c>
      <c r="O424" s="849" t="s">
        <v>3351</v>
      </c>
      <c r="P424" s="852" t="s">
        <v>1700</v>
      </c>
      <c r="Q424" s="849" t="s">
        <v>3442</v>
      </c>
      <c r="R424" s="852" t="s">
        <v>1701</v>
      </c>
      <c r="S424" s="849" t="s">
        <v>3442</v>
      </c>
      <c r="T424" s="853" t="s">
        <v>1925</v>
      </c>
      <c r="U424" s="853" t="s">
        <v>2019</v>
      </c>
      <c r="V424" s="853" t="s">
        <v>2024</v>
      </c>
      <c r="W424" s="850"/>
    </row>
    <row r="425" spans="1:23" x14ac:dyDescent="0.2">
      <c r="A425" s="855" t="s">
        <v>4224</v>
      </c>
      <c r="B425" s="856"/>
      <c r="C425" s="856"/>
      <c r="D425" s="856"/>
      <c r="E425" s="856"/>
      <c r="F425" s="856"/>
      <c r="G425" s="856"/>
      <c r="H425" s="856"/>
      <c r="I425" s="856"/>
      <c r="J425" s="856"/>
      <c r="K425" s="856"/>
      <c r="L425" s="857"/>
      <c r="M425" s="856"/>
      <c r="N425" s="856"/>
      <c r="O425" s="856"/>
      <c r="P425" s="856"/>
      <c r="Q425" s="856"/>
      <c r="R425" s="856"/>
      <c r="S425" s="856"/>
      <c r="T425" s="856"/>
      <c r="U425" s="856"/>
      <c r="V425" s="856"/>
      <c r="W425" s="850"/>
    </row>
    <row r="426" spans="1:23" x14ac:dyDescent="0.2">
      <c r="A426" s="849" t="s">
        <v>4225</v>
      </c>
      <c r="B426" s="850">
        <v>1</v>
      </c>
      <c r="C426" s="850">
        <v>1</v>
      </c>
      <c r="D426" s="850">
        <v>5</v>
      </c>
      <c r="E426" s="850">
        <v>1</v>
      </c>
      <c r="F426" s="850">
        <v>2</v>
      </c>
      <c r="G426" s="850">
        <v>4</v>
      </c>
      <c r="H426" s="850"/>
      <c r="I426" s="850"/>
      <c r="J426" s="850"/>
      <c r="K426" s="850"/>
      <c r="L426" s="859"/>
      <c r="M426" s="850"/>
      <c r="N426" s="850"/>
      <c r="O426" s="850"/>
      <c r="P426" s="850"/>
      <c r="Q426" s="850"/>
      <c r="R426" s="850"/>
      <c r="S426" s="850"/>
      <c r="T426" s="850"/>
      <c r="U426" s="850"/>
      <c r="V426" s="850"/>
      <c r="W426" s="850"/>
    </row>
    <row r="427" spans="1:23" x14ac:dyDescent="0.2">
      <c r="A427" s="849" t="s">
        <v>4226</v>
      </c>
      <c r="B427" s="850">
        <v>1</v>
      </c>
      <c r="C427" s="850">
        <v>1</v>
      </c>
      <c r="D427" s="850">
        <v>5</v>
      </c>
      <c r="E427" s="850">
        <v>1</v>
      </c>
      <c r="F427" s="850">
        <v>2</v>
      </c>
      <c r="G427" s="850">
        <v>4</v>
      </c>
      <c r="H427" s="850"/>
      <c r="I427" s="850"/>
      <c r="J427" s="850"/>
      <c r="K427" s="850"/>
      <c r="L427" s="859"/>
      <c r="M427" s="850"/>
      <c r="N427" s="850"/>
      <c r="O427" s="850"/>
      <c r="P427" s="850"/>
      <c r="Q427" s="850"/>
      <c r="R427" s="850"/>
      <c r="S427" s="850"/>
      <c r="T427" s="850"/>
      <c r="U427" s="850"/>
      <c r="V427" s="850"/>
      <c r="W427" s="850"/>
    </row>
    <row r="428" spans="1:23" x14ac:dyDescent="0.2">
      <c r="A428" s="691" t="s">
        <v>3524</v>
      </c>
      <c r="B428" s="869"/>
      <c r="C428" s="869"/>
      <c r="D428" s="869"/>
      <c r="E428" s="869"/>
      <c r="F428" s="869"/>
      <c r="G428" s="869"/>
      <c r="H428" s="869"/>
      <c r="I428" s="869"/>
      <c r="J428" s="869"/>
      <c r="K428" s="869"/>
      <c r="L428" s="870"/>
      <c r="M428" s="869"/>
      <c r="N428" s="869"/>
      <c r="O428" s="869"/>
      <c r="P428" s="869"/>
      <c r="Q428" s="869"/>
      <c r="R428" s="869"/>
      <c r="S428" s="869"/>
      <c r="T428" s="869"/>
      <c r="U428" s="869"/>
      <c r="V428" s="869"/>
      <c r="W428" s="850"/>
    </row>
    <row r="429" spans="1:23" x14ac:dyDescent="0.2">
      <c r="A429" s="849" t="s">
        <v>4227</v>
      </c>
      <c r="B429" s="850">
        <v>1</v>
      </c>
      <c r="C429" s="850">
        <v>2</v>
      </c>
      <c r="D429" s="850">
        <v>5</v>
      </c>
      <c r="E429" s="850">
        <v>1</v>
      </c>
      <c r="F429" s="850">
        <v>2</v>
      </c>
      <c r="G429" s="850">
        <v>4</v>
      </c>
      <c r="H429" s="850">
        <v>1</v>
      </c>
      <c r="I429" s="851" t="s">
        <v>3308</v>
      </c>
      <c r="J429" s="851" t="s">
        <v>4066</v>
      </c>
      <c r="K429" s="850" t="s">
        <v>1700</v>
      </c>
      <c r="L429" s="852" t="s">
        <v>1809</v>
      </c>
      <c r="M429" s="849" t="s">
        <v>3351</v>
      </c>
      <c r="N429" s="852" t="s">
        <v>1687</v>
      </c>
      <c r="O429" s="849" t="s">
        <v>3352</v>
      </c>
      <c r="P429" s="852" t="s">
        <v>1692</v>
      </c>
      <c r="Q429" s="849" t="s">
        <v>3351</v>
      </c>
      <c r="R429" s="852" t="s">
        <v>1701</v>
      </c>
      <c r="S429" s="849" t="s">
        <v>3442</v>
      </c>
      <c r="T429" s="853" t="s">
        <v>1922</v>
      </c>
      <c r="U429" s="853" t="s">
        <v>1929</v>
      </c>
      <c r="V429" s="853" t="s">
        <v>2019</v>
      </c>
      <c r="W429" s="850"/>
    </row>
    <row r="430" spans="1:23" x14ac:dyDescent="0.2">
      <c r="A430" s="849" t="s">
        <v>4228</v>
      </c>
      <c r="B430" s="850">
        <v>2</v>
      </c>
      <c r="C430" s="850">
        <v>4</v>
      </c>
      <c r="D430" s="850">
        <v>5</v>
      </c>
      <c r="E430" s="850">
        <v>2</v>
      </c>
      <c r="F430" s="850">
        <v>4</v>
      </c>
      <c r="G430" s="850">
        <v>7</v>
      </c>
      <c r="H430" s="850">
        <v>1</v>
      </c>
      <c r="I430" s="851" t="s">
        <v>3308</v>
      </c>
      <c r="J430" s="851" t="s">
        <v>4066</v>
      </c>
      <c r="K430" s="850" t="s">
        <v>1700</v>
      </c>
      <c r="L430" s="852" t="s">
        <v>1809</v>
      </c>
      <c r="M430" s="849" t="s">
        <v>3351</v>
      </c>
      <c r="N430" s="852" t="s">
        <v>1687</v>
      </c>
      <c r="O430" s="849" t="s">
        <v>3352</v>
      </c>
      <c r="P430" s="852" t="s">
        <v>1692</v>
      </c>
      <c r="Q430" s="849" t="s">
        <v>3351</v>
      </c>
      <c r="R430" s="852" t="s">
        <v>1701</v>
      </c>
      <c r="S430" s="849" t="s">
        <v>3442</v>
      </c>
      <c r="T430" s="853" t="s">
        <v>1922</v>
      </c>
      <c r="U430" s="853" t="s">
        <v>1929</v>
      </c>
      <c r="V430" s="853" t="s">
        <v>2019</v>
      </c>
      <c r="W430" s="850"/>
    </row>
    <row r="431" spans="1:23" x14ac:dyDescent="0.2">
      <c r="A431" s="849" t="s">
        <v>4229</v>
      </c>
      <c r="B431" s="850">
        <v>4</v>
      </c>
      <c r="C431" s="850">
        <v>6</v>
      </c>
      <c r="D431" s="850">
        <v>10</v>
      </c>
      <c r="E431" s="850">
        <v>3</v>
      </c>
      <c r="F431" s="850">
        <v>6</v>
      </c>
      <c r="G431" s="850">
        <v>11</v>
      </c>
      <c r="H431" s="850">
        <v>1</v>
      </c>
      <c r="I431" s="851" t="s">
        <v>3308</v>
      </c>
      <c r="J431" s="851" t="s">
        <v>4066</v>
      </c>
      <c r="K431" s="850" t="s">
        <v>1700</v>
      </c>
      <c r="L431" s="852" t="s">
        <v>1809</v>
      </c>
      <c r="M431" s="849" t="s">
        <v>3351</v>
      </c>
      <c r="N431" s="852" t="s">
        <v>1687</v>
      </c>
      <c r="O431" s="849" t="s">
        <v>3352</v>
      </c>
      <c r="P431" s="852" t="s">
        <v>1692</v>
      </c>
      <c r="Q431" s="849" t="s">
        <v>3351</v>
      </c>
      <c r="R431" s="852" t="s">
        <v>1701</v>
      </c>
      <c r="S431" s="849" t="s">
        <v>3442</v>
      </c>
      <c r="T431" s="853" t="s">
        <v>1922</v>
      </c>
      <c r="U431" s="853" t="s">
        <v>1929</v>
      </c>
      <c r="V431" s="853" t="s">
        <v>2019</v>
      </c>
      <c r="W431" s="850"/>
    </row>
    <row r="432" spans="1:23" x14ac:dyDescent="0.2">
      <c r="A432" s="849" t="s">
        <v>4230</v>
      </c>
      <c r="B432" s="850">
        <v>6</v>
      </c>
      <c r="C432" s="850">
        <v>9</v>
      </c>
      <c r="D432" s="850">
        <v>15</v>
      </c>
      <c r="E432" s="850">
        <v>4</v>
      </c>
      <c r="F432" s="850">
        <v>8</v>
      </c>
      <c r="G432" s="850">
        <v>14</v>
      </c>
      <c r="H432" s="850">
        <v>1</v>
      </c>
      <c r="I432" s="851" t="s">
        <v>3308</v>
      </c>
      <c r="J432" s="851" t="s">
        <v>4066</v>
      </c>
      <c r="K432" s="850" t="s">
        <v>1700</v>
      </c>
      <c r="L432" s="852" t="s">
        <v>1809</v>
      </c>
      <c r="M432" s="849" t="s">
        <v>3351</v>
      </c>
      <c r="N432" s="852" t="s">
        <v>1687</v>
      </c>
      <c r="O432" s="849" t="s">
        <v>3352</v>
      </c>
      <c r="P432" s="852" t="s">
        <v>1692</v>
      </c>
      <c r="Q432" s="849" t="s">
        <v>3351</v>
      </c>
      <c r="R432" s="852" t="s">
        <v>1701</v>
      </c>
      <c r="S432" s="849" t="s">
        <v>3442</v>
      </c>
      <c r="T432" s="853" t="s">
        <v>1922</v>
      </c>
      <c r="U432" s="853" t="s">
        <v>1929</v>
      </c>
      <c r="V432" s="853" t="s">
        <v>2019</v>
      </c>
      <c r="W432" s="850"/>
    </row>
    <row r="433" spans="1:23" x14ac:dyDescent="0.2">
      <c r="A433" s="849" t="s">
        <v>4231</v>
      </c>
      <c r="B433" s="850">
        <v>8</v>
      </c>
      <c r="C433" s="850">
        <v>11</v>
      </c>
      <c r="D433" s="850">
        <v>20</v>
      </c>
      <c r="E433" s="850">
        <v>5</v>
      </c>
      <c r="F433" s="850">
        <v>10</v>
      </c>
      <c r="G433" s="850">
        <v>18</v>
      </c>
      <c r="H433" s="850">
        <v>2</v>
      </c>
      <c r="I433" s="851" t="s">
        <v>3308</v>
      </c>
      <c r="J433" s="851" t="s">
        <v>4066</v>
      </c>
      <c r="K433" s="850" t="s">
        <v>1700</v>
      </c>
      <c r="L433" s="852" t="s">
        <v>1809</v>
      </c>
      <c r="M433" s="849" t="s">
        <v>3351</v>
      </c>
      <c r="N433" s="852" t="s">
        <v>1687</v>
      </c>
      <c r="O433" s="849" t="s">
        <v>3352</v>
      </c>
      <c r="P433" s="852" t="s">
        <v>1692</v>
      </c>
      <c r="Q433" s="849" t="s">
        <v>3351</v>
      </c>
      <c r="R433" s="852" t="s">
        <v>1701</v>
      </c>
      <c r="S433" s="849" t="s">
        <v>3442</v>
      </c>
      <c r="T433" s="853" t="s">
        <v>1922</v>
      </c>
      <c r="U433" s="853" t="s">
        <v>1929</v>
      </c>
      <c r="V433" s="853" t="s">
        <v>2019</v>
      </c>
      <c r="W433" s="850"/>
    </row>
    <row r="434" spans="1:23" x14ac:dyDescent="0.2">
      <c r="A434" s="849" t="s">
        <v>4232</v>
      </c>
      <c r="B434" s="850">
        <v>10</v>
      </c>
      <c r="C434" s="850">
        <v>13</v>
      </c>
      <c r="D434" s="850">
        <v>25</v>
      </c>
      <c r="E434" s="850">
        <v>6</v>
      </c>
      <c r="F434" s="850">
        <v>12</v>
      </c>
      <c r="G434" s="850">
        <v>21</v>
      </c>
      <c r="H434" s="850">
        <v>2</v>
      </c>
      <c r="I434" s="851" t="s">
        <v>3308</v>
      </c>
      <c r="J434" s="851" t="s">
        <v>4066</v>
      </c>
      <c r="K434" s="850" t="s">
        <v>1700</v>
      </c>
      <c r="L434" s="852" t="s">
        <v>1809</v>
      </c>
      <c r="M434" s="849" t="s">
        <v>3351</v>
      </c>
      <c r="N434" s="852" t="s">
        <v>1687</v>
      </c>
      <c r="O434" s="849" t="s">
        <v>3352</v>
      </c>
      <c r="P434" s="852" t="s">
        <v>1692</v>
      </c>
      <c r="Q434" s="849" t="s">
        <v>3351</v>
      </c>
      <c r="R434" s="852" t="s">
        <v>1701</v>
      </c>
      <c r="S434" s="849" t="s">
        <v>3442</v>
      </c>
      <c r="T434" s="853" t="s">
        <v>1922</v>
      </c>
      <c r="U434" s="853" t="s">
        <v>1929</v>
      </c>
      <c r="V434" s="853" t="s">
        <v>2019</v>
      </c>
      <c r="W434" s="850"/>
    </row>
    <row r="435" spans="1:23" x14ac:dyDescent="0.2">
      <c r="A435" s="849" t="s">
        <v>4233</v>
      </c>
      <c r="B435" s="850">
        <v>14</v>
      </c>
      <c r="C435" s="850">
        <v>18</v>
      </c>
      <c r="D435" s="850">
        <v>30</v>
      </c>
      <c r="E435" s="850">
        <v>7</v>
      </c>
      <c r="F435" s="850">
        <v>14</v>
      </c>
      <c r="G435" s="850">
        <v>25</v>
      </c>
      <c r="H435" s="850">
        <v>3</v>
      </c>
      <c r="I435" s="851" t="s">
        <v>3308</v>
      </c>
      <c r="J435" s="851" t="s">
        <v>4066</v>
      </c>
      <c r="K435" s="850" t="s">
        <v>1700</v>
      </c>
      <c r="L435" s="852" t="s">
        <v>1809</v>
      </c>
      <c r="M435" s="849" t="s">
        <v>3351</v>
      </c>
      <c r="N435" s="852" t="s">
        <v>1687</v>
      </c>
      <c r="O435" s="849" t="s">
        <v>3352</v>
      </c>
      <c r="P435" s="852" t="s">
        <v>1692</v>
      </c>
      <c r="Q435" s="849" t="s">
        <v>3351</v>
      </c>
      <c r="R435" s="852" t="s">
        <v>1701</v>
      </c>
      <c r="S435" s="849" t="s">
        <v>3442</v>
      </c>
      <c r="T435" s="853" t="s">
        <v>1922</v>
      </c>
      <c r="U435" s="853" t="s">
        <v>1929</v>
      </c>
      <c r="V435" s="853" t="s">
        <v>2019</v>
      </c>
      <c r="W435" s="850"/>
    </row>
    <row r="436" spans="1:23" x14ac:dyDescent="0.2">
      <c r="A436" s="849" t="s">
        <v>4234</v>
      </c>
      <c r="B436" s="850">
        <v>18</v>
      </c>
      <c r="C436" s="850">
        <v>22</v>
      </c>
      <c r="D436" s="850">
        <v>40</v>
      </c>
      <c r="E436" s="850">
        <v>8</v>
      </c>
      <c r="F436" s="850">
        <v>16</v>
      </c>
      <c r="G436" s="850">
        <v>28</v>
      </c>
      <c r="H436" s="850">
        <v>3</v>
      </c>
      <c r="I436" s="851" t="s">
        <v>3308</v>
      </c>
      <c r="J436" s="851" t="s">
        <v>4066</v>
      </c>
      <c r="K436" s="850" t="s">
        <v>1700</v>
      </c>
      <c r="L436" s="852" t="s">
        <v>1809</v>
      </c>
      <c r="M436" s="849" t="s">
        <v>3351</v>
      </c>
      <c r="N436" s="852" t="s">
        <v>1687</v>
      </c>
      <c r="O436" s="849" t="s">
        <v>3352</v>
      </c>
      <c r="P436" s="852" t="s">
        <v>1692</v>
      </c>
      <c r="Q436" s="849" t="s">
        <v>3351</v>
      </c>
      <c r="R436" s="852" t="s">
        <v>1701</v>
      </c>
      <c r="S436" s="849" t="s">
        <v>3442</v>
      </c>
      <c r="T436" s="853" t="s">
        <v>1922</v>
      </c>
      <c r="U436" s="853" t="s">
        <v>1929</v>
      </c>
      <c r="V436" s="853" t="s">
        <v>2019</v>
      </c>
      <c r="W436" s="850"/>
    </row>
    <row r="437" spans="1:23" x14ac:dyDescent="0.2">
      <c r="A437" s="691" t="s">
        <v>3530</v>
      </c>
      <c r="B437" s="869"/>
      <c r="C437" s="869"/>
      <c r="D437" s="869"/>
      <c r="E437" s="869"/>
      <c r="F437" s="869"/>
      <c r="G437" s="869"/>
      <c r="H437" s="869"/>
      <c r="I437" s="869"/>
      <c r="J437" s="869"/>
      <c r="K437" s="869"/>
      <c r="L437" s="870"/>
      <c r="M437" s="869"/>
      <c r="N437" s="869"/>
      <c r="O437" s="869"/>
      <c r="P437" s="869"/>
      <c r="Q437" s="869"/>
      <c r="R437" s="869"/>
      <c r="S437" s="869"/>
      <c r="T437" s="869"/>
      <c r="U437" s="869"/>
      <c r="V437" s="869"/>
      <c r="W437" s="850"/>
    </row>
    <row r="438" spans="1:23" x14ac:dyDescent="0.2">
      <c r="A438" s="849" t="s">
        <v>4235</v>
      </c>
      <c r="B438" s="850">
        <v>1</v>
      </c>
      <c r="C438" s="850">
        <v>2</v>
      </c>
      <c r="D438" s="850">
        <v>5</v>
      </c>
      <c r="E438" s="850">
        <v>1</v>
      </c>
      <c r="F438" s="850">
        <v>2</v>
      </c>
      <c r="G438" s="850">
        <v>4</v>
      </c>
      <c r="H438" s="850">
        <v>1</v>
      </c>
      <c r="I438" s="851" t="s">
        <v>3308</v>
      </c>
      <c r="J438" s="851" t="s">
        <v>4066</v>
      </c>
      <c r="K438" s="850" t="s">
        <v>1701</v>
      </c>
      <c r="L438" s="852" t="s">
        <v>1809</v>
      </c>
      <c r="M438" s="849" t="s">
        <v>3351</v>
      </c>
      <c r="N438" s="852" t="s">
        <v>1687</v>
      </c>
      <c r="O438" s="849" t="s">
        <v>3352</v>
      </c>
      <c r="P438" s="852" t="s">
        <v>1692</v>
      </c>
      <c r="Q438" s="849" t="s">
        <v>3351</v>
      </c>
      <c r="R438" s="852" t="s">
        <v>1700</v>
      </c>
      <c r="S438" s="849" t="s">
        <v>3442</v>
      </c>
      <c r="T438" s="853" t="s">
        <v>1922</v>
      </c>
      <c r="U438" s="853" t="s">
        <v>1925</v>
      </c>
      <c r="V438" s="853" t="s">
        <v>2019</v>
      </c>
      <c r="W438" s="850"/>
    </row>
    <row r="439" spans="1:23" x14ac:dyDescent="0.2">
      <c r="A439" s="849" t="s">
        <v>4236</v>
      </c>
      <c r="B439" s="850">
        <v>2</v>
      </c>
      <c r="C439" s="850">
        <v>4</v>
      </c>
      <c r="D439" s="850">
        <v>5</v>
      </c>
      <c r="E439" s="850">
        <v>2</v>
      </c>
      <c r="F439" s="850">
        <v>4</v>
      </c>
      <c r="G439" s="850">
        <v>7</v>
      </c>
      <c r="H439" s="850">
        <v>1</v>
      </c>
      <c r="I439" s="851" t="s">
        <v>3308</v>
      </c>
      <c r="J439" s="851" t="s">
        <v>4066</v>
      </c>
      <c r="K439" s="850" t="s">
        <v>1701</v>
      </c>
      <c r="L439" s="852" t="s">
        <v>1809</v>
      </c>
      <c r="M439" s="849" t="s">
        <v>3351</v>
      </c>
      <c r="N439" s="852" t="s">
        <v>1687</v>
      </c>
      <c r="O439" s="849" t="s">
        <v>3352</v>
      </c>
      <c r="P439" s="852" t="s">
        <v>1692</v>
      </c>
      <c r="Q439" s="849" t="s">
        <v>3351</v>
      </c>
      <c r="R439" s="852" t="s">
        <v>1700</v>
      </c>
      <c r="S439" s="849" t="s">
        <v>3442</v>
      </c>
      <c r="T439" s="853" t="s">
        <v>1922</v>
      </c>
      <c r="U439" s="853" t="s">
        <v>1925</v>
      </c>
      <c r="V439" s="853" t="s">
        <v>2019</v>
      </c>
      <c r="W439" s="850"/>
    </row>
    <row r="440" spans="1:23" x14ac:dyDescent="0.2">
      <c r="A440" s="849" t="s">
        <v>4237</v>
      </c>
      <c r="B440" s="850">
        <v>4</v>
      </c>
      <c r="C440" s="850">
        <v>6</v>
      </c>
      <c r="D440" s="850">
        <v>10</v>
      </c>
      <c r="E440" s="850">
        <v>3</v>
      </c>
      <c r="F440" s="850">
        <v>6</v>
      </c>
      <c r="G440" s="850">
        <v>11</v>
      </c>
      <c r="H440" s="850">
        <v>1</v>
      </c>
      <c r="I440" s="851" t="s">
        <v>3308</v>
      </c>
      <c r="J440" s="851" t="s">
        <v>4066</v>
      </c>
      <c r="K440" s="850" t="s">
        <v>1701</v>
      </c>
      <c r="L440" s="852" t="s">
        <v>1809</v>
      </c>
      <c r="M440" s="849" t="s">
        <v>3351</v>
      </c>
      <c r="N440" s="852" t="s">
        <v>1687</v>
      </c>
      <c r="O440" s="849" t="s">
        <v>3352</v>
      </c>
      <c r="P440" s="852" t="s">
        <v>1692</v>
      </c>
      <c r="Q440" s="849" t="s">
        <v>3351</v>
      </c>
      <c r="R440" s="852" t="s">
        <v>1700</v>
      </c>
      <c r="S440" s="849" t="s">
        <v>3442</v>
      </c>
      <c r="T440" s="853" t="s">
        <v>1922</v>
      </c>
      <c r="U440" s="853" t="s">
        <v>1925</v>
      </c>
      <c r="V440" s="853" t="s">
        <v>2019</v>
      </c>
      <c r="W440" s="850"/>
    </row>
    <row r="441" spans="1:23" x14ac:dyDescent="0.2">
      <c r="A441" s="849" t="s">
        <v>4238</v>
      </c>
      <c r="B441" s="850">
        <v>6</v>
      </c>
      <c r="C441" s="850">
        <v>9</v>
      </c>
      <c r="D441" s="850">
        <v>15</v>
      </c>
      <c r="E441" s="850">
        <v>4</v>
      </c>
      <c r="F441" s="850">
        <v>8</v>
      </c>
      <c r="G441" s="850">
        <v>14</v>
      </c>
      <c r="H441" s="850">
        <v>1</v>
      </c>
      <c r="I441" s="851" t="s">
        <v>3308</v>
      </c>
      <c r="J441" s="851" t="s">
        <v>4066</v>
      </c>
      <c r="K441" s="850" t="s">
        <v>1701</v>
      </c>
      <c r="L441" s="852" t="s">
        <v>1809</v>
      </c>
      <c r="M441" s="849" t="s">
        <v>3351</v>
      </c>
      <c r="N441" s="852" t="s">
        <v>1687</v>
      </c>
      <c r="O441" s="849" t="s">
        <v>3352</v>
      </c>
      <c r="P441" s="852" t="s">
        <v>1692</v>
      </c>
      <c r="Q441" s="849" t="s">
        <v>3351</v>
      </c>
      <c r="R441" s="852" t="s">
        <v>1700</v>
      </c>
      <c r="S441" s="849" t="s">
        <v>3442</v>
      </c>
      <c r="T441" s="853" t="s">
        <v>1922</v>
      </c>
      <c r="U441" s="853" t="s">
        <v>1925</v>
      </c>
      <c r="V441" s="853" t="s">
        <v>2019</v>
      </c>
      <c r="W441" s="850"/>
    </row>
    <row r="442" spans="1:23" x14ac:dyDescent="0.2">
      <c r="A442" s="849" t="s">
        <v>4239</v>
      </c>
      <c r="B442" s="850">
        <v>8</v>
      </c>
      <c r="C442" s="850">
        <v>11</v>
      </c>
      <c r="D442" s="850">
        <v>20</v>
      </c>
      <c r="E442" s="850">
        <v>5</v>
      </c>
      <c r="F442" s="850">
        <v>10</v>
      </c>
      <c r="G442" s="850">
        <v>18</v>
      </c>
      <c r="H442" s="850">
        <v>2</v>
      </c>
      <c r="I442" s="851" t="s">
        <v>3308</v>
      </c>
      <c r="J442" s="851" t="s">
        <v>4066</v>
      </c>
      <c r="K442" s="850" t="s">
        <v>1701</v>
      </c>
      <c r="L442" s="852" t="s">
        <v>1809</v>
      </c>
      <c r="M442" s="849" t="s">
        <v>3351</v>
      </c>
      <c r="N442" s="852" t="s">
        <v>1687</v>
      </c>
      <c r="O442" s="849" t="s">
        <v>3352</v>
      </c>
      <c r="P442" s="852" t="s">
        <v>1692</v>
      </c>
      <c r="Q442" s="849" t="s">
        <v>3351</v>
      </c>
      <c r="R442" s="852" t="s">
        <v>1700</v>
      </c>
      <c r="S442" s="849" t="s">
        <v>3442</v>
      </c>
      <c r="T442" s="853" t="s">
        <v>1922</v>
      </c>
      <c r="U442" s="853" t="s">
        <v>1925</v>
      </c>
      <c r="V442" s="853" t="s">
        <v>2019</v>
      </c>
      <c r="W442" s="850"/>
    </row>
    <row r="443" spans="1:23" x14ac:dyDescent="0.2">
      <c r="A443" s="849" t="s">
        <v>4240</v>
      </c>
      <c r="B443" s="850">
        <v>10</v>
      </c>
      <c r="C443" s="850">
        <v>13</v>
      </c>
      <c r="D443" s="850">
        <v>25</v>
      </c>
      <c r="E443" s="850">
        <v>6</v>
      </c>
      <c r="F443" s="850">
        <v>12</v>
      </c>
      <c r="G443" s="850">
        <v>21</v>
      </c>
      <c r="H443" s="850">
        <v>2</v>
      </c>
      <c r="I443" s="851" t="s">
        <v>3308</v>
      </c>
      <c r="J443" s="851" t="s">
        <v>4066</v>
      </c>
      <c r="K443" s="850" t="s">
        <v>1701</v>
      </c>
      <c r="L443" s="852" t="s">
        <v>1809</v>
      </c>
      <c r="M443" s="849" t="s">
        <v>3351</v>
      </c>
      <c r="N443" s="852" t="s">
        <v>1687</v>
      </c>
      <c r="O443" s="849" t="s">
        <v>3352</v>
      </c>
      <c r="P443" s="852" t="s">
        <v>1692</v>
      </c>
      <c r="Q443" s="849" t="s">
        <v>3351</v>
      </c>
      <c r="R443" s="852" t="s">
        <v>1700</v>
      </c>
      <c r="S443" s="849" t="s">
        <v>3442</v>
      </c>
      <c r="T443" s="853" t="s">
        <v>1922</v>
      </c>
      <c r="U443" s="853" t="s">
        <v>1925</v>
      </c>
      <c r="V443" s="853" t="s">
        <v>2019</v>
      </c>
      <c r="W443" s="850"/>
    </row>
    <row r="444" spans="1:23" x14ac:dyDescent="0.2">
      <c r="A444" s="849" t="s">
        <v>4241</v>
      </c>
      <c r="B444" s="850">
        <v>14</v>
      </c>
      <c r="C444" s="850">
        <v>18</v>
      </c>
      <c r="D444" s="850">
        <v>30</v>
      </c>
      <c r="E444" s="850">
        <v>7</v>
      </c>
      <c r="F444" s="850">
        <v>14</v>
      </c>
      <c r="G444" s="850">
        <v>25</v>
      </c>
      <c r="H444" s="850">
        <v>3</v>
      </c>
      <c r="I444" s="851" t="s">
        <v>3308</v>
      </c>
      <c r="J444" s="851" t="s">
        <v>4066</v>
      </c>
      <c r="K444" s="850" t="s">
        <v>1701</v>
      </c>
      <c r="L444" s="852" t="s">
        <v>1809</v>
      </c>
      <c r="M444" s="849" t="s">
        <v>3351</v>
      </c>
      <c r="N444" s="852" t="s">
        <v>1687</v>
      </c>
      <c r="O444" s="849" t="s">
        <v>3352</v>
      </c>
      <c r="P444" s="852" t="s">
        <v>1692</v>
      </c>
      <c r="Q444" s="849" t="s">
        <v>3351</v>
      </c>
      <c r="R444" s="852" t="s">
        <v>1700</v>
      </c>
      <c r="S444" s="849" t="s">
        <v>3442</v>
      </c>
      <c r="T444" s="853" t="s">
        <v>1922</v>
      </c>
      <c r="U444" s="853" t="s">
        <v>1925</v>
      </c>
      <c r="V444" s="853" t="s">
        <v>2019</v>
      </c>
      <c r="W444" s="850"/>
    </row>
    <row r="445" spans="1:23" x14ac:dyDescent="0.2">
      <c r="A445" s="849" t="s">
        <v>4242</v>
      </c>
      <c r="B445" s="850">
        <v>18</v>
      </c>
      <c r="C445" s="850">
        <v>22</v>
      </c>
      <c r="D445" s="850">
        <v>40</v>
      </c>
      <c r="E445" s="850">
        <v>8</v>
      </c>
      <c r="F445" s="850">
        <v>16</v>
      </c>
      <c r="G445" s="850">
        <v>28</v>
      </c>
      <c r="H445" s="850">
        <v>3</v>
      </c>
      <c r="I445" s="851" t="s">
        <v>3308</v>
      </c>
      <c r="J445" s="851" t="s">
        <v>4066</v>
      </c>
      <c r="K445" s="850" t="s">
        <v>1701</v>
      </c>
      <c r="L445" s="852" t="s">
        <v>1809</v>
      </c>
      <c r="M445" s="849" t="s">
        <v>3351</v>
      </c>
      <c r="N445" s="852" t="s">
        <v>1687</v>
      </c>
      <c r="O445" s="849" t="s">
        <v>3352</v>
      </c>
      <c r="P445" s="852" t="s">
        <v>1692</v>
      </c>
      <c r="Q445" s="849" t="s">
        <v>3351</v>
      </c>
      <c r="R445" s="852" t="s">
        <v>1700</v>
      </c>
      <c r="S445" s="849" t="s">
        <v>3442</v>
      </c>
      <c r="T445" s="853" t="s">
        <v>1922</v>
      </c>
      <c r="U445" s="853" t="s">
        <v>1925</v>
      </c>
      <c r="V445" s="853" t="s">
        <v>2019</v>
      </c>
      <c r="W445" s="850"/>
    </row>
    <row r="446" spans="1:23" x14ac:dyDescent="0.2">
      <c r="A446" s="691" t="s">
        <v>3533</v>
      </c>
      <c r="B446" s="869"/>
      <c r="C446" s="869"/>
      <c r="D446" s="869"/>
      <c r="E446" s="869"/>
      <c r="F446" s="869"/>
      <c r="G446" s="869"/>
      <c r="H446" s="869"/>
      <c r="I446" s="869"/>
      <c r="J446" s="869"/>
      <c r="K446" s="869"/>
      <c r="L446" s="870"/>
      <c r="M446" s="869"/>
      <c r="N446" s="869"/>
      <c r="O446" s="869"/>
      <c r="P446" s="869"/>
      <c r="Q446" s="869"/>
      <c r="R446" s="869"/>
      <c r="S446" s="869"/>
      <c r="T446" s="869"/>
      <c r="U446" s="869"/>
      <c r="V446" s="869"/>
      <c r="W446" s="850"/>
    </row>
    <row r="447" spans="1:23" x14ac:dyDescent="0.2">
      <c r="A447" s="849" t="s">
        <v>4243</v>
      </c>
      <c r="B447" s="850">
        <v>2</v>
      </c>
      <c r="C447" s="850">
        <v>4</v>
      </c>
      <c r="D447" s="850">
        <v>5</v>
      </c>
      <c r="E447" s="850">
        <v>1</v>
      </c>
      <c r="F447" s="850">
        <v>2</v>
      </c>
      <c r="G447" s="850">
        <v>4</v>
      </c>
      <c r="H447" s="850">
        <v>1</v>
      </c>
      <c r="I447" s="851" t="s">
        <v>3308</v>
      </c>
      <c r="J447" s="851" t="s">
        <v>4066</v>
      </c>
      <c r="K447" s="850" t="s">
        <v>1700</v>
      </c>
      <c r="L447" s="852" t="s">
        <v>1682</v>
      </c>
      <c r="M447" s="849" t="s">
        <v>4086</v>
      </c>
      <c r="N447" s="852" t="s">
        <v>1809</v>
      </c>
      <c r="O447" s="849" t="s">
        <v>4086</v>
      </c>
      <c r="P447" s="852" t="s">
        <v>1687</v>
      </c>
      <c r="Q447" s="849" t="s">
        <v>4086</v>
      </c>
      <c r="R447" s="852" t="s">
        <v>1701</v>
      </c>
      <c r="S447" s="849" t="s">
        <v>3442</v>
      </c>
      <c r="T447" s="853" t="s">
        <v>1925</v>
      </c>
      <c r="U447" s="853" t="s">
        <v>1922</v>
      </c>
      <c r="V447" s="853" t="s">
        <v>2019</v>
      </c>
      <c r="W447" s="850"/>
    </row>
    <row r="448" spans="1:23" x14ac:dyDescent="0.2">
      <c r="A448" s="849" t="s">
        <v>4244</v>
      </c>
      <c r="B448" s="850">
        <v>4</v>
      </c>
      <c r="C448" s="850">
        <v>6</v>
      </c>
      <c r="D448" s="850">
        <v>10</v>
      </c>
      <c r="E448" s="850">
        <v>2</v>
      </c>
      <c r="F448" s="850">
        <v>4</v>
      </c>
      <c r="G448" s="850">
        <v>7</v>
      </c>
      <c r="H448" s="850">
        <v>1</v>
      </c>
      <c r="I448" s="851" t="s">
        <v>3308</v>
      </c>
      <c r="J448" s="851" t="s">
        <v>4066</v>
      </c>
      <c r="K448" s="850" t="s">
        <v>1700</v>
      </c>
      <c r="L448" s="852" t="s">
        <v>1682</v>
      </c>
      <c r="M448" s="849" t="s">
        <v>4086</v>
      </c>
      <c r="N448" s="852" t="s">
        <v>1809</v>
      </c>
      <c r="O448" s="849" t="s">
        <v>4086</v>
      </c>
      <c r="P448" s="852" t="s">
        <v>1687</v>
      </c>
      <c r="Q448" s="849" t="s">
        <v>4086</v>
      </c>
      <c r="R448" s="852" t="s">
        <v>1701</v>
      </c>
      <c r="S448" s="849" t="s">
        <v>3442</v>
      </c>
      <c r="T448" s="853" t="s">
        <v>1925</v>
      </c>
      <c r="U448" s="853" t="s">
        <v>1922</v>
      </c>
      <c r="V448" s="853" t="s">
        <v>2019</v>
      </c>
      <c r="W448" s="850"/>
    </row>
    <row r="449" spans="1:23" x14ac:dyDescent="0.2">
      <c r="A449" s="849" t="s">
        <v>4245</v>
      </c>
      <c r="B449" s="850">
        <v>3</v>
      </c>
      <c r="C449" s="850">
        <v>5</v>
      </c>
      <c r="D449" s="850">
        <v>5</v>
      </c>
      <c r="E449" s="850">
        <v>1</v>
      </c>
      <c r="F449" s="850">
        <v>2</v>
      </c>
      <c r="G449" s="850">
        <v>4</v>
      </c>
      <c r="H449" s="850">
        <v>1</v>
      </c>
      <c r="I449" s="851" t="s">
        <v>3308</v>
      </c>
      <c r="J449" s="851" t="s">
        <v>4066</v>
      </c>
      <c r="K449" s="850" t="s">
        <v>1700</v>
      </c>
      <c r="L449" s="852" t="s">
        <v>1682</v>
      </c>
      <c r="M449" s="849" t="s">
        <v>4086</v>
      </c>
      <c r="N449" s="852" t="s">
        <v>1809</v>
      </c>
      <c r="O449" s="849" t="s">
        <v>4086</v>
      </c>
      <c r="P449" s="852" t="s">
        <v>1687</v>
      </c>
      <c r="Q449" s="849" t="s">
        <v>4086</v>
      </c>
      <c r="R449" s="852" t="s">
        <v>1701</v>
      </c>
      <c r="S449" s="849" t="s">
        <v>3442</v>
      </c>
      <c r="T449" s="853" t="s">
        <v>1925</v>
      </c>
      <c r="U449" s="853" t="s">
        <v>1922</v>
      </c>
      <c r="V449" s="853" t="s">
        <v>2019</v>
      </c>
      <c r="W449" s="850"/>
    </row>
    <row r="450" spans="1:23" x14ac:dyDescent="0.2">
      <c r="A450" s="849" t="s">
        <v>4246</v>
      </c>
      <c r="B450" s="850">
        <v>3</v>
      </c>
      <c r="C450" s="850">
        <v>5</v>
      </c>
      <c r="D450" s="850">
        <v>5</v>
      </c>
      <c r="E450" s="850">
        <v>1</v>
      </c>
      <c r="F450" s="850">
        <v>2</v>
      </c>
      <c r="G450" s="850">
        <v>4</v>
      </c>
      <c r="H450" s="850">
        <v>1</v>
      </c>
      <c r="I450" s="851" t="s">
        <v>3308</v>
      </c>
      <c r="J450" s="851" t="s">
        <v>4066</v>
      </c>
      <c r="K450" s="850" t="s">
        <v>1700</v>
      </c>
      <c r="L450" s="852" t="s">
        <v>1682</v>
      </c>
      <c r="M450" s="849" t="s">
        <v>4086</v>
      </c>
      <c r="N450" s="852" t="s">
        <v>1809</v>
      </c>
      <c r="O450" s="849" t="s">
        <v>4086</v>
      </c>
      <c r="P450" s="852" t="s">
        <v>1687</v>
      </c>
      <c r="Q450" s="849" t="s">
        <v>4086</v>
      </c>
      <c r="R450" s="852" t="s">
        <v>1701</v>
      </c>
      <c r="S450" s="849" t="s">
        <v>3442</v>
      </c>
      <c r="T450" s="853" t="s">
        <v>1925</v>
      </c>
      <c r="U450" s="853" t="s">
        <v>1922</v>
      </c>
      <c r="V450" s="853" t="s">
        <v>2019</v>
      </c>
      <c r="W450" s="850"/>
    </row>
    <row r="451" spans="1:23" x14ac:dyDescent="0.2">
      <c r="A451" s="849" t="s">
        <v>4247</v>
      </c>
      <c r="B451" s="850">
        <v>3</v>
      </c>
      <c r="C451" s="850">
        <v>5</v>
      </c>
      <c r="D451" s="850">
        <v>5</v>
      </c>
      <c r="E451" s="850">
        <v>1</v>
      </c>
      <c r="F451" s="850">
        <v>2</v>
      </c>
      <c r="G451" s="850">
        <v>4</v>
      </c>
      <c r="H451" s="850">
        <v>1</v>
      </c>
      <c r="I451" s="851" t="s">
        <v>3308</v>
      </c>
      <c r="J451" s="851" t="s">
        <v>4066</v>
      </c>
      <c r="K451" s="850" t="s">
        <v>1700</v>
      </c>
      <c r="L451" s="852" t="s">
        <v>1682</v>
      </c>
      <c r="M451" s="849" t="s">
        <v>4086</v>
      </c>
      <c r="N451" s="852" t="s">
        <v>1809</v>
      </c>
      <c r="O451" s="849" t="s">
        <v>4086</v>
      </c>
      <c r="P451" s="852" t="s">
        <v>1687</v>
      </c>
      <c r="Q451" s="849" t="s">
        <v>4086</v>
      </c>
      <c r="R451" s="852" t="s">
        <v>1701</v>
      </c>
      <c r="S451" s="849" t="s">
        <v>3442</v>
      </c>
      <c r="T451" s="853" t="s">
        <v>1925</v>
      </c>
      <c r="U451" s="853" t="s">
        <v>1922</v>
      </c>
      <c r="V451" s="853" t="s">
        <v>2019</v>
      </c>
      <c r="W451" s="850"/>
    </row>
    <row r="452" spans="1:23" x14ac:dyDescent="0.2">
      <c r="A452" s="849" t="s">
        <v>4248</v>
      </c>
      <c r="B452" s="850">
        <v>5</v>
      </c>
      <c r="C452" s="850">
        <v>8</v>
      </c>
      <c r="D452" s="850">
        <v>15</v>
      </c>
      <c r="E452" s="850">
        <v>2</v>
      </c>
      <c r="F452" s="850">
        <v>4</v>
      </c>
      <c r="G452" s="850">
        <v>7</v>
      </c>
      <c r="H452" s="850">
        <v>1</v>
      </c>
      <c r="I452" s="851" t="s">
        <v>3308</v>
      </c>
      <c r="J452" s="851" t="s">
        <v>4066</v>
      </c>
      <c r="K452" s="850" t="s">
        <v>1700</v>
      </c>
      <c r="L452" s="852" t="s">
        <v>1682</v>
      </c>
      <c r="M452" s="849" t="s">
        <v>4086</v>
      </c>
      <c r="N452" s="852" t="s">
        <v>1809</v>
      </c>
      <c r="O452" s="849" t="s">
        <v>4086</v>
      </c>
      <c r="P452" s="852" t="s">
        <v>1687</v>
      </c>
      <c r="Q452" s="849" t="s">
        <v>4086</v>
      </c>
      <c r="R452" s="852" t="s">
        <v>1701</v>
      </c>
      <c r="S452" s="849" t="s">
        <v>3442</v>
      </c>
      <c r="T452" s="853" t="s">
        <v>1925</v>
      </c>
      <c r="U452" s="853" t="s">
        <v>1922</v>
      </c>
      <c r="V452" s="853" t="s">
        <v>2019</v>
      </c>
      <c r="W452" s="850"/>
    </row>
    <row r="453" spans="1:23" x14ac:dyDescent="0.2">
      <c r="A453" s="849" t="s">
        <v>4249</v>
      </c>
      <c r="B453" s="850">
        <v>8</v>
      </c>
      <c r="C453" s="850">
        <v>11</v>
      </c>
      <c r="D453" s="850">
        <v>25</v>
      </c>
      <c r="E453" s="850">
        <v>2</v>
      </c>
      <c r="F453" s="850">
        <v>4</v>
      </c>
      <c r="G453" s="850">
        <v>7</v>
      </c>
      <c r="H453" s="850">
        <v>2</v>
      </c>
      <c r="I453" s="851" t="s">
        <v>3308</v>
      </c>
      <c r="J453" s="851" t="s">
        <v>4066</v>
      </c>
      <c r="K453" s="850" t="s">
        <v>1700</v>
      </c>
      <c r="L453" s="852" t="s">
        <v>1682</v>
      </c>
      <c r="M453" s="849" t="s">
        <v>4086</v>
      </c>
      <c r="N453" s="852" t="s">
        <v>1809</v>
      </c>
      <c r="O453" s="849" t="s">
        <v>4086</v>
      </c>
      <c r="P453" s="852" t="s">
        <v>1687</v>
      </c>
      <c r="Q453" s="849" t="s">
        <v>4086</v>
      </c>
      <c r="R453" s="852" t="s">
        <v>1701</v>
      </c>
      <c r="S453" s="849" t="s">
        <v>3442</v>
      </c>
      <c r="T453" s="853" t="s">
        <v>1925</v>
      </c>
      <c r="U453" s="853" t="s">
        <v>1922</v>
      </c>
      <c r="V453" s="853" t="s">
        <v>2019</v>
      </c>
      <c r="W453" s="850"/>
    </row>
    <row r="454" spans="1:23" x14ac:dyDescent="0.2">
      <c r="A454" s="684" t="s">
        <v>3537</v>
      </c>
      <c r="B454" s="873"/>
      <c r="C454" s="873"/>
      <c r="D454" s="873"/>
      <c r="E454" s="873"/>
      <c r="F454" s="873"/>
      <c r="G454" s="873"/>
      <c r="H454" s="873"/>
      <c r="I454" s="873"/>
      <c r="J454" s="873"/>
      <c r="K454" s="873"/>
      <c r="L454" s="874"/>
      <c r="M454" s="873"/>
      <c r="N454" s="873"/>
      <c r="O454" s="873"/>
      <c r="P454" s="873"/>
      <c r="Q454" s="873"/>
      <c r="R454" s="873"/>
      <c r="S454" s="873"/>
      <c r="T454" s="873"/>
      <c r="U454" s="873"/>
      <c r="V454" s="873"/>
      <c r="W454" s="850"/>
    </row>
    <row r="455" spans="1:23" x14ac:dyDescent="0.2">
      <c r="A455" s="691" t="s">
        <v>3542</v>
      </c>
      <c r="B455" s="869"/>
      <c r="C455" s="869"/>
      <c r="D455" s="869"/>
      <c r="E455" s="869"/>
      <c r="F455" s="869"/>
      <c r="G455" s="869"/>
      <c r="H455" s="869"/>
      <c r="I455" s="869"/>
      <c r="J455" s="869"/>
      <c r="K455" s="869"/>
      <c r="L455" s="870"/>
      <c r="M455" s="869"/>
      <c r="N455" s="869"/>
      <c r="O455" s="869"/>
      <c r="P455" s="869"/>
      <c r="Q455" s="869"/>
      <c r="R455" s="869"/>
      <c r="S455" s="869"/>
      <c r="T455" s="869"/>
      <c r="U455" s="869"/>
      <c r="V455" s="869"/>
      <c r="W455" s="850"/>
    </row>
    <row r="456" spans="1:23" x14ac:dyDescent="0.2">
      <c r="A456" s="849" t="s">
        <v>4250</v>
      </c>
      <c r="B456" s="850">
        <v>1</v>
      </c>
      <c r="C456" s="850">
        <v>2</v>
      </c>
      <c r="D456" s="850">
        <v>5</v>
      </c>
      <c r="E456" s="850">
        <v>1</v>
      </c>
      <c r="F456" s="850">
        <v>2</v>
      </c>
      <c r="G456" s="850">
        <v>4</v>
      </c>
      <c r="H456" s="850">
        <v>1</v>
      </c>
      <c r="I456" s="851" t="s">
        <v>3303</v>
      </c>
      <c r="J456" s="851" t="s">
        <v>1534</v>
      </c>
      <c r="K456" s="850" t="s">
        <v>1700</v>
      </c>
      <c r="L456" s="852" t="s">
        <v>1809</v>
      </c>
      <c r="M456" s="849" t="s">
        <v>3351</v>
      </c>
      <c r="N456" s="852" t="s">
        <v>1687</v>
      </c>
      <c r="O456" s="849" t="s">
        <v>3352</v>
      </c>
      <c r="P456" s="852" t="s">
        <v>1692</v>
      </c>
      <c r="Q456" s="849" t="s">
        <v>3352</v>
      </c>
      <c r="R456" s="852" t="s">
        <v>1701</v>
      </c>
      <c r="S456" s="849" t="s">
        <v>3442</v>
      </c>
      <c r="T456" s="853" t="s">
        <v>1929</v>
      </c>
      <c r="U456" s="853" t="s">
        <v>2019</v>
      </c>
      <c r="V456" s="853" t="s">
        <v>2020</v>
      </c>
      <c r="W456" s="850"/>
    </row>
    <row r="457" spans="1:23" x14ac:dyDescent="0.2">
      <c r="A457" s="691" t="s">
        <v>3548</v>
      </c>
      <c r="B457" s="869"/>
      <c r="C457" s="869"/>
      <c r="D457" s="869"/>
      <c r="E457" s="869"/>
      <c r="F457" s="869"/>
      <c r="G457" s="869"/>
      <c r="H457" s="869"/>
      <c r="I457" s="869"/>
      <c r="J457" s="869"/>
      <c r="K457" s="869"/>
      <c r="L457" s="870"/>
      <c r="M457" s="869"/>
      <c r="N457" s="869"/>
      <c r="O457" s="869"/>
      <c r="P457" s="869"/>
      <c r="Q457" s="869"/>
      <c r="R457" s="869"/>
      <c r="S457" s="869"/>
      <c r="T457" s="869"/>
      <c r="U457" s="869"/>
      <c r="V457" s="869"/>
      <c r="W457" s="850"/>
    </row>
    <row r="458" spans="1:23" x14ac:dyDescent="0.2">
      <c r="A458" s="849" t="s">
        <v>4251</v>
      </c>
      <c r="B458" s="850">
        <v>2</v>
      </c>
      <c r="C458" s="850">
        <v>4</v>
      </c>
      <c r="D458" s="850">
        <v>5</v>
      </c>
      <c r="E458" s="850">
        <v>1</v>
      </c>
      <c r="F458" s="850">
        <v>2</v>
      </c>
      <c r="G458" s="850">
        <v>4</v>
      </c>
      <c r="H458" s="850">
        <v>1</v>
      </c>
      <c r="I458" s="851" t="s">
        <v>3308</v>
      </c>
      <c r="J458" s="851" t="s">
        <v>1534</v>
      </c>
      <c r="K458" s="850" t="s">
        <v>1700</v>
      </c>
      <c r="L458" s="852" t="s">
        <v>1809</v>
      </c>
      <c r="M458" s="849" t="s">
        <v>3351</v>
      </c>
      <c r="N458" s="852" t="s">
        <v>1687</v>
      </c>
      <c r="O458" s="849" t="s">
        <v>3352</v>
      </c>
      <c r="P458" s="852" t="s">
        <v>1692</v>
      </c>
      <c r="Q458" s="849" t="s">
        <v>3352</v>
      </c>
      <c r="R458" s="852" t="s">
        <v>1701</v>
      </c>
      <c r="S458" s="849" t="s">
        <v>3442</v>
      </c>
      <c r="T458" s="853" t="s">
        <v>4066</v>
      </c>
      <c r="U458" s="850"/>
      <c r="V458" s="850"/>
      <c r="W458" s="850"/>
    </row>
    <row r="459" spans="1:23" x14ac:dyDescent="0.2">
      <c r="A459" s="691" t="s">
        <v>3554</v>
      </c>
      <c r="B459" s="869"/>
      <c r="C459" s="869"/>
      <c r="D459" s="869"/>
      <c r="E459" s="869"/>
      <c r="F459" s="869"/>
      <c r="G459" s="869"/>
      <c r="H459" s="869"/>
      <c r="I459" s="869"/>
      <c r="J459" s="869"/>
      <c r="K459" s="869"/>
      <c r="L459" s="870"/>
      <c r="M459" s="869"/>
      <c r="N459" s="869"/>
      <c r="O459" s="869"/>
      <c r="P459" s="869"/>
      <c r="Q459" s="869"/>
      <c r="R459" s="869"/>
      <c r="S459" s="869"/>
      <c r="T459" s="869"/>
      <c r="U459" s="869"/>
      <c r="V459" s="869"/>
      <c r="W459" s="850"/>
    </row>
    <row r="460" spans="1:23" x14ac:dyDescent="0.2">
      <c r="A460" s="849" t="s">
        <v>4252</v>
      </c>
      <c r="B460" s="850">
        <v>2</v>
      </c>
      <c r="C460" s="850">
        <v>4</v>
      </c>
      <c r="D460" s="850">
        <v>5</v>
      </c>
      <c r="E460" s="850">
        <v>1</v>
      </c>
      <c r="F460" s="850">
        <v>2</v>
      </c>
      <c r="G460" s="850">
        <v>4</v>
      </c>
      <c r="H460" s="850">
        <v>1</v>
      </c>
      <c r="I460" s="851" t="s">
        <v>3308</v>
      </c>
      <c r="J460" s="851" t="s">
        <v>4066</v>
      </c>
      <c r="K460" s="850" t="s">
        <v>1700</v>
      </c>
      <c r="L460" s="852" t="s">
        <v>1809</v>
      </c>
      <c r="M460" s="849" t="s">
        <v>3442</v>
      </c>
      <c r="N460" s="852" t="s">
        <v>1687</v>
      </c>
      <c r="O460" s="849" t="s">
        <v>3352</v>
      </c>
      <c r="P460" s="852" t="s">
        <v>1692</v>
      </c>
      <c r="Q460" s="849" t="s">
        <v>3351</v>
      </c>
      <c r="R460" s="852" t="s">
        <v>1701</v>
      </c>
      <c r="S460" s="849" t="s">
        <v>3442</v>
      </c>
      <c r="T460" s="853" t="s">
        <v>2019</v>
      </c>
      <c r="U460" s="853" t="s">
        <v>2020</v>
      </c>
      <c r="V460" s="853" t="s">
        <v>2024</v>
      </c>
      <c r="W460" s="850"/>
    </row>
    <row r="461" spans="1:23" x14ac:dyDescent="0.2">
      <c r="A461" s="849" t="s">
        <v>4253</v>
      </c>
      <c r="B461" s="850">
        <v>4</v>
      </c>
      <c r="C461" s="850">
        <v>6</v>
      </c>
      <c r="D461" s="850">
        <v>5</v>
      </c>
      <c r="E461" s="850">
        <v>1</v>
      </c>
      <c r="F461" s="850">
        <v>2</v>
      </c>
      <c r="G461" s="850">
        <v>4</v>
      </c>
      <c r="H461" s="850">
        <v>1</v>
      </c>
      <c r="I461" s="851" t="s">
        <v>3308</v>
      </c>
      <c r="J461" s="851" t="s">
        <v>4066</v>
      </c>
      <c r="K461" s="850" t="s">
        <v>1700</v>
      </c>
      <c r="L461" s="852" t="s">
        <v>1809</v>
      </c>
      <c r="M461" s="849" t="s">
        <v>3442</v>
      </c>
      <c r="N461" s="852" t="s">
        <v>1687</v>
      </c>
      <c r="O461" s="849" t="s">
        <v>3352</v>
      </c>
      <c r="P461" s="852" t="s">
        <v>1692</v>
      </c>
      <c r="Q461" s="849" t="s">
        <v>3351</v>
      </c>
      <c r="R461" s="852" t="s">
        <v>1701</v>
      </c>
      <c r="S461" s="849" t="s">
        <v>3442</v>
      </c>
      <c r="T461" s="853" t="s">
        <v>2019</v>
      </c>
      <c r="U461" s="853" t="s">
        <v>2020</v>
      </c>
      <c r="V461" s="853" t="s">
        <v>2024</v>
      </c>
      <c r="W461" s="850"/>
    </row>
    <row r="462" spans="1:23" x14ac:dyDescent="0.2">
      <c r="A462" s="849" t="s">
        <v>4254</v>
      </c>
      <c r="B462" s="850">
        <v>6</v>
      </c>
      <c r="C462" s="850">
        <v>9</v>
      </c>
      <c r="D462" s="850">
        <v>10</v>
      </c>
      <c r="E462" s="850">
        <v>2</v>
      </c>
      <c r="F462" s="850">
        <v>4</v>
      </c>
      <c r="G462" s="850">
        <v>7</v>
      </c>
      <c r="H462" s="850">
        <v>1</v>
      </c>
      <c r="I462" s="851" t="s">
        <v>3308</v>
      </c>
      <c r="J462" s="851" t="s">
        <v>4066</v>
      </c>
      <c r="K462" s="850" t="s">
        <v>1700</v>
      </c>
      <c r="L462" s="852" t="s">
        <v>1809</v>
      </c>
      <c r="M462" s="849" t="s">
        <v>3442</v>
      </c>
      <c r="N462" s="852" t="s">
        <v>1687</v>
      </c>
      <c r="O462" s="849" t="s">
        <v>3352</v>
      </c>
      <c r="P462" s="852" t="s">
        <v>1692</v>
      </c>
      <c r="Q462" s="849" t="s">
        <v>3351</v>
      </c>
      <c r="R462" s="852" t="s">
        <v>1701</v>
      </c>
      <c r="S462" s="849" t="s">
        <v>3442</v>
      </c>
      <c r="T462" s="853" t="s">
        <v>2019</v>
      </c>
      <c r="U462" s="853" t="s">
        <v>2020</v>
      </c>
      <c r="V462" s="853" t="s">
        <v>2024</v>
      </c>
      <c r="W462" s="850"/>
    </row>
    <row r="463" spans="1:23" x14ac:dyDescent="0.2">
      <c r="A463" s="849" t="s">
        <v>4255</v>
      </c>
      <c r="B463" s="850">
        <v>8</v>
      </c>
      <c r="C463" s="850">
        <v>11</v>
      </c>
      <c r="D463" s="850">
        <v>15</v>
      </c>
      <c r="E463" s="850">
        <v>3</v>
      </c>
      <c r="F463" s="850">
        <v>6</v>
      </c>
      <c r="G463" s="850">
        <v>11</v>
      </c>
      <c r="H463" s="850">
        <v>2</v>
      </c>
      <c r="I463" s="851" t="s">
        <v>3308</v>
      </c>
      <c r="J463" s="851" t="s">
        <v>4066</v>
      </c>
      <c r="K463" s="850" t="s">
        <v>1700</v>
      </c>
      <c r="L463" s="852" t="s">
        <v>1809</v>
      </c>
      <c r="M463" s="849" t="s">
        <v>3442</v>
      </c>
      <c r="N463" s="852" t="s">
        <v>1687</v>
      </c>
      <c r="O463" s="849" t="s">
        <v>3352</v>
      </c>
      <c r="P463" s="852" t="s">
        <v>1692</v>
      </c>
      <c r="Q463" s="849" t="s">
        <v>3351</v>
      </c>
      <c r="R463" s="852" t="s">
        <v>1701</v>
      </c>
      <c r="S463" s="849" t="s">
        <v>3442</v>
      </c>
      <c r="T463" s="853" t="s">
        <v>2019</v>
      </c>
      <c r="U463" s="853" t="s">
        <v>2020</v>
      </c>
      <c r="V463" s="853" t="s">
        <v>2024</v>
      </c>
      <c r="W463" s="850"/>
    </row>
    <row r="464" spans="1:23" x14ac:dyDescent="0.2">
      <c r="A464" s="849" t="s">
        <v>4256</v>
      </c>
      <c r="B464" s="850">
        <v>10</v>
      </c>
      <c r="C464" s="850">
        <v>13</v>
      </c>
      <c r="D464" s="850">
        <v>20</v>
      </c>
      <c r="E464" s="850">
        <v>4</v>
      </c>
      <c r="F464" s="850">
        <v>8</v>
      </c>
      <c r="G464" s="850">
        <v>14</v>
      </c>
      <c r="H464" s="850">
        <v>3</v>
      </c>
      <c r="I464" s="851" t="s">
        <v>3308</v>
      </c>
      <c r="J464" s="851" t="s">
        <v>4066</v>
      </c>
      <c r="K464" s="850" t="s">
        <v>1700</v>
      </c>
      <c r="L464" s="852" t="s">
        <v>1809</v>
      </c>
      <c r="M464" s="849" t="s">
        <v>3442</v>
      </c>
      <c r="N464" s="852" t="s">
        <v>1687</v>
      </c>
      <c r="O464" s="849" t="s">
        <v>3352</v>
      </c>
      <c r="P464" s="852" t="s">
        <v>1692</v>
      </c>
      <c r="Q464" s="849" t="s">
        <v>3351</v>
      </c>
      <c r="R464" s="852" t="s">
        <v>1701</v>
      </c>
      <c r="S464" s="849" t="s">
        <v>3442</v>
      </c>
      <c r="T464" s="853" t="s">
        <v>2019</v>
      </c>
      <c r="U464" s="853" t="s">
        <v>2020</v>
      </c>
      <c r="V464" s="853" t="s">
        <v>2024</v>
      </c>
      <c r="W464" s="850"/>
    </row>
    <row r="465" spans="1:23" x14ac:dyDescent="0.2">
      <c r="A465" s="855" t="s">
        <v>4257</v>
      </c>
      <c r="B465" s="856"/>
      <c r="C465" s="856"/>
      <c r="D465" s="856"/>
      <c r="E465" s="856"/>
      <c r="F465" s="856"/>
      <c r="G465" s="856"/>
      <c r="H465" s="856"/>
      <c r="I465" s="856"/>
      <c r="J465" s="856"/>
      <c r="K465" s="856"/>
      <c r="L465" s="857"/>
      <c r="M465" s="856"/>
      <c r="N465" s="856"/>
      <c r="O465" s="856"/>
      <c r="P465" s="856"/>
      <c r="Q465" s="856"/>
      <c r="R465" s="856"/>
      <c r="S465" s="856"/>
      <c r="T465" s="856"/>
      <c r="U465" s="856"/>
      <c r="V465" s="856"/>
      <c r="W465" s="850"/>
    </row>
    <row r="466" spans="1:23" x14ac:dyDescent="0.2">
      <c r="A466" s="849" t="s">
        <v>4258</v>
      </c>
      <c r="B466" s="850">
        <v>2</v>
      </c>
      <c r="C466" s="850">
        <v>2</v>
      </c>
      <c r="D466" s="850">
        <v>10</v>
      </c>
      <c r="E466" s="850">
        <v>1</v>
      </c>
      <c r="F466" s="850">
        <v>2</v>
      </c>
      <c r="G466" s="850">
        <v>4</v>
      </c>
      <c r="H466" s="850"/>
      <c r="I466" s="850"/>
      <c r="J466" s="850"/>
      <c r="K466" s="850"/>
      <c r="L466" s="859"/>
      <c r="M466" s="850"/>
      <c r="N466" s="850"/>
      <c r="O466" s="850"/>
      <c r="P466" s="850"/>
      <c r="Q466" s="850"/>
      <c r="R466" s="850"/>
      <c r="S466" s="850"/>
      <c r="T466" s="850"/>
      <c r="U466" s="850"/>
      <c r="V466" s="850"/>
      <c r="W466" s="850"/>
    </row>
    <row r="467" spans="1:23" x14ac:dyDescent="0.2">
      <c r="A467" s="855" t="s">
        <v>4259</v>
      </c>
      <c r="B467" s="856"/>
      <c r="C467" s="856"/>
      <c r="D467" s="856"/>
      <c r="E467" s="856"/>
      <c r="F467" s="856"/>
      <c r="G467" s="856"/>
      <c r="H467" s="856"/>
      <c r="I467" s="856"/>
      <c r="J467" s="856"/>
      <c r="K467" s="856"/>
      <c r="L467" s="857"/>
      <c r="M467" s="856"/>
      <c r="N467" s="856"/>
      <c r="O467" s="856"/>
      <c r="P467" s="856"/>
      <c r="Q467" s="856"/>
      <c r="R467" s="856"/>
      <c r="S467" s="856"/>
      <c r="T467" s="856"/>
      <c r="U467" s="856"/>
      <c r="V467" s="856"/>
      <c r="W467" s="850"/>
    </row>
    <row r="468" spans="1:23" x14ac:dyDescent="0.2">
      <c r="A468" s="849" t="s">
        <v>4260</v>
      </c>
      <c r="B468" s="850">
        <v>1</v>
      </c>
      <c r="C468" s="850">
        <v>1</v>
      </c>
      <c r="D468" s="850">
        <v>5</v>
      </c>
      <c r="E468" s="850">
        <v>1</v>
      </c>
      <c r="F468" s="850">
        <v>2</v>
      </c>
      <c r="G468" s="850">
        <v>4</v>
      </c>
      <c r="H468" s="850"/>
      <c r="I468" s="850"/>
      <c r="J468" s="850"/>
      <c r="K468" s="850"/>
      <c r="L468" s="859"/>
      <c r="M468" s="850"/>
      <c r="N468" s="850"/>
      <c r="O468" s="850"/>
      <c r="P468" s="850"/>
      <c r="Q468" s="850"/>
      <c r="R468" s="850"/>
      <c r="S468" s="850"/>
      <c r="T468" s="850"/>
      <c r="U468" s="850"/>
      <c r="V468" s="850"/>
      <c r="W468" s="850"/>
    </row>
    <row r="469" spans="1:23" x14ac:dyDescent="0.2">
      <c r="A469" s="849" t="s">
        <v>4261</v>
      </c>
      <c r="B469" s="850">
        <v>2</v>
      </c>
      <c r="C469" s="850">
        <v>2</v>
      </c>
      <c r="D469" s="850">
        <v>10</v>
      </c>
      <c r="E469" s="850">
        <v>2</v>
      </c>
      <c r="F469" s="850">
        <v>4</v>
      </c>
      <c r="G469" s="850">
        <v>7</v>
      </c>
      <c r="H469" s="850"/>
      <c r="I469" s="850"/>
      <c r="J469" s="850"/>
      <c r="K469" s="850"/>
      <c r="L469" s="859"/>
      <c r="M469" s="850"/>
      <c r="N469" s="850"/>
      <c r="O469" s="850"/>
      <c r="P469" s="850"/>
      <c r="Q469" s="850"/>
      <c r="R469" s="850"/>
      <c r="S469" s="850"/>
      <c r="T469" s="850"/>
      <c r="U469" s="850"/>
      <c r="V469" s="850"/>
      <c r="W469" s="850"/>
    </row>
    <row r="470" spans="1:23" x14ac:dyDescent="0.2">
      <c r="A470" s="849" t="s">
        <v>4262</v>
      </c>
      <c r="B470" s="850">
        <v>4</v>
      </c>
      <c r="C470" s="850">
        <v>4</v>
      </c>
      <c r="D470" s="850">
        <v>15</v>
      </c>
      <c r="E470" s="850">
        <v>3</v>
      </c>
      <c r="F470" s="850">
        <v>6</v>
      </c>
      <c r="G470" s="850">
        <v>11</v>
      </c>
      <c r="H470" s="850"/>
      <c r="I470" s="850"/>
      <c r="J470" s="850"/>
      <c r="K470" s="850"/>
      <c r="L470" s="859"/>
      <c r="M470" s="850"/>
      <c r="N470" s="850"/>
      <c r="O470" s="850"/>
      <c r="P470" s="850"/>
      <c r="Q470" s="850"/>
      <c r="R470" s="850"/>
      <c r="S470" s="850"/>
      <c r="T470" s="850"/>
      <c r="U470" s="850"/>
      <c r="V470" s="850"/>
      <c r="W470" s="850"/>
    </row>
    <row r="471" spans="1:23" x14ac:dyDescent="0.2">
      <c r="A471" s="849" t="s">
        <v>4263</v>
      </c>
      <c r="B471" s="850">
        <v>6</v>
      </c>
      <c r="C471" s="850">
        <v>6</v>
      </c>
      <c r="D471" s="850">
        <v>20</v>
      </c>
      <c r="E471" s="850">
        <v>4</v>
      </c>
      <c r="F471" s="850">
        <v>8</v>
      </c>
      <c r="G471" s="850">
        <v>14</v>
      </c>
      <c r="H471" s="850"/>
      <c r="I471" s="850"/>
      <c r="J471" s="850"/>
      <c r="K471" s="850"/>
      <c r="L471" s="859"/>
      <c r="M471" s="850"/>
      <c r="N471" s="850"/>
      <c r="O471" s="850"/>
      <c r="P471" s="850"/>
      <c r="Q471" s="850"/>
      <c r="R471" s="850"/>
      <c r="S471" s="850"/>
      <c r="T471" s="850"/>
      <c r="U471" s="850"/>
      <c r="V471" s="850"/>
      <c r="W471" s="850"/>
    </row>
    <row r="472" spans="1:23" x14ac:dyDescent="0.2">
      <c r="A472" s="691" t="s">
        <v>3560</v>
      </c>
      <c r="B472" s="869"/>
      <c r="C472" s="869"/>
      <c r="D472" s="869"/>
      <c r="E472" s="869"/>
      <c r="F472" s="869"/>
      <c r="G472" s="869"/>
      <c r="H472" s="869"/>
      <c r="I472" s="869"/>
      <c r="J472" s="869"/>
      <c r="K472" s="869"/>
      <c r="L472" s="870"/>
      <c r="M472" s="869"/>
      <c r="N472" s="869"/>
      <c r="O472" s="869"/>
      <c r="P472" s="869"/>
      <c r="Q472" s="869"/>
      <c r="R472" s="869"/>
      <c r="S472" s="869"/>
      <c r="T472" s="869"/>
      <c r="U472" s="869"/>
      <c r="V472" s="869"/>
      <c r="W472" s="850"/>
    </row>
    <row r="473" spans="1:23" x14ac:dyDescent="0.2">
      <c r="A473" s="849" t="s">
        <v>4264</v>
      </c>
      <c r="B473" s="850">
        <v>5</v>
      </c>
      <c r="C473" s="850">
        <v>8</v>
      </c>
      <c r="D473" s="850">
        <v>10</v>
      </c>
      <c r="E473" s="850">
        <v>1</v>
      </c>
      <c r="F473" s="850">
        <v>2</v>
      </c>
      <c r="G473" s="850">
        <v>4</v>
      </c>
      <c r="H473" s="850">
        <v>1</v>
      </c>
      <c r="I473" s="851" t="s">
        <v>3303</v>
      </c>
      <c r="J473" s="851" t="s">
        <v>1534</v>
      </c>
      <c r="K473" s="850" t="s">
        <v>1700</v>
      </c>
      <c r="L473" s="852" t="s">
        <v>1809</v>
      </c>
      <c r="M473" s="849" t="s">
        <v>3351</v>
      </c>
      <c r="N473" s="852" t="s">
        <v>1687</v>
      </c>
      <c r="O473" s="849" t="s">
        <v>3352</v>
      </c>
      <c r="P473" s="852" t="s">
        <v>1692</v>
      </c>
      <c r="Q473" s="849" t="s">
        <v>3352</v>
      </c>
      <c r="R473" s="852" t="s">
        <v>1701</v>
      </c>
      <c r="S473" s="849" t="s">
        <v>3442</v>
      </c>
      <c r="T473" s="853" t="s">
        <v>2019</v>
      </c>
      <c r="U473" s="853" t="s">
        <v>2020</v>
      </c>
      <c r="V473" s="850"/>
      <c r="W473" s="850"/>
    </row>
    <row r="474" spans="1:23" x14ac:dyDescent="0.2">
      <c r="A474" s="691" t="s">
        <v>3563</v>
      </c>
      <c r="B474" s="869"/>
      <c r="C474" s="869"/>
      <c r="D474" s="869"/>
      <c r="E474" s="869"/>
      <c r="F474" s="869"/>
      <c r="G474" s="869"/>
      <c r="H474" s="869"/>
      <c r="I474" s="869"/>
      <c r="J474" s="869"/>
      <c r="K474" s="869"/>
      <c r="L474" s="870"/>
      <c r="M474" s="869"/>
      <c r="N474" s="869"/>
      <c r="O474" s="869"/>
      <c r="P474" s="869"/>
      <c r="Q474" s="869"/>
      <c r="R474" s="869"/>
      <c r="S474" s="869"/>
      <c r="T474" s="869"/>
      <c r="U474" s="869"/>
      <c r="V474" s="869"/>
      <c r="W474" s="850"/>
    </row>
    <row r="475" spans="1:23" x14ac:dyDescent="0.2">
      <c r="A475" s="849" t="s">
        <v>4265</v>
      </c>
      <c r="B475" s="850">
        <v>1</v>
      </c>
      <c r="C475" s="850">
        <v>2</v>
      </c>
      <c r="D475" s="850">
        <v>5</v>
      </c>
      <c r="E475" s="850">
        <v>1</v>
      </c>
      <c r="F475" s="850">
        <v>2</v>
      </c>
      <c r="G475" s="850">
        <v>4</v>
      </c>
      <c r="H475" s="850">
        <v>1</v>
      </c>
      <c r="I475" s="851" t="s">
        <v>3303</v>
      </c>
      <c r="J475" s="851" t="s">
        <v>1881</v>
      </c>
      <c r="K475" s="850" t="s">
        <v>1700</v>
      </c>
      <c r="L475" s="852" t="s">
        <v>1809</v>
      </c>
      <c r="M475" s="849" t="s">
        <v>3352</v>
      </c>
      <c r="N475" s="852" t="s">
        <v>1687</v>
      </c>
      <c r="O475" s="849" t="s">
        <v>4086</v>
      </c>
      <c r="P475" s="852" t="s">
        <v>1692</v>
      </c>
      <c r="Q475" s="849" t="s">
        <v>3352</v>
      </c>
      <c r="R475" s="852" t="s">
        <v>1701</v>
      </c>
      <c r="S475" s="849" t="s">
        <v>3442</v>
      </c>
      <c r="T475" s="853" t="s">
        <v>1925</v>
      </c>
      <c r="U475" s="853" t="s">
        <v>1922</v>
      </c>
      <c r="V475" s="853" t="s">
        <v>2024</v>
      </c>
      <c r="W475" s="850"/>
    </row>
    <row r="476" spans="1:23" x14ac:dyDescent="0.2">
      <c r="A476" s="849" t="s">
        <v>4266</v>
      </c>
      <c r="B476" s="850">
        <v>2</v>
      </c>
      <c r="C476" s="850">
        <v>4</v>
      </c>
      <c r="D476" s="850">
        <v>10</v>
      </c>
      <c r="E476" s="850">
        <v>2</v>
      </c>
      <c r="F476" s="850">
        <v>4</v>
      </c>
      <c r="G476" s="850">
        <v>7</v>
      </c>
      <c r="H476" s="850">
        <v>1</v>
      </c>
      <c r="I476" s="851" t="s">
        <v>3303</v>
      </c>
      <c r="J476" s="851" t="s">
        <v>1881</v>
      </c>
      <c r="K476" s="850" t="s">
        <v>1700</v>
      </c>
      <c r="L476" s="852" t="s">
        <v>1809</v>
      </c>
      <c r="M476" s="849" t="s">
        <v>3352</v>
      </c>
      <c r="N476" s="852" t="s">
        <v>1687</v>
      </c>
      <c r="O476" s="849" t="s">
        <v>4086</v>
      </c>
      <c r="P476" s="852" t="s">
        <v>1692</v>
      </c>
      <c r="Q476" s="849" t="s">
        <v>3352</v>
      </c>
      <c r="R476" s="852" t="s">
        <v>1701</v>
      </c>
      <c r="S476" s="849" t="s">
        <v>3442</v>
      </c>
      <c r="T476" s="853" t="s">
        <v>1925</v>
      </c>
      <c r="U476" s="853" t="s">
        <v>1922</v>
      </c>
      <c r="V476" s="853" t="s">
        <v>2024</v>
      </c>
      <c r="W476" s="850"/>
    </row>
    <row r="477" spans="1:23" x14ac:dyDescent="0.2">
      <c r="A477" s="849" t="s">
        <v>4267</v>
      </c>
      <c r="B477" s="850">
        <v>4</v>
      </c>
      <c r="C477" s="850">
        <v>6</v>
      </c>
      <c r="D477" s="850">
        <v>15</v>
      </c>
      <c r="E477" s="850">
        <v>3</v>
      </c>
      <c r="F477" s="850">
        <v>6</v>
      </c>
      <c r="G477" s="850">
        <v>11</v>
      </c>
      <c r="H477" s="850">
        <v>2</v>
      </c>
      <c r="I477" s="851" t="s">
        <v>3303</v>
      </c>
      <c r="J477" s="851" t="s">
        <v>1881</v>
      </c>
      <c r="K477" s="850" t="s">
        <v>1700</v>
      </c>
      <c r="L477" s="852" t="s">
        <v>1809</v>
      </c>
      <c r="M477" s="849" t="s">
        <v>3352</v>
      </c>
      <c r="N477" s="852" t="s">
        <v>1687</v>
      </c>
      <c r="O477" s="849" t="s">
        <v>4086</v>
      </c>
      <c r="P477" s="852" t="s">
        <v>1692</v>
      </c>
      <c r="Q477" s="849" t="s">
        <v>3352</v>
      </c>
      <c r="R477" s="852" t="s">
        <v>1701</v>
      </c>
      <c r="S477" s="849" t="s">
        <v>3442</v>
      </c>
      <c r="T477" s="853" t="s">
        <v>1925</v>
      </c>
      <c r="U477" s="853" t="s">
        <v>1922</v>
      </c>
      <c r="V477" s="853" t="s">
        <v>2024</v>
      </c>
      <c r="W477" s="850"/>
    </row>
    <row r="478" spans="1:23" x14ac:dyDescent="0.2">
      <c r="A478" s="849" t="s">
        <v>4268</v>
      </c>
      <c r="B478" s="850">
        <v>6</v>
      </c>
      <c r="C478" s="850">
        <v>9</v>
      </c>
      <c r="D478" s="850">
        <v>20</v>
      </c>
      <c r="E478" s="850">
        <v>4</v>
      </c>
      <c r="F478" s="850">
        <v>8</v>
      </c>
      <c r="G478" s="850">
        <v>14</v>
      </c>
      <c r="H478" s="850">
        <v>2</v>
      </c>
      <c r="I478" s="851" t="s">
        <v>3303</v>
      </c>
      <c r="J478" s="851" t="s">
        <v>1881</v>
      </c>
      <c r="K478" s="850" t="s">
        <v>1700</v>
      </c>
      <c r="L478" s="852" t="s">
        <v>1809</v>
      </c>
      <c r="M478" s="849" t="s">
        <v>3352</v>
      </c>
      <c r="N478" s="852" t="s">
        <v>1687</v>
      </c>
      <c r="O478" s="849" t="s">
        <v>4086</v>
      </c>
      <c r="P478" s="852" t="s">
        <v>1692</v>
      </c>
      <c r="Q478" s="849" t="s">
        <v>3352</v>
      </c>
      <c r="R478" s="852" t="s">
        <v>1701</v>
      </c>
      <c r="S478" s="849" t="s">
        <v>3442</v>
      </c>
      <c r="T478" s="853" t="s">
        <v>1925</v>
      </c>
      <c r="U478" s="853" t="s">
        <v>1922</v>
      </c>
      <c r="V478" s="853" t="s">
        <v>2024</v>
      </c>
      <c r="W478" s="850"/>
    </row>
    <row r="479" spans="1:23" x14ac:dyDescent="0.2">
      <c r="A479" s="849" t="s">
        <v>4269</v>
      </c>
      <c r="B479" s="850">
        <v>8</v>
      </c>
      <c r="C479" s="850">
        <v>11</v>
      </c>
      <c r="D479" s="850">
        <v>25</v>
      </c>
      <c r="E479" s="850">
        <v>6</v>
      </c>
      <c r="F479" s="850">
        <v>12</v>
      </c>
      <c r="G479" s="850">
        <v>21</v>
      </c>
      <c r="H479" s="850">
        <v>2</v>
      </c>
      <c r="I479" s="851" t="s">
        <v>3303</v>
      </c>
      <c r="J479" s="851" t="s">
        <v>1881</v>
      </c>
      <c r="K479" s="850" t="s">
        <v>1700</v>
      </c>
      <c r="L479" s="852" t="s">
        <v>1809</v>
      </c>
      <c r="M479" s="849" t="s">
        <v>3352</v>
      </c>
      <c r="N479" s="852" t="s">
        <v>1687</v>
      </c>
      <c r="O479" s="849" t="s">
        <v>4086</v>
      </c>
      <c r="P479" s="852" t="s">
        <v>1692</v>
      </c>
      <c r="Q479" s="849" t="s">
        <v>3352</v>
      </c>
      <c r="R479" s="852" t="s">
        <v>1701</v>
      </c>
      <c r="S479" s="849" t="s">
        <v>3442</v>
      </c>
      <c r="T479" s="853" t="s">
        <v>1925</v>
      </c>
      <c r="U479" s="853" t="s">
        <v>1922</v>
      </c>
      <c r="V479" s="853" t="s">
        <v>2024</v>
      </c>
      <c r="W479" s="850"/>
    </row>
    <row r="480" spans="1:23" x14ac:dyDescent="0.2">
      <c r="A480" s="849" t="s">
        <v>4270</v>
      </c>
      <c r="B480" s="850">
        <v>10</v>
      </c>
      <c r="C480" s="850">
        <v>13</v>
      </c>
      <c r="D480" s="850">
        <v>30</v>
      </c>
      <c r="E480" s="850">
        <v>8</v>
      </c>
      <c r="F480" s="850">
        <v>16</v>
      </c>
      <c r="G480" s="850">
        <v>28</v>
      </c>
      <c r="H480" s="850">
        <v>3</v>
      </c>
      <c r="I480" s="851" t="s">
        <v>3303</v>
      </c>
      <c r="J480" s="851" t="s">
        <v>1881</v>
      </c>
      <c r="K480" s="850" t="s">
        <v>1700</v>
      </c>
      <c r="L480" s="852" t="s">
        <v>1809</v>
      </c>
      <c r="M480" s="849" t="s">
        <v>3352</v>
      </c>
      <c r="N480" s="852" t="s">
        <v>1687</v>
      </c>
      <c r="O480" s="849" t="s">
        <v>4086</v>
      </c>
      <c r="P480" s="852" t="s">
        <v>1692</v>
      </c>
      <c r="Q480" s="849" t="s">
        <v>3352</v>
      </c>
      <c r="R480" s="852" t="s">
        <v>1701</v>
      </c>
      <c r="S480" s="849" t="s">
        <v>3442</v>
      </c>
      <c r="T480" s="853" t="s">
        <v>1925</v>
      </c>
      <c r="U480" s="853" t="s">
        <v>1922</v>
      </c>
      <c r="V480" s="853" t="s">
        <v>2024</v>
      </c>
      <c r="W480" s="850"/>
    </row>
    <row r="481" spans="1:23" x14ac:dyDescent="0.2">
      <c r="A481" s="691" t="s">
        <v>3568</v>
      </c>
      <c r="B481" s="869"/>
      <c r="C481" s="869"/>
      <c r="D481" s="869"/>
      <c r="E481" s="869"/>
      <c r="F481" s="869"/>
      <c r="G481" s="869"/>
      <c r="H481" s="869"/>
      <c r="I481" s="869"/>
      <c r="J481" s="869"/>
      <c r="K481" s="869"/>
      <c r="L481" s="870"/>
      <c r="M481" s="869"/>
      <c r="N481" s="869"/>
      <c r="O481" s="869"/>
      <c r="P481" s="869"/>
      <c r="Q481" s="869"/>
      <c r="R481" s="869"/>
      <c r="S481" s="869"/>
      <c r="T481" s="869"/>
      <c r="U481" s="869"/>
      <c r="V481" s="869"/>
      <c r="W481" s="850"/>
    </row>
    <row r="482" spans="1:23" x14ac:dyDescent="0.2">
      <c r="A482" s="849" t="s">
        <v>4271</v>
      </c>
      <c r="B482" s="850">
        <v>2</v>
      </c>
      <c r="C482" s="850">
        <v>4</v>
      </c>
      <c r="D482" s="850">
        <v>5</v>
      </c>
      <c r="E482" s="850">
        <v>1</v>
      </c>
      <c r="F482" s="850">
        <v>2</v>
      </c>
      <c r="G482" s="850">
        <v>4</v>
      </c>
      <c r="H482" s="850">
        <v>1</v>
      </c>
      <c r="I482" s="851" t="s">
        <v>3303</v>
      </c>
      <c r="J482" s="851" t="s">
        <v>1534</v>
      </c>
      <c r="K482" s="850" t="s">
        <v>1692</v>
      </c>
      <c r="L482" s="852" t="s">
        <v>1809</v>
      </c>
      <c r="M482" s="849" t="s">
        <v>3351</v>
      </c>
      <c r="N482" s="852" t="s">
        <v>1687</v>
      </c>
      <c r="O482" s="849" t="s">
        <v>3442</v>
      </c>
      <c r="P482" s="852" t="s">
        <v>1700</v>
      </c>
      <c r="Q482" s="849" t="s">
        <v>3351</v>
      </c>
      <c r="R482" s="852" t="s">
        <v>1701</v>
      </c>
      <c r="S482" s="849" t="s">
        <v>3351</v>
      </c>
      <c r="T482" s="853" t="s">
        <v>2024</v>
      </c>
      <c r="U482" s="795" t="s">
        <v>3228</v>
      </c>
      <c r="V482" s="795" t="s">
        <v>3228</v>
      </c>
      <c r="W482" s="850"/>
    </row>
    <row r="483" spans="1:23" x14ac:dyDescent="0.2">
      <c r="A483" s="849" t="s">
        <v>4272</v>
      </c>
      <c r="B483" s="850">
        <v>3</v>
      </c>
      <c r="C483" s="850">
        <v>5</v>
      </c>
      <c r="D483" s="850">
        <v>10</v>
      </c>
      <c r="E483" s="850">
        <v>2</v>
      </c>
      <c r="F483" s="850">
        <v>4</v>
      </c>
      <c r="G483" s="850">
        <v>7</v>
      </c>
      <c r="H483" s="850">
        <v>1</v>
      </c>
      <c r="I483" s="851" t="s">
        <v>3303</v>
      </c>
      <c r="J483" s="851" t="s">
        <v>1534</v>
      </c>
      <c r="K483" s="850" t="s">
        <v>1692</v>
      </c>
      <c r="L483" s="852" t="s">
        <v>1809</v>
      </c>
      <c r="M483" s="849" t="s">
        <v>3351</v>
      </c>
      <c r="N483" s="852" t="s">
        <v>1687</v>
      </c>
      <c r="O483" s="849" t="s">
        <v>3442</v>
      </c>
      <c r="P483" s="852" t="s">
        <v>1700</v>
      </c>
      <c r="Q483" s="849" t="s">
        <v>3351</v>
      </c>
      <c r="R483" s="852" t="s">
        <v>1701</v>
      </c>
      <c r="S483" s="849" t="s">
        <v>3351</v>
      </c>
      <c r="T483" s="853" t="s">
        <v>2024</v>
      </c>
      <c r="U483" s="795" t="s">
        <v>3228</v>
      </c>
      <c r="V483" s="795" t="s">
        <v>3228</v>
      </c>
      <c r="W483" s="850"/>
    </row>
    <row r="484" spans="1:23" x14ac:dyDescent="0.2">
      <c r="A484" s="849" t="s">
        <v>4273</v>
      </c>
      <c r="B484" s="850">
        <v>4</v>
      </c>
      <c r="C484" s="850">
        <v>6</v>
      </c>
      <c r="D484" s="850">
        <v>10</v>
      </c>
      <c r="E484" s="850">
        <v>3</v>
      </c>
      <c r="F484" s="850">
        <v>6</v>
      </c>
      <c r="G484" s="850">
        <v>11</v>
      </c>
      <c r="H484" s="850">
        <v>1</v>
      </c>
      <c r="I484" s="851" t="s">
        <v>3303</v>
      </c>
      <c r="J484" s="851" t="s">
        <v>1534</v>
      </c>
      <c r="K484" s="850" t="s">
        <v>1692</v>
      </c>
      <c r="L484" s="852" t="s">
        <v>1809</v>
      </c>
      <c r="M484" s="849" t="s">
        <v>3351</v>
      </c>
      <c r="N484" s="852" t="s">
        <v>1687</v>
      </c>
      <c r="O484" s="849" t="s">
        <v>3442</v>
      </c>
      <c r="P484" s="852" t="s">
        <v>1700</v>
      </c>
      <c r="Q484" s="849" t="s">
        <v>3351</v>
      </c>
      <c r="R484" s="852" t="s">
        <v>1701</v>
      </c>
      <c r="S484" s="849" t="s">
        <v>3351</v>
      </c>
      <c r="T484" s="853" t="s">
        <v>2024</v>
      </c>
      <c r="U484" s="795" t="s">
        <v>3228</v>
      </c>
      <c r="V484" s="795" t="s">
        <v>3228</v>
      </c>
      <c r="W484" s="850"/>
    </row>
    <row r="485" spans="1:23" x14ac:dyDescent="0.2">
      <c r="A485" s="849" t="s">
        <v>4274</v>
      </c>
      <c r="B485" s="850">
        <v>5</v>
      </c>
      <c r="C485" s="850">
        <v>8</v>
      </c>
      <c r="D485" s="850">
        <v>15</v>
      </c>
      <c r="E485" s="850">
        <v>4</v>
      </c>
      <c r="F485" s="850">
        <v>8</v>
      </c>
      <c r="G485" s="850">
        <v>14</v>
      </c>
      <c r="H485" s="850">
        <v>1</v>
      </c>
      <c r="I485" s="851" t="s">
        <v>3303</v>
      </c>
      <c r="J485" s="851" t="s">
        <v>1534</v>
      </c>
      <c r="K485" s="850" t="s">
        <v>1692</v>
      </c>
      <c r="L485" s="852" t="s">
        <v>1809</v>
      </c>
      <c r="M485" s="849" t="s">
        <v>3351</v>
      </c>
      <c r="N485" s="852" t="s">
        <v>1687</v>
      </c>
      <c r="O485" s="849" t="s">
        <v>3442</v>
      </c>
      <c r="P485" s="852" t="s">
        <v>1700</v>
      </c>
      <c r="Q485" s="849" t="s">
        <v>3351</v>
      </c>
      <c r="R485" s="852" t="s">
        <v>1701</v>
      </c>
      <c r="S485" s="849" t="s">
        <v>3351</v>
      </c>
      <c r="T485" s="853" t="s">
        <v>2024</v>
      </c>
      <c r="U485" s="795" t="s">
        <v>3228</v>
      </c>
      <c r="V485" s="795" t="s">
        <v>3228</v>
      </c>
      <c r="W485" s="850"/>
    </row>
    <row r="486" spans="1:23" x14ac:dyDescent="0.2">
      <c r="A486" s="849" t="s">
        <v>4275</v>
      </c>
      <c r="B486" s="850">
        <v>6</v>
      </c>
      <c r="C486" s="850">
        <v>9</v>
      </c>
      <c r="D486" s="850">
        <v>20</v>
      </c>
      <c r="E486" s="850">
        <v>5</v>
      </c>
      <c r="F486" s="850">
        <v>10</v>
      </c>
      <c r="G486" s="850">
        <v>18</v>
      </c>
      <c r="H486" s="850">
        <v>1</v>
      </c>
      <c r="I486" s="851" t="s">
        <v>3303</v>
      </c>
      <c r="J486" s="851" t="s">
        <v>1534</v>
      </c>
      <c r="K486" s="850" t="s">
        <v>1692</v>
      </c>
      <c r="L486" s="852" t="s">
        <v>1809</v>
      </c>
      <c r="M486" s="849" t="s">
        <v>3351</v>
      </c>
      <c r="N486" s="852" t="s">
        <v>1687</v>
      </c>
      <c r="O486" s="849" t="s">
        <v>3442</v>
      </c>
      <c r="P486" s="852" t="s">
        <v>1700</v>
      </c>
      <c r="Q486" s="849" t="s">
        <v>3351</v>
      </c>
      <c r="R486" s="852" t="s">
        <v>1701</v>
      </c>
      <c r="S486" s="849" t="s">
        <v>3351</v>
      </c>
      <c r="T486" s="853" t="s">
        <v>2024</v>
      </c>
      <c r="U486" s="795" t="s">
        <v>3228</v>
      </c>
      <c r="V486" s="795" t="s">
        <v>3228</v>
      </c>
      <c r="W486" s="850"/>
    </row>
    <row r="487" spans="1:23" x14ac:dyDescent="0.2">
      <c r="A487" s="849" t="s">
        <v>4276</v>
      </c>
      <c r="B487" s="850">
        <v>8</v>
      </c>
      <c r="C487" s="850">
        <v>11</v>
      </c>
      <c r="D487" s="850">
        <v>25</v>
      </c>
      <c r="E487" s="850">
        <v>6</v>
      </c>
      <c r="F487" s="850">
        <v>12</v>
      </c>
      <c r="G487" s="850">
        <v>21</v>
      </c>
      <c r="H487" s="850">
        <v>2</v>
      </c>
      <c r="I487" s="851" t="s">
        <v>3303</v>
      </c>
      <c r="J487" s="851" t="s">
        <v>1534</v>
      </c>
      <c r="K487" s="850" t="s">
        <v>1692</v>
      </c>
      <c r="L487" s="852" t="s">
        <v>1809</v>
      </c>
      <c r="M487" s="849" t="s">
        <v>3351</v>
      </c>
      <c r="N487" s="852" t="s">
        <v>1687</v>
      </c>
      <c r="O487" s="849" t="s">
        <v>3442</v>
      </c>
      <c r="P487" s="852" t="s">
        <v>1700</v>
      </c>
      <c r="Q487" s="849" t="s">
        <v>3351</v>
      </c>
      <c r="R487" s="852" t="s">
        <v>1701</v>
      </c>
      <c r="S487" s="849" t="s">
        <v>3351</v>
      </c>
      <c r="T487" s="853" t="s">
        <v>2024</v>
      </c>
      <c r="U487" s="795" t="s">
        <v>3228</v>
      </c>
      <c r="V487" s="795" t="s">
        <v>3228</v>
      </c>
      <c r="W487" s="850"/>
    </row>
    <row r="488" spans="1:23" x14ac:dyDescent="0.2">
      <c r="A488" s="849" t="s">
        <v>4277</v>
      </c>
      <c r="B488" s="850">
        <v>10</v>
      </c>
      <c r="C488" s="850">
        <v>13</v>
      </c>
      <c r="D488" s="850">
        <v>30</v>
      </c>
      <c r="E488" s="850">
        <v>7</v>
      </c>
      <c r="F488" s="850">
        <v>14</v>
      </c>
      <c r="G488" s="850">
        <v>25</v>
      </c>
      <c r="H488" s="850">
        <v>2</v>
      </c>
      <c r="I488" s="851" t="s">
        <v>3303</v>
      </c>
      <c r="J488" s="851" t="s">
        <v>1534</v>
      </c>
      <c r="K488" s="850" t="s">
        <v>1692</v>
      </c>
      <c r="L488" s="852" t="s">
        <v>1809</v>
      </c>
      <c r="M488" s="849" t="s">
        <v>3351</v>
      </c>
      <c r="N488" s="852" t="s">
        <v>1687</v>
      </c>
      <c r="O488" s="849" t="s">
        <v>3442</v>
      </c>
      <c r="P488" s="852" t="s">
        <v>1700</v>
      </c>
      <c r="Q488" s="849" t="s">
        <v>3351</v>
      </c>
      <c r="R488" s="852" t="s">
        <v>1701</v>
      </c>
      <c r="S488" s="849" t="s">
        <v>3351</v>
      </c>
      <c r="T488" s="853" t="s">
        <v>2024</v>
      </c>
      <c r="U488" s="795" t="s">
        <v>3228</v>
      </c>
      <c r="V488" s="795" t="s">
        <v>3228</v>
      </c>
      <c r="W488" s="850"/>
    </row>
    <row r="489" spans="1:23" x14ac:dyDescent="0.2">
      <c r="A489" s="849" t="s">
        <v>4278</v>
      </c>
      <c r="B489" s="850">
        <v>14</v>
      </c>
      <c r="C489" s="850">
        <v>18</v>
      </c>
      <c r="D489" s="850">
        <v>35</v>
      </c>
      <c r="E489" s="850">
        <v>8</v>
      </c>
      <c r="F489" s="850">
        <v>16</v>
      </c>
      <c r="G489" s="850">
        <v>28</v>
      </c>
      <c r="H489" s="850">
        <v>3</v>
      </c>
      <c r="I489" s="851" t="s">
        <v>3303</v>
      </c>
      <c r="J489" s="851" t="s">
        <v>1534</v>
      </c>
      <c r="K489" s="850" t="s">
        <v>1692</v>
      </c>
      <c r="L489" s="852" t="s">
        <v>1809</v>
      </c>
      <c r="M489" s="849" t="s">
        <v>3351</v>
      </c>
      <c r="N489" s="852" t="s">
        <v>1687</v>
      </c>
      <c r="O489" s="849" t="s">
        <v>3442</v>
      </c>
      <c r="P489" s="852" t="s">
        <v>1700</v>
      </c>
      <c r="Q489" s="849" t="s">
        <v>3351</v>
      </c>
      <c r="R489" s="852" t="s">
        <v>1701</v>
      </c>
      <c r="S489" s="849" t="s">
        <v>3351</v>
      </c>
      <c r="T489" s="853" t="s">
        <v>2024</v>
      </c>
      <c r="U489" s="795" t="s">
        <v>3228</v>
      </c>
      <c r="V489" s="795" t="s">
        <v>3228</v>
      </c>
      <c r="W489" s="850"/>
    </row>
    <row r="490" spans="1:23" x14ac:dyDescent="0.2">
      <c r="A490" s="849" t="s">
        <v>4279</v>
      </c>
      <c r="B490" s="850">
        <v>18</v>
      </c>
      <c r="C490" s="850">
        <v>22</v>
      </c>
      <c r="D490" s="850">
        <v>40</v>
      </c>
      <c r="E490" s="850">
        <v>10</v>
      </c>
      <c r="F490" s="850">
        <v>20</v>
      </c>
      <c r="G490" s="850">
        <v>35</v>
      </c>
      <c r="H490" s="850">
        <v>3</v>
      </c>
      <c r="I490" s="851" t="s">
        <v>3303</v>
      </c>
      <c r="J490" s="851" t="s">
        <v>1534</v>
      </c>
      <c r="K490" s="850" t="s">
        <v>1692</v>
      </c>
      <c r="L490" s="852" t="s">
        <v>1809</v>
      </c>
      <c r="M490" s="849" t="s">
        <v>3351</v>
      </c>
      <c r="N490" s="852" t="s">
        <v>1687</v>
      </c>
      <c r="O490" s="849" t="s">
        <v>3442</v>
      </c>
      <c r="P490" s="852" t="s">
        <v>1700</v>
      </c>
      <c r="Q490" s="849" t="s">
        <v>3351</v>
      </c>
      <c r="R490" s="852" t="s">
        <v>1701</v>
      </c>
      <c r="S490" s="849" t="s">
        <v>3351</v>
      </c>
      <c r="T490" s="853" t="s">
        <v>2024</v>
      </c>
      <c r="U490" s="795" t="s">
        <v>3228</v>
      </c>
      <c r="V490" s="795" t="s">
        <v>3228</v>
      </c>
      <c r="W490" s="850"/>
    </row>
    <row r="491" spans="1:23" x14ac:dyDescent="0.2">
      <c r="A491" s="855" t="s">
        <v>4280</v>
      </c>
      <c r="B491" s="856"/>
      <c r="C491" s="856"/>
      <c r="D491" s="856"/>
      <c r="E491" s="856"/>
      <c r="F491" s="856"/>
      <c r="G491" s="856"/>
      <c r="H491" s="856"/>
      <c r="I491" s="856"/>
      <c r="J491" s="856"/>
      <c r="K491" s="856"/>
      <c r="L491" s="857"/>
      <c r="M491" s="856"/>
      <c r="N491" s="856"/>
      <c r="O491" s="856"/>
      <c r="P491" s="856"/>
      <c r="Q491" s="856"/>
      <c r="R491" s="856"/>
      <c r="S491" s="856"/>
      <c r="T491" s="856"/>
      <c r="U491" s="856"/>
      <c r="V491" s="856"/>
      <c r="W491" s="850"/>
    </row>
    <row r="492" spans="1:23" x14ac:dyDescent="0.2">
      <c r="A492" s="849" t="s">
        <v>4281</v>
      </c>
      <c r="B492" s="850">
        <v>1</v>
      </c>
      <c r="C492" s="850">
        <v>1</v>
      </c>
      <c r="D492" s="850">
        <v>5</v>
      </c>
      <c r="E492" s="850">
        <v>1</v>
      </c>
      <c r="F492" s="850">
        <v>2</v>
      </c>
      <c r="G492" s="850">
        <v>4</v>
      </c>
      <c r="H492" s="850"/>
      <c r="I492" s="850"/>
      <c r="J492" s="850"/>
      <c r="K492" s="850"/>
      <c r="L492" s="859"/>
      <c r="M492" s="850"/>
      <c r="N492" s="850"/>
      <c r="O492" s="850"/>
      <c r="P492" s="850"/>
      <c r="Q492" s="850"/>
      <c r="R492" s="850"/>
      <c r="S492" s="850"/>
      <c r="T492" s="850"/>
      <c r="U492" s="850"/>
      <c r="V492" s="850"/>
      <c r="W492" s="850"/>
    </row>
    <row r="493" spans="1:23" x14ac:dyDescent="0.2">
      <c r="A493" s="691" t="s">
        <v>3572</v>
      </c>
      <c r="B493" s="869"/>
      <c r="C493" s="869"/>
      <c r="D493" s="869"/>
      <c r="E493" s="869"/>
      <c r="F493" s="869"/>
      <c r="G493" s="869"/>
      <c r="H493" s="869"/>
      <c r="I493" s="869"/>
      <c r="J493" s="869"/>
      <c r="K493" s="869"/>
      <c r="L493" s="870"/>
      <c r="M493" s="869"/>
      <c r="N493" s="869"/>
      <c r="O493" s="869"/>
      <c r="P493" s="869"/>
      <c r="Q493" s="869"/>
      <c r="R493" s="869"/>
      <c r="S493" s="869"/>
      <c r="T493" s="869"/>
      <c r="U493" s="869"/>
      <c r="V493" s="869"/>
      <c r="W493" s="850"/>
    </row>
    <row r="494" spans="1:23" x14ac:dyDescent="0.2">
      <c r="A494" s="849" t="s">
        <v>4282</v>
      </c>
      <c r="B494" s="850">
        <v>1</v>
      </c>
      <c r="C494" s="850">
        <v>2</v>
      </c>
      <c r="D494" s="850">
        <v>5</v>
      </c>
      <c r="E494" s="850">
        <v>1</v>
      </c>
      <c r="F494" s="850">
        <v>2</v>
      </c>
      <c r="G494" s="850">
        <v>4</v>
      </c>
      <c r="H494" s="850">
        <v>1</v>
      </c>
      <c r="I494" s="851" t="s">
        <v>3303</v>
      </c>
      <c r="J494" s="851" t="s">
        <v>1534</v>
      </c>
      <c r="K494" s="850" t="s">
        <v>1700</v>
      </c>
      <c r="L494" s="852" t="s">
        <v>1809</v>
      </c>
      <c r="M494" s="849" t="s">
        <v>3442</v>
      </c>
      <c r="N494" s="852" t="s">
        <v>1687</v>
      </c>
      <c r="O494" s="849" t="s">
        <v>3352</v>
      </c>
      <c r="P494" s="852" t="s">
        <v>1692</v>
      </c>
      <c r="Q494" s="849" t="s">
        <v>3442</v>
      </c>
      <c r="R494" s="852" t="s">
        <v>1701</v>
      </c>
      <c r="S494" s="849" t="s">
        <v>3442</v>
      </c>
      <c r="T494" s="853" t="s">
        <v>1925</v>
      </c>
      <c r="U494" s="853" t="s">
        <v>2019</v>
      </c>
      <c r="V494" s="853" t="s">
        <v>2024</v>
      </c>
      <c r="W494" s="850"/>
    </row>
    <row r="495" spans="1:23" x14ac:dyDescent="0.2">
      <c r="A495" s="691" t="s">
        <v>2005</v>
      </c>
      <c r="B495" s="869"/>
      <c r="C495" s="869"/>
      <c r="D495" s="869"/>
      <c r="E495" s="869"/>
      <c r="F495" s="869"/>
      <c r="G495" s="869"/>
      <c r="H495" s="869"/>
      <c r="I495" s="869"/>
      <c r="J495" s="869"/>
      <c r="K495" s="869"/>
      <c r="L495" s="870"/>
      <c r="M495" s="869"/>
      <c r="N495" s="869"/>
      <c r="O495" s="869"/>
      <c r="P495" s="869"/>
      <c r="Q495" s="869"/>
      <c r="R495" s="869"/>
      <c r="S495" s="869"/>
      <c r="T495" s="869"/>
      <c r="U495" s="869"/>
      <c r="V495" s="869"/>
      <c r="W495" s="850"/>
    </row>
    <row r="496" spans="1:23" x14ac:dyDescent="0.2">
      <c r="A496" s="849" t="s">
        <v>4283</v>
      </c>
      <c r="B496" s="850">
        <v>2</v>
      </c>
      <c r="C496" s="850">
        <v>4</v>
      </c>
      <c r="D496" s="850">
        <v>5</v>
      </c>
      <c r="E496" s="850">
        <v>1</v>
      </c>
      <c r="F496" s="850">
        <v>2</v>
      </c>
      <c r="G496" s="850">
        <v>4</v>
      </c>
      <c r="H496" s="850">
        <v>1</v>
      </c>
      <c r="I496" s="851" t="s">
        <v>3308</v>
      </c>
      <c r="J496" s="851" t="s">
        <v>1881</v>
      </c>
      <c r="K496" s="850" t="s">
        <v>1809</v>
      </c>
      <c r="L496" s="852" t="s">
        <v>1687</v>
      </c>
      <c r="M496" s="849" t="s">
        <v>3352</v>
      </c>
      <c r="N496" s="852" t="s">
        <v>1692</v>
      </c>
      <c r="O496" s="849" t="s">
        <v>3352</v>
      </c>
      <c r="P496" s="852" t="s">
        <v>1700</v>
      </c>
      <c r="Q496" s="849" t="s">
        <v>3352</v>
      </c>
      <c r="R496" s="852" t="s">
        <v>1701</v>
      </c>
      <c r="S496" s="849" t="s">
        <v>3442</v>
      </c>
      <c r="T496" s="853" t="s">
        <v>2024</v>
      </c>
      <c r="U496" s="795" t="s">
        <v>3228</v>
      </c>
      <c r="V496" s="795" t="s">
        <v>3228</v>
      </c>
      <c r="W496" s="850"/>
    </row>
    <row r="497" spans="1:23" x14ac:dyDescent="0.2">
      <c r="A497" s="849" t="s">
        <v>4284</v>
      </c>
      <c r="B497" s="850">
        <v>3</v>
      </c>
      <c r="C497" s="850">
        <v>5</v>
      </c>
      <c r="D497" s="850">
        <v>5</v>
      </c>
      <c r="E497" s="850">
        <v>1</v>
      </c>
      <c r="F497" s="850">
        <v>2</v>
      </c>
      <c r="G497" s="850">
        <v>4</v>
      </c>
      <c r="H497" s="850">
        <v>1</v>
      </c>
      <c r="I497" s="851" t="s">
        <v>3308</v>
      </c>
      <c r="J497" s="851" t="s">
        <v>1881</v>
      </c>
      <c r="K497" s="850" t="s">
        <v>1809</v>
      </c>
      <c r="L497" s="852" t="s">
        <v>1687</v>
      </c>
      <c r="M497" s="849" t="s">
        <v>3352</v>
      </c>
      <c r="N497" s="852" t="s">
        <v>1692</v>
      </c>
      <c r="O497" s="849" t="s">
        <v>3352</v>
      </c>
      <c r="P497" s="852" t="s">
        <v>1700</v>
      </c>
      <c r="Q497" s="849" t="s">
        <v>3352</v>
      </c>
      <c r="R497" s="852" t="s">
        <v>1701</v>
      </c>
      <c r="S497" s="849" t="s">
        <v>3442</v>
      </c>
      <c r="T497" s="853" t="s">
        <v>2024</v>
      </c>
      <c r="U497" s="795" t="s">
        <v>3228</v>
      </c>
      <c r="V497" s="795" t="s">
        <v>3228</v>
      </c>
      <c r="W497" s="850"/>
    </row>
    <row r="498" spans="1:23" x14ac:dyDescent="0.2">
      <c r="A498" s="849" t="s">
        <v>4285</v>
      </c>
      <c r="B498" s="850">
        <v>4</v>
      </c>
      <c r="C498" s="850">
        <v>6</v>
      </c>
      <c r="D498" s="850">
        <v>10</v>
      </c>
      <c r="E498" s="850">
        <v>2</v>
      </c>
      <c r="F498" s="850">
        <v>4</v>
      </c>
      <c r="G498" s="850">
        <v>7</v>
      </c>
      <c r="H498" s="850">
        <v>1</v>
      </c>
      <c r="I498" s="851" t="s">
        <v>3308</v>
      </c>
      <c r="J498" s="851" t="s">
        <v>1881</v>
      </c>
      <c r="K498" s="850" t="s">
        <v>1809</v>
      </c>
      <c r="L498" s="852" t="s">
        <v>1687</v>
      </c>
      <c r="M498" s="849" t="s">
        <v>3352</v>
      </c>
      <c r="N498" s="852" t="s">
        <v>1692</v>
      </c>
      <c r="O498" s="849" t="s">
        <v>3352</v>
      </c>
      <c r="P498" s="852" t="s">
        <v>1700</v>
      </c>
      <c r="Q498" s="849" t="s">
        <v>3352</v>
      </c>
      <c r="R498" s="852" t="s">
        <v>1701</v>
      </c>
      <c r="S498" s="849" t="s">
        <v>3442</v>
      </c>
      <c r="T498" s="853" t="s">
        <v>2024</v>
      </c>
      <c r="U498" s="795" t="s">
        <v>3228</v>
      </c>
      <c r="V498" s="795" t="s">
        <v>3228</v>
      </c>
      <c r="W498" s="850"/>
    </row>
    <row r="499" spans="1:23" x14ac:dyDescent="0.2">
      <c r="A499" s="849" t="s">
        <v>4286</v>
      </c>
      <c r="B499" s="850">
        <v>5</v>
      </c>
      <c r="C499" s="850">
        <v>8</v>
      </c>
      <c r="D499" s="850">
        <v>15</v>
      </c>
      <c r="E499" s="850">
        <v>3</v>
      </c>
      <c r="F499" s="850">
        <v>6</v>
      </c>
      <c r="G499" s="850">
        <v>11</v>
      </c>
      <c r="H499" s="850">
        <v>1</v>
      </c>
      <c r="I499" s="851" t="s">
        <v>3308</v>
      </c>
      <c r="J499" s="851" t="s">
        <v>1881</v>
      </c>
      <c r="K499" s="850" t="s">
        <v>1809</v>
      </c>
      <c r="L499" s="852" t="s">
        <v>1687</v>
      </c>
      <c r="M499" s="849" t="s">
        <v>3352</v>
      </c>
      <c r="N499" s="852" t="s">
        <v>1692</v>
      </c>
      <c r="O499" s="849" t="s">
        <v>3352</v>
      </c>
      <c r="P499" s="852" t="s">
        <v>1700</v>
      </c>
      <c r="Q499" s="849" t="s">
        <v>3352</v>
      </c>
      <c r="R499" s="852" t="s">
        <v>1701</v>
      </c>
      <c r="S499" s="849" t="s">
        <v>3442</v>
      </c>
      <c r="T499" s="853" t="s">
        <v>2024</v>
      </c>
      <c r="U499" s="795" t="s">
        <v>3228</v>
      </c>
      <c r="V499" s="795" t="s">
        <v>3228</v>
      </c>
      <c r="W499" s="850"/>
    </row>
    <row r="500" spans="1:23" x14ac:dyDescent="0.2">
      <c r="A500" s="849" t="s">
        <v>4287</v>
      </c>
      <c r="B500" s="850">
        <v>8</v>
      </c>
      <c r="C500" s="850">
        <v>11</v>
      </c>
      <c r="D500" s="850">
        <v>20</v>
      </c>
      <c r="E500" s="850">
        <v>4</v>
      </c>
      <c r="F500" s="850">
        <v>8</v>
      </c>
      <c r="G500" s="850">
        <v>14</v>
      </c>
      <c r="H500" s="850">
        <v>1</v>
      </c>
      <c r="I500" s="851" t="s">
        <v>3308</v>
      </c>
      <c r="J500" s="851" t="s">
        <v>1881</v>
      </c>
      <c r="K500" s="850" t="s">
        <v>1809</v>
      </c>
      <c r="L500" s="852" t="s">
        <v>1687</v>
      </c>
      <c r="M500" s="849" t="s">
        <v>3352</v>
      </c>
      <c r="N500" s="852" t="s">
        <v>1692</v>
      </c>
      <c r="O500" s="849" t="s">
        <v>3352</v>
      </c>
      <c r="P500" s="852" t="s">
        <v>1700</v>
      </c>
      <c r="Q500" s="849" t="s">
        <v>3352</v>
      </c>
      <c r="R500" s="852" t="s">
        <v>1701</v>
      </c>
      <c r="S500" s="849" t="s">
        <v>3442</v>
      </c>
      <c r="T500" s="853" t="s">
        <v>2024</v>
      </c>
      <c r="U500" s="795" t="s">
        <v>3228</v>
      </c>
      <c r="V500" s="795" t="s">
        <v>3228</v>
      </c>
      <c r="W500" s="850"/>
    </row>
    <row r="501" spans="1:23" x14ac:dyDescent="0.2">
      <c r="A501" s="849" t="s">
        <v>4288</v>
      </c>
      <c r="B501" s="850">
        <v>12</v>
      </c>
      <c r="C501" s="850">
        <v>15</v>
      </c>
      <c r="D501" s="850">
        <v>25</v>
      </c>
      <c r="E501" s="850">
        <v>5</v>
      </c>
      <c r="F501" s="850">
        <v>10</v>
      </c>
      <c r="G501" s="850">
        <v>18</v>
      </c>
      <c r="H501" s="850">
        <v>1</v>
      </c>
      <c r="I501" s="851" t="s">
        <v>3308</v>
      </c>
      <c r="J501" s="851" t="s">
        <v>1881</v>
      </c>
      <c r="K501" s="850" t="s">
        <v>1809</v>
      </c>
      <c r="L501" s="852" t="s">
        <v>1687</v>
      </c>
      <c r="M501" s="849" t="s">
        <v>3352</v>
      </c>
      <c r="N501" s="852" t="s">
        <v>1692</v>
      </c>
      <c r="O501" s="849" t="s">
        <v>3352</v>
      </c>
      <c r="P501" s="852" t="s">
        <v>1700</v>
      </c>
      <c r="Q501" s="849" t="s">
        <v>3352</v>
      </c>
      <c r="R501" s="852" t="s">
        <v>1701</v>
      </c>
      <c r="S501" s="849" t="s">
        <v>3442</v>
      </c>
      <c r="T501" s="853" t="s">
        <v>2024</v>
      </c>
      <c r="U501" s="795" t="s">
        <v>3228</v>
      </c>
      <c r="V501" s="795" t="s">
        <v>3228</v>
      </c>
      <c r="W501" s="850"/>
    </row>
    <row r="502" spans="1:23" x14ac:dyDescent="0.2">
      <c r="A502" s="849" t="s">
        <v>4289</v>
      </c>
      <c r="B502" s="850">
        <v>14</v>
      </c>
      <c r="C502" s="850">
        <v>18</v>
      </c>
      <c r="D502" s="850">
        <v>30</v>
      </c>
      <c r="E502" s="850">
        <v>8</v>
      </c>
      <c r="F502" s="850">
        <v>16</v>
      </c>
      <c r="G502" s="850">
        <v>28</v>
      </c>
      <c r="H502" s="850">
        <v>2</v>
      </c>
      <c r="I502" s="851" t="s">
        <v>3308</v>
      </c>
      <c r="J502" s="851" t="s">
        <v>1881</v>
      </c>
      <c r="K502" s="850" t="s">
        <v>1809</v>
      </c>
      <c r="L502" s="852" t="s">
        <v>1687</v>
      </c>
      <c r="M502" s="849" t="s">
        <v>3352</v>
      </c>
      <c r="N502" s="852" t="s">
        <v>1692</v>
      </c>
      <c r="O502" s="849" t="s">
        <v>3352</v>
      </c>
      <c r="P502" s="852" t="s">
        <v>1700</v>
      </c>
      <c r="Q502" s="849" t="s">
        <v>3352</v>
      </c>
      <c r="R502" s="852" t="s">
        <v>1701</v>
      </c>
      <c r="S502" s="849" t="s">
        <v>3442</v>
      </c>
      <c r="T502" s="853" t="s">
        <v>2024</v>
      </c>
      <c r="U502" s="795" t="s">
        <v>3228</v>
      </c>
      <c r="V502" s="795" t="s">
        <v>3228</v>
      </c>
      <c r="W502" s="850"/>
    </row>
    <row r="503" spans="1:23" x14ac:dyDescent="0.2">
      <c r="A503" s="849" t="s">
        <v>4290</v>
      </c>
      <c r="B503" s="850">
        <v>18</v>
      </c>
      <c r="C503" s="850">
        <v>22</v>
      </c>
      <c r="D503" s="850">
        <v>35</v>
      </c>
      <c r="E503" s="850">
        <v>10</v>
      </c>
      <c r="F503" s="850">
        <v>20</v>
      </c>
      <c r="G503" s="850">
        <v>35</v>
      </c>
      <c r="H503" s="850">
        <v>2</v>
      </c>
      <c r="I503" s="851" t="s">
        <v>3308</v>
      </c>
      <c r="J503" s="851" t="s">
        <v>1881</v>
      </c>
      <c r="K503" s="850" t="s">
        <v>1809</v>
      </c>
      <c r="L503" s="852" t="s">
        <v>1687</v>
      </c>
      <c r="M503" s="849" t="s">
        <v>3352</v>
      </c>
      <c r="N503" s="852" t="s">
        <v>1692</v>
      </c>
      <c r="O503" s="849" t="s">
        <v>3352</v>
      </c>
      <c r="P503" s="852" t="s">
        <v>1700</v>
      </c>
      <c r="Q503" s="849" t="s">
        <v>3352</v>
      </c>
      <c r="R503" s="852" t="s">
        <v>1701</v>
      </c>
      <c r="S503" s="849" t="s">
        <v>3442</v>
      </c>
      <c r="T503" s="853" t="s">
        <v>2024</v>
      </c>
      <c r="U503" s="795" t="s">
        <v>3228</v>
      </c>
      <c r="V503" s="795" t="s">
        <v>3228</v>
      </c>
      <c r="W503" s="850"/>
    </row>
    <row r="504" spans="1:23" x14ac:dyDescent="0.2">
      <c r="A504" s="849" t="s">
        <v>4291</v>
      </c>
      <c r="B504" s="850">
        <v>22</v>
      </c>
      <c r="C504" s="850">
        <v>26</v>
      </c>
      <c r="D504" s="850">
        <v>40</v>
      </c>
      <c r="E504" s="850">
        <v>12</v>
      </c>
      <c r="F504" s="850">
        <v>24</v>
      </c>
      <c r="G504" s="850">
        <v>42</v>
      </c>
      <c r="H504" s="850">
        <v>3</v>
      </c>
      <c r="I504" s="851" t="s">
        <v>3308</v>
      </c>
      <c r="J504" s="851" t="s">
        <v>1881</v>
      </c>
      <c r="K504" s="850" t="s">
        <v>1809</v>
      </c>
      <c r="L504" s="852" t="s">
        <v>1687</v>
      </c>
      <c r="M504" s="849" t="s">
        <v>3352</v>
      </c>
      <c r="N504" s="852" t="s">
        <v>1692</v>
      </c>
      <c r="O504" s="849" t="s">
        <v>3352</v>
      </c>
      <c r="P504" s="852" t="s">
        <v>1700</v>
      </c>
      <c r="Q504" s="849" t="s">
        <v>3352</v>
      </c>
      <c r="R504" s="852" t="s">
        <v>1701</v>
      </c>
      <c r="S504" s="849" t="s">
        <v>3442</v>
      </c>
      <c r="T504" s="853" t="s">
        <v>2024</v>
      </c>
      <c r="U504" s="795" t="s">
        <v>3228</v>
      </c>
      <c r="V504" s="795" t="s">
        <v>3228</v>
      </c>
      <c r="W504" s="850"/>
    </row>
    <row r="505" spans="1:23" x14ac:dyDescent="0.2">
      <c r="A505" s="855" t="s">
        <v>4292</v>
      </c>
      <c r="B505" s="856"/>
      <c r="C505" s="856"/>
      <c r="D505" s="856"/>
      <c r="E505" s="856"/>
      <c r="F505" s="856"/>
      <c r="G505" s="856"/>
      <c r="H505" s="856"/>
      <c r="I505" s="856"/>
      <c r="J505" s="856"/>
      <c r="K505" s="856"/>
      <c r="L505" s="857"/>
      <c r="M505" s="856"/>
      <c r="N505" s="856"/>
      <c r="O505" s="856"/>
      <c r="P505" s="856"/>
      <c r="Q505" s="856"/>
      <c r="R505" s="856"/>
      <c r="S505" s="856"/>
      <c r="T505" s="856"/>
      <c r="U505" s="856"/>
      <c r="V505" s="856"/>
      <c r="W505" s="850"/>
    </row>
    <row r="506" spans="1:23" x14ac:dyDescent="0.2">
      <c r="A506" s="849" t="s">
        <v>4293</v>
      </c>
      <c r="B506" s="850">
        <v>1</v>
      </c>
      <c r="C506" s="850">
        <v>1</v>
      </c>
      <c r="D506" s="850">
        <v>5</v>
      </c>
      <c r="E506" s="850">
        <v>1</v>
      </c>
      <c r="F506" s="850">
        <v>2</v>
      </c>
      <c r="G506" s="850">
        <v>4</v>
      </c>
      <c r="H506" s="850"/>
      <c r="I506" s="850"/>
      <c r="J506" s="850"/>
      <c r="K506" s="850"/>
      <c r="L506" s="859"/>
      <c r="M506" s="850"/>
      <c r="N506" s="850"/>
      <c r="O506" s="850"/>
      <c r="P506" s="850"/>
      <c r="Q506" s="850"/>
      <c r="R506" s="850"/>
      <c r="S506" s="850"/>
      <c r="T506" s="850"/>
      <c r="U506" s="795" t="s">
        <v>3228</v>
      </c>
      <c r="V506" s="795" t="s">
        <v>3228</v>
      </c>
      <c r="W506" s="850"/>
    </row>
    <row r="507" spans="1:23" x14ac:dyDescent="0.2">
      <c r="A507" s="849" t="s">
        <v>4294</v>
      </c>
      <c r="B507" s="850">
        <v>2</v>
      </c>
      <c r="C507" s="850">
        <v>2</v>
      </c>
      <c r="D507" s="850">
        <v>10</v>
      </c>
      <c r="E507" s="850">
        <v>2</v>
      </c>
      <c r="F507" s="850">
        <v>4</v>
      </c>
      <c r="G507" s="850">
        <v>7</v>
      </c>
      <c r="H507" s="850"/>
      <c r="I507" s="850"/>
      <c r="J507" s="850"/>
      <c r="K507" s="850"/>
      <c r="L507" s="859"/>
      <c r="M507" s="850"/>
      <c r="N507" s="850"/>
      <c r="O507" s="850"/>
      <c r="P507" s="850"/>
      <c r="Q507" s="850"/>
      <c r="R507" s="850"/>
      <c r="S507" s="850"/>
      <c r="T507" s="850"/>
      <c r="U507" s="795" t="s">
        <v>3228</v>
      </c>
      <c r="V507" s="795" t="s">
        <v>3228</v>
      </c>
      <c r="W507" s="850"/>
    </row>
    <row r="508" spans="1:23" x14ac:dyDescent="0.2">
      <c r="A508" s="849" t="s">
        <v>4295</v>
      </c>
      <c r="B508" s="850">
        <v>4</v>
      </c>
      <c r="C508" s="850">
        <v>4</v>
      </c>
      <c r="D508" s="850">
        <v>15</v>
      </c>
      <c r="E508" s="850">
        <v>3</v>
      </c>
      <c r="F508" s="850">
        <v>6</v>
      </c>
      <c r="G508" s="850">
        <v>11</v>
      </c>
      <c r="H508" s="850"/>
      <c r="I508" s="850"/>
      <c r="J508" s="850"/>
      <c r="K508" s="850"/>
      <c r="L508" s="859"/>
      <c r="M508" s="850"/>
      <c r="N508" s="850"/>
      <c r="O508" s="850"/>
      <c r="P508" s="850"/>
      <c r="Q508" s="850"/>
      <c r="R508" s="850"/>
      <c r="S508" s="850"/>
      <c r="T508" s="850"/>
      <c r="U508" s="795" t="s">
        <v>3228</v>
      </c>
      <c r="V508" s="795" t="s">
        <v>3228</v>
      </c>
      <c r="W508" s="850"/>
    </row>
    <row r="509" spans="1:23" x14ac:dyDescent="0.2">
      <c r="A509" s="691" t="s">
        <v>3583</v>
      </c>
      <c r="B509" s="869"/>
      <c r="C509" s="869"/>
      <c r="D509" s="869"/>
      <c r="E509" s="869"/>
      <c r="F509" s="869"/>
      <c r="G509" s="869"/>
      <c r="H509" s="869"/>
      <c r="I509" s="869"/>
      <c r="J509" s="869"/>
      <c r="K509" s="869"/>
      <c r="L509" s="870"/>
      <c r="M509" s="869"/>
      <c r="N509" s="869"/>
      <c r="O509" s="869"/>
      <c r="P509" s="869"/>
      <c r="Q509" s="869"/>
      <c r="R509" s="869"/>
      <c r="S509" s="869"/>
      <c r="T509" s="869"/>
      <c r="U509" s="869"/>
      <c r="V509" s="869"/>
      <c r="W509" s="850"/>
    </row>
    <row r="510" spans="1:23" x14ac:dyDescent="0.2">
      <c r="A510" s="849" t="s">
        <v>4296</v>
      </c>
      <c r="B510" s="850">
        <v>1</v>
      </c>
      <c r="C510" s="850">
        <v>2</v>
      </c>
      <c r="D510" s="850">
        <v>5</v>
      </c>
      <c r="E510" s="850">
        <v>1</v>
      </c>
      <c r="F510" s="850">
        <v>2</v>
      </c>
      <c r="G510" s="850">
        <v>4</v>
      </c>
      <c r="H510" s="850">
        <v>1</v>
      </c>
      <c r="I510" s="851" t="s">
        <v>3308</v>
      </c>
      <c r="J510" s="851" t="s">
        <v>4066</v>
      </c>
      <c r="K510" s="850" t="s">
        <v>1701</v>
      </c>
      <c r="L510" s="852" t="s">
        <v>1682</v>
      </c>
      <c r="M510" s="849" t="s">
        <v>3351</v>
      </c>
      <c r="N510" s="852" t="s">
        <v>1687</v>
      </c>
      <c r="O510" s="849" t="s">
        <v>3352</v>
      </c>
      <c r="P510" s="852" t="s">
        <v>1809</v>
      </c>
      <c r="Q510" s="849" t="s">
        <v>3352</v>
      </c>
      <c r="R510" s="852" t="s">
        <v>1700</v>
      </c>
      <c r="S510" s="849" t="s">
        <v>3442</v>
      </c>
      <c r="T510" s="853" t="s">
        <v>1925</v>
      </c>
      <c r="U510" s="853" t="s">
        <v>2020</v>
      </c>
      <c r="V510" s="795" t="s">
        <v>3228</v>
      </c>
      <c r="W510" s="795" t="s">
        <v>3228</v>
      </c>
    </row>
    <row r="511" spans="1:23" x14ac:dyDescent="0.2">
      <c r="A511" s="849" t="s">
        <v>4297</v>
      </c>
      <c r="B511" s="850">
        <v>2</v>
      </c>
      <c r="C511" s="850">
        <v>4</v>
      </c>
      <c r="D511" s="850">
        <v>5</v>
      </c>
      <c r="E511" s="850">
        <v>2</v>
      </c>
      <c r="F511" s="850">
        <v>4</v>
      </c>
      <c r="G511" s="850">
        <v>7</v>
      </c>
      <c r="H511" s="850">
        <v>1</v>
      </c>
      <c r="I511" s="851" t="s">
        <v>3308</v>
      </c>
      <c r="J511" s="851" t="s">
        <v>4066</v>
      </c>
      <c r="K511" s="850" t="s">
        <v>1701</v>
      </c>
      <c r="L511" s="852" t="s">
        <v>1682</v>
      </c>
      <c r="M511" s="849" t="s">
        <v>3351</v>
      </c>
      <c r="N511" s="852" t="s">
        <v>1687</v>
      </c>
      <c r="O511" s="849" t="s">
        <v>3352</v>
      </c>
      <c r="P511" s="852" t="s">
        <v>1809</v>
      </c>
      <c r="Q511" s="849" t="s">
        <v>3352</v>
      </c>
      <c r="R511" s="852" t="s">
        <v>1700</v>
      </c>
      <c r="S511" s="849" t="s">
        <v>3442</v>
      </c>
      <c r="T511" s="853" t="s">
        <v>1925</v>
      </c>
      <c r="U511" s="853" t="s">
        <v>2020</v>
      </c>
      <c r="V511" s="795" t="s">
        <v>3228</v>
      </c>
      <c r="W511" s="795" t="s">
        <v>3228</v>
      </c>
    </row>
    <row r="512" spans="1:23" x14ac:dyDescent="0.2">
      <c r="A512" s="849" t="s">
        <v>4298</v>
      </c>
      <c r="B512" s="850">
        <v>4</v>
      </c>
      <c r="C512" s="850">
        <v>6</v>
      </c>
      <c r="D512" s="850">
        <v>10</v>
      </c>
      <c r="E512" s="850">
        <v>3</v>
      </c>
      <c r="F512" s="850">
        <v>6</v>
      </c>
      <c r="G512" s="850">
        <v>11</v>
      </c>
      <c r="H512" s="850">
        <v>1</v>
      </c>
      <c r="I512" s="851" t="s">
        <v>3308</v>
      </c>
      <c r="J512" s="851" t="s">
        <v>4066</v>
      </c>
      <c r="K512" s="850" t="s">
        <v>1701</v>
      </c>
      <c r="L512" s="852" t="s">
        <v>1682</v>
      </c>
      <c r="M512" s="849" t="s">
        <v>3351</v>
      </c>
      <c r="N512" s="852" t="s">
        <v>1687</v>
      </c>
      <c r="O512" s="849" t="s">
        <v>3352</v>
      </c>
      <c r="P512" s="852" t="s">
        <v>1809</v>
      </c>
      <c r="Q512" s="849" t="s">
        <v>3352</v>
      </c>
      <c r="R512" s="852" t="s">
        <v>1700</v>
      </c>
      <c r="S512" s="849" t="s">
        <v>3442</v>
      </c>
      <c r="T512" s="853" t="s">
        <v>1925</v>
      </c>
      <c r="U512" s="853" t="s">
        <v>2020</v>
      </c>
      <c r="V512" s="795" t="s">
        <v>3228</v>
      </c>
      <c r="W512" s="795" t="s">
        <v>3228</v>
      </c>
    </row>
    <row r="513" spans="1:23" x14ac:dyDescent="0.2">
      <c r="A513" s="849" t="s">
        <v>4299</v>
      </c>
      <c r="B513" s="850">
        <v>6</v>
      </c>
      <c r="C513" s="850">
        <v>9</v>
      </c>
      <c r="D513" s="850">
        <v>10</v>
      </c>
      <c r="E513" s="850">
        <v>4</v>
      </c>
      <c r="F513" s="850">
        <v>8</v>
      </c>
      <c r="G513" s="850">
        <v>14</v>
      </c>
      <c r="H513" s="850">
        <v>1</v>
      </c>
      <c r="I513" s="851" t="s">
        <v>3308</v>
      </c>
      <c r="J513" s="851" t="s">
        <v>4066</v>
      </c>
      <c r="K513" s="850" t="s">
        <v>1701</v>
      </c>
      <c r="L513" s="852" t="s">
        <v>1682</v>
      </c>
      <c r="M513" s="849" t="s">
        <v>3351</v>
      </c>
      <c r="N513" s="852" t="s">
        <v>1687</v>
      </c>
      <c r="O513" s="849" t="s">
        <v>3352</v>
      </c>
      <c r="P513" s="852" t="s">
        <v>1809</v>
      </c>
      <c r="Q513" s="849" t="s">
        <v>3352</v>
      </c>
      <c r="R513" s="852" t="s">
        <v>1700</v>
      </c>
      <c r="S513" s="849" t="s">
        <v>3442</v>
      </c>
      <c r="T513" s="853" t="s">
        <v>1925</v>
      </c>
      <c r="U513" s="853" t="s">
        <v>2020</v>
      </c>
      <c r="V513" s="795" t="s">
        <v>3228</v>
      </c>
      <c r="W513" s="795" t="s">
        <v>3228</v>
      </c>
    </row>
    <row r="514" spans="1:23" x14ac:dyDescent="0.2">
      <c r="A514" s="849" t="s">
        <v>4300</v>
      </c>
      <c r="B514" s="850">
        <v>8</v>
      </c>
      <c r="C514" s="850">
        <v>11</v>
      </c>
      <c r="D514" s="850">
        <v>15</v>
      </c>
      <c r="E514" s="850">
        <v>6</v>
      </c>
      <c r="F514" s="850">
        <v>12</v>
      </c>
      <c r="G514" s="850">
        <v>21</v>
      </c>
      <c r="H514" s="850">
        <v>2</v>
      </c>
      <c r="I514" s="851" t="s">
        <v>3308</v>
      </c>
      <c r="J514" s="851" t="s">
        <v>4066</v>
      </c>
      <c r="K514" s="850" t="s">
        <v>1701</v>
      </c>
      <c r="L514" s="852" t="s">
        <v>1682</v>
      </c>
      <c r="M514" s="849" t="s">
        <v>3351</v>
      </c>
      <c r="N514" s="852" t="s">
        <v>1687</v>
      </c>
      <c r="O514" s="849" t="s">
        <v>3352</v>
      </c>
      <c r="P514" s="852" t="s">
        <v>1809</v>
      </c>
      <c r="Q514" s="849" t="s">
        <v>3352</v>
      </c>
      <c r="R514" s="852" t="s">
        <v>1700</v>
      </c>
      <c r="S514" s="849" t="s">
        <v>3442</v>
      </c>
      <c r="T514" s="853" t="s">
        <v>1925</v>
      </c>
      <c r="U514" s="853" t="s">
        <v>2020</v>
      </c>
      <c r="V514" s="795" t="s">
        <v>3228</v>
      </c>
      <c r="W514" s="795" t="s">
        <v>3228</v>
      </c>
    </row>
    <row r="515" spans="1:23" x14ac:dyDescent="0.2">
      <c r="A515" s="849" t="s">
        <v>4301</v>
      </c>
      <c r="B515" s="850">
        <v>10</v>
      </c>
      <c r="C515" s="850">
        <v>13</v>
      </c>
      <c r="D515" s="850">
        <v>20</v>
      </c>
      <c r="E515" s="850">
        <v>8</v>
      </c>
      <c r="F515" s="850">
        <v>16</v>
      </c>
      <c r="G515" s="850">
        <v>28</v>
      </c>
      <c r="H515" s="850">
        <v>2</v>
      </c>
      <c r="I515" s="851" t="s">
        <v>3308</v>
      </c>
      <c r="J515" s="851" t="s">
        <v>4066</v>
      </c>
      <c r="K515" s="850" t="s">
        <v>1701</v>
      </c>
      <c r="L515" s="852" t="s">
        <v>1682</v>
      </c>
      <c r="M515" s="849" t="s">
        <v>3351</v>
      </c>
      <c r="N515" s="852" t="s">
        <v>1687</v>
      </c>
      <c r="O515" s="849" t="s">
        <v>3352</v>
      </c>
      <c r="P515" s="852" t="s">
        <v>1809</v>
      </c>
      <c r="Q515" s="849" t="s">
        <v>3352</v>
      </c>
      <c r="R515" s="852" t="s">
        <v>1700</v>
      </c>
      <c r="S515" s="849" t="s">
        <v>3442</v>
      </c>
      <c r="T515" s="853" t="s">
        <v>1925</v>
      </c>
      <c r="U515" s="853" t="s">
        <v>2020</v>
      </c>
      <c r="V515" s="795" t="s">
        <v>3228</v>
      </c>
      <c r="W515" s="795" t="s">
        <v>3228</v>
      </c>
    </row>
    <row r="516" spans="1:23" x14ac:dyDescent="0.2">
      <c r="A516" s="849" t="s">
        <v>4302</v>
      </c>
      <c r="B516" s="850">
        <v>12</v>
      </c>
      <c r="C516" s="850">
        <v>15</v>
      </c>
      <c r="D516" s="850">
        <v>25</v>
      </c>
      <c r="E516" s="850">
        <v>10</v>
      </c>
      <c r="F516" s="850">
        <v>20</v>
      </c>
      <c r="G516" s="850">
        <v>35</v>
      </c>
      <c r="H516" s="850">
        <v>2</v>
      </c>
      <c r="I516" s="851" t="s">
        <v>3308</v>
      </c>
      <c r="J516" s="851" t="s">
        <v>4066</v>
      </c>
      <c r="K516" s="850" t="s">
        <v>1701</v>
      </c>
      <c r="L516" s="852" t="s">
        <v>1682</v>
      </c>
      <c r="M516" s="849" t="s">
        <v>3351</v>
      </c>
      <c r="N516" s="852" t="s">
        <v>1687</v>
      </c>
      <c r="O516" s="849" t="s">
        <v>3352</v>
      </c>
      <c r="P516" s="852" t="s">
        <v>1809</v>
      </c>
      <c r="Q516" s="849" t="s">
        <v>3352</v>
      </c>
      <c r="R516" s="852" t="s">
        <v>1700</v>
      </c>
      <c r="S516" s="849" t="s">
        <v>3442</v>
      </c>
      <c r="T516" s="853" t="s">
        <v>1925</v>
      </c>
      <c r="U516" s="853" t="s">
        <v>2020</v>
      </c>
      <c r="V516" s="795" t="s">
        <v>3228</v>
      </c>
      <c r="W516" s="795" t="s">
        <v>3228</v>
      </c>
    </row>
    <row r="517" spans="1:23" x14ac:dyDescent="0.2">
      <c r="A517" s="849" t="s">
        <v>4303</v>
      </c>
      <c r="B517" s="850">
        <v>14</v>
      </c>
      <c r="C517" s="850">
        <v>18</v>
      </c>
      <c r="D517" s="850">
        <v>30</v>
      </c>
      <c r="E517" s="850">
        <v>12</v>
      </c>
      <c r="F517" s="850">
        <v>24</v>
      </c>
      <c r="G517" s="850">
        <v>42</v>
      </c>
      <c r="H517" s="850">
        <v>3</v>
      </c>
      <c r="I517" s="851" t="s">
        <v>3308</v>
      </c>
      <c r="J517" s="851" t="s">
        <v>4066</v>
      </c>
      <c r="K517" s="850" t="s">
        <v>1701</v>
      </c>
      <c r="L517" s="852" t="s">
        <v>1682</v>
      </c>
      <c r="M517" s="849" t="s">
        <v>3351</v>
      </c>
      <c r="N517" s="852" t="s">
        <v>1687</v>
      </c>
      <c r="O517" s="849" t="s">
        <v>3352</v>
      </c>
      <c r="P517" s="852" t="s">
        <v>1809</v>
      </c>
      <c r="Q517" s="849" t="s">
        <v>3352</v>
      </c>
      <c r="R517" s="852" t="s">
        <v>1700</v>
      </c>
      <c r="S517" s="849" t="s">
        <v>3442</v>
      </c>
      <c r="T517" s="853" t="s">
        <v>1925</v>
      </c>
      <c r="U517" s="853" t="s">
        <v>2020</v>
      </c>
      <c r="V517" s="795" t="s">
        <v>3228</v>
      </c>
      <c r="W517" s="795" t="s">
        <v>3228</v>
      </c>
    </row>
    <row r="518" spans="1:23" x14ac:dyDescent="0.2">
      <c r="A518" s="855" t="s">
        <v>4304</v>
      </c>
      <c r="B518" s="856"/>
      <c r="C518" s="856"/>
      <c r="D518" s="856"/>
      <c r="E518" s="856"/>
      <c r="F518" s="856"/>
      <c r="G518" s="856"/>
      <c r="H518" s="856"/>
      <c r="I518" s="856"/>
      <c r="J518" s="856"/>
      <c r="K518" s="856"/>
      <c r="L518" s="857"/>
      <c r="M518" s="856"/>
      <c r="N518" s="856"/>
      <c r="O518" s="856"/>
      <c r="P518" s="856"/>
      <c r="Q518" s="856"/>
      <c r="R518" s="856"/>
      <c r="S518" s="856"/>
      <c r="T518" s="856"/>
      <c r="U518" s="856"/>
      <c r="V518" s="856"/>
      <c r="W518" s="850"/>
    </row>
    <row r="519" spans="1:23" x14ac:dyDescent="0.2">
      <c r="A519" s="849" t="s">
        <v>4305</v>
      </c>
      <c r="B519" s="850">
        <v>1</v>
      </c>
      <c r="C519" s="850">
        <v>1</v>
      </c>
      <c r="D519" s="850">
        <v>5</v>
      </c>
      <c r="E519" s="850">
        <v>1</v>
      </c>
      <c r="F519" s="850">
        <v>2</v>
      </c>
      <c r="G519" s="850">
        <v>4</v>
      </c>
      <c r="H519" s="850">
        <v>1</v>
      </c>
      <c r="I519" s="850"/>
      <c r="J519" s="850"/>
      <c r="K519" s="850"/>
      <c r="L519" s="859"/>
      <c r="M519" s="850"/>
      <c r="N519" s="850"/>
      <c r="O519" s="850"/>
      <c r="P519" s="850"/>
      <c r="Q519" s="850"/>
      <c r="R519" s="850"/>
      <c r="S519" s="850"/>
      <c r="T519" s="850"/>
      <c r="U519" s="850"/>
      <c r="V519" s="850"/>
      <c r="W519" s="850"/>
    </row>
    <row r="520" spans="1:23" x14ac:dyDescent="0.2">
      <c r="A520" s="849" t="s">
        <v>4306</v>
      </c>
      <c r="B520" s="850">
        <v>2</v>
      </c>
      <c r="C520" s="850">
        <v>2</v>
      </c>
      <c r="D520" s="850">
        <v>10</v>
      </c>
      <c r="E520" s="850">
        <v>1</v>
      </c>
      <c r="F520" s="850">
        <v>2</v>
      </c>
      <c r="G520" s="850">
        <v>4</v>
      </c>
      <c r="H520" s="850">
        <v>1</v>
      </c>
      <c r="I520" s="850"/>
      <c r="J520" s="850"/>
      <c r="K520" s="850"/>
      <c r="L520" s="859"/>
      <c r="M520" s="850"/>
      <c r="N520" s="850"/>
      <c r="O520" s="850"/>
      <c r="P520" s="850"/>
      <c r="Q520" s="850"/>
      <c r="R520" s="850"/>
      <c r="S520" s="850"/>
      <c r="T520" s="850"/>
      <c r="U520" s="850"/>
      <c r="V520" s="850"/>
      <c r="W520" s="850"/>
    </row>
    <row r="521" spans="1:23" x14ac:dyDescent="0.2">
      <c r="A521" s="849" t="s">
        <v>4307</v>
      </c>
      <c r="B521" s="850">
        <v>3</v>
      </c>
      <c r="C521" s="850">
        <v>3</v>
      </c>
      <c r="D521" s="850">
        <v>10</v>
      </c>
      <c r="E521" s="850">
        <v>2</v>
      </c>
      <c r="F521" s="850">
        <v>4</v>
      </c>
      <c r="G521" s="850">
        <v>7</v>
      </c>
      <c r="H521" s="850">
        <v>1</v>
      </c>
      <c r="I521" s="850"/>
      <c r="J521" s="850"/>
      <c r="K521" s="850"/>
      <c r="L521" s="859"/>
      <c r="M521" s="850"/>
      <c r="N521" s="850"/>
      <c r="O521" s="850"/>
      <c r="P521" s="850"/>
      <c r="Q521" s="850"/>
      <c r="R521" s="850"/>
      <c r="S521" s="850"/>
      <c r="T521" s="850"/>
      <c r="U521" s="850"/>
      <c r="V521" s="850"/>
      <c r="W521" s="850"/>
    </row>
    <row r="522" spans="1:23" x14ac:dyDescent="0.2">
      <c r="A522" s="849" t="s">
        <v>4308</v>
      </c>
      <c r="B522" s="850">
        <v>4</v>
      </c>
      <c r="C522" s="850">
        <v>4</v>
      </c>
      <c r="D522" s="850">
        <v>15</v>
      </c>
      <c r="E522" s="850">
        <v>2</v>
      </c>
      <c r="F522" s="850">
        <v>4</v>
      </c>
      <c r="G522" s="850">
        <v>7</v>
      </c>
      <c r="H522" s="850">
        <v>1</v>
      </c>
      <c r="I522" s="850"/>
      <c r="J522" s="850"/>
      <c r="K522" s="850"/>
      <c r="L522" s="859"/>
      <c r="M522" s="850"/>
      <c r="N522" s="850"/>
      <c r="O522" s="850"/>
      <c r="P522" s="850"/>
      <c r="Q522" s="850"/>
      <c r="R522" s="850"/>
      <c r="S522" s="850"/>
      <c r="T522" s="850"/>
      <c r="U522" s="850"/>
      <c r="V522" s="850"/>
      <c r="W522" s="850"/>
    </row>
    <row r="523" spans="1:23" x14ac:dyDescent="0.2">
      <c r="A523" s="849" t="s">
        <v>4309</v>
      </c>
      <c r="B523" s="850">
        <v>5</v>
      </c>
      <c r="C523" s="850">
        <v>5</v>
      </c>
      <c r="D523" s="850">
        <v>15</v>
      </c>
      <c r="E523" s="850">
        <v>3</v>
      </c>
      <c r="F523" s="850">
        <v>6</v>
      </c>
      <c r="G523" s="850">
        <v>11</v>
      </c>
      <c r="H523" s="850">
        <v>1</v>
      </c>
      <c r="I523" s="850"/>
      <c r="J523" s="850"/>
      <c r="K523" s="850"/>
      <c r="L523" s="859"/>
      <c r="M523" s="850"/>
      <c r="N523" s="850"/>
      <c r="O523" s="850"/>
      <c r="P523" s="850"/>
      <c r="Q523" s="850"/>
      <c r="R523" s="850"/>
      <c r="S523" s="850"/>
      <c r="T523" s="850"/>
      <c r="U523" s="850"/>
      <c r="V523" s="850"/>
      <c r="W523" s="850"/>
    </row>
    <row r="524" spans="1:23" x14ac:dyDescent="0.2">
      <c r="A524" s="849" t="s">
        <v>4310</v>
      </c>
      <c r="B524" s="850">
        <v>6</v>
      </c>
      <c r="C524" s="850">
        <v>6</v>
      </c>
      <c r="D524" s="850">
        <v>20</v>
      </c>
      <c r="E524" s="850">
        <v>3</v>
      </c>
      <c r="F524" s="850">
        <v>6</v>
      </c>
      <c r="G524" s="850">
        <v>11</v>
      </c>
      <c r="H524" s="850">
        <v>2</v>
      </c>
      <c r="I524" s="850"/>
      <c r="J524" s="850"/>
      <c r="K524" s="850"/>
      <c r="L524" s="859"/>
      <c r="M524" s="850"/>
      <c r="N524" s="850"/>
      <c r="O524" s="850"/>
      <c r="P524" s="850"/>
      <c r="Q524" s="850"/>
      <c r="R524" s="850"/>
      <c r="S524" s="850"/>
      <c r="T524" s="850"/>
      <c r="U524" s="850"/>
      <c r="V524" s="850"/>
      <c r="W524" s="850"/>
    </row>
    <row r="525" spans="1:23" x14ac:dyDescent="0.2">
      <c r="A525" s="849" t="s">
        <v>4311</v>
      </c>
      <c r="B525" s="850">
        <v>7</v>
      </c>
      <c r="C525" s="850">
        <v>7</v>
      </c>
      <c r="D525" s="850">
        <v>20</v>
      </c>
      <c r="E525" s="850">
        <v>4</v>
      </c>
      <c r="F525" s="850">
        <v>8</v>
      </c>
      <c r="G525" s="850">
        <v>14</v>
      </c>
      <c r="H525" s="850">
        <v>2</v>
      </c>
      <c r="I525" s="850"/>
      <c r="J525" s="850"/>
      <c r="K525" s="850"/>
      <c r="L525" s="859"/>
      <c r="M525" s="850"/>
      <c r="N525" s="850"/>
      <c r="O525" s="850"/>
      <c r="P525" s="850"/>
      <c r="Q525" s="850"/>
      <c r="R525" s="850"/>
      <c r="S525" s="850"/>
      <c r="T525" s="850"/>
      <c r="U525" s="850"/>
      <c r="V525" s="850"/>
      <c r="W525" s="850"/>
    </row>
    <row r="526" spans="1:23" x14ac:dyDescent="0.2">
      <c r="A526" s="849" t="s">
        <v>4312</v>
      </c>
      <c r="B526" s="850">
        <v>8</v>
      </c>
      <c r="C526" s="850">
        <v>8</v>
      </c>
      <c r="D526" s="850">
        <v>30</v>
      </c>
      <c r="E526" s="850">
        <v>4</v>
      </c>
      <c r="F526" s="850">
        <v>8</v>
      </c>
      <c r="G526" s="850">
        <v>14</v>
      </c>
      <c r="H526" s="850">
        <v>3</v>
      </c>
      <c r="I526" s="850"/>
      <c r="J526" s="850"/>
      <c r="K526" s="850"/>
      <c r="L526" s="859"/>
      <c r="M526" s="850"/>
      <c r="N526" s="850"/>
      <c r="O526" s="850"/>
      <c r="P526" s="850"/>
      <c r="Q526" s="850"/>
      <c r="R526" s="850"/>
      <c r="S526" s="850"/>
      <c r="T526" s="850"/>
      <c r="U526" s="850"/>
      <c r="V526" s="850"/>
      <c r="W526" s="850"/>
    </row>
    <row r="527" spans="1:23" x14ac:dyDescent="0.2">
      <c r="A527" s="855" t="s">
        <v>4313</v>
      </c>
      <c r="B527" s="856"/>
      <c r="C527" s="856"/>
      <c r="D527" s="856"/>
      <c r="E527" s="856"/>
      <c r="F527" s="856"/>
      <c r="G527" s="856"/>
      <c r="H527" s="856"/>
      <c r="I527" s="856"/>
      <c r="J527" s="856"/>
      <c r="K527" s="856"/>
      <c r="L527" s="857"/>
      <c r="M527" s="856"/>
      <c r="N527" s="856"/>
      <c r="O527" s="856"/>
      <c r="P527" s="856"/>
      <c r="Q527" s="856"/>
      <c r="R527" s="856"/>
      <c r="S527" s="856"/>
      <c r="T527" s="856"/>
      <c r="U527" s="856"/>
      <c r="V527" s="856"/>
      <c r="W527" s="850"/>
    </row>
    <row r="528" spans="1:23" x14ac:dyDescent="0.2">
      <c r="A528" s="849" t="s">
        <v>4314</v>
      </c>
      <c r="B528" s="850">
        <v>2</v>
      </c>
      <c r="C528" s="850">
        <v>2</v>
      </c>
      <c r="D528" s="850">
        <v>10</v>
      </c>
      <c r="E528" s="850">
        <v>2</v>
      </c>
      <c r="F528" s="850">
        <v>4</v>
      </c>
      <c r="G528" s="850">
        <v>7</v>
      </c>
      <c r="H528" s="850">
        <v>1</v>
      </c>
      <c r="I528" s="850"/>
      <c r="J528" s="850"/>
      <c r="K528" s="850"/>
      <c r="L528" s="859"/>
      <c r="M528" s="850"/>
      <c r="N528" s="850"/>
      <c r="O528" s="850"/>
      <c r="P528" s="850"/>
      <c r="Q528" s="850"/>
      <c r="R528" s="850"/>
      <c r="S528" s="850"/>
      <c r="T528" s="850"/>
      <c r="U528" s="850"/>
      <c r="V528" s="850"/>
      <c r="W528" s="850"/>
    </row>
    <row r="529" spans="1:23" x14ac:dyDescent="0.2">
      <c r="A529" s="855" t="s">
        <v>4315</v>
      </c>
      <c r="B529" s="856"/>
      <c r="C529" s="856"/>
      <c r="D529" s="856"/>
      <c r="E529" s="856"/>
      <c r="F529" s="856"/>
      <c r="G529" s="856"/>
      <c r="H529" s="856"/>
      <c r="I529" s="856"/>
      <c r="J529" s="856"/>
      <c r="K529" s="856"/>
      <c r="L529" s="857"/>
      <c r="M529" s="856"/>
      <c r="N529" s="856"/>
      <c r="O529" s="856"/>
      <c r="P529" s="856"/>
      <c r="Q529" s="856"/>
      <c r="R529" s="856"/>
      <c r="S529" s="856"/>
      <c r="T529" s="856"/>
      <c r="U529" s="856"/>
      <c r="V529" s="856"/>
      <c r="W529" s="850"/>
    </row>
    <row r="530" spans="1:23" x14ac:dyDescent="0.2">
      <c r="A530" s="849" t="s">
        <v>4316</v>
      </c>
      <c r="B530" s="850">
        <v>3</v>
      </c>
      <c r="C530" s="850">
        <v>3</v>
      </c>
      <c r="D530" s="850">
        <v>10</v>
      </c>
      <c r="E530" s="850">
        <v>2</v>
      </c>
      <c r="F530" s="850">
        <v>4</v>
      </c>
      <c r="G530" s="850">
        <v>7</v>
      </c>
      <c r="H530" s="850">
        <v>1</v>
      </c>
      <c r="I530" s="850"/>
      <c r="J530" s="850"/>
      <c r="K530" s="850"/>
      <c r="L530" s="859"/>
      <c r="M530" s="850"/>
      <c r="N530" s="850"/>
      <c r="O530" s="850"/>
      <c r="P530" s="850"/>
      <c r="Q530" s="850"/>
      <c r="R530" s="850"/>
      <c r="S530" s="850"/>
      <c r="T530" s="850"/>
      <c r="U530" s="850"/>
      <c r="V530" s="850"/>
      <c r="W530" s="850"/>
    </row>
    <row r="531" spans="1:23" x14ac:dyDescent="0.2">
      <c r="A531" s="849" t="s">
        <v>4317</v>
      </c>
      <c r="B531" s="850">
        <v>4</v>
      </c>
      <c r="C531" s="850">
        <v>4</v>
      </c>
      <c r="D531" s="850">
        <v>15</v>
      </c>
      <c r="E531" s="850">
        <v>3</v>
      </c>
      <c r="F531" s="850">
        <v>6</v>
      </c>
      <c r="G531" s="850">
        <v>11</v>
      </c>
      <c r="H531" s="850">
        <v>1</v>
      </c>
      <c r="I531" s="850"/>
      <c r="J531" s="850"/>
      <c r="K531" s="850"/>
      <c r="L531" s="859"/>
      <c r="M531" s="850"/>
      <c r="N531" s="850"/>
      <c r="O531" s="850"/>
      <c r="P531" s="850"/>
      <c r="Q531" s="850"/>
      <c r="R531" s="850"/>
      <c r="S531" s="850"/>
      <c r="T531" s="850"/>
      <c r="U531" s="850"/>
      <c r="V531" s="850"/>
      <c r="W531" s="850"/>
    </row>
    <row r="532" spans="1:23" x14ac:dyDescent="0.2">
      <c r="A532" s="849" t="s">
        <v>4318</v>
      </c>
      <c r="B532" s="850">
        <v>6</v>
      </c>
      <c r="C532" s="850">
        <v>6</v>
      </c>
      <c r="D532" s="850">
        <v>20</v>
      </c>
      <c r="E532" s="850">
        <v>4</v>
      </c>
      <c r="F532" s="850">
        <v>8</v>
      </c>
      <c r="G532" s="850">
        <v>14</v>
      </c>
      <c r="H532" s="850">
        <v>1</v>
      </c>
      <c r="I532" s="850"/>
      <c r="J532" s="850"/>
      <c r="K532" s="850"/>
      <c r="L532" s="859"/>
      <c r="M532" s="850"/>
      <c r="N532" s="850"/>
      <c r="O532" s="850"/>
      <c r="P532" s="850"/>
      <c r="Q532" s="850"/>
      <c r="R532" s="850"/>
      <c r="S532" s="850"/>
      <c r="T532" s="850"/>
      <c r="U532" s="850"/>
      <c r="V532" s="850"/>
      <c r="W532" s="850"/>
    </row>
    <row r="533" spans="1:23" x14ac:dyDescent="0.2">
      <c r="A533" s="691" t="s">
        <v>3589</v>
      </c>
      <c r="B533" s="869"/>
      <c r="C533" s="869"/>
      <c r="D533" s="869"/>
      <c r="E533" s="869"/>
      <c r="F533" s="869"/>
      <c r="G533" s="869"/>
      <c r="H533" s="869"/>
      <c r="I533" s="869"/>
      <c r="J533" s="869"/>
      <c r="K533" s="869"/>
      <c r="L533" s="870"/>
      <c r="M533" s="869"/>
      <c r="N533" s="869"/>
      <c r="O533" s="869"/>
      <c r="P533" s="869"/>
      <c r="Q533" s="869"/>
      <c r="R533" s="869"/>
      <c r="S533" s="869"/>
      <c r="T533" s="869"/>
      <c r="U533" s="869"/>
      <c r="V533" s="869"/>
      <c r="W533" s="850"/>
    </row>
    <row r="534" spans="1:23" x14ac:dyDescent="0.2">
      <c r="A534" s="849" t="s">
        <v>4319</v>
      </c>
      <c r="B534" s="850">
        <v>2</v>
      </c>
      <c r="C534" s="850">
        <v>4</v>
      </c>
      <c r="D534" s="850">
        <v>5</v>
      </c>
      <c r="E534" s="850">
        <v>1</v>
      </c>
      <c r="F534" s="850">
        <v>2</v>
      </c>
      <c r="G534" s="850">
        <v>4</v>
      </c>
      <c r="H534" s="850">
        <v>1</v>
      </c>
      <c r="I534" s="851" t="s">
        <v>3308</v>
      </c>
      <c r="J534" s="851" t="s">
        <v>1881</v>
      </c>
      <c r="K534" s="850" t="s">
        <v>1700</v>
      </c>
      <c r="L534" s="852" t="s">
        <v>1682</v>
      </c>
      <c r="M534" s="849" t="s">
        <v>3352</v>
      </c>
      <c r="N534" s="852" t="s">
        <v>1809</v>
      </c>
      <c r="O534" s="849" t="s">
        <v>3351</v>
      </c>
      <c r="P534" s="852" t="s">
        <v>1687</v>
      </c>
      <c r="Q534" s="849" t="s">
        <v>3352</v>
      </c>
      <c r="R534" s="852" t="s">
        <v>1692</v>
      </c>
      <c r="S534" s="849" t="s">
        <v>3351</v>
      </c>
      <c r="T534" s="853" t="s">
        <v>1925</v>
      </c>
      <c r="U534" s="853" t="s">
        <v>2019</v>
      </c>
      <c r="V534" s="795" t="s">
        <v>3228</v>
      </c>
      <c r="W534" s="850"/>
    </row>
    <row r="535" spans="1:23" x14ac:dyDescent="0.2">
      <c r="A535" s="849" t="s">
        <v>4320</v>
      </c>
      <c r="B535" s="850">
        <v>3</v>
      </c>
      <c r="C535" s="850">
        <v>5</v>
      </c>
      <c r="D535" s="850">
        <v>5</v>
      </c>
      <c r="E535" s="850">
        <v>1</v>
      </c>
      <c r="F535" s="850">
        <v>2</v>
      </c>
      <c r="G535" s="850">
        <v>4</v>
      </c>
      <c r="H535" s="850">
        <v>1</v>
      </c>
      <c r="I535" s="851" t="s">
        <v>3308</v>
      </c>
      <c r="J535" s="851" t="s">
        <v>1881</v>
      </c>
      <c r="K535" s="850" t="s">
        <v>1700</v>
      </c>
      <c r="L535" s="852" t="s">
        <v>1682</v>
      </c>
      <c r="M535" s="849" t="s">
        <v>3352</v>
      </c>
      <c r="N535" s="852" t="s">
        <v>1809</v>
      </c>
      <c r="O535" s="849" t="s">
        <v>3351</v>
      </c>
      <c r="P535" s="852" t="s">
        <v>1687</v>
      </c>
      <c r="Q535" s="849" t="s">
        <v>3352</v>
      </c>
      <c r="R535" s="852" t="s">
        <v>1692</v>
      </c>
      <c r="S535" s="849" t="s">
        <v>3351</v>
      </c>
      <c r="T535" s="853" t="s">
        <v>1925</v>
      </c>
      <c r="U535" s="853" t="s">
        <v>2019</v>
      </c>
      <c r="V535" s="795" t="s">
        <v>3228</v>
      </c>
      <c r="W535" s="850"/>
    </row>
    <row r="536" spans="1:23" x14ac:dyDescent="0.2">
      <c r="A536" s="849" t="s">
        <v>4321</v>
      </c>
      <c r="B536" s="850">
        <v>4</v>
      </c>
      <c r="C536" s="850">
        <v>6</v>
      </c>
      <c r="D536" s="850">
        <v>10</v>
      </c>
      <c r="E536" s="850">
        <v>2</v>
      </c>
      <c r="F536" s="850">
        <v>4</v>
      </c>
      <c r="G536" s="850">
        <v>7</v>
      </c>
      <c r="H536" s="850">
        <v>1</v>
      </c>
      <c r="I536" s="851" t="s">
        <v>3308</v>
      </c>
      <c r="J536" s="851" t="s">
        <v>1881</v>
      </c>
      <c r="K536" s="850" t="s">
        <v>1700</v>
      </c>
      <c r="L536" s="852" t="s">
        <v>1682</v>
      </c>
      <c r="M536" s="849" t="s">
        <v>3352</v>
      </c>
      <c r="N536" s="852" t="s">
        <v>1809</v>
      </c>
      <c r="O536" s="849" t="s">
        <v>3351</v>
      </c>
      <c r="P536" s="852" t="s">
        <v>1687</v>
      </c>
      <c r="Q536" s="849" t="s">
        <v>3352</v>
      </c>
      <c r="R536" s="852" t="s">
        <v>1692</v>
      </c>
      <c r="S536" s="849" t="s">
        <v>3351</v>
      </c>
      <c r="T536" s="853" t="s">
        <v>1925</v>
      </c>
      <c r="U536" s="853" t="s">
        <v>2019</v>
      </c>
      <c r="V536" s="795" t="s">
        <v>3228</v>
      </c>
      <c r="W536" s="850"/>
    </row>
    <row r="537" spans="1:23" x14ac:dyDescent="0.2">
      <c r="A537" s="849" t="s">
        <v>4322</v>
      </c>
      <c r="B537" s="850">
        <v>5</v>
      </c>
      <c r="C537" s="850">
        <v>8</v>
      </c>
      <c r="D537" s="850">
        <v>15</v>
      </c>
      <c r="E537" s="850">
        <v>3</v>
      </c>
      <c r="F537" s="850">
        <v>6</v>
      </c>
      <c r="G537" s="850">
        <v>11</v>
      </c>
      <c r="H537" s="850">
        <v>1</v>
      </c>
      <c r="I537" s="851" t="s">
        <v>3308</v>
      </c>
      <c r="J537" s="851" t="s">
        <v>1881</v>
      </c>
      <c r="K537" s="850" t="s">
        <v>1700</v>
      </c>
      <c r="L537" s="852" t="s">
        <v>1682</v>
      </c>
      <c r="M537" s="849" t="s">
        <v>3352</v>
      </c>
      <c r="N537" s="852" t="s">
        <v>1809</v>
      </c>
      <c r="O537" s="849" t="s">
        <v>3351</v>
      </c>
      <c r="P537" s="852" t="s">
        <v>1687</v>
      </c>
      <c r="Q537" s="849" t="s">
        <v>3352</v>
      </c>
      <c r="R537" s="852" t="s">
        <v>1692</v>
      </c>
      <c r="S537" s="849" t="s">
        <v>3351</v>
      </c>
      <c r="T537" s="853" t="s">
        <v>1925</v>
      </c>
      <c r="U537" s="853" t="s">
        <v>2019</v>
      </c>
      <c r="V537" s="795" t="s">
        <v>3228</v>
      </c>
      <c r="W537" s="850"/>
    </row>
    <row r="538" spans="1:23" x14ac:dyDescent="0.2">
      <c r="A538" s="849" t="s">
        <v>4323</v>
      </c>
      <c r="B538" s="850">
        <v>8</v>
      </c>
      <c r="C538" s="850">
        <v>11</v>
      </c>
      <c r="D538" s="850">
        <v>20</v>
      </c>
      <c r="E538" s="850">
        <v>4</v>
      </c>
      <c r="F538" s="850">
        <v>8</v>
      </c>
      <c r="G538" s="850">
        <v>14</v>
      </c>
      <c r="H538" s="850">
        <v>1</v>
      </c>
      <c r="I538" s="851" t="s">
        <v>3308</v>
      </c>
      <c r="J538" s="851" t="s">
        <v>1881</v>
      </c>
      <c r="K538" s="850" t="s">
        <v>1700</v>
      </c>
      <c r="L538" s="852" t="s">
        <v>1682</v>
      </c>
      <c r="M538" s="849" t="s">
        <v>3352</v>
      </c>
      <c r="N538" s="852" t="s">
        <v>1809</v>
      </c>
      <c r="O538" s="849" t="s">
        <v>3351</v>
      </c>
      <c r="P538" s="852" t="s">
        <v>1687</v>
      </c>
      <c r="Q538" s="849" t="s">
        <v>3352</v>
      </c>
      <c r="R538" s="852" t="s">
        <v>1692</v>
      </c>
      <c r="S538" s="849" t="s">
        <v>3351</v>
      </c>
      <c r="T538" s="853" t="s">
        <v>1925</v>
      </c>
      <c r="U538" s="853" t="s">
        <v>2019</v>
      </c>
      <c r="V538" s="795" t="s">
        <v>3228</v>
      </c>
      <c r="W538" s="850"/>
    </row>
    <row r="539" spans="1:23" x14ac:dyDescent="0.2">
      <c r="A539" s="849" t="s">
        <v>4324</v>
      </c>
      <c r="B539" s="850">
        <v>12</v>
      </c>
      <c r="C539" s="850">
        <v>15</v>
      </c>
      <c r="D539" s="850">
        <v>25</v>
      </c>
      <c r="E539" s="850">
        <v>5</v>
      </c>
      <c r="F539" s="850">
        <v>10</v>
      </c>
      <c r="G539" s="850">
        <v>18</v>
      </c>
      <c r="H539" s="850">
        <v>2</v>
      </c>
      <c r="I539" s="851" t="s">
        <v>3308</v>
      </c>
      <c r="J539" s="851" t="s">
        <v>1881</v>
      </c>
      <c r="K539" s="850" t="s">
        <v>1700</v>
      </c>
      <c r="L539" s="852" t="s">
        <v>1682</v>
      </c>
      <c r="M539" s="849" t="s">
        <v>3352</v>
      </c>
      <c r="N539" s="852" t="s">
        <v>1809</v>
      </c>
      <c r="O539" s="849" t="s">
        <v>3351</v>
      </c>
      <c r="P539" s="852" t="s">
        <v>1687</v>
      </c>
      <c r="Q539" s="849" t="s">
        <v>3352</v>
      </c>
      <c r="R539" s="852" t="s">
        <v>1692</v>
      </c>
      <c r="S539" s="849" t="s">
        <v>3351</v>
      </c>
      <c r="T539" s="853" t="s">
        <v>1925</v>
      </c>
      <c r="U539" s="853" t="s">
        <v>2019</v>
      </c>
      <c r="V539" s="795" t="s">
        <v>3228</v>
      </c>
      <c r="W539" s="850"/>
    </row>
    <row r="540" spans="1:23" x14ac:dyDescent="0.2">
      <c r="A540" s="849" t="s">
        <v>4325</v>
      </c>
      <c r="B540" s="850">
        <v>14</v>
      </c>
      <c r="C540" s="850">
        <v>18</v>
      </c>
      <c r="D540" s="850">
        <v>30</v>
      </c>
      <c r="E540" s="850">
        <v>8</v>
      </c>
      <c r="F540" s="850">
        <v>16</v>
      </c>
      <c r="G540" s="850">
        <v>28</v>
      </c>
      <c r="H540" s="850">
        <v>2</v>
      </c>
      <c r="I540" s="851" t="s">
        <v>3308</v>
      </c>
      <c r="J540" s="851" t="s">
        <v>1881</v>
      </c>
      <c r="K540" s="850" t="s">
        <v>1700</v>
      </c>
      <c r="L540" s="852" t="s">
        <v>1682</v>
      </c>
      <c r="M540" s="849" t="s">
        <v>3352</v>
      </c>
      <c r="N540" s="852" t="s">
        <v>1809</v>
      </c>
      <c r="O540" s="849" t="s">
        <v>3351</v>
      </c>
      <c r="P540" s="852" t="s">
        <v>1687</v>
      </c>
      <c r="Q540" s="849" t="s">
        <v>3352</v>
      </c>
      <c r="R540" s="852" t="s">
        <v>1692</v>
      </c>
      <c r="S540" s="849" t="s">
        <v>3351</v>
      </c>
      <c r="T540" s="853" t="s">
        <v>1925</v>
      </c>
      <c r="U540" s="853" t="s">
        <v>2019</v>
      </c>
      <c r="V540" s="795" t="s">
        <v>3228</v>
      </c>
      <c r="W540" s="850"/>
    </row>
    <row r="541" spans="1:23" x14ac:dyDescent="0.2">
      <c r="A541" s="849" t="s">
        <v>4326</v>
      </c>
      <c r="B541" s="850">
        <v>18</v>
      </c>
      <c r="C541" s="850">
        <v>22</v>
      </c>
      <c r="D541" s="850">
        <v>35</v>
      </c>
      <c r="E541" s="850">
        <v>10</v>
      </c>
      <c r="F541" s="850">
        <v>20</v>
      </c>
      <c r="G541" s="850">
        <v>35</v>
      </c>
      <c r="H541" s="850">
        <v>2</v>
      </c>
      <c r="I541" s="851" t="s">
        <v>3308</v>
      </c>
      <c r="J541" s="851" t="s">
        <v>1881</v>
      </c>
      <c r="K541" s="850" t="s">
        <v>1700</v>
      </c>
      <c r="L541" s="852" t="s">
        <v>1682</v>
      </c>
      <c r="M541" s="849" t="s">
        <v>3352</v>
      </c>
      <c r="N541" s="852" t="s">
        <v>1809</v>
      </c>
      <c r="O541" s="849" t="s">
        <v>3351</v>
      </c>
      <c r="P541" s="852" t="s">
        <v>1687</v>
      </c>
      <c r="Q541" s="849" t="s">
        <v>3352</v>
      </c>
      <c r="R541" s="852" t="s">
        <v>1692</v>
      </c>
      <c r="S541" s="849" t="s">
        <v>3351</v>
      </c>
      <c r="T541" s="853" t="s">
        <v>1925</v>
      </c>
      <c r="U541" s="853" t="s">
        <v>2019</v>
      </c>
      <c r="V541" s="795" t="s">
        <v>3228</v>
      </c>
      <c r="W541" s="850"/>
    </row>
    <row r="542" spans="1:23" x14ac:dyDescent="0.2">
      <c r="A542" s="849" t="s">
        <v>4327</v>
      </c>
      <c r="B542" s="850">
        <v>22</v>
      </c>
      <c r="C542" s="850">
        <v>26</v>
      </c>
      <c r="D542" s="850">
        <v>40</v>
      </c>
      <c r="E542" s="850">
        <v>12</v>
      </c>
      <c r="F542" s="850">
        <v>24</v>
      </c>
      <c r="G542" s="850">
        <v>42</v>
      </c>
      <c r="H542" s="850">
        <v>3</v>
      </c>
      <c r="I542" s="851" t="s">
        <v>3308</v>
      </c>
      <c r="J542" s="851" t="s">
        <v>1881</v>
      </c>
      <c r="K542" s="850" t="s">
        <v>1700</v>
      </c>
      <c r="L542" s="852" t="s">
        <v>1682</v>
      </c>
      <c r="M542" s="849" t="s">
        <v>3352</v>
      </c>
      <c r="N542" s="852" t="s">
        <v>1809</v>
      </c>
      <c r="O542" s="849" t="s">
        <v>3351</v>
      </c>
      <c r="P542" s="852" t="s">
        <v>1687</v>
      </c>
      <c r="Q542" s="849" t="s">
        <v>3352</v>
      </c>
      <c r="R542" s="852" t="s">
        <v>1692</v>
      </c>
      <c r="S542" s="849" t="s">
        <v>3351</v>
      </c>
      <c r="T542" s="853" t="s">
        <v>1925</v>
      </c>
      <c r="U542" s="853" t="s">
        <v>2019</v>
      </c>
      <c r="V542" s="795" t="s">
        <v>3228</v>
      </c>
      <c r="W542" s="850"/>
    </row>
    <row r="543" spans="1:23" x14ac:dyDescent="0.2">
      <c r="A543" s="849" t="s">
        <v>4328</v>
      </c>
      <c r="B543" s="850">
        <v>26</v>
      </c>
      <c r="C543" s="850">
        <v>32</v>
      </c>
      <c r="D543" s="850">
        <v>45</v>
      </c>
      <c r="E543" s="850">
        <v>14</v>
      </c>
      <c r="F543" s="850">
        <v>28</v>
      </c>
      <c r="G543" s="850">
        <v>49</v>
      </c>
      <c r="H543" s="850">
        <v>3</v>
      </c>
      <c r="I543" s="851" t="s">
        <v>3308</v>
      </c>
      <c r="J543" s="851" t="s">
        <v>1881</v>
      </c>
      <c r="K543" s="850" t="s">
        <v>1700</v>
      </c>
      <c r="L543" s="852" t="s">
        <v>1682</v>
      </c>
      <c r="M543" s="849" t="s">
        <v>3352</v>
      </c>
      <c r="N543" s="852" t="s">
        <v>1809</v>
      </c>
      <c r="O543" s="849" t="s">
        <v>3351</v>
      </c>
      <c r="P543" s="852" t="s">
        <v>1687</v>
      </c>
      <c r="Q543" s="849" t="s">
        <v>3352</v>
      </c>
      <c r="R543" s="852" t="s">
        <v>1692</v>
      </c>
      <c r="S543" s="849" t="s">
        <v>3351</v>
      </c>
      <c r="T543" s="853" t="s">
        <v>1925</v>
      </c>
      <c r="U543" s="853" t="s">
        <v>2019</v>
      </c>
      <c r="V543" s="795" t="s">
        <v>3228</v>
      </c>
      <c r="W543" s="850"/>
    </row>
    <row r="544" spans="1:23" x14ac:dyDescent="0.2">
      <c r="A544" s="855" t="s">
        <v>4292</v>
      </c>
      <c r="B544" s="856"/>
      <c r="C544" s="856"/>
      <c r="D544" s="856"/>
      <c r="E544" s="856"/>
      <c r="F544" s="856"/>
      <c r="G544" s="856"/>
      <c r="H544" s="856"/>
      <c r="I544" s="856"/>
      <c r="J544" s="856"/>
      <c r="K544" s="856"/>
      <c r="L544" s="857"/>
      <c r="M544" s="856"/>
      <c r="N544" s="856"/>
      <c r="O544" s="856"/>
      <c r="P544" s="856"/>
      <c r="Q544" s="856"/>
      <c r="R544" s="856"/>
      <c r="S544" s="856"/>
      <c r="T544" s="856"/>
      <c r="U544" s="856"/>
      <c r="V544" s="856"/>
      <c r="W544" s="850"/>
    </row>
    <row r="545" spans="1:24" x14ac:dyDescent="0.2">
      <c r="A545" s="849" t="s">
        <v>4293</v>
      </c>
      <c r="B545" s="850">
        <v>1</v>
      </c>
      <c r="C545" s="850">
        <v>1</v>
      </c>
      <c r="D545" s="850">
        <v>5</v>
      </c>
      <c r="E545" s="850">
        <v>1</v>
      </c>
      <c r="F545" s="850">
        <v>2</v>
      </c>
      <c r="G545" s="850">
        <v>4</v>
      </c>
      <c r="H545" s="850"/>
      <c r="I545" s="850"/>
      <c r="J545" s="850"/>
      <c r="K545" s="850"/>
      <c r="L545" s="859"/>
      <c r="M545" s="850"/>
      <c r="N545" s="850"/>
      <c r="O545" s="850"/>
      <c r="P545" s="850"/>
      <c r="Q545" s="850"/>
      <c r="R545" s="850"/>
      <c r="S545" s="850"/>
      <c r="T545" s="850"/>
      <c r="U545" s="850"/>
      <c r="V545" s="850"/>
      <c r="W545" s="850"/>
    </row>
    <row r="546" spans="1:24" x14ac:dyDescent="0.2">
      <c r="A546" s="849" t="s">
        <v>4294</v>
      </c>
      <c r="B546" s="850">
        <v>2</v>
      </c>
      <c r="C546" s="850">
        <v>2</v>
      </c>
      <c r="D546" s="850">
        <v>10</v>
      </c>
      <c r="E546" s="850">
        <v>2</v>
      </c>
      <c r="F546" s="850">
        <v>4</v>
      </c>
      <c r="G546" s="850">
        <v>7</v>
      </c>
      <c r="H546" s="850"/>
      <c r="I546" s="850"/>
      <c r="J546" s="850"/>
      <c r="K546" s="850"/>
      <c r="L546" s="859"/>
      <c r="M546" s="850"/>
      <c r="N546" s="850"/>
      <c r="O546" s="850"/>
      <c r="P546" s="850"/>
      <c r="Q546" s="850"/>
      <c r="R546" s="850"/>
      <c r="S546" s="850"/>
      <c r="T546" s="850"/>
      <c r="U546" s="850"/>
      <c r="V546" s="850"/>
      <c r="W546" s="850"/>
    </row>
    <row r="547" spans="1:24" x14ac:dyDescent="0.2">
      <c r="A547" s="849" t="s">
        <v>4295</v>
      </c>
      <c r="B547" s="850">
        <v>4</v>
      </c>
      <c r="C547" s="850">
        <v>4</v>
      </c>
      <c r="D547" s="850">
        <v>15</v>
      </c>
      <c r="E547" s="850">
        <v>3</v>
      </c>
      <c r="F547" s="850">
        <v>6</v>
      </c>
      <c r="G547" s="850">
        <v>11</v>
      </c>
      <c r="H547" s="850"/>
      <c r="I547" s="850"/>
      <c r="J547" s="850"/>
      <c r="K547" s="850"/>
      <c r="L547" s="859"/>
      <c r="M547" s="850"/>
      <c r="N547" s="850"/>
      <c r="O547" s="850"/>
      <c r="P547" s="850"/>
      <c r="Q547" s="850"/>
      <c r="R547" s="850"/>
      <c r="S547" s="850"/>
      <c r="T547" s="850"/>
      <c r="U547" s="850"/>
      <c r="V547" s="850"/>
      <c r="W547" s="850"/>
    </row>
    <row r="548" spans="1:24" x14ac:dyDescent="0.2">
      <c r="A548" s="691" t="s">
        <v>3591</v>
      </c>
      <c r="B548" s="869"/>
      <c r="C548" s="869"/>
      <c r="D548" s="869"/>
      <c r="E548" s="869"/>
      <c r="F548" s="869"/>
      <c r="G548" s="869"/>
      <c r="H548" s="869"/>
      <c r="I548" s="869"/>
      <c r="J548" s="869"/>
      <c r="K548" s="869"/>
      <c r="L548" s="870"/>
      <c r="M548" s="869"/>
      <c r="N548" s="869"/>
      <c r="O548" s="869"/>
      <c r="P548" s="869"/>
      <c r="Q548" s="869"/>
      <c r="R548" s="869"/>
      <c r="S548" s="869"/>
      <c r="T548" s="869"/>
      <c r="U548" s="869"/>
      <c r="V548" s="869"/>
      <c r="W548" s="850"/>
    </row>
    <row r="549" spans="1:24" x14ac:dyDescent="0.2">
      <c r="A549" s="849" t="s">
        <v>4329</v>
      </c>
      <c r="B549" s="850">
        <v>1</v>
      </c>
      <c r="C549" s="850">
        <v>2</v>
      </c>
      <c r="D549" s="850">
        <v>5</v>
      </c>
      <c r="E549" s="850">
        <v>1</v>
      </c>
      <c r="F549" s="850">
        <v>2</v>
      </c>
      <c r="G549" s="850">
        <v>4</v>
      </c>
      <c r="H549" s="850">
        <v>1</v>
      </c>
      <c r="I549" s="851" t="s">
        <v>3303</v>
      </c>
      <c r="J549" s="851" t="s">
        <v>1534</v>
      </c>
      <c r="K549" s="850" t="s">
        <v>1700</v>
      </c>
      <c r="L549" s="852" t="s">
        <v>1809</v>
      </c>
      <c r="M549" s="849" t="s">
        <v>4086</v>
      </c>
      <c r="N549" s="852" t="s">
        <v>1687</v>
      </c>
      <c r="O549" s="849" t="s">
        <v>4086</v>
      </c>
      <c r="P549" s="852" t="s">
        <v>1692</v>
      </c>
      <c r="Q549" s="849" t="s">
        <v>4086</v>
      </c>
      <c r="R549" s="852" t="s">
        <v>1701</v>
      </c>
      <c r="S549" s="849" t="s">
        <v>3442</v>
      </c>
      <c r="T549" s="853" t="s">
        <v>2019</v>
      </c>
      <c r="U549" s="853" t="s">
        <v>2020</v>
      </c>
      <c r="V549" s="795" t="s">
        <v>3228</v>
      </c>
      <c r="W549" s="850"/>
    </row>
    <row r="550" spans="1:24" x14ac:dyDescent="0.2">
      <c r="A550" s="849" t="s">
        <v>4330</v>
      </c>
      <c r="B550" s="850">
        <v>2</v>
      </c>
      <c r="C550" s="850">
        <v>4</v>
      </c>
      <c r="D550" s="850">
        <v>5</v>
      </c>
      <c r="E550" s="850">
        <v>1</v>
      </c>
      <c r="F550" s="850">
        <v>2</v>
      </c>
      <c r="G550" s="850">
        <v>4</v>
      </c>
      <c r="H550" s="850">
        <v>1</v>
      </c>
      <c r="I550" s="851" t="s">
        <v>3303</v>
      </c>
      <c r="J550" s="851" t="s">
        <v>1534</v>
      </c>
      <c r="K550" s="850" t="s">
        <v>1700</v>
      </c>
      <c r="L550" s="852" t="s">
        <v>1809</v>
      </c>
      <c r="M550" s="849" t="s">
        <v>4086</v>
      </c>
      <c r="N550" s="852" t="s">
        <v>1687</v>
      </c>
      <c r="O550" s="849" t="s">
        <v>4086</v>
      </c>
      <c r="P550" s="852" t="s">
        <v>1692</v>
      </c>
      <c r="Q550" s="849" t="s">
        <v>4086</v>
      </c>
      <c r="R550" s="852" t="s">
        <v>1701</v>
      </c>
      <c r="S550" s="849" t="s">
        <v>3442</v>
      </c>
      <c r="T550" s="853" t="s">
        <v>2019</v>
      </c>
      <c r="U550" s="853" t="s">
        <v>2020</v>
      </c>
      <c r="V550" s="795" t="s">
        <v>3228</v>
      </c>
      <c r="W550" s="850"/>
    </row>
    <row r="551" spans="1:24" x14ac:dyDescent="0.2">
      <c r="A551" s="849" t="s">
        <v>4331</v>
      </c>
      <c r="B551" s="850">
        <v>3</v>
      </c>
      <c r="C551" s="850">
        <v>5</v>
      </c>
      <c r="D551" s="850">
        <v>10</v>
      </c>
      <c r="E551" s="850">
        <v>2</v>
      </c>
      <c r="F551" s="850">
        <v>4</v>
      </c>
      <c r="G551" s="850">
        <v>7</v>
      </c>
      <c r="H551" s="850">
        <v>1</v>
      </c>
      <c r="I551" s="851" t="s">
        <v>3303</v>
      </c>
      <c r="J551" s="851" t="s">
        <v>1534</v>
      </c>
      <c r="K551" s="850" t="s">
        <v>1700</v>
      </c>
      <c r="L551" s="852" t="s">
        <v>1809</v>
      </c>
      <c r="M551" s="849" t="s">
        <v>4086</v>
      </c>
      <c r="N551" s="852" t="s">
        <v>1687</v>
      </c>
      <c r="O551" s="849" t="s">
        <v>4086</v>
      </c>
      <c r="P551" s="852" t="s">
        <v>1692</v>
      </c>
      <c r="Q551" s="849" t="s">
        <v>4086</v>
      </c>
      <c r="R551" s="852" t="s">
        <v>1701</v>
      </c>
      <c r="S551" s="849" t="s">
        <v>3442</v>
      </c>
      <c r="T551" s="853" t="s">
        <v>2019</v>
      </c>
      <c r="U551" s="853" t="s">
        <v>2020</v>
      </c>
      <c r="V551" s="795" t="s">
        <v>3228</v>
      </c>
      <c r="W551" s="850"/>
    </row>
    <row r="552" spans="1:24" x14ac:dyDescent="0.2">
      <c r="A552" s="849" t="s">
        <v>4332</v>
      </c>
      <c r="B552" s="850">
        <v>5</v>
      </c>
      <c r="C552" s="850">
        <v>8</v>
      </c>
      <c r="D552" s="850">
        <v>15</v>
      </c>
      <c r="E552" s="850">
        <v>3</v>
      </c>
      <c r="F552" s="850">
        <v>6</v>
      </c>
      <c r="G552" s="850">
        <v>11</v>
      </c>
      <c r="H552" s="850">
        <v>1</v>
      </c>
      <c r="I552" s="851" t="s">
        <v>3303</v>
      </c>
      <c r="J552" s="851" t="s">
        <v>1534</v>
      </c>
      <c r="K552" s="850" t="s">
        <v>1700</v>
      </c>
      <c r="L552" s="852" t="s">
        <v>1809</v>
      </c>
      <c r="M552" s="849" t="s">
        <v>4086</v>
      </c>
      <c r="N552" s="852" t="s">
        <v>1687</v>
      </c>
      <c r="O552" s="849" t="s">
        <v>4086</v>
      </c>
      <c r="P552" s="852" t="s">
        <v>1692</v>
      </c>
      <c r="Q552" s="849" t="s">
        <v>4086</v>
      </c>
      <c r="R552" s="852" t="s">
        <v>1701</v>
      </c>
      <c r="S552" s="849" t="s">
        <v>3442</v>
      </c>
      <c r="T552" s="853" t="s">
        <v>2019</v>
      </c>
      <c r="U552" s="853" t="s">
        <v>2020</v>
      </c>
      <c r="V552" s="795" t="s">
        <v>3228</v>
      </c>
      <c r="W552" s="850"/>
    </row>
    <row r="553" spans="1:24" x14ac:dyDescent="0.2">
      <c r="A553" s="849" t="s">
        <v>4333</v>
      </c>
      <c r="B553" s="850">
        <v>6</v>
      </c>
      <c r="C553" s="850">
        <v>9</v>
      </c>
      <c r="D553" s="850">
        <v>20</v>
      </c>
      <c r="E553" s="850">
        <v>4</v>
      </c>
      <c r="F553" s="850">
        <v>8</v>
      </c>
      <c r="G553" s="850">
        <v>14</v>
      </c>
      <c r="H553" s="850">
        <v>1</v>
      </c>
      <c r="I553" s="851" t="s">
        <v>3303</v>
      </c>
      <c r="J553" s="851" t="s">
        <v>1534</v>
      </c>
      <c r="K553" s="850" t="s">
        <v>1700</v>
      </c>
      <c r="L553" s="852" t="s">
        <v>1809</v>
      </c>
      <c r="M553" s="849" t="s">
        <v>4086</v>
      </c>
      <c r="N553" s="852" t="s">
        <v>1687</v>
      </c>
      <c r="O553" s="849" t="s">
        <v>4086</v>
      </c>
      <c r="P553" s="852" t="s">
        <v>1692</v>
      </c>
      <c r="Q553" s="849" t="s">
        <v>4086</v>
      </c>
      <c r="R553" s="852" t="s">
        <v>1701</v>
      </c>
      <c r="S553" s="849" t="s">
        <v>3442</v>
      </c>
      <c r="T553" s="853" t="s">
        <v>2019</v>
      </c>
      <c r="U553" s="853" t="s">
        <v>2020</v>
      </c>
      <c r="V553" s="795" t="s">
        <v>3228</v>
      </c>
      <c r="W553" s="850"/>
    </row>
    <row r="554" spans="1:24" x14ac:dyDescent="0.2">
      <c r="A554" s="849" t="s">
        <v>4334</v>
      </c>
      <c r="B554" s="850">
        <v>8</v>
      </c>
      <c r="C554" s="850">
        <v>11</v>
      </c>
      <c r="D554" s="850">
        <v>20</v>
      </c>
      <c r="E554" s="850">
        <v>5</v>
      </c>
      <c r="F554" s="850">
        <v>10</v>
      </c>
      <c r="G554" s="850">
        <v>18</v>
      </c>
      <c r="H554" s="850">
        <v>2</v>
      </c>
      <c r="I554" s="851" t="s">
        <v>3303</v>
      </c>
      <c r="J554" s="851" t="s">
        <v>1534</v>
      </c>
      <c r="K554" s="850" t="s">
        <v>1700</v>
      </c>
      <c r="L554" s="852" t="s">
        <v>1809</v>
      </c>
      <c r="M554" s="849" t="s">
        <v>4086</v>
      </c>
      <c r="N554" s="852" t="s">
        <v>1687</v>
      </c>
      <c r="O554" s="849" t="s">
        <v>4086</v>
      </c>
      <c r="P554" s="852" t="s">
        <v>1692</v>
      </c>
      <c r="Q554" s="849" t="s">
        <v>4086</v>
      </c>
      <c r="R554" s="852" t="s">
        <v>1701</v>
      </c>
      <c r="S554" s="849" t="s">
        <v>3442</v>
      </c>
      <c r="T554" s="853" t="s">
        <v>2019</v>
      </c>
      <c r="U554" s="853" t="s">
        <v>2020</v>
      </c>
      <c r="V554" s="795" t="s">
        <v>3228</v>
      </c>
      <c r="W554" s="850"/>
    </row>
    <row r="555" spans="1:24" x14ac:dyDescent="0.2">
      <c r="A555" s="849" t="s">
        <v>4335</v>
      </c>
      <c r="B555" s="850">
        <v>14</v>
      </c>
      <c r="C555" s="850">
        <v>18</v>
      </c>
      <c r="D555" s="850">
        <v>35</v>
      </c>
      <c r="E555" s="850">
        <v>6</v>
      </c>
      <c r="F555" s="850">
        <v>12</v>
      </c>
      <c r="G555" s="850">
        <v>21</v>
      </c>
      <c r="H555" s="850">
        <v>2</v>
      </c>
      <c r="I555" s="851" t="s">
        <v>3303</v>
      </c>
      <c r="J555" s="851" t="s">
        <v>1534</v>
      </c>
      <c r="K555" s="850" t="s">
        <v>1700</v>
      </c>
      <c r="L555" s="852" t="s">
        <v>1809</v>
      </c>
      <c r="M555" s="849" t="s">
        <v>4086</v>
      </c>
      <c r="N555" s="852" t="s">
        <v>1687</v>
      </c>
      <c r="O555" s="849" t="s">
        <v>4086</v>
      </c>
      <c r="P555" s="852" t="s">
        <v>1692</v>
      </c>
      <c r="Q555" s="849" t="s">
        <v>4086</v>
      </c>
      <c r="R555" s="852" t="s">
        <v>1701</v>
      </c>
      <c r="S555" s="849" t="s">
        <v>3442</v>
      </c>
      <c r="T555" s="853" t="s">
        <v>2019</v>
      </c>
      <c r="U555" s="853" t="s">
        <v>2020</v>
      </c>
      <c r="V555" s="795" t="s">
        <v>3228</v>
      </c>
      <c r="W555" s="850"/>
    </row>
    <row r="556" spans="1:24" x14ac:dyDescent="0.2">
      <c r="A556" s="849" t="s">
        <v>4336</v>
      </c>
      <c r="B556" s="850">
        <v>20</v>
      </c>
      <c r="C556" s="850">
        <v>24</v>
      </c>
      <c r="D556" s="850">
        <v>50</v>
      </c>
      <c r="E556" s="850">
        <v>8</v>
      </c>
      <c r="F556" s="850">
        <v>16</v>
      </c>
      <c r="G556" s="850">
        <v>28</v>
      </c>
      <c r="H556" s="850">
        <v>3</v>
      </c>
      <c r="I556" s="851" t="s">
        <v>3303</v>
      </c>
      <c r="J556" s="851" t="s">
        <v>1534</v>
      </c>
      <c r="K556" s="850" t="s">
        <v>1700</v>
      </c>
      <c r="L556" s="852" t="s">
        <v>1809</v>
      </c>
      <c r="M556" s="849" t="s">
        <v>4086</v>
      </c>
      <c r="N556" s="852" t="s">
        <v>1687</v>
      </c>
      <c r="O556" s="849" t="s">
        <v>4086</v>
      </c>
      <c r="P556" s="852" t="s">
        <v>1692</v>
      </c>
      <c r="Q556" s="849" t="s">
        <v>4086</v>
      </c>
      <c r="R556" s="852" t="s">
        <v>1701</v>
      </c>
      <c r="S556" s="849" t="s">
        <v>3442</v>
      </c>
      <c r="T556" s="853" t="s">
        <v>2019</v>
      </c>
      <c r="U556" s="853" t="s">
        <v>2020</v>
      </c>
      <c r="V556" s="795" t="s">
        <v>3228</v>
      </c>
      <c r="W556" s="850"/>
    </row>
    <row r="557" spans="1:24" x14ac:dyDescent="0.2">
      <c r="A557" s="849" t="s">
        <v>4337</v>
      </c>
      <c r="B557" s="850">
        <v>28</v>
      </c>
      <c r="C557" s="850">
        <v>32</v>
      </c>
      <c r="D557" s="850">
        <v>80</v>
      </c>
      <c r="E557" s="850">
        <v>10</v>
      </c>
      <c r="F557" s="850">
        <v>20</v>
      </c>
      <c r="G557" s="850">
        <v>35</v>
      </c>
      <c r="H557" s="850">
        <v>3</v>
      </c>
      <c r="I557" s="851" t="s">
        <v>3303</v>
      </c>
      <c r="J557" s="851" t="s">
        <v>1534</v>
      </c>
      <c r="K557" s="850" t="s">
        <v>1700</v>
      </c>
      <c r="L557" s="852" t="s">
        <v>1809</v>
      </c>
      <c r="M557" s="849" t="s">
        <v>4086</v>
      </c>
      <c r="N557" s="852" t="s">
        <v>1687</v>
      </c>
      <c r="O557" s="849" t="s">
        <v>4086</v>
      </c>
      <c r="P557" s="852" t="s">
        <v>1692</v>
      </c>
      <c r="Q557" s="849" t="s">
        <v>4086</v>
      </c>
      <c r="R557" s="852" t="s">
        <v>1701</v>
      </c>
      <c r="S557" s="849" t="s">
        <v>3442</v>
      </c>
      <c r="T557" s="853" t="s">
        <v>2019</v>
      </c>
      <c r="U557" s="853" t="s">
        <v>2020</v>
      </c>
      <c r="V557" s="795" t="s">
        <v>3228</v>
      </c>
      <c r="W557" s="850"/>
    </row>
    <row r="558" spans="1:24" x14ac:dyDescent="0.2">
      <c r="A558" s="855" t="s">
        <v>4338</v>
      </c>
      <c r="B558" s="856"/>
      <c r="C558" s="856"/>
      <c r="D558" s="856"/>
      <c r="E558" s="856"/>
      <c r="F558" s="856"/>
      <c r="G558" s="856"/>
      <c r="H558" s="856"/>
      <c r="I558" s="856"/>
      <c r="J558" s="856"/>
      <c r="K558" s="856"/>
      <c r="L558" s="857"/>
      <c r="M558" s="856"/>
      <c r="N558" s="856"/>
      <c r="O558" s="856"/>
      <c r="P558" s="856"/>
      <c r="Q558" s="856"/>
      <c r="R558" s="856"/>
      <c r="S558" s="856"/>
      <c r="T558" s="856"/>
      <c r="U558" s="856"/>
      <c r="V558" s="856"/>
      <c r="W558" s="850"/>
    </row>
    <row r="559" spans="1:24" x14ac:dyDescent="0.2">
      <c r="A559" s="849" t="s">
        <v>705</v>
      </c>
      <c r="B559" s="850">
        <v>6</v>
      </c>
      <c r="C559" s="850">
        <v>6</v>
      </c>
      <c r="D559" s="850">
        <v>15</v>
      </c>
      <c r="E559" s="850"/>
      <c r="F559" s="850"/>
      <c r="G559" s="850"/>
      <c r="H559" s="850">
        <v>1</v>
      </c>
      <c r="I559" s="850"/>
      <c r="J559" s="850"/>
      <c r="K559" s="850"/>
      <c r="L559" s="859"/>
      <c r="M559" s="850"/>
      <c r="N559" s="850"/>
      <c r="O559" s="850"/>
      <c r="P559" s="850"/>
      <c r="Q559" s="850"/>
      <c r="R559" s="850"/>
      <c r="S559" s="850"/>
      <c r="U559" s="850"/>
      <c r="V559" s="850"/>
      <c r="W559" s="850"/>
      <c r="X559" s="849" t="s">
        <v>705</v>
      </c>
    </row>
    <row r="560" spans="1:24" x14ac:dyDescent="0.2">
      <c r="A560" s="849" t="s">
        <v>4339</v>
      </c>
      <c r="B560" s="850">
        <v>14</v>
      </c>
      <c r="C560" s="850">
        <v>14</v>
      </c>
      <c r="D560" s="850">
        <v>40</v>
      </c>
      <c r="E560" s="850"/>
      <c r="F560" s="850"/>
      <c r="G560" s="850"/>
      <c r="H560" s="850">
        <v>2</v>
      </c>
      <c r="I560" s="850"/>
      <c r="J560" s="850"/>
      <c r="K560" s="850"/>
      <c r="L560" s="859"/>
      <c r="M560" s="850"/>
      <c r="N560" s="850"/>
      <c r="O560" s="850"/>
      <c r="P560" s="850"/>
      <c r="Q560" s="850"/>
      <c r="R560" s="850"/>
      <c r="S560" s="850"/>
      <c r="T560" s="850"/>
      <c r="U560" s="850"/>
      <c r="V560" s="850"/>
      <c r="W560" s="850"/>
      <c r="X560" s="849" t="s">
        <v>4339</v>
      </c>
    </row>
    <row r="561" spans="1:24" x14ac:dyDescent="0.2">
      <c r="A561" s="849" t="s">
        <v>4340</v>
      </c>
      <c r="B561" s="850">
        <v>14</v>
      </c>
      <c r="C561" s="850">
        <v>14</v>
      </c>
      <c r="D561" s="850">
        <v>40</v>
      </c>
      <c r="E561" s="850"/>
      <c r="F561" s="850"/>
      <c r="G561" s="850"/>
      <c r="H561" s="850">
        <v>2</v>
      </c>
      <c r="I561" s="850"/>
      <c r="J561" s="850"/>
      <c r="K561" s="850"/>
      <c r="L561" s="859"/>
      <c r="M561" s="850"/>
      <c r="N561" s="850"/>
      <c r="O561" s="850"/>
      <c r="P561" s="850"/>
      <c r="Q561" s="850"/>
      <c r="R561" s="850"/>
      <c r="S561" s="850"/>
      <c r="T561" s="850"/>
      <c r="U561" s="850"/>
      <c r="V561" s="850"/>
      <c r="W561" s="850"/>
      <c r="X561" s="849" t="s">
        <v>4340</v>
      </c>
    </row>
    <row r="562" spans="1:24" x14ac:dyDescent="0.2">
      <c r="A562" s="849" t="s">
        <v>1882</v>
      </c>
      <c r="B562" s="850">
        <v>1</v>
      </c>
      <c r="C562" s="850">
        <v>1</v>
      </c>
      <c r="D562" s="850">
        <v>5</v>
      </c>
      <c r="E562" s="850"/>
      <c r="F562" s="850"/>
      <c r="G562" s="850"/>
      <c r="H562" s="850">
        <v>1</v>
      </c>
      <c r="I562" s="850"/>
      <c r="J562" s="850"/>
      <c r="K562" s="850"/>
      <c r="L562" s="859"/>
      <c r="M562" s="850"/>
      <c r="N562" s="850"/>
      <c r="O562" s="850"/>
      <c r="P562" s="850"/>
      <c r="Q562" s="850"/>
      <c r="R562" s="850"/>
      <c r="S562" s="850"/>
      <c r="T562" s="850"/>
      <c r="U562" s="850"/>
      <c r="V562" s="850"/>
      <c r="W562" s="850"/>
      <c r="X562" s="849" t="s">
        <v>1882</v>
      </c>
    </row>
    <row r="563" spans="1:24" x14ac:dyDescent="0.2">
      <c r="A563" s="849" t="s">
        <v>4341</v>
      </c>
      <c r="B563" s="850">
        <v>5</v>
      </c>
      <c r="C563" s="850">
        <v>5</v>
      </c>
      <c r="D563" s="850">
        <v>10</v>
      </c>
      <c r="E563" s="850"/>
      <c r="F563" s="850"/>
      <c r="G563" s="850"/>
      <c r="H563" s="850">
        <v>1</v>
      </c>
      <c r="I563" s="850"/>
      <c r="J563" s="850"/>
      <c r="K563" s="850"/>
      <c r="L563" s="859"/>
      <c r="M563" s="850"/>
      <c r="N563" s="850"/>
      <c r="O563" s="850"/>
      <c r="P563" s="850"/>
      <c r="Q563" s="850"/>
      <c r="R563" s="850"/>
      <c r="S563" s="850"/>
      <c r="T563" s="850"/>
      <c r="U563" s="850"/>
      <c r="V563" s="850"/>
      <c r="W563" s="850"/>
      <c r="X563" s="849" t="s">
        <v>4341</v>
      </c>
    </row>
    <row r="564" spans="1:24" x14ac:dyDescent="0.2">
      <c r="A564" s="849" t="s">
        <v>4342</v>
      </c>
      <c r="B564" s="850">
        <v>3</v>
      </c>
      <c r="C564" s="850">
        <v>3</v>
      </c>
      <c r="D564" s="850">
        <v>10</v>
      </c>
      <c r="E564" s="850"/>
      <c r="F564" s="850"/>
      <c r="G564" s="850"/>
      <c r="H564" s="850">
        <v>1</v>
      </c>
      <c r="I564" s="850"/>
      <c r="J564" s="850"/>
      <c r="K564" s="850"/>
      <c r="L564" s="859"/>
      <c r="M564" s="850"/>
      <c r="N564" s="850"/>
      <c r="O564" s="850"/>
      <c r="P564" s="850"/>
      <c r="Q564" s="850"/>
      <c r="R564" s="850"/>
      <c r="S564" s="850"/>
      <c r="T564" s="850"/>
      <c r="U564" s="850"/>
      <c r="V564" s="850"/>
      <c r="W564" s="850"/>
      <c r="X564" s="849" t="s">
        <v>4342</v>
      </c>
    </row>
    <row r="565" spans="1:24" x14ac:dyDescent="0.2">
      <c r="A565" s="849" t="s">
        <v>4343</v>
      </c>
      <c r="B565" s="850">
        <v>6</v>
      </c>
      <c r="C565" s="850">
        <v>6</v>
      </c>
      <c r="D565" s="850">
        <v>15</v>
      </c>
      <c r="E565" s="850"/>
      <c r="F565" s="850"/>
      <c r="G565" s="850"/>
      <c r="H565" s="850">
        <v>1</v>
      </c>
      <c r="I565" s="850"/>
      <c r="J565" s="850"/>
      <c r="K565" s="850"/>
      <c r="L565" s="859"/>
      <c r="M565" s="850"/>
      <c r="N565" s="850"/>
      <c r="O565" s="850"/>
      <c r="P565" s="850"/>
      <c r="Q565" s="850"/>
      <c r="R565" s="850"/>
      <c r="S565" s="850"/>
      <c r="T565" s="850"/>
      <c r="U565" s="850"/>
      <c r="V565" s="850"/>
      <c r="W565" s="850"/>
      <c r="X565" s="849" t="s">
        <v>4343</v>
      </c>
    </row>
    <row r="566" spans="1:24" x14ac:dyDescent="0.2">
      <c r="A566" s="849" t="s">
        <v>4344</v>
      </c>
      <c r="B566" s="850">
        <v>8</v>
      </c>
      <c r="C566" s="850">
        <v>8</v>
      </c>
      <c r="D566" s="850">
        <v>15</v>
      </c>
      <c r="E566" s="850"/>
      <c r="F566" s="850"/>
      <c r="G566" s="850"/>
      <c r="H566" s="850">
        <v>2</v>
      </c>
      <c r="I566" s="850"/>
      <c r="J566" s="850"/>
      <c r="K566" s="850"/>
      <c r="L566" s="859"/>
      <c r="M566" s="850"/>
      <c r="N566" s="850"/>
      <c r="O566" s="850"/>
      <c r="P566" s="850"/>
      <c r="Q566" s="850"/>
      <c r="R566" s="850"/>
      <c r="S566" s="850"/>
      <c r="T566" s="850"/>
      <c r="U566" s="850"/>
      <c r="V566" s="850"/>
      <c r="W566" s="850"/>
      <c r="X566" s="849" t="s">
        <v>4344</v>
      </c>
    </row>
    <row r="567" spans="1:24" x14ac:dyDescent="0.2">
      <c r="A567" s="849" t="s">
        <v>4345</v>
      </c>
      <c r="B567" s="850">
        <v>8</v>
      </c>
      <c r="C567" s="850">
        <v>8</v>
      </c>
      <c r="D567" s="850">
        <v>20</v>
      </c>
      <c r="E567" s="850"/>
      <c r="F567" s="850"/>
      <c r="G567" s="850"/>
      <c r="H567" s="850">
        <v>1</v>
      </c>
      <c r="I567" s="850"/>
      <c r="J567" s="850"/>
      <c r="K567" s="850"/>
      <c r="L567" s="859"/>
      <c r="M567" s="850"/>
      <c r="N567" s="850"/>
      <c r="O567" s="850"/>
      <c r="P567" s="850"/>
      <c r="Q567" s="850"/>
      <c r="R567" s="850"/>
      <c r="S567" s="850"/>
      <c r="T567" s="850"/>
      <c r="U567" s="850"/>
      <c r="V567" s="850"/>
      <c r="W567" s="850"/>
      <c r="X567" s="849" t="s">
        <v>4345</v>
      </c>
    </row>
    <row r="568" spans="1:24" x14ac:dyDescent="0.2">
      <c r="A568" s="849" t="s">
        <v>4346</v>
      </c>
      <c r="B568" s="850">
        <v>6</v>
      </c>
      <c r="C568" s="850">
        <v>6</v>
      </c>
      <c r="D568" s="850">
        <v>10</v>
      </c>
      <c r="E568" s="850"/>
      <c r="F568" s="850"/>
      <c r="G568" s="850"/>
      <c r="H568" s="850">
        <v>1</v>
      </c>
      <c r="I568" s="850"/>
      <c r="J568" s="850"/>
      <c r="K568" s="850"/>
      <c r="L568" s="859"/>
      <c r="M568" s="850"/>
      <c r="N568" s="850"/>
      <c r="O568" s="850"/>
      <c r="P568" s="850"/>
      <c r="Q568" s="850"/>
      <c r="R568" s="850"/>
      <c r="S568" s="850"/>
      <c r="T568" s="850"/>
      <c r="U568" s="850"/>
      <c r="V568" s="850"/>
      <c r="W568" s="850"/>
      <c r="X568" s="849" t="s">
        <v>4346</v>
      </c>
    </row>
    <row r="569" spans="1:24" x14ac:dyDescent="0.2">
      <c r="A569" s="849" t="s">
        <v>2031</v>
      </c>
      <c r="B569" s="850">
        <v>7</v>
      </c>
      <c r="C569" s="850">
        <v>7</v>
      </c>
      <c r="D569" s="850">
        <v>10</v>
      </c>
      <c r="E569" s="850"/>
      <c r="F569" s="850"/>
      <c r="G569" s="850"/>
      <c r="H569" s="850">
        <v>1</v>
      </c>
      <c r="I569" s="850"/>
      <c r="J569" s="850"/>
      <c r="K569" s="850"/>
      <c r="L569" s="859"/>
      <c r="M569" s="850"/>
      <c r="N569" s="850"/>
      <c r="O569" s="850"/>
      <c r="P569" s="850"/>
      <c r="Q569" s="850"/>
      <c r="R569" s="850"/>
      <c r="S569" s="850"/>
      <c r="T569" s="850"/>
      <c r="U569" s="850"/>
      <c r="V569" s="850"/>
      <c r="W569" s="850"/>
      <c r="X569" s="849" t="s">
        <v>2031</v>
      </c>
    </row>
    <row r="570" spans="1:24" x14ac:dyDescent="0.2">
      <c r="A570" s="849" t="s">
        <v>4347</v>
      </c>
      <c r="B570" s="850">
        <v>11</v>
      </c>
      <c r="C570" s="850">
        <v>11</v>
      </c>
      <c r="D570" s="850">
        <v>20</v>
      </c>
      <c r="E570" s="850"/>
      <c r="F570" s="850"/>
      <c r="G570" s="850"/>
      <c r="H570" s="850">
        <v>1</v>
      </c>
      <c r="I570" s="850"/>
      <c r="J570" s="850"/>
      <c r="K570" s="850"/>
      <c r="L570" s="859"/>
      <c r="M570" s="850"/>
      <c r="N570" s="850"/>
      <c r="O570" s="850"/>
      <c r="P570" s="850"/>
      <c r="Q570" s="850"/>
      <c r="R570" s="850"/>
      <c r="S570" s="850"/>
      <c r="T570" s="850"/>
      <c r="U570" s="850"/>
      <c r="V570" s="850"/>
      <c r="W570" s="850"/>
      <c r="X570" s="849" t="s">
        <v>4347</v>
      </c>
    </row>
    <row r="571" spans="1:24" x14ac:dyDescent="0.2">
      <c r="A571" s="849" t="s">
        <v>4348</v>
      </c>
      <c r="B571" s="850">
        <v>9</v>
      </c>
      <c r="C571" s="850">
        <v>9</v>
      </c>
      <c r="D571" s="850">
        <v>15</v>
      </c>
      <c r="E571" s="850"/>
      <c r="F571" s="850"/>
      <c r="G571" s="850"/>
      <c r="H571" s="850">
        <v>1</v>
      </c>
      <c r="I571" s="850"/>
      <c r="J571" s="850"/>
      <c r="K571" s="850"/>
      <c r="L571" s="859"/>
      <c r="M571" s="850"/>
      <c r="N571" s="850"/>
      <c r="O571" s="850"/>
      <c r="P571" s="850"/>
      <c r="Q571" s="850"/>
      <c r="R571" s="850"/>
      <c r="S571" s="850"/>
      <c r="T571" s="850"/>
      <c r="U571" s="850"/>
      <c r="V571" s="850"/>
      <c r="W571" s="850"/>
      <c r="X571" s="849" t="s">
        <v>4348</v>
      </c>
    </row>
    <row r="572" spans="1:24" x14ac:dyDescent="0.2">
      <c r="A572" s="849" t="s">
        <v>4349</v>
      </c>
      <c r="B572" s="850">
        <v>12</v>
      </c>
      <c r="C572" s="850">
        <v>12</v>
      </c>
      <c r="D572" s="850">
        <v>35</v>
      </c>
      <c r="E572" s="850"/>
      <c r="F572" s="850"/>
      <c r="G572" s="850"/>
      <c r="H572" s="850">
        <v>2</v>
      </c>
      <c r="I572" s="850"/>
      <c r="J572" s="850"/>
      <c r="K572" s="850"/>
      <c r="L572" s="859"/>
      <c r="M572" s="850"/>
      <c r="N572" s="850"/>
      <c r="O572" s="850"/>
      <c r="P572" s="850"/>
      <c r="Q572" s="850"/>
      <c r="R572" s="850"/>
      <c r="S572" s="850"/>
      <c r="T572" s="850"/>
      <c r="U572" s="850"/>
      <c r="V572" s="850"/>
      <c r="W572" s="850"/>
      <c r="X572" s="849" t="s">
        <v>4349</v>
      </c>
    </row>
    <row r="573" spans="1:24" x14ac:dyDescent="0.2">
      <c r="A573" s="849" t="s">
        <v>4350</v>
      </c>
      <c r="B573" s="850">
        <v>3</v>
      </c>
      <c r="C573" s="850">
        <v>3</v>
      </c>
      <c r="D573" s="850">
        <v>10</v>
      </c>
      <c r="E573" s="850"/>
      <c r="F573" s="850"/>
      <c r="G573" s="850"/>
      <c r="H573" s="850">
        <v>1</v>
      </c>
      <c r="I573" s="850"/>
      <c r="J573" s="850"/>
      <c r="K573" s="850"/>
      <c r="L573" s="859"/>
      <c r="M573" s="850"/>
      <c r="N573" s="850"/>
      <c r="O573" s="850"/>
      <c r="P573" s="850"/>
      <c r="Q573" s="850"/>
      <c r="R573" s="850"/>
      <c r="S573" s="850"/>
      <c r="T573" s="850"/>
      <c r="U573" s="850"/>
      <c r="V573" s="850"/>
      <c r="W573" s="850"/>
      <c r="X573" s="849" t="s">
        <v>4350</v>
      </c>
    </row>
    <row r="574" spans="1:24" x14ac:dyDescent="0.2">
      <c r="A574" s="849" t="s">
        <v>84</v>
      </c>
      <c r="B574" s="850">
        <v>20</v>
      </c>
      <c r="C574" s="850">
        <v>20</v>
      </c>
      <c r="D574" s="850">
        <v>50</v>
      </c>
      <c r="E574" s="850"/>
      <c r="F574" s="850"/>
      <c r="G574" s="850"/>
      <c r="H574" s="850">
        <v>3</v>
      </c>
      <c r="I574" s="850"/>
      <c r="J574" s="850"/>
      <c r="K574" s="850"/>
      <c r="L574" s="859"/>
      <c r="M574" s="850"/>
      <c r="N574" s="850"/>
      <c r="O574" s="850"/>
      <c r="P574" s="850"/>
      <c r="Q574" s="850"/>
      <c r="R574" s="850"/>
      <c r="S574" s="850"/>
      <c r="T574" s="850"/>
      <c r="U574" s="850"/>
      <c r="V574" s="850"/>
      <c r="W574" s="850"/>
      <c r="X574" s="849" t="s">
        <v>84</v>
      </c>
    </row>
    <row r="575" spans="1:24" x14ac:dyDescent="0.2">
      <c r="A575" s="849" t="s">
        <v>4351</v>
      </c>
      <c r="B575" s="850">
        <v>6</v>
      </c>
      <c r="C575" s="850">
        <v>6</v>
      </c>
      <c r="D575" s="850">
        <v>10</v>
      </c>
      <c r="E575" s="850"/>
      <c r="F575" s="850"/>
      <c r="G575" s="850"/>
      <c r="H575" s="850">
        <v>1</v>
      </c>
      <c r="I575" s="850"/>
      <c r="J575" s="850"/>
      <c r="K575" s="850"/>
      <c r="L575" s="859"/>
      <c r="M575" s="850"/>
      <c r="N575" s="850"/>
      <c r="O575" s="850"/>
      <c r="P575" s="850"/>
      <c r="Q575" s="850"/>
      <c r="R575" s="850"/>
      <c r="S575" s="850"/>
      <c r="T575" s="850"/>
      <c r="U575" s="850"/>
      <c r="V575" s="850"/>
      <c r="W575" s="850"/>
      <c r="X575" s="849" t="s">
        <v>4351</v>
      </c>
    </row>
    <row r="576" spans="1:24" x14ac:dyDescent="0.2">
      <c r="A576" s="849" t="s">
        <v>4352</v>
      </c>
      <c r="B576" s="850">
        <v>12</v>
      </c>
      <c r="C576" s="850">
        <v>12</v>
      </c>
      <c r="D576" s="850">
        <v>20</v>
      </c>
      <c r="E576" s="850"/>
      <c r="F576" s="850"/>
      <c r="G576" s="850"/>
      <c r="H576" s="850">
        <v>2</v>
      </c>
      <c r="I576" s="850"/>
      <c r="J576" s="850"/>
      <c r="K576" s="850"/>
      <c r="L576" s="859"/>
      <c r="M576" s="850"/>
      <c r="N576" s="850"/>
      <c r="O576" s="850"/>
      <c r="P576" s="850"/>
      <c r="Q576" s="850"/>
      <c r="R576" s="850"/>
      <c r="S576" s="850"/>
      <c r="T576" s="850"/>
      <c r="U576" s="850"/>
      <c r="V576" s="850"/>
      <c r="W576" s="850"/>
      <c r="X576" s="849" t="s">
        <v>4352</v>
      </c>
    </row>
    <row r="577" spans="1:24" x14ac:dyDescent="0.2">
      <c r="A577" s="849" t="s">
        <v>4353</v>
      </c>
      <c r="B577" s="850">
        <v>4</v>
      </c>
      <c r="C577" s="850">
        <v>4</v>
      </c>
      <c r="D577" s="850">
        <v>5</v>
      </c>
      <c r="E577" s="850"/>
      <c r="F577" s="850"/>
      <c r="G577" s="850"/>
      <c r="H577" s="850">
        <v>1</v>
      </c>
      <c r="I577" s="850"/>
      <c r="J577" s="850"/>
      <c r="K577" s="850"/>
      <c r="L577" s="859"/>
      <c r="M577" s="850"/>
      <c r="N577" s="850"/>
      <c r="O577" s="850"/>
      <c r="P577" s="850"/>
      <c r="Q577" s="850"/>
      <c r="R577" s="850"/>
      <c r="S577" s="850"/>
      <c r="T577" s="850"/>
      <c r="U577" s="850"/>
      <c r="V577" s="850"/>
      <c r="W577" s="850"/>
      <c r="X577" s="849" t="s">
        <v>4353</v>
      </c>
    </row>
    <row r="578" spans="1:24" x14ac:dyDescent="0.2">
      <c r="A578" s="849" t="s">
        <v>4354</v>
      </c>
      <c r="B578" s="850">
        <v>1</v>
      </c>
      <c r="C578" s="850">
        <v>1</v>
      </c>
      <c r="D578" s="850">
        <v>5</v>
      </c>
      <c r="E578" s="850"/>
      <c r="F578" s="850"/>
      <c r="G578" s="850"/>
      <c r="H578" s="850">
        <v>1</v>
      </c>
      <c r="I578" s="850"/>
      <c r="J578" s="850"/>
      <c r="K578" s="850"/>
      <c r="L578" s="859"/>
      <c r="M578" s="850"/>
      <c r="N578" s="850"/>
      <c r="O578" s="850"/>
      <c r="P578" s="850"/>
      <c r="Q578" s="850"/>
      <c r="R578" s="850"/>
      <c r="S578" s="850"/>
      <c r="T578" s="850"/>
      <c r="U578" s="850"/>
      <c r="V578" s="850"/>
      <c r="W578" s="850"/>
      <c r="X578" s="849" t="s">
        <v>4354</v>
      </c>
    </row>
    <row r="579" spans="1:24" x14ac:dyDescent="0.2">
      <c r="A579" s="849" t="s">
        <v>4355</v>
      </c>
      <c r="B579" s="850">
        <v>5</v>
      </c>
      <c r="C579" s="850">
        <v>5</v>
      </c>
      <c r="D579" s="850">
        <v>15</v>
      </c>
      <c r="E579" s="850"/>
      <c r="F579" s="850"/>
      <c r="G579" s="850"/>
      <c r="H579" s="850">
        <v>1</v>
      </c>
      <c r="I579" s="850"/>
      <c r="J579" s="850"/>
      <c r="K579" s="850"/>
      <c r="L579" s="859"/>
      <c r="M579" s="850"/>
      <c r="N579" s="850"/>
      <c r="O579" s="850"/>
      <c r="P579" s="850"/>
      <c r="Q579" s="850"/>
      <c r="R579" s="850"/>
      <c r="S579" s="850"/>
      <c r="T579" s="850"/>
      <c r="U579" s="850"/>
      <c r="V579" s="850"/>
      <c r="W579" s="850"/>
      <c r="X579" s="849" t="s">
        <v>4355</v>
      </c>
    </row>
    <row r="580" spans="1:24" x14ac:dyDescent="0.2">
      <c r="A580" s="849" t="s">
        <v>4356</v>
      </c>
      <c r="B580" s="850">
        <v>2</v>
      </c>
      <c r="C580" s="850">
        <v>2</v>
      </c>
      <c r="D580" s="850">
        <v>10</v>
      </c>
      <c r="E580" s="850"/>
      <c r="F580" s="850"/>
      <c r="G580" s="850"/>
      <c r="H580" s="850">
        <v>1</v>
      </c>
      <c r="I580" s="850"/>
      <c r="J580" s="850"/>
      <c r="K580" s="850"/>
      <c r="L580" s="859"/>
      <c r="M580" s="850"/>
      <c r="N580" s="850"/>
      <c r="O580" s="850"/>
      <c r="P580" s="850"/>
      <c r="Q580" s="850"/>
      <c r="R580" s="850"/>
      <c r="S580" s="850"/>
      <c r="T580" s="850"/>
      <c r="U580" s="850"/>
      <c r="V580" s="850"/>
      <c r="W580" s="850"/>
      <c r="X580" s="849" t="s">
        <v>4356</v>
      </c>
    </row>
    <row r="581" spans="1:24" x14ac:dyDescent="0.2">
      <c r="A581" s="849" t="s">
        <v>4357</v>
      </c>
      <c r="B581" s="850">
        <v>2</v>
      </c>
      <c r="C581" s="850">
        <v>2</v>
      </c>
      <c r="D581" s="850">
        <v>10</v>
      </c>
      <c r="E581" s="850"/>
      <c r="F581" s="850"/>
      <c r="G581" s="850"/>
      <c r="H581" s="850">
        <v>1</v>
      </c>
      <c r="I581" s="850"/>
      <c r="J581" s="850"/>
      <c r="K581" s="850"/>
      <c r="L581" s="859"/>
      <c r="M581" s="850"/>
      <c r="N581" s="850"/>
      <c r="O581" s="850"/>
      <c r="P581" s="850"/>
      <c r="Q581" s="850"/>
      <c r="R581" s="850"/>
      <c r="S581" s="850"/>
      <c r="T581" s="850"/>
      <c r="U581" s="850"/>
      <c r="V581" s="850"/>
      <c r="W581" s="850"/>
      <c r="X581" s="849" t="s">
        <v>4357</v>
      </c>
    </row>
    <row r="582" spans="1:24" x14ac:dyDescent="0.2">
      <c r="A582" s="849" t="s">
        <v>4358</v>
      </c>
      <c r="B582" s="850">
        <v>2</v>
      </c>
      <c r="C582" s="850">
        <v>2</v>
      </c>
      <c r="D582" s="850">
        <v>10</v>
      </c>
      <c r="E582" s="850"/>
      <c r="F582" s="850"/>
      <c r="G582" s="850"/>
      <c r="H582" s="850">
        <v>1</v>
      </c>
      <c r="I582" s="850"/>
      <c r="J582" s="850"/>
      <c r="K582" s="850"/>
      <c r="L582" s="859"/>
      <c r="M582" s="850"/>
      <c r="N582" s="850"/>
      <c r="O582" s="850"/>
      <c r="P582" s="850"/>
      <c r="Q582" s="850"/>
      <c r="R582" s="850"/>
      <c r="S582" s="850"/>
      <c r="T582" s="850"/>
      <c r="U582" s="850"/>
      <c r="V582" s="850"/>
      <c r="W582" s="850"/>
      <c r="X582" s="849" t="s">
        <v>4358</v>
      </c>
    </row>
    <row r="583" spans="1:24" x14ac:dyDescent="0.2">
      <c r="A583" s="849" t="s">
        <v>896</v>
      </c>
      <c r="B583" s="850">
        <v>6</v>
      </c>
      <c r="C583" s="850">
        <v>6</v>
      </c>
      <c r="D583" s="850">
        <v>15</v>
      </c>
      <c r="E583" s="850"/>
      <c r="F583" s="850"/>
      <c r="G583" s="850"/>
      <c r="H583" s="850">
        <v>1</v>
      </c>
      <c r="I583" s="850"/>
      <c r="J583" s="850"/>
      <c r="K583" s="850"/>
      <c r="L583" s="859"/>
      <c r="M583" s="850"/>
      <c r="N583" s="850"/>
      <c r="O583" s="850"/>
      <c r="P583" s="850"/>
      <c r="Q583" s="850"/>
      <c r="R583" s="850"/>
      <c r="S583" s="850"/>
      <c r="T583" s="850"/>
      <c r="U583" s="850"/>
      <c r="V583" s="850"/>
      <c r="W583" s="850"/>
      <c r="X583" s="849" t="s">
        <v>896</v>
      </c>
    </row>
    <row r="584" spans="1:24" x14ac:dyDescent="0.2">
      <c r="A584" s="855" t="s">
        <v>4359</v>
      </c>
      <c r="B584" s="856"/>
      <c r="C584" s="856"/>
      <c r="D584" s="856"/>
      <c r="E584" s="856"/>
      <c r="F584" s="856"/>
      <c r="G584" s="856"/>
      <c r="H584" s="856"/>
      <c r="I584" s="856"/>
      <c r="J584" s="856"/>
      <c r="K584" s="856"/>
      <c r="L584" s="857"/>
      <c r="M584" s="856"/>
      <c r="N584" s="856"/>
      <c r="O584" s="856"/>
      <c r="P584" s="856"/>
      <c r="Q584" s="856"/>
      <c r="R584" s="856"/>
      <c r="S584" s="856"/>
      <c r="T584" s="856"/>
      <c r="U584" s="856"/>
      <c r="V584" s="856"/>
      <c r="W584" s="850"/>
    </row>
    <row r="585" spans="1:24" x14ac:dyDescent="0.2">
      <c r="A585" s="849" t="s">
        <v>4360</v>
      </c>
      <c r="B585" s="850">
        <v>0</v>
      </c>
      <c r="C585" s="850">
        <v>0</v>
      </c>
      <c r="D585" s="850">
        <v>0</v>
      </c>
      <c r="E585" s="850"/>
      <c r="F585" s="850"/>
      <c r="G585" s="850"/>
      <c r="H585" s="850">
        <v>1</v>
      </c>
      <c r="I585" s="850"/>
      <c r="J585" s="850"/>
      <c r="K585" s="850"/>
      <c r="L585" s="859"/>
      <c r="M585" s="850"/>
      <c r="N585" s="850"/>
      <c r="O585" s="850"/>
      <c r="P585" s="850"/>
      <c r="Q585" s="850"/>
      <c r="R585" s="850"/>
      <c r="S585" s="850"/>
      <c r="T585" s="850"/>
      <c r="U585" s="850"/>
      <c r="V585" s="850"/>
      <c r="W585" s="850"/>
    </row>
    <row r="586" spans="1:24" x14ac:dyDescent="0.2">
      <c r="A586" s="849" t="s">
        <v>4361</v>
      </c>
      <c r="B586" s="850">
        <v>1</v>
      </c>
      <c r="C586" s="850">
        <v>1</v>
      </c>
      <c r="D586" s="850">
        <v>10</v>
      </c>
      <c r="E586" s="850"/>
      <c r="F586" s="850"/>
      <c r="G586" s="850"/>
      <c r="H586" s="850">
        <v>1</v>
      </c>
      <c r="I586" s="850"/>
      <c r="J586" s="850"/>
      <c r="K586" s="850"/>
      <c r="L586" s="859"/>
      <c r="M586" s="850"/>
      <c r="N586" s="850"/>
      <c r="O586" s="850"/>
      <c r="P586" s="850"/>
      <c r="Q586" s="850"/>
      <c r="R586" s="850"/>
      <c r="S586" s="850"/>
      <c r="T586" s="850"/>
      <c r="U586" s="850"/>
      <c r="V586" s="850"/>
      <c r="W586" s="850"/>
    </row>
    <row r="587" spans="1:24" x14ac:dyDescent="0.2">
      <c r="A587" s="849" t="s">
        <v>4362</v>
      </c>
      <c r="B587" s="850">
        <v>2</v>
      </c>
      <c r="C587" s="850">
        <v>2</v>
      </c>
      <c r="D587" s="850">
        <v>5</v>
      </c>
      <c r="E587" s="850"/>
      <c r="F587" s="850"/>
      <c r="G587" s="850"/>
      <c r="H587" s="850">
        <v>1</v>
      </c>
      <c r="I587" s="850"/>
      <c r="J587" s="850"/>
      <c r="K587" s="850"/>
      <c r="L587" s="859"/>
      <c r="M587" s="850"/>
      <c r="N587" s="850"/>
      <c r="O587" s="850"/>
      <c r="P587" s="850"/>
      <c r="Q587" s="850"/>
      <c r="R587" s="850"/>
      <c r="S587" s="850"/>
      <c r="T587" s="850"/>
      <c r="U587" s="850"/>
      <c r="V587" s="850"/>
      <c r="W587" s="850"/>
    </row>
    <row r="588" spans="1:24" x14ac:dyDescent="0.2">
      <c r="A588" s="849" t="s">
        <v>4363</v>
      </c>
      <c r="B588" s="850">
        <v>8</v>
      </c>
      <c r="C588" s="850">
        <v>8</v>
      </c>
      <c r="D588" s="850">
        <v>15</v>
      </c>
      <c r="E588" s="850"/>
      <c r="F588" s="850"/>
      <c r="G588" s="850"/>
      <c r="H588" s="850">
        <v>1</v>
      </c>
      <c r="I588" s="850"/>
      <c r="J588" s="850"/>
      <c r="K588" s="850"/>
      <c r="L588" s="859"/>
      <c r="M588" s="850"/>
      <c r="N588" s="850"/>
      <c r="O588" s="850"/>
      <c r="P588" s="850"/>
      <c r="Q588" s="850"/>
      <c r="R588" s="850"/>
      <c r="S588" s="850"/>
      <c r="T588" s="850"/>
      <c r="U588" s="850"/>
      <c r="V588" s="850"/>
      <c r="W588" s="850"/>
    </row>
    <row r="589" spans="1:24" x14ac:dyDescent="0.2">
      <c r="A589" s="849" t="s">
        <v>4364</v>
      </c>
      <c r="B589" s="850">
        <v>12</v>
      </c>
      <c r="C589" s="850">
        <v>12</v>
      </c>
      <c r="D589" s="850">
        <v>30</v>
      </c>
      <c r="E589" s="850"/>
      <c r="F589" s="850"/>
      <c r="G589" s="850"/>
      <c r="H589" s="850">
        <v>2</v>
      </c>
      <c r="I589" s="850"/>
      <c r="J589" s="850"/>
      <c r="K589" s="850"/>
      <c r="L589" s="859"/>
      <c r="M589" s="850"/>
      <c r="N589" s="850"/>
      <c r="O589" s="850"/>
      <c r="P589" s="850"/>
      <c r="Q589" s="850"/>
      <c r="R589" s="850"/>
      <c r="S589" s="850"/>
      <c r="T589" s="850"/>
      <c r="U589" s="850"/>
      <c r="V589" s="850"/>
      <c r="W589" s="850"/>
    </row>
    <row r="590" spans="1:24" x14ac:dyDescent="0.2">
      <c r="A590" s="849" t="s">
        <v>4365</v>
      </c>
      <c r="B590" s="850">
        <v>16</v>
      </c>
      <c r="C590" s="850">
        <v>16</v>
      </c>
      <c r="D590" s="850">
        <v>40</v>
      </c>
      <c r="E590" s="850"/>
      <c r="F590" s="850"/>
      <c r="G590" s="850"/>
      <c r="H590" s="850">
        <v>3</v>
      </c>
      <c r="I590" s="850"/>
      <c r="J590" s="850"/>
      <c r="K590" s="850"/>
      <c r="L590" s="859"/>
      <c r="M590" s="850"/>
      <c r="N590" s="850"/>
      <c r="O590" s="850"/>
      <c r="P590" s="850"/>
      <c r="Q590" s="850"/>
      <c r="R590" s="850"/>
      <c r="S590" s="850"/>
      <c r="T590" s="850"/>
      <c r="U590" s="850"/>
      <c r="V590" s="850"/>
      <c r="W590" s="850"/>
    </row>
    <row r="591" spans="1:24" x14ac:dyDescent="0.2">
      <c r="A591" s="849" t="s">
        <v>4366</v>
      </c>
      <c r="B591" s="850">
        <v>20</v>
      </c>
      <c r="C591" s="850">
        <v>20</v>
      </c>
      <c r="D591" s="850">
        <v>50</v>
      </c>
      <c r="E591" s="850"/>
      <c r="F591" s="850"/>
      <c r="G591" s="850"/>
      <c r="H591" s="850">
        <v>3</v>
      </c>
      <c r="I591" s="850"/>
      <c r="J591" s="850"/>
      <c r="K591" s="850"/>
      <c r="L591" s="859"/>
      <c r="M591" s="850"/>
      <c r="N591" s="850"/>
      <c r="O591" s="850"/>
      <c r="P591" s="850"/>
      <c r="Q591" s="850"/>
      <c r="R591" s="850"/>
      <c r="S591" s="850"/>
      <c r="T591" s="850"/>
      <c r="U591" s="850"/>
      <c r="V591" s="850"/>
      <c r="W591" s="850"/>
    </row>
    <row r="592" spans="1:24" x14ac:dyDescent="0.2">
      <c r="A592" s="849" t="s">
        <v>4367</v>
      </c>
      <c r="B592" s="850">
        <v>13</v>
      </c>
      <c r="C592" s="850">
        <v>13</v>
      </c>
      <c r="D592" s="850">
        <v>35</v>
      </c>
      <c r="E592" s="850"/>
      <c r="F592" s="850"/>
      <c r="G592" s="850"/>
      <c r="H592" s="850">
        <v>2</v>
      </c>
      <c r="I592" s="850"/>
      <c r="J592" s="850"/>
      <c r="K592" s="850"/>
      <c r="L592" s="859"/>
      <c r="M592" s="850"/>
      <c r="N592" s="850"/>
      <c r="O592" s="850"/>
      <c r="P592" s="850"/>
      <c r="Q592" s="850"/>
      <c r="R592" s="850"/>
      <c r="S592" s="850"/>
      <c r="T592" s="850"/>
      <c r="U592" s="850"/>
      <c r="V592" s="850"/>
      <c r="W592" s="850"/>
    </row>
    <row r="593" spans="1:23" x14ac:dyDescent="0.2">
      <c r="A593" s="849" t="s">
        <v>4368</v>
      </c>
      <c r="B593" s="850">
        <v>18</v>
      </c>
      <c r="C593" s="850">
        <v>18</v>
      </c>
      <c r="D593" s="850">
        <v>45</v>
      </c>
      <c r="E593" s="850"/>
      <c r="F593" s="850"/>
      <c r="G593" s="850"/>
      <c r="H593" s="850">
        <v>3</v>
      </c>
      <c r="I593" s="850"/>
      <c r="J593" s="850"/>
      <c r="K593" s="850"/>
      <c r="L593" s="859"/>
      <c r="M593" s="850"/>
      <c r="N593" s="850"/>
      <c r="O593" s="850"/>
      <c r="P593" s="850"/>
      <c r="Q593" s="850"/>
      <c r="R593" s="850"/>
      <c r="S593" s="850"/>
      <c r="T593" s="850"/>
      <c r="U593" s="850"/>
      <c r="V593" s="850"/>
      <c r="W593" s="850"/>
    </row>
    <row r="594" spans="1:23" x14ac:dyDescent="0.2">
      <c r="A594" s="849" t="s">
        <v>4369</v>
      </c>
      <c r="B594" s="850">
        <v>12</v>
      </c>
      <c r="C594" s="850">
        <v>12</v>
      </c>
      <c r="D594" s="850">
        <v>30</v>
      </c>
      <c r="E594" s="850"/>
      <c r="F594" s="850"/>
      <c r="G594" s="850"/>
      <c r="H594" s="850">
        <v>2</v>
      </c>
      <c r="I594" s="850"/>
      <c r="J594" s="850"/>
      <c r="K594" s="850"/>
      <c r="L594" s="859"/>
      <c r="M594" s="850"/>
      <c r="N594" s="850"/>
      <c r="O594" s="850"/>
      <c r="P594" s="850"/>
      <c r="Q594" s="850"/>
      <c r="R594" s="850"/>
      <c r="S594" s="850"/>
      <c r="T594" s="850"/>
      <c r="U594" s="850"/>
      <c r="V594" s="850"/>
      <c r="W594" s="850"/>
    </row>
    <row r="595" spans="1:23" x14ac:dyDescent="0.2">
      <c r="A595" s="849" t="s">
        <v>4370</v>
      </c>
      <c r="B595" s="850">
        <v>18</v>
      </c>
      <c r="C595" s="850">
        <v>18</v>
      </c>
      <c r="D595" s="850">
        <v>45</v>
      </c>
      <c r="E595" s="850"/>
      <c r="F595" s="850"/>
      <c r="G595" s="850"/>
      <c r="H595" s="850">
        <v>3</v>
      </c>
      <c r="I595" s="850"/>
      <c r="J595" s="850"/>
      <c r="K595" s="850"/>
      <c r="L595" s="859"/>
      <c r="M595" s="850"/>
      <c r="N595" s="850"/>
      <c r="O595" s="850"/>
      <c r="P595" s="850"/>
      <c r="Q595" s="850"/>
      <c r="R595" s="850"/>
      <c r="S595" s="850"/>
      <c r="T595" s="850"/>
      <c r="U595" s="850"/>
      <c r="V595" s="850"/>
      <c r="W595" s="850"/>
    </row>
    <row r="596" spans="1:23" x14ac:dyDescent="0.2">
      <c r="A596" s="855" t="s">
        <v>4371</v>
      </c>
      <c r="B596" s="856"/>
      <c r="C596" s="856"/>
      <c r="D596" s="856"/>
      <c r="E596" s="856"/>
      <c r="F596" s="856"/>
      <c r="G596" s="856"/>
      <c r="H596" s="856"/>
      <c r="I596" s="856"/>
      <c r="J596" s="856"/>
      <c r="K596" s="856"/>
      <c r="L596" s="857"/>
      <c r="M596" s="856"/>
      <c r="N596" s="856"/>
      <c r="O596" s="856"/>
      <c r="P596" s="856"/>
      <c r="Q596" s="856"/>
      <c r="R596" s="856"/>
      <c r="S596" s="856"/>
      <c r="T596" s="856"/>
      <c r="U596" s="856"/>
      <c r="V596" s="856"/>
      <c r="W596" s="850"/>
    </row>
    <row r="597" spans="1:23" x14ac:dyDescent="0.2">
      <c r="A597" s="849" t="s">
        <v>4372</v>
      </c>
      <c r="B597" s="850">
        <v>1</v>
      </c>
      <c r="C597" s="850">
        <v>1</v>
      </c>
      <c r="D597" s="850">
        <v>5</v>
      </c>
      <c r="E597" s="850"/>
      <c r="F597" s="850"/>
      <c r="G597" s="850"/>
      <c r="H597" s="850">
        <v>1</v>
      </c>
      <c r="I597" s="850"/>
      <c r="J597" s="850"/>
      <c r="K597" s="850"/>
      <c r="L597" s="859"/>
      <c r="M597" s="850"/>
      <c r="N597" s="850"/>
      <c r="O597" s="850"/>
      <c r="P597" s="850"/>
      <c r="Q597" s="850"/>
      <c r="R597" s="850"/>
      <c r="S597" s="850"/>
      <c r="T597" s="850"/>
      <c r="U597" s="850"/>
      <c r="V597" s="850"/>
      <c r="W597" s="850"/>
    </row>
    <row r="598" spans="1:23" x14ac:dyDescent="0.2">
      <c r="A598" s="849" t="s">
        <v>4373</v>
      </c>
      <c r="B598" s="850">
        <v>3</v>
      </c>
      <c r="C598" s="850">
        <v>3</v>
      </c>
      <c r="D598" s="850">
        <v>5</v>
      </c>
      <c r="E598" s="850"/>
      <c r="F598" s="850"/>
      <c r="G598" s="850"/>
      <c r="H598" s="850">
        <v>1</v>
      </c>
      <c r="I598" s="850"/>
      <c r="J598" s="850"/>
      <c r="K598" s="850"/>
      <c r="L598" s="859"/>
      <c r="M598" s="850"/>
      <c r="N598" s="850"/>
      <c r="O598" s="850"/>
      <c r="P598" s="850"/>
      <c r="Q598" s="850"/>
      <c r="R598" s="850"/>
      <c r="S598" s="850"/>
      <c r="T598" s="850"/>
      <c r="U598" s="850"/>
      <c r="V598" s="850"/>
      <c r="W598" s="850"/>
    </row>
    <row r="599" spans="1:23" x14ac:dyDescent="0.2">
      <c r="A599" s="849" t="s">
        <v>4374</v>
      </c>
      <c r="B599" s="850">
        <v>5</v>
      </c>
      <c r="C599" s="850">
        <v>5</v>
      </c>
      <c r="D599" s="850">
        <v>10</v>
      </c>
      <c r="E599" s="850"/>
      <c r="F599" s="850"/>
      <c r="G599" s="850"/>
      <c r="H599" s="850">
        <v>1</v>
      </c>
      <c r="I599" s="850"/>
      <c r="J599" s="850"/>
      <c r="K599" s="850"/>
      <c r="L599" s="859"/>
      <c r="M599" s="850"/>
      <c r="N599" s="850"/>
      <c r="O599" s="850"/>
      <c r="P599" s="850"/>
      <c r="Q599" s="850"/>
      <c r="R599" s="850"/>
      <c r="S599" s="850"/>
      <c r="T599" s="850"/>
      <c r="U599" s="850"/>
      <c r="V599" s="850"/>
      <c r="W599" s="850"/>
    </row>
    <row r="600" spans="1:23" x14ac:dyDescent="0.2">
      <c r="A600" s="849" t="s">
        <v>4375</v>
      </c>
      <c r="B600" s="850">
        <v>8</v>
      </c>
      <c r="C600" s="850">
        <v>8</v>
      </c>
      <c r="D600" s="850">
        <v>10</v>
      </c>
      <c r="E600" s="850"/>
      <c r="F600" s="850"/>
      <c r="G600" s="850"/>
      <c r="H600" s="850">
        <v>1</v>
      </c>
      <c r="I600" s="850"/>
      <c r="J600" s="850"/>
      <c r="K600" s="850"/>
      <c r="L600" s="859"/>
      <c r="M600" s="850"/>
      <c r="N600" s="850"/>
      <c r="O600" s="850"/>
      <c r="P600" s="850"/>
      <c r="Q600" s="850"/>
      <c r="R600" s="850"/>
      <c r="S600" s="850"/>
      <c r="T600" s="850"/>
      <c r="U600" s="850"/>
      <c r="V600" s="850"/>
      <c r="W600" s="850"/>
    </row>
    <row r="601" spans="1:23" x14ac:dyDescent="0.2">
      <c r="A601" s="849" t="s">
        <v>4376</v>
      </c>
      <c r="B601" s="850">
        <v>12</v>
      </c>
      <c r="C601" s="850">
        <v>12</v>
      </c>
      <c r="D601" s="850">
        <v>15</v>
      </c>
      <c r="E601" s="850"/>
      <c r="F601" s="850"/>
      <c r="G601" s="850"/>
      <c r="H601" s="850">
        <v>2</v>
      </c>
      <c r="I601" s="850"/>
      <c r="J601" s="850"/>
      <c r="K601" s="850"/>
      <c r="L601" s="859"/>
      <c r="M601" s="850"/>
      <c r="N601" s="850"/>
      <c r="O601" s="850"/>
      <c r="P601" s="850"/>
      <c r="Q601" s="850"/>
      <c r="R601" s="850"/>
      <c r="S601" s="850"/>
      <c r="T601" s="850"/>
      <c r="U601" s="850"/>
      <c r="V601" s="850"/>
      <c r="W601" s="850"/>
    </row>
    <row r="602" spans="1:23" x14ac:dyDescent="0.2">
      <c r="A602" s="849" t="s">
        <v>4377</v>
      </c>
      <c r="B602" s="850">
        <v>15</v>
      </c>
      <c r="C602" s="850">
        <v>15</v>
      </c>
      <c r="D602" s="850">
        <v>20</v>
      </c>
      <c r="E602" s="850"/>
      <c r="F602" s="850"/>
      <c r="G602" s="850"/>
      <c r="H602" s="850">
        <v>2</v>
      </c>
      <c r="I602" s="850"/>
      <c r="J602" s="850"/>
      <c r="K602" s="850"/>
      <c r="L602" s="859"/>
      <c r="M602" s="850"/>
      <c r="N602" s="850"/>
      <c r="O602" s="850"/>
      <c r="P602" s="850"/>
      <c r="Q602" s="850"/>
      <c r="R602" s="850"/>
      <c r="S602" s="850"/>
      <c r="T602" s="850"/>
      <c r="U602" s="850"/>
      <c r="V602" s="850"/>
      <c r="W602" s="850"/>
    </row>
    <row r="603" spans="1:23" x14ac:dyDescent="0.2">
      <c r="A603" s="849" t="s">
        <v>4378</v>
      </c>
      <c r="B603" s="850">
        <v>20</v>
      </c>
      <c r="C603" s="850">
        <v>20</v>
      </c>
      <c r="D603" s="850">
        <v>25</v>
      </c>
      <c r="E603" s="850"/>
      <c r="F603" s="850"/>
      <c r="G603" s="850"/>
      <c r="H603" s="850">
        <v>3</v>
      </c>
      <c r="I603" s="850"/>
      <c r="J603" s="850"/>
      <c r="K603" s="850"/>
      <c r="L603" s="859"/>
      <c r="M603" s="850"/>
      <c r="N603" s="850"/>
      <c r="O603" s="850"/>
      <c r="P603" s="850"/>
      <c r="Q603" s="850"/>
      <c r="R603" s="850"/>
      <c r="S603" s="850"/>
      <c r="T603" s="850"/>
      <c r="U603" s="850"/>
      <c r="V603" s="850"/>
      <c r="W603" s="850"/>
    </row>
    <row r="604" spans="1:23" x14ac:dyDescent="0.2">
      <c r="A604" s="849" t="s">
        <v>4379</v>
      </c>
      <c r="B604" s="850">
        <v>25</v>
      </c>
      <c r="C604" s="850">
        <v>25</v>
      </c>
      <c r="D604" s="850">
        <v>30</v>
      </c>
      <c r="E604" s="850"/>
      <c r="F604" s="850"/>
      <c r="G604" s="850"/>
      <c r="H604" s="850">
        <v>3</v>
      </c>
      <c r="I604" s="850"/>
      <c r="J604" s="850"/>
      <c r="K604" s="850"/>
      <c r="L604" s="859"/>
      <c r="M604" s="850"/>
      <c r="N604" s="850"/>
      <c r="O604" s="850"/>
      <c r="P604" s="850"/>
      <c r="Q604" s="850"/>
      <c r="R604" s="850"/>
      <c r="S604" s="850"/>
      <c r="T604" s="850"/>
      <c r="U604" s="850"/>
      <c r="V604" s="850"/>
      <c r="W604" s="850"/>
    </row>
    <row r="605" spans="1:23" x14ac:dyDescent="0.2">
      <c r="A605" s="691" t="s">
        <v>3597</v>
      </c>
      <c r="B605" s="869"/>
      <c r="C605" s="869"/>
      <c r="D605" s="869"/>
      <c r="E605" s="869"/>
      <c r="F605" s="869"/>
      <c r="G605" s="869"/>
      <c r="H605" s="869"/>
      <c r="I605" s="869"/>
      <c r="J605" s="869"/>
      <c r="K605" s="869"/>
      <c r="L605" s="870"/>
      <c r="M605" s="869"/>
      <c r="N605" s="869"/>
      <c r="O605" s="869"/>
      <c r="P605" s="869"/>
      <c r="Q605" s="869"/>
      <c r="R605" s="869"/>
      <c r="S605" s="869"/>
      <c r="T605" s="869"/>
      <c r="U605" s="869"/>
      <c r="V605" s="869"/>
      <c r="W605" s="850"/>
    </row>
    <row r="606" spans="1:23" x14ac:dyDescent="0.2">
      <c r="A606" s="849" t="s">
        <v>4380</v>
      </c>
      <c r="B606" s="850">
        <v>1</v>
      </c>
      <c r="C606" s="850">
        <v>2</v>
      </c>
      <c r="D606" s="850">
        <v>5</v>
      </c>
      <c r="E606" s="850">
        <v>1</v>
      </c>
      <c r="F606" s="850">
        <v>2</v>
      </c>
      <c r="G606" s="850">
        <v>4</v>
      </c>
      <c r="H606" s="850">
        <v>1</v>
      </c>
      <c r="I606" s="851" t="s">
        <v>3303</v>
      </c>
      <c r="J606" s="851" t="s">
        <v>1534</v>
      </c>
      <c r="K606" s="850" t="s">
        <v>1692</v>
      </c>
      <c r="L606" s="852" t="s">
        <v>1809</v>
      </c>
      <c r="M606" s="849" t="s">
        <v>3351</v>
      </c>
      <c r="N606" s="852" t="s">
        <v>1687</v>
      </c>
      <c r="O606" s="849" t="s">
        <v>3352</v>
      </c>
      <c r="P606" s="852" t="s">
        <v>1700</v>
      </c>
      <c r="Q606" s="849" t="s">
        <v>3442</v>
      </c>
      <c r="R606" s="852" t="s">
        <v>1701</v>
      </c>
      <c r="S606" s="849" t="s">
        <v>3442</v>
      </c>
      <c r="T606" s="853" t="s">
        <v>1929</v>
      </c>
      <c r="U606" s="853" t="s">
        <v>2024</v>
      </c>
      <c r="V606" s="795" t="s">
        <v>3228</v>
      </c>
      <c r="W606" s="850"/>
    </row>
    <row r="607" spans="1:23" x14ac:dyDescent="0.2">
      <c r="A607" s="849" t="s">
        <v>4381</v>
      </c>
      <c r="B607" s="850">
        <v>2</v>
      </c>
      <c r="C607" s="850">
        <v>4</v>
      </c>
      <c r="D607" s="850">
        <v>5</v>
      </c>
      <c r="E607" s="850">
        <v>2</v>
      </c>
      <c r="F607" s="850">
        <v>4</v>
      </c>
      <c r="G607" s="850">
        <v>7</v>
      </c>
      <c r="H607" s="850">
        <v>1</v>
      </c>
      <c r="I607" s="851" t="s">
        <v>3303</v>
      </c>
      <c r="J607" s="851" t="s">
        <v>1534</v>
      </c>
      <c r="K607" s="850" t="s">
        <v>1692</v>
      </c>
      <c r="L607" s="852" t="s">
        <v>1809</v>
      </c>
      <c r="M607" s="849" t="s">
        <v>3351</v>
      </c>
      <c r="N607" s="852" t="s">
        <v>1687</v>
      </c>
      <c r="O607" s="849" t="s">
        <v>3352</v>
      </c>
      <c r="P607" s="852" t="s">
        <v>1700</v>
      </c>
      <c r="Q607" s="849" t="s">
        <v>3442</v>
      </c>
      <c r="R607" s="852" t="s">
        <v>1701</v>
      </c>
      <c r="S607" s="849" t="s">
        <v>3442</v>
      </c>
      <c r="T607" s="853" t="s">
        <v>1929</v>
      </c>
      <c r="U607" s="853" t="s">
        <v>2024</v>
      </c>
      <c r="V607" s="795" t="s">
        <v>3228</v>
      </c>
      <c r="W607" s="850"/>
    </row>
    <row r="608" spans="1:23" x14ac:dyDescent="0.2">
      <c r="A608" s="849" t="s">
        <v>4382</v>
      </c>
      <c r="B608" s="850">
        <v>3</v>
      </c>
      <c r="C608" s="850">
        <v>5</v>
      </c>
      <c r="D608" s="850">
        <v>10</v>
      </c>
      <c r="E608" s="850">
        <v>3</v>
      </c>
      <c r="F608" s="850">
        <v>6</v>
      </c>
      <c r="G608" s="850">
        <v>11</v>
      </c>
      <c r="H608" s="850">
        <v>1</v>
      </c>
      <c r="I608" s="851" t="s">
        <v>3303</v>
      </c>
      <c r="J608" s="851" t="s">
        <v>1534</v>
      </c>
      <c r="K608" s="850" t="s">
        <v>1692</v>
      </c>
      <c r="L608" s="852" t="s">
        <v>1809</v>
      </c>
      <c r="M608" s="849" t="s">
        <v>3351</v>
      </c>
      <c r="N608" s="852" t="s">
        <v>1687</v>
      </c>
      <c r="O608" s="849" t="s">
        <v>3352</v>
      </c>
      <c r="P608" s="852" t="s">
        <v>1700</v>
      </c>
      <c r="Q608" s="849" t="s">
        <v>3442</v>
      </c>
      <c r="R608" s="852" t="s">
        <v>1701</v>
      </c>
      <c r="S608" s="849" t="s">
        <v>3442</v>
      </c>
      <c r="T608" s="853" t="s">
        <v>1929</v>
      </c>
      <c r="U608" s="853" t="s">
        <v>2024</v>
      </c>
      <c r="V608" s="795" t="s">
        <v>3228</v>
      </c>
      <c r="W608" s="850"/>
    </row>
    <row r="609" spans="1:23" x14ac:dyDescent="0.2">
      <c r="A609" s="849" t="s">
        <v>4383</v>
      </c>
      <c r="B609" s="850">
        <v>4</v>
      </c>
      <c r="C609" s="850">
        <v>6</v>
      </c>
      <c r="D609" s="850">
        <v>10</v>
      </c>
      <c r="E609" s="850">
        <v>4</v>
      </c>
      <c r="F609" s="850">
        <v>8</v>
      </c>
      <c r="G609" s="850">
        <v>14</v>
      </c>
      <c r="H609" s="850">
        <v>1</v>
      </c>
      <c r="I609" s="851" t="s">
        <v>3303</v>
      </c>
      <c r="J609" s="851" t="s">
        <v>1534</v>
      </c>
      <c r="K609" s="850" t="s">
        <v>1692</v>
      </c>
      <c r="L609" s="852" t="s">
        <v>1809</v>
      </c>
      <c r="M609" s="849" t="s">
        <v>3351</v>
      </c>
      <c r="N609" s="852" t="s">
        <v>1687</v>
      </c>
      <c r="O609" s="849" t="s">
        <v>3352</v>
      </c>
      <c r="P609" s="852" t="s">
        <v>1700</v>
      </c>
      <c r="Q609" s="849" t="s">
        <v>3442</v>
      </c>
      <c r="R609" s="852" t="s">
        <v>1701</v>
      </c>
      <c r="S609" s="849" t="s">
        <v>3442</v>
      </c>
      <c r="T609" s="853" t="s">
        <v>1929</v>
      </c>
      <c r="U609" s="853" t="s">
        <v>2024</v>
      </c>
      <c r="V609" s="795" t="s">
        <v>3228</v>
      </c>
      <c r="W609" s="850"/>
    </row>
    <row r="610" spans="1:23" x14ac:dyDescent="0.2">
      <c r="A610" s="849" t="s">
        <v>4384</v>
      </c>
      <c r="B610" s="850">
        <v>5</v>
      </c>
      <c r="C610" s="850">
        <v>8</v>
      </c>
      <c r="D610" s="850">
        <v>15</v>
      </c>
      <c r="E610" s="850">
        <v>5</v>
      </c>
      <c r="F610" s="850">
        <v>10</v>
      </c>
      <c r="G610" s="850">
        <v>18</v>
      </c>
      <c r="H610" s="850">
        <v>1</v>
      </c>
      <c r="I610" s="851" t="s">
        <v>3303</v>
      </c>
      <c r="J610" s="851" t="s">
        <v>1534</v>
      </c>
      <c r="K610" s="850" t="s">
        <v>1692</v>
      </c>
      <c r="L610" s="852" t="s">
        <v>1809</v>
      </c>
      <c r="M610" s="849" t="s">
        <v>3351</v>
      </c>
      <c r="N610" s="852" t="s">
        <v>1687</v>
      </c>
      <c r="O610" s="849" t="s">
        <v>3352</v>
      </c>
      <c r="P610" s="852" t="s">
        <v>1700</v>
      </c>
      <c r="Q610" s="849" t="s">
        <v>3442</v>
      </c>
      <c r="R610" s="852" t="s">
        <v>1701</v>
      </c>
      <c r="S610" s="849" t="s">
        <v>3442</v>
      </c>
      <c r="T610" s="853" t="s">
        <v>1929</v>
      </c>
      <c r="U610" s="853" t="s">
        <v>2024</v>
      </c>
      <c r="V610" s="795" t="s">
        <v>3228</v>
      </c>
      <c r="W610" s="850"/>
    </row>
    <row r="611" spans="1:23" x14ac:dyDescent="0.2">
      <c r="A611" s="849" t="s">
        <v>4385</v>
      </c>
      <c r="B611" s="850">
        <v>6</v>
      </c>
      <c r="C611" s="850">
        <v>9</v>
      </c>
      <c r="D611" s="850">
        <v>20</v>
      </c>
      <c r="E611" s="850">
        <v>6</v>
      </c>
      <c r="F611" s="850">
        <v>12</v>
      </c>
      <c r="G611" s="850">
        <v>21</v>
      </c>
      <c r="H611" s="850">
        <v>2</v>
      </c>
      <c r="I611" s="851" t="s">
        <v>3303</v>
      </c>
      <c r="J611" s="851" t="s">
        <v>1534</v>
      </c>
      <c r="K611" s="850" t="s">
        <v>1692</v>
      </c>
      <c r="L611" s="852" t="s">
        <v>1809</v>
      </c>
      <c r="M611" s="849" t="s">
        <v>3351</v>
      </c>
      <c r="N611" s="852" t="s">
        <v>1687</v>
      </c>
      <c r="O611" s="849" t="s">
        <v>3352</v>
      </c>
      <c r="P611" s="852" t="s">
        <v>1700</v>
      </c>
      <c r="Q611" s="849" t="s">
        <v>3442</v>
      </c>
      <c r="R611" s="852" t="s">
        <v>1701</v>
      </c>
      <c r="S611" s="849" t="s">
        <v>3442</v>
      </c>
      <c r="T611" s="853" t="s">
        <v>1929</v>
      </c>
      <c r="U611" s="853" t="s">
        <v>2024</v>
      </c>
      <c r="V611" s="795" t="s">
        <v>3228</v>
      </c>
      <c r="W611" s="850"/>
    </row>
    <row r="612" spans="1:23" x14ac:dyDescent="0.2">
      <c r="A612" s="849" t="s">
        <v>4386</v>
      </c>
      <c r="B612" s="850">
        <v>8</v>
      </c>
      <c r="C612" s="850">
        <v>11</v>
      </c>
      <c r="D612" s="850">
        <v>25</v>
      </c>
      <c r="E612" s="850">
        <v>7</v>
      </c>
      <c r="F612" s="850">
        <v>14</v>
      </c>
      <c r="G612" s="850">
        <v>25</v>
      </c>
      <c r="H612" s="850">
        <v>2</v>
      </c>
      <c r="I612" s="851" t="s">
        <v>3303</v>
      </c>
      <c r="J612" s="851" t="s">
        <v>1534</v>
      </c>
      <c r="K612" s="850" t="s">
        <v>1692</v>
      </c>
      <c r="L612" s="852" t="s">
        <v>1809</v>
      </c>
      <c r="M612" s="849" t="s">
        <v>3351</v>
      </c>
      <c r="N612" s="852" t="s">
        <v>1687</v>
      </c>
      <c r="O612" s="849" t="s">
        <v>3352</v>
      </c>
      <c r="P612" s="852" t="s">
        <v>1700</v>
      </c>
      <c r="Q612" s="849" t="s">
        <v>3442</v>
      </c>
      <c r="R612" s="852" t="s">
        <v>1701</v>
      </c>
      <c r="S612" s="849" t="s">
        <v>3442</v>
      </c>
      <c r="T612" s="853" t="s">
        <v>1929</v>
      </c>
      <c r="U612" s="853" t="s">
        <v>2024</v>
      </c>
      <c r="V612" s="795" t="s">
        <v>3228</v>
      </c>
      <c r="W612" s="850"/>
    </row>
    <row r="613" spans="1:23" x14ac:dyDescent="0.2">
      <c r="A613" s="849" t="s">
        <v>4387</v>
      </c>
      <c r="B613" s="850">
        <v>10</v>
      </c>
      <c r="C613" s="850">
        <v>13</v>
      </c>
      <c r="D613" s="850">
        <v>30</v>
      </c>
      <c r="E613" s="850">
        <v>8</v>
      </c>
      <c r="F613" s="850">
        <v>16</v>
      </c>
      <c r="G613" s="850">
        <v>28</v>
      </c>
      <c r="H613" s="850">
        <v>3</v>
      </c>
      <c r="I613" s="851" t="s">
        <v>3303</v>
      </c>
      <c r="J613" s="851" t="s">
        <v>1534</v>
      </c>
      <c r="K613" s="850" t="s">
        <v>1692</v>
      </c>
      <c r="L613" s="852" t="s">
        <v>1809</v>
      </c>
      <c r="M613" s="849" t="s">
        <v>3351</v>
      </c>
      <c r="N613" s="852" t="s">
        <v>1687</v>
      </c>
      <c r="O613" s="849" t="s">
        <v>3352</v>
      </c>
      <c r="P613" s="852" t="s">
        <v>1700</v>
      </c>
      <c r="Q613" s="849" t="s">
        <v>3442</v>
      </c>
      <c r="R613" s="852" t="s">
        <v>1701</v>
      </c>
      <c r="S613" s="849" t="s">
        <v>3442</v>
      </c>
      <c r="T613" s="853" t="s">
        <v>1929</v>
      </c>
      <c r="U613" s="853" t="s">
        <v>2024</v>
      </c>
      <c r="V613" s="795" t="s">
        <v>3228</v>
      </c>
      <c r="W613" s="850"/>
    </row>
    <row r="614" spans="1:23" x14ac:dyDescent="0.2">
      <c r="A614" s="849" t="s">
        <v>4388</v>
      </c>
      <c r="B614" s="850">
        <v>12</v>
      </c>
      <c r="C614" s="850">
        <v>15</v>
      </c>
      <c r="D614" s="850">
        <v>35</v>
      </c>
      <c r="E614" s="850">
        <v>10</v>
      </c>
      <c r="F614" s="850">
        <v>20</v>
      </c>
      <c r="G614" s="850">
        <v>35</v>
      </c>
      <c r="H614" s="850">
        <v>3</v>
      </c>
      <c r="I614" s="851" t="s">
        <v>3303</v>
      </c>
      <c r="J614" s="851" t="s">
        <v>1534</v>
      </c>
      <c r="K614" s="850" t="s">
        <v>1692</v>
      </c>
      <c r="L614" s="852" t="s">
        <v>1809</v>
      </c>
      <c r="M614" s="849" t="s">
        <v>3351</v>
      </c>
      <c r="N614" s="852" t="s">
        <v>1687</v>
      </c>
      <c r="O614" s="849" t="s">
        <v>3352</v>
      </c>
      <c r="P614" s="852" t="s">
        <v>1700</v>
      </c>
      <c r="Q614" s="849" t="s">
        <v>3442</v>
      </c>
      <c r="R614" s="852" t="s">
        <v>1701</v>
      </c>
      <c r="S614" s="849" t="s">
        <v>3442</v>
      </c>
      <c r="T614" s="853" t="s">
        <v>1929</v>
      </c>
      <c r="U614" s="853" t="s">
        <v>2024</v>
      </c>
      <c r="V614" s="795" t="s">
        <v>3228</v>
      </c>
      <c r="W614" s="850"/>
    </row>
    <row r="615" spans="1:23" x14ac:dyDescent="0.2">
      <c r="A615" s="2157" t="s">
        <v>8685</v>
      </c>
      <c r="B615" s="856"/>
      <c r="C615" s="856"/>
      <c r="D615" s="856"/>
      <c r="E615" s="856"/>
      <c r="F615" s="856"/>
      <c r="G615" s="856"/>
      <c r="H615" s="856"/>
      <c r="I615" s="856"/>
      <c r="J615" s="856"/>
      <c r="K615" s="856"/>
      <c r="L615" s="857"/>
      <c r="M615" s="856"/>
      <c r="N615" s="856"/>
      <c r="O615" s="856"/>
      <c r="P615" s="856"/>
      <c r="Q615" s="856"/>
      <c r="R615" s="856"/>
      <c r="S615" s="856"/>
      <c r="T615" s="856"/>
      <c r="U615" s="856"/>
      <c r="V615" s="856"/>
      <c r="W615" s="850"/>
    </row>
    <row r="616" spans="1:23" x14ac:dyDescent="0.2">
      <c r="A616" s="849" t="s">
        <v>8684</v>
      </c>
      <c r="B616" s="850">
        <v>1</v>
      </c>
      <c r="C616" s="850">
        <v>1</v>
      </c>
      <c r="D616" s="850">
        <v>5</v>
      </c>
      <c r="E616" s="850">
        <v>1</v>
      </c>
      <c r="F616" s="850">
        <v>2</v>
      </c>
      <c r="G616" s="850">
        <v>4</v>
      </c>
      <c r="H616" s="850">
        <v>1</v>
      </c>
      <c r="I616" s="850"/>
      <c r="J616" s="850"/>
      <c r="K616" s="850"/>
      <c r="L616" s="859"/>
      <c r="M616" s="850"/>
      <c r="N616" s="850"/>
      <c r="O616" s="850"/>
      <c r="P616" s="850"/>
      <c r="Q616" s="850"/>
      <c r="R616" s="850"/>
      <c r="S616" s="850"/>
      <c r="T616" s="850"/>
      <c r="U616" s="850"/>
      <c r="V616" s="850"/>
      <c r="W616" s="850"/>
    </row>
    <row r="617" spans="1:23" x14ac:dyDescent="0.2">
      <c r="A617" s="691" t="s">
        <v>3603</v>
      </c>
      <c r="B617" s="869"/>
      <c r="C617" s="869"/>
      <c r="D617" s="869"/>
      <c r="E617" s="869"/>
      <c r="F617" s="869"/>
      <c r="G617" s="869"/>
      <c r="H617" s="869"/>
      <c r="I617" s="869"/>
      <c r="J617" s="869"/>
      <c r="K617" s="869"/>
      <c r="L617" s="870"/>
      <c r="M617" s="869"/>
      <c r="N617" s="869"/>
      <c r="O617" s="869"/>
      <c r="P617" s="869"/>
      <c r="Q617" s="869"/>
      <c r="R617" s="869"/>
      <c r="S617" s="869"/>
      <c r="T617" s="869"/>
      <c r="U617" s="869"/>
      <c r="V617" s="869"/>
      <c r="W617" s="850"/>
    </row>
    <row r="618" spans="1:23" x14ac:dyDescent="0.2">
      <c r="A618" s="849" t="s">
        <v>4389</v>
      </c>
      <c r="B618" s="850">
        <v>1</v>
      </c>
      <c r="C618" s="850">
        <v>2</v>
      </c>
      <c r="D618" s="850">
        <v>5</v>
      </c>
      <c r="E618" s="850">
        <v>1</v>
      </c>
      <c r="F618" s="850">
        <v>2</v>
      </c>
      <c r="G618" s="850">
        <v>4</v>
      </c>
      <c r="H618" s="850">
        <v>1</v>
      </c>
      <c r="I618" s="851" t="s">
        <v>3303</v>
      </c>
      <c r="J618" s="851" t="s">
        <v>1534</v>
      </c>
      <c r="K618" s="850" t="s">
        <v>1701</v>
      </c>
      <c r="L618" s="852" t="s">
        <v>1809</v>
      </c>
      <c r="M618" s="849" t="s">
        <v>3352</v>
      </c>
      <c r="N618" s="852" t="s">
        <v>1687</v>
      </c>
      <c r="O618" s="849" t="s">
        <v>3352</v>
      </c>
      <c r="P618" s="852" t="s">
        <v>1692</v>
      </c>
      <c r="Q618" s="849" t="s">
        <v>3351</v>
      </c>
      <c r="R618" s="852" t="s">
        <v>1700</v>
      </c>
      <c r="S618" s="849" t="s">
        <v>3442</v>
      </c>
      <c r="T618" s="853" t="s">
        <v>1925</v>
      </c>
      <c r="U618" s="853" t="s">
        <v>1922</v>
      </c>
      <c r="V618" s="853" t="s">
        <v>2019</v>
      </c>
      <c r="W618" s="850"/>
    </row>
    <row r="619" spans="1:23" x14ac:dyDescent="0.2">
      <c r="A619" s="849" t="s">
        <v>4390</v>
      </c>
      <c r="B619" s="850">
        <v>2</v>
      </c>
      <c r="C619" s="850">
        <v>4</v>
      </c>
      <c r="D619" s="850">
        <v>10</v>
      </c>
      <c r="E619" s="850">
        <v>2</v>
      </c>
      <c r="F619" s="850">
        <v>4</v>
      </c>
      <c r="G619" s="850">
        <v>7</v>
      </c>
      <c r="H619" s="850">
        <v>1</v>
      </c>
      <c r="I619" s="851" t="s">
        <v>3303</v>
      </c>
      <c r="J619" s="851" t="s">
        <v>1534</v>
      </c>
      <c r="K619" s="850" t="s">
        <v>1701</v>
      </c>
      <c r="L619" s="852" t="s">
        <v>1809</v>
      </c>
      <c r="M619" s="849" t="s">
        <v>3352</v>
      </c>
      <c r="N619" s="852" t="s">
        <v>1687</v>
      </c>
      <c r="O619" s="849" t="s">
        <v>3352</v>
      </c>
      <c r="P619" s="852" t="s">
        <v>1692</v>
      </c>
      <c r="Q619" s="849" t="s">
        <v>3351</v>
      </c>
      <c r="R619" s="852" t="s">
        <v>1700</v>
      </c>
      <c r="S619" s="849" t="s">
        <v>3442</v>
      </c>
      <c r="T619" s="853" t="s">
        <v>1925</v>
      </c>
      <c r="U619" s="853" t="s">
        <v>1922</v>
      </c>
      <c r="V619" s="853" t="s">
        <v>2019</v>
      </c>
      <c r="W619" s="850"/>
    </row>
    <row r="620" spans="1:23" x14ac:dyDescent="0.2">
      <c r="A620" s="849" t="s">
        <v>4391</v>
      </c>
      <c r="B620" s="850">
        <v>4</v>
      </c>
      <c r="C620" s="850">
        <v>6</v>
      </c>
      <c r="D620" s="850">
        <v>15</v>
      </c>
      <c r="E620" s="850">
        <v>3</v>
      </c>
      <c r="F620" s="850">
        <v>6</v>
      </c>
      <c r="G620" s="850">
        <v>11</v>
      </c>
      <c r="H620" s="850">
        <v>1</v>
      </c>
      <c r="I620" s="851" t="s">
        <v>3303</v>
      </c>
      <c r="J620" s="851" t="s">
        <v>1534</v>
      </c>
      <c r="K620" s="850" t="s">
        <v>1701</v>
      </c>
      <c r="L620" s="852" t="s">
        <v>1809</v>
      </c>
      <c r="M620" s="849" t="s">
        <v>3352</v>
      </c>
      <c r="N620" s="852" t="s">
        <v>1687</v>
      </c>
      <c r="O620" s="849" t="s">
        <v>3352</v>
      </c>
      <c r="P620" s="852" t="s">
        <v>1692</v>
      </c>
      <c r="Q620" s="849" t="s">
        <v>3351</v>
      </c>
      <c r="R620" s="852" t="s">
        <v>1700</v>
      </c>
      <c r="S620" s="849" t="s">
        <v>3442</v>
      </c>
      <c r="T620" s="853" t="s">
        <v>1925</v>
      </c>
      <c r="U620" s="853" t="s">
        <v>1922</v>
      </c>
      <c r="V620" s="853" t="s">
        <v>2019</v>
      </c>
      <c r="W620" s="850"/>
    </row>
    <row r="621" spans="1:23" x14ac:dyDescent="0.2">
      <c r="A621" s="849" t="s">
        <v>4392</v>
      </c>
      <c r="B621" s="850">
        <v>6</v>
      </c>
      <c r="C621" s="850">
        <v>9</v>
      </c>
      <c r="D621" s="850">
        <v>20</v>
      </c>
      <c r="E621" s="850">
        <v>4</v>
      </c>
      <c r="F621" s="850">
        <v>8</v>
      </c>
      <c r="G621" s="850">
        <v>14</v>
      </c>
      <c r="H621" s="850">
        <v>1</v>
      </c>
      <c r="I621" s="851" t="s">
        <v>3303</v>
      </c>
      <c r="J621" s="851" t="s">
        <v>1534</v>
      </c>
      <c r="K621" s="850" t="s">
        <v>1701</v>
      </c>
      <c r="L621" s="852" t="s">
        <v>1809</v>
      </c>
      <c r="M621" s="849" t="s">
        <v>3352</v>
      </c>
      <c r="N621" s="852" t="s">
        <v>1687</v>
      </c>
      <c r="O621" s="849" t="s">
        <v>3352</v>
      </c>
      <c r="P621" s="852" t="s">
        <v>1692</v>
      </c>
      <c r="Q621" s="849" t="s">
        <v>3351</v>
      </c>
      <c r="R621" s="852" t="s">
        <v>1700</v>
      </c>
      <c r="S621" s="849" t="s">
        <v>3442</v>
      </c>
      <c r="T621" s="853" t="s">
        <v>1925</v>
      </c>
      <c r="U621" s="853" t="s">
        <v>1922</v>
      </c>
      <c r="V621" s="853" t="s">
        <v>2019</v>
      </c>
      <c r="W621" s="850"/>
    </row>
    <row r="622" spans="1:23" x14ac:dyDescent="0.2">
      <c r="A622" s="849" t="s">
        <v>4393</v>
      </c>
      <c r="B622" s="850">
        <v>8</v>
      </c>
      <c r="C622" s="850">
        <v>11</v>
      </c>
      <c r="D622" s="850">
        <v>25</v>
      </c>
      <c r="E622" s="850">
        <v>6</v>
      </c>
      <c r="F622" s="850">
        <v>12</v>
      </c>
      <c r="G622" s="850">
        <v>21</v>
      </c>
      <c r="H622" s="850">
        <v>2</v>
      </c>
      <c r="I622" s="851" t="s">
        <v>3303</v>
      </c>
      <c r="J622" s="851" t="s">
        <v>1534</v>
      </c>
      <c r="K622" s="850" t="s">
        <v>1701</v>
      </c>
      <c r="L622" s="852" t="s">
        <v>1809</v>
      </c>
      <c r="M622" s="849" t="s">
        <v>3352</v>
      </c>
      <c r="N622" s="852" t="s">
        <v>1687</v>
      </c>
      <c r="O622" s="849" t="s">
        <v>3352</v>
      </c>
      <c r="P622" s="852" t="s">
        <v>1692</v>
      </c>
      <c r="Q622" s="849" t="s">
        <v>3351</v>
      </c>
      <c r="R622" s="852" t="s">
        <v>1700</v>
      </c>
      <c r="S622" s="849" t="s">
        <v>3442</v>
      </c>
      <c r="T622" s="853" t="s">
        <v>1925</v>
      </c>
      <c r="U622" s="853" t="s">
        <v>1922</v>
      </c>
      <c r="V622" s="853" t="s">
        <v>2019</v>
      </c>
      <c r="W622" s="850"/>
    </row>
    <row r="623" spans="1:23" x14ac:dyDescent="0.2">
      <c r="A623" s="849" t="s">
        <v>4394</v>
      </c>
      <c r="B623" s="850">
        <v>12</v>
      </c>
      <c r="C623" s="850">
        <v>15</v>
      </c>
      <c r="D623" s="850">
        <v>30</v>
      </c>
      <c r="E623" s="850">
        <v>8</v>
      </c>
      <c r="F623" s="850">
        <v>16</v>
      </c>
      <c r="G623" s="850">
        <v>28</v>
      </c>
      <c r="H623" s="850">
        <v>2</v>
      </c>
      <c r="I623" s="851" t="s">
        <v>3303</v>
      </c>
      <c r="J623" s="851" t="s">
        <v>1534</v>
      </c>
      <c r="K623" s="850" t="s">
        <v>1701</v>
      </c>
      <c r="L623" s="852" t="s">
        <v>1809</v>
      </c>
      <c r="M623" s="849" t="s">
        <v>3352</v>
      </c>
      <c r="N623" s="852" t="s">
        <v>1687</v>
      </c>
      <c r="O623" s="849" t="s">
        <v>3352</v>
      </c>
      <c r="P623" s="852" t="s">
        <v>1692</v>
      </c>
      <c r="Q623" s="849" t="s">
        <v>3351</v>
      </c>
      <c r="R623" s="852" t="s">
        <v>1700</v>
      </c>
      <c r="S623" s="849" t="s">
        <v>3442</v>
      </c>
      <c r="T623" s="853" t="s">
        <v>1925</v>
      </c>
      <c r="U623" s="853" t="s">
        <v>1922</v>
      </c>
      <c r="V623" s="853" t="s">
        <v>2019</v>
      </c>
      <c r="W623" s="850"/>
    </row>
    <row r="624" spans="1:23" x14ac:dyDescent="0.2">
      <c r="A624" s="849" t="s">
        <v>4395</v>
      </c>
      <c r="B624" s="850">
        <v>16</v>
      </c>
      <c r="C624" s="850">
        <v>20</v>
      </c>
      <c r="D624" s="850">
        <v>35</v>
      </c>
      <c r="E624" s="850">
        <v>10</v>
      </c>
      <c r="F624" s="850">
        <v>20</v>
      </c>
      <c r="G624" s="850">
        <v>35</v>
      </c>
      <c r="H624" s="850">
        <v>3</v>
      </c>
      <c r="I624" s="851" t="s">
        <v>3303</v>
      </c>
      <c r="J624" s="851" t="s">
        <v>1534</v>
      </c>
      <c r="K624" s="850" t="s">
        <v>1701</v>
      </c>
      <c r="L624" s="852" t="s">
        <v>1809</v>
      </c>
      <c r="M624" s="849" t="s">
        <v>3352</v>
      </c>
      <c r="N624" s="852" t="s">
        <v>1687</v>
      </c>
      <c r="O624" s="849" t="s">
        <v>3352</v>
      </c>
      <c r="P624" s="852" t="s">
        <v>1692</v>
      </c>
      <c r="Q624" s="849" t="s">
        <v>3351</v>
      </c>
      <c r="R624" s="852" t="s">
        <v>1700</v>
      </c>
      <c r="S624" s="849" t="s">
        <v>3442</v>
      </c>
      <c r="T624" s="853" t="s">
        <v>1925</v>
      </c>
      <c r="U624" s="853" t="s">
        <v>1922</v>
      </c>
      <c r="V624" s="853" t="s">
        <v>2019</v>
      </c>
      <c r="W624" s="850"/>
    </row>
    <row r="625" spans="1:23" x14ac:dyDescent="0.2">
      <c r="A625" s="855" t="s">
        <v>4396</v>
      </c>
      <c r="B625" s="856"/>
      <c r="C625" s="856"/>
      <c r="D625" s="856"/>
      <c r="E625" s="856"/>
      <c r="F625" s="856"/>
      <c r="G625" s="856"/>
      <c r="H625" s="856"/>
      <c r="I625" s="856"/>
      <c r="J625" s="856"/>
      <c r="K625" s="856"/>
      <c r="L625" s="857"/>
      <c r="M625" s="856"/>
      <c r="N625" s="856"/>
      <c r="O625" s="856"/>
      <c r="P625" s="856"/>
      <c r="Q625" s="856"/>
      <c r="R625" s="856"/>
      <c r="S625" s="856"/>
      <c r="T625" s="856"/>
      <c r="U625" s="856"/>
      <c r="V625" s="856"/>
      <c r="W625" s="850"/>
    </row>
    <row r="626" spans="1:23" x14ac:dyDescent="0.2">
      <c r="A626" s="849" t="s">
        <v>4397</v>
      </c>
      <c r="B626" s="850">
        <v>2</v>
      </c>
      <c r="C626" s="850">
        <v>2</v>
      </c>
      <c r="D626" s="850">
        <v>5</v>
      </c>
      <c r="E626" s="850">
        <v>1</v>
      </c>
      <c r="F626" s="850">
        <v>2</v>
      </c>
      <c r="G626" s="850">
        <v>4</v>
      </c>
      <c r="H626" s="850">
        <v>1</v>
      </c>
      <c r="I626" s="850"/>
      <c r="J626" s="850"/>
      <c r="K626" s="850"/>
      <c r="L626" s="859"/>
      <c r="M626" s="850"/>
      <c r="N626" s="850"/>
      <c r="O626" s="850"/>
      <c r="P626" s="850"/>
      <c r="Q626" s="850"/>
      <c r="R626" s="850"/>
      <c r="S626" s="850"/>
      <c r="T626" s="850"/>
      <c r="U626" s="850"/>
      <c r="V626" s="850"/>
      <c r="W626" s="850"/>
    </row>
    <row r="627" spans="1:23" x14ac:dyDescent="0.2">
      <c r="A627" s="849" t="s">
        <v>4398</v>
      </c>
      <c r="B627" s="850">
        <v>2</v>
      </c>
      <c r="C627" s="850">
        <v>2</v>
      </c>
      <c r="D627" s="850">
        <v>5</v>
      </c>
      <c r="E627" s="850">
        <v>1</v>
      </c>
      <c r="F627" s="850">
        <v>2</v>
      </c>
      <c r="G627" s="850">
        <v>4</v>
      </c>
      <c r="H627" s="850">
        <v>1</v>
      </c>
      <c r="I627" s="850"/>
      <c r="J627" s="850"/>
      <c r="K627" s="850"/>
      <c r="L627" s="859"/>
      <c r="M627" s="850"/>
      <c r="N627" s="850"/>
      <c r="O627" s="850"/>
      <c r="P627" s="850"/>
      <c r="Q627" s="850"/>
      <c r="R627" s="850"/>
      <c r="S627" s="850"/>
      <c r="T627" s="850"/>
      <c r="U627" s="850"/>
      <c r="V627" s="850"/>
      <c r="W627" s="850"/>
    </row>
    <row r="628" spans="1:23" x14ac:dyDescent="0.2">
      <c r="A628" s="849" t="s">
        <v>4399</v>
      </c>
      <c r="B628" s="850">
        <v>2</v>
      </c>
      <c r="C628" s="850">
        <v>2</v>
      </c>
      <c r="D628" s="850">
        <v>5</v>
      </c>
      <c r="E628" s="850">
        <v>1</v>
      </c>
      <c r="F628" s="850">
        <v>2</v>
      </c>
      <c r="G628" s="850">
        <v>4</v>
      </c>
      <c r="H628" s="850">
        <v>1</v>
      </c>
      <c r="I628" s="850"/>
      <c r="J628" s="850"/>
      <c r="K628" s="850"/>
      <c r="L628" s="859"/>
      <c r="M628" s="850"/>
      <c r="N628" s="850"/>
      <c r="O628" s="850"/>
      <c r="P628" s="850"/>
      <c r="Q628" s="850"/>
      <c r="R628" s="850"/>
      <c r="S628" s="850"/>
      <c r="T628" s="850"/>
      <c r="U628" s="850"/>
      <c r="V628" s="850"/>
      <c r="W628" s="850"/>
    </row>
    <row r="629" spans="1:23" x14ac:dyDescent="0.2">
      <c r="A629" s="691" t="s">
        <v>3610</v>
      </c>
      <c r="B629" s="869"/>
      <c r="C629" s="869"/>
      <c r="D629" s="869"/>
      <c r="E629" s="869"/>
      <c r="F629" s="869"/>
      <c r="G629" s="869"/>
      <c r="H629" s="869"/>
      <c r="I629" s="869"/>
      <c r="J629" s="869"/>
      <c r="K629" s="869"/>
      <c r="L629" s="870"/>
      <c r="M629" s="869"/>
      <c r="N629" s="869"/>
      <c r="O629" s="869"/>
      <c r="P629" s="869"/>
      <c r="Q629" s="869"/>
      <c r="R629" s="869"/>
      <c r="S629" s="869"/>
      <c r="T629" s="869"/>
      <c r="U629" s="869"/>
      <c r="V629" s="869"/>
      <c r="W629" s="850"/>
    </row>
    <row r="630" spans="1:23" x14ac:dyDescent="0.2">
      <c r="A630" s="849" t="s">
        <v>8686</v>
      </c>
      <c r="B630" s="850">
        <v>3</v>
      </c>
      <c r="C630" s="850">
        <v>5</v>
      </c>
      <c r="D630" s="850">
        <v>10</v>
      </c>
      <c r="E630" s="850">
        <v>2</v>
      </c>
      <c r="F630" s="850">
        <v>4</v>
      </c>
      <c r="G630" s="850">
        <v>7</v>
      </c>
      <c r="H630" s="850">
        <v>1</v>
      </c>
      <c r="I630" s="851" t="s">
        <v>3308</v>
      </c>
      <c r="J630" s="851" t="s">
        <v>4066</v>
      </c>
      <c r="K630" s="850" t="s">
        <v>1700</v>
      </c>
      <c r="L630" s="852" t="s">
        <v>1809</v>
      </c>
      <c r="M630" s="849" t="s">
        <v>3352</v>
      </c>
      <c r="N630" s="852" t="s">
        <v>1687</v>
      </c>
      <c r="O630" s="849" t="s">
        <v>3352</v>
      </c>
      <c r="P630" s="852" t="s">
        <v>1692</v>
      </c>
      <c r="Q630" s="849" t="s">
        <v>3352</v>
      </c>
      <c r="R630" s="852" t="s">
        <v>1701</v>
      </c>
      <c r="S630" s="849" t="s">
        <v>3442</v>
      </c>
      <c r="T630" s="853" t="s">
        <v>1925</v>
      </c>
      <c r="U630" s="853" t="s">
        <v>2019</v>
      </c>
      <c r="V630" s="853" t="s">
        <v>2020</v>
      </c>
      <c r="W630" s="850"/>
    </row>
    <row r="631" spans="1:23" x14ac:dyDescent="0.2">
      <c r="A631" s="855" t="s">
        <v>4400</v>
      </c>
      <c r="B631" s="856"/>
      <c r="C631" s="856"/>
      <c r="D631" s="856"/>
      <c r="E631" s="856"/>
      <c r="F631" s="856"/>
      <c r="G631" s="856"/>
      <c r="H631" s="856"/>
      <c r="I631" s="856"/>
      <c r="J631" s="856"/>
      <c r="K631" s="856"/>
      <c r="L631" s="857"/>
      <c r="M631" s="856"/>
      <c r="N631" s="856"/>
      <c r="O631" s="856"/>
      <c r="P631" s="856"/>
      <c r="Q631" s="856"/>
      <c r="R631" s="856"/>
      <c r="S631" s="856"/>
      <c r="T631" s="856"/>
      <c r="U631" s="856"/>
      <c r="V631" s="856"/>
      <c r="W631" s="850"/>
    </row>
    <row r="632" spans="1:23" x14ac:dyDescent="0.2">
      <c r="A632" s="849" t="s">
        <v>4401</v>
      </c>
      <c r="B632" s="850">
        <v>1</v>
      </c>
      <c r="C632" s="850">
        <v>1</v>
      </c>
      <c r="D632" s="850">
        <v>5</v>
      </c>
      <c r="E632" s="850">
        <v>1</v>
      </c>
      <c r="F632" s="850">
        <v>2</v>
      </c>
      <c r="G632" s="850">
        <v>4</v>
      </c>
      <c r="H632" s="850">
        <v>1</v>
      </c>
      <c r="I632" s="850"/>
      <c r="J632" s="850"/>
      <c r="K632" s="850"/>
      <c r="L632" s="859"/>
      <c r="M632" s="850"/>
      <c r="N632" s="850"/>
      <c r="O632" s="850"/>
      <c r="P632" s="850"/>
      <c r="Q632" s="850"/>
      <c r="R632" s="850"/>
      <c r="S632" s="850"/>
      <c r="T632" s="850"/>
      <c r="U632" s="850"/>
      <c r="V632" s="850"/>
      <c r="W632" s="850"/>
    </row>
    <row r="633" spans="1:23" x14ac:dyDescent="0.2">
      <c r="A633" s="849" t="s">
        <v>4402</v>
      </c>
      <c r="B633" s="850">
        <v>3</v>
      </c>
      <c r="C633" s="850">
        <v>3</v>
      </c>
      <c r="D633" s="850">
        <v>10</v>
      </c>
      <c r="E633" s="850">
        <v>2</v>
      </c>
      <c r="F633" s="850">
        <v>4</v>
      </c>
      <c r="G633" s="850">
        <v>7</v>
      </c>
      <c r="H633" s="850">
        <v>1</v>
      </c>
      <c r="I633" s="850"/>
      <c r="J633" s="850"/>
      <c r="K633" s="850"/>
      <c r="L633" s="859"/>
      <c r="M633" s="850"/>
      <c r="N633" s="850"/>
      <c r="O633" s="850"/>
      <c r="P633" s="850"/>
      <c r="Q633" s="850"/>
      <c r="R633" s="850"/>
      <c r="S633" s="850"/>
      <c r="T633" s="850"/>
      <c r="U633" s="850"/>
      <c r="V633" s="850"/>
      <c r="W633" s="850"/>
    </row>
    <row r="634" spans="1:23" x14ac:dyDescent="0.2">
      <c r="A634" s="855" t="s">
        <v>4403</v>
      </c>
      <c r="B634" s="856"/>
      <c r="C634" s="856"/>
      <c r="D634" s="856"/>
      <c r="E634" s="856"/>
      <c r="F634" s="856"/>
      <c r="G634" s="856"/>
      <c r="H634" s="856"/>
      <c r="I634" s="856"/>
      <c r="J634" s="856"/>
      <c r="K634" s="856"/>
      <c r="L634" s="857"/>
      <c r="M634" s="856"/>
      <c r="N634" s="856"/>
      <c r="O634" s="856"/>
      <c r="P634" s="856"/>
      <c r="Q634" s="856"/>
      <c r="R634" s="856"/>
      <c r="S634" s="856"/>
      <c r="T634" s="856"/>
      <c r="U634" s="856"/>
      <c r="V634" s="856"/>
      <c r="W634" s="850"/>
    </row>
    <row r="635" spans="1:23" x14ac:dyDescent="0.2">
      <c r="A635" s="849" t="s">
        <v>4404</v>
      </c>
      <c r="B635" s="850">
        <v>2</v>
      </c>
      <c r="C635" s="850">
        <v>2</v>
      </c>
      <c r="D635" s="850">
        <v>10</v>
      </c>
      <c r="E635" s="850">
        <v>2</v>
      </c>
      <c r="F635" s="850">
        <v>4</v>
      </c>
      <c r="G635" s="850">
        <v>7</v>
      </c>
      <c r="H635" s="850">
        <v>1</v>
      </c>
      <c r="I635" s="850"/>
      <c r="J635" s="850"/>
      <c r="K635" s="850"/>
      <c r="L635" s="859"/>
      <c r="M635" s="850"/>
      <c r="N635" s="850"/>
      <c r="O635" s="850"/>
      <c r="P635" s="850"/>
      <c r="Q635" s="850"/>
      <c r="R635" s="850"/>
      <c r="S635" s="850"/>
      <c r="T635" s="850"/>
      <c r="U635" s="850"/>
      <c r="V635" s="850"/>
      <c r="W635" s="850"/>
    </row>
    <row r="636" spans="1:23" x14ac:dyDescent="0.2">
      <c r="A636" s="691" t="s">
        <v>3615</v>
      </c>
      <c r="B636" s="869"/>
      <c r="C636" s="869"/>
      <c r="D636" s="869"/>
      <c r="E636" s="869"/>
      <c r="F636" s="869"/>
      <c r="G636" s="869"/>
      <c r="H636" s="869"/>
      <c r="I636" s="869"/>
      <c r="J636" s="869"/>
      <c r="K636" s="869"/>
      <c r="L636" s="870"/>
      <c r="M636" s="869"/>
      <c r="N636" s="869"/>
      <c r="O636" s="869"/>
      <c r="P636" s="869"/>
      <c r="Q636" s="869"/>
      <c r="R636" s="869"/>
      <c r="S636" s="869"/>
      <c r="T636" s="869"/>
      <c r="U636" s="869"/>
      <c r="V636" s="869"/>
      <c r="W636" s="850"/>
    </row>
    <row r="637" spans="1:23" x14ac:dyDescent="0.2">
      <c r="A637" s="849" t="s">
        <v>4405</v>
      </c>
      <c r="B637" s="850">
        <v>4</v>
      </c>
      <c r="C637" s="850">
        <v>6</v>
      </c>
      <c r="D637" s="850">
        <v>10</v>
      </c>
      <c r="E637" s="850">
        <v>2</v>
      </c>
      <c r="F637" s="850">
        <v>4</v>
      </c>
      <c r="G637" s="850">
        <v>7</v>
      </c>
      <c r="H637" s="850">
        <v>1</v>
      </c>
      <c r="I637" s="851" t="s">
        <v>3303</v>
      </c>
      <c r="J637" s="851" t="s">
        <v>1534</v>
      </c>
      <c r="K637" s="850" t="s">
        <v>1700</v>
      </c>
      <c r="L637" s="852" t="s">
        <v>1809</v>
      </c>
      <c r="M637" s="849" t="s">
        <v>3351</v>
      </c>
      <c r="N637" s="852" t="s">
        <v>1687</v>
      </c>
      <c r="O637" s="849" t="s">
        <v>3352</v>
      </c>
      <c r="P637" s="852" t="s">
        <v>1692</v>
      </c>
      <c r="Q637" s="849" t="s">
        <v>3352</v>
      </c>
      <c r="R637" s="852" t="s">
        <v>1701</v>
      </c>
      <c r="S637" s="849" t="s">
        <v>3442</v>
      </c>
      <c r="T637" s="853" t="s">
        <v>1922</v>
      </c>
      <c r="U637" s="853" t="s">
        <v>2019</v>
      </c>
      <c r="V637" s="853" t="s">
        <v>2020</v>
      </c>
      <c r="W637" s="850"/>
    </row>
    <row r="638" spans="1:23" x14ac:dyDescent="0.2">
      <c r="A638" s="849" t="s">
        <v>4406</v>
      </c>
      <c r="B638" s="850">
        <v>10</v>
      </c>
      <c r="C638" s="850">
        <v>13</v>
      </c>
      <c r="D638" s="850">
        <v>25</v>
      </c>
      <c r="E638" s="850">
        <v>4</v>
      </c>
      <c r="F638" s="850">
        <v>8</v>
      </c>
      <c r="G638" s="850">
        <v>14</v>
      </c>
      <c r="H638" s="850">
        <v>2</v>
      </c>
      <c r="I638" s="851" t="s">
        <v>3303</v>
      </c>
      <c r="J638" s="851" t="s">
        <v>1534</v>
      </c>
      <c r="K638" s="850" t="s">
        <v>1700</v>
      </c>
      <c r="L638" s="852" t="s">
        <v>1809</v>
      </c>
      <c r="M638" s="849" t="s">
        <v>3351</v>
      </c>
      <c r="N638" s="852" t="s">
        <v>1687</v>
      </c>
      <c r="O638" s="849" t="s">
        <v>3352</v>
      </c>
      <c r="P638" s="852" t="s">
        <v>1692</v>
      </c>
      <c r="Q638" s="849" t="s">
        <v>3352</v>
      </c>
      <c r="R638" s="852" t="s">
        <v>1701</v>
      </c>
      <c r="S638" s="849" t="s">
        <v>3442</v>
      </c>
      <c r="T638" s="853" t="s">
        <v>1922</v>
      </c>
      <c r="U638" s="853" t="s">
        <v>2019</v>
      </c>
      <c r="V638" s="853" t="s">
        <v>2020</v>
      </c>
      <c r="W638" s="850"/>
    </row>
    <row r="639" spans="1:23" x14ac:dyDescent="0.2">
      <c r="A639" s="855" t="s">
        <v>4407</v>
      </c>
      <c r="B639" s="856"/>
      <c r="C639" s="856"/>
      <c r="D639" s="856"/>
      <c r="E639" s="856"/>
      <c r="F639" s="856"/>
      <c r="G639" s="856"/>
      <c r="H639" s="856"/>
      <c r="I639" s="856"/>
      <c r="J639" s="856"/>
      <c r="K639" s="856"/>
      <c r="L639" s="857"/>
      <c r="M639" s="856"/>
      <c r="N639" s="856"/>
      <c r="O639" s="856"/>
      <c r="P639" s="856"/>
      <c r="Q639" s="856"/>
      <c r="R639" s="856"/>
      <c r="S639" s="856"/>
      <c r="T639" s="856"/>
      <c r="U639" s="856"/>
      <c r="V639" s="856"/>
      <c r="W639" s="850"/>
    </row>
    <row r="640" spans="1:23" x14ac:dyDescent="0.2">
      <c r="A640" s="849" t="s">
        <v>4408</v>
      </c>
      <c r="B640" s="850">
        <v>4</v>
      </c>
      <c r="C640" s="850">
        <v>4</v>
      </c>
      <c r="D640" s="850">
        <v>10</v>
      </c>
      <c r="E640" s="850"/>
      <c r="F640" s="850"/>
      <c r="G640" s="850"/>
      <c r="H640" s="850">
        <v>1</v>
      </c>
      <c r="I640" s="850"/>
      <c r="J640" s="850"/>
      <c r="K640" s="850"/>
      <c r="L640" s="859"/>
      <c r="M640" s="850"/>
      <c r="N640" s="850"/>
      <c r="O640" s="850"/>
      <c r="P640" s="850"/>
      <c r="Q640" s="850"/>
      <c r="R640" s="850"/>
      <c r="S640" s="850"/>
      <c r="T640" s="850"/>
      <c r="U640" s="850"/>
      <c r="V640" s="850"/>
      <c r="W640" s="850"/>
    </row>
    <row r="641" spans="1:23" x14ac:dyDescent="0.2">
      <c r="A641" s="849" t="s">
        <v>4409</v>
      </c>
      <c r="B641" s="850">
        <v>10</v>
      </c>
      <c r="C641" s="850">
        <v>10</v>
      </c>
      <c r="D641" s="850">
        <v>30</v>
      </c>
      <c r="E641" s="850">
        <v>2</v>
      </c>
      <c r="F641" s="850">
        <v>4</v>
      </c>
      <c r="G641" s="850">
        <v>7</v>
      </c>
      <c r="H641" s="850">
        <v>1</v>
      </c>
      <c r="I641" s="850"/>
      <c r="J641" s="850"/>
      <c r="K641" s="850"/>
      <c r="L641" s="859"/>
      <c r="M641" s="850"/>
      <c r="N641" s="850"/>
      <c r="O641" s="850"/>
      <c r="P641" s="850"/>
      <c r="Q641" s="850"/>
      <c r="R641" s="850"/>
      <c r="S641" s="850"/>
      <c r="T641" s="850"/>
      <c r="U641" s="850"/>
      <c r="V641" s="850"/>
      <c r="W641" s="850"/>
    </row>
    <row r="642" spans="1:23" x14ac:dyDescent="0.2">
      <c r="A642" s="691" t="s">
        <v>3621</v>
      </c>
      <c r="B642" s="869"/>
      <c r="C642" s="869"/>
      <c r="D642" s="869"/>
      <c r="E642" s="869"/>
      <c r="F642" s="869"/>
      <c r="G642" s="869"/>
      <c r="H642" s="869"/>
      <c r="I642" s="869"/>
      <c r="J642" s="869"/>
      <c r="K642" s="869"/>
      <c r="L642" s="870"/>
      <c r="M642" s="869"/>
      <c r="N642" s="869"/>
      <c r="O642" s="869"/>
      <c r="P642" s="869"/>
      <c r="Q642" s="869"/>
      <c r="R642" s="869"/>
      <c r="S642" s="869"/>
      <c r="T642" s="869"/>
      <c r="U642" s="869"/>
      <c r="V642" s="869"/>
      <c r="W642" s="850"/>
    </row>
    <row r="643" spans="1:23" x14ac:dyDescent="0.2">
      <c r="A643" s="849" t="s">
        <v>4410</v>
      </c>
      <c r="B643" s="850">
        <v>2</v>
      </c>
      <c r="C643" s="850">
        <v>4</v>
      </c>
      <c r="D643" s="850">
        <v>5</v>
      </c>
      <c r="E643" s="850">
        <v>1</v>
      </c>
      <c r="F643" s="850">
        <v>2</v>
      </c>
      <c r="G643" s="850">
        <v>4</v>
      </c>
      <c r="H643" s="850">
        <v>1</v>
      </c>
      <c r="I643" s="851" t="s">
        <v>3303</v>
      </c>
      <c r="J643" s="851" t="s">
        <v>1534</v>
      </c>
      <c r="K643" s="850" t="s">
        <v>1700</v>
      </c>
      <c r="L643" s="852" t="s">
        <v>1809</v>
      </c>
      <c r="M643" s="849" t="s">
        <v>3351</v>
      </c>
      <c r="N643" s="852" t="s">
        <v>1687</v>
      </c>
      <c r="O643" s="849" t="s">
        <v>3351</v>
      </c>
      <c r="P643" s="852" t="s">
        <v>1692</v>
      </c>
      <c r="Q643" s="849" t="s">
        <v>3442</v>
      </c>
      <c r="R643" s="852" t="s">
        <v>1701</v>
      </c>
      <c r="S643" s="849" t="s">
        <v>3442</v>
      </c>
      <c r="T643" s="853" t="s">
        <v>1929</v>
      </c>
      <c r="U643" s="853" t="s">
        <v>2024</v>
      </c>
      <c r="V643" s="795" t="s">
        <v>3228</v>
      </c>
      <c r="W643" s="850"/>
    </row>
    <row r="644" spans="1:23" x14ac:dyDescent="0.2">
      <c r="A644" s="849" t="s">
        <v>4411</v>
      </c>
      <c r="B644" s="850">
        <v>3</v>
      </c>
      <c r="C644" s="850">
        <v>5</v>
      </c>
      <c r="D644" s="850">
        <v>5</v>
      </c>
      <c r="E644" s="850">
        <v>2</v>
      </c>
      <c r="F644" s="850">
        <v>4</v>
      </c>
      <c r="G644" s="850">
        <v>7</v>
      </c>
      <c r="H644" s="850">
        <v>1</v>
      </c>
      <c r="I644" s="851" t="s">
        <v>3303</v>
      </c>
      <c r="J644" s="851" t="s">
        <v>1534</v>
      </c>
      <c r="K644" s="850" t="s">
        <v>1700</v>
      </c>
      <c r="L644" s="852" t="s">
        <v>1809</v>
      </c>
      <c r="M644" s="849" t="s">
        <v>3351</v>
      </c>
      <c r="N644" s="852" t="s">
        <v>1687</v>
      </c>
      <c r="O644" s="849" t="s">
        <v>3351</v>
      </c>
      <c r="P644" s="852" t="s">
        <v>1692</v>
      </c>
      <c r="Q644" s="849" t="s">
        <v>3442</v>
      </c>
      <c r="R644" s="852" t="s">
        <v>1701</v>
      </c>
      <c r="S644" s="849" t="s">
        <v>3442</v>
      </c>
      <c r="T644" s="853" t="s">
        <v>1929</v>
      </c>
      <c r="U644" s="853" t="s">
        <v>2024</v>
      </c>
      <c r="V644" s="795" t="s">
        <v>3228</v>
      </c>
      <c r="W644" s="850"/>
    </row>
    <row r="645" spans="1:23" x14ac:dyDescent="0.2">
      <c r="A645" s="849" t="s">
        <v>4412</v>
      </c>
      <c r="B645" s="850">
        <v>4</v>
      </c>
      <c r="C645" s="850">
        <v>6</v>
      </c>
      <c r="D645" s="850">
        <v>10</v>
      </c>
      <c r="E645" s="850">
        <v>3</v>
      </c>
      <c r="F645" s="850">
        <v>6</v>
      </c>
      <c r="G645" s="850">
        <v>11</v>
      </c>
      <c r="H645" s="850">
        <v>1</v>
      </c>
      <c r="I645" s="851" t="s">
        <v>3303</v>
      </c>
      <c r="J645" s="851" t="s">
        <v>1534</v>
      </c>
      <c r="K645" s="850" t="s">
        <v>1700</v>
      </c>
      <c r="L645" s="852" t="s">
        <v>1809</v>
      </c>
      <c r="M645" s="849" t="s">
        <v>3351</v>
      </c>
      <c r="N645" s="852" t="s">
        <v>1687</v>
      </c>
      <c r="O645" s="849" t="s">
        <v>3351</v>
      </c>
      <c r="P645" s="852" t="s">
        <v>1692</v>
      </c>
      <c r="Q645" s="849" t="s">
        <v>3442</v>
      </c>
      <c r="R645" s="852" t="s">
        <v>1701</v>
      </c>
      <c r="S645" s="849" t="s">
        <v>3442</v>
      </c>
      <c r="T645" s="853" t="s">
        <v>1929</v>
      </c>
      <c r="U645" s="853" t="s">
        <v>2024</v>
      </c>
      <c r="V645" s="795" t="s">
        <v>3228</v>
      </c>
      <c r="W645" s="850"/>
    </row>
    <row r="646" spans="1:23" x14ac:dyDescent="0.2">
      <c r="A646" s="849" t="s">
        <v>4413</v>
      </c>
      <c r="B646" s="850">
        <v>5</v>
      </c>
      <c r="C646" s="850">
        <v>8</v>
      </c>
      <c r="D646" s="850">
        <v>15</v>
      </c>
      <c r="E646" s="850">
        <v>4</v>
      </c>
      <c r="F646" s="850">
        <v>8</v>
      </c>
      <c r="G646" s="850">
        <v>14</v>
      </c>
      <c r="H646" s="850">
        <v>1</v>
      </c>
      <c r="I646" s="851" t="s">
        <v>3303</v>
      </c>
      <c r="J646" s="851" t="s">
        <v>1534</v>
      </c>
      <c r="K646" s="850" t="s">
        <v>1700</v>
      </c>
      <c r="L646" s="852" t="s">
        <v>1809</v>
      </c>
      <c r="M646" s="849" t="s">
        <v>3351</v>
      </c>
      <c r="N646" s="852" t="s">
        <v>1687</v>
      </c>
      <c r="O646" s="849" t="s">
        <v>3351</v>
      </c>
      <c r="P646" s="852" t="s">
        <v>1692</v>
      </c>
      <c r="Q646" s="849" t="s">
        <v>3442</v>
      </c>
      <c r="R646" s="852" t="s">
        <v>1701</v>
      </c>
      <c r="S646" s="849" t="s">
        <v>3442</v>
      </c>
      <c r="T646" s="853" t="s">
        <v>1929</v>
      </c>
      <c r="U646" s="853" t="s">
        <v>2024</v>
      </c>
      <c r="V646" s="850"/>
      <c r="W646" s="850"/>
    </row>
    <row r="647" spans="1:23" x14ac:dyDescent="0.2">
      <c r="A647" s="849" t="s">
        <v>4414</v>
      </c>
      <c r="B647" s="850">
        <v>8</v>
      </c>
      <c r="C647" s="850">
        <v>11</v>
      </c>
      <c r="D647" s="850">
        <v>20</v>
      </c>
      <c r="E647" s="850">
        <v>6</v>
      </c>
      <c r="F647" s="850">
        <v>12</v>
      </c>
      <c r="G647" s="850">
        <v>21</v>
      </c>
      <c r="H647" s="850">
        <v>1</v>
      </c>
      <c r="I647" s="851" t="s">
        <v>3303</v>
      </c>
      <c r="J647" s="851" t="s">
        <v>1534</v>
      </c>
      <c r="K647" s="850" t="s">
        <v>1700</v>
      </c>
      <c r="L647" s="852" t="s">
        <v>1809</v>
      </c>
      <c r="M647" s="849" t="s">
        <v>3351</v>
      </c>
      <c r="N647" s="852" t="s">
        <v>1687</v>
      </c>
      <c r="O647" s="849" t="s">
        <v>3351</v>
      </c>
      <c r="P647" s="852" t="s">
        <v>1692</v>
      </c>
      <c r="Q647" s="849" t="s">
        <v>3442</v>
      </c>
      <c r="R647" s="852" t="s">
        <v>1701</v>
      </c>
      <c r="S647" s="849" t="s">
        <v>3442</v>
      </c>
      <c r="T647" s="853" t="s">
        <v>1929</v>
      </c>
      <c r="U647" s="853" t="s">
        <v>2024</v>
      </c>
      <c r="V647" s="795" t="s">
        <v>3228</v>
      </c>
      <c r="W647" s="850"/>
    </row>
    <row r="648" spans="1:23" x14ac:dyDescent="0.2">
      <c r="A648" s="849" t="s">
        <v>4415</v>
      </c>
      <c r="B648" s="850">
        <v>12</v>
      </c>
      <c r="C648" s="850">
        <v>15</v>
      </c>
      <c r="D648" s="850">
        <v>25</v>
      </c>
      <c r="E648" s="850">
        <v>8</v>
      </c>
      <c r="F648" s="850">
        <v>16</v>
      </c>
      <c r="G648" s="850">
        <v>28</v>
      </c>
      <c r="H648" s="850">
        <v>1</v>
      </c>
      <c r="I648" s="851" t="s">
        <v>3303</v>
      </c>
      <c r="J648" s="851" t="s">
        <v>1534</v>
      </c>
      <c r="K648" s="850" t="s">
        <v>1700</v>
      </c>
      <c r="L648" s="852" t="s">
        <v>1809</v>
      </c>
      <c r="M648" s="849" t="s">
        <v>3351</v>
      </c>
      <c r="N648" s="852" t="s">
        <v>1687</v>
      </c>
      <c r="O648" s="849" t="s">
        <v>3351</v>
      </c>
      <c r="P648" s="852" t="s">
        <v>1692</v>
      </c>
      <c r="Q648" s="849" t="s">
        <v>3442</v>
      </c>
      <c r="R648" s="852" t="s">
        <v>1701</v>
      </c>
      <c r="S648" s="849" t="s">
        <v>3442</v>
      </c>
      <c r="T648" s="853" t="s">
        <v>1929</v>
      </c>
      <c r="U648" s="853" t="s">
        <v>2024</v>
      </c>
      <c r="V648" s="795" t="s">
        <v>3228</v>
      </c>
      <c r="W648" s="850"/>
    </row>
    <row r="649" spans="1:23" x14ac:dyDescent="0.2">
      <c r="A649" s="849" t="s">
        <v>4416</v>
      </c>
      <c r="B649" s="850">
        <v>14</v>
      </c>
      <c r="C649" s="850">
        <v>18</v>
      </c>
      <c r="D649" s="850">
        <v>30</v>
      </c>
      <c r="E649" s="850">
        <v>10</v>
      </c>
      <c r="F649" s="850">
        <v>20</v>
      </c>
      <c r="G649" s="850">
        <v>35</v>
      </c>
      <c r="H649" s="850">
        <v>1</v>
      </c>
      <c r="I649" s="851" t="s">
        <v>3303</v>
      </c>
      <c r="J649" s="851" t="s">
        <v>1534</v>
      </c>
      <c r="K649" s="850" t="s">
        <v>1700</v>
      </c>
      <c r="L649" s="852" t="s">
        <v>1809</v>
      </c>
      <c r="M649" s="849" t="s">
        <v>3351</v>
      </c>
      <c r="N649" s="852" t="s">
        <v>1687</v>
      </c>
      <c r="O649" s="849" t="s">
        <v>3351</v>
      </c>
      <c r="P649" s="852" t="s">
        <v>1692</v>
      </c>
      <c r="Q649" s="849" t="s">
        <v>3442</v>
      </c>
      <c r="R649" s="852" t="s">
        <v>1701</v>
      </c>
      <c r="S649" s="849" t="s">
        <v>3442</v>
      </c>
      <c r="T649" s="853" t="s">
        <v>1929</v>
      </c>
      <c r="U649" s="853" t="s">
        <v>2024</v>
      </c>
      <c r="V649" s="795" t="s">
        <v>3228</v>
      </c>
      <c r="W649" s="850"/>
    </row>
    <row r="650" spans="1:23" x14ac:dyDescent="0.2">
      <c r="A650" s="849" t="s">
        <v>4417</v>
      </c>
      <c r="B650" s="850">
        <v>18</v>
      </c>
      <c r="C650" s="850">
        <v>22</v>
      </c>
      <c r="D650" s="850">
        <v>35</v>
      </c>
      <c r="E650" s="850">
        <v>12</v>
      </c>
      <c r="F650" s="850">
        <v>24</v>
      </c>
      <c r="G650" s="850">
        <v>42</v>
      </c>
      <c r="H650" s="850">
        <v>2</v>
      </c>
      <c r="I650" s="851" t="s">
        <v>3303</v>
      </c>
      <c r="J650" s="851" t="s">
        <v>1534</v>
      </c>
      <c r="K650" s="850" t="s">
        <v>1700</v>
      </c>
      <c r="L650" s="852" t="s">
        <v>1809</v>
      </c>
      <c r="M650" s="849" t="s">
        <v>3351</v>
      </c>
      <c r="N650" s="852" t="s">
        <v>1687</v>
      </c>
      <c r="O650" s="849" t="s">
        <v>3351</v>
      </c>
      <c r="P650" s="852" t="s">
        <v>1692</v>
      </c>
      <c r="Q650" s="849" t="s">
        <v>3442</v>
      </c>
      <c r="R650" s="852" t="s">
        <v>1701</v>
      </c>
      <c r="S650" s="849" t="s">
        <v>3442</v>
      </c>
      <c r="T650" s="853" t="s">
        <v>1929</v>
      </c>
      <c r="U650" s="853" t="s">
        <v>2024</v>
      </c>
      <c r="V650" s="795" t="s">
        <v>3228</v>
      </c>
      <c r="W650" s="850"/>
    </row>
    <row r="651" spans="1:23" x14ac:dyDescent="0.2">
      <c r="A651" s="849" t="s">
        <v>4418</v>
      </c>
      <c r="B651" s="850">
        <v>22</v>
      </c>
      <c r="C651" s="850">
        <v>26</v>
      </c>
      <c r="D651" s="850">
        <v>40</v>
      </c>
      <c r="E651" s="850">
        <v>14</v>
      </c>
      <c r="F651" s="850">
        <v>28</v>
      </c>
      <c r="G651" s="850">
        <v>49</v>
      </c>
      <c r="H651" s="850">
        <v>2</v>
      </c>
      <c r="I651" s="851" t="s">
        <v>3303</v>
      </c>
      <c r="J651" s="851" t="s">
        <v>1534</v>
      </c>
      <c r="K651" s="850" t="s">
        <v>1700</v>
      </c>
      <c r="L651" s="852" t="s">
        <v>1809</v>
      </c>
      <c r="M651" s="849" t="s">
        <v>3351</v>
      </c>
      <c r="N651" s="852" t="s">
        <v>1687</v>
      </c>
      <c r="O651" s="849" t="s">
        <v>3351</v>
      </c>
      <c r="P651" s="852" t="s">
        <v>1692</v>
      </c>
      <c r="Q651" s="849" t="s">
        <v>3442</v>
      </c>
      <c r="R651" s="852" t="s">
        <v>1701</v>
      </c>
      <c r="S651" s="849" t="s">
        <v>3442</v>
      </c>
      <c r="T651" s="853" t="s">
        <v>1929</v>
      </c>
      <c r="U651" s="853" t="s">
        <v>2024</v>
      </c>
      <c r="V651" s="795" t="s">
        <v>3228</v>
      </c>
      <c r="W651" s="850"/>
    </row>
    <row r="652" spans="1:23" x14ac:dyDescent="0.2">
      <c r="A652" s="849" t="s">
        <v>4419</v>
      </c>
      <c r="B652" s="850">
        <v>26</v>
      </c>
      <c r="C652" s="850">
        <v>32</v>
      </c>
      <c r="D652" s="850">
        <v>45</v>
      </c>
      <c r="E652" s="850">
        <v>16</v>
      </c>
      <c r="F652" s="850">
        <v>32</v>
      </c>
      <c r="G652" s="850">
        <v>56</v>
      </c>
      <c r="H652" s="850">
        <v>3</v>
      </c>
      <c r="I652" s="851" t="s">
        <v>3303</v>
      </c>
      <c r="J652" s="851" t="s">
        <v>1534</v>
      </c>
      <c r="K652" s="850" t="s">
        <v>1700</v>
      </c>
      <c r="L652" s="852" t="s">
        <v>1809</v>
      </c>
      <c r="M652" s="849" t="s">
        <v>3351</v>
      </c>
      <c r="N652" s="852" t="s">
        <v>1687</v>
      </c>
      <c r="O652" s="849" t="s">
        <v>3351</v>
      </c>
      <c r="P652" s="852" t="s">
        <v>1692</v>
      </c>
      <c r="Q652" s="849" t="s">
        <v>3442</v>
      </c>
      <c r="R652" s="852" t="s">
        <v>1701</v>
      </c>
      <c r="S652" s="849" t="s">
        <v>3442</v>
      </c>
      <c r="T652" s="853" t="s">
        <v>1929</v>
      </c>
      <c r="U652" s="853" t="s">
        <v>2024</v>
      </c>
      <c r="V652" s="795" t="s">
        <v>3228</v>
      </c>
      <c r="W652" s="850"/>
    </row>
    <row r="653" spans="1:23" x14ac:dyDescent="0.2">
      <c r="A653" s="849" t="s">
        <v>4420</v>
      </c>
      <c r="B653" s="850">
        <v>30</v>
      </c>
      <c r="C653" s="850">
        <v>36</v>
      </c>
      <c r="D653" s="850">
        <v>50</v>
      </c>
      <c r="E653" s="850">
        <v>18</v>
      </c>
      <c r="F653" s="850">
        <v>36</v>
      </c>
      <c r="G653" s="850">
        <v>63</v>
      </c>
      <c r="H653" s="850">
        <v>3</v>
      </c>
      <c r="I653" s="851" t="s">
        <v>3303</v>
      </c>
      <c r="J653" s="851" t="s">
        <v>1534</v>
      </c>
      <c r="K653" s="850" t="s">
        <v>1700</v>
      </c>
      <c r="L653" s="852" t="s">
        <v>1809</v>
      </c>
      <c r="M653" s="849" t="s">
        <v>3351</v>
      </c>
      <c r="N653" s="852" t="s">
        <v>1687</v>
      </c>
      <c r="O653" s="849" t="s">
        <v>3351</v>
      </c>
      <c r="P653" s="852" t="s">
        <v>1692</v>
      </c>
      <c r="Q653" s="849" t="s">
        <v>3442</v>
      </c>
      <c r="R653" s="852" t="s">
        <v>1701</v>
      </c>
      <c r="S653" s="849" t="s">
        <v>3442</v>
      </c>
      <c r="T653" s="853" t="s">
        <v>1929</v>
      </c>
      <c r="U653" s="853" t="s">
        <v>2024</v>
      </c>
      <c r="V653" s="795" t="s">
        <v>3228</v>
      </c>
      <c r="W653" s="850"/>
    </row>
    <row r="654" spans="1:23" x14ac:dyDescent="0.2">
      <c r="A654" s="855" t="s">
        <v>4421</v>
      </c>
      <c r="B654" s="856"/>
      <c r="C654" s="856"/>
      <c r="D654" s="856"/>
      <c r="E654" s="856"/>
      <c r="F654" s="856"/>
      <c r="G654" s="856"/>
      <c r="H654" s="856"/>
      <c r="I654" s="856"/>
      <c r="J654" s="856"/>
      <c r="K654" s="856"/>
      <c r="L654" s="857"/>
      <c r="M654" s="856"/>
      <c r="N654" s="856"/>
      <c r="O654" s="856"/>
      <c r="P654" s="856"/>
      <c r="Q654" s="856"/>
      <c r="R654" s="856"/>
      <c r="S654" s="856"/>
      <c r="T654" s="856"/>
      <c r="U654" s="856"/>
      <c r="V654" s="856"/>
      <c r="W654" s="850"/>
    </row>
    <row r="655" spans="1:23" x14ac:dyDescent="0.2">
      <c r="A655" s="849" t="s">
        <v>15</v>
      </c>
      <c r="B655" s="850">
        <v>8</v>
      </c>
      <c r="C655" s="850">
        <v>8</v>
      </c>
      <c r="D655" s="850">
        <v>30</v>
      </c>
      <c r="E655" s="850">
        <v>4</v>
      </c>
      <c r="F655" s="850">
        <v>8</v>
      </c>
      <c r="G655" s="850">
        <v>14</v>
      </c>
      <c r="H655" s="850">
        <v>1</v>
      </c>
      <c r="I655" s="850"/>
      <c r="J655" s="850"/>
      <c r="K655" s="850"/>
      <c r="L655" s="859"/>
      <c r="M655" s="850"/>
      <c r="N655" s="850"/>
      <c r="O655" s="850"/>
      <c r="P655" s="850"/>
      <c r="Q655" s="850"/>
      <c r="R655" s="850"/>
      <c r="S655" s="850"/>
      <c r="T655" s="850"/>
      <c r="U655" s="850"/>
      <c r="V655" s="850"/>
      <c r="W655" s="850"/>
    </row>
    <row r="656" spans="1:23" x14ac:dyDescent="0.2">
      <c r="A656" s="691" t="s">
        <v>3627</v>
      </c>
      <c r="B656" s="869"/>
      <c r="C656" s="869"/>
      <c r="D656" s="869"/>
      <c r="E656" s="869"/>
      <c r="F656" s="869"/>
      <c r="G656" s="869"/>
      <c r="H656" s="869"/>
      <c r="I656" s="869"/>
      <c r="J656" s="869"/>
      <c r="K656" s="869"/>
      <c r="L656" s="870"/>
      <c r="M656" s="869"/>
      <c r="N656" s="869"/>
      <c r="O656" s="869"/>
      <c r="P656" s="869"/>
      <c r="Q656" s="869"/>
      <c r="R656" s="869"/>
      <c r="S656" s="869"/>
      <c r="T656" s="869"/>
      <c r="U656" s="869"/>
      <c r="V656" s="869"/>
      <c r="W656" s="850"/>
    </row>
    <row r="657" spans="1:23" x14ac:dyDescent="0.2">
      <c r="A657" s="849" t="s">
        <v>4422</v>
      </c>
      <c r="B657" s="850">
        <v>3</v>
      </c>
      <c r="C657" s="850">
        <v>5</v>
      </c>
      <c r="D657" s="850">
        <v>10</v>
      </c>
      <c r="E657" s="850">
        <v>2</v>
      </c>
      <c r="F657" s="850">
        <v>4</v>
      </c>
      <c r="G657" s="850">
        <v>7</v>
      </c>
      <c r="H657" s="850">
        <v>1</v>
      </c>
      <c r="I657" s="851" t="s">
        <v>3308</v>
      </c>
      <c r="J657" s="851" t="s">
        <v>1534</v>
      </c>
      <c r="K657" s="850" t="s">
        <v>1700</v>
      </c>
      <c r="L657" s="852" t="s">
        <v>1809</v>
      </c>
      <c r="M657" s="849" t="s">
        <v>3351</v>
      </c>
      <c r="N657" s="852" t="s">
        <v>1687</v>
      </c>
      <c r="O657" s="849" t="s">
        <v>3351</v>
      </c>
      <c r="P657" s="852" t="s">
        <v>1692</v>
      </c>
      <c r="Q657" s="849" t="s">
        <v>3442</v>
      </c>
      <c r="R657" s="852" t="s">
        <v>1701</v>
      </c>
      <c r="S657" s="849" t="s">
        <v>3442</v>
      </c>
      <c r="T657" s="853" t="s">
        <v>1929</v>
      </c>
      <c r="U657" s="853" t="s">
        <v>2024</v>
      </c>
      <c r="V657" s="795" t="s">
        <v>3228</v>
      </c>
      <c r="W657" s="850"/>
    </row>
    <row r="658" spans="1:23" x14ac:dyDescent="0.2">
      <c r="A658" s="849" t="s">
        <v>4423</v>
      </c>
      <c r="B658" s="850">
        <v>5</v>
      </c>
      <c r="C658" s="850">
        <v>8</v>
      </c>
      <c r="D658" s="850">
        <v>20</v>
      </c>
      <c r="E658" s="850">
        <v>4</v>
      </c>
      <c r="F658" s="850">
        <v>8</v>
      </c>
      <c r="G658" s="850">
        <v>14</v>
      </c>
      <c r="H658" s="850">
        <v>1</v>
      </c>
      <c r="I658" s="851" t="s">
        <v>3308</v>
      </c>
      <c r="J658" s="851" t="s">
        <v>1534</v>
      </c>
      <c r="K658" s="850" t="s">
        <v>1700</v>
      </c>
      <c r="L658" s="852" t="s">
        <v>1809</v>
      </c>
      <c r="M658" s="849" t="s">
        <v>3351</v>
      </c>
      <c r="N658" s="852" t="s">
        <v>1687</v>
      </c>
      <c r="O658" s="849" t="s">
        <v>3351</v>
      </c>
      <c r="P658" s="852" t="s">
        <v>1692</v>
      </c>
      <c r="Q658" s="849" t="s">
        <v>3442</v>
      </c>
      <c r="R658" s="852" t="s">
        <v>1701</v>
      </c>
      <c r="S658" s="849" t="s">
        <v>3442</v>
      </c>
      <c r="T658" s="853" t="s">
        <v>1929</v>
      </c>
      <c r="U658" s="853" t="s">
        <v>2024</v>
      </c>
      <c r="V658" s="795" t="s">
        <v>3228</v>
      </c>
      <c r="W658" s="850"/>
    </row>
    <row r="659" spans="1:23" x14ac:dyDescent="0.2">
      <c r="A659" s="849" t="s">
        <v>4424</v>
      </c>
      <c r="B659" s="850">
        <v>7</v>
      </c>
      <c r="C659" s="850">
        <v>9</v>
      </c>
      <c r="D659" s="850">
        <v>25</v>
      </c>
      <c r="E659" s="850">
        <v>6</v>
      </c>
      <c r="F659" s="850">
        <v>12</v>
      </c>
      <c r="G659" s="850">
        <v>21</v>
      </c>
      <c r="H659" s="850">
        <v>1</v>
      </c>
      <c r="I659" s="851" t="s">
        <v>3308</v>
      </c>
      <c r="J659" s="851" t="s">
        <v>1534</v>
      </c>
      <c r="K659" s="850" t="s">
        <v>1700</v>
      </c>
      <c r="L659" s="852" t="s">
        <v>1809</v>
      </c>
      <c r="M659" s="849" t="s">
        <v>3351</v>
      </c>
      <c r="N659" s="852" t="s">
        <v>1687</v>
      </c>
      <c r="O659" s="849" t="s">
        <v>3351</v>
      </c>
      <c r="P659" s="852" t="s">
        <v>1692</v>
      </c>
      <c r="Q659" s="849" t="s">
        <v>3442</v>
      </c>
      <c r="R659" s="852" t="s">
        <v>1701</v>
      </c>
      <c r="S659" s="849" t="s">
        <v>3442</v>
      </c>
      <c r="T659" s="853" t="s">
        <v>1929</v>
      </c>
      <c r="U659" s="853" t="s">
        <v>2024</v>
      </c>
      <c r="V659" s="795" t="s">
        <v>3228</v>
      </c>
      <c r="W659" s="850"/>
    </row>
    <row r="660" spans="1:23" x14ac:dyDescent="0.2">
      <c r="A660" s="849" t="s">
        <v>4425</v>
      </c>
      <c r="B660" s="850">
        <v>9</v>
      </c>
      <c r="C660" s="850">
        <v>12</v>
      </c>
      <c r="D660" s="850">
        <v>35</v>
      </c>
      <c r="E660" s="850">
        <v>8</v>
      </c>
      <c r="F660" s="850">
        <v>16</v>
      </c>
      <c r="G660" s="850">
        <v>28</v>
      </c>
      <c r="H660" s="850">
        <v>2</v>
      </c>
      <c r="I660" s="851" t="s">
        <v>3308</v>
      </c>
      <c r="J660" s="851" t="s">
        <v>1534</v>
      </c>
      <c r="K660" s="850" t="s">
        <v>1700</v>
      </c>
      <c r="L660" s="852" t="s">
        <v>1809</v>
      </c>
      <c r="M660" s="849" t="s">
        <v>3351</v>
      </c>
      <c r="N660" s="852" t="s">
        <v>1687</v>
      </c>
      <c r="O660" s="849" t="s">
        <v>3351</v>
      </c>
      <c r="P660" s="852" t="s">
        <v>1692</v>
      </c>
      <c r="Q660" s="849" t="s">
        <v>3442</v>
      </c>
      <c r="R660" s="852" t="s">
        <v>1701</v>
      </c>
      <c r="S660" s="849" t="s">
        <v>3442</v>
      </c>
      <c r="T660" s="853" t="s">
        <v>1929</v>
      </c>
      <c r="U660" s="853" t="s">
        <v>2024</v>
      </c>
      <c r="V660" s="795" t="s">
        <v>3228</v>
      </c>
      <c r="W660" s="850"/>
    </row>
    <row r="661" spans="1:23" x14ac:dyDescent="0.2">
      <c r="A661" s="849" t="s">
        <v>4426</v>
      </c>
      <c r="B661" s="850">
        <v>12</v>
      </c>
      <c r="C661" s="850">
        <v>15</v>
      </c>
      <c r="D661" s="850">
        <v>50</v>
      </c>
      <c r="E661" s="850">
        <v>10</v>
      </c>
      <c r="F661" s="850">
        <v>20</v>
      </c>
      <c r="G661" s="850">
        <v>35</v>
      </c>
      <c r="H661" s="850">
        <v>2</v>
      </c>
      <c r="I661" s="851" t="s">
        <v>3308</v>
      </c>
      <c r="J661" s="851" t="s">
        <v>1534</v>
      </c>
      <c r="K661" s="850" t="s">
        <v>1700</v>
      </c>
      <c r="L661" s="852" t="s">
        <v>1809</v>
      </c>
      <c r="M661" s="849" t="s">
        <v>3351</v>
      </c>
      <c r="N661" s="852" t="s">
        <v>1687</v>
      </c>
      <c r="O661" s="849" t="s">
        <v>3351</v>
      </c>
      <c r="P661" s="852" t="s">
        <v>1692</v>
      </c>
      <c r="Q661" s="849" t="s">
        <v>3442</v>
      </c>
      <c r="R661" s="852" t="s">
        <v>1701</v>
      </c>
      <c r="S661" s="849" t="s">
        <v>3442</v>
      </c>
      <c r="T661" s="853" t="s">
        <v>1929</v>
      </c>
      <c r="U661" s="853" t="s">
        <v>2024</v>
      </c>
      <c r="V661" s="795" t="s">
        <v>3228</v>
      </c>
      <c r="W661" s="850"/>
    </row>
    <row r="662" spans="1:23" x14ac:dyDescent="0.2">
      <c r="A662" s="849" t="s">
        <v>4427</v>
      </c>
      <c r="B662" s="850">
        <v>16</v>
      </c>
      <c r="C662" s="850">
        <v>20</v>
      </c>
      <c r="D662" s="850">
        <v>60</v>
      </c>
      <c r="E662" s="850">
        <v>12</v>
      </c>
      <c r="F662" s="850">
        <v>24</v>
      </c>
      <c r="G662" s="850">
        <v>42</v>
      </c>
      <c r="H662" s="850">
        <v>3</v>
      </c>
      <c r="I662" s="851" t="s">
        <v>3308</v>
      </c>
      <c r="J662" s="851" t="s">
        <v>1534</v>
      </c>
      <c r="K662" s="850" t="s">
        <v>1700</v>
      </c>
      <c r="L662" s="852" t="s">
        <v>1809</v>
      </c>
      <c r="M662" s="849" t="s">
        <v>3351</v>
      </c>
      <c r="N662" s="852" t="s">
        <v>1687</v>
      </c>
      <c r="O662" s="849" t="s">
        <v>3351</v>
      </c>
      <c r="P662" s="852" t="s">
        <v>1692</v>
      </c>
      <c r="Q662" s="849" t="s">
        <v>3442</v>
      </c>
      <c r="R662" s="852" t="s">
        <v>1701</v>
      </c>
      <c r="S662" s="849" t="s">
        <v>3442</v>
      </c>
      <c r="T662" s="853" t="s">
        <v>1929</v>
      </c>
      <c r="U662" s="853" t="s">
        <v>2024</v>
      </c>
      <c r="V662" s="795" t="s">
        <v>3228</v>
      </c>
      <c r="W662" s="850"/>
    </row>
    <row r="663" spans="1:23" x14ac:dyDescent="0.2">
      <c r="A663" s="849" t="s">
        <v>4428</v>
      </c>
      <c r="B663" s="850">
        <v>18</v>
      </c>
      <c r="C663" s="850">
        <v>22</v>
      </c>
      <c r="D663" s="850">
        <v>65</v>
      </c>
      <c r="E663" s="850">
        <v>14</v>
      </c>
      <c r="F663" s="850">
        <v>28</v>
      </c>
      <c r="G663" s="850">
        <v>49</v>
      </c>
      <c r="H663" s="850">
        <v>3</v>
      </c>
      <c r="I663" s="851" t="s">
        <v>3308</v>
      </c>
      <c r="J663" s="851" t="s">
        <v>1534</v>
      </c>
      <c r="K663" s="850" t="s">
        <v>1700</v>
      </c>
      <c r="L663" s="852" t="s">
        <v>1809</v>
      </c>
      <c r="M663" s="849" t="s">
        <v>3351</v>
      </c>
      <c r="N663" s="852" t="s">
        <v>1687</v>
      </c>
      <c r="O663" s="849" t="s">
        <v>3351</v>
      </c>
      <c r="P663" s="852" t="s">
        <v>1692</v>
      </c>
      <c r="Q663" s="849" t="s">
        <v>3442</v>
      </c>
      <c r="R663" s="852" t="s">
        <v>1701</v>
      </c>
      <c r="S663" s="849" t="s">
        <v>3442</v>
      </c>
      <c r="T663" s="853" t="s">
        <v>1929</v>
      </c>
      <c r="U663" s="853" t="s">
        <v>2024</v>
      </c>
      <c r="V663" s="795" t="s">
        <v>3228</v>
      </c>
      <c r="W663" s="850"/>
    </row>
    <row r="664" spans="1:23" x14ac:dyDescent="0.2">
      <c r="A664" s="855" t="s">
        <v>4421</v>
      </c>
      <c r="B664" s="856"/>
      <c r="C664" s="856"/>
      <c r="D664" s="856"/>
      <c r="E664" s="856"/>
      <c r="F664" s="856"/>
      <c r="G664" s="856"/>
      <c r="H664" s="856"/>
      <c r="I664" s="856"/>
      <c r="J664" s="856"/>
      <c r="K664" s="856"/>
      <c r="L664" s="857"/>
      <c r="M664" s="856"/>
      <c r="N664" s="856"/>
      <c r="O664" s="856"/>
      <c r="P664" s="856"/>
      <c r="Q664" s="856"/>
      <c r="R664" s="856"/>
      <c r="S664" s="856"/>
      <c r="T664" s="856"/>
      <c r="U664" s="856"/>
      <c r="V664" s="856"/>
      <c r="W664" s="850"/>
    </row>
    <row r="665" spans="1:23" x14ac:dyDescent="0.2">
      <c r="A665" s="849" t="s">
        <v>15</v>
      </c>
      <c r="B665" s="850">
        <v>8</v>
      </c>
      <c r="C665" s="850">
        <v>8</v>
      </c>
      <c r="D665" s="850">
        <v>30</v>
      </c>
      <c r="E665" s="850">
        <v>4</v>
      </c>
      <c r="F665" s="850">
        <v>8</v>
      </c>
      <c r="G665" s="850">
        <v>14</v>
      </c>
      <c r="H665" s="850">
        <v>1</v>
      </c>
      <c r="I665" s="850"/>
      <c r="J665" s="850"/>
      <c r="K665" s="850"/>
      <c r="L665" s="859"/>
      <c r="M665" s="850"/>
      <c r="N665" s="850"/>
      <c r="O665" s="850"/>
      <c r="P665" s="850"/>
      <c r="Q665" s="850"/>
      <c r="R665" s="850"/>
      <c r="S665" s="850"/>
      <c r="T665" s="850"/>
      <c r="U665" s="850"/>
      <c r="V665" s="850"/>
      <c r="W665" s="850"/>
    </row>
    <row r="666" spans="1:23" x14ac:dyDescent="0.2">
      <c r="A666" s="691" t="s">
        <v>3630</v>
      </c>
      <c r="B666" s="869"/>
      <c r="C666" s="869"/>
      <c r="D666" s="869"/>
      <c r="E666" s="869"/>
      <c r="F666" s="869"/>
      <c r="G666" s="869"/>
      <c r="H666" s="869"/>
      <c r="I666" s="869"/>
      <c r="J666" s="869"/>
      <c r="K666" s="869"/>
      <c r="L666" s="870"/>
      <c r="M666" s="869"/>
      <c r="N666" s="869"/>
      <c r="O666" s="869"/>
      <c r="P666" s="869"/>
      <c r="Q666" s="869"/>
      <c r="R666" s="869"/>
      <c r="S666" s="869"/>
      <c r="T666" s="869"/>
      <c r="U666" s="869"/>
      <c r="V666" s="869"/>
      <c r="W666" s="850"/>
    </row>
    <row r="667" spans="1:23" x14ac:dyDescent="0.2">
      <c r="A667" s="849" t="s">
        <v>4429</v>
      </c>
      <c r="B667" s="850">
        <v>12</v>
      </c>
      <c r="C667" s="850">
        <v>15</v>
      </c>
      <c r="D667" s="850">
        <v>30</v>
      </c>
      <c r="E667" s="850">
        <v>8</v>
      </c>
      <c r="F667" s="850">
        <v>16</v>
      </c>
      <c r="G667" s="850">
        <v>28</v>
      </c>
      <c r="H667" s="850">
        <v>2</v>
      </c>
      <c r="I667" s="851" t="s">
        <v>3303</v>
      </c>
      <c r="J667" s="851" t="s">
        <v>1881</v>
      </c>
      <c r="K667" s="850" t="s">
        <v>1700</v>
      </c>
      <c r="L667" s="852" t="s">
        <v>1682</v>
      </c>
      <c r="M667" s="849" t="s">
        <v>3352</v>
      </c>
      <c r="N667" s="852" t="s">
        <v>1687</v>
      </c>
      <c r="O667" s="849" t="s">
        <v>3352</v>
      </c>
      <c r="P667" s="852" t="s">
        <v>1692</v>
      </c>
      <c r="Q667" s="849" t="s">
        <v>3352</v>
      </c>
      <c r="R667" s="852" t="s">
        <v>1701</v>
      </c>
      <c r="S667" s="849" t="s">
        <v>3442</v>
      </c>
      <c r="T667" s="853" t="s">
        <v>1925</v>
      </c>
      <c r="U667" s="853" t="s">
        <v>2019</v>
      </c>
      <c r="V667" s="853" t="s">
        <v>2020</v>
      </c>
      <c r="W667" s="850"/>
    </row>
    <row r="668" spans="1:23" x14ac:dyDescent="0.2">
      <c r="A668" s="855" t="s">
        <v>4117</v>
      </c>
      <c r="B668" s="856"/>
      <c r="C668" s="856"/>
      <c r="D668" s="856"/>
      <c r="E668" s="856"/>
      <c r="F668" s="856"/>
      <c r="G668" s="856"/>
      <c r="H668" s="856"/>
      <c r="I668" s="856"/>
      <c r="J668" s="856"/>
      <c r="K668" s="856"/>
      <c r="L668" s="857"/>
      <c r="M668" s="856"/>
      <c r="N668" s="856"/>
      <c r="O668" s="856"/>
      <c r="P668" s="856"/>
      <c r="Q668" s="856"/>
      <c r="R668" s="856"/>
      <c r="S668" s="856"/>
      <c r="T668" s="856"/>
      <c r="U668" s="856"/>
      <c r="V668" s="856"/>
      <c r="W668" s="850"/>
    </row>
    <row r="669" spans="1:23" x14ac:dyDescent="0.2">
      <c r="A669" s="849" t="s">
        <v>4118</v>
      </c>
      <c r="B669" s="850">
        <v>2</v>
      </c>
      <c r="C669" s="850">
        <v>2</v>
      </c>
      <c r="D669" s="850">
        <v>10</v>
      </c>
      <c r="E669" s="850">
        <v>2</v>
      </c>
      <c r="F669" s="850">
        <v>4</v>
      </c>
      <c r="G669" s="850">
        <v>7</v>
      </c>
      <c r="H669" s="850">
        <v>1</v>
      </c>
      <c r="I669" s="850"/>
      <c r="J669" s="850"/>
      <c r="K669" s="850"/>
      <c r="L669" s="859"/>
      <c r="M669" s="850"/>
      <c r="N669" s="850"/>
      <c r="O669" s="850"/>
      <c r="P669" s="850"/>
      <c r="Q669" s="850"/>
      <c r="R669" s="850"/>
      <c r="S669" s="850"/>
      <c r="T669" s="850"/>
      <c r="U669" s="850"/>
      <c r="V669" s="850"/>
      <c r="W669" s="850"/>
    </row>
    <row r="670" spans="1:23" x14ac:dyDescent="0.2">
      <c r="A670" s="855" t="s">
        <v>4430</v>
      </c>
      <c r="B670" s="856"/>
      <c r="C670" s="856"/>
      <c r="D670" s="856"/>
      <c r="E670" s="856"/>
      <c r="F670" s="856"/>
      <c r="G670" s="856"/>
      <c r="H670" s="856"/>
      <c r="I670" s="856"/>
      <c r="J670" s="856"/>
      <c r="K670" s="856"/>
      <c r="L670" s="857"/>
      <c r="M670" s="856"/>
      <c r="N670" s="856"/>
      <c r="O670" s="856"/>
      <c r="P670" s="856"/>
      <c r="Q670" s="856"/>
      <c r="R670" s="856"/>
      <c r="S670" s="856"/>
      <c r="T670" s="856"/>
      <c r="U670" s="856"/>
      <c r="V670" s="856"/>
      <c r="W670" s="850"/>
    </row>
    <row r="671" spans="1:23" x14ac:dyDescent="0.2">
      <c r="A671" s="849" t="s">
        <v>4431</v>
      </c>
      <c r="B671" s="850">
        <v>4</v>
      </c>
      <c r="C671" s="850">
        <v>4</v>
      </c>
      <c r="D671" s="850">
        <v>20</v>
      </c>
      <c r="E671" s="850">
        <v>1</v>
      </c>
      <c r="F671" s="850">
        <v>2</v>
      </c>
      <c r="G671" s="850">
        <v>4</v>
      </c>
      <c r="H671" s="850">
        <v>1</v>
      </c>
      <c r="I671" s="850"/>
      <c r="J671" s="850"/>
      <c r="K671" s="850"/>
      <c r="L671" s="859"/>
      <c r="M671" s="850"/>
      <c r="N671" s="850"/>
      <c r="O671" s="850"/>
      <c r="P671" s="850"/>
      <c r="Q671" s="850"/>
      <c r="R671" s="850"/>
      <c r="S671" s="850"/>
      <c r="T671" s="850"/>
      <c r="U671" s="850"/>
      <c r="V671" s="850"/>
      <c r="W671" s="850"/>
    </row>
    <row r="672" spans="1:23" x14ac:dyDescent="0.2">
      <c r="A672" s="878" t="s">
        <v>4432</v>
      </c>
      <c r="B672" s="879"/>
      <c r="C672" s="879"/>
      <c r="D672" s="879"/>
      <c r="E672" s="879"/>
      <c r="F672" s="879"/>
      <c r="G672" s="879"/>
      <c r="H672" s="879"/>
      <c r="I672" s="879"/>
      <c r="J672" s="879"/>
      <c r="K672" s="879"/>
      <c r="L672" s="880"/>
      <c r="M672" s="879"/>
      <c r="N672" s="879"/>
      <c r="O672" s="879"/>
      <c r="P672" s="879"/>
      <c r="Q672" s="879"/>
      <c r="R672" s="879"/>
      <c r="S672" s="879"/>
      <c r="T672" s="879"/>
      <c r="U672" s="879"/>
      <c r="V672" s="879"/>
      <c r="W672" s="850"/>
    </row>
    <row r="673" spans="1:23" x14ac:dyDescent="0.2">
      <c r="A673" s="881" t="s">
        <v>4433</v>
      </c>
      <c r="B673" s="882"/>
      <c r="C673" s="882"/>
      <c r="D673" s="882"/>
      <c r="E673" s="882"/>
      <c r="F673" s="882"/>
      <c r="G673" s="882"/>
      <c r="H673" s="882"/>
      <c r="I673" s="882"/>
      <c r="J673" s="882"/>
      <c r="K673" s="882"/>
      <c r="L673" s="883"/>
      <c r="M673" s="882"/>
      <c r="N673" s="882"/>
      <c r="O673" s="882"/>
      <c r="P673" s="882"/>
      <c r="Q673" s="882"/>
      <c r="R673" s="882"/>
      <c r="S673" s="882"/>
      <c r="T673" s="882"/>
      <c r="U673" s="882"/>
      <c r="V673" s="882"/>
      <c r="W673" s="850"/>
    </row>
    <row r="674" spans="1:23" x14ac:dyDescent="0.2">
      <c r="A674" s="849" t="s">
        <v>4434</v>
      </c>
      <c r="B674" s="850"/>
      <c r="C674" s="850"/>
      <c r="D674" s="850">
        <v>-5</v>
      </c>
      <c r="E674" s="850"/>
      <c r="F674" s="850"/>
      <c r="G674" s="850"/>
      <c r="H674" s="850">
        <v>1</v>
      </c>
      <c r="I674" s="850"/>
      <c r="J674" s="851" t="s">
        <v>4435</v>
      </c>
      <c r="K674" s="850"/>
      <c r="L674" s="859"/>
      <c r="M674" s="850"/>
      <c r="N674" s="850"/>
      <c r="O674" s="850"/>
      <c r="P674" s="850"/>
      <c r="Q674" s="850"/>
      <c r="R674" s="850"/>
      <c r="S674" s="850"/>
      <c r="T674" s="850"/>
      <c r="U674" s="850"/>
      <c r="V674" s="850"/>
      <c r="W674" s="850"/>
    </row>
    <row r="675" spans="1:23" x14ac:dyDescent="0.2">
      <c r="A675" s="849" t="s">
        <v>4436</v>
      </c>
      <c r="B675" s="850"/>
      <c r="C675" s="850"/>
      <c r="D675" s="850">
        <v>-10</v>
      </c>
      <c r="E675" s="850"/>
      <c r="F675" s="850"/>
      <c r="G675" s="850"/>
      <c r="H675" s="850">
        <v>1</v>
      </c>
      <c r="I675" s="850"/>
      <c r="J675" s="851" t="s">
        <v>4435</v>
      </c>
      <c r="K675" s="850"/>
      <c r="L675" s="859"/>
      <c r="M675" s="850"/>
      <c r="N675" s="850"/>
      <c r="O675" s="850"/>
      <c r="P675" s="850"/>
      <c r="Q675" s="850"/>
      <c r="R675" s="850"/>
      <c r="S675" s="850"/>
      <c r="T675" s="850"/>
      <c r="U675" s="850"/>
      <c r="V675" s="850"/>
      <c r="W675" s="850"/>
    </row>
    <row r="676" spans="1:23" x14ac:dyDescent="0.2">
      <c r="A676" s="849" t="s">
        <v>4437</v>
      </c>
      <c r="B676" s="850"/>
      <c r="C676" s="850"/>
      <c r="D676" s="850">
        <v>-15</v>
      </c>
      <c r="E676" s="850"/>
      <c r="F676" s="850"/>
      <c r="G676" s="850"/>
      <c r="H676" s="850">
        <v>2</v>
      </c>
      <c r="I676" s="850"/>
      <c r="J676" s="851" t="s">
        <v>4435</v>
      </c>
      <c r="K676" s="850"/>
      <c r="L676" s="859"/>
      <c r="M676" s="850"/>
      <c r="N676" s="850"/>
      <c r="O676" s="850"/>
      <c r="P676" s="850"/>
      <c r="Q676" s="850"/>
      <c r="R676" s="850"/>
      <c r="S676" s="850"/>
      <c r="T676" s="850"/>
      <c r="U676" s="850"/>
      <c r="V676" s="850"/>
      <c r="W676" s="850"/>
    </row>
    <row r="677" spans="1:23" x14ac:dyDescent="0.2">
      <c r="A677" s="881" t="s">
        <v>4438</v>
      </c>
      <c r="B677" s="882"/>
      <c r="C677" s="882"/>
      <c r="D677" s="882"/>
      <c r="E677" s="882"/>
      <c r="F677" s="882"/>
      <c r="G677" s="882"/>
      <c r="H677" s="882"/>
      <c r="I677" s="882"/>
      <c r="J677" s="882"/>
      <c r="K677" s="882"/>
      <c r="L677" s="883"/>
      <c r="M677" s="882"/>
      <c r="N677" s="882"/>
      <c r="O677" s="882"/>
      <c r="P677" s="882"/>
      <c r="Q677" s="882"/>
      <c r="R677" s="882"/>
      <c r="S677" s="882"/>
      <c r="T677" s="882"/>
      <c r="U677" s="882"/>
      <c r="V677" s="882"/>
      <c r="W677" s="850"/>
    </row>
    <row r="678" spans="1:23" x14ac:dyDescent="0.2">
      <c r="A678" s="849" t="s">
        <v>4439</v>
      </c>
      <c r="B678" s="850"/>
      <c r="C678" s="850"/>
      <c r="D678" s="850">
        <v>-15</v>
      </c>
      <c r="E678" s="850"/>
      <c r="F678" s="850"/>
      <c r="G678" s="850"/>
      <c r="H678" s="850">
        <v>1</v>
      </c>
      <c r="I678" s="850"/>
      <c r="J678" s="851" t="s">
        <v>4435</v>
      </c>
      <c r="K678" s="850"/>
      <c r="L678" s="859"/>
      <c r="M678" s="850"/>
      <c r="N678" s="850"/>
      <c r="O678" s="850"/>
      <c r="P678" s="850"/>
      <c r="Q678" s="850"/>
      <c r="R678" s="850"/>
      <c r="S678" s="850"/>
      <c r="T678" s="850"/>
      <c r="U678" s="850"/>
      <c r="V678" s="850"/>
      <c r="W678" s="850"/>
    </row>
    <row r="679" spans="1:23" x14ac:dyDescent="0.2">
      <c r="A679" s="849" t="s">
        <v>4440</v>
      </c>
      <c r="B679" s="850"/>
      <c r="C679" s="850"/>
      <c r="D679" s="850">
        <v>-10</v>
      </c>
      <c r="E679" s="850"/>
      <c r="F679" s="850"/>
      <c r="G679" s="850"/>
      <c r="H679" s="850">
        <v>1</v>
      </c>
      <c r="I679" s="850"/>
      <c r="J679" s="851" t="s">
        <v>4435</v>
      </c>
      <c r="K679" s="850"/>
      <c r="L679" s="859"/>
      <c r="M679" s="850"/>
      <c r="N679" s="850"/>
      <c r="O679" s="850"/>
      <c r="P679" s="850"/>
      <c r="Q679" s="850"/>
      <c r="R679" s="850"/>
      <c r="S679" s="850"/>
      <c r="T679" s="850"/>
      <c r="U679" s="850"/>
      <c r="V679" s="850"/>
      <c r="W679" s="850"/>
    </row>
    <row r="680" spans="1:23" x14ac:dyDescent="0.2">
      <c r="A680" s="881" t="s">
        <v>4441</v>
      </c>
      <c r="B680" s="882"/>
      <c r="C680" s="882"/>
      <c r="D680" s="882"/>
      <c r="E680" s="882"/>
      <c r="F680" s="882"/>
      <c r="G680" s="882"/>
      <c r="H680" s="882"/>
      <c r="I680" s="882"/>
      <c r="J680" s="882"/>
      <c r="K680" s="882"/>
      <c r="L680" s="883"/>
      <c r="M680" s="882"/>
      <c r="N680" s="882"/>
      <c r="O680" s="882"/>
      <c r="P680" s="882"/>
      <c r="Q680" s="882"/>
      <c r="R680" s="882"/>
      <c r="S680" s="882"/>
      <c r="T680" s="882"/>
      <c r="U680" s="882"/>
      <c r="V680" s="882"/>
      <c r="W680" s="850"/>
    </row>
    <row r="681" spans="1:23" x14ac:dyDescent="0.2">
      <c r="A681" s="849" t="s">
        <v>4442</v>
      </c>
      <c r="B681" s="850"/>
      <c r="C681" s="850"/>
      <c r="D681" s="850">
        <v>-10</v>
      </c>
      <c r="E681" s="850"/>
      <c r="F681" s="850"/>
      <c r="G681" s="850"/>
      <c r="H681" s="850">
        <v>1</v>
      </c>
      <c r="I681" s="850"/>
      <c r="J681" s="851" t="s">
        <v>1534</v>
      </c>
      <c r="K681" s="850"/>
      <c r="L681" s="859"/>
      <c r="M681" s="850"/>
      <c r="N681" s="850"/>
      <c r="O681" s="850"/>
      <c r="P681" s="850"/>
      <c r="Q681" s="850"/>
      <c r="R681" s="850"/>
      <c r="S681" s="850"/>
      <c r="T681" s="850"/>
      <c r="U681" s="850"/>
      <c r="V681" s="850"/>
      <c r="W681" s="850"/>
    </row>
    <row r="682" spans="1:23" x14ac:dyDescent="0.2">
      <c r="A682" s="849" t="s">
        <v>4443</v>
      </c>
      <c r="B682" s="850"/>
      <c r="C682" s="850"/>
      <c r="D682" s="850">
        <v>-10</v>
      </c>
      <c r="E682" s="850"/>
      <c r="F682" s="850"/>
      <c r="G682" s="850"/>
      <c r="H682" s="850">
        <v>1</v>
      </c>
      <c r="I682" s="850"/>
      <c r="J682" s="851" t="s">
        <v>1534</v>
      </c>
      <c r="K682" s="850"/>
      <c r="L682" s="859"/>
      <c r="M682" s="850"/>
      <c r="N682" s="850"/>
      <c r="O682" s="850"/>
      <c r="P682" s="850"/>
      <c r="Q682" s="850"/>
      <c r="R682" s="850"/>
      <c r="S682" s="850"/>
      <c r="T682" s="850"/>
      <c r="U682" s="850"/>
      <c r="V682" s="850"/>
      <c r="W682" s="850"/>
    </row>
    <row r="683" spans="1:23" x14ac:dyDescent="0.2">
      <c r="A683" s="849" t="s">
        <v>4444</v>
      </c>
      <c r="B683" s="850"/>
      <c r="C683" s="850"/>
      <c r="D683" s="850">
        <v>-10</v>
      </c>
      <c r="E683" s="850"/>
      <c r="F683" s="850"/>
      <c r="G683" s="850"/>
      <c r="H683" s="850">
        <v>1</v>
      </c>
      <c r="I683" s="850"/>
      <c r="J683" s="851" t="s">
        <v>1534</v>
      </c>
      <c r="K683" s="850"/>
      <c r="L683" s="859"/>
      <c r="M683" s="850"/>
      <c r="N683" s="850"/>
      <c r="O683" s="850"/>
      <c r="P683" s="850"/>
      <c r="Q683" s="850"/>
      <c r="R683" s="850"/>
      <c r="S683" s="850"/>
      <c r="T683" s="850"/>
      <c r="U683" s="850"/>
      <c r="V683" s="850"/>
      <c r="W683" s="850"/>
    </row>
    <row r="684" spans="1:23" x14ac:dyDescent="0.2">
      <c r="A684" s="881" t="s">
        <v>4445</v>
      </c>
      <c r="B684" s="882"/>
      <c r="C684" s="882"/>
      <c r="D684" s="882"/>
      <c r="E684" s="882"/>
      <c r="F684" s="882"/>
      <c r="G684" s="882"/>
      <c r="H684" s="882"/>
      <c r="I684" s="882"/>
      <c r="J684" s="882"/>
      <c r="K684" s="882"/>
      <c r="L684" s="883"/>
      <c r="M684" s="882"/>
      <c r="N684" s="882"/>
      <c r="O684" s="882"/>
      <c r="P684" s="882"/>
      <c r="Q684" s="882"/>
      <c r="R684" s="882"/>
      <c r="S684" s="882"/>
      <c r="T684" s="882"/>
      <c r="U684" s="882"/>
      <c r="V684" s="882"/>
      <c r="W684" s="850"/>
    </row>
    <row r="685" spans="1:23" x14ac:dyDescent="0.2">
      <c r="A685" s="849" t="s">
        <v>4446</v>
      </c>
      <c r="B685" s="850"/>
      <c r="C685" s="850"/>
      <c r="D685" s="850">
        <v>-5</v>
      </c>
      <c r="E685" s="850"/>
      <c r="F685" s="850"/>
      <c r="G685" s="850"/>
      <c r="H685" s="850">
        <v>1</v>
      </c>
      <c r="I685" s="850"/>
      <c r="J685" s="851" t="s">
        <v>4435</v>
      </c>
      <c r="K685" s="850"/>
      <c r="L685" s="859"/>
      <c r="M685" s="850"/>
      <c r="N685" s="850"/>
      <c r="O685" s="850"/>
      <c r="P685" s="850"/>
      <c r="Q685" s="850"/>
      <c r="R685" s="850"/>
      <c r="S685" s="850"/>
      <c r="T685" s="850"/>
      <c r="U685" s="850"/>
      <c r="V685" s="850"/>
      <c r="W685" s="850"/>
    </row>
    <row r="686" spans="1:23" x14ac:dyDescent="0.2">
      <c r="A686" s="849" t="s">
        <v>4447</v>
      </c>
      <c r="B686" s="850"/>
      <c r="C686" s="850"/>
      <c r="D686" s="850">
        <v>-10</v>
      </c>
      <c r="E686" s="850"/>
      <c r="F686" s="850"/>
      <c r="G686" s="850"/>
      <c r="H686" s="850">
        <v>1</v>
      </c>
      <c r="I686" s="850"/>
      <c r="J686" s="851" t="s">
        <v>4435</v>
      </c>
      <c r="K686" s="850"/>
      <c r="L686" s="859"/>
      <c r="M686" s="850"/>
      <c r="N686" s="850"/>
      <c r="O686" s="850"/>
      <c r="P686" s="850"/>
      <c r="Q686" s="850"/>
      <c r="R686" s="850"/>
      <c r="S686" s="850"/>
      <c r="T686" s="850"/>
      <c r="U686" s="850"/>
      <c r="V686" s="850"/>
      <c r="W686" s="850"/>
    </row>
    <row r="687" spans="1:23" x14ac:dyDescent="0.2">
      <c r="A687" s="881" t="s">
        <v>4448</v>
      </c>
      <c r="B687" s="882"/>
      <c r="C687" s="882"/>
      <c r="D687" s="882"/>
      <c r="E687" s="882"/>
      <c r="F687" s="882"/>
      <c r="G687" s="882"/>
      <c r="H687" s="882"/>
      <c r="I687" s="882"/>
      <c r="J687" s="882"/>
      <c r="K687" s="882"/>
      <c r="L687" s="883"/>
      <c r="M687" s="882"/>
      <c r="N687" s="882"/>
      <c r="O687" s="882"/>
      <c r="P687" s="882"/>
      <c r="Q687" s="882"/>
      <c r="R687" s="882"/>
      <c r="S687" s="882"/>
      <c r="T687" s="882"/>
      <c r="U687" s="882"/>
      <c r="V687" s="882"/>
      <c r="W687" s="850"/>
    </row>
    <row r="688" spans="1:23" x14ac:dyDescent="0.2">
      <c r="A688" s="849" t="s">
        <v>4449</v>
      </c>
      <c r="B688" s="850"/>
      <c r="C688" s="850"/>
      <c r="D688" s="850">
        <v>-10</v>
      </c>
      <c r="E688" s="850"/>
      <c r="F688" s="850"/>
      <c r="G688" s="850"/>
      <c r="H688" s="850">
        <v>1</v>
      </c>
      <c r="I688" s="850"/>
      <c r="J688" s="851" t="s">
        <v>4435</v>
      </c>
      <c r="K688" s="850"/>
      <c r="L688" s="859"/>
      <c r="M688" s="850"/>
      <c r="N688" s="850"/>
      <c r="O688" s="850"/>
      <c r="P688" s="850"/>
      <c r="Q688" s="850"/>
      <c r="R688" s="850"/>
      <c r="S688" s="850"/>
      <c r="T688" s="850"/>
      <c r="U688" s="850"/>
      <c r="V688" s="850"/>
      <c r="W688" s="850"/>
    </row>
    <row r="689" spans="1:23" x14ac:dyDescent="0.2">
      <c r="A689" s="849" t="s">
        <v>4450</v>
      </c>
      <c r="B689" s="850"/>
      <c r="C689" s="850"/>
      <c r="D689" s="850">
        <v>-15</v>
      </c>
      <c r="E689" s="850"/>
      <c r="F689" s="850"/>
      <c r="G689" s="850"/>
      <c r="H689" s="850">
        <v>1</v>
      </c>
      <c r="I689" s="850"/>
      <c r="J689" s="851" t="s">
        <v>4435</v>
      </c>
      <c r="K689" s="850"/>
      <c r="L689" s="859"/>
      <c r="M689" s="850"/>
      <c r="N689" s="850"/>
      <c r="O689" s="850"/>
      <c r="P689" s="850"/>
      <c r="Q689" s="850"/>
      <c r="R689" s="850"/>
      <c r="S689" s="850"/>
      <c r="T689" s="850"/>
      <c r="U689" s="850"/>
      <c r="V689" s="850"/>
      <c r="W689" s="850"/>
    </row>
    <row r="690" spans="1:23" x14ac:dyDescent="0.2">
      <c r="A690" s="849" t="s">
        <v>4451</v>
      </c>
      <c r="B690" s="850"/>
      <c r="C690" s="850"/>
      <c r="D690" s="850">
        <v>-25</v>
      </c>
      <c r="E690" s="850"/>
      <c r="F690" s="850"/>
      <c r="G690" s="850"/>
      <c r="H690" s="850">
        <v>2</v>
      </c>
      <c r="I690" s="850"/>
      <c r="J690" s="851" t="s">
        <v>4435</v>
      </c>
      <c r="K690" s="850"/>
      <c r="L690" s="859"/>
      <c r="M690" s="850"/>
      <c r="N690" s="850"/>
      <c r="O690" s="850"/>
      <c r="P690" s="850"/>
      <c r="Q690" s="850"/>
      <c r="R690" s="850"/>
      <c r="S690" s="850"/>
      <c r="T690" s="850"/>
      <c r="U690" s="850"/>
      <c r="V690" s="850"/>
      <c r="W690" s="850"/>
    </row>
    <row r="691" spans="1:23" x14ac:dyDescent="0.2">
      <c r="A691" s="849" t="s">
        <v>4452</v>
      </c>
      <c r="B691" s="850"/>
      <c r="C691" s="850"/>
      <c r="D691" s="850">
        <v>-10</v>
      </c>
      <c r="E691" s="850"/>
      <c r="F691" s="850"/>
      <c r="G691" s="850"/>
      <c r="H691" s="850">
        <v>1</v>
      </c>
      <c r="I691" s="850"/>
      <c r="J691" s="851" t="s">
        <v>4435</v>
      </c>
      <c r="K691" s="850"/>
      <c r="L691" s="859"/>
      <c r="M691" s="850"/>
      <c r="N691" s="850"/>
      <c r="O691" s="850"/>
      <c r="P691" s="850"/>
      <c r="Q691" s="850"/>
      <c r="R691" s="850"/>
      <c r="S691" s="850"/>
      <c r="T691" s="850"/>
      <c r="U691" s="850"/>
      <c r="V691" s="850"/>
      <c r="W691" s="850"/>
    </row>
    <row r="692" spans="1:23" x14ac:dyDescent="0.2">
      <c r="A692" s="881" t="s">
        <v>4453</v>
      </c>
      <c r="B692" s="882"/>
      <c r="C692" s="882"/>
      <c r="D692" s="882"/>
      <c r="E692" s="882"/>
      <c r="F692" s="882"/>
      <c r="G692" s="882"/>
      <c r="H692" s="882"/>
      <c r="I692" s="882"/>
      <c r="J692" s="882"/>
      <c r="K692" s="882"/>
      <c r="L692" s="883"/>
      <c r="M692" s="882"/>
      <c r="N692" s="882"/>
      <c r="O692" s="882"/>
      <c r="P692" s="882"/>
      <c r="Q692" s="882"/>
      <c r="R692" s="882"/>
      <c r="S692" s="882"/>
      <c r="T692" s="882"/>
      <c r="U692" s="882"/>
      <c r="V692" s="882"/>
      <c r="W692" s="850"/>
    </row>
    <row r="693" spans="1:23" x14ac:dyDescent="0.2">
      <c r="A693" s="849" t="s">
        <v>4454</v>
      </c>
      <c r="B693" s="850"/>
      <c r="C693" s="850"/>
      <c r="D693" s="850">
        <v>-5</v>
      </c>
      <c r="E693" s="850"/>
      <c r="F693" s="850"/>
      <c r="G693" s="850"/>
      <c r="H693" s="850">
        <v>1</v>
      </c>
      <c r="I693" s="850"/>
      <c r="J693" s="851" t="s">
        <v>1534</v>
      </c>
      <c r="K693" s="850"/>
      <c r="L693" s="859"/>
      <c r="M693" s="850"/>
      <c r="N693" s="850"/>
      <c r="O693" s="850"/>
      <c r="P693" s="850"/>
      <c r="Q693" s="850"/>
      <c r="R693" s="850"/>
      <c r="S693" s="850"/>
      <c r="T693" s="850"/>
      <c r="U693" s="850"/>
      <c r="V693" s="850"/>
      <c r="W693" s="850"/>
    </row>
    <row r="694" spans="1:23" x14ac:dyDescent="0.2">
      <c r="A694" s="881" t="s">
        <v>4455</v>
      </c>
      <c r="B694" s="882"/>
      <c r="C694" s="882"/>
      <c r="D694" s="882"/>
      <c r="E694" s="882"/>
      <c r="F694" s="882"/>
      <c r="G694" s="882"/>
      <c r="H694" s="882"/>
      <c r="I694" s="882"/>
      <c r="J694" s="882"/>
      <c r="K694" s="882"/>
      <c r="L694" s="883"/>
      <c r="M694" s="882"/>
      <c r="N694" s="882"/>
      <c r="O694" s="882"/>
      <c r="P694" s="882"/>
      <c r="Q694" s="882"/>
      <c r="R694" s="882"/>
      <c r="S694" s="882"/>
      <c r="T694" s="882"/>
      <c r="U694" s="882"/>
      <c r="V694" s="882"/>
      <c r="W694" s="850"/>
    </row>
    <row r="695" spans="1:23" x14ac:dyDescent="0.2">
      <c r="A695" s="849" t="s">
        <v>2526</v>
      </c>
      <c r="B695" s="850"/>
      <c r="C695" s="850"/>
      <c r="D695" s="850">
        <v>-5</v>
      </c>
      <c r="E695" s="850"/>
      <c r="F695" s="850"/>
      <c r="G695" s="850"/>
      <c r="H695" s="850">
        <v>2</v>
      </c>
      <c r="I695" s="850"/>
      <c r="J695" s="851" t="s">
        <v>4435</v>
      </c>
      <c r="K695" s="850"/>
      <c r="L695" s="859"/>
      <c r="M695" s="850"/>
      <c r="N695" s="850"/>
      <c r="O695" s="850"/>
      <c r="P695" s="850"/>
      <c r="Q695" s="850"/>
      <c r="R695" s="850"/>
      <c r="S695" s="850"/>
      <c r="T695" s="850"/>
      <c r="U695" s="850"/>
      <c r="V695" s="850"/>
      <c r="W695" s="850"/>
    </row>
    <row r="696" spans="1:23" x14ac:dyDescent="0.2">
      <c r="A696" s="881" t="s">
        <v>4456</v>
      </c>
      <c r="B696" s="882"/>
      <c r="C696" s="882"/>
      <c r="D696" s="882"/>
      <c r="E696" s="882"/>
      <c r="F696" s="882"/>
      <c r="G696" s="882"/>
      <c r="H696" s="882"/>
      <c r="I696" s="882"/>
      <c r="J696" s="882"/>
      <c r="K696" s="882"/>
      <c r="L696" s="883"/>
      <c r="M696" s="882"/>
      <c r="N696" s="882"/>
      <c r="O696" s="882"/>
      <c r="P696" s="882"/>
      <c r="Q696" s="882"/>
      <c r="R696" s="882"/>
      <c r="S696" s="882"/>
      <c r="T696" s="882"/>
      <c r="U696" s="882"/>
      <c r="V696" s="882"/>
      <c r="W696" s="850"/>
    </row>
    <row r="697" spans="1:23" x14ac:dyDescent="0.2">
      <c r="A697" s="849" t="s">
        <v>4457</v>
      </c>
      <c r="B697" s="850"/>
      <c r="C697" s="850"/>
      <c r="D697" s="850">
        <v>-5</v>
      </c>
      <c r="E697" s="850"/>
      <c r="F697" s="850"/>
      <c r="G697" s="850"/>
      <c r="H697" s="850">
        <v>1</v>
      </c>
      <c r="I697" s="850"/>
      <c r="J697" s="851" t="s">
        <v>4435</v>
      </c>
      <c r="K697" s="850"/>
      <c r="L697" s="859"/>
      <c r="M697" s="850"/>
      <c r="N697" s="850"/>
      <c r="O697" s="850"/>
      <c r="P697" s="850"/>
      <c r="Q697" s="850"/>
      <c r="R697" s="850"/>
      <c r="S697" s="850"/>
      <c r="T697" s="850"/>
      <c r="U697" s="850"/>
      <c r="V697" s="850"/>
      <c r="W697" s="850"/>
    </row>
    <row r="698" spans="1:23" x14ac:dyDescent="0.2">
      <c r="A698" s="849" t="s">
        <v>4458</v>
      </c>
      <c r="B698" s="850"/>
      <c r="C698" s="850"/>
      <c r="D698" s="850">
        <v>-5</v>
      </c>
      <c r="E698" s="850"/>
      <c r="F698" s="850"/>
      <c r="G698" s="850"/>
      <c r="H698" s="850">
        <v>1</v>
      </c>
      <c r="I698" s="850"/>
      <c r="J698" s="851" t="s">
        <v>4435</v>
      </c>
      <c r="K698" s="850"/>
      <c r="L698" s="859"/>
      <c r="M698" s="850"/>
      <c r="N698" s="850"/>
      <c r="O698" s="850"/>
      <c r="P698" s="850"/>
      <c r="Q698" s="850"/>
      <c r="R698" s="850"/>
      <c r="S698" s="850"/>
      <c r="T698" s="850"/>
      <c r="U698" s="850"/>
      <c r="V698" s="850"/>
      <c r="W698" s="850"/>
    </row>
    <row r="699" spans="1:23" x14ac:dyDescent="0.2">
      <c r="A699" s="849" t="s">
        <v>4459</v>
      </c>
      <c r="B699" s="850"/>
      <c r="C699" s="850"/>
      <c r="D699" s="850">
        <v>-5</v>
      </c>
      <c r="E699" s="850"/>
      <c r="F699" s="850"/>
      <c r="G699" s="850"/>
      <c r="H699" s="850">
        <v>1</v>
      </c>
      <c r="I699" s="850"/>
      <c r="J699" s="851" t="s">
        <v>4435</v>
      </c>
      <c r="K699" s="850"/>
      <c r="L699" s="859"/>
      <c r="M699" s="850"/>
      <c r="N699" s="850"/>
      <c r="O699" s="850"/>
      <c r="P699" s="850"/>
      <c r="Q699" s="850"/>
      <c r="R699" s="850"/>
      <c r="S699" s="850"/>
      <c r="T699" s="850"/>
      <c r="U699" s="850"/>
      <c r="V699" s="850"/>
      <c r="W699" s="850"/>
    </row>
    <row r="700" spans="1:23" x14ac:dyDescent="0.2">
      <c r="A700" s="849" t="s">
        <v>4460</v>
      </c>
      <c r="B700" s="850"/>
      <c r="C700" s="850"/>
      <c r="D700" s="850">
        <v>-5</v>
      </c>
      <c r="E700" s="850"/>
      <c r="F700" s="850"/>
      <c r="G700" s="850"/>
      <c r="H700" s="850">
        <v>1</v>
      </c>
      <c r="I700" s="850"/>
      <c r="J700" s="851" t="s">
        <v>4435</v>
      </c>
      <c r="K700" s="850"/>
      <c r="L700" s="859"/>
      <c r="M700" s="850"/>
      <c r="N700" s="850"/>
      <c r="O700" s="850"/>
      <c r="P700" s="850"/>
      <c r="Q700" s="850"/>
      <c r="R700" s="850"/>
      <c r="S700" s="850"/>
      <c r="T700" s="850"/>
      <c r="U700" s="850"/>
      <c r="V700" s="850"/>
      <c r="W700" s="850"/>
    </row>
    <row r="701" spans="1:23" x14ac:dyDescent="0.2">
      <c r="A701" s="849" t="s">
        <v>4461</v>
      </c>
      <c r="B701" s="850"/>
      <c r="C701" s="850"/>
      <c r="D701" s="850">
        <v>-10</v>
      </c>
      <c r="E701" s="850"/>
      <c r="F701" s="850"/>
      <c r="G701" s="850"/>
      <c r="H701" s="850">
        <v>1</v>
      </c>
      <c r="I701" s="850"/>
      <c r="J701" s="851" t="s">
        <v>4435</v>
      </c>
      <c r="K701" s="850"/>
      <c r="L701" s="859"/>
      <c r="M701" s="850"/>
      <c r="N701" s="850"/>
      <c r="O701" s="850"/>
      <c r="P701" s="850"/>
      <c r="Q701" s="850"/>
      <c r="R701" s="850"/>
      <c r="S701" s="850"/>
      <c r="T701" s="850"/>
      <c r="U701" s="850"/>
      <c r="V701" s="850"/>
      <c r="W701" s="850"/>
    </row>
    <row r="702" spans="1:23" x14ac:dyDescent="0.2">
      <c r="A702" s="849" t="s">
        <v>4462</v>
      </c>
      <c r="B702" s="850"/>
      <c r="C702" s="850"/>
      <c r="D702" s="850">
        <v>-10</v>
      </c>
      <c r="E702" s="850"/>
      <c r="F702" s="850"/>
      <c r="G702" s="850"/>
      <c r="H702" s="850">
        <v>1</v>
      </c>
      <c r="I702" s="850"/>
      <c r="J702" s="851" t="s">
        <v>4435</v>
      </c>
      <c r="K702" s="850"/>
      <c r="L702" s="859"/>
      <c r="M702" s="850"/>
      <c r="N702" s="850"/>
      <c r="O702" s="850"/>
      <c r="P702" s="850"/>
      <c r="Q702" s="850"/>
      <c r="R702" s="850"/>
      <c r="S702" s="850"/>
      <c r="T702" s="850"/>
      <c r="U702" s="850"/>
      <c r="V702" s="850"/>
      <c r="W702" s="850"/>
    </row>
    <row r="703" spans="1:23" x14ac:dyDescent="0.2">
      <c r="A703" s="849" t="s">
        <v>4463</v>
      </c>
      <c r="B703" s="850"/>
      <c r="C703" s="850"/>
      <c r="D703" s="850">
        <v>-10</v>
      </c>
      <c r="E703" s="850"/>
      <c r="F703" s="850"/>
      <c r="G703" s="850"/>
      <c r="H703" s="850">
        <v>1</v>
      </c>
      <c r="I703" s="850"/>
      <c r="J703" s="851" t="s">
        <v>4435</v>
      </c>
      <c r="K703" s="850"/>
      <c r="L703" s="859"/>
      <c r="M703" s="850"/>
      <c r="N703" s="850"/>
      <c r="O703" s="850"/>
      <c r="P703" s="850"/>
      <c r="Q703" s="850"/>
      <c r="R703" s="850"/>
      <c r="S703" s="850"/>
      <c r="T703" s="850"/>
      <c r="U703" s="850"/>
      <c r="V703" s="850"/>
      <c r="W703" s="850"/>
    </row>
    <row r="704" spans="1:23" x14ac:dyDescent="0.2">
      <c r="A704" s="849" t="s">
        <v>4464</v>
      </c>
      <c r="B704" s="850"/>
      <c r="C704" s="850"/>
      <c r="D704" s="850">
        <v>-20</v>
      </c>
      <c r="E704" s="850"/>
      <c r="F704" s="850"/>
      <c r="G704" s="850"/>
      <c r="H704" s="850">
        <v>2</v>
      </c>
      <c r="I704" s="850"/>
      <c r="J704" s="851" t="s">
        <v>4435</v>
      </c>
      <c r="K704" s="850"/>
      <c r="L704" s="859"/>
      <c r="M704" s="850"/>
      <c r="N704" s="850"/>
      <c r="O704" s="850"/>
      <c r="P704" s="850"/>
      <c r="Q704" s="850"/>
      <c r="R704" s="850"/>
      <c r="S704" s="850"/>
      <c r="T704" s="850"/>
      <c r="U704" s="850"/>
      <c r="V704" s="850"/>
      <c r="W704" s="850"/>
    </row>
    <row r="705" spans="1:23" x14ac:dyDescent="0.2">
      <c r="A705" s="881" t="s">
        <v>4465</v>
      </c>
      <c r="B705" s="882"/>
      <c r="C705" s="882"/>
      <c r="D705" s="882"/>
      <c r="E705" s="882"/>
      <c r="F705" s="882"/>
      <c r="G705" s="882"/>
      <c r="H705" s="882"/>
      <c r="I705" s="882"/>
      <c r="J705" s="882"/>
      <c r="K705" s="882"/>
      <c r="L705" s="883"/>
      <c r="M705" s="882"/>
      <c r="N705" s="882"/>
      <c r="O705" s="882"/>
      <c r="P705" s="882"/>
      <c r="Q705" s="882"/>
      <c r="R705" s="882"/>
      <c r="S705" s="882"/>
      <c r="T705" s="882"/>
      <c r="U705" s="882"/>
      <c r="V705" s="882"/>
      <c r="W705" s="850"/>
    </row>
    <row r="706" spans="1:23" x14ac:dyDescent="0.2">
      <c r="A706" s="849" t="s">
        <v>4466</v>
      </c>
      <c r="B706" s="850"/>
      <c r="C706" s="850"/>
      <c r="D706" s="850">
        <v>-20</v>
      </c>
      <c r="E706" s="850"/>
      <c r="F706" s="850"/>
      <c r="G706" s="850"/>
      <c r="H706" s="850">
        <v>1</v>
      </c>
      <c r="I706" s="850"/>
      <c r="J706" s="851" t="s">
        <v>1534</v>
      </c>
      <c r="K706" s="850"/>
      <c r="L706" s="859"/>
      <c r="M706" s="850"/>
      <c r="N706" s="850"/>
      <c r="O706" s="850"/>
      <c r="P706" s="850"/>
      <c r="Q706" s="850"/>
      <c r="R706" s="850"/>
      <c r="S706" s="850"/>
      <c r="T706" s="850"/>
      <c r="U706" s="850"/>
      <c r="V706" s="850"/>
      <c r="W706" s="850"/>
    </row>
    <row r="707" spans="1:23" x14ac:dyDescent="0.2">
      <c r="A707" s="849" t="s">
        <v>4467</v>
      </c>
      <c r="B707" s="850"/>
      <c r="C707" s="850"/>
      <c r="D707" s="850">
        <v>-10</v>
      </c>
      <c r="E707" s="850"/>
      <c r="F707" s="850"/>
      <c r="G707" s="850"/>
      <c r="H707" s="850">
        <v>1</v>
      </c>
      <c r="I707" s="850"/>
      <c r="J707" s="851" t="s">
        <v>1534</v>
      </c>
      <c r="K707" s="850"/>
      <c r="L707" s="859"/>
      <c r="M707" s="850"/>
      <c r="N707" s="850"/>
      <c r="O707" s="850"/>
      <c r="P707" s="850"/>
      <c r="Q707" s="850"/>
      <c r="R707" s="850"/>
      <c r="S707" s="850"/>
      <c r="T707" s="850"/>
      <c r="U707" s="850"/>
      <c r="V707" s="850"/>
      <c r="W707" s="850"/>
    </row>
    <row r="708" spans="1:23" x14ac:dyDescent="0.2">
      <c r="A708" s="881" t="s">
        <v>4468</v>
      </c>
      <c r="B708" s="882"/>
      <c r="C708" s="882"/>
      <c r="D708" s="882"/>
      <c r="E708" s="882"/>
      <c r="F708" s="882"/>
      <c r="G708" s="882"/>
      <c r="H708" s="882"/>
      <c r="I708" s="882"/>
      <c r="J708" s="882"/>
      <c r="K708" s="882"/>
      <c r="L708" s="883"/>
      <c r="M708" s="882"/>
      <c r="N708" s="882"/>
      <c r="O708" s="882"/>
      <c r="P708" s="882"/>
      <c r="Q708" s="882"/>
      <c r="R708" s="882"/>
      <c r="S708" s="882"/>
      <c r="T708" s="882"/>
      <c r="U708" s="882"/>
      <c r="V708" s="882"/>
      <c r="W708" s="850"/>
    </row>
    <row r="709" spans="1:23" x14ac:dyDescent="0.2">
      <c r="A709" s="849" t="s">
        <v>4469</v>
      </c>
      <c r="B709" s="850"/>
      <c r="C709" s="850"/>
      <c r="D709" s="850">
        <v>-5</v>
      </c>
      <c r="E709" s="850"/>
      <c r="F709" s="850"/>
      <c r="G709" s="850"/>
      <c r="H709" s="850">
        <v>1</v>
      </c>
      <c r="I709" s="850"/>
      <c r="J709" s="851" t="s">
        <v>1881</v>
      </c>
      <c r="K709" s="850"/>
      <c r="L709" s="859"/>
      <c r="M709" s="850"/>
      <c r="N709" s="850"/>
      <c r="O709" s="850"/>
      <c r="P709" s="850"/>
      <c r="Q709" s="850"/>
      <c r="R709" s="850"/>
      <c r="S709" s="850"/>
      <c r="T709" s="850"/>
      <c r="U709" s="850"/>
      <c r="V709" s="850"/>
      <c r="W709" s="850"/>
    </row>
    <row r="710" spans="1:23" x14ac:dyDescent="0.2">
      <c r="A710" s="849" t="s">
        <v>4470</v>
      </c>
      <c r="B710" s="850"/>
      <c r="C710" s="850"/>
      <c r="D710" s="850">
        <v>-10</v>
      </c>
      <c r="E710" s="850"/>
      <c r="F710" s="850"/>
      <c r="G710" s="850"/>
      <c r="H710" s="850">
        <v>1</v>
      </c>
      <c r="I710" s="850"/>
      <c r="J710" s="851" t="s">
        <v>1881</v>
      </c>
      <c r="K710" s="850"/>
      <c r="L710" s="859"/>
      <c r="M710" s="850"/>
      <c r="N710" s="850"/>
      <c r="O710" s="850"/>
      <c r="P710" s="850"/>
      <c r="Q710" s="850"/>
      <c r="R710" s="850"/>
      <c r="S710" s="850"/>
      <c r="T710" s="850"/>
      <c r="U710" s="850"/>
      <c r="V710" s="850"/>
      <c r="W710" s="850"/>
    </row>
    <row r="711" spans="1:23" x14ac:dyDescent="0.2">
      <c r="A711" s="849" t="s">
        <v>4471</v>
      </c>
      <c r="B711" s="850"/>
      <c r="C711" s="850"/>
      <c r="D711" s="850">
        <v>-10</v>
      </c>
      <c r="E711" s="850"/>
      <c r="F711" s="850"/>
      <c r="G711" s="850"/>
      <c r="H711" s="850">
        <v>1</v>
      </c>
      <c r="I711" s="850"/>
      <c r="J711" s="851" t="s">
        <v>1881</v>
      </c>
      <c r="K711" s="850"/>
      <c r="L711" s="859"/>
      <c r="M711" s="850"/>
      <c r="N711" s="850"/>
      <c r="O711" s="850"/>
      <c r="P711" s="850"/>
      <c r="Q711" s="850"/>
      <c r="R711" s="850"/>
      <c r="S711" s="850"/>
      <c r="T711" s="850"/>
      <c r="U711" s="850"/>
      <c r="V711" s="850"/>
      <c r="W711" s="850"/>
    </row>
    <row r="712" spans="1:23" x14ac:dyDescent="0.2">
      <c r="A712" s="849" t="s">
        <v>4472</v>
      </c>
      <c r="B712" s="850"/>
      <c r="C712" s="850"/>
      <c r="D712" s="850">
        <v>-15</v>
      </c>
      <c r="E712" s="850"/>
      <c r="F712" s="850"/>
      <c r="G712" s="850"/>
      <c r="H712" s="850">
        <v>1</v>
      </c>
      <c r="I712" s="850"/>
      <c r="J712" s="851" t="s">
        <v>1881</v>
      </c>
      <c r="K712" s="850"/>
      <c r="L712" s="859"/>
      <c r="M712" s="850"/>
      <c r="N712" s="850"/>
      <c r="O712" s="850"/>
      <c r="P712" s="850"/>
      <c r="Q712" s="850"/>
      <c r="R712" s="850"/>
      <c r="S712" s="850"/>
      <c r="T712" s="850"/>
      <c r="U712" s="850"/>
      <c r="V712" s="850"/>
      <c r="W712" s="850"/>
    </row>
    <row r="713" spans="1:23" x14ac:dyDescent="0.2">
      <c r="A713" s="849" t="s">
        <v>4473</v>
      </c>
      <c r="B713" s="850"/>
      <c r="C713" s="850"/>
      <c r="D713" s="850">
        <v>-15</v>
      </c>
      <c r="E713" s="850"/>
      <c r="F713" s="850"/>
      <c r="G713" s="850"/>
      <c r="H713" s="850">
        <v>1</v>
      </c>
      <c r="I713" s="850"/>
      <c r="J713" s="851" t="s">
        <v>1881</v>
      </c>
      <c r="K713" s="850"/>
      <c r="L713" s="859"/>
      <c r="M713" s="850"/>
      <c r="N713" s="850"/>
      <c r="O713" s="850"/>
      <c r="P713" s="850"/>
      <c r="Q713" s="850"/>
      <c r="R713" s="850"/>
      <c r="S713" s="850"/>
      <c r="T713" s="850"/>
      <c r="U713" s="850"/>
      <c r="V713" s="850"/>
      <c r="W713" s="850"/>
    </row>
    <row r="714" spans="1:23" x14ac:dyDescent="0.2">
      <c r="A714" s="881" t="s">
        <v>4474</v>
      </c>
      <c r="B714" s="882"/>
      <c r="C714" s="882"/>
      <c r="D714" s="882"/>
      <c r="E714" s="882"/>
      <c r="F714" s="882"/>
      <c r="G714" s="882"/>
      <c r="H714" s="882"/>
      <c r="I714" s="882"/>
      <c r="J714" s="882"/>
      <c r="K714" s="882"/>
      <c r="L714" s="883"/>
      <c r="M714" s="882"/>
      <c r="N714" s="882"/>
      <c r="O714" s="882"/>
      <c r="P714" s="882"/>
      <c r="Q714" s="882"/>
      <c r="R714" s="882"/>
      <c r="S714" s="882"/>
      <c r="T714" s="882"/>
      <c r="U714" s="882"/>
      <c r="V714" s="882"/>
      <c r="W714" s="850"/>
    </row>
    <row r="715" spans="1:23" x14ac:dyDescent="0.2">
      <c r="A715" s="849" t="s">
        <v>4475</v>
      </c>
      <c r="B715" s="850"/>
      <c r="C715" s="850"/>
      <c r="D715" s="850">
        <v>-5</v>
      </c>
      <c r="E715" s="850"/>
      <c r="F715" s="850"/>
      <c r="G715" s="850"/>
      <c r="H715" s="850">
        <v>1</v>
      </c>
      <c r="I715" s="850"/>
      <c r="J715" s="851" t="s">
        <v>1534</v>
      </c>
      <c r="K715" s="850"/>
      <c r="L715" s="859"/>
      <c r="M715" s="850"/>
      <c r="N715" s="850"/>
      <c r="O715" s="850"/>
      <c r="P715" s="850"/>
      <c r="Q715" s="850"/>
      <c r="R715" s="850"/>
      <c r="S715" s="850"/>
      <c r="T715" s="850"/>
      <c r="U715" s="850"/>
      <c r="V715" s="850"/>
      <c r="W715" s="850"/>
    </row>
    <row r="716" spans="1:23" x14ac:dyDescent="0.2">
      <c r="A716" s="849" t="s">
        <v>4476</v>
      </c>
      <c r="B716" s="850"/>
      <c r="C716" s="850"/>
      <c r="D716" s="850">
        <v>-10</v>
      </c>
      <c r="E716" s="850"/>
      <c r="F716" s="850"/>
      <c r="G716" s="850"/>
      <c r="H716" s="850">
        <v>1</v>
      </c>
      <c r="I716" s="850"/>
      <c r="J716" s="851" t="s">
        <v>1534</v>
      </c>
      <c r="K716" s="850"/>
      <c r="L716" s="859"/>
      <c r="M716" s="850"/>
      <c r="N716" s="850"/>
      <c r="O716" s="850"/>
      <c r="P716" s="850"/>
      <c r="Q716" s="850"/>
      <c r="R716" s="850"/>
      <c r="S716" s="850"/>
      <c r="T716" s="850"/>
      <c r="U716" s="850"/>
      <c r="V716" s="850"/>
      <c r="W716" s="850"/>
    </row>
    <row r="717" spans="1:23" x14ac:dyDescent="0.2">
      <c r="A717" s="849" t="s">
        <v>4477</v>
      </c>
      <c r="B717" s="850"/>
      <c r="C717" s="850"/>
      <c r="D717" s="850">
        <v>-30</v>
      </c>
      <c r="E717" s="850"/>
      <c r="F717" s="850"/>
      <c r="G717" s="850"/>
      <c r="H717" s="850">
        <v>2</v>
      </c>
      <c r="I717" s="850"/>
      <c r="J717" s="851" t="s">
        <v>1534</v>
      </c>
      <c r="K717" s="850"/>
      <c r="L717" s="859"/>
      <c r="M717" s="850"/>
      <c r="N717" s="850"/>
      <c r="O717" s="850"/>
      <c r="P717" s="850"/>
      <c r="Q717" s="850"/>
      <c r="R717" s="850"/>
      <c r="S717" s="850"/>
      <c r="T717" s="850"/>
      <c r="U717" s="850"/>
      <c r="V717" s="850"/>
      <c r="W717" s="850"/>
    </row>
    <row r="718" spans="1:23" x14ac:dyDescent="0.2">
      <c r="A718" s="881" t="s">
        <v>4478</v>
      </c>
      <c r="B718" s="882"/>
      <c r="C718" s="882"/>
      <c r="D718" s="882"/>
      <c r="E718" s="882"/>
      <c r="F718" s="882"/>
      <c r="G718" s="882"/>
      <c r="H718" s="882"/>
      <c r="I718" s="882"/>
      <c r="J718" s="882"/>
      <c r="K718" s="882"/>
      <c r="L718" s="883"/>
      <c r="M718" s="882"/>
      <c r="N718" s="882"/>
      <c r="O718" s="882"/>
      <c r="P718" s="882"/>
      <c r="Q718" s="882"/>
      <c r="R718" s="882"/>
      <c r="S718" s="882"/>
      <c r="T718" s="882"/>
      <c r="U718" s="882"/>
      <c r="V718" s="882"/>
      <c r="W718" s="850"/>
    </row>
    <row r="719" spans="1:23" x14ac:dyDescent="0.2">
      <c r="A719" s="849" t="s">
        <v>4479</v>
      </c>
      <c r="B719" s="850"/>
      <c r="C719" s="850"/>
      <c r="D719" s="850">
        <v>-15</v>
      </c>
      <c r="E719" s="850"/>
      <c r="F719" s="850"/>
      <c r="G719" s="850"/>
      <c r="H719" s="850">
        <v>1</v>
      </c>
      <c r="I719" s="850"/>
      <c r="J719" s="851" t="s">
        <v>4435</v>
      </c>
      <c r="K719" s="850"/>
      <c r="L719" s="859"/>
      <c r="M719" s="850"/>
      <c r="N719" s="850"/>
      <c r="O719" s="850"/>
      <c r="P719" s="850"/>
      <c r="Q719" s="850"/>
      <c r="R719" s="850"/>
      <c r="S719" s="850"/>
      <c r="T719" s="850"/>
      <c r="U719" s="850"/>
      <c r="V719" s="850"/>
      <c r="W719" s="850"/>
    </row>
    <row r="720" spans="1:23" x14ac:dyDescent="0.2">
      <c r="A720" s="881" t="s">
        <v>4480</v>
      </c>
      <c r="B720" s="882"/>
      <c r="C720" s="882"/>
      <c r="D720" s="882"/>
      <c r="E720" s="882"/>
      <c r="F720" s="882"/>
      <c r="G720" s="882"/>
      <c r="H720" s="882"/>
      <c r="I720" s="882"/>
      <c r="J720" s="882"/>
      <c r="K720" s="882"/>
      <c r="L720" s="883"/>
      <c r="M720" s="882"/>
      <c r="N720" s="882"/>
      <c r="O720" s="882"/>
      <c r="P720" s="882"/>
      <c r="Q720" s="882"/>
      <c r="R720" s="882"/>
      <c r="S720" s="882"/>
      <c r="T720" s="882"/>
      <c r="U720" s="882"/>
      <c r="V720" s="882"/>
      <c r="W720" s="850"/>
    </row>
    <row r="721" spans="1:23" x14ac:dyDescent="0.2">
      <c r="A721" s="849" t="s">
        <v>4481</v>
      </c>
      <c r="B721" s="850"/>
      <c r="C721" s="850"/>
      <c r="D721" s="850">
        <v>-10</v>
      </c>
      <c r="E721" s="850"/>
      <c r="F721" s="850"/>
      <c r="G721" s="850"/>
      <c r="H721" s="850">
        <v>1</v>
      </c>
      <c r="I721" s="850"/>
      <c r="J721" s="851" t="s">
        <v>4435</v>
      </c>
      <c r="K721" s="850"/>
      <c r="L721" s="859"/>
      <c r="M721" s="850"/>
      <c r="N721" s="850"/>
      <c r="O721" s="850"/>
      <c r="P721" s="850"/>
      <c r="Q721" s="850"/>
      <c r="R721" s="850"/>
      <c r="S721" s="850"/>
      <c r="T721" s="850"/>
      <c r="U721" s="850"/>
      <c r="V721" s="850"/>
      <c r="W721" s="850"/>
    </row>
    <row r="722" spans="1:23" x14ac:dyDescent="0.2">
      <c r="A722" s="881" t="s">
        <v>4482</v>
      </c>
      <c r="B722" s="882"/>
      <c r="C722" s="882"/>
      <c r="D722" s="882"/>
      <c r="E722" s="882"/>
      <c r="F722" s="882"/>
      <c r="G722" s="882"/>
      <c r="H722" s="882"/>
      <c r="I722" s="882"/>
      <c r="J722" s="882"/>
      <c r="K722" s="882"/>
      <c r="L722" s="883"/>
      <c r="M722" s="882"/>
      <c r="N722" s="882"/>
      <c r="O722" s="882"/>
      <c r="P722" s="882"/>
      <c r="Q722" s="882"/>
      <c r="R722" s="882"/>
      <c r="S722" s="882"/>
      <c r="T722" s="882"/>
      <c r="U722" s="882"/>
      <c r="V722" s="882"/>
      <c r="W722" s="850"/>
    </row>
    <row r="723" spans="1:23" x14ac:dyDescent="0.2">
      <c r="A723" s="849" t="s">
        <v>4483</v>
      </c>
      <c r="B723" s="850"/>
      <c r="C723" s="850"/>
      <c r="D723" s="850">
        <v>-10</v>
      </c>
      <c r="E723" s="850"/>
      <c r="F723" s="850"/>
      <c r="G723" s="850"/>
      <c r="H723" s="850">
        <v>1</v>
      </c>
      <c r="I723" s="850"/>
      <c r="J723" s="851" t="s">
        <v>4435</v>
      </c>
      <c r="K723" s="850"/>
      <c r="L723" s="859"/>
      <c r="M723" s="850"/>
      <c r="N723" s="850"/>
      <c r="O723" s="850"/>
      <c r="P723" s="850"/>
      <c r="Q723" s="850"/>
      <c r="R723" s="850"/>
      <c r="S723" s="850"/>
      <c r="T723" s="850"/>
      <c r="U723" s="850"/>
      <c r="V723" s="850"/>
      <c r="W723" s="850"/>
    </row>
    <row r="724" spans="1:23" x14ac:dyDescent="0.2">
      <c r="A724" s="849" t="s">
        <v>4484</v>
      </c>
      <c r="B724" s="850"/>
      <c r="C724" s="850"/>
      <c r="D724" s="850">
        <v>-15</v>
      </c>
      <c r="E724" s="850"/>
      <c r="F724" s="850"/>
      <c r="G724" s="850"/>
      <c r="H724" s="850">
        <v>1</v>
      </c>
      <c r="I724" s="850"/>
      <c r="J724" s="851" t="s">
        <v>4435</v>
      </c>
      <c r="K724" s="850"/>
      <c r="L724" s="859"/>
      <c r="M724" s="850"/>
      <c r="N724" s="850"/>
      <c r="O724" s="850"/>
      <c r="P724" s="850"/>
      <c r="Q724" s="850"/>
      <c r="R724" s="850"/>
      <c r="S724" s="850"/>
      <c r="T724" s="850"/>
      <c r="U724" s="850"/>
      <c r="V724" s="850"/>
      <c r="W724" s="850"/>
    </row>
    <row r="725" spans="1:23" x14ac:dyDescent="0.2">
      <c r="A725" s="849" t="s">
        <v>4485</v>
      </c>
      <c r="B725" s="850"/>
      <c r="C725" s="850"/>
      <c r="D725" s="850">
        <v>-20</v>
      </c>
      <c r="E725" s="850"/>
      <c r="F725" s="850"/>
      <c r="G725" s="850"/>
      <c r="H725" s="850">
        <v>2</v>
      </c>
      <c r="I725" s="850"/>
      <c r="J725" s="851" t="s">
        <v>4435</v>
      </c>
      <c r="K725" s="850"/>
      <c r="L725" s="859"/>
      <c r="M725" s="850"/>
      <c r="N725" s="850"/>
      <c r="O725" s="850"/>
      <c r="P725" s="850"/>
      <c r="Q725" s="850"/>
      <c r="R725" s="850"/>
      <c r="S725" s="850"/>
      <c r="T725" s="850"/>
      <c r="U725" s="850"/>
      <c r="V725" s="850"/>
      <c r="W725" s="850"/>
    </row>
    <row r="726" spans="1:23" x14ac:dyDescent="0.2">
      <c r="A726" s="849" t="s">
        <v>4486</v>
      </c>
      <c r="B726" s="850"/>
      <c r="C726" s="850"/>
      <c r="D726" s="850">
        <v>-25</v>
      </c>
      <c r="E726" s="850"/>
      <c r="F726" s="850"/>
      <c r="G726" s="850"/>
      <c r="H726" s="850">
        <v>2</v>
      </c>
      <c r="I726" s="850"/>
      <c r="J726" s="851" t="s">
        <v>4435</v>
      </c>
      <c r="K726" s="850"/>
      <c r="L726" s="859"/>
      <c r="M726" s="850"/>
      <c r="N726" s="850"/>
      <c r="O726" s="850"/>
      <c r="P726" s="850"/>
      <c r="Q726" s="850"/>
      <c r="R726" s="850"/>
      <c r="S726" s="850"/>
      <c r="T726" s="850"/>
      <c r="U726" s="850"/>
      <c r="V726" s="850"/>
      <c r="W726" s="850"/>
    </row>
    <row r="727" spans="1:23" x14ac:dyDescent="0.2">
      <c r="A727" s="849" t="s">
        <v>4487</v>
      </c>
      <c r="B727" s="850"/>
      <c r="C727" s="850"/>
      <c r="D727" s="850">
        <v>-30</v>
      </c>
      <c r="E727" s="850"/>
      <c r="F727" s="850"/>
      <c r="G727" s="850"/>
      <c r="H727" s="850">
        <v>3</v>
      </c>
      <c r="I727" s="850"/>
      <c r="J727" s="851" t="s">
        <v>4435</v>
      </c>
      <c r="K727" s="850"/>
      <c r="L727" s="859"/>
      <c r="M727" s="850"/>
      <c r="N727" s="850"/>
      <c r="O727" s="850"/>
      <c r="P727" s="850"/>
      <c r="Q727" s="850"/>
      <c r="R727" s="850"/>
      <c r="S727" s="850"/>
      <c r="T727" s="850"/>
      <c r="U727" s="850"/>
      <c r="V727" s="850"/>
      <c r="W727" s="850"/>
    </row>
    <row r="728" spans="1:23" x14ac:dyDescent="0.2">
      <c r="A728" s="881" t="s">
        <v>4488</v>
      </c>
      <c r="B728" s="882"/>
      <c r="C728" s="882"/>
      <c r="D728" s="882"/>
      <c r="E728" s="882"/>
      <c r="F728" s="882"/>
      <c r="G728" s="882"/>
      <c r="H728" s="882"/>
      <c r="I728" s="882"/>
      <c r="J728" s="882"/>
      <c r="K728" s="882"/>
      <c r="L728" s="883"/>
      <c r="M728" s="882"/>
      <c r="N728" s="882"/>
      <c r="O728" s="882"/>
      <c r="P728" s="882"/>
      <c r="Q728" s="882"/>
      <c r="R728" s="882"/>
      <c r="S728" s="882"/>
      <c r="T728" s="882"/>
      <c r="U728" s="882"/>
      <c r="V728" s="882"/>
      <c r="W728" s="850"/>
    </row>
    <row r="729" spans="1:23" x14ac:dyDescent="0.2">
      <c r="A729" s="849" t="s">
        <v>4489</v>
      </c>
      <c r="B729" s="850"/>
      <c r="C729" s="850"/>
      <c r="D729" s="850">
        <v>-20</v>
      </c>
      <c r="E729" s="850"/>
      <c r="F729" s="850"/>
      <c r="G729" s="850"/>
      <c r="H729" s="850">
        <v>2</v>
      </c>
      <c r="I729" s="850"/>
      <c r="J729" s="851" t="s">
        <v>4435</v>
      </c>
      <c r="K729" s="850"/>
      <c r="L729" s="859"/>
      <c r="M729" s="850"/>
      <c r="N729" s="850"/>
      <c r="O729" s="850"/>
      <c r="P729" s="850"/>
      <c r="Q729" s="850"/>
      <c r="R729" s="850"/>
      <c r="S729" s="850"/>
      <c r="T729" s="850"/>
      <c r="U729" s="850"/>
      <c r="V729" s="850"/>
      <c r="W729" s="850"/>
    </row>
    <row r="730" spans="1:23" x14ac:dyDescent="0.2">
      <c r="A730" s="881" t="s">
        <v>4490</v>
      </c>
      <c r="B730" s="882"/>
      <c r="C730" s="882"/>
      <c r="D730" s="882"/>
      <c r="E730" s="882"/>
      <c r="F730" s="882"/>
      <c r="G730" s="882"/>
      <c r="H730" s="882"/>
      <c r="I730" s="882"/>
      <c r="J730" s="882"/>
      <c r="K730" s="882"/>
      <c r="L730" s="883"/>
      <c r="M730" s="882"/>
      <c r="N730" s="882"/>
      <c r="O730" s="882"/>
      <c r="P730" s="882"/>
      <c r="Q730" s="882"/>
      <c r="R730" s="882"/>
      <c r="S730" s="882"/>
      <c r="T730" s="882"/>
      <c r="U730" s="882"/>
      <c r="V730" s="882"/>
      <c r="W730" s="850"/>
    </row>
    <row r="731" spans="1:23" x14ac:dyDescent="0.2">
      <c r="A731" s="849" t="s">
        <v>4491</v>
      </c>
      <c r="B731" s="850"/>
      <c r="C731" s="850"/>
      <c r="D731" s="850">
        <v>-10</v>
      </c>
      <c r="E731" s="850"/>
      <c r="F731" s="850"/>
      <c r="G731" s="850"/>
      <c r="H731" s="850">
        <v>1</v>
      </c>
      <c r="I731" s="850"/>
      <c r="J731" s="851" t="s">
        <v>4435</v>
      </c>
      <c r="K731" s="850"/>
      <c r="L731" s="859"/>
      <c r="M731" s="850"/>
      <c r="N731" s="850"/>
      <c r="O731" s="850"/>
      <c r="P731" s="850"/>
      <c r="Q731" s="850"/>
      <c r="R731" s="850"/>
      <c r="S731" s="850"/>
      <c r="T731" s="850"/>
      <c r="U731" s="850"/>
      <c r="V731" s="850"/>
      <c r="W731" s="850"/>
    </row>
    <row r="732" spans="1:23" x14ac:dyDescent="0.2">
      <c r="A732" s="849" t="s">
        <v>4492</v>
      </c>
      <c r="B732" s="850"/>
      <c r="C732" s="850"/>
      <c r="D732" s="850">
        <v>-15</v>
      </c>
      <c r="E732" s="850"/>
      <c r="F732" s="850"/>
      <c r="G732" s="850"/>
      <c r="H732" s="850">
        <v>1</v>
      </c>
      <c r="I732" s="850"/>
      <c r="J732" s="851" t="s">
        <v>4435</v>
      </c>
      <c r="K732" s="850"/>
      <c r="L732" s="859"/>
      <c r="M732" s="850"/>
      <c r="N732" s="850"/>
      <c r="O732" s="850"/>
      <c r="P732" s="850"/>
      <c r="Q732" s="850"/>
      <c r="R732" s="850"/>
      <c r="S732" s="850"/>
      <c r="T732" s="850"/>
      <c r="U732" s="850"/>
      <c r="V732" s="850"/>
      <c r="W732" s="850"/>
    </row>
    <row r="733" spans="1:23" x14ac:dyDescent="0.2">
      <c r="A733" s="849" t="s">
        <v>4493</v>
      </c>
      <c r="B733" s="850"/>
      <c r="C733" s="850"/>
      <c r="D733" s="850">
        <v>-25</v>
      </c>
      <c r="E733" s="850"/>
      <c r="F733" s="850"/>
      <c r="G733" s="850"/>
      <c r="H733" s="850">
        <v>2</v>
      </c>
      <c r="I733" s="850"/>
      <c r="J733" s="851" t="s">
        <v>4435</v>
      </c>
      <c r="K733" s="850"/>
      <c r="L733" s="859"/>
      <c r="M733" s="850"/>
      <c r="N733" s="850"/>
      <c r="O733" s="850"/>
      <c r="P733" s="850"/>
      <c r="Q733" s="850"/>
      <c r="R733" s="850"/>
      <c r="S733" s="850"/>
      <c r="T733" s="850"/>
      <c r="U733" s="850"/>
      <c r="V733" s="850"/>
      <c r="W733" s="850"/>
    </row>
    <row r="734" spans="1:23" x14ac:dyDescent="0.2">
      <c r="A734" s="881" t="s">
        <v>4494</v>
      </c>
      <c r="B734" s="882"/>
      <c r="C734" s="882"/>
      <c r="D734" s="882"/>
      <c r="E734" s="882"/>
      <c r="F734" s="882"/>
      <c r="G734" s="882"/>
      <c r="H734" s="882"/>
      <c r="I734" s="882"/>
      <c r="J734" s="882"/>
      <c r="K734" s="882"/>
      <c r="L734" s="883"/>
      <c r="M734" s="882"/>
      <c r="N734" s="882"/>
      <c r="O734" s="882"/>
      <c r="P734" s="882"/>
      <c r="Q734" s="882"/>
      <c r="R734" s="882"/>
      <c r="S734" s="882"/>
      <c r="T734" s="882"/>
      <c r="U734" s="882"/>
      <c r="V734" s="882"/>
      <c r="W734" s="850"/>
    </row>
    <row r="735" spans="1:23" x14ac:dyDescent="0.2">
      <c r="A735" s="849" t="s">
        <v>4495</v>
      </c>
      <c r="B735" s="850"/>
      <c r="C735" s="850"/>
      <c r="D735" s="850">
        <v>-10</v>
      </c>
      <c r="E735" s="850"/>
      <c r="F735" s="850"/>
      <c r="G735" s="850"/>
      <c r="H735" s="850">
        <v>1</v>
      </c>
      <c r="I735" s="850"/>
      <c r="J735" s="851" t="s">
        <v>4435</v>
      </c>
      <c r="K735" s="850"/>
      <c r="L735" s="859"/>
      <c r="M735" s="850"/>
      <c r="N735" s="850"/>
      <c r="O735" s="850"/>
      <c r="P735" s="850"/>
      <c r="Q735" s="850"/>
      <c r="R735" s="850"/>
      <c r="S735" s="850"/>
      <c r="T735" s="850"/>
      <c r="U735" s="850"/>
      <c r="V735" s="850"/>
      <c r="W735" s="850"/>
    </row>
    <row r="736" spans="1:23" x14ac:dyDescent="0.2">
      <c r="A736" s="849" t="s">
        <v>4496</v>
      </c>
      <c r="B736" s="850"/>
      <c r="C736" s="850"/>
      <c r="D736" s="850">
        <v>-5</v>
      </c>
      <c r="E736" s="850"/>
      <c r="F736" s="850"/>
      <c r="G736" s="850"/>
      <c r="H736" s="850">
        <v>1</v>
      </c>
      <c r="I736" s="850"/>
      <c r="J736" s="851" t="s">
        <v>4435</v>
      </c>
      <c r="K736" s="850"/>
      <c r="L736" s="859"/>
      <c r="M736" s="850"/>
      <c r="N736" s="850"/>
      <c r="O736" s="850"/>
      <c r="P736" s="850"/>
      <c r="Q736" s="850"/>
      <c r="R736" s="850"/>
      <c r="S736" s="850"/>
      <c r="T736" s="850"/>
      <c r="U736" s="850"/>
      <c r="V736" s="850"/>
      <c r="W736" s="850"/>
    </row>
    <row r="737" spans="1:23" x14ac:dyDescent="0.2">
      <c r="A737" s="881" t="s">
        <v>4497</v>
      </c>
      <c r="B737" s="882"/>
      <c r="C737" s="882"/>
      <c r="D737" s="882"/>
      <c r="E737" s="882"/>
      <c r="F737" s="882"/>
      <c r="G737" s="882"/>
      <c r="H737" s="882"/>
      <c r="I737" s="882"/>
      <c r="J737" s="882"/>
      <c r="K737" s="882"/>
      <c r="L737" s="883"/>
      <c r="M737" s="882"/>
      <c r="N737" s="882"/>
      <c r="O737" s="882"/>
      <c r="P737" s="882"/>
      <c r="Q737" s="882"/>
      <c r="R737" s="882"/>
      <c r="S737" s="882"/>
      <c r="T737" s="882"/>
      <c r="U737" s="882"/>
      <c r="V737" s="882"/>
      <c r="W737" s="850"/>
    </row>
    <row r="738" spans="1:23" x14ac:dyDescent="0.2">
      <c r="A738" s="849" t="s">
        <v>4498</v>
      </c>
      <c r="B738" s="850"/>
      <c r="C738" s="850"/>
      <c r="D738" s="850">
        <v>-5</v>
      </c>
      <c r="E738" s="850"/>
      <c r="F738" s="850"/>
      <c r="G738" s="850"/>
      <c r="H738" s="850">
        <v>1</v>
      </c>
      <c r="I738" s="850"/>
      <c r="J738" s="851" t="s">
        <v>4435</v>
      </c>
      <c r="K738" s="850"/>
      <c r="L738" s="859"/>
      <c r="M738" s="850"/>
      <c r="N738" s="850"/>
      <c r="O738" s="850"/>
      <c r="P738" s="850"/>
      <c r="Q738" s="850"/>
      <c r="R738" s="850"/>
      <c r="S738" s="850"/>
      <c r="T738" s="850"/>
      <c r="U738" s="850"/>
      <c r="V738" s="850"/>
      <c r="W738" s="850"/>
    </row>
    <row r="739" spans="1:23" x14ac:dyDescent="0.2">
      <c r="A739" s="849" t="s">
        <v>4499</v>
      </c>
      <c r="B739" s="850"/>
      <c r="C739" s="850"/>
      <c r="D739" s="850">
        <v>-10</v>
      </c>
      <c r="E739" s="850"/>
      <c r="F739" s="850"/>
      <c r="G739" s="850"/>
      <c r="H739" s="850">
        <v>1</v>
      </c>
      <c r="I739" s="850"/>
      <c r="J739" s="851" t="s">
        <v>4435</v>
      </c>
      <c r="K739" s="850"/>
      <c r="L739" s="859"/>
      <c r="M739" s="850"/>
      <c r="N739" s="850"/>
      <c r="O739" s="850"/>
      <c r="P739" s="850"/>
      <c r="Q739" s="850"/>
      <c r="R739" s="850"/>
      <c r="S739" s="850"/>
      <c r="T739" s="850"/>
      <c r="U739" s="850"/>
      <c r="V739" s="850"/>
      <c r="W739" s="850"/>
    </row>
    <row r="740" spans="1:23" x14ac:dyDescent="0.2">
      <c r="A740" s="849" t="s">
        <v>4500</v>
      </c>
      <c r="B740" s="850"/>
      <c r="C740" s="850"/>
      <c r="D740" s="850">
        <v>-15</v>
      </c>
      <c r="E740" s="850"/>
      <c r="F740" s="850"/>
      <c r="G740" s="850"/>
      <c r="H740" s="850">
        <v>2</v>
      </c>
      <c r="I740" s="850"/>
      <c r="J740" s="851" t="s">
        <v>4435</v>
      </c>
      <c r="K740" s="850"/>
      <c r="L740" s="859"/>
      <c r="M740" s="850"/>
      <c r="N740" s="850"/>
      <c r="O740" s="850"/>
      <c r="P740" s="850"/>
      <c r="Q740" s="850"/>
      <c r="R740" s="850"/>
      <c r="S740" s="850"/>
      <c r="T740" s="850"/>
      <c r="U740" s="850"/>
      <c r="V740" s="850"/>
      <c r="W740" s="850"/>
    </row>
    <row r="741" spans="1:23" x14ac:dyDescent="0.2">
      <c r="A741" s="849" t="s">
        <v>4501</v>
      </c>
      <c r="B741" s="850"/>
      <c r="C741" s="850"/>
      <c r="D741" s="850">
        <v>-20</v>
      </c>
      <c r="E741" s="850"/>
      <c r="F741" s="850"/>
      <c r="G741" s="850"/>
      <c r="H741" s="850">
        <v>2</v>
      </c>
      <c r="I741" s="850"/>
      <c r="J741" s="851" t="s">
        <v>4435</v>
      </c>
      <c r="K741" s="850"/>
      <c r="L741" s="859"/>
      <c r="M741" s="850"/>
      <c r="N741" s="850"/>
      <c r="O741" s="850"/>
      <c r="P741" s="850"/>
      <c r="Q741" s="850"/>
      <c r="R741" s="850"/>
      <c r="S741" s="850"/>
      <c r="T741" s="850"/>
      <c r="U741" s="850"/>
      <c r="V741" s="850"/>
      <c r="W741" s="850"/>
    </row>
    <row r="742" spans="1:23" x14ac:dyDescent="0.2">
      <c r="A742" s="849" t="s">
        <v>4502</v>
      </c>
      <c r="B742" s="850"/>
      <c r="C742" s="850"/>
      <c r="D742" s="850">
        <v>-25</v>
      </c>
      <c r="E742" s="850"/>
      <c r="F742" s="850"/>
      <c r="G742" s="850"/>
      <c r="H742" s="850">
        <v>3</v>
      </c>
      <c r="I742" s="850"/>
      <c r="J742" s="851" t="s">
        <v>4435</v>
      </c>
      <c r="K742" s="850"/>
      <c r="L742" s="859"/>
      <c r="M742" s="850"/>
      <c r="N742" s="850"/>
      <c r="O742" s="850"/>
      <c r="P742" s="850"/>
      <c r="Q742" s="850"/>
      <c r="R742" s="850"/>
      <c r="S742" s="850"/>
      <c r="T742" s="850"/>
      <c r="U742" s="850"/>
      <c r="V742" s="850"/>
      <c r="W742" s="850"/>
    </row>
    <row r="743" spans="1:23" x14ac:dyDescent="0.2">
      <c r="A743" s="881" t="s">
        <v>4503</v>
      </c>
      <c r="B743" s="882"/>
      <c r="C743" s="882"/>
      <c r="D743" s="882"/>
      <c r="E743" s="882"/>
      <c r="F743" s="882"/>
      <c r="G743" s="882"/>
      <c r="H743" s="882"/>
      <c r="I743" s="882"/>
      <c r="J743" s="882"/>
      <c r="K743" s="882"/>
      <c r="L743" s="883"/>
      <c r="M743" s="882"/>
      <c r="N743" s="882"/>
      <c r="O743" s="882"/>
      <c r="P743" s="882"/>
      <c r="Q743" s="882"/>
      <c r="R743" s="882"/>
      <c r="S743" s="882"/>
      <c r="T743" s="882"/>
      <c r="U743" s="882"/>
      <c r="V743" s="882"/>
      <c r="W743" s="850"/>
    </row>
    <row r="744" spans="1:23" x14ac:dyDescent="0.2">
      <c r="A744" s="849" t="s">
        <v>4504</v>
      </c>
      <c r="B744" s="850"/>
      <c r="C744" s="850"/>
      <c r="D744" s="850">
        <v>-30</v>
      </c>
      <c r="E744" s="850"/>
      <c r="F744" s="850"/>
      <c r="G744" s="850"/>
      <c r="H744" s="850">
        <v>1</v>
      </c>
      <c r="I744" s="850"/>
      <c r="J744" s="851" t="s">
        <v>4435</v>
      </c>
      <c r="K744" s="850"/>
      <c r="L744" s="859"/>
      <c r="M744" s="850"/>
      <c r="N744" s="850"/>
      <c r="O744" s="850"/>
      <c r="P744" s="850"/>
      <c r="Q744" s="850"/>
      <c r="R744" s="850"/>
      <c r="S744" s="850"/>
      <c r="T744" s="850"/>
      <c r="U744" s="850"/>
      <c r="V744" s="850"/>
      <c r="W744" s="850"/>
    </row>
    <row r="745" spans="1:23" x14ac:dyDescent="0.2">
      <c r="A745" s="881" t="s">
        <v>4505</v>
      </c>
      <c r="B745" s="882"/>
      <c r="C745" s="882"/>
      <c r="D745" s="882"/>
      <c r="E745" s="882"/>
      <c r="F745" s="882"/>
      <c r="G745" s="882"/>
      <c r="H745" s="882"/>
      <c r="I745" s="882"/>
      <c r="J745" s="882"/>
      <c r="K745" s="882"/>
      <c r="L745" s="883"/>
      <c r="M745" s="882"/>
      <c r="N745" s="882"/>
      <c r="O745" s="882"/>
      <c r="P745" s="882"/>
      <c r="Q745" s="882"/>
      <c r="R745" s="882"/>
      <c r="S745" s="882"/>
      <c r="T745" s="882"/>
      <c r="U745" s="882"/>
      <c r="V745" s="882"/>
      <c r="W745" s="850"/>
    </row>
    <row r="746" spans="1:23" x14ac:dyDescent="0.2">
      <c r="A746" s="849" t="s">
        <v>4506</v>
      </c>
      <c r="B746" s="850"/>
      <c r="C746" s="850"/>
      <c r="D746" s="850">
        <v>-15</v>
      </c>
      <c r="E746" s="850"/>
      <c r="F746" s="850"/>
      <c r="G746" s="850"/>
      <c r="H746" s="850">
        <v>1</v>
      </c>
      <c r="I746" s="850"/>
      <c r="J746" s="851" t="s">
        <v>1534</v>
      </c>
      <c r="K746" s="850"/>
      <c r="L746" s="859"/>
      <c r="M746" s="850"/>
      <c r="N746" s="850"/>
      <c r="O746" s="850"/>
      <c r="P746" s="850"/>
      <c r="Q746" s="850"/>
      <c r="R746" s="850"/>
      <c r="S746" s="850"/>
      <c r="T746" s="850"/>
      <c r="U746" s="850"/>
      <c r="V746" s="850"/>
      <c r="W746" s="850"/>
    </row>
    <row r="747" spans="1:23" x14ac:dyDescent="0.2">
      <c r="A747" s="881" t="s">
        <v>4507</v>
      </c>
      <c r="B747" s="882"/>
      <c r="C747" s="882"/>
      <c r="D747" s="882"/>
      <c r="E747" s="882"/>
      <c r="F747" s="882"/>
      <c r="G747" s="882"/>
      <c r="H747" s="882"/>
      <c r="I747" s="882"/>
      <c r="J747" s="882"/>
      <c r="K747" s="882"/>
      <c r="L747" s="883"/>
      <c r="M747" s="882"/>
      <c r="N747" s="882"/>
      <c r="O747" s="882"/>
      <c r="P747" s="882"/>
      <c r="Q747" s="882"/>
      <c r="R747" s="882"/>
      <c r="S747" s="882"/>
      <c r="T747" s="882"/>
      <c r="U747" s="882"/>
      <c r="V747" s="882"/>
      <c r="W747" s="850"/>
    </row>
    <row r="748" spans="1:23" x14ac:dyDescent="0.2">
      <c r="A748" s="849" t="s">
        <v>4508</v>
      </c>
      <c r="B748" s="850"/>
      <c r="C748" s="850"/>
      <c r="D748" s="850">
        <v>-5</v>
      </c>
      <c r="E748" s="850"/>
      <c r="F748" s="850"/>
      <c r="G748" s="850"/>
      <c r="H748" s="850">
        <v>1</v>
      </c>
      <c r="I748" s="850"/>
      <c r="J748" s="851" t="s">
        <v>4435</v>
      </c>
      <c r="K748" s="850"/>
      <c r="L748" s="859"/>
      <c r="M748" s="850"/>
      <c r="N748" s="850"/>
      <c r="O748" s="850"/>
      <c r="P748" s="850"/>
      <c r="Q748" s="850"/>
      <c r="R748" s="850"/>
      <c r="S748" s="850"/>
      <c r="T748" s="850"/>
      <c r="U748" s="850"/>
      <c r="V748" s="850"/>
      <c r="W748" s="850"/>
    </row>
    <row r="749" spans="1:23" x14ac:dyDescent="0.2">
      <c r="A749" s="849" t="s">
        <v>4509</v>
      </c>
      <c r="B749" s="850"/>
      <c r="C749" s="850"/>
      <c r="D749" s="850">
        <v>-10</v>
      </c>
      <c r="E749" s="850"/>
      <c r="F749" s="850"/>
      <c r="G749" s="850"/>
      <c r="H749" s="850">
        <v>1</v>
      </c>
      <c r="I749" s="850"/>
      <c r="J749" s="851" t="s">
        <v>4435</v>
      </c>
      <c r="K749" s="850"/>
      <c r="L749" s="859"/>
      <c r="M749" s="850"/>
      <c r="N749" s="850"/>
      <c r="O749" s="850"/>
      <c r="P749" s="850"/>
      <c r="Q749" s="850"/>
      <c r="R749" s="850"/>
      <c r="S749" s="850"/>
      <c r="T749" s="850"/>
      <c r="U749" s="850"/>
      <c r="V749" s="850"/>
      <c r="W749" s="850"/>
    </row>
    <row r="750" spans="1:23" x14ac:dyDescent="0.2">
      <c r="A750" s="881" t="s">
        <v>4510</v>
      </c>
      <c r="B750" s="882"/>
      <c r="C750" s="882"/>
      <c r="D750" s="882"/>
      <c r="E750" s="882"/>
      <c r="F750" s="882"/>
      <c r="G750" s="882"/>
      <c r="H750" s="882"/>
      <c r="I750" s="882"/>
      <c r="J750" s="882"/>
      <c r="K750" s="882"/>
      <c r="L750" s="883"/>
      <c r="M750" s="882"/>
      <c r="N750" s="882"/>
      <c r="O750" s="882"/>
      <c r="P750" s="882"/>
      <c r="Q750" s="882"/>
      <c r="R750" s="882"/>
      <c r="S750" s="882"/>
      <c r="T750" s="882"/>
      <c r="U750" s="882"/>
      <c r="V750" s="882"/>
      <c r="W750" s="850"/>
    </row>
    <row r="751" spans="1:23" x14ac:dyDescent="0.2">
      <c r="A751" s="849" t="s">
        <v>4511</v>
      </c>
      <c r="B751" s="850"/>
      <c r="C751" s="850"/>
      <c r="D751" s="850">
        <v>-5</v>
      </c>
      <c r="E751" s="850"/>
      <c r="F751" s="850"/>
      <c r="G751" s="850"/>
      <c r="H751" s="850">
        <v>1</v>
      </c>
      <c r="I751" s="850"/>
      <c r="J751" s="851" t="s">
        <v>4435</v>
      </c>
      <c r="K751" s="850"/>
      <c r="L751" s="859"/>
      <c r="M751" s="850"/>
      <c r="N751" s="850"/>
      <c r="O751" s="850"/>
      <c r="P751" s="850"/>
      <c r="Q751" s="850"/>
      <c r="R751" s="850"/>
      <c r="S751" s="850"/>
      <c r="T751" s="850"/>
      <c r="U751" s="850"/>
      <c r="V751" s="850"/>
      <c r="W751" s="850"/>
    </row>
    <row r="752" spans="1:23" x14ac:dyDescent="0.2">
      <c r="A752" s="849" t="s">
        <v>4512</v>
      </c>
      <c r="B752" s="850"/>
      <c r="C752" s="850"/>
      <c r="D752" s="850">
        <v>-10</v>
      </c>
      <c r="E752" s="850"/>
      <c r="F752" s="850"/>
      <c r="G752" s="850"/>
      <c r="H752" s="850">
        <v>2</v>
      </c>
      <c r="I752" s="850"/>
      <c r="J752" s="851" t="s">
        <v>4435</v>
      </c>
      <c r="K752" s="850"/>
      <c r="L752" s="859"/>
      <c r="M752" s="850"/>
      <c r="N752" s="850"/>
      <c r="O752" s="850"/>
      <c r="P752" s="850"/>
      <c r="Q752" s="850"/>
      <c r="R752" s="850"/>
      <c r="S752" s="850"/>
      <c r="T752" s="850"/>
      <c r="U752" s="850"/>
      <c r="V752" s="850"/>
      <c r="W752" s="850"/>
    </row>
    <row r="753" spans="1:23" x14ac:dyDescent="0.2">
      <c r="A753" s="849" t="s">
        <v>4513</v>
      </c>
      <c r="B753" s="850"/>
      <c r="C753" s="850"/>
      <c r="D753" s="850">
        <v>-15</v>
      </c>
      <c r="E753" s="850"/>
      <c r="F753" s="850"/>
      <c r="G753" s="850"/>
      <c r="H753" s="850">
        <v>3</v>
      </c>
      <c r="I753" s="850"/>
      <c r="J753" s="851" t="s">
        <v>4435</v>
      </c>
      <c r="K753" s="850"/>
      <c r="L753" s="859"/>
      <c r="M753" s="850"/>
      <c r="N753" s="850"/>
      <c r="O753" s="850"/>
      <c r="P753" s="850"/>
      <c r="Q753" s="850"/>
      <c r="R753" s="850"/>
      <c r="S753" s="850"/>
      <c r="T753" s="850"/>
      <c r="U753" s="850"/>
      <c r="V753" s="850"/>
      <c r="W753" s="850"/>
    </row>
    <row r="754" spans="1:23" x14ac:dyDescent="0.2">
      <c r="A754" s="881" t="s">
        <v>4514</v>
      </c>
      <c r="B754" s="882"/>
      <c r="C754" s="882"/>
      <c r="D754" s="882"/>
      <c r="E754" s="882"/>
      <c r="F754" s="882"/>
      <c r="G754" s="882"/>
      <c r="H754" s="882"/>
      <c r="I754" s="882"/>
      <c r="J754" s="882"/>
      <c r="K754" s="882"/>
      <c r="L754" s="883"/>
      <c r="M754" s="882"/>
      <c r="N754" s="882"/>
      <c r="O754" s="882"/>
      <c r="P754" s="882"/>
      <c r="Q754" s="882"/>
      <c r="R754" s="882"/>
      <c r="S754" s="882"/>
      <c r="T754" s="882"/>
      <c r="U754" s="882"/>
      <c r="V754" s="882"/>
      <c r="W754" s="850"/>
    </row>
    <row r="755" spans="1:23" x14ac:dyDescent="0.2">
      <c r="A755" s="849" t="s">
        <v>4515</v>
      </c>
      <c r="B755" s="850"/>
      <c r="C755" s="850"/>
      <c r="D755" s="850">
        <v>-10</v>
      </c>
      <c r="E755" s="850"/>
      <c r="F755" s="850"/>
      <c r="G755" s="850"/>
      <c r="H755" s="850">
        <v>1</v>
      </c>
      <c r="I755" s="850"/>
      <c r="J755" s="851" t="s">
        <v>4435</v>
      </c>
      <c r="K755" s="850"/>
      <c r="L755" s="859"/>
      <c r="M755" s="850"/>
      <c r="N755" s="850"/>
      <c r="O755" s="850"/>
      <c r="P755" s="850"/>
      <c r="Q755" s="850"/>
      <c r="R755" s="850"/>
      <c r="S755" s="850"/>
      <c r="T755" s="850"/>
      <c r="U755" s="850"/>
      <c r="V755" s="850"/>
      <c r="W755" s="850"/>
    </row>
    <row r="756" spans="1:23" x14ac:dyDescent="0.2">
      <c r="A756" s="849" t="s">
        <v>4516</v>
      </c>
      <c r="B756" s="850"/>
      <c r="C756" s="850"/>
      <c r="D756" s="850">
        <v>-20</v>
      </c>
      <c r="E756" s="850"/>
      <c r="F756" s="850"/>
      <c r="G756" s="850"/>
      <c r="H756" s="850">
        <v>1</v>
      </c>
      <c r="I756" s="850"/>
      <c r="J756" s="851" t="s">
        <v>4435</v>
      </c>
      <c r="K756" s="850"/>
      <c r="L756" s="859"/>
      <c r="M756" s="850"/>
      <c r="N756" s="850"/>
      <c r="O756" s="850"/>
      <c r="P756" s="850"/>
      <c r="Q756" s="850"/>
      <c r="R756" s="850"/>
      <c r="S756" s="850"/>
      <c r="T756" s="850"/>
      <c r="U756" s="850"/>
      <c r="V756" s="850"/>
      <c r="W756" s="850"/>
    </row>
    <row r="757" spans="1:23" x14ac:dyDescent="0.2">
      <c r="A757" s="849" t="s">
        <v>4517</v>
      </c>
      <c r="B757" s="850"/>
      <c r="C757" s="850"/>
      <c r="D757" s="850">
        <v>-25</v>
      </c>
      <c r="E757" s="850"/>
      <c r="F757" s="850"/>
      <c r="G757" s="850"/>
      <c r="H757" s="850">
        <v>2</v>
      </c>
      <c r="I757" s="850"/>
      <c r="J757" s="851" t="s">
        <v>4435</v>
      </c>
      <c r="K757" s="850"/>
      <c r="L757" s="859"/>
      <c r="M757" s="850"/>
      <c r="N757" s="850"/>
      <c r="O757" s="850"/>
      <c r="P757" s="850"/>
      <c r="Q757" s="850"/>
      <c r="R757" s="850"/>
      <c r="S757" s="850"/>
      <c r="T757" s="850"/>
      <c r="U757" s="850"/>
      <c r="V757" s="850"/>
      <c r="W757" s="850"/>
    </row>
    <row r="758" spans="1:23" x14ac:dyDescent="0.2">
      <c r="A758" s="849" t="s">
        <v>4518</v>
      </c>
      <c r="B758" s="850"/>
      <c r="C758" s="850"/>
      <c r="D758" s="850">
        <v>-30</v>
      </c>
      <c r="E758" s="850"/>
      <c r="F758" s="850"/>
      <c r="G758" s="850"/>
      <c r="H758" s="850">
        <v>2</v>
      </c>
      <c r="I758" s="850"/>
      <c r="J758" s="851" t="s">
        <v>4435</v>
      </c>
      <c r="K758" s="850"/>
      <c r="L758" s="859"/>
      <c r="M758" s="850"/>
      <c r="N758" s="850"/>
      <c r="O758" s="850"/>
      <c r="P758" s="850"/>
      <c r="Q758" s="850"/>
      <c r="R758" s="850"/>
      <c r="S758" s="850"/>
      <c r="T758" s="850"/>
      <c r="U758" s="850"/>
      <c r="V758" s="850"/>
      <c r="W758" s="850"/>
    </row>
    <row r="759" spans="1:23" x14ac:dyDescent="0.2">
      <c r="A759" s="849" t="s">
        <v>4519</v>
      </c>
      <c r="B759" s="850"/>
      <c r="C759" s="850"/>
      <c r="D759" s="850">
        <v>-40</v>
      </c>
      <c r="E759" s="850"/>
      <c r="F759" s="850"/>
      <c r="G759" s="850"/>
      <c r="H759" s="850">
        <v>3</v>
      </c>
      <c r="I759" s="850"/>
      <c r="J759" s="851" t="s">
        <v>4435</v>
      </c>
      <c r="K759" s="850"/>
      <c r="L759" s="859"/>
      <c r="M759" s="850"/>
      <c r="N759" s="850"/>
      <c r="O759" s="850"/>
      <c r="P759" s="850"/>
      <c r="Q759" s="850"/>
      <c r="R759" s="850"/>
      <c r="S759" s="850"/>
      <c r="T759" s="850"/>
      <c r="U759" s="850"/>
      <c r="V759" s="850"/>
      <c r="W759" s="850"/>
    </row>
    <row r="760" spans="1:23" x14ac:dyDescent="0.2">
      <c r="A760" s="878" t="s">
        <v>4520</v>
      </c>
      <c r="B760" s="879"/>
      <c r="C760" s="879"/>
      <c r="D760" s="879"/>
      <c r="E760" s="879"/>
      <c r="F760" s="879"/>
      <c r="G760" s="879"/>
      <c r="H760" s="879"/>
      <c r="I760" s="879"/>
      <c r="J760" s="879"/>
      <c r="K760" s="879"/>
      <c r="L760" s="880"/>
      <c r="M760" s="879"/>
      <c r="N760" s="879"/>
      <c r="O760" s="879"/>
      <c r="P760" s="879"/>
      <c r="Q760" s="879"/>
      <c r="R760" s="879"/>
      <c r="S760" s="879"/>
      <c r="T760" s="879"/>
      <c r="U760" s="879"/>
      <c r="V760" s="879"/>
      <c r="W760" s="850"/>
    </row>
    <row r="761" spans="1:23" x14ac:dyDescent="0.2">
      <c r="A761" s="881" t="s">
        <v>4521</v>
      </c>
      <c r="B761" s="882"/>
      <c r="C761" s="882"/>
      <c r="D761" s="882"/>
      <c r="E761" s="882"/>
      <c r="F761" s="882"/>
      <c r="G761" s="882"/>
      <c r="H761" s="882"/>
      <c r="I761" s="882"/>
      <c r="J761" s="882"/>
      <c r="K761" s="882"/>
      <c r="L761" s="883"/>
      <c r="M761" s="882"/>
      <c r="N761" s="882"/>
      <c r="O761" s="882"/>
      <c r="P761" s="882"/>
      <c r="Q761" s="882"/>
      <c r="R761" s="882"/>
      <c r="S761" s="882"/>
      <c r="T761" s="882"/>
      <c r="U761" s="882"/>
      <c r="V761" s="882"/>
      <c r="W761" s="850"/>
    </row>
    <row r="762" spans="1:23" x14ac:dyDescent="0.2">
      <c r="A762" s="849" t="s">
        <v>4522</v>
      </c>
      <c r="B762" s="850">
        <v>-1</v>
      </c>
      <c r="C762" s="850">
        <v>-1</v>
      </c>
      <c r="D762" s="850">
        <v>10</v>
      </c>
      <c r="E762" s="850"/>
      <c r="F762" s="850"/>
      <c r="G762" s="850"/>
      <c r="H762" s="850"/>
      <c r="I762" s="850"/>
      <c r="J762" s="851"/>
      <c r="K762" s="850"/>
      <c r="L762" s="859"/>
      <c r="M762" s="850"/>
      <c r="N762" s="850"/>
      <c r="O762" s="850"/>
      <c r="P762" s="850"/>
      <c r="Q762" s="850"/>
      <c r="R762" s="850"/>
      <c r="S762" s="850"/>
      <c r="T762" s="850"/>
      <c r="U762" s="850"/>
      <c r="V762" s="850"/>
    </row>
    <row r="763" spans="1:23" x14ac:dyDescent="0.2">
      <c r="A763" s="849" t="s">
        <v>4523</v>
      </c>
      <c r="B763" s="850">
        <v>-2</v>
      </c>
      <c r="C763" s="850">
        <v>-2</v>
      </c>
      <c r="D763" s="850">
        <v>20</v>
      </c>
      <c r="E763" s="850"/>
      <c r="F763" s="850"/>
      <c r="G763" s="850"/>
      <c r="H763" s="850"/>
      <c r="I763" s="850"/>
      <c r="J763" s="851"/>
      <c r="K763" s="850"/>
      <c r="L763" s="859"/>
      <c r="M763" s="850"/>
      <c r="N763" s="850"/>
      <c r="O763" s="850"/>
      <c r="P763" s="850"/>
      <c r="Q763" s="850"/>
      <c r="R763" s="850"/>
      <c r="S763" s="850"/>
      <c r="T763" s="850"/>
      <c r="U763" s="850"/>
      <c r="V763" s="850"/>
    </row>
    <row r="764" spans="1:23" x14ac:dyDescent="0.2">
      <c r="A764" s="849" t="s">
        <v>4524</v>
      </c>
      <c r="B764" s="850">
        <v>-3</v>
      </c>
      <c r="C764" s="850">
        <v>-3</v>
      </c>
      <c r="D764" s="850">
        <v>30</v>
      </c>
      <c r="E764" s="850"/>
      <c r="F764" s="850"/>
      <c r="G764" s="850"/>
      <c r="H764" s="850"/>
      <c r="I764" s="850"/>
      <c r="J764" s="851"/>
      <c r="K764" s="850"/>
      <c r="L764" s="859"/>
      <c r="M764" s="850"/>
      <c r="N764" s="850"/>
      <c r="O764" s="850"/>
      <c r="P764" s="850"/>
      <c r="Q764" s="850"/>
      <c r="R764" s="850"/>
      <c r="S764" s="850"/>
      <c r="T764" s="850"/>
      <c r="U764" s="850"/>
      <c r="V764" s="850"/>
    </row>
    <row r="765" spans="1:23" x14ac:dyDescent="0.2">
      <c r="A765" s="849" t="s">
        <v>4525</v>
      </c>
      <c r="B765" s="850">
        <v>-4</v>
      </c>
      <c r="C765" s="850">
        <v>-4</v>
      </c>
      <c r="D765" s="850">
        <v>40</v>
      </c>
      <c r="E765" s="850"/>
      <c r="F765" s="850"/>
      <c r="G765" s="850"/>
      <c r="H765" s="850"/>
      <c r="I765" s="850"/>
      <c r="J765" s="851"/>
      <c r="K765" s="850"/>
      <c r="L765" s="859"/>
      <c r="M765" s="850"/>
      <c r="N765" s="850"/>
      <c r="O765" s="850"/>
      <c r="P765" s="850"/>
      <c r="Q765" s="850"/>
      <c r="R765" s="850"/>
      <c r="S765" s="850"/>
      <c r="T765" s="850"/>
      <c r="U765" s="850"/>
      <c r="V765" s="850"/>
    </row>
    <row r="766" spans="1:23" x14ac:dyDescent="0.2">
      <c r="A766" s="849" t="s">
        <v>4526</v>
      </c>
      <c r="B766" s="850">
        <v>-5</v>
      </c>
      <c r="C766" s="850">
        <v>-5</v>
      </c>
      <c r="D766" s="850">
        <v>50</v>
      </c>
      <c r="E766" s="850"/>
      <c r="F766" s="850"/>
      <c r="G766" s="850"/>
      <c r="H766" s="850"/>
      <c r="I766" s="850"/>
      <c r="J766" s="851"/>
      <c r="K766" s="850"/>
      <c r="L766" s="859"/>
      <c r="M766" s="850"/>
      <c r="N766" s="850"/>
      <c r="O766" s="850"/>
      <c r="P766" s="850"/>
      <c r="Q766" s="850"/>
      <c r="R766" s="850"/>
      <c r="S766" s="850"/>
      <c r="T766" s="850"/>
      <c r="U766" s="850"/>
      <c r="V766" s="850"/>
    </row>
    <row r="767" spans="1:23" x14ac:dyDescent="0.2">
      <c r="A767" s="881" t="s">
        <v>4527</v>
      </c>
      <c r="B767" s="882"/>
      <c r="C767" s="882"/>
      <c r="D767" s="882"/>
      <c r="E767" s="882"/>
      <c r="F767" s="882"/>
      <c r="G767" s="882"/>
      <c r="H767" s="882"/>
      <c r="I767" s="882"/>
      <c r="J767" s="882"/>
      <c r="K767" s="882"/>
      <c r="L767" s="883"/>
      <c r="M767" s="882"/>
      <c r="N767" s="882"/>
      <c r="O767" s="882"/>
      <c r="P767" s="882"/>
      <c r="Q767" s="882"/>
      <c r="R767" s="882"/>
      <c r="S767" s="882"/>
      <c r="T767" s="882"/>
      <c r="U767" s="882"/>
      <c r="V767" s="882"/>
    </row>
    <row r="768" spans="1:23" x14ac:dyDescent="0.2">
      <c r="A768" s="849" t="s">
        <v>4528</v>
      </c>
      <c r="B768" s="850">
        <v>2</v>
      </c>
      <c r="C768" s="850">
        <v>2</v>
      </c>
      <c r="D768" s="850">
        <v>-5</v>
      </c>
      <c r="E768" s="850"/>
      <c r="F768" s="850"/>
      <c r="G768" s="850"/>
      <c r="H768" s="850"/>
      <c r="I768" s="850"/>
      <c r="J768" s="851"/>
      <c r="K768" s="850"/>
      <c r="L768" s="859"/>
      <c r="M768" s="850"/>
      <c r="N768" s="850"/>
      <c r="O768" s="850"/>
      <c r="P768" s="850"/>
      <c r="Q768" s="850"/>
      <c r="R768" s="850"/>
      <c r="S768" s="850"/>
      <c r="T768" s="850"/>
      <c r="U768" s="850"/>
      <c r="V768" s="850"/>
    </row>
    <row r="769" spans="1:22" x14ac:dyDescent="0.2">
      <c r="A769" s="849" t="s">
        <v>4529</v>
      </c>
      <c r="B769" s="850">
        <v>4</v>
      </c>
      <c r="C769" s="850">
        <v>4</v>
      </c>
      <c r="D769" s="850">
        <v>-10</v>
      </c>
      <c r="E769" s="850"/>
      <c r="F769" s="850"/>
      <c r="G769" s="850"/>
      <c r="H769" s="850"/>
      <c r="I769" s="850"/>
      <c r="J769" s="851"/>
      <c r="K769" s="850"/>
      <c r="L769" s="859"/>
      <c r="M769" s="850"/>
      <c r="N769" s="850"/>
      <c r="O769" s="850"/>
      <c r="P769" s="850"/>
      <c r="Q769" s="850"/>
      <c r="R769" s="850"/>
      <c r="S769" s="850"/>
      <c r="T769" s="850"/>
      <c r="U769" s="850"/>
      <c r="V769" s="850"/>
    </row>
    <row r="770" spans="1:22" x14ac:dyDescent="0.2">
      <c r="A770" s="849" t="s">
        <v>4530</v>
      </c>
      <c r="B770" s="850">
        <v>6</v>
      </c>
      <c r="C770" s="850">
        <v>6</v>
      </c>
      <c r="D770" s="850">
        <v>-15</v>
      </c>
      <c r="E770" s="850"/>
      <c r="F770" s="850"/>
      <c r="G770" s="850"/>
      <c r="H770" s="850"/>
      <c r="I770" s="850"/>
      <c r="J770" s="851"/>
      <c r="K770" s="850"/>
      <c r="L770" s="859"/>
      <c r="M770" s="850"/>
      <c r="N770" s="850"/>
      <c r="O770" s="850"/>
      <c r="P770" s="850"/>
      <c r="Q770" s="850"/>
      <c r="R770" s="850"/>
      <c r="S770" s="850"/>
      <c r="T770" s="850"/>
      <c r="U770" s="850"/>
      <c r="V770" s="850"/>
    </row>
    <row r="771" spans="1:22" x14ac:dyDescent="0.2">
      <c r="A771" s="849" t="s">
        <v>4531</v>
      </c>
      <c r="B771" s="850">
        <v>8</v>
      </c>
      <c r="C771" s="850">
        <v>8</v>
      </c>
      <c r="D771" s="850">
        <v>-20</v>
      </c>
      <c r="E771" s="850"/>
      <c r="F771" s="850"/>
      <c r="G771" s="850"/>
      <c r="H771" s="850"/>
      <c r="I771" s="850"/>
      <c r="J771" s="851"/>
      <c r="K771" s="850"/>
      <c r="L771" s="859"/>
      <c r="M771" s="850"/>
      <c r="N771" s="850"/>
      <c r="O771" s="850"/>
      <c r="P771" s="850"/>
      <c r="Q771" s="850"/>
      <c r="R771" s="850"/>
      <c r="S771" s="850"/>
      <c r="T771" s="850"/>
      <c r="U771" s="850"/>
      <c r="V771" s="850"/>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17" priority="5" stopIfTrue="1" operator="greaterThan">
      <formula>$AL$12</formula>
    </cfRule>
  </conditionalFormatting>
  <conditionalFormatting sqref="BV23:BV24">
    <cfRule type="cellIs" dxfId="216" priority="4" stopIfTrue="1" operator="greaterThan">
      <formula>$AL$23</formula>
    </cfRule>
  </conditionalFormatting>
  <conditionalFormatting sqref="BV34:BV35">
    <cfRule type="cellIs" dxfId="215" priority="3" stopIfTrue="1" operator="greaterThan">
      <formula>$AL$34</formula>
    </cfRule>
  </conditionalFormatting>
  <conditionalFormatting sqref="BV45:BV46">
    <cfRule type="cellIs" dxfId="214" priority="2" stopIfTrue="1" operator="greaterThan">
      <formula>$AL$45</formula>
    </cfRule>
  </conditionalFormatting>
  <conditionalFormatting sqref="BV56:BV57">
    <cfRule type="cellIs" dxfId="213"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5"/>
  <sheetViews>
    <sheetView zoomScaleNormal="100" workbookViewId="0">
      <selection activeCell="C10" sqref="C10:G10"/>
    </sheetView>
  </sheetViews>
  <sheetFormatPr defaultColWidth="5.7109375" defaultRowHeight="12.75" x14ac:dyDescent="0.2"/>
  <cols>
    <col min="1" max="1" width="1.7109375" style="607" customWidth="1"/>
    <col min="2" max="18" width="5.7109375" style="607"/>
    <col min="19" max="20" width="1.7109375" style="607" customWidth="1"/>
    <col min="21" max="37" width="5.7109375" style="607"/>
    <col min="38" max="39" width="1.7109375" style="607" customWidth="1"/>
    <col min="40" max="56" width="5.7109375" style="607"/>
    <col min="57" max="57" width="1.7109375" style="607" customWidth="1"/>
    <col min="58" max="16384" width="5.7109375" style="607"/>
  </cols>
  <sheetData>
    <row r="1" spans="1:57" ht="12" customHeight="1" thickBot="1" x14ac:dyDescent="0.25">
      <c r="A1" s="1125"/>
      <c r="B1" s="1125"/>
      <c r="C1" s="1125"/>
      <c r="D1" s="1125"/>
      <c r="E1" s="1125"/>
      <c r="F1" s="1125"/>
      <c r="G1" s="1125"/>
      <c r="H1" s="1125"/>
      <c r="I1" s="1125"/>
      <c r="J1" s="1125"/>
      <c r="K1" s="1125"/>
      <c r="L1" s="1125"/>
      <c r="M1" s="1125"/>
      <c r="N1" s="1125"/>
      <c r="O1" s="1125"/>
      <c r="P1" s="1125"/>
      <c r="Q1" s="1125"/>
      <c r="R1" s="1125"/>
      <c r="S1" s="1125"/>
      <c r="T1" s="1125"/>
      <c r="U1" s="1125"/>
      <c r="V1" s="1125"/>
      <c r="W1" s="1125"/>
      <c r="X1" s="1125"/>
      <c r="Y1" s="1125"/>
      <c r="Z1" s="1125"/>
      <c r="AA1" s="1125"/>
      <c r="AB1" s="1125"/>
      <c r="AC1" s="1125"/>
      <c r="AD1" s="1125"/>
      <c r="AE1" s="1125"/>
      <c r="AF1" s="1125"/>
      <c r="AG1" s="1125"/>
      <c r="AH1" s="1125"/>
      <c r="AI1" s="1125"/>
      <c r="AJ1" s="1125"/>
      <c r="AK1" s="1125"/>
      <c r="AL1" s="1125"/>
      <c r="AM1" s="1125"/>
      <c r="AN1" s="1125"/>
      <c r="AO1" s="1125"/>
      <c r="AP1" s="1125"/>
      <c r="AQ1" s="1125"/>
      <c r="AR1" s="1125"/>
      <c r="AS1" s="1125"/>
      <c r="AT1" s="1125"/>
      <c r="AU1" s="1125"/>
      <c r="AV1" s="1125"/>
      <c r="AW1" s="1125"/>
      <c r="AX1" s="1125"/>
      <c r="AY1" s="1125"/>
      <c r="AZ1" s="1125"/>
      <c r="BA1" s="1125"/>
      <c r="BB1" s="1125"/>
      <c r="BC1" s="1125"/>
      <c r="BD1" s="1125"/>
      <c r="BE1" s="1125"/>
    </row>
    <row r="2" spans="1:57" ht="12" customHeight="1" thickBot="1" x14ac:dyDescent="0.25">
      <c r="A2" s="1125"/>
      <c r="B2" s="1126"/>
      <c r="C2" s="1127"/>
      <c r="D2" s="1127"/>
      <c r="E2" s="1127"/>
      <c r="F2" s="1127"/>
      <c r="G2" s="1127"/>
      <c r="H2" s="1127"/>
      <c r="I2" s="1127"/>
      <c r="J2" s="1127"/>
      <c r="K2" s="1127"/>
      <c r="L2" s="1127"/>
      <c r="M2" s="1127"/>
      <c r="N2" s="1127"/>
      <c r="O2" s="1127"/>
      <c r="P2" s="1127"/>
      <c r="Q2" s="1127"/>
      <c r="R2" s="1128"/>
      <c r="S2" s="1125"/>
      <c r="T2" s="1125"/>
      <c r="U2" s="1126"/>
      <c r="V2" s="1127"/>
      <c r="W2" s="1127"/>
      <c r="X2" s="1127"/>
      <c r="Y2" s="1127"/>
      <c r="Z2" s="1127"/>
      <c r="AA2" s="1127"/>
      <c r="AB2" s="1127"/>
      <c r="AC2" s="1127"/>
      <c r="AD2" s="1127"/>
      <c r="AE2" s="1127"/>
      <c r="AF2" s="1127"/>
      <c r="AG2" s="1127"/>
      <c r="AH2" s="1127"/>
      <c r="AI2" s="1127"/>
      <c r="AJ2" s="1127"/>
      <c r="AK2" s="1128"/>
      <c r="AL2" s="1125"/>
      <c r="AM2" s="1125"/>
      <c r="AN2" s="1126"/>
      <c r="AO2" s="1127"/>
      <c r="AP2" s="1127"/>
      <c r="AQ2" s="1127"/>
      <c r="AR2" s="1127"/>
      <c r="AS2" s="1127"/>
      <c r="AT2" s="1127"/>
      <c r="AU2" s="1127"/>
      <c r="AV2" s="1127"/>
      <c r="AW2" s="1127"/>
      <c r="AX2" s="1127"/>
      <c r="AY2" s="1127"/>
      <c r="AZ2" s="1127"/>
      <c r="BA2" s="1127"/>
      <c r="BB2" s="1127"/>
      <c r="BC2" s="1127"/>
      <c r="BD2" s="1128"/>
      <c r="BE2" s="1125"/>
    </row>
    <row r="3" spans="1:57" ht="12" customHeight="1" x14ac:dyDescent="0.2">
      <c r="A3" s="1125"/>
      <c r="B3" s="537"/>
      <c r="C3" s="4621"/>
      <c r="D3" s="4622"/>
      <c r="E3" s="4622"/>
      <c r="F3" s="4622"/>
      <c r="G3" s="4622"/>
      <c r="H3" s="4622"/>
      <c r="I3" s="1129"/>
      <c r="J3" s="1129"/>
      <c r="K3" s="1129"/>
      <c r="L3" s="1129"/>
      <c r="M3" s="1129"/>
      <c r="N3" s="1129"/>
      <c r="O3" s="1129"/>
      <c r="P3" s="1129"/>
      <c r="Q3" s="1130"/>
      <c r="R3" s="1131"/>
      <c r="S3" s="1125"/>
      <c r="T3" s="1125"/>
      <c r="U3" s="537"/>
      <c r="V3" s="4621"/>
      <c r="W3" s="4622"/>
      <c r="X3" s="4622"/>
      <c r="Y3" s="4622"/>
      <c r="Z3" s="4622"/>
      <c r="AA3" s="4622"/>
      <c r="AB3" s="2086"/>
      <c r="AC3" s="2086"/>
      <c r="AD3" s="2086"/>
      <c r="AE3" s="2086"/>
      <c r="AF3" s="2086"/>
      <c r="AG3" s="2086"/>
      <c r="AH3" s="2086"/>
      <c r="AI3" s="2086"/>
      <c r="AJ3" s="1130"/>
      <c r="AK3" s="1131"/>
      <c r="AL3" s="1125"/>
      <c r="AM3" s="1125"/>
      <c r="AN3" s="537"/>
      <c r="AO3" s="4621"/>
      <c r="AP3" s="4622"/>
      <c r="AQ3" s="4622"/>
      <c r="AR3" s="4622"/>
      <c r="AS3" s="4622"/>
      <c r="AT3" s="4622"/>
      <c r="AU3" s="1129"/>
      <c r="AV3" s="1129"/>
      <c r="AW3" s="1129"/>
      <c r="AX3" s="1129"/>
      <c r="AY3" s="1129"/>
      <c r="AZ3" s="1129"/>
      <c r="BA3" s="1129"/>
      <c r="BB3" s="1129"/>
      <c r="BC3" s="1130"/>
      <c r="BD3" s="1131"/>
      <c r="BE3" s="1125"/>
    </row>
    <row r="4" spans="1:57" ht="12" customHeight="1" x14ac:dyDescent="0.2">
      <c r="A4" s="1125"/>
      <c r="B4" s="537"/>
      <c r="C4" s="4623"/>
      <c r="D4" s="4624"/>
      <c r="E4" s="4624"/>
      <c r="F4" s="4624"/>
      <c r="G4" s="4624"/>
      <c r="H4" s="4624"/>
      <c r="I4" s="1134"/>
      <c r="J4" s="4627" t="s">
        <v>1625</v>
      </c>
      <c r="K4" s="4628"/>
      <c r="L4" s="3144" t="str">
        <f>IF(OR(General!$G$22="",General!$G$22=0),"",General!$G$22)</f>
        <v/>
      </c>
      <c r="M4" s="3144"/>
      <c r="N4" s="3144"/>
      <c r="O4" s="3144"/>
      <c r="P4" s="3144"/>
      <c r="Q4" s="735"/>
      <c r="R4" s="1131"/>
      <c r="S4" s="1125"/>
      <c r="T4" s="1125"/>
      <c r="U4" s="537"/>
      <c r="V4" s="4623"/>
      <c r="W4" s="4624"/>
      <c r="X4" s="4624"/>
      <c r="Y4" s="4624"/>
      <c r="Z4" s="4624"/>
      <c r="AA4" s="4624"/>
      <c r="AB4" s="2087"/>
      <c r="AC4" s="4619" t="s">
        <v>7685</v>
      </c>
      <c r="AD4" s="4620"/>
      <c r="AE4" s="4620"/>
      <c r="AF4" s="4620"/>
      <c r="AG4" s="4620"/>
      <c r="AH4" s="4620"/>
      <c r="AI4" s="4620"/>
      <c r="AJ4" s="735"/>
      <c r="AK4" s="1131"/>
      <c r="AL4" s="1125"/>
      <c r="AM4" s="1125"/>
      <c r="AN4" s="537"/>
      <c r="AO4" s="4623"/>
      <c r="AP4" s="4624"/>
      <c r="AQ4" s="4624"/>
      <c r="AR4" s="4624"/>
      <c r="AS4" s="4624"/>
      <c r="AT4" s="4624"/>
      <c r="AU4" s="1134"/>
      <c r="AV4" s="4619" t="s">
        <v>7685</v>
      </c>
      <c r="AW4" s="4620"/>
      <c r="AX4" s="4620"/>
      <c r="AY4" s="4620"/>
      <c r="AZ4" s="4620"/>
      <c r="BA4" s="4620"/>
      <c r="BB4" s="4620"/>
      <c r="BC4" s="735"/>
      <c r="BD4" s="1131"/>
      <c r="BE4" s="1125"/>
    </row>
    <row r="5" spans="1:57" ht="12" customHeight="1" x14ac:dyDescent="0.2">
      <c r="A5" s="1125"/>
      <c r="B5" s="537"/>
      <c r="C5" s="4623"/>
      <c r="D5" s="4624"/>
      <c r="E5" s="4624"/>
      <c r="F5" s="4624"/>
      <c r="G5" s="4624"/>
      <c r="H5" s="4624"/>
      <c r="I5" s="1134"/>
      <c r="J5" s="4615" t="s">
        <v>1626</v>
      </c>
      <c r="K5" s="4616"/>
      <c r="L5" s="4617" t="str">
        <f>Principal!$L$5</f>
        <v/>
      </c>
      <c r="M5" s="4618"/>
      <c r="N5" s="4618"/>
      <c r="O5" s="1136" t="s">
        <v>1627</v>
      </c>
      <c r="P5" s="1137" t="str">
        <f>Principal!$P$5</f>
        <v>0</v>
      </c>
      <c r="Q5" s="1138"/>
      <c r="R5" s="1131"/>
      <c r="S5" s="1125"/>
      <c r="T5" s="1125"/>
      <c r="U5" s="537"/>
      <c r="V5" s="4623"/>
      <c r="W5" s="4624"/>
      <c r="X5" s="4624"/>
      <c r="Y5" s="4624"/>
      <c r="Z5" s="4624"/>
      <c r="AA5" s="4624"/>
      <c r="AB5" s="2087"/>
      <c r="AC5" s="4620"/>
      <c r="AD5" s="4620"/>
      <c r="AE5" s="4620"/>
      <c r="AF5" s="4620"/>
      <c r="AG5" s="4620"/>
      <c r="AH5" s="4620"/>
      <c r="AI5" s="4620"/>
      <c r="AJ5" s="1138"/>
      <c r="AK5" s="1131"/>
      <c r="AL5" s="1125"/>
      <c r="AM5" s="1125"/>
      <c r="AN5" s="537"/>
      <c r="AO5" s="4623"/>
      <c r="AP5" s="4624"/>
      <c r="AQ5" s="4624"/>
      <c r="AR5" s="4624"/>
      <c r="AS5" s="4624"/>
      <c r="AT5" s="4624"/>
      <c r="AU5" s="1134"/>
      <c r="AV5" s="4620"/>
      <c r="AW5" s="4620"/>
      <c r="AX5" s="4620"/>
      <c r="AY5" s="4620"/>
      <c r="AZ5" s="4620"/>
      <c r="BA5" s="4620"/>
      <c r="BB5" s="4620"/>
      <c r="BC5" s="1138"/>
      <c r="BD5" s="1131"/>
      <c r="BE5" s="1125"/>
    </row>
    <row r="6" spans="1:57" ht="12" customHeight="1" x14ac:dyDescent="0.2">
      <c r="A6" s="1125"/>
      <c r="B6" s="537"/>
      <c r="C6" s="4623"/>
      <c r="D6" s="4624"/>
      <c r="E6" s="4624"/>
      <c r="F6" s="4624"/>
      <c r="G6" s="4624"/>
      <c r="H6" s="4624"/>
      <c r="I6" s="1134"/>
      <c r="J6" s="4619" t="s">
        <v>7686</v>
      </c>
      <c r="K6" s="4620"/>
      <c r="L6" s="4620"/>
      <c r="M6" s="4620"/>
      <c r="N6" s="4620"/>
      <c r="O6" s="4620"/>
      <c r="P6" s="4620"/>
      <c r="Q6" s="1138"/>
      <c r="R6" s="1131"/>
      <c r="S6" s="1125"/>
      <c r="T6" s="1125"/>
      <c r="U6" s="537"/>
      <c r="V6" s="4623"/>
      <c r="W6" s="4624"/>
      <c r="X6" s="4624"/>
      <c r="Y6" s="4624"/>
      <c r="Z6" s="4624"/>
      <c r="AA6" s="4624"/>
      <c r="AB6" s="2087"/>
      <c r="AC6" s="5466"/>
      <c r="AD6" s="5467"/>
      <c r="AE6" s="5467"/>
      <c r="AF6" s="5467"/>
      <c r="AG6" s="5467"/>
      <c r="AH6" s="5467"/>
      <c r="AI6" s="5467"/>
      <c r="AJ6" s="1138"/>
      <c r="AK6" s="1131"/>
      <c r="AL6" s="1125"/>
      <c r="AM6" s="1125"/>
      <c r="AN6" s="537"/>
      <c r="AO6" s="4623"/>
      <c r="AP6" s="4624"/>
      <c r="AQ6" s="4624"/>
      <c r="AR6" s="4624"/>
      <c r="AS6" s="4624"/>
      <c r="AT6" s="4624"/>
      <c r="AU6" s="1134"/>
      <c r="AV6" s="5466"/>
      <c r="AW6" s="5467"/>
      <c r="AX6" s="5467"/>
      <c r="AY6" s="5467"/>
      <c r="AZ6" s="5467"/>
      <c r="BA6" s="5467"/>
      <c r="BB6" s="5467"/>
      <c r="BC6" s="1138"/>
      <c r="BD6" s="1131"/>
      <c r="BE6" s="1125"/>
    </row>
    <row r="7" spans="1:57" ht="12" customHeight="1" x14ac:dyDescent="0.2">
      <c r="A7" s="1125"/>
      <c r="B7" s="537"/>
      <c r="C7" s="4623"/>
      <c r="D7" s="4624"/>
      <c r="E7" s="4624"/>
      <c r="F7" s="4624"/>
      <c r="G7" s="4624"/>
      <c r="H7" s="4624"/>
      <c r="I7" s="1134"/>
      <c r="J7" s="4620"/>
      <c r="K7" s="4620"/>
      <c r="L7" s="4620"/>
      <c r="M7" s="4620"/>
      <c r="N7" s="4620"/>
      <c r="O7" s="4620"/>
      <c r="P7" s="4620"/>
      <c r="Q7" s="1138"/>
      <c r="R7" s="1131"/>
      <c r="S7" s="1125"/>
      <c r="T7" s="1125"/>
      <c r="U7" s="537"/>
      <c r="V7" s="4623"/>
      <c r="W7" s="4624"/>
      <c r="X7" s="4624"/>
      <c r="Y7" s="4624"/>
      <c r="Z7" s="4624"/>
      <c r="AA7" s="4624"/>
      <c r="AB7" s="2087"/>
      <c r="AC7" s="5467"/>
      <c r="AD7" s="5467"/>
      <c r="AE7" s="5467"/>
      <c r="AF7" s="5467"/>
      <c r="AG7" s="5467"/>
      <c r="AH7" s="5467"/>
      <c r="AI7" s="5467"/>
      <c r="AJ7" s="1138"/>
      <c r="AK7" s="1131"/>
      <c r="AL7" s="1125"/>
      <c r="AM7" s="1125"/>
      <c r="AN7" s="537"/>
      <c r="AO7" s="4623"/>
      <c r="AP7" s="4624"/>
      <c r="AQ7" s="4624"/>
      <c r="AR7" s="4624"/>
      <c r="AS7" s="4624"/>
      <c r="AT7" s="4624"/>
      <c r="AU7" s="1134"/>
      <c r="AV7" s="5467"/>
      <c r="AW7" s="5467"/>
      <c r="AX7" s="5467"/>
      <c r="AY7" s="5467"/>
      <c r="AZ7" s="5467"/>
      <c r="BA7" s="5467"/>
      <c r="BB7" s="5467"/>
      <c r="BC7" s="1138"/>
      <c r="BD7" s="1131"/>
      <c r="BE7" s="1125"/>
    </row>
    <row r="8" spans="1:57" ht="12" customHeight="1" thickBot="1" x14ac:dyDescent="0.25">
      <c r="A8" s="1125"/>
      <c r="B8" s="537"/>
      <c r="C8" s="4625"/>
      <c r="D8" s="4626"/>
      <c r="E8" s="4626"/>
      <c r="F8" s="4626"/>
      <c r="G8" s="4626"/>
      <c r="H8" s="4626"/>
      <c r="I8" s="1143"/>
      <c r="J8" s="1143"/>
      <c r="K8" s="1143"/>
      <c r="L8" s="1143"/>
      <c r="M8" s="1143"/>
      <c r="N8" s="1143"/>
      <c r="O8" s="1143"/>
      <c r="P8" s="1143"/>
      <c r="Q8" s="1144"/>
      <c r="R8" s="1131"/>
      <c r="S8" s="1125"/>
      <c r="T8" s="1125"/>
      <c r="U8" s="537"/>
      <c r="V8" s="4625"/>
      <c r="W8" s="4626"/>
      <c r="X8" s="4626"/>
      <c r="Y8" s="4626"/>
      <c r="Z8" s="4626"/>
      <c r="AA8" s="4626"/>
      <c r="AB8" s="2089"/>
      <c r="AC8" s="2089"/>
      <c r="AD8" s="2089"/>
      <c r="AE8" s="2089"/>
      <c r="AF8" s="2089"/>
      <c r="AG8" s="2089"/>
      <c r="AH8" s="2089"/>
      <c r="AI8" s="2089"/>
      <c r="AJ8" s="1144"/>
      <c r="AK8" s="1131"/>
      <c r="AL8" s="1125"/>
      <c r="AM8" s="1125"/>
      <c r="AN8" s="537"/>
      <c r="AO8" s="4625"/>
      <c r="AP8" s="4626"/>
      <c r="AQ8" s="4626"/>
      <c r="AR8" s="4626"/>
      <c r="AS8" s="4626"/>
      <c r="AT8" s="4626"/>
      <c r="AU8" s="1143"/>
      <c r="AV8" s="1143"/>
      <c r="AW8" s="1143"/>
      <c r="AX8" s="1143"/>
      <c r="AY8" s="1143"/>
      <c r="AZ8" s="1143"/>
      <c r="BA8" s="1143"/>
      <c r="BB8" s="1143"/>
      <c r="BC8" s="1144"/>
      <c r="BD8" s="1131"/>
      <c r="BE8" s="1125"/>
    </row>
    <row r="9" spans="1:57" ht="12" customHeight="1" thickBot="1" x14ac:dyDescent="0.25">
      <c r="A9" s="1125"/>
      <c r="B9" s="537"/>
      <c r="C9" s="663"/>
      <c r="D9" s="663"/>
      <c r="E9" s="663"/>
      <c r="F9" s="663"/>
      <c r="G9" s="663"/>
      <c r="H9" s="663"/>
      <c r="I9" s="663"/>
      <c r="J9" s="663"/>
      <c r="K9" s="663"/>
      <c r="L9" s="663"/>
      <c r="M9" s="663"/>
      <c r="N9" s="663"/>
      <c r="O9" s="663"/>
      <c r="P9" s="663"/>
      <c r="Q9" s="663"/>
      <c r="R9" s="1131"/>
      <c r="S9" s="1125"/>
      <c r="T9" s="1125"/>
      <c r="U9" s="537"/>
      <c r="V9" s="663"/>
      <c r="W9" s="663"/>
      <c r="X9" s="663"/>
      <c r="Y9" s="663"/>
      <c r="Z9" s="663"/>
      <c r="AA9" s="663"/>
      <c r="AB9" s="663"/>
      <c r="AC9" s="663"/>
      <c r="AD9" s="663"/>
      <c r="AE9" s="663"/>
      <c r="AF9" s="663"/>
      <c r="AG9" s="663"/>
      <c r="AH9" s="663"/>
      <c r="AI9" s="663"/>
      <c r="AJ9" s="663"/>
      <c r="AK9" s="1131"/>
      <c r="AL9" s="1125"/>
      <c r="AM9" s="1125"/>
      <c r="AN9" s="537"/>
      <c r="AO9" s="663"/>
      <c r="AP9" s="663"/>
      <c r="AQ9" s="663"/>
      <c r="AR9" s="663"/>
      <c r="AS9" s="663"/>
      <c r="AT9" s="663"/>
      <c r="AU9" s="663"/>
      <c r="AV9" s="663"/>
      <c r="AW9" s="663"/>
      <c r="AX9" s="663"/>
      <c r="AY9" s="663"/>
      <c r="AZ9" s="663"/>
      <c r="BA9" s="663"/>
      <c r="BB9" s="663"/>
      <c r="BC9" s="663"/>
      <c r="BD9" s="1131"/>
      <c r="BE9" s="1125"/>
    </row>
    <row r="10" spans="1:57" ht="12" customHeight="1" x14ac:dyDescent="0.2">
      <c r="A10" s="1125"/>
      <c r="B10" s="537"/>
      <c r="C10" s="5461"/>
      <c r="D10" s="5462"/>
      <c r="E10" s="5462"/>
      <c r="F10" s="5462"/>
      <c r="G10" s="5462"/>
      <c r="H10" s="1145" t="s">
        <v>1627</v>
      </c>
      <c r="I10" s="1146" t="str">
        <f>IF(C10=0,"",VLOOKUP(C10,'Tablas Magia'!$D$6:$Z$680,3,FALSE))</f>
        <v/>
      </c>
      <c r="J10" s="5463" t="s">
        <v>7687</v>
      </c>
      <c r="K10" s="5463"/>
      <c r="L10" s="5463"/>
      <c r="M10" s="5464" t="str">
        <f>IF(C10=0,"",VLOOKUP(C10,'Tablas Magia'!$D$6:$Z$680,2,FALSE))</f>
        <v/>
      </c>
      <c r="N10" s="5464"/>
      <c r="O10" s="5464"/>
      <c r="P10" s="5464"/>
      <c r="Q10" s="5465"/>
      <c r="R10" s="1131"/>
      <c r="S10" s="1125"/>
      <c r="T10" s="1125"/>
      <c r="U10" s="537"/>
      <c r="V10" s="5461"/>
      <c r="W10" s="5462"/>
      <c r="X10" s="5462"/>
      <c r="Y10" s="5462"/>
      <c r="Z10" s="5462"/>
      <c r="AA10" s="1145" t="s">
        <v>1627</v>
      </c>
      <c r="AB10" s="1146" t="str">
        <f>IF(V10=0,"",VLOOKUP(V10,'Tablas Magia'!$D$6:$Z$680,3,FALSE))</f>
        <v/>
      </c>
      <c r="AC10" s="5463" t="s">
        <v>7687</v>
      </c>
      <c r="AD10" s="5463"/>
      <c r="AE10" s="5463"/>
      <c r="AF10" s="5464" t="str">
        <f>IF(V10=0,"",VLOOKUP(V10,'Tablas Magia'!$D$6:$Z$680,2,FALSE))</f>
        <v/>
      </c>
      <c r="AG10" s="5464"/>
      <c r="AH10" s="5464"/>
      <c r="AI10" s="5464"/>
      <c r="AJ10" s="5465"/>
      <c r="AK10" s="1131"/>
      <c r="AL10" s="1125"/>
      <c r="AM10" s="1125"/>
      <c r="AN10" s="537"/>
      <c r="AO10" s="5461"/>
      <c r="AP10" s="5462"/>
      <c r="AQ10" s="5462"/>
      <c r="AR10" s="5462"/>
      <c r="AS10" s="5462"/>
      <c r="AT10" s="1145" t="s">
        <v>1627</v>
      </c>
      <c r="AU10" s="1146" t="str">
        <f>IF(AO10=0,"",VLOOKUP(AO10,'Tablas Magia'!$D$6:$Z$680,3,FALSE))</f>
        <v/>
      </c>
      <c r="AV10" s="5463" t="s">
        <v>7687</v>
      </c>
      <c r="AW10" s="5463"/>
      <c r="AX10" s="5463"/>
      <c r="AY10" s="5464" t="str">
        <f>IF(AO10=0,"",VLOOKUP(AO10,'Tablas Magia'!$D$6:$Z$680,2,FALSE))</f>
        <v/>
      </c>
      <c r="AZ10" s="5464"/>
      <c r="BA10" s="5464"/>
      <c r="BB10" s="5464"/>
      <c r="BC10" s="5465"/>
      <c r="BD10" s="1131"/>
      <c r="BE10" s="1125"/>
    </row>
    <row r="11" spans="1:57" ht="12" customHeight="1" x14ac:dyDescent="0.2">
      <c r="A11" s="1125"/>
      <c r="B11" s="537"/>
      <c r="C11" s="5481" t="s">
        <v>7688</v>
      </c>
      <c r="D11" s="5482"/>
      <c r="E11" s="1147" t="s">
        <v>7689</v>
      </c>
      <c r="F11" s="1147" t="s">
        <v>1820</v>
      </c>
      <c r="G11" s="1147" t="s">
        <v>3334</v>
      </c>
      <c r="H11" s="1148" t="s">
        <v>2165</v>
      </c>
      <c r="I11" s="5478" t="str">
        <f>IF(C10=0,"",VLOOKUP(C10,'Tablas Magia'!$D$6:$Z$680,5,FALSE))</f>
        <v/>
      </c>
      <c r="J11" s="5478"/>
      <c r="K11" s="5479" t="s">
        <v>7690</v>
      </c>
      <c r="L11" s="5479"/>
      <c r="M11" s="5478" t="str">
        <f>IF(C10=0,"",VLOOKUP(C10,'Tablas Magia'!$D$6:$Z$680,6,FALSE))</f>
        <v/>
      </c>
      <c r="N11" s="5478"/>
      <c r="O11" s="5480" t="s">
        <v>7691</v>
      </c>
      <c r="P11" s="5480"/>
      <c r="Q11" s="1149" t="str">
        <f>IF(C10=0,"",VLOOKUP(C10,'Tablas Magia'!$D$6:$Z$680,4,FALSE))</f>
        <v/>
      </c>
      <c r="R11" s="1131"/>
      <c r="S11" s="1125"/>
      <c r="T11" s="1125"/>
      <c r="U11" s="537"/>
      <c r="V11" s="5481" t="s">
        <v>7688</v>
      </c>
      <c r="W11" s="5482"/>
      <c r="X11" s="1147" t="s">
        <v>7689</v>
      </c>
      <c r="Y11" s="1147" t="s">
        <v>1820</v>
      </c>
      <c r="Z11" s="1147" t="s">
        <v>3334</v>
      </c>
      <c r="AA11" s="1148" t="s">
        <v>2165</v>
      </c>
      <c r="AB11" s="5478" t="str">
        <f>IF(V10=0,"",VLOOKUP(V10,'Tablas Magia'!$D$6:$Z$680,5,FALSE))</f>
        <v/>
      </c>
      <c r="AC11" s="5478"/>
      <c r="AD11" s="5479" t="s">
        <v>7690</v>
      </c>
      <c r="AE11" s="5479"/>
      <c r="AF11" s="5478" t="str">
        <f>IF(V10=0,"",VLOOKUP(V10,'Tablas Magia'!$D$6:$Z$680,6,FALSE))</f>
        <v/>
      </c>
      <c r="AG11" s="5478"/>
      <c r="AH11" s="5480" t="s">
        <v>7691</v>
      </c>
      <c r="AI11" s="5480"/>
      <c r="AJ11" s="1149" t="str">
        <f>IF(V10=0,"",VLOOKUP(V10,'Tablas Magia'!$D$6:$Z$680,4,FALSE))</f>
        <v/>
      </c>
      <c r="AK11" s="1131"/>
      <c r="AL11" s="1125"/>
      <c r="AM11" s="1125"/>
      <c r="AN11" s="537"/>
      <c r="AO11" s="5481" t="s">
        <v>7688</v>
      </c>
      <c r="AP11" s="5482"/>
      <c r="AQ11" s="1147" t="s">
        <v>7689</v>
      </c>
      <c r="AR11" s="1147" t="s">
        <v>1820</v>
      </c>
      <c r="AS11" s="1147" t="s">
        <v>3334</v>
      </c>
      <c r="AT11" s="1148" t="s">
        <v>2165</v>
      </c>
      <c r="AU11" s="5478" t="str">
        <f>IF(AO10=0,"",VLOOKUP(AO10,'Tablas Magia'!$D$6:$Z$680,5,FALSE))</f>
        <v/>
      </c>
      <c r="AV11" s="5478"/>
      <c r="AW11" s="5479" t="s">
        <v>7690</v>
      </c>
      <c r="AX11" s="5479"/>
      <c r="AY11" s="5478" t="str">
        <f>IF(AO10=0,"",VLOOKUP(AO10,'Tablas Magia'!$D$6:$Z$680,6,FALSE))</f>
        <v/>
      </c>
      <c r="AZ11" s="5478"/>
      <c r="BA11" s="5480" t="s">
        <v>7691</v>
      </c>
      <c r="BB11" s="5480"/>
      <c r="BC11" s="1149" t="str">
        <f>IF(AO10=0,"",VLOOKUP(AO10,'Tablas Magia'!$D$6:$Z$680,4,FALSE))</f>
        <v/>
      </c>
      <c r="BD11" s="1131"/>
      <c r="BE11" s="1125"/>
    </row>
    <row r="12" spans="1:57" ht="12" customHeight="1" x14ac:dyDescent="0.2">
      <c r="A12" s="1125"/>
      <c r="B12" s="537"/>
      <c r="C12" s="5473" t="s">
        <v>1674</v>
      </c>
      <c r="D12" s="5474"/>
      <c r="E12" s="1150" t="str">
        <f>IF(C10=0,"",VLOOKUP(C10,'Tablas Magia'!$D$6:$Z$680,7,FALSE))</f>
        <v/>
      </c>
      <c r="F12" s="1150" t="str">
        <f>IF(C10=0,"",VLOOKUP(C10,'Tablas Magia'!$D$6:$Z$680,11,FALSE))</f>
        <v/>
      </c>
      <c r="G12" s="1151" t="str">
        <f>IF(C10=0,"",VLOOKUP(C10,'Tablas Magia'!$D$6:$Z$680,15,FALSE))</f>
        <v/>
      </c>
      <c r="H12" s="5475" t="str">
        <f>IF(C10=0,"",VLOOKUP(C10,'Tablas Magia'!$D$6:$Z$680,19,FALSE))</f>
        <v/>
      </c>
      <c r="I12" s="5476"/>
      <c r="J12" s="5476"/>
      <c r="K12" s="5476"/>
      <c r="L12" s="5476"/>
      <c r="M12" s="5476"/>
      <c r="N12" s="5476"/>
      <c r="O12" s="5476"/>
      <c r="P12" s="5476"/>
      <c r="Q12" s="5477"/>
      <c r="R12" s="1131"/>
      <c r="S12" s="1125"/>
      <c r="T12" s="1125"/>
      <c r="U12" s="537"/>
      <c r="V12" s="5473" t="s">
        <v>1674</v>
      </c>
      <c r="W12" s="5474"/>
      <c r="X12" s="1150" t="str">
        <f>IF(V10=0,"",VLOOKUP(V10,'Tablas Magia'!$D$6:$Z$680,7,FALSE))</f>
        <v/>
      </c>
      <c r="Y12" s="1150" t="str">
        <f>IF(V10=0,"",VLOOKUP(V10,'Tablas Magia'!$D$6:$Z$680,11,FALSE))</f>
        <v/>
      </c>
      <c r="Z12" s="1151" t="str">
        <f>IF(V10=0,"",VLOOKUP(V10,'Tablas Magia'!$D$6:$Z$680,15,FALSE))</f>
        <v/>
      </c>
      <c r="AA12" s="5475" t="str">
        <f>IF(V10=0,"",VLOOKUP(V10,'Tablas Magia'!$D$6:$Z$680,19,FALSE))</f>
        <v/>
      </c>
      <c r="AB12" s="5476"/>
      <c r="AC12" s="5476"/>
      <c r="AD12" s="5476"/>
      <c r="AE12" s="5476"/>
      <c r="AF12" s="5476"/>
      <c r="AG12" s="5476"/>
      <c r="AH12" s="5476"/>
      <c r="AI12" s="5476"/>
      <c r="AJ12" s="5477"/>
      <c r="AK12" s="1131"/>
      <c r="AL12" s="1125"/>
      <c r="AM12" s="1125"/>
      <c r="AN12" s="537"/>
      <c r="AO12" s="5473" t="s">
        <v>1674</v>
      </c>
      <c r="AP12" s="5474"/>
      <c r="AQ12" s="1150" t="str">
        <f>IF(AO10=0,"",VLOOKUP(AO10,'Tablas Magia'!$D$6:$Z$680,7,FALSE))</f>
        <v/>
      </c>
      <c r="AR12" s="1150" t="str">
        <f>IF(AO10=0,"",VLOOKUP(AO10,'Tablas Magia'!$D$6:$Z$680,11,FALSE))</f>
        <v/>
      </c>
      <c r="AS12" s="1151" t="str">
        <f>IF(AO10=0,"",VLOOKUP(AO10,'Tablas Magia'!$D$6:$Z$680,15,FALSE))</f>
        <v/>
      </c>
      <c r="AT12" s="5475" t="str">
        <f>IF(AO10=0,"",VLOOKUP(AO10,'Tablas Magia'!$D$6:$Z$680,19,FALSE))</f>
        <v/>
      </c>
      <c r="AU12" s="5476"/>
      <c r="AV12" s="5476"/>
      <c r="AW12" s="5476"/>
      <c r="AX12" s="5476"/>
      <c r="AY12" s="5476"/>
      <c r="AZ12" s="5476"/>
      <c r="BA12" s="5476"/>
      <c r="BB12" s="5476"/>
      <c r="BC12" s="5477"/>
      <c r="BD12" s="1131"/>
      <c r="BE12" s="1125"/>
    </row>
    <row r="13" spans="1:57" ht="12" customHeight="1" x14ac:dyDescent="0.2">
      <c r="A13" s="1125"/>
      <c r="B13" s="537"/>
      <c r="C13" s="5468" t="s">
        <v>4572</v>
      </c>
      <c r="D13" s="5469"/>
      <c r="E13" s="1152" t="str">
        <f>IF(C10=0,"",VLOOKUP(C10,'Tablas Magia'!$D$6:$Z$680,8,FALSE))</f>
        <v/>
      </c>
      <c r="F13" s="1152" t="str">
        <f>IF(C10=0,"",VLOOKUP(C10,'Tablas Magia'!$D$6:$Z$680,12,FALSE))</f>
        <v/>
      </c>
      <c r="G13" s="1153" t="str">
        <f>IF(C10=0,"",VLOOKUP(C10,'Tablas Magia'!$D$6:$Z$680,16,FALSE))</f>
        <v/>
      </c>
      <c r="H13" s="5470" t="str">
        <f>IF(C10=0,"",VLOOKUP(C10,'Tablas Magia'!$D$6:$Z$680,20,FALSE))</f>
        <v/>
      </c>
      <c r="I13" s="5471"/>
      <c r="J13" s="5471"/>
      <c r="K13" s="5471"/>
      <c r="L13" s="5471"/>
      <c r="M13" s="5471"/>
      <c r="N13" s="5471"/>
      <c r="O13" s="5471"/>
      <c r="P13" s="5471"/>
      <c r="Q13" s="5472"/>
      <c r="R13" s="1131"/>
      <c r="S13" s="1125"/>
      <c r="T13" s="1125"/>
      <c r="U13" s="537"/>
      <c r="V13" s="5468" t="s">
        <v>4572</v>
      </c>
      <c r="W13" s="5469"/>
      <c r="X13" s="1152" t="str">
        <f>IF(V10=0,"",VLOOKUP(V10,'Tablas Magia'!$D$6:$Z$680,8,FALSE))</f>
        <v/>
      </c>
      <c r="Y13" s="1152" t="str">
        <f>IF(V10=0,"",VLOOKUP(V10,'Tablas Magia'!$D$6:$Z$680,12,FALSE))</f>
        <v/>
      </c>
      <c r="Z13" s="1153" t="str">
        <f>IF(V10=0,"",VLOOKUP(V10,'Tablas Magia'!$D$6:$Z$680,16,FALSE))</f>
        <v/>
      </c>
      <c r="AA13" s="5470" t="str">
        <f>IF(V10=0,"",VLOOKUP(V10,'Tablas Magia'!$D$6:$Z$680,20,FALSE))</f>
        <v/>
      </c>
      <c r="AB13" s="5471"/>
      <c r="AC13" s="5471"/>
      <c r="AD13" s="5471"/>
      <c r="AE13" s="5471"/>
      <c r="AF13" s="5471"/>
      <c r="AG13" s="5471"/>
      <c r="AH13" s="5471"/>
      <c r="AI13" s="5471"/>
      <c r="AJ13" s="5472"/>
      <c r="AK13" s="1131"/>
      <c r="AL13" s="1125"/>
      <c r="AM13" s="1125"/>
      <c r="AN13" s="537"/>
      <c r="AO13" s="5468" t="s">
        <v>4572</v>
      </c>
      <c r="AP13" s="5469"/>
      <c r="AQ13" s="1152" t="str">
        <f>IF(AO10=0,"",VLOOKUP(AO10,'Tablas Magia'!$D$6:$Z$680,8,FALSE))</f>
        <v/>
      </c>
      <c r="AR13" s="1152" t="str">
        <f>IF(AO10=0,"",VLOOKUP(AO10,'Tablas Magia'!$D$6:$Z$680,12,FALSE))</f>
        <v/>
      </c>
      <c r="AS13" s="1153" t="str">
        <f>IF(AO10=0,"",VLOOKUP(AO10,'Tablas Magia'!$D$6:$Z$680,16,FALSE))</f>
        <v/>
      </c>
      <c r="AT13" s="5470" t="str">
        <f>IF(AO10=0,"",VLOOKUP(AO10,'Tablas Magia'!$D$6:$Z$680,20,FALSE))</f>
        <v/>
      </c>
      <c r="AU13" s="5471"/>
      <c r="AV13" s="5471"/>
      <c r="AW13" s="5471"/>
      <c r="AX13" s="5471"/>
      <c r="AY13" s="5471"/>
      <c r="AZ13" s="5471"/>
      <c r="BA13" s="5471"/>
      <c r="BB13" s="5471"/>
      <c r="BC13" s="5472"/>
      <c r="BD13" s="1131"/>
      <c r="BE13" s="1125"/>
    </row>
    <row r="14" spans="1:57" ht="12" customHeight="1" x14ac:dyDescent="0.2">
      <c r="A14" s="1125"/>
      <c r="B14" s="537"/>
      <c r="C14" s="5473" t="s">
        <v>4573</v>
      </c>
      <c r="D14" s="5474"/>
      <c r="E14" s="1150" t="str">
        <f>IF(C10=0,"",VLOOKUP(C10,'Tablas Magia'!$D$6:$Z$680,9,FALSE))</f>
        <v/>
      </c>
      <c r="F14" s="1150" t="str">
        <f>IF(C10=0,"",VLOOKUP(C10,'Tablas Magia'!$D$6:$Z$680,13,FALSE))</f>
        <v/>
      </c>
      <c r="G14" s="1151" t="str">
        <f>IF(C10=0,"",VLOOKUP(C10,'Tablas Magia'!$D$6:$Z$680,17,FALSE))</f>
        <v/>
      </c>
      <c r="H14" s="5475" t="str">
        <f>IF(C10=0,"",VLOOKUP(C10,'Tablas Magia'!$D$6:$Z$680,21,FALSE))</f>
        <v/>
      </c>
      <c r="I14" s="5476"/>
      <c r="J14" s="5476"/>
      <c r="K14" s="5476"/>
      <c r="L14" s="5476"/>
      <c r="M14" s="5476"/>
      <c r="N14" s="5476"/>
      <c r="O14" s="5476"/>
      <c r="P14" s="5476"/>
      <c r="Q14" s="5477"/>
      <c r="R14" s="1131"/>
      <c r="S14" s="1125"/>
      <c r="T14" s="1125"/>
      <c r="U14" s="537"/>
      <c r="V14" s="5473" t="s">
        <v>4573</v>
      </c>
      <c r="W14" s="5474"/>
      <c r="X14" s="1150" t="str">
        <f>IF(V10=0,"",VLOOKUP(V10,'Tablas Magia'!$D$6:$Z$680,9,FALSE))</f>
        <v/>
      </c>
      <c r="Y14" s="1150" t="str">
        <f>IF(V10=0,"",VLOOKUP(V10,'Tablas Magia'!$D$6:$Z$680,13,FALSE))</f>
        <v/>
      </c>
      <c r="Z14" s="1151" t="str">
        <f>IF(V10=0,"",VLOOKUP(V10,'Tablas Magia'!$D$6:$Z$680,17,FALSE))</f>
        <v/>
      </c>
      <c r="AA14" s="5475" t="str">
        <f>IF(V10=0,"",VLOOKUP(V10,'Tablas Magia'!$D$6:$Z$680,21,FALSE))</f>
        <v/>
      </c>
      <c r="AB14" s="5476"/>
      <c r="AC14" s="5476"/>
      <c r="AD14" s="5476"/>
      <c r="AE14" s="5476"/>
      <c r="AF14" s="5476"/>
      <c r="AG14" s="5476"/>
      <c r="AH14" s="5476"/>
      <c r="AI14" s="5476"/>
      <c r="AJ14" s="5477"/>
      <c r="AK14" s="1131"/>
      <c r="AL14" s="1125"/>
      <c r="AM14" s="1125"/>
      <c r="AN14" s="537"/>
      <c r="AO14" s="5473" t="s">
        <v>4573</v>
      </c>
      <c r="AP14" s="5474"/>
      <c r="AQ14" s="1150" t="str">
        <f>IF(AO10=0,"",VLOOKUP(AO10,'Tablas Magia'!$D$6:$Z$680,9,FALSE))</f>
        <v/>
      </c>
      <c r="AR14" s="1150" t="str">
        <f>IF(AO10=0,"",VLOOKUP(AO10,'Tablas Magia'!$D$6:$Z$680,13,FALSE))</f>
        <v/>
      </c>
      <c r="AS14" s="1151" t="str">
        <f>IF(AO10=0,"",VLOOKUP(AO10,'Tablas Magia'!$D$6:$Z$680,17,FALSE))</f>
        <v/>
      </c>
      <c r="AT14" s="5475" t="str">
        <f>IF(AO10=0,"",VLOOKUP(AO10,'Tablas Magia'!$D$6:$Z$680,21,FALSE))</f>
        <v/>
      </c>
      <c r="AU14" s="5476"/>
      <c r="AV14" s="5476"/>
      <c r="AW14" s="5476"/>
      <c r="AX14" s="5476"/>
      <c r="AY14" s="5476"/>
      <c r="AZ14" s="5476"/>
      <c r="BA14" s="5476"/>
      <c r="BB14" s="5476"/>
      <c r="BC14" s="5477"/>
      <c r="BD14" s="1131"/>
      <c r="BE14" s="1125"/>
    </row>
    <row r="15" spans="1:57" ht="12" customHeight="1" thickBot="1" x14ac:dyDescent="0.25">
      <c r="A15" s="1125"/>
      <c r="B15" s="537"/>
      <c r="C15" s="5483" t="s">
        <v>4574</v>
      </c>
      <c r="D15" s="5484"/>
      <c r="E15" s="1154" t="str">
        <f>IF(C10=0,"",VLOOKUP(C10,'Tablas Magia'!$D$6:$Z$680,10,FALSE))</f>
        <v/>
      </c>
      <c r="F15" s="1154" t="str">
        <f>IF(C10=0,"",VLOOKUP(C10,'Tablas Magia'!$D$6:$Z$680,14,FALSE))</f>
        <v/>
      </c>
      <c r="G15" s="1155" t="str">
        <f>IF(C10=0,"",VLOOKUP(C10,'Tablas Magia'!$D$6:$Z$680,18,FALSE))</f>
        <v/>
      </c>
      <c r="H15" s="5485" t="str">
        <f>IF(C10=0,"",VLOOKUP(C10,'Tablas Magia'!$D$6:$Z$680,22,FALSE))</f>
        <v/>
      </c>
      <c r="I15" s="5486"/>
      <c r="J15" s="5486"/>
      <c r="K15" s="5486"/>
      <c r="L15" s="5486"/>
      <c r="M15" s="5486"/>
      <c r="N15" s="5486"/>
      <c r="O15" s="5486"/>
      <c r="P15" s="5486"/>
      <c r="Q15" s="5487"/>
      <c r="R15" s="1131"/>
      <c r="S15" s="1125"/>
      <c r="T15" s="1125"/>
      <c r="U15" s="537"/>
      <c r="V15" s="5483" t="s">
        <v>4574</v>
      </c>
      <c r="W15" s="5484"/>
      <c r="X15" s="1154" t="str">
        <f>IF(V10=0,"",VLOOKUP(V10,'Tablas Magia'!$D$6:$Z$680,10,FALSE))</f>
        <v/>
      </c>
      <c r="Y15" s="1154" t="str">
        <f>IF(V10=0,"",VLOOKUP(V10,'Tablas Magia'!$D$6:$Z$680,14,FALSE))</f>
        <v/>
      </c>
      <c r="Z15" s="1155" t="str">
        <f>IF(V10=0,"",VLOOKUP(V10,'Tablas Magia'!$D$6:$Z$680,18,FALSE))</f>
        <v/>
      </c>
      <c r="AA15" s="5485" t="str">
        <f>IF(V10=0,"",VLOOKUP(V10,'Tablas Magia'!$D$6:$Z$680,22,FALSE))</f>
        <v/>
      </c>
      <c r="AB15" s="5486"/>
      <c r="AC15" s="5486"/>
      <c r="AD15" s="5486"/>
      <c r="AE15" s="5486"/>
      <c r="AF15" s="5486"/>
      <c r="AG15" s="5486"/>
      <c r="AH15" s="5486"/>
      <c r="AI15" s="5486"/>
      <c r="AJ15" s="5487"/>
      <c r="AK15" s="1131"/>
      <c r="AL15" s="1125"/>
      <c r="AM15" s="1125"/>
      <c r="AN15" s="537"/>
      <c r="AO15" s="5483" t="s">
        <v>4574</v>
      </c>
      <c r="AP15" s="5484"/>
      <c r="AQ15" s="1154" t="str">
        <f>IF(AO10=0,"",VLOOKUP(AO10,'Tablas Magia'!$D$6:$Z$680,10,FALSE))</f>
        <v/>
      </c>
      <c r="AR15" s="1154" t="str">
        <f>IF(AO10=0,"",VLOOKUP(AO10,'Tablas Magia'!$D$6:$Z$680,14,FALSE))</f>
        <v/>
      </c>
      <c r="AS15" s="1155" t="str">
        <f>IF(AO10=0,"",VLOOKUP(AO10,'Tablas Magia'!$D$6:$Z$680,18,FALSE))</f>
        <v/>
      </c>
      <c r="AT15" s="5485" t="str">
        <f>IF(AO10=0,"",VLOOKUP(AO10,'Tablas Magia'!$D$6:$Z$680,22,FALSE))</f>
        <v/>
      </c>
      <c r="AU15" s="5486"/>
      <c r="AV15" s="5486"/>
      <c r="AW15" s="5486"/>
      <c r="AX15" s="5486"/>
      <c r="AY15" s="5486"/>
      <c r="AZ15" s="5486"/>
      <c r="BA15" s="5486"/>
      <c r="BB15" s="5486"/>
      <c r="BC15" s="5487"/>
      <c r="BD15" s="1131"/>
      <c r="BE15" s="1125"/>
    </row>
    <row r="16" spans="1:57" ht="12" customHeight="1" x14ac:dyDescent="0.2">
      <c r="A16" s="1125"/>
      <c r="B16" s="537"/>
      <c r="C16" s="5488" t="str">
        <f>IF(C10=0,"",VLOOKUP(C10,'Tablas Magia'!$D$6:$Z$680,23,FALSE))</f>
        <v/>
      </c>
      <c r="D16" s="5489"/>
      <c r="E16" s="5489"/>
      <c r="F16" s="5489"/>
      <c r="G16" s="5489"/>
      <c r="H16" s="5489"/>
      <c r="I16" s="5489"/>
      <c r="J16" s="5489"/>
      <c r="K16" s="5489"/>
      <c r="L16" s="5489"/>
      <c r="M16" s="5489"/>
      <c r="N16" s="5489"/>
      <c r="O16" s="5489"/>
      <c r="P16" s="5489"/>
      <c r="Q16" s="5490"/>
      <c r="R16" s="1131"/>
      <c r="S16" s="1125"/>
      <c r="T16" s="1125"/>
      <c r="U16" s="537"/>
      <c r="V16" s="5488" t="str">
        <f>IF(V10=0,"",VLOOKUP(V10,'Tablas Magia'!$D$6:$Z$680,23,FALSE))</f>
        <v/>
      </c>
      <c r="W16" s="5489"/>
      <c r="X16" s="5489"/>
      <c r="Y16" s="5489"/>
      <c r="Z16" s="5489"/>
      <c r="AA16" s="5489"/>
      <c r="AB16" s="5489"/>
      <c r="AC16" s="5489"/>
      <c r="AD16" s="5489"/>
      <c r="AE16" s="5489"/>
      <c r="AF16" s="5489"/>
      <c r="AG16" s="5489"/>
      <c r="AH16" s="5489"/>
      <c r="AI16" s="5489"/>
      <c r="AJ16" s="5490"/>
      <c r="AK16" s="1131"/>
      <c r="AL16" s="1125"/>
      <c r="AM16" s="1125"/>
      <c r="AN16" s="537"/>
      <c r="AO16" s="5488" t="str">
        <f>IF(AO10=0,"",VLOOKUP(AO10,'Tablas Magia'!$D$6:$Z$680,23,FALSE))</f>
        <v/>
      </c>
      <c r="AP16" s="5489"/>
      <c r="AQ16" s="5489"/>
      <c r="AR16" s="5489"/>
      <c r="AS16" s="5489"/>
      <c r="AT16" s="5489"/>
      <c r="AU16" s="5489"/>
      <c r="AV16" s="5489"/>
      <c r="AW16" s="5489"/>
      <c r="AX16" s="5489"/>
      <c r="AY16" s="5489"/>
      <c r="AZ16" s="5489"/>
      <c r="BA16" s="5489"/>
      <c r="BB16" s="5489"/>
      <c r="BC16" s="5490"/>
      <c r="BD16" s="1131"/>
      <c r="BE16" s="1125"/>
    </row>
    <row r="17" spans="1:57" ht="12" customHeight="1" x14ac:dyDescent="0.2">
      <c r="A17" s="1125"/>
      <c r="B17" s="537"/>
      <c r="C17" s="5491"/>
      <c r="D17" s="5492"/>
      <c r="E17" s="5492"/>
      <c r="F17" s="5492"/>
      <c r="G17" s="5492"/>
      <c r="H17" s="5492"/>
      <c r="I17" s="5492"/>
      <c r="J17" s="5492"/>
      <c r="K17" s="5492"/>
      <c r="L17" s="5492"/>
      <c r="M17" s="5492"/>
      <c r="N17" s="5492"/>
      <c r="O17" s="5492"/>
      <c r="P17" s="5492"/>
      <c r="Q17" s="5493"/>
      <c r="R17" s="1131"/>
      <c r="S17" s="1125"/>
      <c r="T17" s="1125"/>
      <c r="U17" s="537"/>
      <c r="V17" s="5491"/>
      <c r="W17" s="5492"/>
      <c r="X17" s="5492"/>
      <c r="Y17" s="5492"/>
      <c r="Z17" s="5492"/>
      <c r="AA17" s="5492"/>
      <c r="AB17" s="5492"/>
      <c r="AC17" s="5492"/>
      <c r="AD17" s="5492"/>
      <c r="AE17" s="5492"/>
      <c r="AF17" s="5492"/>
      <c r="AG17" s="5492"/>
      <c r="AH17" s="5492"/>
      <c r="AI17" s="5492"/>
      <c r="AJ17" s="5493"/>
      <c r="AK17" s="1131"/>
      <c r="AL17" s="1125"/>
      <c r="AM17" s="1125"/>
      <c r="AN17" s="537"/>
      <c r="AO17" s="5491"/>
      <c r="AP17" s="5492"/>
      <c r="AQ17" s="5492"/>
      <c r="AR17" s="5492"/>
      <c r="AS17" s="5492"/>
      <c r="AT17" s="5492"/>
      <c r="AU17" s="5492"/>
      <c r="AV17" s="5492"/>
      <c r="AW17" s="5492"/>
      <c r="AX17" s="5492"/>
      <c r="AY17" s="5492"/>
      <c r="AZ17" s="5492"/>
      <c r="BA17" s="5492"/>
      <c r="BB17" s="5492"/>
      <c r="BC17" s="5493"/>
      <c r="BD17" s="1131"/>
      <c r="BE17" s="1125"/>
    </row>
    <row r="18" spans="1:57" ht="12" customHeight="1" x14ac:dyDescent="0.2">
      <c r="A18" s="1125"/>
      <c r="B18" s="537"/>
      <c r="C18" s="5491"/>
      <c r="D18" s="5492"/>
      <c r="E18" s="5492"/>
      <c r="F18" s="5492"/>
      <c r="G18" s="5492"/>
      <c r="H18" s="5492"/>
      <c r="I18" s="5492"/>
      <c r="J18" s="5492"/>
      <c r="K18" s="5492"/>
      <c r="L18" s="5492"/>
      <c r="M18" s="5492"/>
      <c r="N18" s="5492"/>
      <c r="O18" s="5492"/>
      <c r="P18" s="5492"/>
      <c r="Q18" s="5493"/>
      <c r="R18" s="1131"/>
      <c r="S18" s="1125"/>
      <c r="T18" s="1125"/>
      <c r="U18" s="537"/>
      <c r="V18" s="5491"/>
      <c r="W18" s="5492"/>
      <c r="X18" s="5492"/>
      <c r="Y18" s="5492"/>
      <c r="Z18" s="5492"/>
      <c r="AA18" s="5492"/>
      <c r="AB18" s="5492"/>
      <c r="AC18" s="5492"/>
      <c r="AD18" s="5492"/>
      <c r="AE18" s="5492"/>
      <c r="AF18" s="5492"/>
      <c r="AG18" s="5492"/>
      <c r="AH18" s="5492"/>
      <c r="AI18" s="5492"/>
      <c r="AJ18" s="5493"/>
      <c r="AK18" s="1131"/>
      <c r="AL18" s="1125"/>
      <c r="AM18" s="1125"/>
      <c r="AN18" s="537"/>
      <c r="AO18" s="5491"/>
      <c r="AP18" s="5492"/>
      <c r="AQ18" s="5492"/>
      <c r="AR18" s="5492"/>
      <c r="AS18" s="5492"/>
      <c r="AT18" s="5492"/>
      <c r="AU18" s="5492"/>
      <c r="AV18" s="5492"/>
      <c r="AW18" s="5492"/>
      <c r="AX18" s="5492"/>
      <c r="AY18" s="5492"/>
      <c r="AZ18" s="5492"/>
      <c r="BA18" s="5492"/>
      <c r="BB18" s="5492"/>
      <c r="BC18" s="5493"/>
      <c r="BD18" s="1131"/>
      <c r="BE18" s="1125"/>
    </row>
    <row r="19" spans="1:57" ht="12" customHeight="1" thickBot="1" x14ac:dyDescent="0.25">
      <c r="A19" s="1125"/>
      <c r="B19" s="537"/>
      <c r="C19" s="5494"/>
      <c r="D19" s="5495"/>
      <c r="E19" s="5495"/>
      <c r="F19" s="5495"/>
      <c r="G19" s="5495"/>
      <c r="H19" s="5495"/>
      <c r="I19" s="5495"/>
      <c r="J19" s="5495"/>
      <c r="K19" s="5495"/>
      <c r="L19" s="5495"/>
      <c r="M19" s="5495"/>
      <c r="N19" s="5495"/>
      <c r="O19" s="5495"/>
      <c r="P19" s="5495"/>
      <c r="Q19" s="5496"/>
      <c r="R19" s="1131"/>
      <c r="S19" s="1125"/>
      <c r="T19" s="1125"/>
      <c r="U19" s="537"/>
      <c r="V19" s="5494"/>
      <c r="W19" s="5495"/>
      <c r="X19" s="5495"/>
      <c r="Y19" s="5495"/>
      <c r="Z19" s="5495"/>
      <c r="AA19" s="5495"/>
      <c r="AB19" s="5495"/>
      <c r="AC19" s="5495"/>
      <c r="AD19" s="5495"/>
      <c r="AE19" s="5495"/>
      <c r="AF19" s="5495"/>
      <c r="AG19" s="5495"/>
      <c r="AH19" s="5495"/>
      <c r="AI19" s="5495"/>
      <c r="AJ19" s="5496"/>
      <c r="AK19" s="1131"/>
      <c r="AL19" s="1125"/>
      <c r="AM19" s="1125"/>
      <c r="AN19" s="537"/>
      <c r="AO19" s="5494"/>
      <c r="AP19" s="5495"/>
      <c r="AQ19" s="5495"/>
      <c r="AR19" s="5495"/>
      <c r="AS19" s="5495"/>
      <c r="AT19" s="5495"/>
      <c r="AU19" s="5495"/>
      <c r="AV19" s="5495"/>
      <c r="AW19" s="5495"/>
      <c r="AX19" s="5495"/>
      <c r="AY19" s="5495"/>
      <c r="AZ19" s="5495"/>
      <c r="BA19" s="5495"/>
      <c r="BB19" s="5495"/>
      <c r="BC19" s="5496"/>
      <c r="BD19" s="1131"/>
      <c r="BE19" s="1125"/>
    </row>
    <row r="20" spans="1:57" ht="12" customHeight="1" thickBot="1" x14ac:dyDescent="0.25">
      <c r="A20" s="1125"/>
      <c r="B20" s="537"/>
      <c r="C20" s="1156"/>
      <c r="D20" s="1156"/>
      <c r="E20" s="1156"/>
      <c r="F20" s="1156"/>
      <c r="G20" s="1156"/>
      <c r="H20" s="1157"/>
      <c r="I20" s="1158"/>
      <c r="J20" s="1159"/>
      <c r="K20" s="1159"/>
      <c r="L20" s="1159"/>
      <c r="M20" s="668"/>
      <c r="N20" s="668"/>
      <c r="O20" s="668"/>
      <c r="P20" s="668"/>
      <c r="Q20" s="668"/>
      <c r="R20" s="1131"/>
      <c r="S20" s="1125"/>
      <c r="T20" s="1125"/>
      <c r="U20" s="537"/>
      <c r="V20" s="1156"/>
      <c r="W20" s="1156"/>
      <c r="X20" s="1156"/>
      <c r="Y20" s="1156"/>
      <c r="Z20" s="1156"/>
      <c r="AA20" s="1157"/>
      <c r="AB20" s="1158"/>
      <c r="AC20" s="1159"/>
      <c r="AD20" s="1159"/>
      <c r="AE20" s="1159"/>
      <c r="AF20" s="668"/>
      <c r="AG20" s="668"/>
      <c r="AH20" s="668"/>
      <c r="AI20" s="668"/>
      <c r="AJ20" s="668"/>
      <c r="AK20" s="1131"/>
      <c r="AL20" s="1125"/>
      <c r="AM20" s="1125"/>
      <c r="AN20" s="537"/>
      <c r="AO20" s="1156"/>
      <c r="AP20" s="1156"/>
      <c r="AQ20" s="1156"/>
      <c r="AR20" s="1156"/>
      <c r="AS20" s="1156"/>
      <c r="AT20" s="1157"/>
      <c r="AU20" s="1158"/>
      <c r="AV20" s="1159"/>
      <c r="AW20" s="1159"/>
      <c r="AX20" s="1159"/>
      <c r="AY20" s="668"/>
      <c r="AZ20" s="668"/>
      <c r="BA20" s="668"/>
      <c r="BB20" s="668"/>
      <c r="BC20" s="668"/>
      <c r="BD20" s="1131"/>
      <c r="BE20" s="1125"/>
    </row>
    <row r="21" spans="1:57" ht="12" customHeight="1" x14ac:dyDescent="0.2">
      <c r="A21" s="1125"/>
      <c r="B21" s="537"/>
      <c r="C21" s="5461"/>
      <c r="D21" s="5462"/>
      <c r="E21" s="5462"/>
      <c r="F21" s="5462"/>
      <c r="G21" s="5462"/>
      <c r="H21" s="1145" t="s">
        <v>1627</v>
      </c>
      <c r="I21" s="1146" t="str">
        <f>IF(C21=0,"",VLOOKUP(C21,'Tablas Magia'!$D$6:$Z$680,3,FALSE))</f>
        <v/>
      </c>
      <c r="J21" s="5463" t="s">
        <v>7687</v>
      </c>
      <c r="K21" s="5463"/>
      <c r="L21" s="5463"/>
      <c r="M21" s="5464" t="str">
        <f>IF(C21=0,"",VLOOKUP(C21,'Tablas Magia'!$D$6:$Z$680,2,FALSE))</f>
        <v/>
      </c>
      <c r="N21" s="5464"/>
      <c r="O21" s="5464"/>
      <c r="P21" s="5464"/>
      <c r="Q21" s="5465"/>
      <c r="R21" s="1131"/>
      <c r="S21" s="1125"/>
      <c r="T21" s="1125"/>
      <c r="U21" s="537"/>
      <c r="V21" s="5461"/>
      <c r="W21" s="5462"/>
      <c r="X21" s="5462"/>
      <c r="Y21" s="5462"/>
      <c r="Z21" s="5462"/>
      <c r="AA21" s="1145" t="s">
        <v>1627</v>
      </c>
      <c r="AB21" s="1146" t="str">
        <f>IF(V21=0,"",VLOOKUP(V21,'Tablas Magia'!$D$6:$Z$680,3,FALSE))</f>
        <v/>
      </c>
      <c r="AC21" s="5463" t="s">
        <v>7687</v>
      </c>
      <c r="AD21" s="5463"/>
      <c r="AE21" s="5463"/>
      <c r="AF21" s="5464" t="str">
        <f>IF(V21=0,"",VLOOKUP(V21,'Tablas Magia'!$D$6:$Z$680,2,FALSE))</f>
        <v/>
      </c>
      <c r="AG21" s="5464"/>
      <c r="AH21" s="5464"/>
      <c r="AI21" s="5464"/>
      <c r="AJ21" s="5465"/>
      <c r="AK21" s="1131"/>
      <c r="AL21" s="1125"/>
      <c r="AM21" s="1125"/>
      <c r="AN21" s="537"/>
      <c r="AO21" s="5461"/>
      <c r="AP21" s="5462"/>
      <c r="AQ21" s="5462"/>
      <c r="AR21" s="5462"/>
      <c r="AS21" s="5462"/>
      <c r="AT21" s="1145" t="s">
        <v>1627</v>
      </c>
      <c r="AU21" s="1146" t="str">
        <f>IF(AO21=0,"",VLOOKUP(AO21,'Tablas Magia'!$D$6:$Z$680,3,FALSE))</f>
        <v/>
      </c>
      <c r="AV21" s="5463" t="s">
        <v>7687</v>
      </c>
      <c r="AW21" s="5463"/>
      <c r="AX21" s="5463"/>
      <c r="AY21" s="5464" t="str">
        <f>IF(AO21=0,"",VLOOKUP(AO21,'Tablas Magia'!$D$6:$Z$680,2,FALSE))</f>
        <v/>
      </c>
      <c r="AZ21" s="5464"/>
      <c r="BA21" s="5464"/>
      <c r="BB21" s="5464"/>
      <c r="BC21" s="5465"/>
      <c r="BD21" s="1131"/>
      <c r="BE21" s="1125"/>
    </row>
    <row r="22" spans="1:57" ht="12" customHeight="1" x14ac:dyDescent="0.2">
      <c r="A22" s="1125"/>
      <c r="B22" s="537"/>
      <c r="C22" s="5481" t="s">
        <v>7688</v>
      </c>
      <c r="D22" s="5482"/>
      <c r="E22" s="1147" t="s">
        <v>7689</v>
      </c>
      <c r="F22" s="1147" t="s">
        <v>1820</v>
      </c>
      <c r="G22" s="1147" t="s">
        <v>3334</v>
      </c>
      <c r="H22" s="1148" t="s">
        <v>2165</v>
      </c>
      <c r="I22" s="5478" t="str">
        <f>IF(C21=0,"",VLOOKUP(C21,'Tablas Magia'!$D$6:$Z$680,5,FALSE))</f>
        <v/>
      </c>
      <c r="J22" s="5478"/>
      <c r="K22" s="5479" t="s">
        <v>7690</v>
      </c>
      <c r="L22" s="5479"/>
      <c r="M22" s="5478" t="str">
        <f>IF(C21=0,"",VLOOKUP(C21,'Tablas Magia'!$D$6:$Z$680,6,FALSE))</f>
        <v/>
      </c>
      <c r="N22" s="5478"/>
      <c r="O22" s="5480" t="s">
        <v>7691</v>
      </c>
      <c r="P22" s="5480"/>
      <c r="Q22" s="1149" t="str">
        <f>IF(C21=0,"",VLOOKUP(C21,'Tablas Magia'!$D$6:$Z$680,4,FALSE))</f>
        <v/>
      </c>
      <c r="R22" s="1131"/>
      <c r="S22" s="1125"/>
      <c r="T22" s="1125"/>
      <c r="U22" s="537"/>
      <c r="V22" s="5481" t="s">
        <v>7688</v>
      </c>
      <c r="W22" s="5482"/>
      <c r="X22" s="1147" t="s">
        <v>7689</v>
      </c>
      <c r="Y22" s="1147" t="s">
        <v>1820</v>
      </c>
      <c r="Z22" s="1147" t="s">
        <v>3334</v>
      </c>
      <c r="AA22" s="1148" t="s">
        <v>2165</v>
      </c>
      <c r="AB22" s="5478" t="str">
        <f>IF(V21=0,"",VLOOKUP(V21,'Tablas Magia'!$D$6:$Z$680,5,FALSE))</f>
        <v/>
      </c>
      <c r="AC22" s="5478"/>
      <c r="AD22" s="5479" t="s">
        <v>7690</v>
      </c>
      <c r="AE22" s="5479"/>
      <c r="AF22" s="5478" t="str">
        <f>IF(V21=0,"",VLOOKUP(V21,'Tablas Magia'!$D$6:$Z$680,6,FALSE))</f>
        <v/>
      </c>
      <c r="AG22" s="5478"/>
      <c r="AH22" s="5480" t="s">
        <v>7691</v>
      </c>
      <c r="AI22" s="5480"/>
      <c r="AJ22" s="1149" t="str">
        <f>IF(V21=0,"",VLOOKUP(V21,'Tablas Magia'!$D$6:$Z$680,4,FALSE))</f>
        <v/>
      </c>
      <c r="AK22" s="1131"/>
      <c r="AL22" s="1125"/>
      <c r="AM22" s="1125"/>
      <c r="AN22" s="537"/>
      <c r="AO22" s="5481" t="s">
        <v>7688</v>
      </c>
      <c r="AP22" s="5482"/>
      <c r="AQ22" s="1147" t="s">
        <v>7689</v>
      </c>
      <c r="AR22" s="1147" t="s">
        <v>1820</v>
      </c>
      <c r="AS22" s="1147" t="s">
        <v>3334</v>
      </c>
      <c r="AT22" s="1148" t="s">
        <v>2165</v>
      </c>
      <c r="AU22" s="5478" t="str">
        <f>IF(AO21=0,"",VLOOKUP(AO21,'Tablas Magia'!$D$6:$Z$680,5,FALSE))</f>
        <v/>
      </c>
      <c r="AV22" s="5478"/>
      <c r="AW22" s="5479" t="s">
        <v>7690</v>
      </c>
      <c r="AX22" s="5479"/>
      <c r="AY22" s="5478" t="str">
        <f>IF(AO21=0,"",VLOOKUP(AO21,'Tablas Magia'!$D$6:$Z$680,6,FALSE))</f>
        <v/>
      </c>
      <c r="AZ22" s="5478"/>
      <c r="BA22" s="5480" t="s">
        <v>7691</v>
      </c>
      <c r="BB22" s="5480"/>
      <c r="BC22" s="1149" t="str">
        <f>IF(AO21=0,"",VLOOKUP(AO21,'Tablas Magia'!$D$6:$Z$680,4,FALSE))</f>
        <v/>
      </c>
      <c r="BD22" s="1131"/>
      <c r="BE22" s="1125"/>
    </row>
    <row r="23" spans="1:57" ht="12" customHeight="1" x14ac:dyDescent="0.2">
      <c r="A23" s="1125"/>
      <c r="B23" s="537"/>
      <c r="C23" s="5473" t="s">
        <v>1674</v>
      </c>
      <c r="D23" s="5474"/>
      <c r="E23" s="1150" t="str">
        <f>IF(C21=0,"",VLOOKUP(C21,'Tablas Magia'!$D$6:$Z$680,7,FALSE))</f>
        <v/>
      </c>
      <c r="F23" s="1150" t="str">
        <f>IF(C21=0,"",VLOOKUP(C21,'Tablas Magia'!$D$6:$Z$680,11,FALSE))</f>
        <v/>
      </c>
      <c r="G23" s="1151" t="str">
        <f>IF(C21=0,"",VLOOKUP(C21,'Tablas Magia'!$D$6:$Z$680,15,FALSE))</f>
        <v/>
      </c>
      <c r="H23" s="5475" t="str">
        <f>IF(C21=0,"",VLOOKUP(C21,'Tablas Magia'!$D$6:$Z$680,19,FALSE))</f>
        <v/>
      </c>
      <c r="I23" s="5476"/>
      <c r="J23" s="5476"/>
      <c r="K23" s="5476"/>
      <c r="L23" s="5476"/>
      <c r="M23" s="5476"/>
      <c r="N23" s="5476"/>
      <c r="O23" s="5476"/>
      <c r="P23" s="5476"/>
      <c r="Q23" s="5477"/>
      <c r="R23" s="1131"/>
      <c r="S23" s="1125"/>
      <c r="T23" s="1125"/>
      <c r="U23" s="537"/>
      <c r="V23" s="5473" t="s">
        <v>1674</v>
      </c>
      <c r="W23" s="5474"/>
      <c r="X23" s="1150" t="str">
        <f>IF(V21=0,"",VLOOKUP(V21,'Tablas Magia'!$D$6:$Z$680,7,FALSE))</f>
        <v/>
      </c>
      <c r="Y23" s="1150" t="str">
        <f>IF(V21=0,"",VLOOKUP(V21,'Tablas Magia'!$D$6:$Z$680,11,FALSE))</f>
        <v/>
      </c>
      <c r="Z23" s="1151" t="str">
        <f>IF(V21=0,"",VLOOKUP(V21,'Tablas Magia'!$D$6:$Z$680,15,FALSE))</f>
        <v/>
      </c>
      <c r="AA23" s="5475" t="str">
        <f>IF(V21=0,"",VLOOKUP(V21,'Tablas Magia'!$D$6:$Z$680,19,FALSE))</f>
        <v/>
      </c>
      <c r="AB23" s="5476"/>
      <c r="AC23" s="5476"/>
      <c r="AD23" s="5476"/>
      <c r="AE23" s="5476"/>
      <c r="AF23" s="5476"/>
      <c r="AG23" s="5476"/>
      <c r="AH23" s="5476"/>
      <c r="AI23" s="5476"/>
      <c r="AJ23" s="5477"/>
      <c r="AK23" s="1131"/>
      <c r="AL23" s="1125"/>
      <c r="AM23" s="1125"/>
      <c r="AN23" s="537"/>
      <c r="AO23" s="5473" t="s">
        <v>1674</v>
      </c>
      <c r="AP23" s="5474"/>
      <c r="AQ23" s="1150" t="str">
        <f>IF(AO21=0,"",VLOOKUP(AO21,'Tablas Magia'!$D$6:$Z$680,7,FALSE))</f>
        <v/>
      </c>
      <c r="AR23" s="1150" t="str">
        <f>IF(AO21=0,"",VLOOKUP(AO21,'Tablas Magia'!$D$6:$Z$680,11,FALSE))</f>
        <v/>
      </c>
      <c r="AS23" s="1151" t="str">
        <f>IF(AO21=0,"",VLOOKUP(AO21,'Tablas Magia'!$D$6:$Z$680,15,FALSE))</f>
        <v/>
      </c>
      <c r="AT23" s="5475" t="str">
        <f>IF(AO21=0,"",VLOOKUP(AO21,'Tablas Magia'!$D$6:$Z$680,19,FALSE))</f>
        <v/>
      </c>
      <c r="AU23" s="5476"/>
      <c r="AV23" s="5476"/>
      <c r="AW23" s="5476"/>
      <c r="AX23" s="5476"/>
      <c r="AY23" s="5476"/>
      <c r="AZ23" s="5476"/>
      <c r="BA23" s="5476"/>
      <c r="BB23" s="5476"/>
      <c r="BC23" s="5477"/>
      <c r="BD23" s="1131"/>
      <c r="BE23" s="1125"/>
    </row>
    <row r="24" spans="1:57" ht="12" customHeight="1" x14ac:dyDescent="0.2">
      <c r="A24" s="1125"/>
      <c r="B24" s="537"/>
      <c r="C24" s="5468" t="s">
        <v>4572</v>
      </c>
      <c r="D24" s="5469"/>
      <c r="E24" s="1152" t="str">
        <f>IF(C21=0,"",VLOOKUP(C21,'Tablas Magia'!$D$6:$Z$680,8,FALSE))</f>
        <v/>
      </c>
      <c r="F24" s="1152" t="str">
        <f>IF(C21=0,"",VLOOKUP(C21,'Tablas Magia'!$D$6:$Z$680,12,FALSE))</f>
        <v/>
      </c>
      <c r="G24" s="1153" t="str">
        <f>IF(C21=0,"",VLOOKUP(C21,'Tablas Magia'!$D$6:$Z$680,16,FALSE))</f>
        <v/>
      </c>
      <c r="H24" s="5470" t="str">
        <f>IF(C21=0,"",VLOOKUP(C21,'Tablas Magia'!$D$6:$Z$680,20,FALSE))</f>
        <v/>
      </c>
      <c r="I24" s="5471"/>
      <c r="J24" s="5471"/>
      <c r="K24" s="5471"/>
      <c r="L24" s="5471"/>
      <c r="M24" s="5471"/>
      <c r="N24" s="5471"/>
      <c r="O24" s="5471"/>
      <c r="P24" s="5471"/>
      <c r="Q24" s="5472"/>
      <c r="R24" s="1131"/>
      <c r="S24" s="1125"/>
      <c r="T24" s="1125"/>
      <c r="U24" s="537"/>
      <c r="V24" s="5468" t="s">
        <v>4572</v>
      </c>
      <c r="W24" s="5469"/>
      <c r="X24" s="1152" t="str">
        <f>IF(V21=0,"",VLOOKUP(V21,'Tablas Magia'!$D$6:$Z$680,8,FALSE))</f>
        <v/>
      </c>
      <c r="Y24" s="1152" t="str">
        <f>IF(V21=0,"",VLOOKUP(V21,'Tablas Magia'!$D$6:$Z$680,12,FALSE))</f>
        <v/>
      </c>
      <c r="Z24" s="1153" t="str">
        <f>IF(V21=0,"",VLOOKUP(V21,'Tablas Magia'!$D$6:$Z$680,16,FALSE))</f>
        <v/>
      </c>
      <c r="AA24" s="5470" t="str">
        <f>IF(V21=0,"",VLOOKUP(V21,'Tablas Magia'!$D$6:$Z$680,20,FALSE))</f>
        <v/>
      </c>
      <c r="AB24" s="5471"/>
      <c r="AC24" s="5471"/>
      <c r="AD24" s="5471"/>
      <c r="AE24" s="5471"/>
      <c r="AF24" s="5471"/>
      <c r="AG24" s="5471"/>
      <c r="AH24" s="5471"/>
      <c r="AI24" s="5471"/>
      <c r="AJ24" s="5472"/>
      <c r="AK24" s="1131"/>
      <c r="AL24" s="1125"/>
      <c r="AM24" s="1125"/>
      <c r="AN24" s="537"/>
      <c r="AO24" s="5468" t="s">
        <v>4572</v>
      </c>
      <c r="AP24" s="5469"/>
      <c r="AQ24" s="1152" t="str">
        <f>IF(AO21=0,"",VLOOKUP(AO21,'Tablas Magia'!$D$6:$Z$680,8,FALSE))</f>
        <v/>
      </c>
      <c r="AR24" s="1152" t="str">
        <f>IF(AO21=0,"",VLOOKUP(AO21,'Tablas Magia'!$D$6:$Z$680,12,FALSE))</f>
        <v/>
      </c>
      <c r="AS24" s="1153" t="str">
        <f>IF(AO21=0,"",VLOOKUP(AO21,'Tablas Magia'!$D$6:$Z$680,16,FALSE))</f>
        <v/>
      </c>
      <c r="AT24" s="5470" t="str">
        <f>IF(AO21=0,"",VLOOKUP(AO21,'Tablas Magia'!$D$6:$Z$680,20,FALSE))</f>
        <v/>
      </c>
      <c r="AU24" s="5471"/>
      <c r="AV24" s="5471"/>
      <c r="AW24" s="5471"/>
      <c r="AX24" s="5471"/>
      <c r="AY24" s="5471"/>
      <c r="AZ24" s="5471"/>
      <c r="BA24" s="5471"/>
      <c r="BB24" s="5471"/>
      <c r="BC24" s="5472"/>
      <c r="BD24" s="1131"/>
      <c r="BE24" s="1125"/>
    </row>
    <row r="25" spans="1:57" ht="12" customHeight="1" x14ac:dyDescent="0.2">
      <c r="A25" s="1125"/>
      <c r="B25" s="537"/>
      <c r="C25" s="5473" t="s">
        <v>4573</v>
      </c>
      <c r="D25" s="5474"/>
      <c r="E25" s="1150" t="str">
        <f>IF(C21=0,"",VLOOKUP(C21,'Tablas Magia'!$D$6:$Z$680,9,FALSE))</f>
        <v/>
      </c>
      <c r="F25" s="1150" t="str">
        <f>IF(C21=0,"",VLOOKUP(C21,'Tablas Magia'!$D$6:$Z$680,13,FALSE))</f>
        <v/>
      </c>
      <c r="G25" s="1151" t="str">
        <f>IF(C21=0,"",VLOOKUP(C21,'Tablas Magia'!$D$6:$Z$680,17,FALSE))</f>
        <v/>
      </c>
      <c r="H25" s="5475" t="str">
        <f>IF(C21=0,"",VLOOKUP(C21,'Tablas Magia'!$D$6:$Z$680,21,FALSE))</f>
        <v/>
      </c>
      <c r="I25" s="5476"/>
      <c r="J25" s="5476"/>
      <c r="K25" s="5476"/>
      <c r="L25" s="5476"/>
      <c r="M25" s="5476"/>
      <c r="N25" s="5476"/>
      <c r="O25" s="5476"/>
      <c r="P25" s="5476"/>
      <c r="Q25" s="5477"/>
      <c r="R25" s="1131"/>
      <c r="S25" s="1125"/>
      <c r="T25" s="1125"/>
      <c r="U25" s="537"/>
      <c r="V25" s="5473" t="s">
        <v>4573</v>
      </c>
      <c r="W25" s="5474"/>
      <c r="X25" s="1150" t="str">
        <f>IF(V21=0,"",VLOOKUP(V21,'Tablas Magia'!$D$6:$Z$680,9,FALSE))</f>
        <v/>
      </c>
      <c r="Y25" s="1150" t="str">
        <f>IF(V21=0,"",VLOOKUP(V21,'Tablas Magia'!$D$6:$Z$680,13,FALSE))</f>
        <v/>
      </c>
      <c r="Z25" s="1151" t="str">
        <f>IF(V21=0,"",VLOOKUP(V21,'Tablas Magia'!$D$6:$Z$680,17,FALSE))</f>
        <v/>
      </c>
      <c r="AA25" s="5475" t="str">
        <f>IF(V21=0,"",VLOOKUP(V21,'Tablas Magia'!$D$6:$Z$680,21,FALSE))</f>
        <v/>
      </c>
      <c r="AB25" s="5476"/>
      <c r="AC25" s="5476"/>
      <c r="AD25" s="5476"/>
      <c r="AE25" s="5476"/>
      <c r="AF25" s="5476"/>
      <c r="AG25" s="5476"/>
      <c r="AH25" s="5476"/>
      <c r="AI25" s="5476"/>
      <c r="AJ25" s="5477"/>
      <c r="AK25" s="1131"/>
      <c r="AL25" s="1125"/>
      <c r="AM25" s="1125"/>
      <c r="AN25" s="537"/>
      <c r="AO25" s="5473" t="s">
        <v>4573</v>
      </c>
      <c r="AP25" s="5474"/>
      <c r="AQ25" s="1150" t="str">
        <f>IF(AO21=0,"",VLOOKUP(AO21,'Tablas Magia'!$D$6:$Z$680,9,FALSE))</f>
        <v/>
      </c>
      <c r="AR25" s="1150" t="str">
        <f>IF(AO21=0,"",VLOOKUP(AO21,'Tablas Magia'!$D$6:$Z$680,13,FALSE))</f>
        <v/>
      </c>
      <c r="AS25" s="1151" t="str">
        <f>IF(AO21=0,"",VLOOKUP(AO21,'Tablas Magia'!$D$6:$Z$680,17,FALSE))</f>
        <v/>
      </c>
      <c r="AT25" s="5475" t="str">
        <f>IF(AO21=0,"",VLOOKUP(AO21,'Tablas Magia'!$D$6:$Z$680,21,FALSE))</f>
        <v/>
      </c>
      <c r="AU25" s="5476"/>
      <c r="AV25" s="5476"/>
      <c r="AW25" s="5476"/>
      <c r="AX25" s="5476"/>
      <c r="AY25" s="5476"/>
      <c r="AZ25" s="5476"/>
      <c r="BA25" s="5476"/>
      <c r="BB25" s="5476"/>
      <c r="BC25" s="5477"/>
      <c r="BD25" s="1131"/>
      <c r="BE25" s="1125"/>
    </row>
    <row r="26" spans="1:57" ht="12" customHeight="1" thickBot="1" x14ac:dyDescent="0.25">
      <c r="A26" s="1125"/>
      <c r="B26" s="537"/>
      <c r="C26" s="5483" t="s">
        <v>4574</v>
      </c>
      <c r="D26" s="5484"/>
      <c r="E26" s="1154" t="str">
        <f>IF(C21=0,"",VLOOKUP(C21,'Tablas Magia'!$D$6:$Z$680,10,FALSE))</f>
        <v/>
      </c>
      <c r="F26" s="1154" t="str">
        <f>IF(C21=0,"",VLOOKUP(C21,'Tablas Magia'!$D$6:$Z$680,14,FALSE))</f>
        <v/>
      </c>
      <c r="G26" s="1155" t="str">
        <f>IF(C21=0,"",VLOOKUP(C21,'Tablas Magia'!$D$6:$Z$680,18,FALSE))</f>
        <v/>
      </c>
      <c r="H26" s="5485" t="str">
        <f>IF(C21=0,"",VLOOKUP(C21,'Tablas Magia'!$D$6:$Z$680,22,FALSE))</f>
        <v/>
      </c>
      <c r="I26" s="5486"/>
      <c r="J26" s="5486"/>
      <c r="K26" s="5486"/>
      <c r="L26" s="5486"/>
      <c r="M26" s="5486"/>
      <c r="N26" s="5486"/>
      <c r="O26" s="5486"/>
      <c r="P26" s="5486"/>
      <c r="Q26" s="5487"/>
      <c r="R26" s="1131"/>
      <c r="S26" s="1125"/>
      <c r="T26" s="1125"/>
      <c r="U26" s="537"/>
      <c r="V26" s="5483" t="s">
        <v>4574</v>
      </c>
      <c r="W26" s="5484"/>
      <c r="X26" s="1154" t="str">
        <f>IF(V21=0,"",VLOOKUP(V21,'Tablas Magia'!$D$6:$Z$680,10,FALSE))</f>
        <v/>
      </c>
      <c r="Y26" s="1154" t="str">
        <f>IF(V21=0,"",VLOOKUP(V21,'Tablas Magia'!$D$6:$Z$680,14,FALSE))</f>
        <v/>
      </c>
      <c r="Z26" s="1155" t="str">
        <f>IF(V21=0,"",VLOOKUP(V21,'Tablas Magia'!$D$6:$Z$680,18,FALSE))</f>
        <v/>
      </c>
      <c r="AA26" s="5485" t="str">
        <f>IF(V21=0,"",VLOOKUP(V21,'Tablas Magia'!$D$6:$Z$680,22,FALSE))</f>
        <v/>
      </c>
      <c r="AB26" s="5486"/>
      <c r="AC26" s="5486"/>
      <c r="AD26" s="5486"/>
      <c r="AE26" s="5486"/>
      <c r="AF26" s="5486"/>
      <c r="AG26" s="5486"/>
      <c r="AH26" s="5486"/>
      <c r="AI26" s="5486"/>
      <c r="AJ26" s="5487"/>
      <c r="AK26" s="1131"/>
      <c r="AL26" s="1125"/>
      <c r="AM26" s="1125"/>
      <c r="AN26" s="537"/>
      <c r="AO26" s="5483" t="s">
        <v>4574</v>
      </c>
      <c r="AP26" s="5484"/>
      <c r="AQ26" s="1154" t="str">
        <f>IF(AO21=0,"",VLOOKUP(AO21,'Tablas Magia'!$D$6:$Z$680,10,FALSE))</f>
        <v/>
      </c>
      <c r="AR26" s="1154" t="str">
        <f>IF(AO21=0,"",VLOOKUP(AO21,'Tablas Magia'!$D$6:$Z$680,14,FALSE))</f>
        <v/>
      </c>
      <c r="AS26" s="1155" t="str">
        <f>IF(AO21=0,"",VLOOKUP(AO21,'Tablas Magia'!$D$6:$Z$680,18,FALSE))</f>
        <v/>
      </c>
      <c r="AT26" s="5485" t="str">
        <f>IF(AO21=0,"",VLOOKUP(AO21,'Tablas Magia'!$D$6:$Z$680,22,FALSE))</f>
        <v/>
      </c>
      <c r="AU26" s="5486"/>
      <c r="AV26" s="5486"/>
      <c r="AW26" s="5486"/>
      <c r="AX26" s="5486"/>
      <c r="AY26" s="5486"/>
      <c r="AZ26" s="5486"/>
      <c r="BA26" s="5486"/>
      <c r="BB26" s="5486"/>
      <c r="BC26" s="5487"/>
      <c r="BD26" s="1131"/>
      <c r="BE26" s="1125"/>
    </row>
    <row r="27" spans="1:57" ht="12" customHeight="1" x14ac:dyDescent="0.2">
      <c r="A27" s="1125"/>
      <c r="B27" s="537"/>
      <c r="C27" s="5488" t="str">
        <f>IF(C21=0,"",VLOOKUP(C21,'Tablas Magia'!$D$6:$Z$680,23,FALSE))</f>
        <v/>
      </c>
      <c r="D27" s="5489"/>
      <c r="E27" s="5489"/>
      <c r="F27" s="5489"/>
      <c r="G27" s="5489"/>
      <c r="H27" s="5489"/>
      <c r="I27" s="5489"/>
      <c r="J27" s="5489"/>
      <c r="K27" s="5489"/>
      <c r="L27" s="5489"/>
      <c r="M27" s="5489"/>
      <c r="N27" s="5489"/>
      <c r="O27" s="5489"/>
      <c r="P27" s="5489"/>
      <c r="Q27" s="5490"/>
      <c r="R27" s="1131"/>
      <c r="S27" s="1125"/>
      <c r="T27" s="1125"/>
      <c r="U27" s="537"/>
      <c r="V27" s="5488" t="str">
        <f>IF(V21=0,"",VLOOKUP(V21,'Tablas Magia'!$D$6:$Z$680,23,FALSE))</f>
        <v/>
      </c>
      <c r="W27" s="5489"/>
      <c r="X27" s="5489"/>
      <c r="Y27" s="5489"/>
      <c r="Z27" s="5489"/>
      <c r="AA27" s="5489"/>
      <c r="AB27" s="5489"/>
      <c r="AC27" s="5489"/>
      <c r="AD27" s="5489"/>
      <c r="AE27" s="5489"/>
      <c r="AF27" s="5489"/>
      <c r="AG27" s="5489"/>
      <c r="AH27" s="5489"/>
      <c r="AI27" s="5489"/>
      <c r="AJ27" s="5490"/>
      <c r="AK27" s="1131"/>
      <c r="AL27" s="1125"/>
      <c r="AM27" s="1125"/>
      <c r="AN27" s="537"/>
      <c r="AO27" s="5488" t="str">
        <f>IF(AO21=0,"",VLOOKUP(AO21,'Tablas Magia'!$D$6:$Z$680,23,FALSE))</f>
        <v/>
      </c>
      <c r="AP27" s="5489"/>
      <c r="AQ27" s="5489"/>
      <c r="AR27" s="5489"/>
      <c r="AS27" s="5489"/>
      <c r="AT27" s="5489"/>
      <c r="AU27" s="5489"/>
      <c r="AV27" s="5489"/>
      <c r="AW27" s="5489"/>
      <c r="AX27" s="5489"/>
      <c r="AY27" s="5489"/>
      <c r="AZ27" s="5489"/>
      <c r="BA27" s="5489"/>
      <c r="BB27" s="5489"/>
      <c r="BC27" s="5490"/>
      <c r="BD27" s="1131"/>
      <c r="BE27" s="1125"/>
    </row>
    <row r="28" spans="1:57" ht="12" customHeight="1" x14ac:dyDescent="0.2">
      <c r="A28" s="1125"/>
      <c r="B28" s="537"/>
      <c r="C28" s="5491"/>
      <c r="D28" s="5492"/>
      <c r="E28" s="5492"/>
      <c r="F28" s="5492"/>
      <c r="G28" s="5492"/>
      <c r="H28" s="5492"/>
      <c r="I28" s="5492"/>
      <c r="J28" s="5492"/>
      <c r="K28" s="5492"/>
      <c r="L28" s="5492"/>
      <c r="M28" s="5492"/>
      <c r="N28" s="5492"/>
      <c r="O28" s="5492"/>
      <c r="P28" s="5492"/>
      <c r="Q28" s="5493"/>
      <c r="R28" s="1131"/>
      <c r="S28" s="1125"/>
      <c r="T28" s="1125"/>
      <c r="U28" s="537"/>
      <c r="V28" s="5491"/>
      <c r="W28" s="5492"/>
      <c r="X28" s="5492"/>
      <c r="Y28" s="5492"/>
      <c r="Z28" s="5492"/>
      <c r="AA28" s="5492"/>
      <c r="AB28" s="5492"/>
      <c r="AC28" s="5492"/>
      <c r="AD28" s="5492"/>
      <c r="AE28" s="5492"/>
      <c r="AF28" s="5492"/>
      <c r="AG28" s="5492"/>
      <c r="AH28" s="5492"/>
      <c r="AI28" s="5492"/>
      <c r="AJ28" s="5493"/>
      <c r="AK28" s="1131"/>
      <c r="AL28" s="1125"/>
      <c r="AM28" s="1125"/>
      <c r="AN28" s="537"/>
      <c r="AO28" s="5491"/>
      <c r="AP28" s="5492"/>
      <c r="AQ28" s="5492"/>
      <c r="AR28" s="5492"/>
      <c r="AS28" s="5492"/>
      <c r="AT28" s="5492"/>
      <c r="AU28" s="5492"/>
      <c r="AV28" s="5492"/>
      <c r="AW28" s="5492"/>
      <c r="AX28" s="5492"/>
      <c r="AY28" s="5492"/>
      <c r="AZ28" s="5492"/>
      <c r="BA28" s="5492"/>
      <c r="BB28" s="5492"/>
      <c r="BC28" s="5493"/>
      <c r="BD28" s="1131"/>
      <c r="BE28" s="1125"/>
    </row>
    <row r="29" spans="1:57" ht="12" customHeight="1" x14ac:dyDescent="0.2">
      <c r="A29" s="1125"/>
      <c r="B29" s="537"/>
      <c r="C29" s="5491"/>
      <c r="D29" s="5492"/>
      <c r="E29" s="5492"/>
      <c r="F29" s="5492"/>
      <c r="G29" s="5492"/>
      <c r="H29" s="5492"/>
      <c r="I29" s="5492"/>
      <c r="J29" s="5492"/>
      <c r="K29" s="5492"/>
      <c r="L29" s="5492"/>
      <c r="M29" s="5492"/>
      <c r="N29" s="5492"/>
      <c r="O29" s="5492"/>
      <c r="P29" s="5492"/>
      <c r="Q29" s="5493"/>
      <c r="R29" s="1131"/>
      <c r="S29" s="1125"/>
      <c r="T29" s="1125"/>
      <c r="U29" s="537"/>
      <c r="V29" s="5491"/>
      <c r="W29" s="5492"/>
      <c r="X29" s="5492"/>
      <c r="Y29" s="5492"/>
      <c r="Z29" s="5492"/>
      <c r="AA29" s="5492"/>
      <c r="AB29" s="5492"/>
      <c r="AC29" s="5492"/>
      <c r="AD29" s="5492"/>
      <c r="AE29" s="5492"/>
      <c r="AF29" s="5492"/>
      <c r="AG29" s="5492"/>
      <c r="AH29" s="5492"/>
      <c r="AI29" s="5492"/>
      <c r="AJ29" s="5493"/>
      <c r="AK29" s="1131"/>
      <c r="AL29" s="1125"/>
      <c r="AM29" s="1125"/>
      <c r="AN29" s="537"/>
      <c r="AO29" s="5491"/>
      <c r="AP29" s="5492"/>
      <c r="AQ29" s="5492"/>
      <c r="AR29" s="5492"/>
      <c r="AS29" s="5492"/>
      <c r="AT29" s="5492"/>
      <c r="AU29" s="5492"/>
      <c r="AV29" s="5492"/>
      <c r="AW29" s="5492"/>
      <c r="AX29" s="5492"/>
      <c r="AY29" s="5492"/>
      <c r="AZ29" s="5492"/>
      <c r="BA29" s="5492"/>
      <c r="BB29" s="5492"/>
      <c r="BC29" s="5493"/>
      <c r="BD29" s="1131"/>
      <c r="BE29" s="1125"/>
    </row>
    <row r="30" spans="1:57" ht="12" customHeight="1" thickBot="1" x14ac:dyDescent="0.25">
      <c r="A30" s="1125"/>
      <c r="B30" s="537"/>
      <c r="C30" s="5494"/>
      <c r="D30" s="5495"/>
      <c r="E30" s="5495"/>
      <c r="F30" s="5495"/>
      <c r="G30" s="5495"/>
      <c r="H30" s="5495"/>
      <c r="I30" s="5495"/>
      <c r="J30" s="5495"/>
      <c r="K30" s="5495"/>
      <c r="L30" s="5495"/>
      <c r="M30" s="5495"/>
      <c r="N30" s="5495"/>
      <c r="O30" s="5495"/>
      <c r="P30" s="5495"/>
      <c r="Q30" s="5496"/>
      <c r="R30" s="1131"/>
      <c r="S30" s="1125"/>
      <c r="T30" s="1125"/>
      <c r="U30" s="537"/>
      <c r="V30" s="5494"/>
      <c r="W30" s="5495"/>
      <c r="X30" s="5495"/>
      <c r="Y30" s="5495"/>
      <c r="Z30" s="5495"/>
      <c r="AA30" s="5495"/>
      <c r="AB30" s="5495"/>
      <c r="AC30" s="5495"/>
      <c r="AD30" s="5495"/>
      <c r="AE30" s="5495"/>
      <c r="AF30" s="5495"/>
      <c r="AG30" s="5495"/>
      <c r="AH30" s="5495"/>
      <c r="AI30" s="5495"/>
      <c r="AJ30" s="5496"/>
      <c r="AK30" s="1131"/>
      <c r="AL30" s="1125"/>
      <c r="AM30" s="1125"/>
      <c r="AN30" s="537"/>
      <c r="AO30" s="5494"/>
      <c r="AP30" s="5495"/>
      <c r="AQ30" s="5495"/>
      <c r="AR30" s="5495"/>
      <c r="AS30" s="5495"/>
      <c r="AT30" s="5495"/>
      <c r="AU30" s="5495"/>
      <c r="AV30" s="5495"/>
      <c r="AW30" s="5495"/>
      <c r="AX30" s="5495"/>
      <c r="AY30" s="5495"/>
      <c r="AZ30" s="5495"/>
      <c r="BA30" s="5495"/>
      <c r="BB30" s="5495"/>
      <c r="BC30" s="5496"/>
      <c r="BD30" s="1131"/>
      <c r="BE30" s="1125"/>
    </row>
    <row r="31" spans="1:57" ht="12" customHeight="1" thickBot="1" x14ac:dyDescent="0.25">
      <c r="A31" s="1125"/>
      <c r="B31" s="537"/>
      <c r="C31" s="1159"/>
      <c r="D31" s="1159"/>
      <c r="E31" s="1163"/>
      <c r="F31" s="1163"/>
      <c r="G31" s="1163"/>
      <c r="H31" s="1159"/>
      <c r="I31" s="668"/>
      <c r="J31" s="668"/>
      <c r="K31" s="1159"/>
      <c r="L31" s="1159"/>
      <c r="M31" s="668"/>
      <c r="N31" s="668"/>
      <c r="O31" s="1164"/>
      <c r="P31" s="1164"/>
      <c r="Q31" s="668"/>
      <c r="R31" s="1131"/>
      <c r="S31" s="1125"/>
      <c r="T31" s="1125"/>
      <c r="U31" s="537"/>
      <c r="V31" s="1159"/>
      <c r="W31" s="1159"/>
      <c r="X31" s="1163"/>
      <c r="Y31" s="1163"/>
      <c r="Z31" s="1163"/>
      <c r="AA31" s="1159"/>
      <c r="AB31" s="668"/>
      <c r="AC31" s="668"/>
      <c r="AD31" s="1159"/>
      <c r="AE31" s="1159"/>
      <c r="AF31" s="668"/>
      <c r="AG31" s="668"/>
      <c r="AH31" s="1164"/>
      <c r="AI31" s="1164"/>
      <c r="AJ31" s="668"/>
      <c r="AK31" s="1131"/>
      <c r="AL31" s="1125"/>
      <c r="AM31" s="1125"/>
      <c r="AN31" s="537"/>
      <c r="AO31" s="1159"/>
      <c r="AP31" s="1159"/>
      <c r="AQ31" s="1163"/>
      <c r="AR31" s="1163"/>
      <c r="AS31" s="1163"/>
      <c r="AT31" s="1159"/>
      <c r="AU31" s="668"/>
      <c r="AV31" s="668"/>
      <c r="AW31" s="1159"/>
      <c r="AX31" s="1159"/>
      <c r="AY31" s="668"/>
      <c r="AZ31" s="668"/>
      <c r="BA31" s="1164"/>
      <c r="BB31" s="1164"/>
      <c r="BC31" s="668"/>
      <c r="BD31" s="1131"/>
      <c r="BE31" s="1125"/>
    </row>
    <row r="32" spans="1:57" ht="12" customHeight="1" x14ac:dyDescent="0.2">
      <c r="A32" s="1125"/>
      <c r="B32" s="537"/>
      <c r="C32" s="5461"/>
      <c r="D32" s="5462"/>
      <c r="E32" s="5462"/>
      <c r="F32" s="5462"/>
      <c r="G32" s="5462"/>
      <c r="H32" s="1145" t="s">
        <v>1627</v>
      </c>
      <c r="I32" s="1146" t="str">
        <f>IF(C32=0,"",VLOOKUP(C32,'Tablas Magia'!$D$6:$Z$680,3,FALSE))</f>
        <v/>
      </c>
      <c r="J32" s="5463" t="s">
        <v>7687</v>
      </c>
      <c r="K32" s="5463"/>
      <c r="L32" s="5463"/>
      <c r="M32" s="5464" t="str">
        <f>IF(C32=0,"",VLOOKUP(C32,'Tablas Magia'!$D$6:$Z$680,2,FALSE))</f>
        <v/>
      </c>
      <c r="N32" s="5464"/>
      <c r="O32" s="5464"/>
      <c r="P32" s="5464"/>
      <c r="Q32" s="5465"/>
      <c r="R32" s="1131"/>
      <c r="S32" s="1125"/>
      <c r="T32" s="1125"/>
      <c r="U32" s="537"/>
      <c r="V32" s="5461"/>
      <c r="W32" s="5462"/>
      <c r="X32" s="5462"/>
      <c r="Y32" s="5462"/>
      <c r="Z32" s="5462"/>
      <c r="AA32" s="1145" t="s">
        <v>1627</v>
      </c>
      <c r="AB32" s="1146" t="str">
        <f>IF(V32=0,"",VLOOKUP(V32,'Tablas Magia'!$D$6:$Z$680,3,FALSE))</f>
        <v/>
      </c>
      <c r="AC32" s="5463" t="s">
        <v>7687</v>
      </c>
      <c r="AD32" s="5463"/>
      <c r="AE32" s="5463"/>
      <c r="AF32" s="5464" t="str">
        <f>IF(V32=0,"",VLOOKUP(V32,'Tablas Magia'!$D$6:$Z$680,2,FALSE))</f>
        <v/>
      </c>
      <c r="AG32" s="5464"/>
      <c r="AH32" s="5464"/>
      <c r="AI32" s="5464"/>
      <c r="AJ32" s="5465"/>
      <c r="AK32" s="1131"/>
      <c r="AL32" s="1125"/>
      <c r="AM32" s="1125"/>
      <c r="AN32" s="537"/>
      <c r="AO32" s="5461"/>
      <c r="AP32" s="5462"/>
      <c r="AQ32" s="5462"/>
      <c r="AR32" s="5462"/>
      <c r="AS32" s="5462"/>
      <c r="AT32" s="1145" t="s">
        <v>1627</v>
      </c>
      <c r="AU32" s="1146" t="str">
        <f>IF(AO32=0,"",VLOOKUP(AO32,'Tablas Magia'!$D$6:$Z$680,3,FALSE))</f>
        <v/>
      </c>
      <c r="AV32" s="5463" t="s">
        <v>7687</v>
      </c>
      <c r="AW32" s="5463"/>
      <c r="AX32" s="5463"/>
      <c r="AY32" s="5464" t="str">
        <f>IF(AO32=0,"",VLOOKUP(AO32,'Tablas Magia'!$D$6:$Z$680,2,FALSE))</f>
        <v/>
      </c>
      <c r="AZ32" s="5464"/>
      <c r="BA32" s="5464"/>
      <c r="BB32" s="5464"/>
      <c r="BC32" s="5465"/>
      <c r="BD32" s="1131"/>
      <c r="BE32" s="1125"/>
    </row>
    <row r="33" spans="1:57" ht="12" customHeight="1" x14ac:dyDescent="0.2">
      <c r="A33" s="1125"/>
      <c r="B33" s="537"/>
      <c r="C33" s="5481" t="s">
        <v>7688</v>
      </c>
      <c r="D33" s="5482"/>
      <c r="E33" s="1147" t="s">
        <v>7689</v>
      </c>
      <c r="F33" s="1147" t="s">
        <v>1820</v>
      </c>
      <c r="G33" s="1147" t="s">
        <v>3334</v>
      </c>
      <c r="H33" s="1148" t="s">
        <v>2165</v>
      </c>
      <c r="I33" s="5478" t="str">
        <f>IF(C32=0,"",VLOOKUP(C32,'Tablas Magia'!$D$6:$Z$680,5,FALSE))</f>
        <v/>
      </c>
      <c r="J33" s="5478"/>
      <c r="K33" s="5479" t="s">
        <v>7690</v>
      </c>
      <c r="L33" s="5479"/>
      <c r="M33" s="5478" t="str">
        <f>IF(C32=0,"",VLOOKUP(C32,'Tablas Magia'!$D$6:$Z$680,6,FALSE))</f>
        <v/>
      </c>
      <c r="N33" s="5478"/>
      <c r="O33" s="5480" t="s">
        <v>7691</v>
      </c>
      <c r="P33" s="5480"/>
      <c r="Q33" s="1149" t="str">
        <f>IF(C32=0,"",VLOOKUP(C32,'Tablas Magia'!$D$6:$Z$680,4,FALSE))</f>
        <v/>
      </c>
      <c r="R33" s="1131"/>
      <c r="S33" s="1125"/>
      <c r="T33" s="1125"/>
      <c r="U33" s="537"/>
      <c r="V33" s="5481" t="s">
        <v>7688</v>
      </c>
      <c r="W33" s="5482"/>
      <c r="X33" s="1147" t="s">
        <v>7689</v>
      </c>
      <c r="Y33" s="1147" t="s">
        <v>1820</v>
      </c>
      <c r="Z33" s="1147" t="s">
        <v>3334</v>
      </c>
      <c r="AA33" s="1148" t="s">
        <v>2165</v>
      </c>
      <c r="AB33" s="5478" t="str">
        <f>IF(V32=0,"",VLOOKUP(V32,'Tablas Magia'!$D$6:$Z$680,5,FALSE))</f>
        <v/>
      </c>
      <c r="AC33" s="5478"/>
      <c r="AD33" s="5479" t="s">
        <v>7690</v>
      </c>
      <c r="AE33" s="5479"/>
      <c r="AF33" s="5478" t="str">
        <f>IF(V32=0,"",VLOOKUP(V32,'Tablas Magia'!$D$6:$Z$680,6,FALSE))</f>
        <v/>
      </c>
      <c r="AG33" s="5478"/>
      <c r="AH33" s="5480" t="s">
        <v>7691</v>
      </c>
      <c r="AI33" s="5480"/>
      <c r="AJ33" s="1149" t="str">
        <f>IF(V32=0,"",VLOOKUP(V32,'Tablas Magia'!$D$6:$Z$680,4,FALSE))</f>
        <v/>
      </c>
      <c r="AK33" s="1131"/>
      <c r="AL33" s="1125"/>
      <c r="AM33" s="1125"/>
      <c r="AN33" s="537"/>
      <c r="AO33" s="5481" t="s">
        <v>7688</v>
      </c>
      <c r="AP33" s="5482"/>
      <c r="AQ33" s="1147" t="s">
        <v>7689</v>
      </c>
      <c r="AR33" s="1147" t="s">
        <v>1820</v>
      </c>
      <c r="AS33" s="1147" t="s">
        <v>3334</v>
      </c>
      <c r="AT33" s="1148" t="s">
        <v>2165</v>
      </c>
      <c r="AU33" s="5478" t="str">
        <f>IF(AO32=0,"",VLOOKUP(AO32,'Tablas Magia'!$D$6:$Z$680,5,FALSE))</f>
        <v/>
      </c>
      <c r="AV33" s="5478"/>
      <c r="AW33" s="5479" t="s">
        <v>7690</v>
      </c>
      <c r="AX33" s="5479"/>
      <c r="AY33" s="5478" t="str">
        <f>IF(AO32=0,"",VLOOKUP(AO32,'Tablas Magia'!$D$6:$Z$680,6,FALSE))</f>
        <v/>
      </c>
      <c r="AZ33" s="5478"/>
      <c r="BA33" s="5480" t="s">
        <v>7691</v>
      </c>
      <c r="BB33" s="5480"/>
      <c r="BC33" s="1149" t="str">
        <f>IF(AO32=0,"",VLOOKUP(AO32,'Tablas Magia'!$D$6:$Z$680,4,FALSE))</f>
        <v/>
      </c>
      <c r="BD33" s="1131"/>
      <c r="BE33" s="1125"/>
    </row>
    <row r="34" spans="1:57" ht="12" customHeight="1" x14ac:dyDescent="0.2">
      <c r="A34" s="1125"/>
      <c r="B34" s="537"/>
      <c r="C34" s="5473" t="s">
        <v>1674</v>
      </c>
      <c r="D34" s="5474"/>
      <c r="E34" s="1150" t="str">
        <f>IF(C32=0,"",VLOOKUP(C32,'Tablas Magia'!$D$6:$Z$680,7,FALSE))</f>
        <v/>
      </c>
      <c r="F34" s="1150" t="str">
        <f>IF(C32=0,"",VLOOKUP(C32,'Tablas Magia'!$D$6:$Z$680,11,FALSE))</f>
        <v/>
      </c>
      <c r="G34" s="1151" t="str">
        <f>IF(C32=0,"",VLOOKUP(C32,'Tablas Magia'!$D$6:$Z$680,15,FALSE))</f>
        <v/>
      </c>
      <c r="H34" s="5475" t="str">
        <f>IF(C32=0,"",VLOOKUP(C32,'Tablas Magia'!$D$6:$Z$680,19,FALSE))</f>
        <v/>
      </c>
      <c r="I34" s="5476"/>
      <c r="J34" s="5476"/>
      <c r="K34" s="5476"/>
      <c r="L34" s="5476"/>
      <c r="M34" s="5476"/>
      <c r="N34" s="5476"/>
      <c r="O34" s="5476"/>
      <c r="P34" s="5476"/>
      <c r="Q34" s="5477"/>
      <c r="R34" s="1131"/>
      <c r="S34" s="1125"/>
      <c r="T34" s="1125"/>
      <c r="U34" s="537"/>
      <c r="V34" s="5473" t="s">
        <v>1674</v>
      </c>
      <c r="W34" s="5474"/>
      <c r="X34" s="1150" t="str">
        <f>IF(V32=0,"",VLOOKUP(V32,'Tablas Magia'!$D$6:$Z$680,7,FALSE))</f>
        <v/>
      </c>
      <c r="Y34" s="1150" t="str">
        <f>IF(V32=0,"",VLOOKUP(V32,'Tablas Magia'!$D$6:$Z$680,11,FALSE))</f>
        <v/>
      </c>
      <c r="Z34" s="1151" t="str">
        <f>IF(V32=0,"",VLOOKUP(V32,'Tablas Magia'!$D$6:$Z$680,15,FALSE))</f>
        <v/>
      </c>
      <c r="AA34" s="5475" t="str">
        <f>IF(V32=0,"",VLOOKUP(V32,'Tablas Magia'!$D$6:$Z$680,19,FALSE))</f>
        <v/>
      </c>
      <c r="AB34" s="5476"/>
      <c r="AC34" s="5476"/>
      <c r="AD34" s="5476"/>
      <c r="AE34" s="5476"/>
      <c r="AF34" s="5476"/>
      <c r="AG34" s="5476"/>
      <c r="AH34" s="5476"/>
      <c r="AI34" s="5476"/>
      <c r="AJ34" s="5477"/>
      <c r="AK34" s="1131"/>
      <c r="AL34" s="1125"/>
      <c r="AM34" s="1125"/>
      <c r="AN34" s="537"/>
      <c r="AO34" s="5473" t="s">
        <v>1674</v>
      </c>
      <c r="AP34" s="5474"/>
      <c r="AQ34" s="1150" t="str">
        <f>IF(AO32=0,"",VLOOKUP(AO32,'Tablas Magia'!$D$6:$Z$680,7,FALSE))</f>
        <v/>
      </c>
      <c r="AR34" s="1150" t="str">
        <f>IF(AO32=0,"",VLOOKUP(AO32,'Tablas Magia'!$D$6:$Z$680,11,FALSE))</f>
        <v/>
      </c>
      <c r="AS34" s="1151" t="str">
        <f>IF(AO32=0,"",VLOOKUP(AO32,'Tablas Magia'!$D$6:$Z$680,15,FALSE))</f>
        <v/>
      </c>
      <c r="AT34" s="5475" t="str">
        <f>IF(AO32=0,"",VLOOKUP(AO32,'Tablas Magia'!$D$6:$Z$680,19,FALSE))</f>
        <v/>
      </c>
      <c r="AU34" s="5476"/>
      <c r="AV34" s="5476"/>
      <c r="AW34" s="5476"/>
      <c r="AX34" s="5476"/>
      <c r="AY34" s="5476"/>
      <c r="AZ34" s="5476"/>
      <c r="BA34" s="5476"/>
      <c r="BB34" s="5476"/>
      <c r="BC34" s="5477"/>
      <c r="BD34" s="1131"/>
      <c r="BE34" s="1125"/>
    </row>
    <row r="35" spans="1:57" ht="12" customHeight="1" x14ac:dyDescent="0.2">
      <c r="A35" s="1125"/>
      <c r="B35" s="537"/>
      <c r="C35" s="5468" t="s">
        <v>4572</v>
      </c>
      <c r="D35" s="5469"/>
      <c r="E35" s="1152" t="str">
        <f>IF(C32=0,"",VLOOKUP(C32,'Tablas Magia'!$D$6:$Z$680,8,FALSE))</f>
        <v/>
      </c>
      <c r="F35" s="1152" t="str">
        <f>IF(C32=0,"",VLOOKUP(C32,'Tablas Magia'!$D$6:$Z$680,12,FALSE))</f>
        <v/>
      </c>
      <c r="G35" s="1153" t="str">
        <f>IF(C32=0,"",VLOOKUP(C32,'Tablas Magia'!$D$6:$Z$680,16,FALSE))</f>
        <v/>
      </c>
      <c r="H35" s="5470" t="str">
        <f>IF(C32=0,"",VLOOKUP(C32,'Tablas Magia'!$D$6:$Z$680,20,FALSE))</f>
        <v/>
      </c>
      <c r="I35" s="5471"/>
      <c r="J35" s="5471"/>
      <c r="K35" s="5471"/>
      <c r="L35" s="5471"/>
      <c r="M35" s="5471"/>
      <c r="N35" s="5471"/>
      <c r="O35" s="5471"/>
      <c r="P35" s="5471"/>
      <c r="Q35" s="5472"/>
      <c r="R35" s="1131"/>
      <c r="S35" s="1125"/>
      <c r="T35" s="1125"/>
      <c r="U35" s="537"/>
      <c r="V35" s="5468" t="s">
        <v>4572</v>
      </c>
      <c r="W35" s="5469"/>
      <c r="X35" s="1152" t="str">
        <f>IF(V32=0,"",VLOOKUP(V32,'Tablas Magia'!$D$6:$Z$680,8,FALSE))</f>
        <v/>
      </c>
      <c r="Y35" s="1152" t="str">
        <f>IF(V32=0,"",VLOOKUP(V32,'Tablas Magia'!$D$6:$Z$680,12,FALSE))</f>
        <v/>
      </c>
      <c r="Z35" s="1153" t="str">
        <f>IF(V32=0,"",VLOOKUP(V32,'Tablas Magia'!$D$6:$Z$680,16,FALSE))</f>
        <v/>
      </c>
      <c r="AA35" s="5470" t="str">
        <f>IF(V32=0,"",VLOOKUP(V32,'Tablas Magia'!$D$6:$Z$680,20,FALSE))</f>
        <v/>
      </c>
      <c r="AB35" s="5471"/>
      <c r="AC35" s="5471"/>
      <c r="AD35" s="5471"/>
      <c r="AE35" s="5471"/>
      <c r="AF35" s="5471"/>
      <c r="AG35" s="5471"/>
      <c r="AH35" s="5471"/>
      <c r="AI35" s="5471"/>
      <c r="AJ35" s="5472"/>
      <c r="AK35" s="1131"/>
      <c r="AL35" s="1125"/>
      <c r="AM35" s="1125"/>
      <c r="AN35" s="537"/>
      <c r="AO35" s="5468" t="s">
        <v>4572</v>
      </c>
      <c r="AP35" s="5469"/>
      <c r="AQ35" s="1152" t="str">
        <f>IF(AO32=0,"",VLOOKUP(AO32,'Tablas Magia'!$D$6:$Z$680,8,FALSE))</f>
        <v/>
      </c>
      <c r="AR35" s="1152" t="str">
        <f>IF(AO32=0,"",VLOOKUP(AO32,'Tablas Magia'!$D$6:$Z$680,12,FALSE))</f>
        <v/>
      </c>
      <c r="AS35" s="1153" t="str">
        <f>IF(AO32=0,"",VLOOKUP(AO32,'Tablas Magia'!$D$6:$Z$680,16,FALSE))</f>
        <v/>
      </c>
      <c r="AT35" s="5470" t="str">
        <f>IF(AO32=0,"",VLOOKUP(AO32,'Tablas Magia'!$D$6:$Z$680,20,FALSE))</f>
        <v/>
      </c>
      <c r="AU35" s="5471"/>
      <c r="AV35" s="5471"/>
      <c r="AW35" s="5471"/>
      <c r="AX35" s="5471"/>
      <c r="AY35" s="5471"/>
      <c r="AZ35" s="5471"/>
      <c r="BA35" s="5471"/>
      <c r="BB35" s="5471"/>
      <c r="BC35" s="5472"/>
      <c r="BD35" s="1131"/>
      <c r="BE35" s="1125"/>
    </row>
    <row r="36" spans="1:57" ht="12" customHeight="1" x14ac:dyDescent="0.2">
      <c r="A36" s="1125"/>
      <c r="B36" s="537"/>
      <c r="C36" s="5473" t="s">
        <v>4573</v>
      </c>
      <c r="D36" s="5474"/>
      <c r="E36" s="1150" t="str">
        <f>IF(C32=0,"",VLOOKUP(C32,'Tablas Magia'!$D$6:$Z$680,9,FALSE))</f>
        <v/>
      </c>
      <c r="F36" s="1150" t="str">
        <f>IF(C32=0,"",VLOOKUP(C32,'Tablas Magia'!$D$6:$Z$680,13,FALSE))</f>
        <v/>
      </c>
      <c r="G36" s="1151" t="str">
        <f>IF(C32=0,"",VLOOKUP(C32,'Tablas Magia'!$D$6:$Z$680,17,FALSE))</f>
        <v/>
      </c>
      <c r="H36" s="5475" t="str">
        <f>IF(C32=0,"",VLOOKUP(C32,'Tablas Magia'!$D$6:$Z$680,21,FALSE))</f>
        <v/>
      </c>
      <c r="I36" s="5476"/>
      <c r="J36" s="5476"/>
      <c r="K36" s="5476"/>
      <c r="L36" s="5476"/>
      <c r="M36" s="5476"/>
      <c r="N36" s="5476"/>
      <c r="O36" s="5476"/>
      <c r="P36" s="5476"/>
      <c r="Q36" s="5477"/>
      <c r="R36" s="1131"/>
      <c r="S36" s="1125"/>
      <c r="T36" s="1125"/>
      <c r="U36" s="537"/>
      <c r="V36" s="5473" t="s">
        <v>4573</v>
      </c>
      <c r="W36" s="5474"/>
      <c r="X36" s="1150" t="str">
        <f>IF(V32=0,"",VLOOKUP(V32,'Tablas Magia'!$D$6:$Z$680,9,FALSE))</f>
        <v/>
      </c>
      <c r="Y36" s="1150" t="str">
        <f>IF(V32=0,"",VLOOKUP(V32,'Tablas Magia'!$D$6:$Z$680,13,FALSE))</f>
        <v/>
      </c>
      <c r="Z36" s="1151" t="str">
        <f>IF(V32=0,"",VLOOKUP(V32,'Tablas Magia'!$D$6:$Z$680,17,FALSE))</f>
        <v/>
      </c>
      <c r="AA36" s="5475" t="str">
        <f>IF(V32=0,"",VLOOKUP(V32,'Tablas Magia'!$D$6:$Z$680,21,FALSE))</f>
        <v/>
      </c>
      <c r="AB36" s="5476"/>
      <c r="AC36" s="5476"/>
      <c r="AD36" s="5476"/>
      <c r="AE36" s="5476"/>
      <c r="AF36" s="5476"/>
      <c r="AG36" s="5476"/>
      <c r="AH36" s="5476"/>
      <c r="AI36" s="5476"/>
      <c r="AJ36" s="5477"/>
      <c r="AK36" s="1131"/>
      <c r="AL36" s="1125"/>
      <c r="AM36" s="1125"/>
      <c r="AN36" s="537"/>
      <c r="AO36" s="5473" t="s">
        <v>4573</v>
      </c>
      <c r="AP36" s="5474"/>
      <c r="AQ36" s="1150" t="str">
        <f>IF(AO32=0,"",VLOOKUP(AO32,'Tablas Magia'!$D$6:$Z$680,9,FALSE))</f>
        <v/>
      </c>
      <c r="AR36" s="1150" t="str">
        <f>IF(AO32=0,"",VLOOKUP(AO32,'Tablas Magia'!$D$6:$Z$680,13,FALSE))</f>
        <v/>
      </c>
      <c r="AS36" s="1151" t="str">
        <f>IF(AO32=0,"",VLOOKUP(AO32,'Tablas Magia'!$D$6:$Z$680,17,FALSE))</f>
        <v/>
      </c>
      <c r="AT36" s="5475" t="str">
        <f>IF(AO32=0,"",VLOOKUP(AO32,'Tablas Magia'!$D$6:$Z$680,21,FALSE))</f>
        <v/>
      </c>
      <c r="AU36" s="5476"/>
      <c r="AV36" s="5476"/>
      <c r="AW36" s="5476"/>
      <c r="AX36" s="5476"/>
      <c r="AY36" s="5476"/>
      <c r="AZ36" s="5476"/>
      <c r="BA36" s="5476"/>
      <c r="BB36" s="5476"/>
      <c r="BC36" s="5477"/>
      <c r="BD36" s="1131"/>
      <c r="BE36" s="1125"/>
    </row>
    <row r="37" spans="1:57" ht="12" customHeight="1" thickBot="1" x14ac:dyDescent="0.25">
      <c r="A37" s="1125"/>
      <c r="B37" s="537"/>
      <c r="C37" s="5483" t="s">
        <v>4574</v>
      </c>
      <c r="D37" s="5484"/>
      <c r="E37" s="1154" t="str">
        <f>IF(C32=0,"",VLOOKUP(C32,'Tablas Magia'!$D$6:$Z$680,10,FALSE))</f>
        <v/>
      </c>
      <c r="F37" s="1154" t="str">
        <f>IF(C32=0,"",VLOOKUP(C32,'Tablas Magia'!$D$6:$Z$680,14,FALSE))</f>
        <v/>
      </c>
      <c r="G37" s="1155" t="str">
        <f>IF(C32=0,"",VLOOKUP(C32,'Tablas Magia'!$D$6:$Z$680,18,FALSE))</f>
        <v/>
      </c>
      <c r="H37" s="5485" t="str">
        <f>IF(C32=0,"",VLOOKUP(C32,'Tablas Magia'!$D$6:$Z$680,22,FALSE))</f>
        <v/>
      </c>
      <c r="I37" s="5486"/>
      <c r="J37" s="5486"/>
      <c r="K37" s="5486"/>
      <c r="L37" s="5486"/>
      <c r="M37" s="5486"/>
      <c r="N37" s="5486"/>
      <c r="O37" s="5486"/>
      <c r="P37" s="5486"/>
      <c r="Q37" s="5487"/>
      <c r="R37" s="1131"/>
      <c r="S37" s="1125"/>
      <c r="T37" s="1125"/>
      <c r="U37" s="537"/>
      <c r="V37" s="5483" t="s">
        <v>4574</v>
      </c>
      <c r="W37" s="5484"/>
      <c r="X37" s="1154" t="str">
        <f>IF(V32=0,"",VLOOKUP(V32,'Tablas Magia'!$D$6:$Z$680,10,FALSE))</f>
        <v/>
      </c>
      <c r="Y37" s="1154" t="str">
        <f>IF(V32=0,"",VLOOKUP(V32,'Tablas Magia'!$D$6:$Z$680,14,FALSE))</f>
        <v/>
      </c>
      <c r="Z37" s="1155" t="str">
        <f>IF(V32=0,"",VLOOKUP(V32,'Tablas Magia'!$D$6:$Z$680,18,FALSE))</f>
        <v/>
      </c>
      <c r="AA37" s="5485" t="str">
        <f>IF(V32=0,"",VLOOKUP(V32,'Tablas Magia'!$D$6:$Z$680,22,FALSE))</f>
        <v/>
      </c>
      <c r="AB37" s="5486"/>
      <c r="AC37" s="5486"/>
      <c r="AD37" s="5486"/>
      <c r="AE37" s="5486"/>
      <c r="AF37" s="5486"/>
      <c r="AG37" s="5486"/>
      <c r="AH37" s="5486"/>
      <c r="AI37" s="5486"/>
      <c r="AJ37" s="5487"/>
      <c r="AK37" s="1131"/>
      <c r="AL37" s="1125"/>
      <c r="AM37" s="1125"/>
      <c r="AN37" s="537"/>
      <c r="AO37" s="5483" t="s">
        <v>4574</v>
      </c>
      <c r="AP37" s="5484"/>
      <c r="AQ37" s="1154" t="str">
        <f>IF(AO32=0,"",VLOOKUP(AO32,'Tablas Magia'!$D$6:$Z$680,10,FALSE))</f>
        <v/>
      </c>
      <c r="AR37" s="1154" t="str">
        <f>IF(AO32=0,"",VLOOKUP(AO32,'Tablas Magia'!$D$6:$Z$680,14,FALSE))</f>
        <v/>
      </c>
      <c r="AS37" s="1155" t="str">
        <f>IF(AO32=0,"",VLOOKUP(AO32,'Tablas Magia'!$D$6:$Z$680,18,FALSE))</f>
        <v/>
      </c>
      <c r="AT37" s="5485" t="str">
        <f>IF(AO32=0,"",VLOOKUP(AO32,'Tablas Magia'!$D$6:$Z$680,22,FALSE))</f>
        <v/>
      </c>
      <c r="AU37" s="5486"/>
      <c r="AV37" s="5486"/>
      <c r="AW37" s="5486"/>
      <c r="AX37" s="5486"/>
      <c r="AY37" s="5486"/>
      <c r="AZ37" s="5486"/>
      <c r="BA37" s="5486"/>
      <c r="BB37" s="5486"/>
      <c r="BC37" s="5487"/>
      <c r="BD37" s="1131"/>
      <c r="BE37" s="1125"/>
    </row>
    <row r="38" spans="1:57" ht="12" customHeight="1" x14ac:dyDescent="0.2">
      <c r="A38" s="1125"/>
      <c r="B38" s="537"/>
      <c r="C38" s="5488" t="str">
        <f>IF(C32=0,"",VLOOKUP(C32,'Tablas Magia'!$D$6:$Z$680,23,FALSE))</f>
        <v/>
      </c>
      <c r="D38" s="5489"/>
      <c r="E38" s="5489"/>
      <c r="F38" s="5489"/>
      <c r="G38" s="5489"/>
      <c r="H38" s="5489"/>
      <c r="I38" s="5489"/>
      <c r="J38" s="5489"/>
      <c r="K38" s="5489"/>
      <c r="L38" s="5489"/>
      <c r="M38" s="5489"/>
      <c r="N38" s="5489"/>
      <c r="O38" s="5489"/>
      <c r="P38" s="5489"/>
      <c r="Q38" s="5490"/>
      <c r="R38" s="1131"/>
      <c r="S38" s="1125"/>
      <c r="T38" s="1125"/>
      <c r="U38" s="537"/>
      <c r="V38" s="5488" t="str">
        <f>IF(V32=0,"",VLOOKUP(V32,'Tablas Magia'!$D$6:$Z$680,23,FALSE))</f>
        <v/>
      </c>
      <c r="W38" s="5489"/>
      <c r="X38" s="5489"/>
      <c r="Y38" s="5489"/>
      <c r="Z38" s="5489"/>
      <c r="AA38" s="5489"/>
      <c r="AB38" s="5489"/>
      <c r="AC38" s="5489"/>
      <c r="AD38" s="5489"/>
      <c r="AE38" s="5489"/>
      <c r="AF38" s="5489"/>
      <c r="AG38" s="5489"/>
      <c r="AH38" s="5489"/>
      <c r="AI38" s="5489"/>
      <c r="AJ38" s="5490"/>
      <c r="AK38" s="1131"/>
      <c r="AL38" s="1125"/>
      <c r="AM38" s="1125"/>
      <c r="AN38" s="537"/>
      <c r="AO38" s="5488" t="str">
        <f>IF(AO32=0,"",VLOOKUP(AO32,'Tablas Magia'!$D$6:$Z$680,23,FALSE))</f>
        <v/>
      </c>
      <c r="AP38" s="5489"/>
      <c r="AQ38" s="5489"/>
      <c r="AR38" s="5489"/>
      <c r="AS38" s="5489"/>
      <c r="AT38" s="5489"/>
      <c r="AU38" s="5489"/>
      <c r="AV38" s="5489"/>
      <c r="AW38" s="5489"/>
      <c r="AX38" s="5489"/>
      <c r="AY38" s="5489"/>
      <c r="AZ38" s="5489"/>
      <c r="BA38" s="5489"/>
      <c r="BB38" s="5489"/>
      <c r="BC38" s="5490"/>
      <c r="BD38" s="1131"/>
      <c r="BE38" s="1125"/>
    </row>
    <row r="39" spans="1:57" ht="12" customHeight="1" x14ac:dyDescent="0.2">
      <c r="A39" s="1125"/>
      <c r="B39" s="537"/>
      <c r="C39" s="5491"/>
      <c r="D39" s="5492"/>
      <c r="E39" s="5492"/>
      <c r="F39" s="5492"/>
      <c r="G39" s="5492"/>
      <c r="H39" s="5492"/>
      <c r="I39" s="5492"/>
      <c r="J39" s="5492"/>
      <c r="K39" s="5492"/>
      <c r="L39" s="5492"/>
      <c r="M39" s="5492"/>
      <c r="N39" s="5492"/>
      <c r="O39" s="5492"/>
      <c r="P39" s="5492"/>
      <c r="Q39" s="5493"/>
      <c r="R39" s="1131"/>
      <c r="S39" s="1125"/>
      <c r="T39" s="1125"/>
      <c r="U39" s="537"/>
      <c r="V39" s="5491"/>
      <c r="W39" s="5492"/>
      <c r="X39" s="5492"/>
      <c r="Y39" s="5492"/>
      <c r="Z39" s="5492"/>
      <c r="AA39" s="5492"/>
      <c r="AB39" s="5492"/>
      <c r="AC39" s="5492"/>
      <c r="AD39" s="5492"/>
      <c r="AE39" s="5492"/>
      <c r="AF39" s="5492"/>
      <c r="AG39" s="5492"/>
      <c r="AH39" s="5492"/>
      <c r="AI39" s="5492"/>
      <c r="AJ39" s="5493"/>
      <c r="AK39" s="1131"/>
      <c r="AL39" s="1125"/>
      <c r="AM39" s="1125"/>
      <c r="AN39" s="537"/>
      <c r="AO39" s="5491"/>
      <c r="AP39" s="5492"/>
      <c r="AQ39" s="5492"/>
      <c r="AR39" s="5492"/>
      <c r="AS39" s="5492"/>
      <c r="AT39" s="5492"/>
      <c r="AU39" s="5492"/>
      <c r="AV39" s="5492"/>
      <c r="AW39" s="5492"/>
      <c r="AX39" s="5492"/>
      <c r="AY39" s="5492"/>
      <c r="AZ39" s="5492"/>
      <c r="BA39" s="5492"/>
      <c r="BB39" s="5492"/>
      <c r="BC39" s="5493"/>
      <c r="BD39" s="1131"/>
      <c r="BE39" s="1125"/>
    </row>
    <row r="40" spans="1:57" ht="12" customHeight="1" x14ac:dyDescent="0.2">
      <c r="A40" s="1125"/>
      <c r="B40" s="537"/>
      <c r="C40" s="5491"/>
      <c r="D40" s="5492"/>
      <c r="E40" s="5492"/>
      <c r="F40" s="5492"/>
      <c r="G40" s="5492"/>
      <c r="H40" s="5492"/>
      <c r="I40" s="5492"/>
      <c r="J40" s="5492"/>
      <c r="K40" s="5492"/>
      <c r="L40" s="5492"/>
      <c r="M40" s="5492"/>
      <c r="N40" s="5492"/>
      <c r="O40" s="5492"/>
      <c r="P40" s="5492"/>
      <c r="Q40" s="5493"/>
      <c r="R40" s="1131"/>
      <c r="S40" s="1125"/>
      <c r="T40" s="1125"/>
      <c r="U40" s="537"/>
      <c r="V40" s="5491"/>
      <c r="W40" s="5492"/>
      <c r="X40" s="5492"/>
      <c r="Y40" s="5492"/>
      <c r="Z40" s="5492"/>
      <c r="AA40" s="5492"/>
      <c r="AB40" s="5492"/>
      <c r="AC40" s="5492"/>
      <c r="AD40" s="5492"/>
      <c r="AE40" s="5492"/>
      <c r="AF40" s="5492"/>
      <c r="AG40" s="5492"/>
      <c r="AH40" s="5492"/>
      <c r="AI40" s="5492"/>
      <c r="AJ40" s="5493"/>
      <c r="AK40" s="1131"/>
      <c r="AL40" s="1125"/>
      <c r="AM40" s="1125"/>
      <c r="AN40" s="537"/>
      <c r="AO40" s="5491"/>
      <c r="AP40" s="5492"/>
      <c r="AQ40" s="5492"/>
      <c r="AR40" s="5492"/>
      <c r="AS40" s="5492"/>
      <c r="AT40" s="5492"/>
      <c r="AU40" s="5492"/>
      <c r="AV40" s="5492"/>
      <c r="AW40" s="5492"/>
      <c r="AX40" s="5492"/>
      <c r="AY40" s="5492"/>
      <c r="AZ40" s="5492"/>
      <c r="BA40" s="5492"/>
      <c r="BB40" s="5492"/>
      <c r="BC40" s="5493"/>
      <c r="BD40" s="1131"/>
      <c r="BE40" s="1125"/>
    </row>
    <row r="41" spans="1:57" ht="12" customHeight="1" thickBot="1" x14ac:dyDescent="0.25">
      <c r="A41" s="1125"/>
      <c r="B41" s="537"/>
      <c r="C41" s="5494"/>
      <c r="D41" s="5495"/>
      <c r="E41" s="5495"/>
      <c r="F41" s="5495"/>
      <c r="G41" s="5495"/>
      <c r="H41" s="5495"/>
      <c r="I41" s="5495"/>
      <c r="J41" s="5495"/>
      <c r="K41" s="5495"/>
      <c r="L41" s="5495"/>
      <c r="M41" s="5495"/>
      <c r="N41" s="5495"/>
      <c r="O41" s="5495"/>
      <c r="P41" s="5495"/>
      <c r="Q41" s="5496"/>
      <c r="R41" s="1131"/>
      <c r="S41" s="1125"/>
      <c r="T41" s="1125"/>
      <c r="U41" s="537"/>
      <c r="V41" s="5494"/>
      <c r="W41" s="5495"/>
      <c r="X41" s="5495"/>
      <c r="Y41" s="5495"/>
      <c r="Z41" s="5495"/>
      <c r="AA41" s="5495"/>
      <c r="AB41" s="5495"/>
      <c r="AC41" s="5495"/>
      <c r="AD41" s="5495"/>
      <c r="AE41" s="5495"/>
      <c r="AF41" s="5495"/>
      <c r="AG41" s="5495"/>
      <c r="AH41" s="5495"/>
      <c r="AI41" s="5495"/>
      <c r="AJ41" s="5496"/>
      <c r="AK41" s="1131"/>
      <c r="AL41" s="1125"/>
      <c r="AM41" s="1125"/>
      <c r="AN41" s="537"/>
      <c r="AO41" s="5494"/>
      <c r="AP41" s="5495"/>
      <c r="AQ41" s="5495"/>
      <c r="AR41" s="5495"/>
      <c r="AS41" s="5495"/>
      <c r="AT41" s="5495"/>
      <c r="AU41" s="5495"/>
      <c r="AV41" s="5495"/>
      <c r="AW41" s="5495"/>
      <c r="AX41" s="5495"/>
      <c r="AY41" s="5495"/>
      <c r="AZ41" s="5495"/>
      <c r="BA41" s="5495"/>
      <c r="BB41" s="5495"/>
      <c r="BC41" s="5496"/>
      <c r="BD41" s="1131"/>
      <c r="BE41" s="1125"/>
    </row>
    <row r="42" spans="1:57" ht="12" customHeight="1" thickBot="1" x14ac:dyDescent="0.25">
      <c r="A42" s="1125"/>
      <c r="B42" s="537"/>
      <c r="C42" s="1166"/>
      <c r="D42" s="1166"/>
      <c r="E42" s="1167"/>
      <c r="F42" s="1167"/>
      <c r="G42" s="1167"/>
      <c r="H42" s="1167"/>
      <c r="I42" s="1167"/>
      <c r="J42" s="1167"/>
      <c r="K42" s="1167"/>
      <c r="L42" s="1167"/>
      <c r="M42" s="1167"/>
      <c r="N42" s="1167"/>
      <c r="O42" s="1167"/>
      <c r="P42" s="1167"/>
      <c r="Q42" s="1167"/>
      <c r="R42" s="1131"/>
      <c r="S42" s="1125"/>
      <c r="T42" s="1125"/>
      <c r="U42" s="537"/>
      <c r="V42" s="1166"/>
      <c r="W42" s="1166"/>
      <c r="X42" s="1167"/>
      <c r="Y42" s="1167"/>
      <c r="Z42" s="1167"/>
      <c r="AA42" s="1167"/>
      <c r="AB42" s="1167"/>
      <c r="AC42" s="1167"/>
      <c r="AD42" s="1167"/>
      <c r="AE42" s="1167"/>
      <c r="AF42" s="1167"/>
      <c r="AG42" s="1167"/>
      <c r="AH42" s="1167"/>
      <c r="AI42" s="1167"/>
      <c r="AJ42" s="1167"/>
      <c r="AK42" s="1131"/>
      <c r="AL42" s="1125"/>
      <c r="AM42" s="1125"/>
      <c r="AN42" s="537"/>
      <c r="AO42" s="1166"/>
      <c r="AP42" s="1166"/>
      <c r="AQ42" s="1167"/>
      <c r="AR42" s="1167"/>
      <c r="AS42" s="1167"/>
      <c r="AT42" s="1167"/>
      <c r="AU42" s="1167"/>
      <c r="AV42" s="1167"/>
      <c r="AW42" s="1167"/>
      <c r="AX42" s="1167"/>
      <c r="AY42" s="1167"/>
      <c r="AZ42" s="1167"/>
      <c r="BA42" s="1167"/>
      <c r="BB42" s="1167"/>
      <c r="BC42" s="1167"/>
      <c r="BD42" s="1131"/>
      <c r="BE42" s="1125"/>
    </row>
    <row r="43" spans="1:57" ht="12" customHeight="1" x14ac:dyDescent="0.2">
      <c r="A43" s="1125"/>
      <c r="B43" s="537"/>
      <c r="C43" s="5461"/>
      <c r="D43" s="5462"/>
      <c r="E43" s="5462"/>
      <c r="F43" s="5462"/>
      <c r="G43" s="5462"/>
      <c r="H43" s="1145" t="s">
        <v>1627</v>
      </c>
      <c r="I43" s="1146" t="str">
        <f>IF(C43=0,"",VLOOKUP(C43,'Tablas Magia'!$D$6:$Z$680,3,FALSE))</f>
        <v/>
      </c>
      <c r="J43" s="5463" t="s">
        <v>7687</v>
      </c>
      <c r="K43" s="5463"/>
      <c r="L43" s="5463"/>
      <c r="M43" s="5464" t="str">
        <f>IF(C43=0,"",VLOOKUP(C43,'Tablas Magia'!$D$6:$Z$680,2,FALSE))</f>
        <v/>
      </c>
      <c r="N43" s="5464"/>
      <c r="O43" s="5464"/>
      <c r="P43" s="5464"/>
      <c r="Q43" s="5465"/>
      <c r="R43" s="1131"/>
      <c r="S43" s="1125"/>
      <c r="T43" s="1125"/>
      <c r="U43" s="537"/>
      <c r="V43" s="5461"/>
      <c r="W43" s="5462"/>
      <c r="X43" s="5462"/>
      <c r="Y43" s="5462"/>
      <c r="Z43" s="5462"/>
      <c r="AA43" s="1145" t="s">
        <v>1627</v>
      </c>
      <c r="AB43" s="1146" t="str">
        <f>IF(V43=0,"",VLOOKUP(V43,'Tablas Magia'!$D$6:$Z$680,3,FALSE))</f>
        <v/>
      </c>
      <c r="AC43" s="5463" t="s">
        <v>7687</v>
      </c>
      <c r="AD43" s="5463"/>
      <c r="AE43" s="5463"/>
      <c r="AF43" s="5464" t="str">
        <f>IF(V43=0,"",VLOOKUP(V43,'Tablas Magia'!$D$6:$Z$680,2,FALSE))</f>
        <v/>
      </c>
      <c r="AG43" s="5464"/>
      <c r="AH43" s="5464"/>
      <c r="AI43" s="5464"/>
      <c r="AJ43" s="5465"/>
      <c r="AK43" s="1131"/>
      <c r="AL43" s="1125"/>
      <c r="AM43" s="1125"/>
      <c r="AN43" s="537"/>
      <c r="AO43" s="5461"/>
      <c r="AP43" s="5462"/>
      <c r="AQ43" s="5462"/>
      <c r="AR43" s="5462"/>
      <c r="AS43" s="5462"/>
      <c r="AT43" s="1145" t="s">
        <v>1627</v>
      </c>
      <c r="AU43" s="1146" t="str">
        <f>IF(AO43=0,"",VLOOKUP(AO43,'Tablas Magia'!$D$6:$Z$680,3,FALSE))</f>
        <v/>
      </c>
      <c r="AV43" s="5463" t="s">
        <v>7687</v>
      </c>
      <c r="AW43" s="5463"/>
      <c r="AX43" s="5463"/>
      <c r="AY43" s="5464" t="str">
        <f>IF(AO43=0,"",VLOOKUP(AO43,'Tablas Magia'!$D$6:$Z$680,2,FALSE))</f>
        <v/>
      </c>
      <c r="AZ43" s="5464"/>
      <c r="BA43" s="5464"/>
      <c r="BB43" s="5464"/>
      <c r="BC43" s="5465"/>
      <c r="BD43" s="1131"/>
      <c r="BE43" s="1125"/>
    </row>
    <row r="44" spans="1:57" ht="12" customHeight="1" x14ac:dyDescent="0.2">
      <c r="A44" s="1125"/>
      <c r="B44" s="537"/>
      <c r="C44" s="5481" t="s">
        <v>7688</v>
      </c>
      <c r="D44" s="5482"/>
      <c r="E44" s="1147" t="s">
        <v>7689</v>
      </c>
      <c r="F44" s="1147" t="s">
        <v>1820</v>
      </c>
      <c r="G44" s="1147" t="s">
        <v>3334</v>
      </c>
      <c r="H44" s="1148" t="s">
        <v>2165</v>
      </c>
      <c r="I44" s="5478" t="str">
        <f>IF(C43=0,"",VLOOKUP(C43,'Tablas Magia'!$D$6:$Z$680,5,FALSE))</f>
        <v/>
      </c>
      <c r="J44" s="5478"/>
      <c r="K44" s="5479" t="s">
        <v>7690</v>
      </c>
      <c r="L44" s="5479"/>
      <c r="M44" s="5478" t="str">
        <f>IF(C43=0,"",VLOOKUP(C43,'Tablas Magia'!$D$6:$Z$680,6,FALSE))</f>
        <v/>
      </c>
      <c r="N44" s="5478"/>
      <c r="O44" s="5480" t="s">
        <v>7691</v>
      </c>
      <c r="P44" s="5480"/>
      <c r="Q44" s="1149" t="str">
        <f>IF(C43=0,"",VLOOKUP(C43,'Tablas Magia'!$D$6:$Z$680,4,FALSE))</f>
        <v/>
      </c>
      <c r="R44" s="1131"/>
      <c r="S44" s="1125"/>
      <c r="T44" s="1125"/>
      <c r="U44" s="537"/>
      <c r="V44" s="5481" t="s">
        <v>7688</v>
      </c>
      <c r="W44" s="5482"/>
      <c r="X44" s="1147" t="s">
        <v>7689</v>
      </c>
      <c r="Y44" s="1147" t="s">
        <v>1820</v>
      </c>
      <c r="Z44" s="1147" t="s">
        <v>3334</v>
      </c>
      <c r="AA44" s="1148" t="s">
        <v>2165</v>
      </c>
      <c r="AB44" s="5478" t="str">
        <f>IF(V43=0,"",VLOOKUP(V43,'Tablas Magia'!$D$6:$Z$680,5,FALSE))</f>
        <v/>
      </c>
      <c r="AC44" s="5478"/>
      <c r="AD44" s="5479" t="s">
        <v>7690</v>
      </c>
      <c r="AE44" s="5479"/>
      <c r="AF44" s="5478" t="str">
        <f>IF(V43=0,"",VLOOKUP(V43,'Tablas Magia'!$D$6:$Z$680,6,FALSE))</f>
        <v/>
      </c>
      <c r="AG44" s="5478"/>
      <c r="AH44" s="5480" t="s">
        <v>7691</v>
      </c>
      <c r="AI44" s="5480"/>
      <c r="AJ44" s="1149" t="str">
        <f>IF(V43=0,"",VLOOKUP(V43,'Tablas Magia'!$D$6:$Z$680,4,FALSE))</f>
        <v/>
      </c>
      <c r="AK44" s="1131"/>
      <c r="AL44" s="1125"/>
      <c r="AM44" s="1125"/>
      <c r="AN44" s="537"/>
      <c r="AO44" s="5481" t="s">
        <v>7688</v>
      </c>
      <c r="AP44" s="5482"/>
      <c r="AQ44" s="1147" t="s">
        <v>7689</v>
      </c>
      <c r="AR44" s="1147" t="s">
        <v>1820</v>
      </c>
      <c r="AS44" s="1147" t="s">
        <v>3334</v>
      </c>
      <c r="AT44" s="1148" t="s">
        <v>2165</v>
      </c>
      <c r="AU44" s="5478" t="str">
        <f>IF(AO43=0,"",VLOOKUP(AO43,'Tablas Magia'!$D$6:$Z$680,5,FALSE))</f>
        <v/>
      </c>
      <c r="AV44" s="5478"/>
      <c r="AW44" s="5479" t="s">
        <v>7690</v>
      </c>
      <c r="AX44" s="5479"/>
      <c r="AY44" s="5478" t="str">
        <f>IF(AO43=0,"",VLOOKUP(AO43,'Tablas Magia'!$D$6:$Z$680,6,FALSE))</f>
        <v/>
      </c>
      <c r="AZ44" s="5478"/>
      <c r="BA44" s="5480" t="s">
        <v>7691</v>
      </c>
      <c r="BB44" s="5480"/>
      <c r="BC44" s="1149" t="str">
        <f>IF(AO43=0,"",VLOOKUP(AO43,'Tablas Magia'!$D$6:$Z$680,4,FALSE))</f>
        <v/>
      </c>
      <c r="BD44" s="1131"/>
      <c r="BE44" s="1125"/>
    </row>
    <row r="45" spans="1:57" ht="12" customHeight="1" x14ac:dyDescent="0.2">
      <c r="A45" s="1125"/>
      <c r="B45" s="537"/>
      <c r="C45" s="5473" t="s">
        <v>1674</v>
      </c>
      <c r="D45" s="5474"/>
      <c r="E45" s="1150" t="str">
        <f>IF(C43=0,"",VLOOKUP(C43,'Tablas Magia'!$D$6:$Z$680,7,FALSE))</f>
        <v/>
      </c>
      <c r="F45" s="1150" t="str">
        <f>IF(C43=0,"",VLOOKUP(C43,'Tablas Magia'!$D$6:$Z$680,11,FALSE))</f>
        <v/>
      </c>
      <c r="G45" s="1151" t="str">
        <f>IF(C43=0,"",VLOOKUP(C43,'Tablas Magia'!$D$6:$Z$680,15,FALSE))</f>
        <v/>
      </c>
      <c r="H45" s="5475" t="str">
        <f>IF(C43=0,"",VLOOKUP(C43,'Tablas Magia'!$D$6:$Z$680,19,FALSE))</f>
        <v/>
      </c>
      <c r="I45" s="5476"/>
      <c r="J45" s="5476"/>
      <c r="K45" s="5476"/>
      <c r="L45" s="5476"/>
      <c r="M45" s="5476"/>
      <c r="N45" s="5476"/>
      <c r="O45" s="5476"/>
      <c r="P45" s="5476"/>
      <c r="Q45" s="5477"/>
      <c r="R45" s="1131"/>
      <c r="S45" s="1125"/>
      <c r="T45" s="1125"/>
      <c r="U45" s="537"/>
      <c r="V45" s="5473" t="s">
        <v>1674</v>
      </c>
      <c r="W45" s="5474"/>
      <c r="X45" s="1150" t="str">
        <f>IF(V43=0,"",VLOOKUP(V43,'Tablas Magia'!$D$6:$Z$680,7,FALSE))</f>
        <v/>
      </c>
      <c r="Y45" s="1150" t="str">
        <f>IF(V43=0,"",VLOOKUP(V43,'Tablas Magia'!$D$6:$Z$680,11,FALSE))</f>
        <v/>
      </c>
      <c r="Z45" s="1151" t="str">
        <f>IF(V43=0,"",VLOOKUP(V43,'Tablas Magia'!$D$6:$Z$680,15,FALSE))</f>
        <v/>
      </c>
      <c r="AA45" s="5475" t="str">
        <f>IF(V43=0,"",VLOOKUP(V43,'Tablas Magia'!$D$6:$Z$680,19,FALSE))</f>
        <v/>
      </c>
      <c r="AB45" s="5476"/>
      <c r="AC45" s="5476"/>
      <c r="AD45" s="5476"/>
      <c r="AE45" s="5476"/>
      <c r="AF45" s="5476"/>
      <c r="AG45" s="5476"/>
      <c r="AH45" s="5476"/>
      <c r="AI45" s="5476"/>
      <c r="AJ45" s="5477"/>
      <c r="AK45" s="1131"/>
      <c r="AL45" s="1125"/>
      <c r="AM45" s="1125"/>
      <c r="AN45" s="537"/>
      <c r="AO45" s="5473" t="s">
        <v>1674</v>
      </c>
      <c r="AP45" s="5474"/>
      <c r="AQ45" s="1150" t="str">
        <f>IF(AO43=0,"",VLOOKUP(AO43,'Tablas Magia'!$D$6:$Z$680,7,FALSE))</f>
        <v/>
      </c>
      <c r="AR45" s="1150" t="str">
        <f>IF(AO43=0,"",VLOOKUP(AO43,'Tablas Magia'!$D$6:$Z$680,11,FALSE))</f>
        <v/>
      </c>
      <c r="AS45" s="1151" t="str">
        <f>IF(AO43=0,"",VLOOKUP(AO43,'Tablas Magia'!$D$6:$Z$680,15,FALSE))</f>
        <v/>
      </c>
      <c r="AT45" s="5475" t="str">
        <f>IF(AO43=0,"",VLOOKUP(AO43,'Tablas Magia'!$D$6:$Z$680,19,FALSE))</f>
        <v/>
      </c>
      <c r="AU45" s="5476"/>
      <c r="AV45" s="5476"/>
      <c r="AW45" s="5476"/>
      <c r="AX45" s="5476"/>
      <c r="AY45" s="5476"/>
      <c r="AZ45" s="5476"/>
      <c r="BA45" s="5476"/>
      <c r="BB45" s="5476"/>
      <c r="BC45" s="5477"/>
      <c r="BD45" s="1131"/>
      <c r="BE45" s="1125"/>
    </row>
    <row r="46" spans="1:57" ht="12" customHeight="1" x14ac:dyDescent="0.2">
      <c r="A46" s="1125"/>
      <c r="B46" s="537"/>
      <c r="C46" s="5468" t="s">
        <v>4572</v>
      </c>
      <c r="D46" s="5469"/>
      <c r="E46" s="1152" t="str">
        <f>IF(C43=0,"",VLOOKUP(C43,'Tablas Magia'!$D$6:$Z$680,8,FALSE))</f>
        <v/>
      </c>
      <c r="F46" s="1152" t="str">
        <f>IF(C43=0,"",VLOOKUP(C43,'Tablas Magia'!$D$6:$Z$680,12,FALSE))</f>
        <v/>
      </c>
      <c r="G46" s="1153" t="str">
        <f>IF(C43=0,"",VLOOKUP(C43,'Tablas Magia'!$D$6:$Z$680,16,FALSE))</f>
        <v/>
      </c>
      <c r="H46" s="5470" t="str">
        <f>IF(C43=0,"",VLOOKUP(C43,'Tablas Magia'!$D$6:$Z$680,20,FALSE))</f>
        <v/>
      </c>
      <c r="I46" s="5471"/>
      <c r="J46" s="5471"/>
      <c r="K46" s="5471"/>
      <c r="L46" s="5471"/>
      <c r="M46" s="5471"/>
      <c r="N46" s="5471"/>
      <c r="O46" s="5471"/>
      <c r="P46" s="5471"/>
      <c r="Q46" s="5472"/>
      <c r="R46" s="1131"/>
      <c r="S46" s="1125"/>
      <c r="T46" s="1125"/>
      <c r="U46" s="537"/>
      <c r="V46" s="5468" t="s">
        <v>4572</v>
      </c>
      <c r="W46" s="5469"/>
      <c r="X46" s="1152" t="str">
        <f>IF(V43=0,"",VLOOKUP(V43,'Tablas Magia'!$D$6:$Z$680,8,FALSE))</f>
        <v/>
      </c>
      <c r="Y46" s="1152" t="str">
        <f>IF(V43=0,"",VLOOKUP(V43,'Tablas Magia'!$D$6:$Z$680,12,FALSE))</f>
        <v/>
      </c>
      <c r="Z46" s="1153" t="str">
        <f>IF(V43=0,"",VLOOKUP(V43,'Tablas Magia'!$D$6:$Z$680,16,FALSE))</f>
        <v/>
      </c>
      <c r="AA46" s="5470" t="str">
        <f>IF(V43=0,"",VLOOKUP(V43,'Tablas Magia'!$D$6:$Z$680,20,FALSE))</f>
        <v/>
      </c>
      <c r="AB46" s="5471"/>
      <c r="AC46" s="5471"/>
      <c r="AD46" s="5471"/>
      <c r="AE46" s="5471"/>
      <c r="AF46" s="5471"/>
      <c r="AG46" s="5471"/>
      <c r="AH46" s="5471"/>
      <c r="AI46" s="5471"/>
      <c r="AJ46" s="5472"/>
      <c r="AK46" s="1131"/>
      <c r="AL46" s="1125"/>
      <c r="AM46" s="1125"/>
      <c r="AN46" s="537"/>
      <c r="AO46" s="5468" t="s">
        <v>4572</v>
      </c>
      <c r="AP46" s="5469"/>
      <c r="AQ46" s="1152" t="str">
        <f>IF(AO43=0,"",VLOOKUP(AO43,'Tablas Magia'!$D$6:$Z$680,8,FALSE))</f>
        <v/>
      </c>
      <c r="AR46" s="1152" t="str">
        <f>IF(AO43=0,"",VLOOKUP(AO43,'Tablas Magia'!$D$6:$Z$680,12,FALSE))</f>
        <v/>
      </c>
      <c r="AS46" s="1153" t="str">
        <f>IF(AO43=0,"",VLOOKUP(AO43,'Tablas Magia'!$D$6:$Z$680,16,FALSE))</f>
        <v/>
      </c>
      <c r="AT46" s="5470" t="str">
        <f>IF(AO43=0,"",VLOOKUP(AO43,'Tablas Magia'!$D$6:$Z$680,20,FALSE))</f>
        <v/>
      </c>
      <c r="AU46" s="5471"/>
      <c r="AV46" s="5471"/>
      <c r="AW46" s="5471"/>
      <c r="AX46" s="5471"/>
      <c r="AY46" s="5471"/>
      <c r="AZ46" s="5471"/>
      <c r="BA46" s="5471"/>
      <c r="BB46" s="5471"/>
      <c r="BC46" s="5472"/>
      <c r="BD46" s="1131"/>
      <c r="BE46" s="1125"/>
    </row>
    <row r="47" spans="1:57" ht="12" customHeight="1" x14ac:dyDescent="0.2">
      <c r="A47" s="1125"/>
      <c r="B47" s="537"/>
      <c r="C47" s="5473" t="s">
        <v>4573</v>
      </c>
      <c r="D47" s="5474"/>
      <c r="E47" s="1150" t="str">
        <f>IF(C43=0,"",VLOOKUP(C43,'Tablas Magia'!$D$6:$Z$680,9,FALSE))</f>
        <v/>
      </c>
      <c r="F47" s="1150" t="str">
        <f>IF(C43=0,"",VLOOKUP(C43,'Tablas Magia'!$D$6:$Z$680,13,FALSE))</f>
        <v/>
      </c>
      <c r="G47" s="1151" t="str">
        <f>IF(C43=0,"",VLOOKUP(C43,'Tablas Magia'!$D$6:$Z$680,17,FALSE))</f>
        <v/>
      </c>
      <c r="H47" s="5475" t="str">
        <f>IF(C43=0,"",VLOOKUP(C43,'Tablas Magia'!$D$6:$Z$680,21,FALSE))</f>
        <v/>
      </c>
      <c r="I47" s="5476"/>
      <c r="J47" s="5476"/>
      <c r="K47" s="5476"/>
      <c r="L47" s="5476"/>
      <c r="M47" s="5476"/>
      <c r="N47" s="5476"/>
      <c r="O47" s="5476"/>
      <c r="P47" s="5476"/>
      <c r="Q47" s="5477"/>
      <c r="R47" s="1131"/>
      <c r="S47" s="1125"/>
      <c r="T47" s="1125"/>
      <c r="U47" s="537"/>
      <c r="V47" s="5473" t="s">
        <v>4573</v>
      </c>
      <c r="W47" s="5474"/>
      <c r="X47" s="1150" t="str">
        <f>IF(V43=0,"",VLOOKUP(V43,'Tablas Magia'!$D$6:$Z$680,9,FALSE))</f>
        <v/>
      </c>
      <c r="Y47" s="1150" t="str">
        <f>IF(V43=0,"",VLOOKUP(V43,'Tablas Magia'!$D$6:$Z$680,13,FALSE))</f>
        <v/>
      </c>
      <c r="Z47" s="1151" t="str">
        <f>IF(V43=0,"",VLOOKUP(V43,'Tablas Magia'!$D$6:$Z$680,17,FALSE))</f>
        <v/>
      </c>
      <c r="AA47" s="5475" t="str">
        <f>IF(V43=0,"",VLOOKUP(V43,'Tablas Magia'!$D$6:$Z$680,21,FALSE))</f>
        <v/>
      </c>
      <c r="AB47" s="5476"/>
      <c r="AC47" s="5476"/>
      <c r="AD47" s="5476"/>
      <c r="AE47" s="5476"/>
      <c r="AF47" s="5476"/>
      <c r="AG47" s="5476"/>
      <c r="AH47" s="5476"/>
      <c r="AI47" s="5476"/>
      <c r="AJ47" s="5477"/>
      <c r="AK47" s="1131"/>
      <c r="AL47" s="1125"/>
      <c r="AM47" s="1125"/>
      <c r="AN47" s="537"/>
      <c r="AO47" s="5473" t="s">
        <v>4573</v>
      </c>
      <c r="AP47" s="5474"/>
      <c r="AQ47" s="1150" t="str">
        <f>IF(AO43=0,"",VLOOKUP(AO43,'Tablas Magia'!$D$6:$Z$680,9,FALSE))</f>
        <v/>
      </c>
      <c r="AR47" s="1150" t="str">
        <f>IF(AO43=0,"",VLOOKUP(AO43,'Tablas Magia'!$D$6:$Z$680,13,FALSE))</f>
        <v/>
      </c>
      <c r="AS47" s="1151" t="str">
        <f>IF(AO43=0,"",VLOOKUP(AO43,'Tablas Magia'!$D$6:$Z$680,17,FALSE))</f>
        <v/>
      </c>
      <c r="AT47" s="5475" t="str">
        <f>IF(AO43=0,"",VLOOKUP(AO43,'Tablas Magia'!$D$6:$Z$680,21,FALSE))</f>
        <v/>
      </c>
      <c r="AU47" s="5476"/>
      <c r="AV47" s="5476"/>
      <c r="AW47" s="5476"/>
      <c r="AX47" s="5476"/>
      <c r="AY47" s="5476"/>
      <c r="AZ47" s="5476"/>
      <c r="BA47" s="5476"/>
      <c r="BB47" s="5476"/>
      <c r="BC47" s="5477"/>
      <c r="BD47" s="1131"/>
      <c r="BE47" s="1125"/>
    </row>
    <row r="48" spans="1:57" ht="12" customHeight="1" thickBot="1" x14ac:dyDescent="0.25">
      <c r="A48" s="1125"/>
      <c r="B48" s="537"/>
      <c r="C48" s="5483" t="s">
        <v>4574</v>
      </c>
      <c r="D48" s="5484"/>
      <c r="E48" s="1154" t="str">
        <f>IF(C43=0,"",VLOOKUP(C43,'Tablas Magia'!$D$6:$Z$680,10,FALSE))</f>
        <v/>
      </c>
      <c r="F48" s="1154" t="str">
        <f>IF(C43=0,"",VLOOKUP(C43,'Tablas Magia'!$D$6:$Z$680,14,FALSE))</f>
        <v/>
      </c>
      <c r="G48" s="1155" t="str">
        <f>IF(C43=0,"",VLOOKUP(C43,'Tablas Magia'!$D$6:$Z$680,18,FALSE))</f>
        <v/>
      </c>
      <c r="H48" s="5485" t="str">
        <f>IF(C43=0,"",VLOOKUP(C43,'Tablas Magia'!$D$6:$Z$680,22,FALSE))</f>
        <v/>
      </c>
      <c r="I48" s="5486"/>
      <c r="J48" s="5486"/>
      <c r="K48" s="5486"/>
      <c r="L48" s="5486"/>
      <c r="M48" s="5486"/>
      <c r="N48" s="5486"/>
      <c r="O48" s="5486"/>
      <c r="P48" s="5486"/>
      <c r="Q48" s="5487"/>
      <c r="R48" s="1131"/>
      <c r="S48" s="1125"/>
      <c r="T48" s="1125"/>
      <c r="U48" s="537"/>
      <c r="V48" s="5483" t="s">
        <v>4574</v>
      </c>
      <c r="W48" s="5484"/>
      <c r="X48" s="1154" t="str">
        <f>IF(V43=0,"",VLOOKUP(V43,'Tablas Magia'!$D$6:$Z$680,10,FALSE))</f>
        <v/>
      </c>
      <c r="Y48" s="1154" t="str">
        <f>IF(V43=0,"",VLOOKUP(V43,'Tablas Magia'!$D$6:$Z$680,14,FALSE))</f>
        <v/>
      </c>
      <c r="Z48" s="1155" t="str">
        <f>IF(V43=0,"",VLOOKUP(V43,'Tablas Magia'!$D$6:$Z$680,18,FALSE))</f>
        <v/>
      </c>
      <c r="AA48" s="5485" t="str">
        <f>IF(V43=0,"",VLOOKUP(V43,'Tablas Magia'!$D$6:$Z$680,22,FALSE))</f>
        <v/>
      </c>
      <c r="AB48" s="5486"/>
      <c r="AC48" s="5486"/>
      <c r="AD48" s="5486"/>
      <c r="AE48" s="5486"/>
      <c r="AF48" s="5486"/>
      <c r="AG48" s="5486"/>
      <c r="AH48" s="5486"/>
      <c r="AI48" s="5486"/>
      <c r="AJ48" s="5487"/>
      <c r="AK48" s="1131"/>
      <c r="AL48" s="1125"/>
      <c r="AM48" s="1125"/>
      <c r="AN48" s="537"/>
      <c r="AO48" s="5483" t="s">
        <v>4574</v>
      </c>
      <c r="AP48" s="5484"/>
      <c r="AQ48" s="1154" t="str">
        <f>IF(AO43=0,"",VLOOKUP(AO43,'Tablas Magia'!$D$6:$Z$680,10,FALSE))</f>
        <v/>
      </c>
      <c r="AR48" s="1154" t="str">
        <f>IF(AO43=0,"",VLOOKUP(AO43,'Tablas Magia'!$D$6:$Z$680,14,FALSE))</f>
        <v/>
      </c>
      <c r="AS48" s="1155" t="str">
        <f>IF(AO43=0,"",VLOOKUP(AO43,'Tablas Magia'!$D$6:$Z$680,18,FALSE))</f>
        <v/>
      </c>
      <c r="AT48" s="5485" t="str">
        <f>IF(AO43=0,"",VLOOKUP(AO43,'Tablas Magia'!$D$6:$Z$680,22,FALSE))</f>
        <v/>
      </c>
      <c r="AU48" s="5486"/>
      <c r="AV48" s="5486"/>
      <c r="AW48" s="5486"/>
      <c r="AX48" s="5486"/>
      <c r="AY48" s="5486"/>
      <c r="AZ48" s="5486"/>
      <c r="BA48" s="5486"/>
      <c r="BB48" s="5486"/>
      <c r="BC48" s="5487"/>
      <c r="BD48" s="1131"/>
      <c r="BE48" s="1125"/>
    </row>
    <row r="49" spans="1:57" ht="12" customHeight="1" x14ac:dyDescent="0.2">
      <c r="A49" s="1125"/>
      <c r="B49" s="537"/>
      <c r="C49" s="5488" t="str">
        <f>IF(C43=0,"",VLOOKUP(C43,'Tablas Magia'!$D$6:$Z$680,23,FALSE))</f>
        <v/>
      </c>
      <c r="D49" s="5489"/>
      <c r="E49" s="5489"/>
      <c r="F49" s="5489"/>
      <c r="G49" s="5489"/>
      <c r="H49" s="5489"/>
      <c r="I49" s="5489"/>
      <c r="J49" s="5489"/>
      <c r="K49" s="5489"/>
      <c r="L49" s="5489"/>
      <c r="M49" s="5489"/>
      <c r="N49" s="5489"/>
      <c r="O49" s="5489"/>
      <c r="P49" s="5489"/>
      <c r="Q49" s="5490"/>
      <c r="R49" s="1131"/>
      <c r="S49" s="1125"/>
      <c r="T49" s="1125"/>
      <c r="U49" s="537"/>
      <c r="V49" s="5488" t="str">
        <f>IF(V43=0,"",VLOOKUP(V43,'Tablas Magia'!$D$6:$Z$680,23,FALSE))</f>
        <v/>
      </c>
      <c r="W49" s="5489"/>
      <c r="X49" s="5489"/>
      <c r="Y49" s="5489"/>
      <c r="Z49" s="5489"/>
      <c r="AA49" s="5489"/>
      <c r="AB49" s="5489"/>
      <c r="AC49" s="5489"/>
      <c r="AD49" s="5489"/>
      <c r="AE49" s="5489"/>
      <c r="AF49" s="5489"/>
      <c r="AG49" s="5489"/>
      <c r="AH49" s="5489"/>
      <c r="AI49" s="5489"/>
      <c r="AJ49" s="5490"/>
      <c r="AK49" s="1131"/>
      <c r="AL49" s="1125"/>
      <c r="AM49" s="1125"/>
      <c r="AN49" s="537"/>
      <c r="AO49" s="5488" t="str">
        <f>IF(AO43=0,"",VLOOKUP(AO43,'Tablas Magia'!$D$6:$Z$680,23,FALSE))</f>
        <v/>
      </c>
      <c r="AP49" s="5489"/>
      <c r="AQ49" s="5489"/>
      <c r="AR49" s="5489"/>
      <c r="AS49" s="5489"/>
      <c r="AT49" s="5489"/>
      <c r="AU49" s="5489"/>
      <c r="AV49" s="5489"/>
      <c r="AW49" s="5489"/>
      <c r="AX49" s="5489"/>
      <c r="AY49" s="5489"/>
      <c r="AZ49" s="5489"/>
      <c r="BA49" s="5489"/>
      <c r="BB49" s="5489"/>
      <c r="BC49" s="5490"/>
      <c r="BD49" s="1131"/>
      <c r="BE49" s="1125"/>
    </row>
    <row r="50" spans="1:57" ht="12" customHeight="1" x14ac:dyDescent="0.2">
      <c r="A50" s="1125"/>
      <c r="B50" s="537"/>
      <c r="C50" s="5491"/>
      <c r="D50" s="5492"/>
      <c r="E50" s="5492"/>
      <c r="F50" s="5492"/>
      <c r="G50" s="5492"/>
      <c r="H50" s="5492"/>
      <c r="I50" s="5492"/>
      <c r="J50" s="5492"/>
      <c r="K50" s="5492"/>
      <c r="L50" s="5492"/>
      <c r="M50" s="5492"/>
      <c r="N50" s="5492"/>
      <c r="O50" s="5492"/>
      <c r="P50" s="5492"/>
      <c r="Q50" s="5493"/>
      <c r="R50" s="1131"/>
      <c r="S50" s="1125"/>
      <c r="T50" s="1125"/>
      <c r="U50" s="537"/>
      <c r="V50" s="5491"/>
      <c r="W50" s="5492"/>
      <c r="X50" s="5492"/>
      <c r="Y50" s="5492"/>
      <c r="Z50" s="5492"/>
      <c r="AA50" s="5492"/>
      <c r="AB50" s="5492"/>
      <c r="AC50" s="5492"/>
      <c r="AD50" s="5492"/>
      <c r="AE50" s="5492"/>
      <c r="AF50" s="5492"/>
      <c r="AG50" s="5492"/>
      <c r="AH50" s="5492"/>
      <c r="AI50" s="5492"/>
      <c r="AJ50" s="5493"/>
      <c r="AK50" s="1131"/>
      <c r="AL50" s="1125"/>
      <c r="AM50" s="1125"/>
      <c r="AN50" s="537"/>
      <c r="AO50" s="5491"/>
      <c r="AP50" s="5492"/>
      <c r="AQ50" s="5492"/>
      <c r="AR50" s="5492"/>
      <c r="AS50" s="5492"/>
      <c r="AT50" s="5492"/>
      <c r="AU50" s="5492"/>
      <c r="AV50" s="5492"/>
      <c r="AW50" s="5492"/>
      <c r="AX50" s="5492"/>
      <c r="AY50" s="5492"/>
      <c r="AZ50" s="5492"/>
      <c r="BA50" s="5492"/>
      <c r="BB50" s="5492"/>
      <c r="BC50" s="5493"/>
      <c r="BD50" s="1131"/>
      <c r="BE50" s="1125"/>
    </row>
    <row r="51" spans="1:57" ht="12" customHeight="1" x14ac:dyDescent="0.2">
      <c r="A51" s="1125"/>
      <c r="B51" s="537"/>
      <c r="C51" s="5491"/>
      <c r="D51" s="5492"/>
      <c r="E51" s="5492"/>
      <c r="F51" s="5492"/>
      <c r="G51" s="5492"/>
      <c r="H51" s="5492"/>
      <c r="I51" s="5492"/>
      <c r="J51" s="5492"/>
      <c r="K51" s="5492"/>
      <c r="L51" s="5492"/>
      <c r="M51" s="5492"/>
      <c r="N51" s="5492"/>
      <c r="O51" s="5492"/>
      <c r="P51" s="5492"/>
      <c r="Q51" s="5493"/>
      <c r="R51" s="1131"/>
      <c r="S51" s="1125"/>
      <c r="T51" s="1125"/>
      <c r="U51" s="537"/>
      <c r="V51" s="5491"/>
      <c r="W51" s="5492"/>
      <c r="X51" s="5492"/>
      <c r="Y51" s="5492"/>
      <c r="Z51" s="5492"/>
      <c r="AA51" s="5492"/>
      <c r="AB51" s="5492"/>
      <c r="AC51" s="5492"/>
      <c r="AD51" s="5492"/>
      <c r="AE51" s="5492"/>
      <c r="AF51" s="5492"/>
      <c r="AG51" s="5492"/>
      <c r="AH51" s="5492"/>
      <c r="AI51" s="5492"/>
      <c r="AJ51" s="5493"/>
      <c r="AK51" s="1131"/>
      <c r="AL51" s="1125"/>
      <c r="AM51" s="1125"/>
      <c r="AN51" s="537"/>
      <c r="AO51" s="5491"/>
      <c r="AP51" s="5492"/>
      <c r="AQ51" s="5492"/>
      <c r="AR51" s="5492"/>
      <c r="AS51" s="5492"/>
      <c r="AT51" s="5492"/>
      <c r="AU51" s="5492"/>
      <c r="AV51" s="5492"/>
      <c r="AW51" s="5492"/>
      <c r="AX51" s="5492"/>
      <c r="AY51" s="5492"/>
      <c r="AZ51" s="5492"/>
      <c r="BA51" s="5492"/>
      <c r="BB51" s="5492"/>
      <c r="BC51" s="5493"/>
      <c r="BD51" s="1131"/>
      <c r="BE51" s="1125"/>
    </row>
    <row r="52" spans="1:57" ht="12" customHeight="1" thickBot="1" x14ac:dyDescent="0.25">
      <c r="A52" s="1125"/>
      <c r="B52" s="537"/>
      <c r="C52" s="5494"/>
      <c r="D52" s="5495"/>
      <c r="E52" s="5495"/>
      <c r="F52" s="5495"/>
      <c r="G52" s="5495"/>
      <c r="H52" s="5495"/>
      <c r="I52" s="5495"/>
      <c r="J52" s="5495"/>
      <c r="K52" s="5495"/>
      <c r="L52" s="5495"/>
      <c r="M52" s="5495"/>
      <c r="N52" s="5495"/>
      <c r="O52" s="5495"/>
      <c r="P52" s="5495"/>
      <c r="Q52" s="5496"/>
      <c r="R52" s="1131"/>
      <c r="S52" s="1125"/>
      <c r="T52" s="1125"/>
      <c r="U52" s="537"/>
      <c r="V52" s="5494"/>
      <c r="W52" s="5495"/>
      <c r="X52" s="5495"/>
      <c r="Y52" s="5495"/>
      <c r="Z52" s="5495"/>
      <c r="AA52" s="5495"/>
      <c r="AB52" s="5495"/>
      <c r="AC52" s="5495"/>
      <c r="AD52" s="5495"/>
      <c r="AE52" s="5495"/>
      <c r="AF52" s="5495"/>
      <c r="AG52" s="5495"/>
      <c r="AH52" s="5495"/>
      <c r="AI52" s="5495"/>
      <c r="AJ52" s="5496"/>
      <c r="AK52" s="1131"/>
      <c r="AL52" s="1125"/>
      <c r="AM52" s="1125"/>
      <c r="AN52" s="537"/>
      <c r="AO52" s="5494"/>
      <c r="AP52" s="5495"/>
      <c r="AQ52" s="5495"/>
      <c r="AR52" s="5495"/>
      <c r="AS52" s="5495"/>
      <c r="AT52" s="5495"/>
      <c r="AU52" s="5495"/>
      <c r="AV52" s="5495"/>
      <c r="AW52" s="5495"/>
      <c r="AX52" s="5495"/>
      <c r="AY52" s="5495"/>
      <c r="AZ52" s="5495"/>
      <c r="BA52" s="5495"/>
      <c r="BB52" s="5495"/>
      <c r="BC52" s="5496"/>
      <c r="BD52" s="1131"/>
      <c r="BE52" s="1125"/>
    </row>
    <row r="53" spans="1:57" ht="12" customHeight="1" thickBot="1" x14ac:dyDescent="0.25">
      <c r="A53" s="1125"/>
      <c r="B53" s="537"/>
      <c r="C53" s="1166"/>
      <c r="D53" s="1166"/>
      <c r="E53" s="1152"/>
      <c r="F53" s="1152"/>
      <c r="G53" s="1152"/>
      <c r="H53" s="1167"/>
      <c r="I53" s="1167"/>
      <c r="J53" s="1167"/>
      <c r="K53" s="1167"/>
      <c r="L53" s="1167"/>
      <c r="M53" s="1167"/>
      <c r="N53" s="1167"/>
      <c r="O53" s="1167"/>
      <c r="P53" s="1167"/>
      <c r="Q53" s="1167"/>
      <c r="R53" s="1131"/>
      <c r="S53" s="1125"/>
      <c r="T53" s="1125"/>
      <c r="U53" s="537"/>
      <c r="V53" s="1166"/>
      <c r="W53" s="1166"/>
      <c r="X53" s="1152"/>
      <c r="Y53" s="1152"/>
      <c r="Z53" s="1152"/>
      <c r="AA53" s="1167"/>
      <c r="AB53" s="1167"/>
      <c r="AC53" s="1167"/>
      <c r="AD53" s="1167"/>
      <c r="AE53" s="1167"/>
      <c r="AF53" s="1167"/>
      <c r="AG53" s="1167"/>
      <c r="AH53" s="1167"/>
      <c r="AI53" s="1167"/>
      <c r="AJ53" s="1167"/>
      <c r="AK53" s="1131"/>
      <c r="AL53" s="1125"/>
      <c r="AM53" s="1125"/>
      <c r="AN53" s="537"/>
      <c r="AO53" s="1166"/>
      <c r="AP53" s="1166"/>
      <c r="AQ53" s="1152"/>
      <c r="AR53" s="1152"/>
      <c r="AS53" s="1152"/>
      <c r="AT53" s="1167"/>
      <c r="AU53" s="1167"/>
      <c r="AV53" s="1167"/>
      <c r="AW53" s="1167"/>
      <c r="AX53" s="1167"/>
      <c r="AY53" s="1167"/>
      <c r="AZ53" s="1167"/>
      <c r="BA53" s="1167"/>
      <c r="BB53" s="1167"/>
      <c r="BC53" s="1167"/>
      <c r="BD53" s="1131"/>
      <c r="BE53" s="1125"/>
    </row>
    <row r="54" spans="1:57" ht="12" customHeight="1" x14ac:dyDescent="0.2">
      <c r="A54" s="1125"/>
      <c r="B54" s="537"/>
      <c r="C54" s="5461"/>
      <c r="D54" s="5462"/>
      <c r="E54" s="5462"/>
      <c r="F54" s="5462"/>
      <c r="G54" s="5462"/>
      <c r="H54" s="1145" t="s">
        <v>1627</v>
      </c>
      <c r="I54" s="1146" t="str">
        <f>IF(C54=0,"",VLOOKUP(C54,'Tablas Magia'!$D$6:$Z$680,3,FALSE))</f>
        <v/>
      </c>
      <c r="J54" s="5463" t="s">
        <v>7687</v>
      </c>
      <c r="K54" s="5463"/>
      <c r="L54" s="5463"/>
      <c r="M54" s="5464" t="str">
        <f>IF(C54=0,"",VLOOKUP(C54,'Tablas Magia'!$D$6:$Z$680,2,FALSE))</f>
        <v/>
      </c>
      <c r="N54" s="5464"/>
      <c r="O54" s="5464"/>
      <c r="P54" s="5464"/>
      <c r="Q54" s="5465"/>
      <c r="R54" s="1131"/>
      <c r="S54" s="1125"/>
      <c r="T54" s="1125"/>
      <c r="U54" s="537"/>
      <c r="V54" s="5461"/>
      <c r="W54" s="5462"/>
      <c r="X54" s="5462"/>
      <c r="Y54" s="5462"/>
      <c r="Z54" s="5462"/>
      <c r="AA54" s="1145" t="s">
        <v>1627</v>
      </c>
      <c r="AB54" s="1146" t="str">
        <f>IF(V54=0,"",VLOOKUP(V54,'Tablas Magia'!$D$6:$Z$680,3,FALSE))</f>
        <v/>
      </c>
      <c r="AC54" s="5463" t="s">
        <v>7687</v>
      </c>
      <c r="AD54" s="5463"/>
      <c r="AE54" s="5463"/>
      <c r="AF54" s="5464" t="str">
        <f>IF(V54=0,"",VLOOKUP(V54,'Tablas Magia'!$D$6:$Z$680,2,FALSE))</f>
        <v/>
      </c>
      <c r="AG54" s="5464"/>
      <c r="AH54" s="5464"/>
      <c r="AI54" s="5464"/>
      <c r="AJ54" s="5465"/>
      <c r="AK54" s="1131"/>
      <c r="AL54" s="1125"/>
      <c r="AM54" s="1125"/>
      <c r="AN54" s="537"/>
      <c r="AO54" s="5461"/>
      <c r="AP54" s="5462"/>
      <c r="AQ54" s="5462"/>
      <c r="AR54" s="5462"/>
      <c r="AS54" s="5462"/>
      <c r="AT54" s="1145" t="s">
        <v>1627</v>
      </c>
      <c r="AU54" s="1146" t="str">
        <f>IF(AO54=0,"",VLOOKUP(AO54,'Tablas Magia'!$D$6:$Z$680,3,FALSE))</f>
        <v/>
      </c>
      <c r="AV54" s="5463" t="s">
        <v>7687</v>
      </c>
      <c r="AW54" s="5463"/>
      <c r="AX54" s="5463"/>
      <c r="AY54" s="5464" t="str">
        <f>IF(AO54=0,"",VLOOKUP(AO54,'Tablas Magia'!$D$6:$Z$680,2,FALSE))</f>
        <v/>
      </c>
      <c r="AZ54" s="5464"/>
      <c r="BA54" s="5464"/>
      <c r="BB54" s="5464"/>
      <c r="BC54" s="5465"/>
      <c r="BD54" s="1131"/>
      <c r="BE54" s="1125"/>
    </row>
    <row r="55" spans="1:57" ht="12" customHeight="1" x14ac:dyDescent="0.2">
      <c r="A55" s="1125"/>
      <c r="B55" s="537"/>
      <c r="C55" s="5481" t="s">
        <v>7688</v>
      </c>
      <c r="D55" s="5482"/>
      <c r="E55" s="1147" t="s">
        <v>7689</v>
      </c>
      <c r="F55" s="1147" t="s">
        <v>1820</v>
      </c>
      <c r="G55" s="1147" t="s">
        <v>3334</v>
      </c>
      <c r="H55" s="1148" t="s">
        <v>2165</v>
      </c>
      <c r="I55" s="5478" t="str">
        <f>IF(C54=0,"",VLOOKUP(C54,'Tablas Magia'!$D$6:$Z$680,5,FALSE))</f>
        <v/>
      </c>
      <c r="J55" s="5478"/>
      <c r="K55" s="5479" t="s">
        <v>7690</v>
      </c>
      <c r="L55" s="5479"/>
      <c r="M55" s="5478" t="str">
        <f>IF(C54=0,"",VLOOKUP(C54,'Tablas Magia'!$D$6:$Z$680,6,FALSE))</f>
        <v/>
      </c>
      <c r="N55" s="5478"/>
      <c r="O55" s="5480" t="s">
        <v>7691</v>
      </c>
      <c r="P55" s="5480"/>
      <c r="Q55" s="1149" t="str">
        <f>IF(C54=0,"",VLOOKUP(C54,'Tablas Magia'!$D$6:$Z$680,4,FALSE))</f>
        <v/>
      </c>
      <c r="R55" s="1131"/>
      <c r="S55" s="1125"/>
      <c r="T55" s="1125"/>
      <c r="U55" s="537"/>
      <c r="V55" s="5481" t="s">
        <v>7688</v>
      </c>
      <c r="W55" s="5482"/>
      <c r="X55" s="1147" t="s">
        <v>7689</v>
      </c>
      <c r="Y55" s="1147" t="s">
        <v>1820</v>
      </c>
      <c r="Z55" s="1147" t="s">
        <v>3334</v>
      </c>
      <c r="AA55" s="1148" t="s">
        <v>2165</v>
      </c>
      <c r="AB55" s="5478" t="str">
        <f>IF(V54=0,"",VLOOKUP(V54,'Tablas Magia'!$D$6:$Z$680,5,FALSE))</f>
        <v/>
      </c>
      <c r="AC55" s="5478"/>
      <c r="AD55" s="5479" t="s">
        <v>7690</v>
      </c>
      <c r="AE55" s="5479"/>
      <c r="AF55" s="5478" t="str">
        <f>IF(V54=0,"",VLOOKUP(V54,'Tablas Magia'!$D$6:$Z$680,6,FALSE))</f>
        <v/>
      </c>
      <c r="AG55" s="5478"/>
      <c r="AH55" s="5480" t="s">
        <v>7691</v>
      </c>
      <c r="AI55" s="5480"/>
      <c r="AJ55" s="1149" t="str">
        <f>IF(V54=0,"",VLOOKUP(V54,'Tablas Magia'!$D$6:$Z$680,4,FALSE))</f>
        <v/>
      </c>
      <c r="AK55" s="1131"/>
      <c r="AL55" s="1125"/>
      <c r="AM55" s="1125"/>
      <c r="AN55" s="537"/>
      <c r="AO55" s="5481" t="s">
        <v>7688</v>
      </c>
      <c r="AP55" s="5482"/>
      <c r="AQ55" s="1147" t="s">
        <v>7689</v>
      </c>
      <c r="AR55" s="1147" t="s">
        <v>1820</v>
      </c>
      <c r="AS55" s="1147" t="s">
        <v>3334</v>
      </c>
      <c r="AT55" s="1148" t="s">
        <v>2165</v>
      </c>
      <c r="AU55" s="5478" t="str">
        <f>IF(AO54=0,"",VLOOKUP(AO54,'Tablas Magia'!$D$6:$Z$680,5,FALSE))</f>
        <v/>
      </c>
      <c r="AV55" s="5478"/>
      <c r="AW55" s="5479" t="s">
        <v>7690</v>
      </c>
      <c r="AX55" s="5479"/>
      <c r="AY55" s="5478" t="str">
        <f>IF(AO54=0,"",VLOOKUP(AO54,'Tablas Magia'!$D$6:$Z$680,6,FALSE))</f>
        <v/>
      </c>
      <c r="AZ55" s="5478"/>
      <c r="BA55" s="5480" t="s">
        <v>7691</v>
      </c>
      <c r="BB55" s="5480"/>
      <c r="BC55" s="1149" t="str">
        <f>IF(AO54=0,"",VLOOKUP(AO54,'Tablas Magia'!$D$6:$Z$680,4,FALSE))</f>
        <v/>
      </c>
      <c r="BD55" s="1131"/>
      <c r="BE55" s="1125"/>
    </row>
    <row r="56" spans="1:57" ht="12" customHeight="1" x14ac:dyDescent="0.2">
      <c r="A56" s="1125"/>
      <c r="B56" s="537"/>
      <c r="C56" s="5473" t="s">
        <v>1674</v>
      </c>
      <c r="D56" s="5474"/>
      <c r="E56" s="1150" t="str">
        <f>IF(C54=0,"",VLOOKUP(C54,'Tablas Magia'!$D$6:$Z$680,7,FALSE))</f>
        <v/>
      </c>
      <c r="F56" s="1150" t="str">
        <f>IF(C54=0,"",VLOOKUP(C54,'Tablas Magia'!$D$6:$Z$680,11,FALSE))</f>
        <v/>
      </c>
      <c r="G56" s="1151" t="str">
        <f>IF(C54=0,"",VLOOKUP(C54,'Tablas Magia'!$D$6:$Z$680,15,FALSE))</f>
        <v/>
      </c>
      <c r="H56" s="5475" t="str">
        <f>IF(C54=0,"",VLOOKUP(C54,'Tablas Magia'!$D$6:$Z$680,19,FALSE))</f>
        <v/>
      </c>
      <c r="I56" s="5476"/>
      <c r="J56" s="5476"/>
      <c r="K56" s="5476"/>
      <c r="L56" s="5476"/>
      <c r="M56" s="5476"/>
      <c r="N56" s="5476"/>
      <c r="O56" s="5476"/>
      <c r="P56" s="5476"/>
      <c r="Q56" s="5477"/>
      <c r="R56" s="1131"/>
      <c r="S56" s="1125"/>
      <c r="T56" s="1125"/>
      <c r="U56" s="537"/>
      <c r="V56" s="5473" t="s">
        <v>1674</v>
      </c>
      <c r="W56" s="5474"/>
      <c r="X56" s="1150" t="str">
        <f>IF(V54=0,"",VLOOKUP(V54,'Tablas Magia'!$D$6:$Z$680,7,FALSE))</f>
        <v/>
      </c>
      <c r="Y56" s="1150" t="str">
        <f>IF(V54=0,"",VLOOKUP(V54,'Tablas Magia'!$D$6:$Z$680,11,FALSE))</f>
        <v/>
      </c>
      <c r="Z56" s="1151" t="str">
        <f>IF(V54=0,"",VLOOKUP(V54,'Tablas Magia'!$D$6:$Z$680,15,FALSE))</f>
        <v/>
      </c>
      <c r="AA56" s="5475" t="str">
        <f>IF(V54=0,"",VLOOKUP(V54,'Tablas Magia'!$D$6:$Z$680,19,FALSE))</f>
        <v/>
      </c>
      <c r="AB56" s="5476"/>
      <c r="AC56" s="5476"/>
      <c r="AD56" s="5476"/>
      <c r="AE56" s="5476"/>
      <c r="AF56" s="5476"/>
      <c r="AG56" s="5476"/>
      <c r="AH56" s="5476"/>
      <c r="AI56" s="5476"/>
      <c r="AJ56" s="5477"/>
      <c r="AK56" s="1131"/>
      <c r="AL56" s="1125"/>
      <c r="AM56" s="1125"/>
      <c r="AN56" s="537"/>
      <c r="AO56" s="5473" t="s">
        <v>1674</v>
      </c>
      <c r="AP56" s="5474"/>
      <c r="AQ56" s="1150" t="str">
        <f>IF(AO54=0,"",VLOOKUP(AO54,'Tablas Magia'!$D$6:$Z$680,7,FALSE))</f>
        <v/>
      </c>
      <c r="AR56" s="1150" t="str">
        <f>IF(AO54=0,"",VLOOKUP(AO54,'Tablas Magia'!$D$6:$Z$680,11,FALSE))</f>
        <v/>
      </c>
      <c r="AS56" s="1151" t="str">
        <f>IF(AO54=0,"",VLOOKUP(AO54,'Tablas Magia'!$D$6:$Z$680,15,FALSE))</f>
        <v/>
      </c>
      <c r="AT56" s="5475" t="str">
        <f>IF(AO54=0,"",VLOOKUP(AO54,'Tablas Magia'!$D$6:$Z$680,19,FALSE))</f>
        <v/>
      </c>
      <c r="AU56" s="5476"/>
      <c r="AV56" s="5476"/>
      <c r="AW56" s="5476"/>
      <c r="AX56" s="5476"/>
      <c r="AY56" s="5476"/>
      <c r="AZ56" s="5476"/>
      <c r="BA56" s="5476"/>
      <c r="BB56" s="5476"/>
      <c r="BC56" s="5477"/>
      <c r="BD56" s="1131"/>
      <c r="BE56" s="1125"/>
    </row>
    <row r="57" spans="1:57" ht="12" customHeight="1" x14ac:dyDescent="0.2">
      <c r="A57" s="1125"/>
      <c r="B57" s="537"/>
      <c r="C57" s="5468" t="s">
        <v>4572</v>
      </c>
      <c r="D57" s="5469"/>
      <c r="E57" s="1152" t="str">
        <f>IF(C54=0,"",VLOOKUP(C54,'Tablas Magia'!$D$6:$Z$680,8,FALSE))</f>
        <v/>
      </c>
      <c r="F57" s="1152" t="str">
        <f>IF(C54=0,"",VLOOKUP(C54,'Tablas Magia'!$D$6:$Z$680,12,FALSE))</f>
        <v/>
      </c>
      <c r="G57" s="1153" t="str">
        <f>IF(C54=0,"",VLOOKUP(C54,'Tablas Magia'!$D$6:$Z$680,16,FALSE))</f>
        <v/>
      </c>
      <c r="H57" s="5470" t="str">
        <f>IF(C54=0,"",VLOOKUP(C54,'Tablas Magia'!$D$6:$Z$680,20,FALSE))</f>
        <v/>
      </c>
      <c r="I57" s="5471"/>
      <c r="J57" s="5471"/>
      <c r="K57" s="5471"/>
      <c r="L57" s="5471"/>
      <c r="M57" s="5471"/>
      <c r="N57" s="5471"/>
      <c r="O57" s="5471"/>
      <c r="P57" s="5471"/>
      <c r="Q57" s="5472"/>
      <c r="R57" s="1131"/>
      <c r="S57" s="1125"/>
      <c r="T57" s="1125"/>
      <c r="U57" s="537"/>
      <c r="V57" s="5468" t="s">
        <v>4572</v>
      </c>
      <c r="W57" s="5469"/>
      <c r="X57" s="1152" t="str">
        <f>IF(V54=0,"",VLOOKUP(V54,'Tablas Magia'!$D$6:$Z$680,8,FALSE))</f>
        <v/>
      </c>
      <c r="Y57" s="1152" t="str">
        <f>IF(V54=0,"",VLOOKUP(V54,'Tablas Magia'!$D$6:$Z$680,12,FALSE))</f>
        <v/>
      </c>
      <c r="Z57" s="1153" t="str">
        <f>IF(V54=0,"",VLOOKUP(V54,'Tablas Magia'!$D$6:$Z$680,16,FALSE))</f>
        <v/>
      </c>
      <c r="AA57" s="5470" t="str">
        <f>IF(V54=0,"",VLOOKUP(V54,'Tablas Magia'!$D$6:$Z$680,20,FALSE))</f>
        <v/>
      </c>
      <c r="AB57" s="5471"/>
      <c r="AC57" s="5471"/>
      <c r="AD57" s="5471"/>
      <c r="AE57" s="5471"/>
      <c r="AF57" s="5471"/>
      <c r="AG57" s="5471"/>
      <c r="AH57" s="5471"/>
      <c r="AI57" s="5471"/>
      <c r="AJ57" s="5472"/>
      <c r="AK57" s="1131"/>
      <c r="AL57" s="1125"/>
      <c r="AM57" s="1125"/>
      <c r="AN57" s="537"/>
      <c r="AO57" s="5468" t="s">
        <v>4572</v>
      </c>
      <c r="AP57" s="5469"/>
      <c r="AQ57" s="1152" t="str">
        <f>IF(AO54=0,"",VLOOKUP(AO54,'Tablas Magia'!$D$6:$Z$680,8,FALSE))</f>
        <v/>
      </c>
      <c r="AR57" s="1152" t="str">
        <f>IF(AO54=0,"",VLOOKUP(AO54,'Tablas Magia'!$D$6:$Z$680,12,FALSE))</f>
        <v/>
      </c>
      <c r="AS57" s="1153" t="str">
        <f>IF(AO54=0,"",VLOOKUP(AO54,'Tablas Magia'!$D$6:$Z$680,16,FALSE))</f>
        <v/>
      </c>
      <c r="AT57" s="5470" t="str">
        <f>IF(AO54=0,"",VLOOKUP(AO54,'Tablas Magia'!$D$6:$Z$680,20,FALSE))</f>
        <v/>
      </c>
      <c r="AU57" s="5471"/>
      <c r="AV57" s="5471"/>
      <c r="AW57" s="5471"/>
      <c r="AX57" s="5471"/>
      <c r="AY57" s="5471"/>
      <c r="AZ57" s="5471"/>
      <c r="BA57" s="5471"/>
      <c r="BB57" s="5471"/>
      <c r="BC57" s="5472"/>
      <c r="BD57" s="1131"/>
      <c r="BE57" s="1125"/>
    </row>
    <row r="58" spans="1:57" ht="12" customHeight="1" x14ac:dyDescent="0.2">
      <c r="A58" s="1125"/>
      <c r="B58" s="537"/>
      <c r="C58" s="5473" t="s">
        <v>4573</v>
      </c>
      <c r="D58" s="5474"/>
      <c r="E58" s="1150" t="str">
        <f>IF(C54=0,"",VLOOKUP(C54,'Tablas Magia'!$D$6:$Z$680,9,FALSE))</f>
        <v/>
      </c>
      <c r="F58" s="1150" t="str">
        <f>IF(C54=0,"",VLOOKUP(C54,'Tablas Magia'!$D$6:$Z$680,13,FALSE))</f>
        <v/>
      </c>
      <c r="G58" s="1151" t="str">
        <f>IF(C54=0,"",VLOOKUP(C54,'Tablas Magia'!$D$6:$Z$680,17,FALSE))</f>
        <v/>
      </c>
      <c r="H58" s="5475" t="str">
        <f>IF(C54=0,"",VLOOKUP(C54,'Tablas Magia'!$D$6:$Z$680,21,FALSE))</f>
        <v/>
      </c>
      <c r="I58" s="5476"/>
      <c r="J58" s="5476"/>
      <c r="K58" s="5476"/>
      <c r="L58" s="5476"/>
      <c r="M58" s="5476"/>
      <c r="N58" s="5476"/>
      <c r="O58" s="5476"/>
      <c r="P58" s="5476"/>
      <c r="Q58" s="5477"/>
      <c r="R58" s="1131"/>
      <c r="S58" s="1125"/>
      <c r="T58" s="1125"/>
      <c r="U58" s="537"/>
      <c r="V58" s="5473" t="s">
        <v>4573</v>
      </c>
      <c r="W58" s="5474"/>
      <c r="X58" s="1150" t="str">
        <f>IF(V54=0,"",VLOOKUP(V54,'Tablas Magia'!$D$6:$Z$680,9,FALSE))</f>
        <v/>
      </c>
      <c r="Y58" s="1150" t="str">
        <f>IF(V54=0,"",VLOOKUP(V54,'Tablas Magia'!$D$6:$Z$680,13,FALSE))</f>
        <v/>
      </c>
      <c r="Z58" s="1151" t="str">
        <f>IF(V54=0,"",VLOOKUP(V54,'Tablas Magia'!$D$6:$Z$680,17,FALSE))</f>
        <v/>
      </c>
      <c r="AA58" s="5475" t="str">
        <f>IF(V54=0,"",VLOOKUP(V54,'Tablas Magia'!$D$6:$Z$680,21,FALSE))</f>
        <v/>
      </c>
      <c r="AB58" s="5476"/>
      <c r="AC58" s="5476"/>
      <c r="AD58" s="5476"/>
      <c r="AE58" s="5476"/>
      <c r="AF58" s="5476"/>
      <c r="AG58" s="5476"/>
      <c r="AH58" s="5476"/>
      <c r="AI58" s="5476"/>
      <c r="AJ58" s="5477"/>
      <c r="AK58" s="1131"/>
      <c r="AL58" s="1125"/>
      <c r="AM58" s="1125"/>
      <c r="AN58" s="537"/>
      <c r="AO58" s="5473" t="s">
        <v>4573</v>
      </c>
      <c r="AP58" s="5474"/>
      <c r="AQ58" s="1150" t="str">
        <f>IF(AO54=0,"",VLOOKUP(AO54,'Tablas Magia'!$D$6:$Z$680,9,FALSE))</f>
        <v/>
      </c>
      <c r="AR58" s="1150" t="str">
        <f>IF(AO54=0,"",VLOOKUP(AO54,'Tablas Magia'!$D$6:$Z$680,13,FALSE))</f>
        <v/>
      </c>
      <c r="AS58" s="1151" t="str">
        <f>IF(AO54=0,"",VLOOKUP(AO54,'Tablas Magia'!$D$6:$Z$680,17,FALSE))</f>
        <v/>
      </c>
      <c r="AT58" s="5475" t="str">
        <f>IF(AO54=0,"",VLOOKUP(AO54,'Tablas Magia'!$D$6:$Z$680,21,FALSE))</f>
        <v/>
      </c>
      <c r="AU58" s="5476"/>
      <c r="AV58" s="5476"/>
      <c r="AW58" s="5476"/>
      <c r="AX58" s="5476"/>
      <c r="AY58" s="5476"/>
      <c r="AZ58" s="5476"/>
      <c r="BA58" s="5476"/>
      <c r="BB58" s="5476"/>
      <c r="BC58" s="5477"/>
      <c r="BD58" s="1131"/>
      <c r="BE58" s="1125"/>
    </row>
    <row r="59" spans="1:57" ht="12" customHeight="1" thickBot="1" x14ac:dyDescent="0.25">
      <c r="A59" s="1125"/>
      <c r="B59" s="537"/>
      <c r="C59" s="5483" t="s">
        <v>4574</v>
      </c>
      <c r="D59" s="5484"/>
      <c r="E59" s="1154" t="str">
        <f>IF(C54=0,"",VLOOKUP(C54,'Tablas Magia'!$D$6:$Z$680,10,FALSE))</f>
        <v/>
      </c>
      <c r="F59" s="1154" t="str">
        <f>IF(C54=0,"",VLOOKUP(C54,'Tablas Magia'!$D$6:$Z$680,14,FALSE))</f>
        <v/>
      </c>
      <c r="G59" s="1155" t="str">
        <f>IF(C54=0,"",VLOOKUP(C54,'Tablas Magia'!$D$6:$Z$680,18,FALSE))</f>
        <v/>
      </c>
      <c r="H59" s="5485" t="str">
        <f>IF(C54=0,"",VLOOKUP(C54,'Tablas Magia'!$D$6:$Z$680,22,FALSE))</f>
        <v/>
      </c>
      <c r="I59" s="5486"/>
      <c r="J59" s="5486"/>
      <c r="K59" s="5486"/>
      <c r="L59" s="5486"/>
      <c r="M59" s="5486"/>
      <c r="N59" s="5486"/>
      <c r="O59" s="5486"/>
      <c r="P59" s="5486"/>
      <c r="Q59" s="5487"/>
      <c r="R59" s="1131"/>
      <c r="S59" s="1125"/>
      <c r="T59" s="1125"/>
      <c r="U59" s="537"/>
      <c r="V59" s="5483" t="s">
        <v>4574</v>
      </c>
      <c r="W59" s="5484"/>
      <c r="X59" s="1154" t="str">
        <f>IF(V54=0,"",VLOOKUP(V54,'Tablas Magia'!$D$6:$Z$680,10,FALSE))</f>
        <v/>
      </c>
      <c r="Y59" s="1154" t="str">
        <f>IF(V54=0,"",VLOOKUP(V54,'Tablas Magia'!$D$6:$Z$680,14,FALSE))</f>
        <v/>
      </c>
      <c r="Z59" s="1155" t="str">
        <f>IF(V54=0,"",VLOOKUP(V54,'Tablas Magia'!$D$6:$Z$680,18,FALSE))</f>
        <v/>
      </c>
      <c r="AA59" s="5485" t="str">
        <f>IF(V54=0,"",VLOOKUP(V54,'Tablas Magia'!$D$6:$Z$680,22,FALSE))</f>
        <v/>
      </c>
      <c r="AB59" s="5486"/>
      <c r="AC59" s="5486"/>
      <c r="AD59" s="5486"/>
      <c r="AE59" s="5486"/>
      <c r="AF59" s="5486"/>
      <c r="AG59" s="5486"/>
      <c r="AH59" s="5486"/>
      <c r="AI59" s="5486"/>
      <c r="AJ59" s="5487"/>
      <c r="AK59" s="1131"/>
      <c r="AL59" s="1125"/>
      <c r="AM59" s="1125"/>
      <c r="AN59" s="537"/>
      <c r="AO59" s="5483" t="s">
        <v>4574</v>
      </c>
      <c r="AP59" s="5484"/>
      <c r="AQ59" s="1154" t="str">
        <f>IF(AO54=0,"",VLOOKUP(AO54,'Tablas Magia'!$D$6:$Z$680,10,FALSE))</f>
        <v/>
      </c>
      <c r="AR59" s="1154" t="str">
        <f>IF(AO54=0,"",VLOOKUP(AO54,'Tablas Magia'!$D$6:$Z$680,14,FALSE))</f>
        <v/>
      </c>
      <c r="AS59" s="1155" t="str">
        <f>IF(AO54=0,"",VLOOKUP(AO54,'Tablas Magia'!$D$6:$Z$680,18,FALSE))</f>
        <v/>
      </c>
      <c r="AT59" s="5485" t="str">
        <f>IF(AO54=0,"",VLOOKUP(AO54,'Tablas Magia'!$D$6:$Z$680,22,FALSE))</f>
        <v/>
      </c>
      <c r="AU59" s="5486"/>
      <c r="AV59" s="5486"/>
      <c r="AW59" s="5486"/>
      <c r="AX59" s="5486"/>
      <c r="AY59" s="5486"/>
      <c r="AZ59" s="5486"/>
      <c r="BA59" s="5486"/>
      <c r="BB59" s="5486"/>
      <c r="BC59" s="5487"/>
      <c r="BD59" s="1131"/>
      <c r="BE59" s="1125"/>
    </row>
    <row r="60" spans="1:57" ht="12" customHeight="1" x14ac:dyDescent="0.2">
      <c r="A60" s="1125"/>
      <c r="B60" s="537"/>
      <c r="C60" s="5488" t="str">
        <f>IF(C54=0,"",VLOOKUP(C54,'Tablas Magia'!$D$6:$Z$680,23,FALSE))</f>
        <v/>
      </c>
      <c r="D60" s="5489"/>
      <c r="E60" s="5489"/>
      <c r="F60" s="5489"/>
      <c r="G60" s="5489"/>
      <c r="H60" s="5489"/>
      <c r="I60" s="5489"/>
      <c r="J60" s="5489"/>
      <c r="K60" s="5489"/>
      <c r="L60" s="5489"/>
      <c r="M60" s="5489"/>
      <c r="N60" s="5489"/>
      <c r="O60" s="5489"/>
      <c r="P60" s="5489"/>
      <c r="Q60" s="5490"/>
      <c r="R60" s="1131"/>
      <c r="S60" s="1125"/>
      <c r="T60" s="1125"/>
      <c r="U60" s="537"/>
      <c r="V60" s="5488" t="str">
        <f>IF(V54=0,"",VLOOKUP(V54,'Tablas Magia'!$D$6:$Z$680,23,FALSE))</f>
        <v/>
      </c>
      <c r="W60" s="5489"/>
      <c r="X60" s="5489"/>
      <c r="Y60" s="5489"/>
      <c r="Z60" s="5489"/>
      <c r="AA60" s="5489"/>
      <c r="AB60" s="5489"/>
      <c r="AC60" s="5489"/>
      <c r="AD60" s="5489"/>
      <c r="AE60" s="5489"/>
      <c r="AF60" s="5489"/>
      <c r="AG60" s="5489"/>
      <c r="AH60" s="5489"/>
      <c r="AI60" s="5489"/>
      <c r="AJ60" s="5490"/>
      <c r="AK60" s="1131"/>
      <c r="AL60" s="1125"/>
      <c r="AM60" s="1125"/>
      <c r="AN60" s="537"/>
      <c r="AO60" s="5488" t="str">
        <f>IF(AO54=0,"",VLOOKUP(AO54,'Tablas Magia'!$D$6:$Z$680,23,FALSE))</f>
        <v/>
      </c>
      <c r="AP60" s="5489"/>
      <c r="AQ60" s="5489"/>
      <c r="AR60" s="5489"/>
      <c r="AS60" s="5489"/>
      <c r="AT60" s="5489"/>
      <c r="AU60" s="5489"/>
      <c r="AV60" s="5489"/>
      <c r="AW60" s="5489"/>
      <c r="AX60" s="5489"/>
      <c r="AY60" s="5489"/>
      <c r="AZ60" s="5489"/>
      <c r="BA60" s="5489"/>
      <c r="BB60" s="5489"/>
      <c r="BC60" s="5490"/>
      <c r="BD60" s="1131"/>
      <c r="BE60" s="1125"/>
    </row>
    <row r="61" spans="1:57" ht="12" customHeight="1" x14ac:dyDescent="0.2">
      <c r="A61" s="1125"/>
      <c r="B61" s="537"/>
      <c r="C61" s="5491"/>
      <c r="D61" s="5492"/>
      <c r="E61" s="5492"/>
      <c r="F61" s="5492"/>
      <c r="G61" s="5492"/>
      <c r="H61" s="5492"/>
      <c r="I61" s="5492"/>
      <c r="J61" s="5492"/>
      <c r="K61" s="5492"/>
      <c r="L61" s="5492"/>
      <c r="M61" s="5492"/>
      <c r="N61" s="5492"/>
      <c r="O61" s="5492"/>
      <c r="P61" s="5492"/>
      <c r="Q61" s="5493"/>
      <c r="R61" s="1131"/>
      <c r="S61" s="1125"/>
      <c r="T61" s="1125"/>
      <c r="U61" s="537"/>
      <c r="V61" s="5491"/>
      <c r="W61" s="5492"/>
      <c r="X61" s="5492"/>
      <c r="Y61" s="5492"/>
      <c r="Z61" s="5492"/>
      <c r="AA61" s="5492"/>
      <c r="AB61" s="5492"/>
      <c r="AC61" s="5492"/>
      <c r="AD61" s="5492"/>
      <c r="AE61" s="5492"/>
      <c r="AF61" s="5492"/>
      <c r="AG61" s="5492"/>
      <c r="AH61" s="5492"/>
      <c r="AI61" s="5492"/>
      <c r="AJ61" s="5493"/>
      <c r="AK61" s="1131"/>
      <c r="AL61" s="1125"/>
      <c r="AM61" s="1125"/>
      <c r="AN61" s="537"/>
      <c r="AO61" s="5491"/>
      <c r="AP61" s="5492"/>
      <c r="AQ61" s="5492"/>
      <c r="AR61" s="5492"/>
      <c r="AS61" s="5492"/>
      <c r="AT61" s="5492"/>
      <c r="AU61" s="5492"/>
      <c r="AV61" s="5492"/>
      <c r="AW61" s="5492"/>
      <c r="AX61" s="5492"/>
      <c r="AY61" s="5492"/>
      <c r="AZ61" s="5492"/>
      <c r="BA61" s="5492"/>
      <c r="BB61" s="5492"/>
      <c r="BC61" s="5493"/>
      <c r="BD61" s="1131"/>
      <c r="BE61" s="1125"/>
    </row>
    <row r="62" spans="1:57" ht="12" customHeight="1" x14ac:dyDescent="0.2">
      <c r="A62" s="1125"/>
      <c r="B62" s="537"/>
      <c r="C62" s="5491"/>
      <c r="D62" s="5492"/>
      <c r="E62" s="5492"/>
      <c r="F62" s="5492"/>
      <c r="G62" s="5492"/>
      <c r="H62" s="5492"/>
      <c r="I62" s="5492"/>
      <c r="J62" s="5492"/>
      <c r="K62" s="5492"/>
      <c r="L62" s="5492"/>
      <c r="M62" s="5492"/>
      <c r="N62" s="5492"/>
      <c r="O62" s="5492"/>
      <c r="P62" s="5492"/>
      <c r="Q62" s="5493"/>
      <c r="R62" s="1131"/>
      <c r="S62" s="1125"/>
      <c r="T62" s="1125"/>
      <c r="U62" s="537"/>
      <c r="V62" s="5491"/>
      <c r="W62" s="5492"/>
      <c r="X62" s="5492"/>
      <c r="Y62" s="5492"/>
      <c r="Z62" s="5492"/>
      <c r="AA62" s="5492"/>
      <c r="AB62" s="5492"/>
      <c r="AC62" s="5492"/>
      <c r="AD62" s="5492"/>
      <c r="AE62" s="5492"/>
      <c r="AF62" s="5492"/>
      <c r="AG62" s="5492"/>
      <c r="AH62" s="5492"/>
      <c r="AI62" s="5492"/>
      <c r="AJ62" s="5493"/>
      <c r="AK62" s="1131"/>
      <c r="AL62" s="1125"/>
      <c r="AM62" s="1125"/>
      <c r="AN62" s="537"/>
      <c r="AO62" s="5491"/>
      <c r="AP62" s="5492"/>
      <c r="AQ62" s="5492"/>
      <c r="AR62" s="5492"/>
      <c r="AS62" s="5492"/>
      <c r="AT62" s="5492"/>
      <c r="AU62" s="5492"/>
      <c r="AV62" s="5492"/>
      <c r="AW62" s="5492"/>
      <c r="AX62" s="5492"/>
      <c r="AY62" s="5492"/>
      <c r="AZ62" s="5492"/>
      <c r="BA62" s="5492"/>
      <c r="BB62" s="5492"/>
      <c r="BC62" s="5493"/>
      <c r="BD62" s="1131"/>
      <c r="BE62" s="1125"/>
    </row>
    <row r="63" spans="1:57" ht="12" customHeight="1" thickBot="1" x14ac:dyDescent="0.25">
      <c r="A63" s="1125"/>
      <c r="B63" s="537"/>
      <c r="C63" s="5494"/>
      <c r="D63" s="5495"/>
      <c r="E63" s="5495"/>
      <c r="F63" s="5495"/>
      <c r="G63" s="5495"/>
      <c r="H63" s="5495"/>
      <c r="I63" s="5495"/>
      <c r="J63" s="5495"/>
      <c r="K63" s="5495"/>
      <c r="L63" s="5495"/>
      <c r="M63" s="5495"/>
      <c r="N63" s="5495"/>
      <c r="O63" s="5495"/>
      <c r="P63" s="5495"/>
      <c r="Q63" s="5496"/>
      <c r="R63" s="1131"/>
      <c r="S63" s="1125"/>
      <c r="T63" s="1125"/>
      <c r="U63" s="537"/>
      <c r="V63" s="5494"/>
      <c r="W63" s="5495"/>
      <c r="X63" s="5495"/>
      <c r="Y63" s="5495"/>
      <c r="Z63" s="5495"/>
      <c r="AA63" s="5495"/>
      <c r="AB63" s="5495"/>
      <c r="AC63" s="5495"/>
      <c r="AD63" s="5495"/>
      <c r="AE63" s="5495"/>
      <c r="AF63" s="5495"/>
      <c r="AG63" s="5495"/>
      <c r="AH63" s="5495"/>
      <c r="AI63" s="5495"/>
      <c r="AJ63" s="5496"/>
      <c r="AK63" s="1131"/>
      <c r="AL63" s="1125"/>
      <c r="AM63" s="1125"/>
      <c r="AN63" s="537"/>
      <c r="AO63" s="5494"/>
      <c r="AP63" s="5495"/>
      <c r="AQ63" s="5495"/>
      <c r="AR63" s="5495"/>
      <c r="AS63" s="5495"/>
      <c r="AT63" s="5495"/>
      <c r="AU63" s="5495"/>
      <c r="AV63" s="5495"/>
      <c r="AW63" s="5495"/>
      <c r="AX63" s="5495"/>
      <c r="AY63" s="5495"/>
      <c r="AZ63" s="5495"/>
      <c r="BA63" s="5495"/>
      <c r="BB63" s="5495"/>
      <c r="BC63" s="5496"/>
      <c r="BD63" s="1131"/>
      <c r="BE63" s="1125"/>
    </row>
    <row r="64" spans="1:57" ht="12" customHeight="1" x14ac:dyDescent="0.2">
      <c r="A64" s="1125"/>
      <c r="B64" s="537"/>
      <c r="C64" s="1166"/>
      <c r="D64" s="1166"/>
      <c r="E64" s="1152"/>
      <c r="F64" s="1152"/>
      <c r="G64" s="1152"/>
      <c r="H64" s="1167"/>
      <c r="I64" s="1167"/>
      <c r="J64" s="1167"/>
      <c r="K64" s="1167"/>
      <c r="L64" s="1167"/>
      <c r="M64" s="1167"/>
      <c r="N64" s="1167"/>
      <c r="O64" s="1167"/>
      <c r="P64" s="1167"/>
      <c r="Q64" s="1167"/>
      <c r="R64" s="1131"/>
      <c r="S64" s="1125"/>
      <c r="T64" s="1125"/>
      <c r="U64" s="537"/>
      <c r="V64" s="1166"/>
      <c r="W64" s="1166"/>
      <c r="X64" s="1152"/>
      <c r="Y64" s="1152"/>
      <c r="Z64" s="1152"/>
      <c r="AA64" s="1167"/>
      <c r="AB64" s="1167"/>
      <c r="AC64" s="1167"/>
      <c r="AD64" s="1167"/>
      <c r="AE64" s="1167"/>
      <c r="AF64" s="1167"/>
      <c r="AG64" s="1167"/>
      <c r="AH64" s="1167"/>
      <c r="AI64" s="1167"/>
      <c r="AJ64" s="1167"/>
      <c r="AK64" s="1131"/>
      <c r="AL64" s="1125"/>
      <c r="AM64" s="1125"/>
      <c r="AN64" s="537"/>
      <c r="AO64" s="1166"/>
      <c r="AP64" s="1166"/>
      <c r="AQ64" s="1152"/>
      <c r="AR64" s="1152"/>
      <c r="AS64" s="1152"/>
      <c r="AT64" s="1167"/>
      <c r="AU64" s="1167"/>
      <c r="AV64" s="1167"/>
      <c r="AW64" s="1167"/>
      <c r="AX64" s="1167"/>
      <c r="AY64" s="1167"/>
      <c r="AZ64" s="1167"/>
      <c r="BA64" s="1167"/>
      <c r="BB64" s="1167"/>
      <c r="BC64" s="1167"/>
      <c r="BD64" s="1131"/>
      <c r="BE64" s="1125"/>
    </row>
    <row r="65" spans="1:57" ht="12" customHeight="1" thickBot="1" x14ac:dyDescent="0.25">
      <c r="A65" s="1125"/>
      <c r="B65" s="538"/>
      <c r="C65" s="1168"/>
      <c r="D65" s="1168"/>
      <c r="E65" s="1168"/>
      <c r="F65" s="1168"/>
      <c r="G65" s="1168"/>
      <c r="H65" s="1168"/>
      <c r="I65" s="1168"/>
      <c r="J65" s="1168"/>
      <c r="K65" s="1168"/>
      <c r="L65" s="1168"/>
      <c r="M65" s="1168"/>
      <c r="N65" s="1168"/>
      <c r="O65" s="1168"/>
      <c r="P65" s="1168"/>
      <c r="Q65" s="1168"/>
      <c r="R65" s="1169"/>
      <c r="S65" s="1125"/>
      <c r="T65" s="1125"/>
      <c r="U65" s="538"/>
      <c r="V65" s="1168"/>
      <c r="W65" s="1168"/>
      <c r="X65" s="1168"/>
      <c r="Y65" s="1168"/>
      <c r="Z65" s="1168"/>
      <c r="AA65" s="1168"/>
      <c r="AB65" s="1168"/>
      <c r="AC65" s="1168"/>
      <c r="AD65" s="1168"/>
      <c r="AE65" s="1168"/>
      <c r="AF65" s="1168"/>
      <c r="AG65" s="1168"/>
      <c r="AH65" s="1168"/>
      <c r="AI65" s="1168"/>
      <c r="AJ65" s="1168"/>
      <c r="AK65" s="1169"/>
      <c r="AL65" s="1125"/>
      <c r="AM65" s="1125"/>
      <c r="AN65" s="538"/>
      <c r="AO65" s="1168"/>
      <c r="AP65" s="1168"/>
      <c r="AQ65" s="1168"/>
      <c r="AR65" s="1168"/>
      <c r="AS65" s="1168"/>
      <c r="AT65" s="1168"/>
      <c r="AU65" s="1168"/>
      <c r="AV65" s="1168"/>
      <c r="AW65" s="1168"/>
      <c r="AX65" s="1168"/>
      <c r="AY65" s="1168"/>
      <c r="AZ65" s="1168"/>
      <c r="BA65" s="1168"/>
      <c r="BB65" s="1168"/>
      <c r="BC65" s="1168"/>
      <c r="BD65" s="1169"/>
      <c r="BE65" s="1125"/>
    </row>
    <row r="66" spans="1:57" ht="12" customHeight="1" x14ac:dyDescent="0.2">
      <c r="A66" s="1125"/>
      <c r="B66" s="1125"/>
      <c r="C66" s="1125"/>
      <c r="D66" s="1125"/>
      <c r="E66" s="1125"/>
      <c r="F66" s="1125"/>
      <c r="G66" s="1125"/>
      <c r="H66" s="1125"/>
      <c r="I66" s="1125"/>
      <c r="J66" s="1125"/>
      <c r="K66" s="1125"/>
      <c r="L66" s="1125"/>
      <c r="M66" s="1125"/>
      <c r="N66" s="1125"/>
      <c r="O66" s="1125"/>
      <c r="P66" s="1125"/>
      <c r="Q66" s="1125"/>
      <c r="R66" s="1125"/>
      <c r="S66" s="1125"/>
      <c r="T66" s="1125"/>
      <c r="U66" s="1125"/>
      <c r="V66" s="1125"/>
      <c r="W66" s="1125"/>
      <c r="X66" s="1125"/>
      <c r="Y66" s="1125"/>
      <c r="Z66" s="1125"/>
      <c r="AA66" s="1125"/>
      <c r="AB66" s="1125"/>
      <c r="AC66" s="1125"/>
      <c r="AD66" s="1125"/>
      <c r="AE66" s="1125"/>
      <c r="AF66" s="1125"/>
      <c r="AG66" s="1125"/>
      <c r="AH66" s="1125"/>
      <c r="AI66" s="1125"/>
      <c r="AJ66" s="1125"/>
      <c r="AK66" s="1125"/>
      <c r="AL66" s="1125"/>
      <c r="AM66" s="1125"/>
      <c r="AN66" s="1125"/>
      <c r="AO66" s="1125"/>
      <c r="AP66" s="1125"/>
      <c r="AQ66" s="1125"/>
      <c r="AR66" s="1125"/>
      <c r="AS66" s="1125"/>
      <c r="AT66" s="1125"/>
      <c r="AU66" s="1125"/>
      <c r="AV66" s="1125"/>
      <c r="AW66" s="1125"/>
      <c r="AX66" s="1125"/>
      <c r="AY66" s="1125"/>
      <c r="AZ66" s="1125"/>
      <c r="BA66" s="1125"/>
      <c r="BB66" s="1125"/>
      <c r="BC66" s="1125"/>
      <c r="BD66" s="1125"/>
      <c r="BE66" s="1125"/>
    </row>
    <row r="67" spans="1:57" ht="12" customHeight="1" x14ac:dyDescent="0.2">
      <c r="A67" s="624"/>
      <c r="B67" s="624"/>
      <c r="C67" s="624"/>
      <c r="D67" s="624"/>
      <c r="E67" s="624"/>
      <c r="F67" s="624"/>
      <c r="G67" s="624"/>
      <c r="H67" s="624"/>
      <c r="I67" s="624"/>
      <c r="J67" s="624"/>
      <c r="K67" s="624"/>
      <c r="L67" s="624"/>
      <c r="M67" s="624"/>
      <c r="N67" s="624"/>
      <c r="O67" s="624"/>
      <c r="P67" s="624"/>
      <c r="Q67" s="624"/>
      <c r="R67" s="624"/>
      <c r="S67" s="624"/>
      <c r="T67" s="624"/>
      <c r="U67" s="624"/>
      <c r="V67" s="624"/>
      <c r="Y67" s="663"/>
      <c r="Z67" s="1173"/>
      <c r="AD67" s="1170"/>
      <c r="AE67" s="1170"/>
      <c r="AI67" s="1172"/>
      <c r="AJ67" s="1172"/>
      <c r="AK67" s="1174"/>
      <c r="AL67" s="1174"/>
      <c r="AM67" s="624"/>
      <c r="AN67" s="624"/>
      <c r="AO67" s="624"/>
      <c r="AR67" s="663"/>
      <c r="AS67" s="1173"/>
      <c r="AW67" s="1170"/>
      <c r="AX67" s="1170"/>
      <c r="BB67" s="1172"/>
      <c r="BC67" s="1172"/>
      <c r="BD67" s="1174"/>
      <c r="BE67" s="1174"/>
    </row>
    <row r="68" spans="1:57" ht="12" customHeight="1" x14ac:dyDescent="0.2">
      <c r="A68" s="624"/>
      <c r="B68" s="675"/>
      <c r="C68" s="624"/>
      <c r="D68" s="624"/>
      <c r="E68" s="624"/>
      <c r="F68" s="624"/>
      <c r="G68" s="624"/>
      <c r="H68" s="624"/>
      <c r="I68" s="624"/>
      <c r="J68" s="624"/>
      <c r="K68" s="624"/>
      <c r="L68" s="624"/>
      <c r="M68" s="624"/>
      <c r="N68" s="624"/>
      <c r="O68" s="624"/>
      <c r="P68" s="624"/>
      <c r="Q68" s="624"/>
      <c r="R68" s="624"/>
      <c r="S68" s="624"/>
      <c r="T68" s="624"/>
      <c r="U68" s="624"/>
      <c r="V68" s="624"/>
      <c r="AD68" s="1170"/>
      <c r="AE68" s="1170"/>
      <c r="AI68" s="1172"/>
      <c r="AJ68" s="1172"/>
      <c r="AK68" s="1174"/>
      <c r="AL68" s="1174"/>
      <c r="AM68" s="624"/>
      <c r="AN68" s="624"/>
      <c r="AO68" s="624"/>
      <c r="AW68" s="1170"/>
      <c r="AX68" s="1170"/>
      <c r="BB68" s="1172"/>
      <c r="BC68" s="1172"/>
      <c r="BD68" s="1174"/>
      <c r="BE68" s="1174"/>
    </row>
    <row r="69" spans="1:57" ht="12" customHeight="1" x14ac:dyDescent="0.2">
      <c r="A69" s="624"/>
      <c r="B69" s="675"/>
      <c r="R69" s="624"/>
      <c r="S69" s="624"/>
      <c r="T69" s="624"/>
      <c r="U69" s="624"/>
      <c r="V69" s="624"/>
      <c r="AA69" s="1173"/>
      <c r="AB69" s="1173"/>
      <c r="AC69" s="663"/>
      <c r="AI69" s="663"/>
      <c r="AJ69" s="663"/>
      <c r="AK69" s="663"/>
      <c r="AL69" s="663"/>
      <c r="AM69" s="624"/>
      <c r="AN69" s="624"/>
      <c r="AO69" s="624"/>
      <c r="AT69" s="1173"/>
      <c r="AU69" s="1173"/>
      <c r="AV69" s="663"/>
      <c r="BB69" s="663"/>
      <c r="BC69" s="663"/>
      <c r="BD69" s="663"/>
      <c r="BE69" s="663"/>
    </row>
    <row r="70" spans="1:57" ht="12" customHeight="1" x14ac:dyDescent="0.2">
      <c r="A70" s="624"/>
      <c r="B70" s="675"/>
      <c r="R70" s="624"/>
      <c r="S70" s="624"/>
      <c r="T70" s="624"/>
      <c r="U70" s="624"/>
      <c r="V70" s="624"/>
      <c r="AA70" s="1173"/>
      <c r="AB70" s="1173"/>
      <c r="AC70" s="663"/>
      <c r="AI70" s="663"/>
      <c r="AJ70" s="663"/>
      <c r="AK70" s="663"/>
      <c r="AL70" s="663"/>
      <c r="AM70" s="624"/>
      <c r="AN70" s="624"/>
      <c r="AO70" s="624"/>
      <c r="AT70" s="1173"/>
      <c r="AU70" s="1173"/>
      <c r="AV70" s="663"/>
      <c r="BB70" s="663"/>
      <c r="BC70" s="663"/>
      <c r="BD70" s="663"/>
      <c r="BE70" s="663"/>
    </row>
    <row r="71" spans="1:57" ht="12" customHeight="1" x14ac:dyDescent="0.2">
      <c r="A71" s="624"/>
      <c r="B71" s="675"/>
      <c r="R71" s="624"/>
      <c r="S71" s="624"/>
      <c r="T71" s="624"/>
      <c r="U71" s="624"/>
      <c r="V71" s="624"/>
      <c r="AA71" s="1173"/>
      <c r="AB71" s="1173"/>
      <c r="AC71" s="663"/>
      <c r="AI71" s="663"/>
      <c r="AJ71" s="663"/>
      <c r="AK71" s="663"/>
      <c r="AL71" s="663"/>
      <c r="AM71" s="624"/>
      <c r="AN71" s="624"/>
      <c r="AO71" s="624"/>
      <c r="AT71" s="1173"/>
      <c r="AU71" s="1173"/>
      <c r="AV71" s="663"/>
      <c r="BB71" s="663"/>
      <c r="BC71" s="663"/>
      <c r="BD71" s="663"/>
      <c r="BE71" s="663"/>
    </row>
    <row r="72" spans="1:57" ht="12" customHeight="1" x14ac:dyDescent="0.2">
      <c r="A72" s="624"/>
      <c r="B72" s="675"/>
      <c r="R72" s="624"/>
      <c r="S72" s="624"/>
      <c r="T72" s="624"/>
      <c r="U72" s="624"/>
      <c r="V72" s="624"/>
      <c r="AA72" s="1173"/>
      <c r="AB72" s="1173"/>
      <c r="AC72" s="663"/>
      <c r="AI72" s="663"/>
      <c r="AJ72" s="663"/>
      <c r="AK72" s="663"/>
      <c r="AL72" s="663"/>
      <c r="AM72" s="624"/>
      <c r="AN72" s="624"/>
      <c r="AO72" s="624"/>
      <c r="AT72" s="1173"/>
      <c r="AU72" s="1173"/>
      <c r="AV72" s="663"/>
      <c r="BB72" s="663"/>
      <c r="BC72" s="663"/>
      <c r="BD72" s="663"/>
      <c r="BE72" s="663"/>
    </row>
    <row r="73" spans="1:57" ht="12" customHeight="1" x14ac:dyDescent="0.2">
      <c r="A73" s="624"/>
      <c r="B73" s="675"/>
      <c r="R73" s="624"/>
      <c r="AA73" s="1173"/>
      <c r="AB73" s="1173"/>
      <c r="AC73" s="663"/>
      <c r="AI73" s="663"/>
      <c r="AJ73" s="663"/>
      <c r="AK73" s="663"/>
      <c r="AL73" s="663"/>
      <c r="AT73" s="1173"/>
      <c r="AU73" s="1173"/>
      <c r="AV73" s="663"/>
      <c r="BB73" s="663"/>
      <c r="BC73" s="663"/>
      <c r="BD73" s="663"/>
      <c r="BE73" s="663"/>
    </row>
    <row r="74" spans="1:57" ht="12" customHeight="1" x14ac:dyDescent="0.2">
      <c r="A74" s="624"/>
      <c r="B74" s="675"/>
      <c r="R74" s="624"/>
      <c r="S74" s="624"/>
      <c r="T74" s="624"/>
      <c r="U74" s="624"/>
      <c r="V74" s="624"/>
      <c r="AA74" s="1173"/>
      <c r="AB74" s="1173"/>
      <c r="AC74" s="663"/>
      <c r="AI74" s="663"/>
      <c r="AJ74" s="663"/>
      <c r="AK74" s="663"/>
      <c r="AL74" s="663"/>
      <c r="AM74" s="624"/>
      <c r="AN74" s="624"/>
      <c r="AO74" s="624"/>
      <c r="AT74" s="1173"/>
      <c r="AU74" s="1173"/>
      <c r="AV74" s="663"/>
      <c r="BB74" s="663"/>
      <c r="BC74" s="663"/>
      <c r="BD74" s="663"/>
      <c r="BE74" s="663"/>
    </row>
    <row r="75" spans="1:57" ht="12" customHeight="1" x14ac:dyDescent="0.2">
      <c r="A75" s="624"/>
      <c r="B75" s="675"/>
      <c r="R75" s="624"/>
      <c r="S75" s="624"/>
      <c r="T75" s="624"/>
      <c r="U75" s="624"/>
      <c r="V75" s="624"/>
      <c r="AA75" s="1173"/>
      <c r="AB75" s="1173"/>
      <c r="AC75" s="663"/>
      <c r="AM75" s="624"/>
      <c r="AN75" s="624"/>
      <c r="AO75" s="624"/>
      <c r="AT75" s="1173"/>
      <c r="AU75" s="1173"/>
      <c r="AV75" s="663"/>
    </row>
    <row r="76" spans="1:57" ht="12" customHeight="1" x14ac:dyDescent="0.2">
      <c r="A76" s="624"/>
      <c r="B76" s="675"/>
      <c r="R76" s="624"/>
      <c r="S76" s="624"/>
      <c r="T76" s="624"/>
      <c r="U76" s="624"/>
      <c r="V76" s="624"/>
      <c r="AA76" s="1173"/>
      <c r="AB76" s="1173"/>
      <c r="AC76" s="663"/>
      <c r="AM76" s="624"/>
      <c r="AN76" s="624"/>
      <c r="AO76" s="624"/>
      <c r="AT76" s="1173"/>
      <c r="AU76" s="1173"/>
      <c r="AV76" s="663"/>
    </row>
    <row r="77" spans="1:57" ht="12" customHeight="1" x14ac:dyDescent="0.2">
      <c r="A77" s="624"/>
      <c r="B77" s="624"/>
      <c r="R77" s="624"/>
      <c r="S77" s="624"/>
      <c r="T77" s="624"/>
      <c r="U77" s="624"/>
      <c r="V77" s="624"/>
      <c r="Y77" s="663"/>
      <c r="Z77" s="1173"/>
      <c r="AA77" s="1173"/>
      <c r="AB77" s="1173"/>
      <c r="AC77" s="663"/>
      <c r="AM77" s="624"/>
      <c r="AN77" s="624"/>
      <c r="AO77" s="624"/>
      <c r="AR77" s="663"/>
      <c r="AS77" s="1173"/>
      <c r="AT77" s="1173"/>
      <c r="AU77" s="1173"/>
      <c r="AV77" s="663"/>
    </row>
    <row r="78" spans="1:57" ht="12" customHeight="1" x14ac:dyDescent="0.2">
      <c r="A78" s="624"/>
      <c r="B78" s="624"/>
      <c r="R78" s="624"/>
      <c r="S78" s="624"/>
      <c r="T78" s="624"/>
      <c r="U78" s="624"/>
      <c r="V78" s="624"/>
      <c r="Y78" s="663"/>
      <c r="Z78" s="1173"/>
      <c r="AA78" s="1173"/>
      <c r="AB78" s="1173"/>
      <c r="AC78" s="663"/>
      <c r="AM78" s="624"/>
      <c r="AN78" s="624"/>
      <c r="AO78" s="624"/>
      <c r="AR78" s="663"/>
      <c r="AS78" s="1173"/>
      <c r="AT78" s="1173"/>
      <c r="AU78" s="1173"/>
      <c r="AV78" s="663"/>
    </row>
    <row r="79" spans="1:57" ht="12" customHeight="1" x14ac:dyDescent="0.2">
      <c r="A79" s="624"/>
      <c r="B79" s="624"/>
      <c r="R79" s="624"/>
      <c r="S79" s="624"/>
      <c r="T79" s="624"/>
      <c r="U79" s="624"/>
      <c r="V79" s="624"/>
      <c r="Y79" s="663"/>
      <c r="Z79" s="1173"/>
      <c r="AA79" s="1173"/>
      <c r="AB79" s="1173"/>
      <c r="AC79" s="663"/>
      <c r="AM79" s="624"/>
      <c r="AN79" s="624"/>
      <c r="AO79" s="624"/>
      <c r="AR79" s="663"/>
      <c r="AS79" s="1173"/>
      <c r="AT79" s="1173"/>
      <c r="AU79" s="1173"/>
      <c r="AV79" s="663"/>
    </row>
    <row r="80" spans="1:57" ht="12" customHeight="1" x14ac:dyDescent="0.2">
      <c r="A80" s="624"/>
      <c r="B80" s="624"/>
      <c r="K80" s="624"/>
      <c r="R80" s="624"/>
      <c r="S80" s="624"/>
      <c r="T80" s="624"/>
      <c r="U80" s="624"/>
      <c r="V80" s="624"/>
      <c r="Y80" s="663"/>
      <c r="Z80" s="1173"/>
      <c r="AA80" s="1173"/>
      <c r="AB80" s="1173"/>
      <c r="AC80" s="663"/>
      <c r="AM80" s="624"/>
      <c r="AN80" s="624"/>
      <c r="AO80" s="624"/>
      <c r="AR80" s="663"/>
      <c r="AS80" s="1173"/>
      <c r="AT80" s="1173"/>
      <c r="AU80" s="1173"/>
      <c r="AV80" s="663"/>
    </row>
    <row r="81" spans="1:39" ht="12" customHeight="1" x14ac:dyDescent="0.2">
      <c r="A81" s="624"/>
      <c r="B81" s="624"/>
      <c r="R81" s="624"/>
      <c r="S81" s="624"/>
      <c r="T81" s="624"/>
      <c r="AM81" s="624"/>
    </row>
    <row r="82" spans="1:39" ht="12" customHeight="1" x14ac:dyDescent="0.2">
      <c r="A82" s="624"/>
      <c r="B82" s="624"/>
    </row>
    <row r="83" spans="1:39" ht="12" customHeight="1" x14ac:dyDescent="0.2">
      <c r="A83" s="624"/>
      <c r="B83" s="624"/>
    </row>
    <row r="84" spans="1:39" ht="12" customHeight="1" x14ac:dyDescent="0.2">
      <c r="A84" s="624"/>
      <c r="B84" s="624"/>
    </row>
    <row r="85" spans="1:39" ht="12" customHeight="1" x14ac:dyDescent="0.2">
      <c r="A85" s="624"/>
      <c r="B85" s="624"/>
    </row>
    <row r="86" spans="1:39" ht="12" customHeight="1" x14ac:dyDescent="0.2">
      <c r="A86" s="624"/>
      <c r="B86" s="624"/>
    </row>
    <row r="87" spans="1:39" ht="12" customHeight="1" x14ac:dyDescent="0.2">
      <c r="A87" s="624"/>
      <c r="B87" s="624"/>
    </row>
    <row r="88" spans="1:39" ht="12" customHeight="1" x14ac:dyDescent="0.2">
      <c r="A88" s="624"/>
      <c r="B88" s="624"/>
    </row>
    <row r="89" spans="1:39" ht="12" customHeight="1" x14ac:dyDescent="0.2">
      <c r="A89" s="624"/>
      <c r="B89" s="624"/>
      <c r="D89" s="663"/>
      <c r="E89" s="663"/>
      <c r="F89" s="1176"/>
      <c r="G89" s="1166"/>
      <c r="H89" s="1166"/>
      <c r="I89" s="1177"/>
      <c r="J89" s="1173"/>
      <c r="K89" s="1173"/>
      <c r="L89" s="1173"/>
      <c r="M89" s="663"/>
    </row>
    <row r="90" spans="1:39" ht="12" customHeight="1" x14ac:dyDescent="0.2">
      <c r="A90" s="624"/>
      <c r="B90" s="624"/>
      <c r="D90" s="663"/>
      <c r="E90" s="663"/>
      <c r="F90" s="1176"/>
      <c r="G90" s="1166"/>
      <c r="H90" s="1166"/>
      <c r="I90" s="1177"/>
      <c r="J90" s="1173"/>
      <c r="K90" s="1173"/>
      <c r="L90" s="1173"/>
      <c r="M90" s="663"/>
    </row>
    <row r="91" spans="1:39" ht="12" customHeight="1" x14ac:dyDescent="0.2">
      <c r="A91" s="624"/>
      <c r="B91" s="624"/>
      <c r="D91" s="663"/>
      <c r="E91" s="663"/>
      <c r="F91" s="1176"/>
      <c r="G91" s="1166"/>
      <c r="H91" s="1166"/>
      <c r="I91" s="1177"/>
      <c r="J91" s="1173"/>
      <c r="K91" s="1173"/>
      <c r="L91" s="1173"/>
      <c r="M91" s="663"/>
    </row>
    <row r="92" spans="1:39" ht="12" customHeight="1" x14ac:dyDescent="0.2">
      <c r="A92" s="624"/>
      <c r="B92" s="624"/>
      <c r="D92" s="663"/>
      <c r="E92" s="663"/>
      <c r="F92" s="1176"/>
      <c r="G92" s="1166"/>
      <c r="H92" s="1166"/>
      <c r="I92" s="1177"/>
      <c r="J92" s="1173"/>
      <c r="K92" s="1173"/>
      <c r="L92" s="1173"/>
      <c r="M92" s="663"/>
    </row>
    <row r="93" spans="1:39" ht="12" customHeight="1" x14ac:dyDescent="0.2">
      <c r="A93" s="624"/>
      <c r="B93" s="624"/>
      <c r="D93" s="663"/>
      <c r="E93" s="663"/>
      <c r="F93" s="1176"/>
      <c r="G93" s="1166"/>
      <c r="H93" s="1166"/>
      <c r="I93" s="1177"/>
      <c r="J93" s="1173"/>
      <c r="K93" s="1173"/>
      <c r="L93" s="1173"/>
      <c r="M93" s="663"/>
    </row>
    <row r="94" spans="1:39" ht="12" customHeight="1" x14ac:dyDescent="0.2">
      <c r="A94" s="624"/>
      <c r="B94" s="624"/>
      <c r="D94" s="663"/>
      <c r="E94" s="663"/>
      <c r="F94" s="1176"/>
      <c r="G94" s="1166"/>
      <c r="H94" s="1166"/>
      <c r="I94" s="1177"/>
      <c r="J94" s="1173"/>
      <c r="K94" s="1173"/>
      <c r="L94" s="1173"/>
      <c r="M94" s="663"/>
    </row>
    <row r="95" spans="1:39" ht="12" customHeight="1" x14ac:dyDescent="0.2">
      <c r="A95" s="624"/>
      <c r="B95" s="624"/>
      <c r="D95" s="663"/>
      <c r="E95" s="663"/>
      <c r="F95" s="663"/>
      <c r="G95" s="663"/>
      <c r="H95" s="663"/>
      <c r="I95" s="663"/>
      <c r="J95" s="663"/>
      <c r="K95" s="663"/>
      <c r="L95" s="663"/>
      <c r="M95" s="663"/>
    </row>
    <row r="96" spans="1:39" ht="12" customHeight="1" x14ac:dyDescent="0.2">
      <c r="A96" s="624"/>
      <c r="B96" s="624"/>
      <c r="D96" s="663"/>
      <c r="E96" s="663"/>
      <c r="F96" s="663"/>
      <c r="G96" s="663"/>
      <c r="H96" s="663"/>
      <c r="I96" s="663"/>
      <c r="J96" s="663"/>
      <c r="K96" s="663"/>
      <c r="L96" s="663"/>
      <c r="M96" s="663"/>
    </row>
    <row r="97" spans="1:13" ht="12" customHeight="1" x14ac:dyDescent="0.2">
      <c r="A97" s="624"/>
      <c r="B97" s="624"/>
      <c r="D97" s="663"/>
      <c r="E97" s="663"/>
      <c r="F97" s="663"/>
      <c r="G97" s="663"/>
      <c r="H97" s="663"/>
      <c r="I97" s="663"/>
      <c r="J97" s="663"/>
      <c r="K97" s="663"/>
      <c r="L97" s="663"/>
      <c r="M97" s="663"/>
    </row>
    <row r="98" spans="1:13" ht="12" customHeight="1" x14ac:dyDescent="0.2">
      <c r="A98" s="624"/>
      <c r="B98" s="624"/>
      <c r="D98" s="663"/>
      <c r="E98" s="663"/>
      <c r="F98" s="663"/>
      <c r="G98" s="663"/>
      <c r="H98" s="663"/>
      <c r="I98" s="663"/>
      <c r="J98" s="663"/>
      <c r="K98" s="663"/>
      <c r="L98" s="663"/>
      <c r="M98" s="663"/>
    </row>
    <row r="99" spans="1:13" ht="12" customHeight="1" x14ac:dyDescent="0.2">
      <c r="A99" s="624"/>
      <c r="B99" s="624"/>
    </row>
    <row r="100" spans="1:13" ht="12" customHeight="1" x14ac:dyDescent="0.2">
      <c r="A100" s="624"/>
      <c r="B100" s="624"/>
    </row>
    <row r="101" spans="1:13" ht="12" customHeight="1" x14ac:dyDescent="0.2">
      <c r="A101" s="624"/>
      <c r="B101" s="624"/>
    </row>
    <row r="102" spans="1:13" ht="12" customHeight="1" x14ac:dyDescent="0.2">
      <c r="A102" s="624"/>
      <c r="B102" s="624"/>
    </row>
    <row r="103" spans="1:13" ht="12" customHeight="1" x14ac:dyDescent="0.2">
      <c r="A103" s="624"/>
      <c r="B103" s="624"/>
    </row>
    <row r="104" spans="1:13" ht="12" customHeight="1" x14ac:dyDescent="0.2">
      <c r="A104" s="624"/>
      <c r="B104" s="624"/>
    </row>
    <row r="105" spans="1:13" ht="12" customHeight="1" x14ac:dyDescent="0.2">
      <c r="A105" s="624"/>
      <c r="B105" s="624"/>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1"/>
  <sheetViews>
    <sheetView topLeftCell="A43" zoomScaleNormal="100" zoomScaleSheetLayoutView="40" workbookViewId="0">
      <selection activeCell="E4" sqref="E4:G4"/>
    </sheetView>
  </sheetViews>
  <sheetFormatPr defaultColWidth="5.7109375" defaultRowHeight="12.75" x14ac:dyDescent="0.2"/>
  <cols>
    <col min="1" max="1" width="1.7109375" style="607" customWidth="1"/>
    <col min="2" max="2" width="2.5703125" style="2098" customWidth="1"/>
    <col min="3" max="17" width="5.7109375" style="607"/>
    <col min="18" max="18" width="2.7109375" style="607" customWidth="1"/>
    <col min="19" max="20" width="0.42578125" style="607" customWidth="1"/>
    <col min="21" max="21" width="2.5703125" style="1841" customWidth="1"/>
    <col min="22" max="36" width="5.7109375" style="607"/>
    <col min="37" max="37" width="1.85546875" style="607" customWidth="1"/>
    <col min="38" max="39" width="0.5703125" style="607" customWidth="1"/>
    <col min="40" max="40" width="2.5703125" style="1841" customWidth="1"/>
    <col min="41" max="55" width="5.7109375" style="607"/>
    <col min="56" max="56" width="1.85546875" style="607" customWidth="1"/>
    <col min="57" max="58" width="0.5703125" style="607" customWidth="1"/>
    <col min="59" max="59" width="2.5703125" style="1841" customWidth="1"/>
    <col min="60" max="74" width="5.7109375" style="607"/>
    <col min="75" max="75" width="1.85546875" style="607" customWidth="1"/>
    <col min="76" max="77" width="0.5703125" style="607" customWidth="1"/>
    <col min="78" max="78" width="2.5703125" style="1841" customWidth="1"/>
    <col min="79" max="93" width="5.7109375" style="607"/>
    <col min="94" max="94" width="2.28515625" style="607" customWidth="1"/>
    <col min="95" max="95" width="2.7109375" style="607" customWidth="1"/>
    <col min="96" max="16384" width="5.7109375" style="607"/>
  </cols>
  <sheetData>
    <row r="1" spans="1:95" ht="12" customHeight="1" thickBot="1" x14ac:dyDescent="0.25">
      <c r="A1" s="1125"/>
      <c r="B1" s="2094"/>
      <c r="C1" s="1125"/>
      <c r="D1" s="1125"/>
      <c r="E1" s="1125"/>
      <c r="F1" s="1125"/>
      <c r="G1" s="1125"/>
      <c r="H1" s="1125"/>
      <c r="I1" s="1125"/>
      <c r="J1" s="1125"/>
      <c r="K1" s="1125"/>
      <c r="L1" s="1125"/>
      <c r="M1" s="1125"/>
      <c r="N1" s="1125"/>
      <c r="O1" s="1125"/>
      <c r="P1" s="1125"/>
      <c r="Q1" s="1125"/>
      <c r="R1" s="1125"/>
      <c r="S1" s="1125"/>
      <c r="T1" s="1125"/>
      <c r="U1" s="2094"/>
      <c r="V1" s="1125"/>
      <c r="W1" s="1125"/>
      <c r="X1" s="1125"/>
      <c r="Y1" s="1125"/>
      <c r="Z1" s="1125"/>
      <c r="AA1" s="1125"/>
      <c r="AB1" s="1125"/>
      <c r="AC1" s="1125"/>
      <c r="AD1" s="1125"/>
      <c r="AE1" s="1125"/>
      <c r="AF1" s="1125"/>
      <c r="AG1" s="1125"/>
      <c r="AH1" s="1125"/>
      <c r="AI1" s="1125"/>
      <c r="AJ1" s="1125"/>
      <c r="AK1" s="1125"/>
      <c r="AL1" s="1125"/>
      <c r="AM1" s="1125"/>
      <c r="AN1" s="2094"/>
      <c r="AO1" s="1125"/>
      <c r="AP1" s="1125"/>
      <c r="AQ1" s="1125"/>
      <c r="AR1" s="1125"/>
      <c r="AS1" s="1125"/>
      <c r="AT1" s="1125"/>
      <c r="AU1" s="1125"/>
      <c r="AV1" s="1125"/>
      <c r="AW1" s="1125"/>
      <c r="AX1" s="1125"/>
      <c r="AY1" s="1125"/>
      <c r="AZ1" s="1125"/>
      <c r="BA1" s="1125"/>
      <c r="BB1" s="1125"/>
      <c r="BC1" s="1125"/>
      <c r="BD1" s="1125"/>
      <c r="BE1" s="1125"/>
      <c r="BF1" s="1125"/>
      <c r="BG1" s="2094"/>
      <c r="BH1" s="1125"/>
      <c r="BI1" s="1125"/>
      <c r="BJ1" s="1125"/>
      <c r="BK1" s="1125"/>
      <c r="BL1" s="1125"/>
      <c r="BM1" s="1125"/>
      <c r="BN1" s="1125"/>
      <c r="BO1" s="1125"/>
      <c r="BP1" s="1125"/>
      <c r="BQ1" s="1125"/>
      <c r="BR1" s="1125"/>
      <c r="BS1" s="1125"/>
      <c r="BT1" s="1125"/>
      <c r="BU1" s="1125"/>
      <c r="BV1" s="1125"/>
      <c r="BW1" s="1125"/>
      <c r="BX1" s="1125"/>
      <c r="BY1" s="1125"/>
      <c r="BZ1" s="2094"/>
      <c r="CA1" s="1125"/>
      <c r="CB1" s="1125"/>
      <c r="CC1" s="1125"/>
      <c r="CD1" s="1125"/>
      <c r="CE1" s="1125"/>
      <c r="CF1" s="1125"/>
      <c r="CG1" s="1125"/>
      <c r="CH1" s="1125"/>
      <c r="CI1" s="1125"/>
      <c r="CJ1" s="1125"/>
      <c r="CK1" s="1125"/>
      <c r="CL1" s="1125"/>
      <c r="CM1" s="1125"/>
      <c r="CN1" s="1125"/>
      <c r="CO1" s="1125"/>
      <c r="CP1" s="1125"/>
      <c r="CQ1" s="1125"/>
    </row>
    <row r="2" spans="1:95" ht="12" customHeight="1" thickBot="1" x14ac:dyDescent="0.25">
      <c r="A2" s="1125"/>
      <c r="B2" s="2095"/>
      <c r="C2" s="1127"/>
      <c r="D2" s="1127"/>
      <c r="E2" s="1127"/>
      <c r="F2" s="1127"/>
      <c r="G2" s="1127"/>
      <c r="H2" s="1127"/>
      <c r="I2" s="1127"/>
      <c r="J2" s="1127"/>
      <c r="K2" s="1127"/>
      <c r="L2" s="1127"/>
      <c r="M2" s="1127"/>
      <c r="N2" s="1127"/>
      <c r="O2" s="1127"/>
      <c r="P2" s="1127"/>
      <c r="Q2" s="1127"/>
      <c r="R2" s="1128"/>
      <c r="S2" s="1125"/>
      <c r="T2" s="1125"/>
      <c r="U2" s="2095"/>
      <c r="V2" s="1127"/>
      <c r="W2" s="1127"/>
      <c r="X2" s="1127"/>
      <c r="Y2" s="1127"/>
      <c r="Z2" s="1127"/>
      <c r="AA2" s="1127"/>
      <c r="AB2" s="1127"/>
      <c r="AC2" s="1127"/>
      <c r="AD2" s="1127"/>
      <c r="AE2" s="1127"/>
      <c r="AF2" s="1127"/>
      <c r="AG2" s="1127"/>
      <c r="AH2" s="1127"/>
      <c r="AI2" s="1127"/>
      <c r="AJ2" s="1127"/>
      <c r="AK2" s="1128"/>
      <c r="AL2" s="1125"/>
      <c r="AM2" s="1125"/>
      <c r="AN2" s="2095"/>
      <c r="AO2" s="1127"/>
      <c r="AP2" s="1127"/>
      <c r="AQ2" s="1127"/>
      <c r="AR2" s="1127"/>
      <c r="AS2" s="1127"/>
      <c r="AT2" s="1127"/>
      <c r="AU2" s="1127"/>
      <c r="AV2" s="1127"/>
      <c r="AW2" s="1127"/>
      <c r="AX2" s="1127"/>
      <c r="AY2" s="1127"/>
      <c r="AZ2" s="1127"/>
      <c r="BA2" s="1127"/>
      <c r="BB2" s="1127"/>
      <c r="BC2" s="1127"/>
      <c r="BD2" s="1128"/>
      <c r="BE2" s="1125"/>
      <c r="BF2" s="1125"/>
      <c r="BG2" s="2095"/>
      <c r="BH2" s="1127"/>
      <c r="BI2" s="1127"/>
      <c r="BJ2" s="1127"/>
      <c r="BK2" s="1127"/>
      <c r="BL2" s="1127"/>
      <c r="BM2" s="1127"/>
      <c r="BN2" s="1127"/>
      <c r="BO2" s="1127"/>
      <c r="BP2" s="1127"/>
      <c r="BQ2" s="1127"/>
      <c r="BR2" s="1127"/>
      <c r="BS2" s="1127"/>
      <c r="BT2" s="1127"/>
      <c r="BU2" s="1127"/>
      <c r="BV2" s="1127"/>
      <c r="BW2" s="1128"/>
      <c r="BX2" s="1125"/>
      <c r="BY2" s="1125"/>
      <c r="BZ2" s="2095"/>
      <c r="CA2" s="1127"/>
      <c r="CB2" s="1127"/>
      <c r="CC2" s="1127"/>
      <c r="CD2" s="1127"/>
      <c r="CE2" s="1127"/>
      <c r="CF2" s="1127"/>
      <c r="CG2" s="1127"/>
      <c r="CH2" s="1127"/>
      <c r="CI2" s="1127"/>
      <c r="CJ2" s="1127"/>
      <c r="CK2" s="1127"/>
      <c r="CL2" s="1127"/>
      <c r="CM2" s="1127"/>
      <c r="CN2" s="1127"/>
      <c r="CO2" s="1127"/>
      <c r="CP2" s="1128"/>
      <c r="CQ2" s="1125"/>
    </row>
    <row r="3" spans="1:95" ht="12" customHeight="1" thickBot="1" x14ac:dyDescent="0.25">
      <c r="A3" s="1125"/>
      <c r="B3" s="2096"/>
      <c r="C3" s="2085"/>
      <c r="D3" s="2086"/>
      <c r="E3" s="2086"/>
      <c r="F3" s="2086"/>
      <c r="G3" s="2086"/>
      <c r="H3" s="2086"/>
      <c r="I3" s="2086"/>
      <c r="J3" s="2086"/>
      <c r="K3" s="2086"/>
      <c r="L3" s="2086"/>
      <c r="M3" s="2086"/>
      <c r="N3" s="2086"/>
      <c r="O3" s="2086"/>
      <c r="P3" s="2086"/>
      <c r="Q3" s="1130"/>
      <c r="R3" s="1131"/>
      <c r="S3" s="1125"/>
      <c r="T3" s="1125"/>
      <c r="U3" s="2096"/>
      <c r="V3" s="2085"/>
      <c r="W3" s="2086"/>
      <c r="X3" s="2086"/>
      <c r="Y3" s="2086"/>
      <c r="Z3" s="2086"/>
      <c r="AA3" s="2086"/>
      <c r="AB3" s="2086"/>
      <c r="AC3" s="2086"/>
      <c r="AD3" s="2086"/>
      <c r="AE3" s="2086"/>
      <c r="AF3" s="2086"/>
      <c r="AG3" s="2086"/>
      <c r="AH3" s="2086"/>
      <c r="AI3" s="2086"/>
      <c r="AJ3" s="1130"/>
      <c r="AK3" s="1131"/>
      <c r="AL3" s="1125"/>
      <c r="AM3" s="1125"/>
      <c r="AN3" s="2096"/>
      <c r="AO3" s="2085"/>
      <c r="AP3" s="2086"/>
      <c r="AQ3" s="2086"/>
      <c r="AR3" s="2086"/>
      <c r="AS3" s="2086"/>
      <c r="AT3" s="2086"/>
      <c r="AU3" s="2086"/>
      <c r="AV3" s="2086"/>
      <c r="AW3" s="2086"/>
      <c r="AX3" s="2086"/>
      <c r="AY3" s="2086"/>
      <c r="AZ3" s="2086"/>
      <c r="BA3" s="2086"/>
      <c r="BB3" s="2086"/>
      <c r="BC3" s="1130"/>
      <c r="BD3" s="1131"/>
      <c r="BE3" s="1125"/>
      <c r="BF3" s="1125"/>
      <c r="BG3" s="2096"/>
      <c r="BH3" s="2085"/>
      <c r="BI3" s="2086"/>
      <c r="BJ3" s="2086"/>
      <c r="BK3" s="2086"/>
      <c r="BL3" s="2086"/>
      <c r="BM3" s="2086"/>
      <c r="BN3" s="2086"/>
      <c r="BO3" s="2086"/>
      <c r="BP3" s="2086"/>
      <c r="BQ3" s="2086"/>
      <c r="BR3" s="2086"/>
      <c r="BS3" s="2086"/>
      <c r="BT3" s="2086"/>
      <c r="BU3" s="2086"/>
      <c r="BV3" s="1130"/>
      <c r="BW3" s="1131"/>
      <c r="BX3" s="1125"/>
      <c r="BY3" s="1125"/>
      <c r="BZ3" s="2096"/>
      <c r="CA3" s="2085"/>
      <c r="CB3" s="2086"/>
      <c r="CC3" s="2086"/>
      <c r="CD3" s="2086"/>
      <c r="CE3" s="2086"/>
      <c r="CF3" s="2086"/>
      <c r="CG3" s="2086"/>
      <c r="CH3" s="2086"/>
      <c r="CI3" s="2086"/>
      <c r="CJ3" s="2086"/>
      <c r="CK3" s="2086"/>
      <c r="CL3" s="2086"/>
      <c r="CM3" s="2086"/>
      <c r="CN3" s="2086"/>
      <c r="CO3" s="1130"/>
      <c r="CP3" s="1131"/>
      <c r="CQ3" s="1125"/>
    </row>
    <row r="4" spans="1:95" s="2105" customFormat="1" ht="12" customHeight="1" thickBot="1" x14ac:dyDescent="0.25">
      <c r="A4" s="2099"/>
      <c r="B4" s="2104"/>
      <c r="C4" s="2100"/>
      <c r="D4" s="2116" t="s">
        <v>8628</v>
      </c>
      <c r="E4" s="5500" t="s">
        <v>2019</v>
      </c>
      <c r="F4" s="5500"/>
      <c r="G4" s="5500"/>
      <c r="H4" s="5506" t="s">
        <v>8629</v>
      </c>
      <c r="I4" s="5507"/>
      <c r="J4" s="5500"/>
      <c r="K4" s="5500"/>
      <c r="L4" s="5501"/>
      <c r="M4" s="2101"/>
      <c r="N4" s="2101"/>
      <c r="O4" s="2114" t="s">
        <v>8627</v>
      </c>
      <c r="P4" s="2115" t="str">
        <f>B8&amp;"-"&amp;B108</f>
        <v>2-20</v>
      </c>
      <c r="Q4" s="2102"/>
      <c r="R4" s="2103"/>
      <c r="S4" s="2099"/>
      <c r="T4" s="2099"/>
      <c r="U4" s="2104"/>
      <c r="V4" s="2100"/>
      <c r="W4" s="2118" t="s">
        <v>8628</v>
      </c>
      <c r="X4" s="5504" t="str">
        <f>IF($E$4="","",$E$4)</f>
        <v>Luz</v>
      </c>
      <c r="Y4" s="5504"/>
      <c r="Z4" s="5504"/>
      <c r="AA4" s="5502" t="s">
        <v>8629</v>
      </c>
      <c r="AB4" s="5503"/>
      <c r="AC4" s="5504" t="str">
        <f>IF($J$4="","",$J$4)</f>
        <v/>
      </c>
      <c r="AD4" s="5504"/>
      <c r="AE4" s="5505"/>
      <c r="AF4" s="2101"/>
      <c r="AG4" s="2101"/>
      <c r="AH4" s="2114" t="s">
        <v>8627</v>
      </c>
      <c r="AI4" s="2115" t="str">
        <f>U8&amp;"-"&amp;U108</f>
        <v>22-40</v>
      </c>
      <c r="AJ4" s="2102"/>
      <c r="AK4" s="2103"/>
      <c r="AL4" s="2099"/>
      <c r="AM4" s="2099"/>
      <c r="AN4" s="2104"/>
      <c r="AO4" s="2100"/>
      <c r="AP4" s="2118" t="s">
        <v>8628</v>
      </c>
      <c r="AQ4" s="5504" t="str">
        <f>IF($E$4="","",$E$4)</f>
        <v>Luz</v>
      </c>
      <c r="AR4" s="5504"/>
      <c r="AS4" s="5504"/>
      <c r="AT4" s="5502" t="s">
        <v>8629</v>
      </c>
      <c r="AU4" s="5503"/>
      <c r="AV4" s="5504" t="str">
        <f>IF($J$4="","",$J$4)</f>
        <v/>
      </c>
      <c r="AW4" s="5504"/>
      <c r="AX4" s="5505"/>
      <c r="AY4" s="2101"/>
      <c r="AZ4" s="2101"/>
      <c r="BA4" s="2114" t="s">
        <v>8627</v>
      </c>
      <c r="BB4" s="2115" t="str">
        <f>AN8&amp;"-"&amp;AN108</f>
        <v>42-60</v>
      </c>
      <c r="BC4" s="2102"/>
      <c r="BD4" s="2103"/>
      <c r="BE4" s="2099"/>
      <c r="BF4" s="2099"/>
      <c r="BG4" s="2104"/>
      <c r="BH4" s="2100"/>
      <c r="BI4" s="2118" t="s">
        <v>8628</v>
      </c>
      <c r="BJ4" s="5504" t="str">
        <f>IF($E$4="","",$E$4)</f>
        <v>Luz</v>
      </c>
      <c r="BK4" s="5504"/>
      <c r="BL4" s="5504"/>
      <c r="BM4" s="5502" t="s">
        <v>8629</v>
      </c>
      <c r="BN4" s="5503"/>
      <c r="BO4" s="5504" t="str">
        <f>IF($J$4="","",$J$4)</f>
        <v/>
      </c>
      <c r="BP4" s="5504"/>
      <c r="BQ4" s="5505"/>
      <c r="BR4" s="2101"/>
      <c r="BS4" s="2101"/>
      <c r="BT4" s="2114" t="s">
        <v>8627</v>
      </c>
      <c r="BU4" s="2115" t="str">
        <f>BG8&amp;"-"&amp;BG108</f>
        <v>62-80</v>
      </c>
      <c r="BV4" s="2102"/>
      <c r="BW4" s="2103"/>
      <c r="BX4" s="2099"/>
      <c r="BY4" s="2099"/>
      <c r="BZ4" s="2104"/>
      <c r="CA4" s="2100"/>
      <c r="CB4" s="2118" t="s">
        <v>8628</v>
      </c>
      <c r="CC4" s="5504" t="str">
        <f>IF($E$4="","",$E$4)</f>
        <v>Luz</v>
      </c>
      <c r="CD4" s="5504"/>
      <c r="CE4" s="5504"/>
      <c r="CF4" s="5502" t="s">
        <v>8629</v>
      </c>
      <c r="CG4" s="5503"/>
      <c r="CH4" s="5504" t="str">
        <f>IF($J$4="","",$J$4)</f>
        <v/>
      </c>
      <c r="CI4" s="5504"/>
      <c r="CJ4" s="5505"/>
      <c r="CK4" s="2101"/>
      <c r="CL4" s="2101"/>
      <c r="CM4" s="2114" t="s">
        <v>8627</v>
      </c>
      <c r="CN4" s="2119" t="str">
        <f>BZ8&amp;"-"&amp;BZ108</f>
        <v>82-100</v>
      </c>
      <c r="CO4" s="2102"/>
      <c r="CP4" s="2103"/>
      <c r="CQ4" s="2099"/>
    </row>
    <row r="5" spans="1:95" ht="12" customHeight="1" thickBot="1" x14ac:dyDescent="0.25">
      <c r="A5" s="1125"/>
      <c r="B5" s="2096"/>
      <c r="C5" s="2088"/>
      <c r="D5" s="2089"/>
      <c r="E5" s="2089"/>
      <c r="F5" s="2089"/>
      <c r="G5" s="2089"/>
      <c r="H5" s="2089"/>
      <c r="I5" s="2089"/>
      <c r="J5" s="2089"/>
      <c r="K5" s="2089"/>
      <c r="L5" s="2089"/>
      <c r="M5" s="2089"/>
      <c r="N5" s="2089"/>
      <c r="O5" s="2089"/>
      <c r="P5" s="2089"/>
      <c r="Q5" s="1144"/>
      <c r="R5" s="1131"/>
      <c r="S5" s="1125"/>
      <c r="T5" s="1125"/>
      <c r="U5" s="2096"/>
      <c r="V5" s="2088"/>
      <c r="W5" s="2089"/>
      <c r="X5" s="2089"/>
      <c r="Y5" s="2089"/>
      <c r="Z5" s="2089"/>
      <c r="AA5" s="2089"/>
      <c r="AB5" s="2089"/>
      <c r="AC5" s="2089"/>
      <c r="AD5" s="2089"/>
      <c r="AE5" s="2089"/>
      <c r="AF5" s="2089"/>
      <c r="AG5" s="2089"/>
      <c r="AH5" s="2089"/>
      <c r="AI5" s="2089"/>
      <c r="AJ5" s="1144"/>
      <c r="AK5" s="1131"/>
      <c r="AL5" s="1125"/>
      <c r="AM5" s="1125"/>
      <c r="AN5" s="2096"/>
      <c r="AO5" s="2088"/>
      <c r="AP5" s="2089"/>
      <c r="AQ5" s="2089"/>
      <c r="AR5" s="2089"/>
      <c r="AS5" s="2089"/>
      <c r="AT5" s="2089"/>
      <c r="AU5" s="2089"/>
      <c r="AV5" s="2089"/>
      <c r="AW5" s="2089"/>
      <c r="AX5" s="2089"/>
      <c r="AY5" s="2089"/>
      <c r="AZ5" s="2089"/>
      <c r="BA5" s="2089"/>
      <c r="BB5" s="2089"/>
      <c r="BC5" s="1144"/>
      <c r="BD5" s="1131"/>
      <c r="BE5" s="1125"/>
      <c r="BF5" s="1125"/>
      <c r="BG5" s="2096"/>
      <c r="BH5" s="2088"/>
      <c r="BI5" s="2089"/>
      <c r="BJ5" s="2089"/>
      <c r="BK5" s="2089"/>
      <c r="BL5" s="2089"/>
      <c r="BM5" s="2089"/>
      <c r="BN5" s="2089"/>
      <c r="BO5" s="2089"/>
      <c r="BP5" s="2089"/>
      <c r="BQ5" s="2089"/>
      <c r="BR5" s="2089"/>
      <c r="BS5" s="2089"/>
      <c r="BT5" s="2089"/>
      <c r="BU5" s="2089"/>
      <c r="BV5" s="1144"/>
      <c r="BW5" s="1131"/>
      <c r="BX5" s="1125"/>
      <c r="BY5" s="1125"/>
      <c r="BZ5" s="2096"/>
      <c r="CA5" s="2088"/>
      <c r="CB5" s="2089"/>
      <c r="CC5" s="2089"/>
      <c r="CD5" s="2089"/>
      <c r="CE5" s="2089"/>
      <c r="CF5" s="2089"/>
      <c r="CG5" s="2089"/>
      <c r="CH5" s="2089"/>
      <c r="CI5" s="2089"/>
      <c r="CJ5" s="2089"/>
      <c r="CK5" s="2089"/>
      <c r="CL5" s="2089"/>
      <c r="CM5" s="2089"/>
      <c r="CN5" s="2089"/>
      <c r="CO5" s="1144"/>
      <c r="CP5" s="1131"/>
      <c r="CQ5" s="1125"/>
    </row>
    <row r="6" spans="1:95" ht="12" customHeight="1" x14ac:dyDescent="0.2">
      <c r="A6" s="1125"/>
      <c r="B6" s="2096"/>
      <c r="D6" s="2117"/>
      <c r="R6" s="1131"/>
      <c r="S6" s="1125"/>
      <c r="T6" s="1125"/>
      <c r="U6" s="2096"/>
      <c r="V6" s="2112"/>
      <c r="W6" s="2112"/>
      <c r="X6" s="2112"/>
      <c r="Y6" s="2112"/>
      <c r="Z6" s="2112"/>
      <c r="AA6" s="2112"/>
      <c r="AC6" s="2112"/>
      <c r="AD6" s="2112"/>
      <c r="AE6" s="2112"/>
      <c r="AF6" s="2112"/>
      <c r="AG6" s="2112"/>
      <c r="AH6" s="2112"/>
      <c r="AI6" s="2112"/>
      <c r="AK6" s="1131"/>
      <c r="AL6" s="1125"/>
      <c r="AM6" s="1125"/>
      <c r="AN6" s="2096"/>
      <c r="AO6" s="2112"/>
      <c r="AP6" s="2112"/>
      <c r="AQ6" s="2112"/>
      <c r="AR6" s="2112"/>
      <c r="AS6" s="2112"/>
      <c r="AT6" s="2112"/>
      <c r="AV6" s="2112"/>
      <c r="AW6" s="2112"/>
      <c r="AX6" s="2112"/>
      <c r="AY6" s="2112"/>
      <c r="AZ6" s="2112"/>
      <c r="BA6" s="2112"/>
      <c r="BB6" s="2112"/>
      <c r="BD6" s="1131"/>
      <c r="BE6" s="1125"/>
      <c r="BF6" s="1125"/>
      <c r="BG6" s="2096"/>
      <c r="BH6" s="2112"/>
      <c r="BI6" s="2112"/>
      <c r="BJ6" s="2112"/>
      <c r="BK6" s="2112"/>
      <c r="BL6" s="2112"/>
      <c r="BM6" s="2112"/>
      <c r="BO6" s="2112"/>
      <c r="BP6" s="2112"/>
      <c r="BQ6" s="2112"/>
      <c r="BR6" s="2112"/>
      <c r="BS6" s="2112"/>
      <c r="BT6" s="2112"/>
      <c r="BU6" s="2112"/>
      <c r="BW6" s="1131"/>
      <c r="BX6" s="1125"/>
      <c r="BY6" s="1125"/>
      <c r="BZ6" s="2096"/>
      <c r="CP6" s="1131"/>
      <c r="CQ6" s="1125"/>
    </row>
    <row r="7" spans="1:95" ht="12" customHeight="1" thickBot="1" x14ac:dyDescent="0.25">
      <c r="A7" s="1125"/>
      <c r="B7" s="2113"/>
      <c r="C7" s="5499" t="str">
        <f>B8&amp;"-"&amp;B52</f>
        <v>2-10</v>
      </c>
      <c r="D7" s="5499"/>
      <c r="E7" s="5499"/>
      <c r="F7" s="5499"/>
      <c r="G7" s="5499"/>
      <c r="H7" s="5499"/>
      <c r="I7" s="5499"/>
      <c r="J7" s="5499"/>
      <c r="K7" s="5499"/>
      <c r="L7" s="5499"/>
      <c r="M7" s="5499"/>
      <c r="N7" s="5499"/>
      <c r="O7" s="5499"/>
      <c r="P7" s="5499"/>
      <c r="Q7" s="5499"/>
      <c r="R7" s="2108"/>
      <c r="S7" s="1125"/>
      <c r="T7" s="1125"/>
      <c r="U7" s="2113"/>
      <c r="V7" s="5499" t="str">
        <f>U8&amp;"-"&amp;U52</f>
        <v>22-30</v>
      </c>
      <c r="W7" s="5499"/>
      <c r="X7" s="5499"/>
      <c r="Y7" s="5499"/>
      <c r="Z7" s="5499"/>
      <c r="AA7" s="5499"/>
      <c r="AB7" s="5499"/>
      <c r="AC7" s="5499"/>
      <c r="AD7" s="5499"/>
      <c r="AE7" s="5499"/>
      <c r="AF7" s="5499"/>
      <c r="AG7" s="5499"/>
      <c r="AH7" s="5499"/>
      <c r="AI7" s="5499"/>
      <c r="AJ7" s="5499"/>
      <c r="AK7" s="2108"/>
      <c r="AL7" s="1125"/>
      <c r="AM7" s="2111"/>
      <c r="AN7" s="2107"/>
      <c r="AO7" s="5499" t="str">
        <f>AN8&amp;"-"&amp;AN52</f>
        <v>42-50</v>
      </c>
      <c r="AP7" s="5499"/>
      <c r="AQ7" s="5499"/>
      <c r="AR7" s="5499"/>
      <c r="AS7" s="5499"/>
      <c r="AT7" s="5499"/>
      <c r="AU7" s="5499"/>
      <c r="AV7" s="5499"/>
      <c r="AW7" s="5499"/>
      <c r="AX7" s="5499"/>
      <c r="AY7" s="5499"/>
      <c r="AZ7" s="5499"/>
      <c r="BA7" s="5499"/>
      <c r="BB7" s="5499"/>
      <c r="BC7" s="5499"/>
      <c r="BD7" s="2108"/>
      <c r="BE7" s="1125"/>
      <c r="BF7" s="1125"/>
      <c r="BG7" s="2107"/>
      <c r="BH7" s="5499" t="str">
        <f>BG8&amp;"-"&amp;BG52</f>
        <v>62-70</v>
      </c>
      <c r="BI7" s="5499"/>
      <c r="BJ7" s="5499"/>
      <c r="BK7" s="5499"/>
      <c r="BL7" s="5499"/>
      <c r="BM7" s="5499"/>
      <c r="BN7" s="5499"/>
      <c r="BO7" s="5499"/>
      <c r="BP7" s="5499"/>
      <c r="BQ7" s="5499"/>
      <c r="BR7" s="5499"/>
      <c r="BS7" s="5499"/>
      <c r="BT7" s="5499"/>
      <c r="BU7" s="5499"/>
      <c r="BV7" s="5499"/>
      <c r="BW7" s="2108"/>
      <c r="BX7" s="1125"/>
      <c r="BY7" s="1125"/>
      <c r="BZ7" s="2107"/>
      <c r="CA7" s="5499" t="str">
        <f>BZ8&amp;"-"&amp;BZ52</f>
        <v>82-90</v>
      </c>
      <c r="CB7" s="5499"/>
      <c r="CC7" s="5499"/>
      <c r="CD7" s="5499"/>
      <c r="CE7" s="5499"/>
      <c r="CF7" s="5499"/>
      <c r="CG7" s="5499"/>
      <c r="CH7" s="5499"/>
      <c r="CI7" s="5499"/>
      <c r="CJ7" s="5499"/>
      <c r="CK7" s="5499"/>
      <c r="CL7" s="5499"/>
      <c r="CM7" s="5499"/>
      <c r="CN7" s="5499"/>
      <c r="CO7" s="5499"/>
      <c r="CP7" s="2108"/>
      <c r="CQ7" s="1125"/>
    </row>
    <row r="8" spans="1:95" ht="12" customHeight="1" x14ac:dyDescent="0.2">
      <c r="A8" s="1125"/>
      <c r="B8" s="2096">
        <v>2</v>
      </c>
      <c r="C8" s="5497"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498"/>
      <c r="E8" s="5498"/>
      <c r="F8" s="5498"/>
      <c r="G8" s="5498"/>
      <c r="H8" s="1145" t="s">
        <v>1627</v>
      </c>
      <c r="I8" s="1146">
        <f>B8</f>
        <v>2</v>
      </c>
      <c r="J8" s="5463" t="s">
        <v>7687</v>
      </c>
      <c r="K8" s="5463"/>
      <c r="L8" s="5463"/>
      <c r="M8" s="5464" t="str">
        <f>IF(C8=0,"",VLOOKUP(C8,'Tablas Magia'!$D$6:$Z$680,2,FALSE))</f>
        <v>Luz</v>
      </c>
      <c r="N8" s="5464"/>
      <c r="O8" s="5464"/>
      <c r="P8" s="5464"/>
      <c r="Q8" s="5465"/>
      <c r="R8" s="1131"/>
      <c r="S8" s="1125"/>
      <c r="T8" s="1125"/>
      <c r="U8" s="2096">
        <f>B8+20</f>
        <v>22</v>
      </c>
      <c r="V8" s="5497"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498"/>
      <c r="X8" s="5498"/>
      <c r="Y8" s="5498"/>
      <c r="Z8" s="5498"/>
      <c r="AA8" s="1145" t="s">
        <v>1627</v>
      </c>
      <c r="AB8" s="1146">
        <f>U8</f>
        <v>22</v>
      </c>
      <c r="AC8" s="5463" t="s">
        <v>7687</v>
      </c>
      <c r="AD8" s="5463"/>
      <c r="AE8" s="5463"/>
      <c r="AF8" s="5464" t="str">
        <f>IF(V8=0,"",VLOOKUP(V8,'Tablas Magia'!$D$6:$Z$680,2,FALSE))</f>
        <v>Luz</v>
      </c>
      <c r="AG8" s="5464"/>
      <c r="AH8" s="5464"/>
      <c r="AI8" s="5464"/>
      <c r="AJ8" s="5465"/>
      <c r="AK8" s="1131"/>
      <c r="AL8" s="1125"/>
      <c r="AM8" s="1125"/>
      <c r="AN8" s="2110">
        <f>U8+20</f>
        <v>42</v>
      </c>
      <c r="AO8" s="5497"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498"/>
      <c r="AQ8" s="5498"/>
      <c r="AR8" s="5498"/>
      <c r="AS8" s="5498"/>
      <c r="AT8" s="1145" t="s">
        <v>1627</v>
      </c>
      <c r="AU8" s="1146">
        <f>AN8</f>
        <v>42</v>
      </c>
      <c r="AV8" s="5463" t="s">
        <v>7687</v>
      </c>
      <c r="AW8" s="5463"/>
      <c r="AX8" s="5463"/>
      <c r="AY8" s="5464" t="str">
        <f>IF(AO8=0,"",VLOOKUP(AO8,'Tablas Magia'!$D$6:$Z$680,2,FALSE))</f>
        <v>Luz</v>
      </c>
      <c r="AZ8" s="5464"/>
      <c r="BA8" s="5464"/>
      <c r="BB8" s="5464"/>
      <c r="BC8" s="5465"/>
      <c r="BD8" s="1131"/>
      <c r="BE8" s="1125"/>
      <c r="BF8" s="1125"/>
      <c r="BG8" s="2110">
        <f>AN8+20</f>
        <v>62</v>
      </c>
      <c r="BH8" s="5497"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498"/>
      <c r="BJ8" s="5498"/>
      <c r="BK8" s="5498"/>
      <c r="BL8" s="5498"/>
      <c r="BM8" s="1145" t="s">
        <v>1627</v>
      </c>
      <c r="BN8" s="1146">
        <f>BG8</f>
        <v>62</v>
      </c>
      <c r="BO8" s="5463" t="s">
        <v>7687</v>
      </c>
      <c r="BP8" s="5463"/>
      <c r="BQ8" s="5463"/>
      <c r="BR8" s="5464" t="str">
        <f>IF(BH8=0,"",VLOOKUP(BH8,'Tablas Magia'!$D$6:$Z$680,2,FALSE))</f>
        <v>Luz</v>
      </c>
      <c r="BS8" s="5464"/>
      <c r="BT8" s="5464"/>
      <c r="BU8" s="5464"/>
      <c r="BV8" s="5465"/>
      <c r="BW8" s="1131"/>
      <c r="BX8" s="1125"/>
      <c r="BY8" s="1125"/>
      <c r="BZ8" s="2110">
        <f>BG8+20</f>
        <v>82</v>
      </c>
      <c r="CA8" s="5497"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498"/>
      <c r="CC8" s="5498"/>
      <c r="CD8" s="5498"/>
      <c r="CE8" s="5498"/>
      <c r="CF8" s="1145" t="s">
        <v>1627</v>
      </c>
      <c r="CG8" s="1146">
        <f>BZ8</f>
        <v>82</v>
      </c>
      <c r="CH8" s="5463" t="s">
        <v>7687</v>
      </c>
      <c r="CI8" s="5463"/>
      <c r="CJ8" s="5463"/>
      <c r="CK8" s="5464" t="str">
        <f>IF(CA8=0,"",VLOOKUP(CA8,'Tablas Magia'!$D$6:$Z$680,2,FALSE))</f>
        <v>Luz</v>
      </c>
      <c r="CL8" s="5464"/>
      <c r="CM8" s="5464"/>
      <c r="CN8" s="5464"/>
      <c r="CO8" s="5465"/>
      <c r="CP8" s="1131"/>
      <c r="CQ8" s="1125"/>
    </row>
    <row r="9" spans="1:95" ht="12" customHeight="1" x14ac:dyDescent="0.2">
      <c r="A9" s="1125"/>
      <c r="B9" s="2096"/>
      <c r="C9" s="5481" t="s">
        <v>7688</v>
      </c>
      <c r="D9" s="5482"/>
      <c r="E9" s="1147" t="s">
        <v>7689</v>
      </c>
      <c r="F9" s="1147" t="s">
        <v>1820</v>
      </c>
      <c r="G9" s="1147" t="s">
        <v>3334</v>
      </c>
      <c r="H9" s="1148" t="s">
        <v>2165</v>
      </c>
      <c r="I9" s="5478" t="str">
        <f>IF(C8=0,"",VLOOKUP(C8,'Tablas Magia'!$D$6:$Z$680,5,FALSE))</f>
        <v>Efecto</v>
      </c>
      <c r="J9" s="5478"/>
      <c r="K9" s="5479" t="s">
        <v>7690</v>
      </c>
      <c r="L9" s="5479"/>
      <c r="M9" s="5478" t="str">
        <f>IF(C8=0,"",VLOOKUP(C8,'Tablas Magia'!$D$6:$Z$680,6,FALSE))</f>
        <v>Activa</v>
      </c>
      <c r="N9" s="5478"/>
      <c r="O9" s="5480" t="s">
        <v>7691</v>
      </c>
      <c r="P9" s="5480"/>
      <c r="Q9" s="1149" t="str">
        <f>IF(C8=0,"",VLOOKUP(C8,'Tablas Magia'!$D$6:$Z$680,4,FALSE))</f>
        <v>Si</v>
      </c>
      <c r="R9" s="1131"/>
      <c r="S9" s="1125"/>
      <c r="T9" s="1125"/>
      <c r="U9" s="2096"/>
      <c r="V9" s="5481" t="s">
        <v>7688</v>
      </c>
      <c r="W9" s="5482"/>
      <c r="X9" s="1147" t="s">
        <v>7689</v>
      </c>
      <c r="Y9" s="1147" t="s">
        <v>1820</v>
      </c>
      <c r="Z9" s="1147" t="s">
        <v>3334</v>
      </c>
      <c r="AA9" s="1148" t="s">
        <v>2165</v>
      </c>
      <c r="AB9" s="5478" t="str">
        <f>IF(V8=0,"",VLOOKUP(V8,'Tablas Magia'!$D$6:$Z$680,5,FALSE))</f>
        <v>Ataque</v>
      </c>
      <c r="AC9" s="5478"/>
      <c r="AD9" s="5479" t="s">
        <v>7690</v>
      </c>
      <c r="AE9" s="5479"/>
      <c r="AF9" s="5478" t="str">
        <f>IF(V8=0,"",VLOOKUP(V8,'Tablas Magia'!$D$6:$Z$680,6,FALSE))</f>
        <v>Activa</v>
      </c>
      <c r="AG9" s="5478"/>
      <c r="AH9" s="5480" t="s">
        <v>7691</v>
      </c>
      <c r="AI9" s="5480"/>
      <c r="AJ9" s="1149" t="str">
        <f>IF(V8=0,"",VLOOKUP(V8,'Tablas Magia'!$D$6:$Z$680,4,FALSE))</f>
        <v>No</v>
      </c>
      <c r="AK9" s="1131"/>
      <c r="AL9" s="1125"/>
      <c r="AM9" s="1125"/>
      <c r="AN9" s="2110"/>
      <c r="AO9" s="5481" t="s">
        <v>7688</v>
      </c>
      <c r="AP9" s="5482"/>
      <c r="AQ9" s="1147" t="s">
        <v>7689</v>
      </c>
      <c r="AR9" s="1147" t="s">
        <v>1820</v>
      </c>
      <c r="AS9" s="1147" t="s">
        <v>3334</v>
      </c>
      <c r="AT9" s="1148" t="s">
        <v>2165</v>
      </c>
      <c r="AU9" s="5478" t="str">
        <f>IF(AO8=0,"",VLOOKUP(AO8,'Tablas Magia'!$D$6:$Z$680,5,FALSE))</f>
        <v>Efecto</v>
      </c>
      <c r="AV9" s="5478"/>
      <c r="AW9" s="5479" t="s">
        <v>7690</v>
      </c>
      <c r="AX9" s="5479"/>
      <c r="AY9" s="5478" t="str">
        <f>IF(AO8=0,"",VLOOKUP(AO8,'Tablas Magia'!$D$6:$Z$680,6,FALSE))</f>
        <v>Activa</v>
      </c>
      <c r="AZ9" s="5478"/>
      <c r="BA9" s="5480" t="s">
        <v>7691</v>
      </c>
      <c r="BB9" s="5480"/>
      <c r="BC9" s="1149" t="str">
        <f>IF(AO8=0,"",VLOOKUP(AO8,'Tablas Magia'!$D$6:$Z$680,4,FALSE))</f>
        <v>No</v>
      </c>
      <c r="BD9" s="1131"/>
      <c r="BE9" s="1125"/>
      <c r="BF9" s="1125"/>
      <c r="BG9" s="2110"/>
      <c r="BH9" s="5481" t="s">
        <v>7688</v>
      </c>
      <c r="BI9" s="5482"/>
      <c r="BJ9" s="1147" t="s">
        <v>7689</v>
      </c>
      <c r="BK9" s="1147" t="s">
        <v>1820</v>
      </c>
      <c r="BL9" s="1147" t="s">
        <v>3334</v>
      </c>
      <c r="BM9" s="1148" t="s">
        <v>2165</v>
      </c>
      <c r="BN9" s="5478" t="str">
        <f>IF(BH8=0,"",VLOOKUP(BH8,'Tablas Magia'!$D$6:$Z$680,5,FALSE))</f>
        <v>Auto</v>
      </c>
      <c r="BO9" s="5478"/>
      <c r="BP9" s="5479" t="s">
        <v>7690</v>
      </c>
      <c r="BQ9" s="5479"/>
      <c r="BR9" s="5478" t="str">
        <f>IF(BH8=0,"",VLOOKUP(BH8,'Tablas Magia'!$D$6:$Z$680,6,FALSE))</f>
        <v>Activa</v>
      </c>
      <c r="BS9" s="5478"/>
      <c r="BT9" s="5480" t="s">
        <v>7691</v>
      </c>
      <c r="BU9" s="5480"/>
      <c r="BV9" s="1149" t="str">
        <f>IF(BH8=0,"",VLOOKUP(BH8,'Tablas Magia'!$D$6:$Z$680,4,FALSE))</f>
        <v>Si</v>
      </c>
      <c r="BW9" s="1131"/>
      <c r="BX9" s="1125"/>
      <c r="BY9" s="1125"/>
      <c r="BZ9" s="2110"/>
      <c r="CA9" s="5481" t="s">
        <v>7688</v>
      </c>
      <c r="CB9" s="5482"/>
      <c r="CC9" s="1147" t="s">
        <v>7689</v>
      </c>
      <c r="CD9" s="1147" t="s">
        <v>1820</v>
      </c>
      <c r="CE9" s="1147" t="s">
        <v>3334</v>
      </c>
      <c r="CF9" s="1148" t="s">
        <v>2165</v>
      </c>
      <c r="CG9" s="5478" t="str">
        <f>IF(CA8=0,"",VLOOKUP(CA8,'Tablas Magia'!$D$6:$Z$680,5,FALSE))</f>
        <v>Efecto</v>
      </c>
      <c r="CH9" s="5478"/>
      <c r="CI9" s="5479" t="s">
        <v>7690</v>
      </c>
      <c r="CJ9" s="5479"/>
      <c r="CK9" s="5478" t="str">
        <f>IF(CA8=0,"",VLOOKUP(CA8,'Tablas Magia'!$D$6:$Z$680,6,FALSE))</f>
        <v>Activa</v>
      </c>
      <c r="CL9" s="5478"/>
      <c r="CM9" s="5480" t="s">
        <v>7691</v>
      </c>
      <c r="CN9" s="5480"/>
      <c r="CO9" s="1149" t="str">
        <f>IF(CA8=0,"",VLOOKUP(CA8,'Tablas Magia'!$D$6:$Z$680,4,FALSE))</f>
        <v>Si</v>
      </c>
      <c r="CP9" s="1131"/>
      <c r="CQ9" s="1125"/>
    </row>
    <row r="10" spans="1:95" ht="12" customHeight="1" x14ac:dyDescent="0.2">
      <c r="A10" s="1125"/>
      <c r="B10" s="2096"/>
      <c r="C10" s="5473" t="s">
        <v>1674</v>
      </c>
      <c r="D10" s="5474"/>
      <c r="E10" s="1150">
        <f>IF(C8=0,"",VLOOKUP(C8,'Tablas Magia'!$D$6:$Z$680,7,FALSE))</f>
        <v>5</v>
      </c>
      <c r="F10" s="1150">
        <f>IF(C8=0,"",VLOOKUP(C8,'Tablas Magia'!$D$6:$Z$680,11,FALSE))</f>
        <v>20</v>
      </c>
      <c r="G10" s="1151">
        <f>IF(C8=0,"",VLOOKUP(C8,'Tablas Magia'!$D$6:$Z$680,15,FALSE))</f>
        <v>5</v>
      </c>
      <c r="H10" s="5475" t="str">
        <f>IF(C8=0,"",VLOOKUP(C8,'Tablas Magia'!$D$6:$Z$680,19,FALSE))</f>
        <v>5 metros de zona iluminada</v>
      </c>
      <c r="I10" s="5476"/>
      <c r="J10" s="5476"/>
      <c r="K10" s="5476"/>
      <c r="L10" s="5476"/>
      <c r="M10" s="5476"/>
      <c r="N10" s="5476"/>
      <c r="O10" s="5476"/>
      <c r="P10" s="5476"/>
      <c r="Q10" s="5477"/>
      <c r="R10" s="1131"/>
      <c r="S10" s="1125"/>
      <c r="T10" s="1125"/>
      <c r="U10" s="2096"/>
      <c r="V10" s="5473" t="s">
        <v>1674</v>
      </c>
      <c r="W10" s="5474"/>
      <c r="X10" s="1150">
        <f>IF(V8=0,"",VLOOKUP(V8,'Tablas Magia'!$D$6:$Z$680,7,FALSE))</f>
        <v>6</v>
      </c>
      <c r="Y10" s="1150">
        <f>IF(V8=0,"",VLOOKUP(V8,'Tablas Magia'!$D$6:$Z$680,11,FALSE))</f>
        <v>50</v>
      </c>
      <c r="Z10" s="1151" t="str">
        <f>IF(V8=0,"",VLOOKUP(V8,'Tablas Magia'!$D$6:$Z$680,15,FALSE))</f>
        <v>No</v>
      </c>
      <c r="AA10" s="5475" t="str">
        <f>IF(V8=0,"",VLOOKUP(V8,'Tablas Magia'!$D$6:$Z$680,19,FALSE))</f>
        <v>Daño 60.</v>
      </c>
      <c r="AB10" s="5476"/>
      <c r="AC10" s="5476"/>
      <c r="AD10" s="5476"/>
      <c r="AE10" s="5476"/>
      <c r="AF10" s="5476"/>
      <c r="AG10" s="5476"/>
      <c r="AH10" s="5476"/>
      <c r="AI10" s="5476"/>
      <c r="AJ10" s="5477"/>
      <c r="AK10" s="1131"/>
      <c r="AL10" s="1125"/>
      <c r="AM10" s="1125"/>
      <c r="AN10" s="2110"/>
      <c r="AO10" s="5473" t="s">
        <v>1674</v>
      </c>
      <c r="AP10" s="5474"/>
      <c r="AQ10" s="1150">
        <f>IF(AO8=0,"",VLOOKUP(AO8,'Tablas Magia'!$D$6:$Z$680,7,FALSE))</f>
        <v>7</v>
      </c>
      <c r="AR10" s="1150">
        <f>IF(AO8=0,"",VLOOKUP(AO8,'Tablas Magia'!$D$6:$Z$680,11,FALSE))</f>
        <v>70</v>
      </c>
      <c r="AS10" s="1151" t="str">
        <f>IF(AO8=0,"",VLOOKUP(AO8,'Tablas Magia'!$D$6:$Z$680,15,FALSE))</f>
        <v>No</v>
      </c>
      <c r="AT10" s="5475" t="str">
        <f>IF(AO8=0,"",VLOOKUP(AO8,'Tablas Magia'!$D$6:$Z$680,19,FALSE))</f>
        <v>40 Puntos de Vida.</v>
      </c>
      <c r="AU10" s="5476"/>
      <c r="AV10" s="5476"/>
      <c r="AW10" s="5476"/>
      <c r="AX10" s="5476"/>
      <c r="AY10" s="5476"/>
      <c r="AZ10" s="5476"/>
      <c r="BA10" s="5476"/>
      <c r="BB10" s="5476"/>
      <c r="BC10" s="5477"/>
      <c r="BD10" s="1131"/>
      <c r="BE10" s="1125"/>
      <c r="BF10" s="1125"/>
      <c r="BG10" s="2110"/>
      <c r="BH10" s="5473" t="s">
        <v>1674</v>
      </c>
      <c r="BI10" s="5474"/>
      <c r="BJ10" s="1150">
        <f>IF(BH8=0,"",VLOOKUP(BH8,'Tablas Magia'!$D$6:$Z$680,7,FALSE))</f>
        <v>7</v>
      </c>
      <c r="BK10" s="1150">
        <f>IF(BH8=0,"",VLOOKUP(BH8,'Tablas Magia'!$D$6:$Z$680,11,FALSE))</f>
        <v>140</v>
      </c>
      <c r="BL10" s="1151">
        <f>IF(BH8=0,"",VLOOKUP(BH8,'Tablas Magia'!$D$6:$Z$680,15,FALSE))</f>
        <v>15</v>
      </c>
      <c r="BM10" s="5475" t="str">
        <f>IF(BH8=0,"",VLOOKUP(BH8,'Tablas Magia'!$D$6:$Z$680,19,FALSE))</f>
        <v>RM 120 / radio de 20 metros</v>
      </c>
      <c r="BN10" s="5476"/>
      <c r="BO10" s="5476"/>
      <c r="BP10" s="5476"/>
      <c r="BQ10" s="5476"/>
      <c r="BR10" s="5476"/>
      <c r="BS10" s="5476"/>
      <c r="BT10" s="5476"/>
      <c r="BU10" s="5476"/>
      <c r="BV10" s="5477"/>
      <c r="BW10" s="1131"/>
      <c r="BX10" s="1125"/>
      <c r="BY10" s="1125"/>
      <c r="BZ10" s="2110"/>
      <c r="CA10" s="5473" t="s">
        <v>1674</v>
      </c>
      <c r="CB10" s="5474"/>
      <c r="CC10" s="1150">
        <f>IF(CA8=0,"",VLOOKUP(CA8,'Tablas Magia'!$D$6:$Z$680,7,FALSE))</f>
        <v>10</v>
      </c>
      <c r="CD10" s="1150">
        <f>IF(CA8=0,"",VLOOKUP(CA8,'Tablas Magia'!$D$6:$Z$680,11,FALSE))</f>
        <v>250</v>
      </c>
      <c r="CE10" s="1151">
        <f>IF(CA8=0,"",VLOOKUP(CA8,'Tablas Magia'!$D$6:$Z$680,15,FALSE))</f>
        <v>50</v>
      </c>
      <c r="CF10" s="5475" t="str">
        <f>IF(CA8=0,"",VLOOKUP(CA8,'Tablas Magia'!$D$6:$Z$680,19,FALSE))</f>
        <v>Nivel 1.</v>
      </c>
      <c r="CG10" s="5476"/>
      <c r="CH10" s="5476"/>
      <c r="CI10" s="5476"/>
      <c r="CJ10" s="5476"/>
      <c r="CK10" s="5476"/>
      <c r="CL10" s="5476"/>
      <c r="CM10" s="5476"/>
      <c r="CN10" s="5476"/>
      <c r="CO10" s="5477"/>
      <c r="CP10" s="1131"/>
      <c r="CQ10" s="1125"/>
    </row>
    <row r="11" spans="1:95" ht="12" customHeight="1" x14ac:dyDescent="0.2">
      <c r="A11" s="1125"/>
      <c r="B11" s="2096"/>
      <c r="C11" s="5468" t="s">
        <v>4572</v>
      </c>
      <c r="D11" s="5469"/>
      <c r="E11" s="1152">
        <f>IF(C8=0,"",VLOOKUP(C8,'Tablas Magia'!$D$6:$Z$680,8,FALSE))</f>
        <v>8</v>
      </c>
      <c r="F11" s="1152">
        <f>IF(C8=0,"",VLOOKUP(C8,'Tablas Magia'!$D$6:$Z$680,12,FALSE))</f>
        <v>50</v>
      </c>
      <c r="G11" s="1153">
        <f>IF(C8=0,"",VLOOKUP(C8,'Tablas Magia'!$D$6:$Z$680,16,FALSE))</f>
        <v>5</v>
      </c>
      <c r="H11" s="5470" t="str">
        <f>IF(C8=0,"",VLOOKUP(C8,'Tablas Magia'!$D$6:$Z$680,20,FALSE))</f>
        <v>25 metros de zona iluminada</v>
      </c>
      <c r="I11" s="5471"/>
      <c r="J11" s="5471"/>
      <c r="K11" s="5471"/>
      <c r="L11" s="5471"/>
      <c r="M11" s="5471"/>
      <c r="N11" s="5471"/>
      <c r="O11" s="5471"/>
      <c r="P11" s="5471"/>
      <c r="Q11" s="5472"/>
      <c r="R11" s="1131"/>
      <c r="S11" s="1125"/>
      <c r="T11" s="1125"/>
      <c r="U11" s="2096"/>
      <c r="V11" s="5468" t="s">
        <v>4572</v>
      </c>
      <c r="W11" s="5469"/>
      <c r="X11" s="1152">
        <f>IF(V8=0,"",VLOOKUP(V8,'Tablas Magia'!$D$6:$Z$680,8,FALSE))</f>
        <v>9</v>
      </c>
      <c r="Y11" s="1152">
        <f>IF(V8=0,"",VLOOKUP(V8,'Tablas Magia'!$D$6:$Z$680,12,FALSE))</f>
        <v>90</v>
      </c>
      <c r="Z11" s="1153" t="str">
        <f>IF(V8=0,"",VLOOKUP(V8,'Tablas Magia'!$D$6:$Z$680,16,FALSE))</f>
        <v>No</v>
      </c>
      <c r="AA11" s="5470" t="str">
        <f>IF(V8=0,"",VLOOKUP(V8,'Tablas Magia'!$D$6:$Z$680,20,FALSE))</f>
        <v>Daño 90.</v>
      </c>
      <c r="AB11" s="5471"/>
      <c r="AC11" s="5471"/>
      <c r="AD11" s="5471"/>
      <c r="AE11" s="5471"/>
      <c r="AF11" s="5471"/>
      <c r="AG11" s="5471"/>
      <c r="AH11" s="5471"/>
      <c r="AI11" s="5471"/>
      <c r="AJ11" s="5472"/>
      <c r="AK11" s="1131"/>
      <c r="AL11" s="1125"/>
      <c r="AM11" s="1125"/>
      <c r="AN11" s="2110"/>
      <c r="AO11" s="5468" t="s">
        <v>4572</v>
      </c>
      <c r="AP11" s="5469"/>
      <c r="AQ11" s="1152">
        <f>IF(AO8=0,"",VLOOKUP(AO8,'Tablas Magia'!$D$6:$Z$680,8,FALSE))</f>
        <v>10</v>
      </c>
      <c r="AR11" s="1152">
        <f>IF(AO8=0,"",VLOOKUP(AO8,'Tablas Magia'!$D$6:$Z$680,12,FALSE))</f>
        <v>100</v>
      </c>
      <c r="AS11" s="1153" t="str">
        <f>IF(AO8=0,"",VLOOKUP(AO8,'Tablas Magia'!$D$6:$Z$680,16,FALSE))</f>
        <v>No</v>
      </c>
      <c r="AT11" s="5470" t="str">
        <f>IF(AO8=0,"",VLOOKUP(AO8,'Tablas Magia'!$D$6:$Z$680,20,FALSE))</f>
        <v>80 Puntos de Vida</v>
      </c>
      <c r="AU11" s="5471"/>
      <c r="AV11" s="5471"/>
      <c r="AW11" s="5471"/>
      <c r="AX11" s="5471"/>
      <c r="AY11" s="5471"/>
      <c r="AZ11" s="5471"/>
      <c r="BA11" s="5471"/>
      <c r="BB11" s="5471"/>
      <c r="BC11" s="5472"/>
      <c r="BD11" s="1131"/>
      <c r="BE11" s="1125"/>
      <c r="BF11" s="1125"/>
      <c r="BG11" s="2110"/>
      <c r="BH11" s="5468" t="s">
        <v>4572</v>
      </c>
      <c r="BI11" s="5469"/>
      <c r="BJ11" s="1152">
        <f>IF(BH8=0,"",VLOOKUP(BH8,'Tablas Magia'!$D$6:$Z$680,8,FALSE))</f>
        <v>9</v>
      </c>
      <c r="BK11" s="1152">
        <f>IF(BH8=0,"",VLOOKUP(BH8,'Tablas Magia'!$D$6:$Z$680,12,FALSE))</f>
        <v>180</v>
      </c>
      <c r="BL11" s="1153">
        <f>IF(BH8=0,"",VLOOKUP(BH8,'Tablas Magia'!$D$6:$Z$680,16,FALSE))</f>
        <v>20</v>
      </c>
      <c r="BM11" s="5470" t="str">
        <f>IF(BH8=0,"",VLOOKUP(BH8,'Tablas Magia'!$D$6:$Z$680,20,FALSE))</f>
        <v>RM 140 / radio de 100 metros</v>
      </c>
      <c r="BN11" s="5471"/>
      <c r="BO11" s="5471"/>
      <c r="BP11" s="5471"/>
      <c r="BQ11" s="5471"/>
      <c r="BR11" s="5471"/>
      <c r="BS11" s="5471"/>
      <c r="BT11" s="5471"/>
      <c r="BU11" s="5471"/>
      <c r="BV11" s="5472"/>
      <c r="BW11" s="1131"/>
      <c r="BX11" s="1125"/>
      <c r="BY11" s="1125"/>
      <c r="BZ11" s="2110"/>
      <c r="CA11" s="5468" t="s">
        <v>4572</v>
      </c>
      <c r="CB11" s="5469"/>
      <c r="CC11" s="1152">
        <f>IF(CA8=0,"",VLOOKUP(CA8,'Tablas Magia'!$D$6:$Z$680,8,FALSE))</f>
        <v>12</v>
      </c>
      <c r="CD11" s="1152">
        <f>IF(CA8=0,"",VLOOKUP(CA8,'Tablas Magia'!$D$6:$Z$680,12,FALSE))</f>
        <v>350</v>
      </c>
      <c r="CE11" s="1153">
        <f>IF(CA8=0,"",VLOOKUP(CA8,'Tablas Magia'!$D$6:$Z$680,16,FALSE))</f>
        <v>70</v>
      </c>
      <c r="CF11" s="5470" t="str">
        <f>IF(CA8=0,"",VLOOKUP(CA8,'Tablas Magia'!$D$6:$Z$680,20,FALSE))</f>
        <v>Nivel 3</v>
      </c>
      <c r="CG11" s="5471"/>
      <c r="CH11" s="5471"/>
      <c r="CI11" s="5471"/>
      <c r="CJ11" s="5471"/>
      <c r="CK11" s="5471"/>
      <c r="CL11" s="5471"/>
      <c r="CM11" s="5471"/>
      <c r="CN11" s="5471"/>
      <c r="CO11" s="5472"/>
      <c r="CP11" s="1131"/>
      <c r="CQ11" s="1125"/>
    </row>
    <row r="12" spans="1:95" ht="12" customHeight="1" x14ac:dyDescent="0.2">
      <c r="A12" s="1125"/>
      <c r="B12" s="2096"/>
      <c r="C12" s="5473" t="s">
        <v>4573</v>
      </c>
      <c r="D12" s="5474"/>
      <c r="E12" s="1150">
        <f>IF(C8=0,"",VLOOKUP(C8,'Tablas Magia'!$D$6:$Z$680,9,FALSE))</f>
        <v>10</v>
      </c>
      <c r="F12" s="1150">
        <f>IF(C8=0,"",VLOOKUP(C8,'Tablas Magia'!$D$6:$Z$680,13,FALSE))</f>
        <v>100</v>
      </c>
      <c r="G12" s="1151">
        <f>IF(C8=0,"",VLOOKUP(C8,'Tablas Magia'!$D$6:$Z$680,17,FALSE))</f>
        <v>10</v>
      </c>
      <c r="H12" s="5475" t="str">
        <f>IF(C8=0,"",VLOOKUP(C8,'Tablas Magia'!$D$6:$Z$680,21,FALSE))</f>
        <v>100 metros de zona iluminada</v>
      </c>
      <c r="I12" s="5476"/>
      <c r="J12" s="5476"/>
      <c r="K12" s="5476"/>
      <c r="L12" s="5476"/>
      <c r="M12" s="5476"/>
      <c r="N12" s="5476"/>
      <c r="O12" s="5476"/>
      <c r="P12" s="5476"/>
      <c r="Q12" s="5477"/>
      <c r="R12" s="1131"/>
      <c r="S12" s="1125"/>
      <c r="T12" s="1125"/>
      <c r="U12" s="2096"/>
      <c r="V12" s="5473" t="s">
        <v>4573</v>
      </c>
      <c r="W12" s="5474"/>
      <c r="X12" s="1150">
        <f>IF(V8=0,"",VLOOKUP(V8,'Tablas Magia'!$D$6:$Z$680,9,FALSE))</f>
        <v>12</v>
      </c>
      <c r="Y12" s="1150">
        <f>IF(V8=0,"",VLOOKUP(V8,'Tablas Magia'!$D$6:$Z$680,13,FALSE))</f>
        <v>120</v>
      </c>
      <c r="Z12" s="1151" t="str">
        <f>IF(V8=0,"",VLOOKUP(V8,'Tablas Magia'!$D$6:$Z$680,17,FALSE))</f>
        <v>No</v>
      </c>
      <c r="AA12" s="5475" t="str">
        <f>IF(V8=0,"",VLOOKUP(V8,'Tablas Magia'!$D$6:$Z$680,21,FALSE))</f>
        <v>Daño 120.</v>
      </c>
      <c r="AB12" s="5476"/>
      <c r="AC12" s="5476"/>
      <c r="AD12" s="5476"/>
      <c r="AE12" s="5476"/>
      <c r="AF12" s="5476"/>
      <c r="AG12" s="5476"/>
      <c r="AH12" s="5476"/>
      <c r="AI12" s="5476"/>
      <c r="AJ12" s="5477"/>
      <c r="AK12" s="1131"/>
      <c r="AL12" s="1125"/>
      <c r="AM12" s="1125"/>
      <c r="AN12" s="2110"/>
      <c r="AO12" s="5473" t="s">
        <v>4573</v>
      </c>
      <c r="AP12" s="5474"/>
      <c r="AQ12" s="1150">
        <f>IF(AO8=0,"",VLOOKUP(AO8,'Tablas Magia'!$D$6:$Z$680,9,FALSE))</f>
        <v>13</v>
      </c>
      <c r="AR12" s="1150">
        <f>IF(AO8=0,"",VLOOKUP(AO8,'Tablas Magia'!$D$6:$Z$680,13,FALSE))</f>
        <v>150</v>
      </c>
      <c r="AS12" s="1151" t="str">
        <f>IF(AO8=0,"",VLOOKUP(AO8,'Tablas Magia'!$D$6:$Z$680,17,FALSE))</f>
        <v>No</v>
      </c>
      <c r="AT12" s="5475" t="str">
        <f>IF(AO8=0,"",VLOOKUP(AO8,'Tablas Magia'!$D$6:$Z$680,21,FALSE))</f>
        <v>120 Puntos de Vida</v>
      </c>
      <c r="AU12" s="5476"/>
      <c r="AV12" s="5476"/>
      <c r="AW12" s="5476"/>
      <c r="AX12" s="5476"/>
      <c r="AY12" s="5476"/>
      <c r="AZ12" s="5476"/>
      <c r="BA12" s="5476"/>
      <c r="BB12" s="5476"/>
      <c r="BC12" s="5477"/>
      <c r="BD12" s="1131"/>
      <c r="BE12" s="1125"/>
      <c r="BF12" s="1125"/>
      <c r="BG12" s="2110"/>
      <c r="BH12" s="5473" t="s">
        <v>4573</v>
      </c>
      <c r="BI12" s="5474"/>
      <c r="BJ12" s="1150">
        <f>IF(BH8=0,"",VLOOKUP(BH8,'Tablas Magia'!$D$6:$Z$680,9,FALSE))</f>
        <v>12</v>
      </c>
      <c r="BK12" s="1150">
        <f>IF(BH8=0,"",VLOOKUP(BH8,'Tablas Magia'!$D$6:$Z$680,13,FALSE))</f>
        <v>240</v>
      </c>
      <c r="BL12" s="1151">
        <f>IF(BH8=0,"",VLOOKUP(BH8,'Tablas Magia'!$D$6:$Z$680,17,FALSE))</f>
        <v>25</v>
      </c>
      <c r="BM12" s="5475" t="str">
        <f>IF(BH8=0,"",VLOOKUP(BH8,'Tablas Magia'!$D$6:$Z$680,21,FALSE))</f>
        <v>RM 160 / radio de 250 metros</v>
      </c>
      <c r="BN12" s="5476"/>
      <c r="BO12" s="5476"/>
      <c r="BP12" s="5476"/>
      <c r="BQ12" s="5476"/>
      <c r="BR12" s="5476"/>
      <c r="BS12" s="5476"/>
      <c r="BT12" s="5476"/>
      <c r="BU12" s="5476"/>
      <c r="BV12" s="5477"/>
      <c r="BW12" s="1131"/>
      <c r="BX12" s="1125"/>
      <c r="BY12" s="1125"/>
      <c r="BZ12" s="2110"/>
      <c r="CA12" s="5473" t="s">
        <v>4573</v>
      </c>
      <c r="CB12" s="5474"/>
      <c r="CC12" s="1150">
        <f>IF(CA8=0,"",VLOOKUP(CA8,'Tablas Magia'!$D$6:$Z$680,9,FALSE))</f>
        <v>14</v>
      </c>
      <c r="CD12" s="1150">
        <f>IF(CA8=0,"",VLOOKUP(CA8,'Tablas Magia'!$D$6:$Z$680,13,FALSE))</f>
        <v>500</v>
      </c>
      <c r="CE12" s="1151">
        <f>IF(CA8=0,"",VLOOKUP(CA8,'Tablas Magia'!$D$6:$Z$680,17,FALSE))</f>
        <v>100</v>
      </c>
      <c r="CF12" s="5475" t="str">
        <f>IF(CA8=0,"",VLOOKUP(CA8,'Tablas Magia'!$D$6:$Z$680,21,FALSE))</f>
        <v>Nivel 6.</v>
      </c>
      <c r="CG12" s="5476"/>
      <c r="CH12" s="5476"/>
      <c r="CI12" s="5476"/>
      <c r="CJ12" s="5476"/>
      <c r="CK12" s="5476"/>
      <c r="CL12" s="5476"/>
      <c r="CM12" s="5476"/>
      <c r="CN12" s="5476"/>
      <c r="CO12" s="5477"/>
      <c r="CP12" s="1131"/>
      <c r="CQ12" s="1125"/>
    </row>
    <row r="13" spans="1:95" ht="12" customHeight="1" thickBot="1" x14ac:dyDescent="0.25">
      <c r="A13" s="1125"/>
      <c r="B13" s="2096"/>
      <c r="C13" s="5483" t="s">
        <v>4574</v>
      </c>
      <c r="D13" s="5484"/>
      <c r="E13" s="1154">
        <f>IF(C8=0,"",VLOOKUP(C8,'Tablas Magia'!$D$6:$Z$680,10,FALSE))</f>
        <v>12</v>
      </c>
      <c r="F13" s="1154">
        <f>IF(C8=0,"",VLOOKUP(C8,'Tablas Magia'!$D$6:$Z$680,14,FALSE))</f>
        <v>200</v>
      </c>
      <c r="G13" s="1155">
        <f>IF(C8=0,"",VLOOKUP(C8,'Tablas Magia'!$D$6:$Z$680,18,FALSE))</f>
        <v>15</v>
      </c>
      <c r="H13" s="5485" t="str">
        <f>IF(C8=0,"",VLOOKUP(C8,'Tablas Magia'!$D$6:$Z$680,22,FALSE))</f>
        <v>500 metros de zona iluminada</v>
      </c>
      <c r="I13" s="5486"/>
      <c r="J13" s="5486"/>
      <c r="K13" s="5486"/>
      <c r="L13" s="5486"/>
      <c r="M13" s="5486"/>
      <c r="N13" s="5486"/>
      <c r="O13" s="5486"/>
      <c r="P13" s="5486"/>
      <c r="Q13" s="5487"/>
      <c r="R13" s="1131"/>
      <c r="S13" s="1125"/>
      <c r="T13" s="1125"/>
      <c r="U13" s="2096"/>
      <c r="V13" s="5483" t="s">
        <v>4574</v>
      </c>
      <c r="W13" s="5484"/>
      <c r="X13" s="1154">
        <f>IF(V8=0,"",VLOOKUP(V8,'Tablas Magia'!$D$6:$Z$680,10,FALSE))</f>
        <v>15</v>
      </c>
      <c r="Y13" s="1154">
        <f>IF(V8=0,"",VLOOKUP(V8,'Tablas Magia'!$D$6:$Z$680,14,FALSE))</f>
        <v>150</v>
      </c>
      <c r="Z13" s="1155" t="str">
        <f>IF(V8=0,"",VLOOKUP(V8,'Tablas Magia'!$D$6:$Z$680,18,FALSE))</f>
        <v>No</v>
      </c>
      <c r="AA13" s="5485" t="str">
        <f>IF(V8=0,"",VLOOKUP(V8,'Tablas Magia'!$D$6:$Z$680,22,FALSE))</f>
        <v>Daño 150.</v>
      </c>
      <c r="AB13" s="5486"/>
      <c r="AC13" s="5486"/>
      <c r="AD13" s="5486"/>
      <c r="AE13" s="5486"/>
      <c r="AF13" s="5486"/>
      <c r="AG13" s="5486"/>
      <c r="AH13" s="5486"/>
      <c r="AI13" s="5486"/>
      <c r="AJ13" s="5487"/>
      <c r="AK13" s="1131"/>
      <c r="AL13" s="1125"/>
      <c r="AM13" s="1125"/>
      <c r="AN13" s="2110"/>
      <c r="AO13" s="5483" t="s">
        <v>4574</v>
      </c>
      <c r="AP13" s="5484"/>
      <c r="AQ13" s="1154">
        <f>IF(AO8=0,"",VLOOKUP(AO8,'Tablas Magia'!$D$6:$Z$680,10,FALSE))</f>
        <v>15</v>
      </c>
      <c r="AR13" s="1154">
        <f>IF(AO8=0,"",VLOOKUP(AO8,'Tablas Magia'!$D$6:$Z$680,14,FALSE))</f>
        <v>200</v>
      </c>
      <c r="AS13" s="1155" t="str">
        <f>IF(AO8=0,"",VLOOKUP(AO8,'Tablas Magia'!$D$6:$Z$680,18,FALSE))</f>
        <v>No</v>
      </c>
      <c r="AT13" s="5485" t="str">
        <f>IF(AO8=0,"",VLOOKUP(AO8,'Tablas Magia'!$D$6:$Z$680,22,FALSE))</f>
        <v>250 Puntos de Vida</v>
      </c>
      <c r="AU13" s="5486"/>
      <c r="AV13" s="5486"/>
      <c r="AW13" s="5486"/>
      <c r="AX13" s="5486"/>
      <c r="AY13" s="5486"/>
      <c r="AZ13" s="5486"/>
      <c r="BA13" s="5486"/>
      <c r="BB13" s="5486"/>
      <c r="BC13" s="5487"/>
      <c r="BD13" s="1131"/>
      <c r="BE13" s="1125"/>
      <c r="BF13" s="1125"/>
      <c r="BG13" s="2110"/>
      <c r="BH13" s="5483" t="s">
        <v>4574</v>
      </c>
      <c r="BI13" s="5484"/>
      <c r="BJ13" s="1154">
        <f>IF(BH8=0,"",VLOOKUP(BH8,'Tablas Magia'!$D$6:$Z$680,10,FALSE))</f>
        <v>15</v>
      </c>
      <c r="BK13" s="1154">
        <f>IF(BH8=0,"",VLOOKUP(BH8,'Tablas Magia'!$D$6:$Z$680,14,FALSE))</f>
        <v>300</v>
      </c>
      <c r="BL13" s="1155">
        <f>IF(BH8=0,"",VLOOKUP(BH8,'Tablas Magia'!$D$6:$Z$680,18,FALSE))</f>
        <v>30</v>
      </c>
      <c r="BM13" s="5485" t="str">
        <f>IF(BH8=0,"",VLOOKUP(BH8,'Tablas Magia'!$D$6:$Z$680,22,FALSE))</f>
        <v>RM 180 / radio de 500 metros</v>
      </c>
      <c r="BN13" s="5486"/>
      <c r="BO13" s="5486"/>
      <c r="BP13" s="5486"/>
      <c r="BQ13" s="5486"/>
      <c r="BR13" s="5486"/>
      <c r="BS13" s="5486"/>
      <c r="BT13" s="5486"/>
      <c r="BU13" s="5486"/>
      <c r="BV13" s="5487"/>
      <c r="BW13" s="1131"/>
      <c r="BX13" s="1125"/>
      <c r="BY13" s="1125"/>
      <c r="BZ13" s="2110"/>
      <c r="CA13" s="5483" t="s">
        <v>4574</v>
      </c>
      <c r="CB13" s="5484"/>
      <c r="CC13" s="1154">
        <f>IF(CA8=0,"",VLOOKUP(CA8,'Tablas Magia'!$D$6:$Z$680,10,FALSE))</f>
        <v>16</v>
      </c>
      <c r="CD13" s="1154">
        <f>IF(CA8=0,"",VLOOKUP(CA8,'Tablas Magia'!$D$6:$Z$680,14,FALSE))</f>
        <v>700</v>
      </c>
      <c r="CE13" s="1155">
        <f>IF(CA8=0,"",VLOOKUP(CA8,'Tablas Magia'!$D$6:$Z$680,18,FALSE))</f>
        <v>140</v>
      </c>
      <c r="CF13" s="5485" t="str">
        <f>IF(CA8=0,"",VLOOKUP(CA8,'Tablas Magia'!$D$6:$Z$680,22,FALSE))</f>
        <v>Nivel 10.</v>
      </c>
      <c r="CG13" s="5486"/>
      <c r="CH13" s="5486"/>
      <c r="CI13" s="5486"/>
      <c r="CJ13" s="5486"/>
      <c r="CK13" s="5486"/>
      <c r="CL13" s="5486"/>
      <c r="CM13" s="5486"/>
      <c r="CN13" s="5486"/>
      <c r="CO13" s="5487"/>
      <c r="CP13" s="1131"/>
      <c r="CQ13" s="1125"/>
    </row>
    <row r="14" spans="1:95" ht="12" customHeight="1" x14ac:dyDescent="0.2">
      <c r="A14" s="1125"/>
      <c r="B14" s="2096"/>
      <c r="C14" s="5488" t="str">
        <f>IF(C8=0,"",VLOOKUP(C8,'Tablas Magia'!$D$6:$Z$680,23,FALSE))</f>
        <v>Crea una fuente de luz en un punto u objeto determinado por el hechicero</v>
      </c>
      <c r="D14" s="5489"/>
      <c r="E14" s="5489"/>
      <c r="F14" s="5489"/>
      <c r="G14" s="5489"/>
      <c r="H14" s="5489"/>
      <c r="I14" s="5489"/>
      <c r="J14" s="5489"/>
      <c r="K14" s="5489"/>
      <c r="L14" s="5489"/>
      <c r="M14" s="5489"/>
      <c r="N14" s="5489"/>
      <c r="O14" s="5489"/>
      <c r="P14" s="5489"/>
      <c r="Q14" s="5490"/>
      <c r="R14" s="1131"/>
      <c r="S14" s="1125"/>
      <c r="T14" s="1125"/>
      <c r="U14" s="2096"/>
      <c r="V14" s="5488" t="str">
        <f>IF(V8=0,"",VLOOKUP(V8,'Tablas Magia'!$D$6:$Z$680,23,FALSE))</f>
        <v>Proyecta una descarga de energía mágica basada en luz. El ataque se realiza en la TA de Energía</v>
      </c>
      <c r="W14" s="5489"/>
      <c r="X14" s="5489"/>
      <c r="Y14" s="5489"/>
      <c r="Z14" s="5489"/>
      <c r="AA14" s="5489"/>
      <c r="AB14" s="5489"/>
      <c r="AC14" s="5489"/>
      <c r="AD14" s="5489"/>
      <c r="AE14" s="5489"/>
      <c r="AF14" s="5489"/>
      <c r="AG14" s="5489"/>
      <c r="AH14" s="5489"/>
      <c r="AI14" s="5489"/>
      <c r="AJ14" s="5490"/>
      <c r="AK14" s="1131"/>
      <c r="AL14" s="1125"/>
      <c r="AM14" s="1125"/>
      <c r="AN14" s="2110"/>
      <c r="AO14" s="5488" t="str">
        <f>IF(AO8=0,"",VLOOKUP(AO8,'Tablas Magia'!$D$6:$Z$680,23,FALSE))</f>
        <v>Hace recuperar puntos de vida al sujeto sobre el que se lance. Este conjuro no permite restaurar miembros cercenados o pérdidas permanentes, ni tampoco elimina los penalizadores causados por los críticos</v>
      </c>
      <c r="AP14" s="5489"/>
      <c r="AQ14" s="5489"/>
      <c r="AR14" s="5489"/>
      <c r="AS14" s="5489"/>
      <c r="AT14" s="5489"/>
      <c r="AU14" s="5489"/>
      <c r="AV14" s="5489"/>
      <c r="AW14" s="5489"/>
      <c r="AX14" s="5489"/>
      <c r="AY14" s="5489"/>
      <c r="AZ14" s="5489"/>
      <c r="BA14" s="5489"/>
      <c r="BB14" s="5489"/>
      <c r="BC14" s="5490"/>
      <c r="BD14" s="1131"/>
      <c r="BE14" s="1125"/>
      <c r="BF14" s="1125"/>
      <c r="BG14" s="2110"/>
      <c r="BH14" s="5488"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489"/>
      <c r="BJ14" s="5489"/>
      <c r="BK14" s="5489"/>
      <c r="BL14" s="5489"/>
      <c r="BM14" s="5489"/>
      <c r="BN14" s="5489"/>
      <c r="BO14" s="5489"/>
      <c r="BP14" s="5489"/>
      <c r="BQ14" s="5489"/>
      <c r="BR14" s="5489"/>
      <c r="BS14" s="5489"/>
      <c r="BT14" s="5489"/>
      <c r="BU14" s="5489"/>
      <c r="BV14" s="5490"/>
      <c r="BW14" s="1131"/>
      <c r="BX14" s="1125"/>
      <c r="BY14" s="1125"/>
      <c r="BZ14" s="2110"/>
      <c r="CA14" s="5488"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489"/>
      <c r="CC14" s="5489"/>
      <c r="CD14" s="5489"/>
      <c r="CE14" s="5489"/>
      <c r="CF14" s="5489"/>
      <c r="CG14" s="5489"/>
      <c r="CH14" s="5489"/>
      <c r="CI14" s="5489"/>
      <c r="CJ14" s="5489"/>
      <c r="CK14" s="5489"/>
      <c r="CL14" s="5489"/>
      <c r="CM14" s="5489"/>
      <c r="CN14" s="5489"/>
      <c r="CO14" s="5490"/>
      <c r="CP14" s="1131"/>
      <c r="CQ14" s="1125"/>
    </row>
    <row r="15" spans="1:95" ht="12" customHeight="1" x14ac:dyDescent="0.2">
      <c r="A15" s="1125"/>
      <c r="B15" s="2096"/>
      <c r="C15" s="5491"/>
      <c r="D15" s="5492"/>
      <c r="E15" s="5492"/>
      <c r="F15" s="5492"/>
      <c r="G15" s="5492"/>
      <c r="H15" s="5492"/>
      <c r="I15" s="5492"/>
      <c r="J15" s="5492"/>
      <c r="K15" s="5492"/>
      <c r="L15" s="5492"/>
      <c r="M15" s="5492"/>
      <c r="N15" s="5492"/>
      <c r="O15" s="5492"/>
      <c r="P15" s="5492"/>
      <c r="Q15" s="5493"/>
      <c r="R15" s="1131"/>
      <c r="S15" s="1125"/>
      <c r="T15" s="1125"/>
      <c r="U15" s="2096"/>
      <c r="V15" s="5491"/>
      <c r="W15" s="5492"/>
      <c r="X15" s="5492"/>
      <c r="Y15" s="5492"/>
      <c r="Z15" s="5492"/>
      <c r="AA15" s="5492"/>
      <c r="AB15" s="5492"/>
      <c r="AC15" s="5492"/>
      <c r="AD15" s="5492"/>
      <c r="AE15" s="5492"/>
      <c r="AF15" s="5492"/>
      <c r="AG15" s="5492"/>
      <c r="AH15" s="5492"/>
      <c r="AI15" s="5492"/>
      <c r="AJ15" s="5493"/>
      <c r="AK15" s="1131"/>
      <c r="AL15" s="1125"/>
      <c r="AM15" s="1125"/>
      <c r="AN15" s="2110"/>
      <c r="AO15" s="5491"/>
      <c r="AP15" s="5492"/>
      <c r="AQ15" s="5492"/>
      <c r="AR15" s="5492"/>
      <c r="AS15" s="5492"/>
      <c r="AT15" s="5492"/>
      <c r="AU15" s="5492"/>
      <c r="AV15" s="5492"/>
      <c r="AW15" s="5492"/>
      <c r="AX15" s="5492"/>
      <c r="AY15" s="5492"/>
      <c r="AZ15" s="5492"/>
      <c r="BA15" s="5492"/>
      <c r="BB15" s="5492"/>
      <c r="BC15" s="5493"/>
      <c r="BD15" s="1131"/>
      <c r="BE15" s="1125"/>
      <c r="BF15" s="1125"/>
      <c r="BG15" s="2110"/>
      <c r="BH15" s="5491"/>
      <c r="BI15" s="5492"/>
      <c r="BJ15" s="5492"/>
      <c r="BK15" s="5492"/>
      <c r="BL15" s="5492"/>
      <c r="BM15" s="5492"/>
      <c r="BN15" s="5492"/>
      <c r="BO15" s="5492"/>
      <c r="BP15" s="5492"/>
      <c r="BQ15" s="5492"/>
      <c r="BR15" s="5492"/>
      <c r="BS15" s="5492"/>
      <c r="BT15" s="5492"/>
      <c r="BU15" s="5492"/>
      <c r="BV15" s="5493"/>
      <c r="BW15" s="1131"/>
      <c r="BX15" s="1125"/>
      <c r="BY15" s="1125"/>
      <c r="BZ15" s="2110"/>
      <c r="CA15" s="5491"/>
      <c r="CB15" s="5492"/>
      <c r="CC15" s="5492"/>
      <c r="CD15" s="5492"/>
      <c r="CE15" s="5492"/>
      <c r="CF15" s="5492"/>
      <c r="CG15" s="5492"/>
      <c r="CH15" s="5492"/>
      <c r="CI15" s="5492"/>
      <c r="CJ15" s="5492"/>
      <c r="CK15" s="5492"/>
      <c r="CL15" s="5492"/>
      <c r="CM15" s="5492"/>
      <c r="CN15" s="5492"/>
      <c r="CO15" s="5493"/>
      <c r="CP15" s="1131"/>
      <c r="CQ15" s="1125"/>
    </row>
    <row r="16" spans="1:95" ht="12" customHeight="1" x14ac:dyDescent="0.2">
      <c r="A16" s="1125"/>
      <c r="B16" s="2096"/>
      <c r="C16" s="5491"/>
      <c r="D16" s="5492"/>
      <c r="E16" s="5492"/>
      <c r="F16" s="5492"/>
      <c r="G16" s="5492"/>
      <c r="H16" s="5492"/>
      <c r="I16" s="5492"/>
      <c r="J16" s="5492"/>
      <c r="K16" s="5492"/>
      <c r="L16" s="5492"/>
      <c r="M16" s="5492"/>
      <c r="N16" s="5492"/>
      <c r="O16" s="5492"/>
      <c r="P16" s="5492"/>
      <c r="Q16" s="5493"/>
      <c r="R16" s="1131"/>
      <c r="S16" s="1125"/>
      <c r="T16" s="1125"/>
      <c r="U16" s="2096"/>
      <c r="V16" s="5491"/>
      <c r="W16" s="5492"/>
      <c r="X16" s="5492"/>
      <c r="Y16" s="5492"/>
      <c r="Z16" s="5492"/>
      <c r="AA16" s="5492"/>
      <c r="AB16" s="5492"/>
      <c r="AC16" s="5492"/>
      <c r="AD16" s="5492"/>
      <c r="AE16" s="5492"/>
      <c r="AF16" s="5492"/>
      <c r="AG16" s="5492"/>
      <c r="AH16" s="5492"/>
      <c r="AI16" s="5492"/>
      <c r="AJ16" s="5493"/>
      <c r="AK16" s="1131"/>
      <c r="AL16" s="1125"/>
      <c r="AM16" s="1125"/>
      <c r="AN16" s="2110"/>
      <c r="AO16" s="5491"/>
      <c r="AP16" s="5492"/>
      <c r="AQ16" s="5492"/>
      <c r="AR16" s="5492"/>
      <c r="AS16" s="5492"/>
      <c r="AT16" s="5492"/>
      <c r="AU16" s="5492"/>
      <c r="AV16" s="5492"/>
      <c r="AW16" s="5492"/>
      <c r="AX16" s="5492"/>
      <c r="AY16" s="5492"/>
      <c r="AZ16" s="5492"/>
      <c r="BA16" s="5492"/>
      <c r="BB16" s="5492"/>
      <c r="BC16" s="5493"/>
      <c r="BD16" s="1131"/>
      <c r="BE16" s="1125"/>
      <c r="BF16" s="1125"/>
      <c r="BG16" s="2110"/>
      <c r="BH16" s="5491"/>
      <c r="BI16" s="5492"/>
      <c r="BJ16" s="5492"/>
      <c r="BK16" s="5492"/>
      <c r="BL16" s="5492"/>
      <c r="BM16" s="5492"/>
      <c r="BN16" s="5492"/>
      <c r="BO16" s="5492"/>
      <c r="BP16" s="5492"/>
      <c r="BQ16" s="5492"/>
      <c r="BR16" s="5492"/>
      <c r="BS16" s="5492"/>
      <c r="BT16" s="5492"/>
      <c r="BU16" s="5492"/>
      <c r="BV16" s="5493"/>
      <c r="BW16" s="1131"/>
      <c r="BX16" s="1125"/>
      <c r="BY16" s="1125"/>
      <c r="BZ16" s="2110"/>
      <c r="CA16" s="5491"/>
      <c r="CB16" s="5492"/>
      <c r="CC16" s="5492"/>
      <c r="CD16" s="5492"/>
      <c r="CE16" s="5492"/>
      <c r="CF16" s="5492"/>
      <c r="CG16" s="5492"/>
      <c r="CH16" s="5492"/>
      <c r="CI16" s="5492"/>
      <c r="CJ16" s="5492"/>
      <c r="CK16" s="5492"/>
      <c r="CL16" s="5492"/>
      <c r="CM16" s="5492"/>
      <c r="CN16" s="5492"/>
      <c r="CO16" s="5493"/>
      <c r="CP16" s="1131"/>
      <c r="CQ16" s="1125"/>
    </row>
    <row r="17" spans="1:95" ht="12" customHeight="1" thickBot="1" x14ac:dyDescent="0.25">
      <c r="A17" s="1125"/>
      <c r="B17" s="2096"/>
      <c r="C17" s="5494"/>
      <c r="D17" s="5495"/>
      <c r="E17" s="5495"/>
      <c r="F17" s="5495"/>
      <c r="G17" s="5495"/>
      <c r="H17" s="5495"/>
      <c r="I17" s="5495"/>
      <c r="J17" s="5495"/>
      <c r="K17" s="5495"/>
      <c r="L17" s="5495"/>
      <c r="M17" s="5495"/>
      <c r="N17" s="5495"/>
      <c r="O17" s="5495"/>
      <c r="P17" s="5495"/>
      <c r="Q17" s="5496"/>
      <c r="R17" s="1131"/>
      <c r="S17" s="1125"/>
      <c r="T17" s="1125"/>
      <c r="U17" s="2096"/>
      <c r="V17" s="5494"/>
      <c r="W17" s="5495"/>
      <c r="X17" s="5495"/>
      <c r="Y17" s="5495"/>
      <c r="Z17" s="5495"/>
      <c r="AA17" s="5495"/>
      <c r="AB17" s="5495"/>
      <c r="AC17" s="5495"/>
      <c r="AD17" s="5495"/>
      <c r="AE17" s="5495"/>
      <c r="AF17" s="5495"/>
      <c r="AG17" s="5495"/>
      <c r="AH17" s="5495"/>
      <c r="AI17" s="5495"/>
      <c r="AJ17" s="5496"/>
      <c r="AK17" s="1131"/>
      <c r="AL17" s="1125"/>
      <c r="AM17" s="1125"/>
      <c r="AN17" s="2110"/>
      <c r="AO17" s="5494"/>
      <c r="AP17" s="5495"/>
      <c r="AQ17" s="5495"/>
      <c r="AR17" s="5495"/>
      <c r="AS17" s="5495"/>
      <c r="AT17" s="5495"/>
      <c r="AU17" s="5495"/>
      <c r="AV17" s="5495"/>
      <c r="AW17" s="5495"/>
      <c r="AX17" s="5495"/>
      <c r="AY17" s="5495"/>
      <c r="AZ17" s="5495"/>
      <c r="BA17" s="5495"/>
      <c r="BB17" s="5495"/>
      <c r="BC17" s="5496"/>
      <c r="BD17" s="1131"/>
      <c r="BE17" s="1125"/>
      <c r="BF17" s="1125"/>
      <c r="BG17" s="2110"/>
      <c r="BH17" s="5494"/>
      <c r="BI17" s="5495"/>
      <c r="BJ17" s="5495"/>
      <c r="BK17" s="5495"/>
      <c r="BL17" s="5495"/>
      <c r="BM17" s="5495"/>
      <c r="BN17" s="5495"/>
      <c r="BO17" s="5495"/>
      <c r="BP17" s="5495"/>
      <c r="BQ17" s="5495"/>
      <c r="BR17" s="5495"/>
      <c r="BS17" s="5495"/>
      <c r="BT17" s="5495"/>
      <c r="BU17" s="5495"/>
      <c r="BV17" s="5496"/>
      <c r="BW17" s="1131"/>
      <c r="BX17" s="1125"/>
      <c r="BY17" s="1125"/>
      <c r="BZ17" s="2110"/>
      <c r="CA17" s="5494"/>
      <c r="CB17" s="5495"/>
      <c r="CC17" s="5495"/>
      <c r="CD17" s="5495"/>
      <c r="CE17" s="5495"/>
      <c r="CF17" s="5495"/>
      <c r="CG17" s="5495"/>
      <c r="CH17" s="5495"/>
      <c r="CI17" s="5495"/>
      <c r="CJ17" s="5495"/>
      <c r="CK17" s="5495"/>
      <c r="CL17" s="5495"/>
      <c r="CM17" s="5495"/>
      <c r="CN17" s="5495"/>
      <c r="CO17" s="5496"/>
      <c r="CP17" s="1131"/>
      <c r="CQ17" s="1125"/>
    </row>
    <row r="18" spans="1:95" ht="12" customHeight="1" thickBot="1" x14ac:dyDescent="0.25">
      <c r="A18" s="1125"/>
      <c r="B18" s="2096"/>
      <c r="C18" s="2117"/>
      <c r="D18" s="2117"/>
      <c r="E18" s="2117"/>
      <c r="F18" s="2117"/>
      <c r="G18" s="2117"/>
      <c r="H18" s="1157"/>
      <c r="I18" s="1158"/>
      <c r="J18" s="1159"/>
      <c r="K18" s="1159"/>
      <c r="L18" s="1159"/>
      <c r="M18" s="668"/>
      <c r="N18" s="668"/>
      <c r="O18" s="668"/>
      <c r="P18" s="668"/>
      <c r="Q18" s="668"/>
      <c r="R18" s="1131"/>
      <c r="S18" s="1125"/>
      <c r="T18" s="1125"/>
      <c r="U18" s="2096"/>
      <c r="V18" s="2117"/>
      <c r="W18" s="2117"/>
      <c r="X18" s="2117"/>
      <c r="Y18" s="2117"/>
      <c r="Z18" s="2117"/>
      <c r="AA18" s="1157"/>
      <c r="AB18" s="1158"/>
      <c r="AC18" s="1159"/>
      <c r="AD18" s="1159"/>
      <c r="AE18" s="1159"/>
      <c r="AF18" s="668"/>
      <c r="AG18" s="668"/>
      <c r="AH18" s="668"/>
      <c r="AI18" s="668"/>
      <c r="AJ18" s="668"/>
      <c r="AK18" s="1131"/>
      <c r="AL18" s="1125"/>
      <c r="AM18" s="1125"/>
      <c r="AN18" s="2096"/>
      <c r="AO18" s="2117"/>
      <c r="AP18" s="2117"/>
      <c r="AQ18" s="2117"/>
      <c r="AR18" s="2117"/>
      <c r="AS18" s="2117"/>
      <c r="AT18" s="1157"/>
      <c r="AU18" s="1158"/>
      <c r="AV18" s="1159"/>
      <c r="AW18" s="1159"/>
      <c r="AX18" s="1159"/>
      <c r="AY18" s="668"/>
      <c r="AZ18" s="668"/>
      <c r="BA18" s="668"/>
      <c r="BB18" s="668"/>
      <c r="BC18" s="668"/>
      <c r="BD18" s="1131"/>
      <c r="BE18" s="1125"/>
      <c r="BF18" s="1125"/>
      <c r="BG18" s="2096"/>
      <c r="BH18" s="2117"/>
      <c r="BI18" s="2117"/>
      <c r="BJ18" s="2117"/>
      <c r="BK18" s="2117"/>
      <c r="BL18" s="2117"/>
      <c r="BM18" s="1157"/>
      <c r="BN18" s="1158"/>
      <c r="BO18" s="1159"/>
      <c r="BP18" s="1159"/>
      <c r="BQ18" s="1159"/>
      <c r="BR18" s="668"/>
      <c r="BS18" s="668"/>
      <c r="BT18" s="668"/>
      <c r="BU18" s="668"/>
      <c r="BV18" s="668"/>
      <c r="BW18" s="1131"/>
      <c r="BX18" s="1125"/>
      <c r="BY18" s="1125"/>
      <c r="BZ18" s="2096"/>
      <c r="CA18" s="2117"/>
      <c r="CB18" s="2117"/>
      <c r="CC18" s="2117"/>
      <c r="CD18" s="2117"/>
      <c r="CE18" s="2117"/>
      <c r="CF18" s="1157"/>
      <c r="CG18" s="1158"/>
      <c r="CH18" s="1159"/>
      <c r="CI18" s="1159"/>
      <c r="CJ18" s="1159"/>
      <c r="CK18" s="668"/>
      <c r="CL18" s="668"/>
      <c r="CM18" s="668"/>
      <c r="CN18" s="668"/>
      <c r="CO18" s="668"/>
      <c r="CP18" s="1131"/>
      <c r="CQ18" s="1125"/>
    </row>
    <row r="19" spans="1:95" ht="12" customHeight="1" x14ac:dyDescent="0.2">
      <c r="A19" s="1125"/>
      <c r="B19" s="2096">
        <f>B8+2</f>
        <v>4</v>
      </c>
      <c r="C19" s="5497"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498"/>
      <c r="E19" s="5498"/>
      <c r="F19" s="5498"/>
      <c r="G19" s="5498"/>
      <c r="H19" s="1145" t="s">
        <v>1627</v>
      </c>
      <c r="I19" s="1146">
        <f>B19</f>
        <v>4</v>
      </c>
      <c r="J19" s="5463" t="s">
        <v>7687</v>
      </c>
      <c r="K19" s="5463"/>
      <c r="L19" s="5463"/>
      <c r="M19" s="5464" t="e">
        <f>IF(C19=0,"",VLOOKUP(C19,'Tablas Magia'!$D$6:$Z$680,2,FALSE))</f>
        <v>#N/A</v>
      </c>
      <c r="N19" s="5464"/>
      <c r="O19" s="5464"/>
      <c r="P19" s="5464"/>
      <c r="Q19" s="5465"/>
      <c r="R19" s="1131"/>
      <c r="S19" s="1125"/>
      <c r="T19" s="1125"/>
      <c r="U19" s="2096">
        <f>U8+2</f>
        <v>24</v>
      </c>
      <c r="V19" s="5497"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498"/>
      <c r="X19" s="5498"/>
      <c r="Y19" s="5498"/>
      <c r="Z19" s="5498"/>
      <c r="AA19" s="1145" t="s">
        <v>1627</v>
      </c>
      <c r="AB19" s="1146">
        <f>U19</f>
        <v>24</v>
      </c>
      <c r="AC19" s="5463" t="s">
        <v>7687</v>
      </c>
      <c r="AD19" s="5463"/>
      <c r="AE19" s="5463"/>
      <c r="AF19" s="5464" t="e">
        <f>IF(V19=0,"",VLOOKUP(V19,'Tablas Magia'!$D$6:$Z$680,2,FALSE))</f>
        <v>#N/A</v>
      </c>
      <c r="AG19" s="5464"/>
      <c r="AH19" s="5464"/>
      <c r="AI19" s="5464"/>
      <c r="AJ19" s="5465"/>
      <c r="AK19" s="1131"/>
      <c r="AL19" s="1125"/>
      <c r="AM19" s="1125"/>
      <c r="AN19" s="2110">
        <f>AN8+2</f>
        <v>44</v>
      </c>
      <c r="AO19" s="5497"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498"/>
      <c r="AQ19" s="5498"/>
      <c r="AR19" s="5498"/>
      <c r="AS19" s="5498"/>
      <c r="AT19" s="1145" t="s">
        <v>1627</v>
      </c>
      <c r="AU19" s="1146">
        <f>AN19</f>
        <v>44</v>
      </c>
      <c r="AV19" s="5463" t="s">
        <v>7687</v>
      </c>
      <c r="AW19" s="5463"/>
      <c r="AX19" s="5463"/>
      <c r="AY19" s="5464" t="e">
        <f>IF(AO19=0,"",VLOOKUP(AO19,'Tablas Magia'!$D$6:$Z$680,2,FALSE))</f>
        <v>#N/A</v>
      </c>
      <c r="AZ19" s="5464"/>
      <c r="BA19" s="5464"/>
      <c r="BB19" s="5464"/>
      <c r="BC19" s="5465"/>
      <c r="BD19" s="1131"/>
      <c r="BE19" s="1125"/>
      <c r="BF19" s="1125"/>
      <c r="BG19" s="2110">
        <f>BG8+2</f>
        <v>64</v>
      </c>
      <c r="BH19" s="5497"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498"/>
      <c r="BJ19" s="5498"/>
      <c r="BK19" s="5498"/>
      <c r="BL19" s="5498"/>
      <c r="BM19" s="1145" t="s">
        <v>1627</v>
      </c>
      <c r="BN19" s="1146">
        <f>BG19</f>
        <v>64</v>
      </c>
      <c r="BO19" s="5463" t="s">
        <v>7687</v>
      </c>
      <c r="BP19" s="5463"/>
      <c r="BQ19" s="5463"/>
      <c r="BR19" s="5464" t="e">
        <f>IF(BH19=0,"",VLOOKUP(BH19,'Tablas Magia'!$D$6:$Z$680,2,FALSE))</f>
        <v>#N/A</v>
      </c>
      <c r="BS19" s="5464"/>
      <c r="BT19" s="5464"/>
      <c r="BU19" s="5464"/>
      <c r="BV19" s="5465"/>
      <c r="BW19" s="1131"/>
      <c r="BX19" s="1125"/>
      <c r="BY19" s="1125"/>
      <c r="BZ19" s="2110">
        <f>BZ8+2</f>
        <v>84</v>
      </c>
      <c r="CA19" s="5497"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498"/>
      <c r="CC19" s="5498"/>
      <c r="CD19" s="5498"/>
      <c r="CE19" s="5498"/>
      <c r="CF19" s="1145" t="s">
        <v>1627</v>
      </c>
      <c r="CG19" s="1146">
        <f>BZ19</f>
        <v>84</v>
      </c>
      <c r="CH19" s="5463" t="s">
        <v>7687</v>
      </c>
      <c r="CI19" s="5463"/>
      <c r="CJ19" s="5463"/>
      <c r="CK19" s="5464" t="e">
        <f>IF(CA19=0,"",VLOOKUP(CA19,'Tablas Magia'!$D$6:$Z$680,2,FALSE))</f>
        <v>#N/A</v>
      </c>
      <c r="CL19" s="5464"/>
      <c r="CM19" s="5464"/>
      <c r="CN19" s="5464"/>
      <c r="CO19" s="5465"/>
      <c r="CP19" s="1131"/>
      <c r="CQ19" s="1125"/>
    </row>
    <row r="20" spans="1:95" ht="12" customHeight="1" x14ac:dyDescent="0.2">
      <c r="A20" s="1125"/>
      <c r="B20" s="2096"/>
      <c r="C20" s="5481" t="s">
        <v>7688</v>
      </c>
      <c r="D20" s="5482"/>
      <c r="E20" s="1147" t="s">
        <v>7689</v>
      </c>
      <c r="F20" s="1147" t="s">
        <v>1820</v>
      </c>
      <c r="G20" s="1147" t="s">
        <v>3334</v>
      </c>
      <c r="H20" s="1148" t="s">
        <v>2165</v>
      </c>
      <c r="I20" s="5478" t="e">
        <f>IF(C19=0,"",VLOOKUP(C19,'Tablas Magia'!$D$6:$Z$680,5,FALSE))</f>
        <v>#N/A</v>
      </c>
      <c r="J20" s="5478"/>
      <c r="K20" s="5479" t="s">
        <v>7690</v>
      </c>
      <c r="L20" s="5479"/>
      <c r="M20" s="5478" t="e">
        <f>IF(C19=0,"",VLOOKUP(C19,'Tablas Magia'!$D$6:$Z$680,6,FALSE))</f>
        <v>#N/A</v>
      </c>
      <c r="N20" s="5478"/>
      <c r="O20" s="5480" t="s">
        <v>7691</v>
      </c>
      <c r="P20" s="5480"/>
      <c r="Q20" s="1149" t="e">
        <f>IF(C19=0,"",VLOOKUP(C19,'Tablas Magia'!$D$6:$Z$680,4,FALSE))</f>
        <v>#N/A</v>
      </c>
      <c r="R20" s="1131"/>
      <c r="S20" s="1125"/>
      <c r="T20" s="1125"/>
      <c r="U20" s="2096"/>
      <c r="V20" s="5481" t="s">
        <v>7688</v>
      </c>
      <c r="W20" s="5482"/>
      <c r="X20" s="1147" t="s">
        <v>7689</v>
      </c>
      <c r="Y20" s="1147" t="s">
        <v>1820</v>
      </c>
      <c r="Z20" s="1147" t="s">
        <v>3334</v>
      </c>
      <c r="AA20" s="1148" t="s">
        <v>2165</v>
      </c>
      <c r="AB20" s="5478" t="e">
        <f>IF(V19=0,"",VLOOKUP(V19,'Tablas Magia'!$D$6:$Z$680,5,FALSE))</f>
        <v>#N/A</v>
      </c>
      <c r="AC20" s="5478"/>
      <c r="AD20" s="5479" t="s">
        <v>7690</v>
      </c>
      <c r="AE20" s="5479"/>
      <c r="AF20" s="5478" t="e">
        <f>IF(V19=0,"",VLOOKUP(V19,'Tablas Magia'!$D$6:$Z$680,6,FALSE))</f>
        <v>#N/A</v>
      </c>
      <c r="AG20" s="5478"/>
      <c r="AH20" s="5480" t="s">
        <v>7691</v>
      </c>
      <c r="AI20" s="5480"/>
      <c r="AJ20" s="1149" t="e">
        <f>IF(V19=0,"",VLOOKUP(V19,'Tablas Magia'!$D$6:$Z$680,4,FALSE))</f>
        <v>#N/A</v>
      </c>
      <c r="AK20" s="1131"/>
      <c r="AL20" s="1125"/>
      <c r="AM20" s="1125"/>
      <c r="AN20" s="2110"/>
      <c r="AO20" s="5481" t="s">
        <v>7688</v>
      </c>
      <c r="AP20" s="5482"/>
      <c r="AQ20" s="1147" t="s">
        <v>7689</v>
      </c>
      <c r="AR20" s="1147" t="s">
        <v>1820</v>
      </c>
      <c r="AS20" s="1147" t="s">
        <v>3334</v>
      </c>
      <c r="AT20" s="1148" t="s">
        <v>2165</v>
      </c>
      <c r="AU20" s="5478" t="e">
        <f>IF(AO19=0,"",VLOOKUP(AO19,'Tablas Magia'!$D$6:$Z$680,5,FALSE))</f>
        <v>#N/A</v>
      </c>
      <c r="AV20" s="5478"/>
      <c r="AW20" s="5479" t="s">
        <v>7690</v>
      </c>
      <c r="AX20" s="5479"/>
      <c r="AY20" s="5478" t="e">
        <f>IF(AO19=0,"",VLOOKUP(AO19,'Tablas Magia'!$D$6:$Z$680,6,FALSE))</f>
        <v>#N/A</v>
      </c>
      <c r="AZ20" s="5478"/>
      <c r="BA20" s="5480" t="s">
        <v>7691</v>
      </c>
      <c r="BB20" s="5480"/>
      <c r="BC20" s="1149" t="e">
        <f>IF(AO19=0,"",VLOOKUP(AO19,'Tablas Magia'!$D$6:$Z$680,4,FALSE))</f>
        <v>#N/A</v>
      </c>
      <c r="BD20" s="1131"/>
      <c r="BE20" s="1125"/>
      <c r="BF20" s="1125"/>
      <c r="BG20" s="2110"/>
      <c r="BH20" s="5481" t="s">
        <v>7688</v>
      </c>
      <c r="BI20" s="5482"/>
      <c r="BJ20" s="1147" t="s">
        <v>7689</v>
      </c>
      <c r="BK20" s="1147" t="s">
        <v>1820</v>
      </c>
      <c r="BL20" s="1147" t="s">
        <v>3334</v>
      </c>
      <c r="BM20" s="1148" t="s">
        <v>2165</v>
      </c>
      <c r="BN20" s="5478" t="e">
        <f>IF(BH19=0,"",VLOOKUP(BH19,'Tablas Magia'!$D$6:$Z$680,5,FALSE))</f>
        <v>#N/A</v>
      </c>
      <c r="BO20" s="5478"/>
      <c r="BP20" s="5479" t="s">
        <v>7690</v>
      </c>
      <c r="BQ20" s="5479"/>
      <c r="BR20" s="5478" t="e">
        <f>IF(BH19=0,"",VLOOKUP(BH19,'Tablas Magia'!$D$6:$Z$680,6,FALSE))</f>
        <v>#N/A</v>
      </c>
      <c r="BS20" s="5478"/>
      <c r="BT20" s="5480" t="s">
        <v>7691</v>
      </c>
      <c r="BU20" s="5480"/>
      <c r="BV20" s="1149" t="e">
        <f>IF(BH19=0,"",VLOOKUP(BH19,'Tablas Magia'!$D$6:$Z$680,4,FALSE))</f>
        <v>#N/A</v>
      </c>
      <c r="BW20" s="1131"/>
      <c r="BX20" s="1125"/>
      <c r="BY20" s="1125"/>
      <c r="BZ20" s="2110"/>
      <c r="CA20" s="5481" t="s">
        <v>7688</v>
      </c>
      <c r="CB20" s="5482"/>
      <c r="CC20" s="1147" t="s">
        <v>7689</v>
      </c>
      <c r="CD20" s="1147" t="s">
        <v>1820</v>
      </c>
      <c r="CE20" s="1147" t="s">
        <v>3334</v>
      </c>
      <c r="CF20" s="1148" t="s">
        <v>2165</v>
      </c>
      <c r="CG20" s="5478" t="e">
        <f>IF(CA19=0,"",VLOOKUP(CA19,'Tablas Magia'!$D$6:$Z$680,5,FALSE))</f>
        <v>#N/A</v>
      </c>
      <c r="CH20" s="5478"/>
      <c r="CI20" s="5479" t="s">
        <v>7690</v>
      </c>
      <c r="CJ20" s="5479"/>
      <c r="CK20" s="5478" t="e">
        <f>IF(CA19=0,"",VLOOKUP(CA19,'Tablas Magia'!$D$6:$Z$680,6,FALSE))</f>
        <v>#N/A</v>
      </c>
      <c r="CL20" s="5478"/>
      <c r="CM20" s="5480" t="s">
        <v>7691</v>
      </c>
      <c r="CN20" s="5480"/>
      <c r="CO20" s="1149" t="e">
        <f>IF(CA19=0,"",VLOOKUP(CA19,'Tablas Magia'!$D$6:$Z$680,4,FALSE))</f>
        <v>#N/A</v>
      </c>
      <c r="CP20" s="1131"/>
      <c r="CQ20" s="1125"/>
    </row>
    <row r="21" spans="1:95" ht="12" customHeight="1" x14ac:dyDescent="0.2">
      <c r="A21" s="1125"/>
      <c r="B21" s="2096"/>
      <c r="C21" s="5473" t="s">
        <v>1674</v>
      </c>
      <c r="D21" s="5474"/>
      <c r="E21" s="1150" t="e">
        <f>IF(C19=0,"",VLOOKUP(C19,'Tablas Magia'!$D$6:$Z$680,7,FALSE))</f>
        <v>#N/A</v>
      </c>
      <c r="F21" s="1150" t="e">
        <f>IF(C19=0,"",VLOOKUP(C19,'Tablas Magia'!$D$6:$Z$680,11,FALSE))</f>
        <v>#N/A</v>
      </c>
      <c r="G21" s="1151" t="e">
        <f>IF(C19=0,"",VLOOKUP(C19,'Tablas Magia'!$D$6:$Z$680,15,FALSE))</f>
        <v>#N/A</v>
      </c>
      <c r="H21" s="5475" t="e">
        <f>IF(C19=0,"",VLOOKUP(C19,'Tablas Magia'!$D$6:$Z$680,19,FALSE))</f>
        <v>#N/A</v>
      </c>
      <c r="I21" s="5476"/>
      <c r="J21" s="5476"/>
      <c r="K21" s="5476"/>
      <c r="L21" s="5476"/>
      <c r="M21" s="5476"/>
      <c r="N21" s="5476"/>
      <c r="O21" s="5476"/>
      <c r="P21" s="5476"/>
      <c r="Q21" s="5477"/>
      <c r="R21" s="1131"/>
      <c r="S21" s="1125"/>
      <c r="T21" s="1125"/>
      <c r="U21" s="2096"/>
      <c r="V21" s="5473" t="s">
        <v>1674</v>
      </c>
      <c r="W21" s="5474"/>
      <c r="X21" s="1150" t="e">
        <f>IF(V19=0,"",VLOOKUP(V19,'Tablas Magia'!$D$6:$Z$680,7,FALSE))</f>
        <v>#N/A</v>
      </c>
      <c r="Y21" s="1150" t="e">
        <f>IF(V19=0,"",VLOOKUP(V19,'Tablas Magia'!$D$6:$Z$680,11,FALSE))</f>
        <v>#N/A</v>
      </c>
      <c r="Z21" s="1151" t="e">
        <f>IF(V19=0,"",VLOOKUP(V19,'Tablas Magia'!$D$6:$Z$680,15,FALSE))</f>
        <v>#N/A</v>
      </c>
      <c r="AA21" s="5475" t="e">
        <f>IF(V19=0,"",VLOOKUP(V19,'Tablas Magia'!$D$6:$Z$680,19,FALSE))</f>
        <v>#N/A</v>
      </c>
      <c r="AB21" s="5476"/>
      <c r="AC21" s="5476"/>
      <c r="AD21" s="5476"/>
      <c r="AE21" s="5476"/>
      <c r="AF21" s="5476"/>
      <c r="AG21" s="5476"/>
      <c r="AH21" s="5476"/>
      <c r="AI21" s="5476"/>
      <c r="AJ21" s="5477"/>
      <c r="AK21" s="1131"/>
      <c r="AL21" s="1125"/>
      <c r="AM21" s="1125"/>
      <c r="AN21" s="2110"/>
      <c r="AO21" s="5473" t="s">
        <v>1674</v>
      </c>
      <c r="AP21" s="5474"/>
      <c r="AQ21" s="1150" t="e">
        <f>IF(AO19=0,"",VLOOKUP(AO19,'Tablas Magia'!$D$6:$Z$680,7,FALSE))</f>
        <v>#N/A</v>
      </c>
      <c r="AR21" s="1150" t="e">
        <f>IF(AO19=0,"",VLOOKUP(AO19,'Tablas Magia'!$D$6:$Z$680,11,FALSE))</f>
        <v>#N/A</v>
      </c>
      <c r="AS21" s="1151" t="e">
        <f>IF(AO19=0,"",VLOOKUP(AO19,'Tablas Magia'!$D$6:$Z$680,15,FALSE))</f>
        <v>#N/A</v>
      </c>
      <c r="AT21" s="5475" t="e">
        <f>IF(AO19=0,"",VLOOKUP(AO19,'Tablas Magia'!$D$6:$Z$680,19,FALSE))</f>
        <v>#N/A</v>
      </c>
      <c r="AU21" s="5476"/>
      <c r="AV21" s="5476"/>
      <c r="AW21" s="5476"/>
      <c r="AX21" s="5476"/>
      <c r="AY21" s="5476"/>
      <c r="AZ21" s="5476"/>
      <c r="BA21" s="5476"/>
      <c r="BB21" s="5476"/>
      <c r="BC21" s="5477"/>
      <c r="BD21" s="1131"/>
      <c r="BE21" s="1125"/>
      <c r="BF21" s="1125"/>
      <c r="BG21" s="2110"/>
      <c r="BH21" s="5473" t="s">
        <v>1674</v>
      </c>
      <c r="BI21" s="5474"/>
      <c r="BJ21" s="1150" t="e">
        <f>IF(BH19=0,"",VLOOKUP(BH19,'Tablas Magia'!$D$6:$Z$680,7,FALSE))</f>
        <v>#N/A</v>
      </c>
      <c r="BK21" s="1150" t="e">
        <f>IF(BH19=0,"",VLOOKUP(BH19,'Tablas Magia'!$D$6:$Z$680,11,FALSE))</f>
        <v>#N/A</v>
      </c>
      <c r="BL21" s="1151" t="e">
        <f>IF(BH19=0,"",VLOOKUP(BH19,'Tablas Magia'!$D$6:$Z$680,15,FALSE))</f>
        <v>#N/A</v>
      </c>
      <c r="BM21" s="5475" t="e">
        <f>IF(BH19=0,"",VLOOKUP(BH19,'Tablas Magia'!$D$6:$Z$680,19,FALSE))</f>
        <v>#N/A</v>
      </c>
      <c r="BN21" s="5476"/>
      <c r="BO21" s="5476"/>
      <c r="BP21" s="5476"/>
      <c r="BQ21" s="5476"/>
      <c r="BR21" s="5476"/>
      <c r="BS21" s="5476"/>
      <c r="BT21" s="5476"/>
      <c r="BU21" s="5476"/>
      <c r="BV21" s="5477"/>
      <c r="BW21" s="1131"/>
      <c r="BX21" s="1125"/>
      <c r="BY21" s="1125"/>
      <c r="BZ21" s="2110"/>
      <c r="CA21" s="5473" t="s">
        <v>1674</v>
      </c>
      <c r="CB21" s="5474"/>
      <c r="CC21" s="1150" t="e">
        <f>IF(CA19=0,"",VLOOKUP(CA19,'Tablas Magia'!$D$6:$Z$680,7,FALSE))</f>
        <v>#N/A</v>
      </c>
      <c r="CD21" s="1150" t="e">
        <f>IF(CA19=0,"",VLOOKUP(CA19,'Tablas Magia'!$D$6:$Z$680,11,FALSE))</f>
        <v>#N/A</v>
      </c>
      <c r="CE21" s="1151" t="e">
        <f>IF(CA19=0,"",VLOOKUP(CA19,'Tablas Magia'!$D$6:$Z$680,15,FALSE))</f>
        <v>#N/A</v>
      </c>
      <c r="CF21" s="5475" t="e">
        <f>IF(CA19=0,"",VLOOKUP(CA19,'Tablas Magia'!$D$6:$Z$680,19,FALSE))</f>
        <v>#N/A</v>
      </c>
      <c r="CG21" s="5476"/>
      <c r="CH21" s="5476"/>
      <c r="CI21" s="5476"/>
      <c r="CJ21" s="5476"/>
      <c r="CK21" s="5476"/>
      <c r="CL21" s="5476"/>
      <c r="CM21" s="5476"/>
      <c r="CN21" s="5476"/>
      <c r="CO21" s="5477"/>
      <c r="CP21" s="1131"/>
      <c r="CQ21" s="1125"/>
    </row>
    <row r="22" spans="1:95" ht="12" customHeight="1" x14ac:dyDescent="0.2">
      <c r="A22" s="1125"/>
      <c r="B22" s="2096"/>
      <c r="C22" s="5468" t="s">
        <v>4572</v>
      </c>
      <c r="D22" s="5469"/>
      <c r="E22" s="1152" t="e">
        <f>IF(C19=0,"",VLOOKUP(C19,'Tablas Magia'!$D$6:$Z$680,8,FALSE))</f>
        <v>#N/A</v>
      </c>
      <c r="F22" s="1152" t="e">
        <f>IF(C19=0,"",VLOOKUP(C19,'Tablas Magia'!$D$6:$Z$680,12,FALSE))</f>
        <v>#N/A</v>
      </c>
      <c r="G22" s="1153" t="e">
        <f>IF(C19=0,"",VLOOKUP(C19,'Tablas Magia'!$D$6:$Z$680,16,FALSE))</f>
        <v>#N/A</v>
      </c>
      <c r="H22" s="5470" t="e">
        <f>IF(C19=0,"",VLOOKUP(C19,'Tablas Magia'!$D$6:$Z$680,20,FALSE))</f>
        <v>#N/A</v>
      </c>
      <c r="I22" s="5471"/>
      <c r="J22" s="5471"/>
      <c r="K22" s="5471"/>
      <c r="L22" s="5471"/>
      <c r="M22" s="5471"/>
      <c r="N22" s="5471"/>
      <c r="O22" s="5471"/>
      <c r="P22" s="5471"/>
      <c r="Q22" s="5472"/>
      <c r="R22" s="1131"/>
      <c r="S22" s="1125"/>
      <c r="T22" s="1125"/>
      <c r="U22" s="2096"/>
      <c r="V22" s="5468" t="s">
        <v>4572</v>
      </c>
      <c r="W22" s="5469"/>
      <c r="X22" s="1152" t="e">
        <f>IF(V19=0,"",VLOOKUP(V19,'Tablas Magia'!$D$6:$Z$680,8,FALSE))</f>
        <v>#N/A</v>
      </c>
      <c r="Y22" s="1152" t="e">
        <f>IF(V19=0,"",VLOOKUP(V19,'Tablas Magia'!$D$6:$Z$680,12,FALSE))</f>
        <v>#N/A</v>
      </c>
      <c r="Z22" s="1153" t="e">
        <f>IF(V19=0,"",VLOOKUP(V19,'Tablas Magia'!$D$6:$Z$680,16,FALSE))</f>
        <v>#N/A</v>
      </c>
      <c r="AA22" s="5470" t="e">
        <f>IF(V19=0,"",VLOOKUP(V19,'Tablas Magia'!$D$6:$Z$680,20,FALSE))</f>
        <v>#N/A</v>
      </c>
      <c r="AB22" s="5471"/>
      <c r="AC22" s="5471"/>
      <c r="AD22" s="5471"/>
      <c r="AE22" s="5471"/>
      <c r="AF22" s="5471"/>
      <c r="AG22" s="5471"/>
      <c r="AH22" s="5471"/>
      <c r="AI22" s="5471"/>
      <c r="AJ22" s="5472"/>
      <c r="AK22" s="1131"/>
      <c r="AL22" s="1125"/>
      <c r="AM22" s="1125"/>
      <c r="AN22" s="2110"/>
      <c r="AO22" s="5468" t="s">
        <v>4572</v>
      </c>
      <c r="AP22" s="5469"/>
      <c r="AQ22" s="1152" t="e">
        <f>IF(AO19=0,"",VLOOKUP(AO19,'Tablas Magia'!$D$6:$Z$680,8,FALSE))</f>
        <v>#N/A</v>
      </c>
      <c r="AR22" s="1152" t="e">
        <f>IF(AO19=0,"",VLOOKUP(AO19,'Tablas Magia'!$D$6:$Z$680,12,FALSE))</f>
        <v>#N/A</v>
      </c>
      <c r="AS22" s="1153" t="e">
        <f>IF(AO19=0,"",VLOOKUP(AO19,'Tablas Magia'!$D$6:$Z$680,16,FALSE))</f>
        <v>#N/A</v>
      </c>
      <c r="AT22" s="5470" t="e">
        <f>IF(AO19=0,"",VLOOKUP(AO19,'Tablas Magia'!$D$6:$Z$680,20,FALSE))</f>
        <v>#N/A</v>
      </c>
      <c r="AU22" s="5471"/>
      <c r="AV22" s="5471"/>
      <c r="AW22" s="5471"/>
      <c r="AX22" s="5471"/>
      <c r="AY22" s="5471"/>
      <c r="AZ22" s="5471"/>
      <c r="BA22" s="5471"/>
      <c r="BB22" s="5471"/>
      <c r="BC22" s="5472"/>
      <c r="BD22" s="1131"/>
      <c r="BE22" s="1125"/>
      <c r="BF22" s="1125"/>
      <c r="BG22" s="2110"/>
      <c r="BH22" s="5468" t="s">
        <v>4572</v>
      </c>
      <c r="BI22" s="5469"/>
      <c r="BJ22" s="1152" t="e">
        <f>IF(BH19=0,"",VLOOKUP(BH19,'Tablas Magia'!$D$6:$Z$680,8,FALSE))</f>
        <v>#N/A</v>
      </c>
      <c r="BK22" s="1152" t="e">
        <f>IF(BH19=0,"",VLOOKUP(BH19,'Tablas Magia'!$D$6:$Z$680,12,FALSE))</f>
        <v>#N/A</v>
      </c>
      <c r="BL22" s="1153" t="e">
        <f>IF(BH19=0,"",VLOOKUP(BH19,'Tablas Magia'!$D$6:$Z$680,16,FALSE))</f>
        <v>#N/A</v>
      </c>
      <c r="BM22" s="5470" t="e">
        <f>IF(BH19=0,"",VLOOKUP(BH19,'Tablas Magia'!$D$6:$Z$680,20,FALSE))</f>
        <v>#N/A</v>
      </c>
      <c r="BN22" s="5471"/>
      <c r="BO22" s="5471"/>
      <c r="BP22" s="5471"/>
      <c r="BQ22" s="5471"/>
      <c r="BR22" s="5471"/>
      <c r="BS22" s="5471"/>
      <c r="BT22" s="5471"/>
      <c r="BU22" s="5471"/>
      <c r="BV22" s="5472"/>
      <c r="BW22" s="1131"/>
      <c r="BX22" s="1125"/>
      <c r="BY22" s="1125"/>
      <c r="BZ22" s="2110"/>
      <c r="CA22" s="5468" t="s">
        <v>4572</v>
      </c>
      <c r="CB22" s="5469"/>
      <c r="CC22" s="1152" t="e">
        <f>IF(CA19=0,"",VLOOKUP(CA19,'Tablas Magia'!$D$6:$Z$680,8,FALSE))</f>
        <v>#N/A</v>
      </c>
      <c r="CD22" s="1152" t="e">
        <f>IF(CA19=0,"",VLOOKUP(CA19,'Tablas Magia'!$D$6:$Z$680,12,FALSE))</f>
        <v>#N/A</v>
      </c>
      <c r="CE22" s="1153" t="e">
        <f>IF(CA19=0,"",VLOOKUP(CA19,'Tablas Magia'!$D$6:$Z$680,16,FALSE))</f>
        <v>#N/A</v>
      </c>
      <c r="CF22" s="5470" t="e">
        <f>IF(CA19=0,"",VLOOKUP(CA19,'Tablas Magia'!$D$6:$Z$680,20,FALSE))</f>
        <v>#N/A</v>
      </c>
      <c r="CG22" s="5471"/>
      <c r="CH22" s="5471"/>
      <c r="CI22" s="5471"/>
      <c r="CJ22" s="5471"/>
      <c r="CK22" s="5471"/>
      <c r="CL22" s="5471"/>
      <c r="CM22" s="5471"/>
      <c r="CN22" s="5471"/>
      <c r="CO22" s="5472"/>
      <c r="CP22" s="1131"/>
      <c r="CQ22" s="1125"/>
    </row>
    <row r="23" spans="1:95" ht="12" customHeight="1" x14ac:dyDescent="0.2">
      <c r="A23" s="1125"/>
      <c r="B23" s="2096"/>
      <c r="C23" s="5473" t="s">
        <v>4573</v>
      </c>
      <c r="D23" s="5474"/>
      <c r="E23" s="1150" t="e">
        <f>IF(C19=0,"",VLOOKUP(C19,'Tablas Magia'!$D$6:$Z$680,9,FALSE))</f>
        <v>#N/A</v>
      </c>
      <c r="F23" s="1150" t="e">
        <f>IF(C19=0,"",VLOOKUP(C19,'Tablas Magia'!$D$6:$Z$680,13,FALSE))</f>
        <v>#N/A</v>
      </c>
      <c r="G23" s="1151" t="e">
        <f>IF(C19=0,"",VLOOKUP(C19,'Tablas Magia'!$D$6:$Z$680,17,FALSE))</f>
        <v>#N/A</v>
      </c>
      <c r="H23" s="5475" t="e">
        <f>IF(C19=0,"",VLOOKUP(C19,'Tablas Magia'!$D$6:$Z$680,21,FALSE))</f>
        <v>#N/A</v>
      </c>
      <c r="I23" s="5476"/>
      <c r="J23" s="5476"/>
      <c r="K23" s="5476"/>
      <c r="L23" s="5476"/>
      <c r="M23" s="5476"/>
      <c r="N23" s="5476"/>
      <c r="O23" s="5476"/>
      <c r="P23" s="5476"/>
      <c r="Q23" s="5477"/>
      <c r="R23" s="1131"/>
      <c r="S23" s="1125"/>
      <c r="T23" s="1125"/>
      <c r="U23" s="2096"/>
      <c r="V23" s="5473" t="s">
        <v>4573</v>
      </c>
      <c r="W23" s="5474"/>
      <c r="X23" s="1150" t="e">
        <f>IF(V19=0,"",VLOOKUP(V19,'Tablas Magia'!$D$6:$Z$680,9,FALSE))</f>
        <v>#N/A</v>
      </c>
      <c r="Y23" s="1150" t="e">
        <f>IF(V19=0,"",VLOOKUP(V19,'Tablas Magia'!$D$6:$Z$680,13,FALSE))</f>
        <v>#N/A</v>
      </c>
      <c r="Z23" s="1151" t="e">
        <f>IF(V19=0,"",VLOOKUP(V19,'Tablas Magia'!$D$6:$Z$680,17,FALSE))</f>
        <v>#N/A</v>
      </c>
      <c r="AA23" s="5475" t="e">
        <f>IF(V19=0,"",VLOOKUP(V19,'Tablas Magia'!$D$6:$Z$680,21,FALSE))</f>
        <v>#N/A</v>
      </c>
      <c r="AB23" s="5476"/>
      <c r="AC23" s="5476"/>
      <c r="AD23" s="5476"/>
      <c r="AE23" s="5476"/>
      <c r="AF23" s="5476"/>
      <c r="AG23" s="5476"/>
      <c r="AH23" s="5476"/>
      <c r="AI23" s="5476"/>
      <c r="AJ23" s="5477"/>
      <c r="AK23" s="1131"/>
      <c r="AL23" s="1125"/>
      <c r="AM23" s="1125"/>
      <c r="AN23" s="2110"/>
      <c r="AO23" s="5473" t="s">
        <v>4573</v>
      </c>
      <c r="AP23" s="5474"/>
      <c r="AQ23" s="1150" t="e">
        <f>IF(AO19=0,"",VLOOKUP(AO19,'Tablas Magia'!$D$6:$Z$680,9,FALSE))</f>
        <v>#N/A</v>
      </c>
      <c r="AR23" s="1150" t="e">
        <f>IF(AO19=0,"",VLOOKUP(AO19,'Tablas Magia'!$D$6:$Z$680,13,FALSE))</f>
        <v>#N/A</v>
      </c>
      <c r="AS23" s="1151" t="e">
        <f>IF(AO19=0,"",VLOOKUP(AO19,'Tablas Magia'!$D$6:$Z$680,17,FALSE))</f>
        <v>#N/A</v>
      </c>
      <c r="AT23" s="5475" t="e">
        <f>IF(AO19=0,"",VLOOKUP(AO19,'Tablas Magia'!$D$6:$Z$680,21,FALSE))</f>
        <v>#N/A</v>
      </c>
      <c r="AU23" s="5476"/>
      <c r="AV23" s="5476"/>
      <c r="AW23" s="5476"/>
      <c r="AX23" s="5476"/>
      <c r="AY23" s="5476"/>
      <c r="AZ23" s="5476"/>
      <c r="BA23" s="5476"/>
      <c r="BB23" s="5476"/>
      <c r="BC23" s="5477"/>
      <c r="BD23" s="1131"/>
      <c r="BE23" s="1125"/>
      <c r="BF23" s="1125"/>
      <c r="BG23" s="2110"/>
      <c r="BH23" s="5473" t="s">
        <v>4573</v>
      </c>
      <c r="BI23" s="5474"/>
      <c r="BJ23" s="1150" t="e">
        <f>IF(BH19=0,"",VLOOKUP(BH19,'Tablas Magia'!$D$6:$Z$680,9,FALSE))</f>
        <v>#N/A</v>
      </c>
      <c r="BK23" s="1150" t="e">
        <f>IF(BH19=0,"",VLOOKUP(BH19,'Tablas Magia'!$D$6:$Z$680,13,FALSE))</f>
        <v>#N/A</v>
      </c>
      <c r="BL23" s="1151" t="e">
        <f>IF(BH19=0,"",VLOOKUP(BH19,'Tablas Magia'!$D$6:$Z$680,17,FALSE))</f>
        <v>#N/A</v>
      </c>
      <c r="BM23" s="5475" t="e">
        <f>IF(BH19=0,"",VLOOKUP(BH19,'Tablas Magia'!$D$6:$Z$680,21,FALSE))</f>
        <v>#N/A</v>
      </c>
      <c r="BN23" s="5476"/>
      <c r="BO23" s="5476"/>
      <c r="BP23" s="5476"/>
      <c r="BQ23" s="5476"/>
      <c r="BR23" s="5476"/>
      <c r="BS23" s="5476"/>
      <c r="BT23" s="5476"/>
      <c r="BU23" s="5476"/>
      <c r="BV23" s="5477"/>
      <c r="BW23" s="1131"/>
      <c r="BX23" s="1125"/>
      <c r="BY23" s="1125"/>
      <c r="BZ23" s="2110"/>
      <c r="CA23" s="5473" t="s">
        <v>4573</v>
      </c>
      <c r="CB23" s="5474"/>
      <c r="CC23" s="1150" t="e">
        <f>IF(CA19=0,"",VLOOKUP(CA19,'Tablas Magia'!$D$6:$Z$680,9,FALSE))</f>
        <v>#N/A</v>
      </c>
      <c r="CD23" s="1150" t="e">
        <f>IF(CA19=0,"",VLOOKUP(CA19,'Tablas Magia'!$D$6:$Z$680,13,FALSE))</f>
        <v>#N/A</v>
      </c>
      <c r="CE23" s="1151" t="e">
        <f>IF(CA19=0,"",VLOOKUP(CA19,'Tablas Magia'!$D$6:$Z$680,17,FALSE))</f>
        <v>#N/A</v>
      </c>
      <c r="CF23" s="5475" t="e">
        <f>IF(CA19=0,"",VLOOKUP(CA19,'Tablas Magia'!$D$6:$Z$680,21,FALSE))</f>
        <v>#N/A</v>
      </c>
      <c r="CG23" s="5476"/>
      <c r="CH23" s="5476"/>
      <c r="CI23" s="5476"/>
      <c r="CJ23" s="5476"/>
      <c r="CK23" s="5476"/>
      <c r="CL23" s="5476"/>
      <c r="CM23" s="5476"/>
      <c r="CN23" s="5476"/>
      <c r="CO23" s="5477"/>
      <c r="CP23" s="1131"/>
      <c r="CQ23" s="1125"/>
    </row>
    <row r="24" spans="1:95" ht="12" customHeight="1" thickBot="1" x14ac:dyDescent="0.25">
      <c r="A24" s="1125"/>
      <c r="B24" s="2096"/>
      <c r="C24" s="5483" t="s">
        <v>4574</v>
      </c>
      <c r="D24" s="5484"/>
      <c r="E24" s="1154" t="e">
        <f>IF(C19=0,"",VLOOKUP(C19,'Tablas Magia'!$D$6:$Z$680,10,FALSE))</f>
        <v>#N/A</v>
      </c>
      <c r="F24" s="1154" t="e">
        <f>IF(C19=0,"",VLOOKUP(C19,'Tablas Magia'!$D$6:$Z$680,14,FALSE))</f>
        <v>#N/A</v>
      </c>
      <c r="G24" s="1155" t="e">
        <f>IF(C19=0,"",VLOOKUP(C19,'Tablas Magia'!$D$6:$Z$680,18,FALSE))</f>
        <v>#N/A</v>
      </c>
      <c r="H24" s="5485" t="e">
        <f>IF(C19=0,"",VLOOKUP(C19,'Tablas Magia'!$D$6:$Z$680,22,FALSE))</f>
        <v>#N/A</v>
      </c>
      <c r="I24" s="5486"/>
      <c r="J24" s="5486"/>
      <c r="K24" s="5486"/>
      <c r="L24" s="5486"/>
      <c r="M24" s="5486"/>
      <c r="N24" s="5486"/>
      <c r="O24" s="5486"/>
      <c r="P24" s="5486"/>
      <c r="Q24" s="5487"/>
      <c r="R24" s="1131"/>
      <c r="S24" s="1125"/>
      <c r="T24" s="1125"/>
      <c r="U24" s="2096"/>
      <c r="V24" s="5483" t="s">
        <v>4574</v>
      </c>
      <c r="W24" s="5484"/>
      <c r="X24" s="1154" t="e">
        <f>IF(V19=0,"",VLOOKUP(V19,'Tablas Magia'!$D$6:$Z$680,10,FALSE))</f>
        <v>#N/A</v>
      </c>
      <c r="Y24" s="1154" t="e">
        <f>IF(V19=0,"",VLOOKUP(V19,'Tablas Magia'!$D$6:$Z$680,14,FALSE))</f>
        <v>#N/A</v>
      </c>
      <c r="Z24" s="1155" t="e">
        <f>IF(V19=0,"",VLOOKUP(V19,'Tablas Magia'!$D$6:$Z$680,18,FALSE))</f>
        <v>#N/A</v>
      </c>
      <c r="AA24" s="5485" t="e">
        <f>IF(V19=0,"",VLOOKUP(V19,'Tablas Magia'!$D$6:$Z$680,22,FALSE))</f>
        <v>#N/A</v>
      </c>
      <c r="AB24" s="5486"/>
      <c r="AC24" s="5486"/>
      <c r="AD24" s="5486"/>
      <c r="AE24" s="5486"/>
      <c r="AF24" s="5486"/>
      <c r="AG24" s="5486"/>
      <c r="AH24" s="5486"/>
      <c r="AI24" s="5486"/>
      <c r="AJ24" s="5487"/>
      <c r="AK24" s="1131"/>
      <c r="AL24" s="1125"/>
      <c r="AM24" s="1125"/>
      <c r="AN24" s="2110"/>
      <c r="AO24" s="5483" t="s">
        <v>4574</v>
      </c>
      <c r="AP24" s="5484"/>
      <c r="AQ24" s="1154" t="e">
        <f>IF(AO19=0,"",VLOOKUP(AO19,'Tablas Magia'!$D$6:$Z$680,10,FALSE))</f>
        <v>#N/A</v>
      </c>
      <c r="AR24" s="1154" t="e">
        <f>IF(AO19=0,"",VLOOKUP(AO19,'Tablas Magia'!$D$6:$Z$680,14,FALSE))</f>
        <v>#N/A</v>
      </c>
      <c r="AS24" s="1155" t="e">
        <f>IF(AO19=0,"",VLOOKUP(AO19,'Tablas Magia'!$D$6:$Z$680,18,FALSE))</f>
        <v>#N/A</v>
      </c>
      <c r="AT24" s="5485" t="e">
        <f>IF(AO19=0,"",VLOOKUP(AO19,'Tablas Magia'!$D$6:$Z$680,22,FALSE))</f>
        <v>#N/A</v>
      </c>
      <c r="AU24" s="5486"/>
      <c r="AV24" s="5486"/>
      <c r="AW24" s="5486"/>
      <c r="AX24" s="5486"/>
      <c r="AY24" s="5486"/>
      <c r="AZ24" s="5486"/>
      <c r="BA24" s="5486"/>
      <c r="BB24" s="5486"/>
      <c r="BC24" s="5487"/>
      <c r="BD24" s="1131"/>
      <c r="BE24" s="1125"/>
      <c r="BF24" s="1125"/>
      <c r="BG24" s="2110"/>
      <c r="BH24" s="5483" t="s">
        <v>4574</v>
      </c>
      <c r="BI24" s="5484"/>
      <c r="BJ24" s="1154" t="e">
        <f>IF(BH19=0,"",VLOOKUP(BH19,'Tablas Magia'!$D$6:$Z$680,10,FALSE))</f>
        <v>#N/A</v>
      </c>
      <c r="BK24" s="1154" t="e">
        <f>IF(BH19=0,"",VLOOKUP(BH19,'Tablas Magia'!$D$6:$Z$680,14,FALSE))</f>
        <v>#N/A</v>
      </c>
      <c r="BL24" s="1155" t="e">
        <f>IF(BH19=0,"",VLOOKUP(BH19,'Tablas Magia'!$D$6:$Z$680,18,FALSE))</f>
        <v>#N/A</v>
      </c>
      <c r="BM24" s="5485" t="e">
        <f>IF(BH19=0,"",VLOOKUP(BH19,'Tablas Magia'!$D$6:$Z$680,22,FALSE))</f>
        <v>#N/A</v>
      </c>
      <c r="BN24" s="5486"/>
      <c r="BO24" s="5486"/>
      <c r="BP24" s="5486"/>
      <c r="BQ24" s="5486"/>
      <c r="BR24" s="5486"/>
      <c r="BS24" s="5486"/>
      <c r="BT24" s="5486"/>
      <c r="BU24" s="5486"/>
      <c r="BV24" s="5487"/>
      <c r="BW24" s="1131"/>
      <c r="BX24" s="1125"/>
      <c r="BY24" s="1125"/>
      <c r="BZ24" s="2110"/>
      <c r="CA24" s="5483" t="s">
        <v>4574</v>
      </c>
      <c r="CB24" s="5484"/>
      <c r="CC24" s="1154" t="e">
        <f>IF(CA19=0,"",VLOOKUP(CA19,'Tablas Magia'!$D$6:$Z$680,10,FALSE))</f>
        <v>#N/A</v>
      </c>
      <c r="CD24" s="1154" t="e">
        <f>IF(CA19=0,"",VLOOKUP(CA19,'Tablas Magia'!$D$6:$Z$680,14,FALSE))</f>
        <v>#N/A</v>
      </c>
      <c r="CE24" s="1155" t="e">
        <f>IF(CA19=0,"",VLOOKUP(CA19,'Tablas Magia'!$D$6:$Z$680,18,FALSE))</f>
        <v>#N/A</v>
      </c>
      <c r="CF24" s="5485" t="e">
        <f>IF(CA19=0,"",VLOOKUP(CA19,'Tablas Magia'!$D$6:$Z$680,22,FALSE))</f>
        <v>#N/A</v>
      </c>
      <c r="CG24" s="5486"/>
      <c r="CH24" s="5486"/>
      <c r="CI24" s="5486"/>
      <c r="CJ24" s="5486"/>
      <c r="CK24" s="5486"/>
      <c r="CL24" s="5486"/>
      <c r="CM24" s="5486"/>
      <c r="CN24" s="5486"/>
      <c r="CO24" s="5487"/>
      <c r="CP24" s="1131"/>
      <c r="CQ24" s="1125"/>
    </row>
    <row r="25" spans="1:95" ht="12" customHeight="1" x14ac:dyDescent="0.2">
      <c r="A25" s="1125"/>
      <c r="B25" s="2096"/>
      <c r="C25" s="5488" t="e">
        <f>IF(C19=0,"",VLOOKUP(C19,'Tablas Magia'!$D$6:$Z$680,23,FALSE))</f>
        <v>#N/A</v>
      </c>
      <c r="D25" s="5489"/>
      <c r="E25" s="5489"/>
      <c r="F25" s="5489"/>
      <c r="G25" s="5489"/>
      <c r="H25" s="5489"/>
      <c r="I25" s="5489"/>
      <c r="J25" s="5489"/>
      <c r="K25" s="5489"/>
      <c r="L25" s="5489"/>
      <c r="M25" s="5489"/>
      <c r="N25" s="5489"/>
      <c r="O25" s="5489"/>
      <c r="P25" s="5489"/>
      <c r="Q25" s="5490"/>
      <c r="R25" s="1131"/>
      <c r="S25" s="1125"/>
      <c r="T25" s="1125"/>
      <c r="U25" s="2096"/>
      <c r="V25" s="5488" t="e">
        <f>IF(V19=0,"",VLOOKUP(V19,'Tablas Magia'!$D$6:$Z$680,23,FALSE))</f>
        <v>#N/A</v>
      </c>
      <c r="W25" s="5489"/>
      <c r="X25" s="5489"/>
      <c r="Y25" s="5489"/>
      <c r="Z25" s="5489"/>
      <c r="AA25" s="5489"/>
      <c r="AB25" s="5489"/>
      <c r="AC25" s="5489"/>
      <c r="AD25" s="5489"/>
      <c r="AE25" s="5489"/>
      <c r="AF25" s="5489"/>
      <c r="AG25" s="5489"/>
      <c r="AH25" s="5489"/>
      <c r="AI25" s="5489"/>
      <c r="AJ25" s="5490"/>
      <c r="AK25" s="1131"/>
      <c r="AL25" s="1125"/>
      <c r="AM25" s="1125"/>
      <c r="AN25" s="2110"/>
      <c r="AO25" s="5488" t="e">
        <f>IF(AO19=0,"",VLOOKUP(AO19,'Tablas Magia'!$D$6:$Z$680,23,FALSE))</f>
        <v>#N/A</v>
      </c>
      <c r="AP25" s="5489"/>
      <c r="AQ25" s="5489"/>
      <c r="AR25" s="5489"/>
      <c r="AS25" s="5489"/>
      <c r="AT25" s="5489"/>
      <c r="AU25" s="5489"/>
      <c r="AV25" s="5489"/>
      <c r="AW25" s="5489"/>
      <c r="AX25" s="5489"/>
      <c r="AY25" s="5489"/>
      <c r="AZ25" s="5489"/>
      <c r="BA25" s="5489"/>
      <c r="BB25" s="5489"/>
      <c r="BC25" s="5490"/>
      <c r="BD25" s="1131"/>
      <c r="BE25" s="1125"/>
      <c r="BF25" s="1125"/>
      <c r="BG25" s="2110"/>
      <c r="BH25" s="5488" t="e">
        <f>IF(BH19=0,"",VLOOKUP(BH19,'Tablas Magia'!$D$6:$Z$680,23,FALSE))</f>
        <v>#N/A</v>
      </c>
      <c r="BI25" s="5489"/>
      <c r="BJ25" s="5489"/>
      <c r="BK25" s="5489"/>
      <c r="BL25" s="5489"/>
      <c r="BM25" s="5489"/>
      <c r="BN25" s="5489"/>
      <c r="BO25" s="5489"/>
      <c r="BP25" s="5489"/>
      <c r="BQ25" s="5489"/>
      <c r="BR25" s="5489"/>
      <c r="BS25" s="5489"/>
      <c r="BT25" s="5489"/>
      <c r="BU25" s="5489"/>
      <c r="BV25" s="5490"/>
      <c r="BW25" s="1131"/>
      <c r="BX25" s="1125"/>
      <c r="BY25" s="1125"/>
      <c r="BZ25" s="2110"/>
      <c r="CA25" s="5488" t="e">
        <f>IF(CA19=0,"",VLOOKUP(CA19,'Tablas Magia'!$D$6:$Z$680,23,FALSE))</f>
        <v>#N/A</v>
      </c>
      <c r="CB25" s="5489"/>
      <c r="CC25" s="5489"/>
      <c r="CD25" s="5489"/>
      <c r="CE25" s="5489"/>
      <c r="CF25" s="5489"/>
      <c r="CG25" s="5489"/>
      <c r="CH25" s="5489"/>
      <c r="CI25" s="5489"/>
      <c r="CJ25" s="5489"/>
      <c r="CK25" s="5489"/>
      <c r="CL25" s="5489"/>
      <c r="CM25" s="5489"/>
      <c r="CN25" s="5489"/>
      <c r="CO25" s="5490"/>
      <c r="CP25" s="1131"/>
      <c r="CQ25" s="1125"/>
    </row>
    <row r="26" spans="1:95" ht="12" customHeight="1" x14ac:dyDescent="0.2">
      <c r="A26" s="1125"/>
      <c r="B26" s="2096"/>
      <c r="C26" s="5491"/>
      <c r="D26" s="5492"/>
      <c r="E26" s="5492"/>
      <c r="F26" s="5492"/>
      <c r="G26" s="5492"/>
      <c r="H26" s="5492"/>
      <c r="I26" s="5492"/>
      <c r="J26" s="5492"/>
      <c r="K26" s="5492"/>
      <c r="L26" s="5492"/>
      <c r="M26" s="5492"/>
      <c r="N26" s="5492"/>
      <c r="O26" s="5492"/>
      <c r="P26" s="5492"/>
      <c r="Q26" s="5493"/>
      <c r="R26" s="1131"/>
      <c r="S26" s="1125"/>
      <c r="T26" s="1125"/>
      <c r="U26" s="2096"/>
      <c r="V26" s="5491"/>
      <c r="W26" s="5492"/>
      <c r="X26" s="5492"/>
      <c r="Y26" s="5492"/>
      <c r="Z26" s="5492"/>
      <c r="AA26" s="5492"/>
      <c r="AB26" s="5492"/>
      <c r="AC26" s="5492"/>
      <c r="AD26" s="5492"/>
      <c r="AE26" s="5492"/>
      <c r="AF26" s="5492"/>
      <c r="AG26" s="5492"/>
      <c r="AH26" s="5492"/>
      <c r="AI26" s="5492"/>
      <c r="AJ26" s="5493"/>
      <c r="AK26" s="1131"/>
      <c r="AL26" s="1125"/>
      <c r="AM26" s="1125"/>
      <c r="AN26" s="2110"/>
      <c r="AO26" s="5491"/>
      <c r="AP26" s="5492"/>
      <c r="AQ26" s="5492"/>
      <c r="AR26" s="5492"/>
      <c r="AS26" s="5492"/>
      <c r="AT26" s="5492"/>
      <c r="AU26" s="5492"/>
      <c r="AV26" s="5492"/>
      <c r="AW26" s="5492"/>
      <c r="AX26" s="5492"/>
      <c r="AY26" s="5492"/>
      <c r="AZ26" s="5492"/>
      <c r="BA26" s="5492"/>
      <c r="BB26" s="5492"/>
      <c r="BC26" s="5493"/>
      <c r="BD26" s="1131"/>
      <c r="BE26" s="1125"/>
      <c r="BF26" s="1125"/>
      <c r="BG26" s="2110"/>
      <c r="BH26" s="5491"/>
      <c r="BI26" s="5492"/>
      <c r="BJ26" s="5492"/>
      <c r="BK26" s="5492"/>
      <c r="BL26" s="5492"/>
      <c r="BM26" s="5492"/>
      <c r="BN26" s="5492"/>
      <c r="BO26" s="5492"/>
      <c r="BP26" s="5492"/>
      <c r="BQ26" s="5492"/>
      <c r="BR26" s="5492"/>
      <c r="BS26" s="5492"/>
      <c r="BT26" s="5492"/>
      <c r="BU26" s="5492"/>
      <c r="BV26" s="5493"/>
      <c r="BW26" s="1131"/>
      <c r="BX26" s="1125"/>
      <c r="BY26" s="1125"/>
      <c r="BZ26" s="2110"/>
      <c r="CA26" s="5491"/>
      <c r="CB26" s="5492"/>
      <c r="CC26" s="5492"/>
      <c r="CD26" s="5492"/>
      <c r="CE26" s="5492"/>
      <c r="CF26" s="5492"/>
      <c r="CG26" s="5492"/>
      <c r="CH26" s="5492"/>
      <c r="CI26" s="5492"/>
      <c r="CJ26" s="5492"/>
      <c r="CK26" s="5492"/>
      <c r="CL26" s="5492"/>
      <c r="CM26" s="5492"/>
      <c r="CN26" s="5492"/>
      <c r="CO26" s="5493"/>
      <c r="CP26" s="1131"/>
      <c r="CQ26" s="1125"/>
    </row>
    <row r="27" spans="1:95" ht="12" customHeight="1" x14ac:dyDescent="0.2">
      <c r="A27" s="1125"/>
      <c r="B27" s="2096"/>
      <c r="C27" s="5491"/>
      <c r="D27" s="5492"/>
      <c r="E27" s="5492"/>
      <c r="F27" s="5492"/>
      <c r="G27" s="5492"/>
      <c r="H27" s="5492"/>
      <c r="I27" s="5492"/>
      <c r="J27" s="5492"/>
      <c r="K27" s="5492"/>
      <c r="L27" s="5492"/>
      <c r="M27" s="5492"/>
      <c r="N27" s="5492"/>
      <c r="O27" s="5492"/>
      <c r="P27" s="5492"/>
      <c r="Q27" s="5493"/>
      <c r="R27" s="1131"/>
      <c r="S27" s="1125"/>
      <c r="T27" s="1125"/>
      <c r="U27" s="2096"/>
      <c r="V27" s="5491"/>
      <c r="W27" s="5492"/>
      <c r="X27" s="5492"/>
      <c r="Y27" s="5492"/>
      <c r="Z27" s="5492"/>
      <c r="AA27" s="5492"/>
      <c r="AB27" s="5492"/>
      <c r="AC27" s="5492"/>
      <c r="AD27" s="5492"/>
      <c r="AE27" s="5492"/>
      <c r="AF27" s="5492"/>
      <c r="AG27" s="5492"/>
      <c r="AH27" s="5492"/>
      <c r="AI27" s="5492"/>
      <c r="AJ27" s="5493"/>
      <c r="AK27" s="1131"/>
      <c r="AL27" s="1125"/>
      <c r="AM27" s="1125"/>
      <c r="AN27" s="2110"/>
      <c r="AO27" s="5491"/>
      <c r="AP27" s="5492"/>
      <c r="AQ27" s="5492"/>
      <c r="AR27" s="5492"/>
      <c r="AS27" s="5492"/>
      <c r="AT27" s="5492"/>
      <c r="AU27" s="5492"/>
      <c r="AV27" s="5492"/>
      <c r="AW27" s="5492"/>
      <c r="AX27" s="5492"/>
      <c r="AY27" s="5492"/>
      <c r="AZ27" s="5492"/>
      <c r="BA27" s="5492"/>
      <c r="BB27" s="5492"/>
      <c r="BC27" s="5493"/>
      <c r="BD27" s="1131"/>
      <c r="BE27" s="1125"/>
      <c r="BF27" s="1125"/>
      <c r="BG27" s="2110"/>
      <c r="BH27" s="5491"/>
      <c r="BI27" s="5492"/>
      <c r="BJ27" s="5492"/>
      <c r="BK27" s="5492"/>
      <c r="BL27" s="5492"/>
      <c r="BM27" s="5492"/>
      <c r="BN27" s="5492"/>
      <c r="BO27" s="5492"/>
      <c r="BP27" s="5492"/>
      <c r="BQ27" s="5492"/>
      <c r="BR27" s="5492"/>
      <c r="BS27" s="5492"/>
      <c r="BT27" s="5492"/>
      <c r="BU27" s="5492"/>
      <c r="BV27" s="5493"/>
      <c r="BW27" s="1131"/>
      <c r="BX27" s="1125"/>
      <c r="BY27" s="1125"/>
      <c r="BZ27" s="2110"/>
      <c r="CA27" s="5491"/>
      <c r="CB27" s="5492"/>
      <c r="CC27" s="5492"/>
      <c r="CD27" s="5492"/>
      <c r="CE27" s="5492"/>
      <c r="CF27" s="5492"/>
      <c r="CG27" s="5492"/>
      <c r="CH27" s="5492"/>
      <c r="CI27" s="5492"/>
      <c r="CJ27" s="5492"/>
      <c r="CK27" s="5492"/>
      <c r="CL27" s="5492"/>
      <c r="CM27" s="5492"/>
      <c r="CN27" s="5492"/>
      <c r="CO27" s="5493"/>
      <c r="CP27" s="1131"/>
      <c r="CQ27" s="1125"/>
    </row>
    <row r="28" spans="1:95" ht="12" customHeight="1" thickBot="1" x14ac:dyDescent="0.25">
      <c r="A28" s="1125"/>
      <c r="B28" s="2096"/>
      <c r="C28" s="5494"/>
      <c r="D28" s="5495"/>
      <c r="E28" s="5495"/>
      <c r="F28" s="5495"/>
      <c r="G28" s="5495"/>
      <c r="H28" s="5495"/>
      <c r="I28" s="5495"/>
      <c r="J28" s="5495"/>
      <c r="K28" s="5495"/>
      <c r="L28" s="5495"/>
      <c r="M28" s="5495"/>
      <c r="N28" s="5495"/>
      <c r="O28" s="5495"/>
      <c r="P28" s="5495"/>
      <c r="Q28" s="5496"/>
      <c r="R28" s="1131"/>
      <c r="S28" s="1125"/>
      <c r="T28" s="1125"/>
      <c r="U28" s="2096"/>
      <c r="V28" s="5494"/>
      <c r="W28" s="5495"/>
      <c r="X28" s="5495"/>
      <c r="Y28" s="5495"/>
      <c r="Z28" s="5495"/>
      <c r="AA28" s="5495"/>
      <c r="AB28" s="5495"/>
      <c r="AC28" s="5495"/>
      <c r="AD28" s="5495"/>
      <c r="AE28" s="5495"/>
      <c r="AF28" s="5495"/>
      <c r="AG28" s="5495"/>
      <c r="AH28" s="5495"/>
      <c r="AI28" s="5495"/>
      <c r="AJ28" s="5496"/>
      <c r="AK28" s="1131"/>
      <c r="AL28" s="1125"/>
      <c r="AM28" s="1125"/>
      <c r="AN28" s="2110"/>
      <c r="AO28" s="5494"/>
      <c r="AP28" s="5495"/>
      <c r="AQ28" s="5495"/>
      <c r="AR28" s="5495"/>
      <c r="AS28" s="5495"/>
      <c r="AT28" s="5495"/>
      <c r="AU28" s="5495"/>
      <c r="AV28" s="5495"/>
      <c r="AW28" s="5495"/>
      <c r="AX28" s="5495"/>
      <c r="AY28" s="5495"/>
      <c r="AZ28" s="5495"/>
      <c r="BA28" s="5495"/>
      <c r="BB28" s="5495"/>
      <c r="BC28" s="5496"/>
      <c r="BD28" s="1131"/>
      <c r="BE28" s="1125"/>
      <c r="BF28" s="1125"/>
      <c r="BG28" s="2110"/>
      <c r="BH28" s="5494"/>
      <c r="BI28" s="5495"/>
      <c r="BJ28" s="5495"/>
      <c r="BK28" s="5495"/>
      <c r="BL28" s="5495"/>
      <c r="BM28" s="5495"/>
      <c r="BN28" s="5495"/>
      <c r="BO28" s="5495"/>
      <c r="BP28" s="5495"/>
      <c r="BQ28" s="5495"/>
      <c r="BR28" s="5495"/>
      <c r="BS28" s="5495"/>
      <c r="BT28" s="5495"/>
      <c r="BU28" s="5495"/>
      <c r="BV28" s="5496"/>
      <c r="BW28" s="1131"/>
      <c r="BX28" s="1125"/>
      <c r="BY28" s="1125"/>
      <c r="BZ28" s="2110"/>
      <c r="CA28" s="5494"/>
      <c r="CB28" s="5495"/>
      <c r="CC28" s="5495"/>
      <c r="CD28" s="5495"/>
      <c r="CE28" s="5495"/>
      <c r="CF28" s="5495"/>
      <c r="CG28" s="5495"/>
      <c r="CH28" s="5495"/>
      <c r="CI28" s="5495"/>
      <c r="CJ28" s="5495"/>
      <c r="CK28" s="5495"/>
      <c r="CL28" s="5495"/>
      <c r="CM28" s="5495"/>
      <c r="CN28" s="5495"/>
      <c r="CO28" s="5496"/>
      <c r="CP28" s="1131"/>
      <c r="CQ28" s="1125"/>
    </row>
    <row r="29" spans="1:95" ht="12" customHeight="1" thickBot="1" x14ac:dyDescent="0.25">
      <c r="A29" s="1125"/>
      <c r="B29" s="2096"/>
      <c r="C29" s="1159"/>
      <c r="D29" s="1159"/>
      <c r="E29" s="1163"/>
      <c r="F29" s="1163"/>
      <c r="G29" s="1163"/>
      <c r="H29" s="1159"/>
      <c r="I29" s="668"/>
      <c r="J29" s="668"/>
      <c r="K29" s="1159"/>
      <c r="L29" s="1159"/>
      <c r="M29" s="668"/>
      <c r="N29" s="668"/>
      <c r="O29" s="1164"/>
      <c r="P29" s="1164"/>
      <c r="Q29" s="668"/>
      <c r="R29" s="1131"/>
      <c r="S29" s="1125"/>
      <c r="T29" s="1125"/>
      <c r="U29" s="2096"/>
      <c r="V29" s="1159"/>
      <c r="W29" s="1159"/>
      <c r="X29" s="1163"/>
      <c r="Y29" s="1163"/>
      <c r="Z29" s="1163"/>
      <c r="AA29" s="1159"/>
      <c r="AB29" s="668"/>
      <c r="AC29" s="668"/>
      <c r="AD29" s="1159"/>
      <c r="AE29" s="1159"/>
      <c r="AF29" s="668"/>
      <c r="AG29" s="668"/>
      <c r="AH29" s="1164"/>
      <c r="AI29" s="1164"/>
      <c r="AJ29" s="668"/>
      <c r="AK29" s="1131"/>
      <c r="AL29" s="1125"/>
      <c r="AM29" s="1125"/>
      <c r="AN29" s="2096"/>
      <c r="AO29" s="1159"/>
      <c r="AP29" s="1159"/>
      <c r="AQ29" s="1163"/>
      <c r="AR29" s="1163"/>
      <c r="AS29" s="1163"/>
      <c r="AT29" s="1159"/>
      <c r="AU29" s="668"/>
      <c r="AV29" s="668"/>
      <c r="AW29" s="1159"/>
      <c r="AX29" s="1159"/>
      <c r="AY29" s="668"/>
      <c r="AZ29" s="668"/>
      <c r="BA29" s="1164"/>
      <c r="BB29" s="1164"/>
      <c r="BC29" s="668"/>
      <c r="BD29" s="1131"/>
      <c r="BE29" s="1125"/>
      <c r="BF29" s="1125"/>
      <c r="BG29" s="2096"/>
      <c r="BH29" s="1159"/>
      <c r="BI29" s="1159"/>
      <c r="BJ29" s="1163"/>
      <c r="BK29" s="1163"/>
      <c r="BL29" s="1163"/>
      <c r="BM29" s="1159"/>
      <c r="BN29" s="668"/>
      <c r="BO29" s="668"/>
      <c r="BP29" s="1159"/>
      <c r="BQ29" s="1159"/>
      <c r="BR29" s="668"/>
      <c r="BS29" s="668"/>
      <c r="BT29" s="1164"/>
      <c r="BU29" s="1164"/>
      <c r="BV29" s="668"/>
      <c r="BW29" s="1131"/>
      <c r="BX29" s="1125"/>
      <c r="BY29" s="1125"/>
      <c r="BZ29" s="2096"/>
      <c r="CA29" s="1159"/>
      <c r="CB29" s="1159"/>
      <c r="CC29" s="1163"/>
      <c r="CD29" s="1163"/>
      <c r="CE29" s="1163"/>
      <c r="CF29" s="1159"/>
      <c r="CG29" s="668"/>
      <c r="CH29" s="668"/>
      <c r="CI29" s="1159"/>
      <c r="CJ29" s="1159"/>
      <c r="CK29" s="668"/>
      <c r="CL29" s="668"/>
      <c r="CM29" s="1164"/>
      <c r="CN29" s="1164"/>
      <c r="CO29" s="668"/>
      <c r="CP29" s="1131"/>
      <c r="CQ29" s="1125"/>
    </row>
    <row r="30" spans="1:95" ht="12" customHeight="1" x14ac:dyDescent="0.2">
      <c r="A30" s="1125"/>
      <c r="B30" s="2096">
        <f>B19+2</f>
        <v>6</v>
      </c>
      <c r="C30" s="5497"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498"/>
      <c r="E30" s="5498"/>
      <c r="F30" s="5498"/>
      <c r="G30" s="5498"/>
      <c r="H30" s="1145" t="s">
        <v>1627</v>
      </c>
      <c r="I30" s="1146">
        <f>B30</f>
        <v>6</v>
      </c>
      <c r="J30" s="5463" t="s">
        <v>7687</v>
      </c>
      <c r="K30" s="5463"/>
      <c r="L30" s="5463"/>
      <c r="M30" s="5464" t="str">
        <f>IF(C30=0,"",VLOOKUP(C30,'Tablas Magia'!$D$6:$Z$680,2,FALSE))</f>
        <v>Luz</v>
      </c>
      <c r="N30" s="5464"/>
      <c r="O30" s="5464"/>
      <c r="P30" s="5464"/>
      <c r="Q30" s="5465"/>
      <c r="R30" s="1131"/>
      <c r="S30" s="1125"/>
      <c r="T30" s="1125"/>
      <c r="U30" s="2096">
        <f>U19+2</f>
        <v>26</v>
      </c>
      <c r="V30" s="5497"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498"/>
      <c r="X30" s="5498"/>
      <c r="Y30" s="5498"/>
      <c r="Z30" s="5498"/>
      <c r="AA30" s="1145" t="s">
        <v>1627</v>
      </c>
      <c r="AB30" s="1146">
        <f>U30</f>
        <v>26</v>
      </c>
      <c r="AC30" s="5463" t="s">
        <v>7687</v>
      </c>
      <c r="AD30" s="5463"/>
      <c r="AE30" s="5463"/>
      <c r="AF30" s="5464" t="str">
        <f>IF(V30=0,"",VLOOKUP(V30,'Tablas Magia'!$D$6:$Z$680,2,FALSE))</f>
        <v>Luz</v>
      </c>
      <c r="AG30" s="5464"/>
      <c r="AH30" s="5464"/>
      <c r="AI30" s="5464"/>
      <c r="AJ30" s="5465"/>
      <c r="AK30" s="1131"/>
      <c r="AL30" s="1125"/>
      <c r="AM30" s="1125"/>
      <c r="AN30" s="2110">
        <f>AN19+2</f>
        <v>46</v>
      </c>
      <c r="AO30" s="5497"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498"/>
      <c r="AQ30" s="5498"/>
      <c r="AR30" s="5498"/>
      <c r="AS30" s="5498"/>
      <c r="AT30" s="1145" t="s">
        <v>1627</v>
      </c>
      <c r="AU30" s="1146">
        <f>AN30</f>
        <v>46</v>
      </c>
      <c r="AV30" s="5463" t="s">
        <v>7687</v>
      </c>
      <c r="AW30" s="5463"/>
      <c r="AX30" s="5463"/>
      <c r="AY30" s="5464" t="str">
        <f>IF(AO30=0,"",VLOOKUP(AO30,'Tablas Magia'!$D$6:$Z$680,2,FALSE))</f>
        <v>Luz</v>
      </c>
      <c r="AZ30" s="5464"/>
      <c r="BA30" s="5464"/>
      <c r="BB30" s="5464"/>
      <c r="BC30" s="5465"/>
      <c r="BD30" s="1131"/>
      <c r="BE30" s="1125"/>
      <c r="BF30" s="1125"/>
      <c r="BG30" s="2110">
        <f>BG19+2</f>
        <v>66</v>
      </c>
      <c r="BH30" s="5497"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498"/>
      <c r="BJ30" s="5498"/>
      <c r="BK30" s="5498"/>
      <c r="BL30" s="5498"/>
      <c r="BM30" s="1145" t="s">
        <v>1627</v>
      </c>
      <c r="BN30" s="1146">
        <f>BG30</f>
        <v>66</v>
      </c>
      <c r="BO30" s="5463" t="s">
        <v>7687</v>
      </c>
      <c r="BP30" s="5463"/>
      <c r="BQ30" s="5463"/>
      <c r="BR30" s="5464" t="str">
        <f>IF(BH30=0,"",VLOOKUP(BH30,'Tablas Magia'!$D$6:$Z$680,2,FALSE))</f>
        <v>Luz</v>
      </c>
      <c r="BS30" s="5464"/>
      <c r="BT30" s="5464"/>
      <c r="BU30" s="5464"/>
      <c r="BV30" s="5465"/>
      <c r="BW30" s="1131"/>
      <c r="BX30" s="1125"/>
      <c r="BY30" s="1125"/>
      <c r="BZ30" s="2110">
        <f>BZ19+2</f>
        <v>86</v>
      </c>
      <c r="CA30" s="5497"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498"/>
      <c r="CC30" s="5498"/>
      <c r="CD30" s="5498"/>
      <c r="CE30" s="5498"/>
      <c r="CF30" s="1145" t="s">
        <v>1627</v>
      </c>
      <c r="CG30" s="1146">
        <f>BZ30</f>
        <v>86</v>
      </c>
      <c r="CH30" s="5463" t="s">
        <v>7687</v>
      </c>
      <c r="CI30" s="5463"/>
      <c r="CJ30" s="5463"/>
      <c r="CK30" s="5464" t="str">
        <f>IF(CA30=0,"",VLOOKUP(CA30,'Tablas Magia'!$D$6:$Z$680,2,FALSE))</f>
        <v>Luz</v>
      </c>
      <c r="CL30" s="5464"/>
      <c r="CM30" s="5464"/>
      <c r="CN30" s="5464"/>
      <c r="CO30" s="5465"/>
      <c r="CP30" s="1131"/>
      <c r="CQ30" s="1125"/>
    </row>
    <row r="31" spans="1:95" ht="12" customHeight="1" x14ac:dyDescent="0.2">
      <c r="A31" s="1125"/>
      <c r="B31" s="2096"/>
      <c r="C31" s="5481" t="s">
        <v>7688</v>
      </c>
      <c r="D31" s="5482"/>
      <c r="E31" s="1147" t="s">
        <v>7689</v>
      </c>
      <c r="F31" s="1147" t="s">
        <v>1820</v>
      </c>
      <c r="G31" s="1147" t="s">
        <v>3334</v>
      </c>
      <c r="H31" s="1148" t="s">
        <v>2165</v>
      </c>
      <c r="I31" s="5478" t="str">
        <f>IF(C30=0,"",VLOOKUP(C30,'Tablas Magia'!$D$6:$Z$680,5,FALSE))</f>
        <v>Anímico</v>
      </c>
      <c r="J31" s="5478"/>
      <c r="K31" s="5479" t="s">
        <v>7690</v>
      </c>
      <c r="L31" s="5479"/>
      <c r="M31" s="5478" t="str">
        <f>IF(C30=0,"",VLOOKUP(C30,'Tablas Magia'!$D$6:$Z$680,6,FALSE))</f>
        <v>Activa</v>
      </c>
      <c r="N31" s="5478"/>
      <c r="O31" s="5480" t="s">
        <v>7691</v>
      </c>
      <c r="P31" s="5480"/>
      <c r="Q31" s="1149" t="str">
        <f>IF(C30=0,"",VLOOKUP(C30,'Tablas Magia'!$D$6:$Z$680,4,FALSE))</f>
        <v>No</v>
      </c>
      <c r="R31" s="1131"/>
      <c r="S31" s="1125"/>
      <c r="T31" s="1125"/>
      <c r="U31" s="2096"/>
      <c r="V31" s="5481" t="s">
        <v>7688</v>
      </c>
      <c r="W31" s="5482"/>
      <c r="X31" s="1147" t="s">
        <v>7689</v>
      </c>
      <c r="Y31" s="1147" t="s">
        <v>1820</v>
      </c>
      <c r="Z31" s="1147" t="s">
        <v>3334</v>
      </c>
      <c r="AA31" s="1148" t="s">
        <v>2165</v>
      </c>
      <c r="AB31" s="5478" t="str">
        <f>IF(V30=0,"",VLOOKUP(V30,'Tablas Magia'!$D$6:$Z$680,5,FALSE))</f>
        <v>Efecto</v>
      </c>
      <c r="AC31" s="5478"/>
      <c r="AD31" s="5479" t="s">
        <v>7690</v>
      </c>
      <c r="AE31" s="5479"/>
      <c r="AF31" s="5478" t="str">
        <f>IF(V30=0,"",VLOOKUP(V30,'Tablas Magia'!$D$6:$Z$680,6,FALSE))</f>
        <v>Activa</v>
      </c>
      <c r="AG31" s="5478"/>
      <c r="AH31" s="5480" t="s">
        <v>7691</v>
      </c>
      <c r="AI31" s="5480"/>
      <c r="AJ31" s="1149" t="str">
        <f>IF(V30=0,"",VLOOKUP(V30,'Tablas Magia'!$D$6:$Z$680,4,FALSE))</f>
        <v>No</v>
      </c>
      <c r="AK31" s="1131"/>
      <c r="AL31" s="1125"/>
      <c r="AM31" s="1125"/>
      <c r="AN31" s="2110"/>
      <c r="AO31" s="5481" t="s">
        <v>7688</v>
      </c>
      <c r="AP31" s="5482"/>
      <c r="AQ31" s="1147" t="s">
        <v>7689</v>
      </c>
      <c r="AR31" s="1147" t="s">
        <v>1820</v>
      </c>
      <c r="AS31" s="1147" t="s">
        <v>3334</v>
      </c>
      <c r="AT31" s="1148" t="s">
        <v>2165</v>
      </c>
      <c r="AU31" s="5478" t="str">
        <f>IF(AO30=0,"",VLOOKUP(AO30,'Tablas Magia'!$D$6:$Z$680,5,FALSE))</f>
        <v>Ataque</v>
      </c>
      <c r="AV31" s="5478"/>
      <c r="AW31" s="5479" t="s">
        <v>7690</v>
      </c>
      <c r="AX31" s="5479"/>
      <c r="AY31" s="5478" t="str">
        <f>IF(AO30=0,"",VLOOKUP(AO30,'Tablas Magia'!$D$6:$Z$680,6,FALSE))</f>
        <v>Activa</v>
      </c>
      <c r="AZ31" s="5478"/>
      <c r="BA31" s="5480" t="s">
        <v>7691</v>
      </c>
      <c r="BB31" s="5480"/>
      <c r="BC31" s="1149" t="str">
        <f>IF(AO30=0,"",VLOOKUP(AO30,'Tablas Magia'!$D$6:$Z$680,4,FALSE))</f>
        <v>No</v>
      </c>
      <c r="BD31" s="1131"/>
      <c r="BE31" s="1125"/>
      <c r="BF31" s="1125"/>
      <c r="BG31" s="2110"/>
      <c r="BH31" s="5481" t="s">
        <v>7688</v>
      </c>
      <c r="BI31" s="5482"/>
      <c r="BJ31" s="1147" t="s">
        <v>7689</v>
      </c>
      <c r="BK31" s="1147" t="s">
        <v>1820</v>
      </c>
      <c r="BL31" s="1147" t="s">
        <v>3334</v>
      </c>
      <c r="BM31" s="1148" t="s">
        <v>2165</v>
      </c>
      <c r="BN31" s="5478" t="str">
        <f>IF(BH30=0,"",VLOOKUP(BH30,'Tablas Magia'!$D$6:$Z$680,5,FALSE))</f>
        <v>Detección</v>
      </c>
      <c r="BO31" s="5478"/>
      <c r="BP31" s="5479" t="s">
        <v>7690</v>
      </c>
      <c r="BQ31" s="5479"/>
      <c r="BR31" s="5478" t="str">
        <f>IF(BH30=0,"",VLOOKUP(BH30,'Tablas Magia'!$D$6:$Z$680,6,FALSE))</f>
        <v>Activa</v>
      </c>
      <c r="BS31" s="5478"/>
      <c r="BT31" s="5480" t="s">
        <v>7691</v>
      </c>
      <c r="BU31" s="5480"/>
      <c r="BV31" s="1149" t="str">
        <f>IF(BH30=0,"",VLOOKUP(BH30,'Tablas Magia'!$D$6:$Z$680,4,FALSE))</f>
        <v>No</v>
      </c>
      <c r="BW31" s="1131"/>
      <c r="BX31" s="1125"/>
      <c r="BY31" s="1125"/>
      <c r="BZ31" s="2110"/>
      <c r="CA31" s="5481" t="s">
        <v>7688</v>
      </c>
      <c r="CB31" s="5482"/>
      <c r="CC31" s="1147" t="s">
        <v>7689</v>
      </c>
      <c r="CD31" s="1147" t="s">
        <v>1820</v>
      </c>
      <c r="CE31" s="1147" t="s">
        <v>3334</v>
      </c>
      <c r="CF31" s="1148" t="s">
        <v>2165</v>
      </c>
      <c r="CG31" s="5478" t="str">
        <f>IF(CA30=0,"",VLOOKUP(CA30,'Tablas Magia'!$D$6:$Z$680,5,FALSE))</f>
        <v>Defensa</v>
      </c>
      <c r="CH31" s="5478"/>
      <c r="CI31" s="5479" t="s">
        <v>7690</v>
      </c>
      <c r="CJ31" s="5479"/>
      <c r="CK31" s="5478" t="str">
        <f>IF(CA30=0,"",VLOOKUP(CA30,'Tablas Magia'!$D$6:$Z$680,6,FALSE))</f>
        <v>Pasiva</v>
      </c>
      <c r="CL31" s="5478"/>
      <c r="CM31" s="5480" t="s">
        <v>7691</v>
      </c>
      <c r="CN31" s="5480"/>
      <c r="CO31" s="1149" t="str">
        <f>IF(CA30=0,"",VLOOKUP(CA30,'Tablas Magia'!$D$6:$Z$680,4,FALSE))</f>
        <v>Si</v>
      </c>
      <c r="CP31" s="1131"/>
      <c r="CQ31" s="1125"/>
    </row>
    <row r="32" spans="1:95" ht="12" customHeight="1" x14ac:dyDescent="0.2">
      <c r="A32" s="1125"/>
      <c r="B32" s="2096"/>
      <c r="C32" s="5473" t="s">
        <v>1674</v>
      </c>
      <c r="D32" s="5474"/>
      <c r="E32" s="1150">
        <f>IF(C30=0,"",VLOOKUP(C30,'Tablas Magia'!$D$6:$Z$680,7,FALSE))</f>
        <v>5</v>
      </c>
      <c r="F32" s="1150">
        <f>IF(C30=0,"",VLOOKUP(C30,'Tablas Magia'!$D$6:$Z$680,11,FALSE))</f>
        <v>40</v>
      </c>
      <c r="G32" s="1151" t="str">
        <f>IF(C30=0,"",VLOOKUP(C30,'Tablas Magia'!$D$6:$Z$680,15,FALSE))</f>
        <v>No</v>
      </c>
      <c r="H32" s="5475" t="str">
        <f>IF(C30=0,"",VLOOKUP(C30,'Tablas Magia'!$D$6:$Z$680,19,FALSE))</f>
        <v>RM o RP 80 / 10 metros de radio</v>
      </c>
      <c r="I32" s="5476"/>
      <c r="J32" s="5476"/>
      <c r="K32" s="5476"/>
      <c r="L32" s="5476"/>
      <c r="M32" s="5476"/>
      <c r="N32" s="5476"/>
      <c r="O32" s="5476"/>
      <c r="P32" s="5476"/>
      <c r="Q32" s="5477"/>
      <c r="R32" s="1131"/>
      <c r="S32" s="1125"/>
      <c r="T32" s="1125"/>
      <c r="U32" s="2096"/>
      <c r="V32" s="5473" t="s">
        <v>1674</v>
      </c>
      <c r="W32" s="5474"/>
      <c r="X32" s="1150">
        <f>IF(V30=0,"",VLOOKUP(V30,'Tablas Magia'!$D$6:$Z$680,7,FALSE))</f>
        <v>6</v>
      </c>
      <c r="Y32" s="1150">
        <f>IF(V30=0,"",VLOOKUP(V30,'Tablas Magia'!$D$6:$Z$680,11,FALSE))</f>
        <v>40</v>
      </c>
      <c r="Z32" s="1151">
        <f>IF(V30=0,"",VLOOKUP(V30,'Tablas Magia'!$D$6:$Z$680,15,FALSE))</f>
        <v>5</v>
      </c>
      <c r="AA32" s="5475" t="str">
        <f>IF(V30=0,"",VLOOKUP(V30,'Tablas Magia'!$D$6:$Z$680,19,FALSE))</f>
        <v>La imagen tiene un tamaño máximo de un metro cuadrados</v>
      </c>
      <c r="AB32" s="5476"/>
      <c r="AC32" s="5476"/>
      <c r="AD32" s="5476"/>
      <c r="AE32" s="5476"/>
      <c r="AF32" s="5476"/>
      <c r="AG32" s="5476"/>
      <c r="AH32" s="5476"/>
      <c r="AI32" s="5476"/>
      <c r="AJ32" s="5477"/>
      <c r="AK32" s="1131"/>
      <c r="AL32" s="1125"/>
      <c r="AM32" s="1125"/>
      <c r="AN32" s="2110"/>
      <c r="AO32" s="5473" t="s">
        <v>1674</v>
      </c>
      <c r="AP32" s="5474"/>
      <c r="AQ32" s="1150">
        <f>IF(AO30=0,"",VLOOKUP(AO30,'Tablas Magia'!$D$6:$Z$680,7,FALSE))</f>
        <v>6</v>
      </c>
      <c r="AR32" s="1150">
        <f>IF(AO30=0,"",VLOOKUP(AO30,'Tablas Magia'!$D$6:$Z$680,11,FALSE))</f>
        <v>120</v>
      </c>
      <c r="AS32" s="1151">
        <f>IF(AO30=0,"",VLOOKUP(AO30,'Tablas Magia'!$D$6:$Z$680,15,FALSE))</f>
        <v>15</v>
      </c>
      <c r="AT32" s="5475" t="str">
        <f>IF(AO30=0,"",VLOOKUP(AO30,'Tablas Magia'!$D$6:$Z$680,19,FALSE))</f>
        <v>Daño Base 100 / Proyección Mágica 150</v>
      </c>
      <c r="AU32" s="5476"/>
      <c r="AV32" s="5476"/>
      <c r="AW32" s="5476"/>
      <c r="AX32" s="5476"/>
      <c r="AY32" s="5476"/>
      <c r="AZ32" s="5476"/>
      <c r="BA32" s="5476"/>
      <c r="BB32" s="5476"/>
      <c r="BC32" s="5477"/>
      <c r="BD32" s="1131"/>
      <c r="BE32" s="1125"/>
      <c r="BF32" s="1125"/>
      <c r="BG32" s="2110"/>
      <c r="BH32" s="5473" t="s">
        <v>1674</v>
      </c>
      <c r="BI32" s="5474"/>
      <c r="BJ32" s="1150">
        <f>IF(BH30=0,"",VLOOKUP(BH30,'Tablas Magia'!$D$6:$Z$680,7,FALSE))</f>
        <v>8</v>
      </c>
      <c r="BK32" s="1150">
        <f>IF(BH30=0,"",VLOOKUP(BH30,'Tablas Magia'!$D$6:$Z$680,11,FALSE))</f>
        <v>160</v>
      </c>
      <c r="BL32" s="1151" t="str">
        <f>IF(BH30=0,"",VLOOKUP(BH30,'Tablas Magia'!$D$6:$Z$680,15,FALSE))</f>
        <v>No</v>
      </c>
      <c r="BM32" s="5475" t="str">
        <f>IF(BH30=0,"",VLOOKUP(BH30,'Tablas Magia'!$D$6:$Z$680,19,FALSE))</f>
        <v>RM 140.</v>
      </c>
      <c r="BN32" s="5476"/>
      <c r="BO32" s="5476"/>
      <c r="BP32" s="5476"/>
      <c r="BQ32" s="5476"/>
      <c r="BR32" s="5476"/>
      <c r="BS32" s="5476"/>
      <c r="BT32" s="5476"/>
      <c r="BU32" s="5476"/>
      <c r="BV32" s="5477"/>
      <c r="BW32" s="1131"/>
      <c r="BX32" s="1125"/>
      <c r="BY32" s="1125"/>
      <c r="BZ32" s="2110"/>
      <c r="CA32" s="5473" t="s">
        <v>1674</v>
      </c>
      <c r="CB32" s="5474"/>
      <c r="CC32" s="1150">
        <f>IF(CA30=0,"",VLOOKUP(CA30,'Tablas Magia'!$D$6:$Z$680,7,FALSE))</f>
        <v>10</v>
      </c>
      <c r="CD32" s="1150">
        <f>IF(CA30=0,"",VLOOKUP(CA30,'Tablas Magia'!$D$6:$Z$680,11,FALSE))</f>
        <v>160</v>
      </c>
      <c r="CE32" s="1151">
        <f>IF(CA30=0,"",VLOOKUP(CA30,'Tablas Magia'!$D$6:$Z$680,15,FALSE))</f>
        <v>20</v>
      </c>
      <c r="CF32" s="5475" t="str">
        <f>IF(CA30=0,"",VLOOKUP(CA30,'Tablas Magia'!$D$6:$Z$680,19,FALSE))</f>
        <v>100 contra choques / Tiene 800 puntos de Resistencia</v>
      </c>
      <c r="CG32" s="5476"/>
      <c r="CH32" s="5476"/>
      <c r="CI32" s="5476"/>
      <c r="CJ32" s="5476"/>
      <c r="CK32" s="5476"/>
      <c r="CL32" s="5476"/>
      <c r="CM32" s="5476"/>
      <c r="CN32" s="5476"/>
      <c r="CO32" s="5477"/>
      <c r="CP32" s="1131"/>
      <c r="CQ32" s="1125"/>
    </row>
    <row r="33" spans="1:95" ht="12" customHeight="1" x14ac:dyDescent="0.2">
      <c r="A33" s="1125"/>
      <c r="B33" s="2096"/>
      <c r="C33" s="5468" t="s">
        <v>4572</v>
      </c>
      <c r="D33" s="5469"/>
      <c r="E33" s="1152">
        <f>IF(C30=0,"",VLOOKUP(C30,'Tablas Magia'!$D$6:$Z$680,8,FALSE))</f>
        <v>8</v>
      </c>
      <c r="F33" s="1152">
        <f>IF(C30=0,"",VLOOKUP(C30,'Tablas Magia'!$D$6:$Z$680,12,FALSE))</f>
        <v>80</v>
      </c>
      <c r="G33" s="1153" t="str">
        <f>IF(C30=0,"",VLOOKUP(C30,'Tablas Magia'!$D$6:$Z$680,16,FALSE))</f>
        <v>No</v>
      </c>
      <c r="H33" s="5470" t="str">
        <f>IF(C30=0,"",VLOOKUP(C30,'Tablas Magia'!$D$6:$Z$680,20,FALSE))</f>
        <v>RM o RP 100 / 25 metros de radio.</v>
      </c>
      <c r="I33" s="5471"/>
      <c r="J33" s="5471"/>
      <c r="K33" s="5471"/>
      <c r="L33" s="5471"/>
      <c r="M33" s="5471"/>
      <c r="N33" s="5471"/>
      <c r="O33" s="5471"/>
      <c r="P33" s="5471"/>
      <c r="Q33" s="5472"/>
      <c r="R33" s="1131"/>
      <c r="S33" s="1125"/>
      <c r="T33" s="1125"/>
      <c r="U33" s="2096"/>
      <c r="V33" s="5468" t="s">
        <v>4572</v>
      </c>
      <c r="W33" s="5469"/>
      <c r="X33" s="1152">
        <f>IF(V30=0,"",VLOOKUP(V30,'Tablas Magia'!$D$6:$Z$680,8,FALSE))</f>
        <v>9</v>
      </c>
      <c r="Y33" s="1152">
        <f>IF(V30=0,"",VLOOKUP(V30,'Tablas Magia'!$D$6:$Z$680,12,FALSE))</f>
        <v>150</v>
      </c>
      <c r="Z33" s="1153">
        <f>IF(V30=0,"",VLOOKUP(V30,'Tablas Magia'!$D$6:$Z$680,16,FALSE))</f>
        <v>20</v>
      </c>
      <c r="AA33" s="5470" t="str">
        <f>IF(V30=0,"",VLOOKUP(V30,'Tablas Magia'!$D$6:$Z$680,20,FALSE))</f>
        <v>La imagen tiene un tamaño máximo de 15 metros cuadrados</v>
      </c>
      <c r="AB33" s="5471"/>
      <c r="AC33" s="5471"/>
      <c r="AD33" s="5471"/>
      <c r="AE33" s="5471"/>
      <c r="AF33" s="5471"/>
      <c r="AG33" s="5471"/>
      <c r="AH33" s="5471"/>
      <c r="AI33" s="5471"/>
      <c r="AJ33" s="5472"/>
      <c r="AK33" s="1131"/>
      <c r="AL33" s="1125"/>
      <c r="AM33" s="1125"/>
      <c r="AN33" s="2110"/>
      <c r="AO33" s="5468" t="s">
        <v>4572</v>
      </c>
      <c r="AP33" s="5469"/>
      <c r="AQ33" s="1152">
        <f>IF(AO30=0,"",VLOOKUP(AO30,'Tablas Magia'!$D$6:$Z$680,8,FALSE))</f>
        <v>9</v>
      </c>
      <c r="AR33" s="1152">
        <f>IF(AO30=0,"",VLOOKUP(AO30,'Tablas Magia'!$D$6:$Z$680,12,FALSE))</f>
        <v>180</v>
      </c>
      <c r="AS33" s="1153">
        <f>IF(AO30=0,"",VLOOKUP(AO30,'Tablas Magia'!$D$6:$Z$680,16,FALSE))</f>
        <v>20</v>
      </c>
      <c r="AT33" s="5470" t="str">
        <f>IF(AO30=0,"",VLOOKUP(AO30,'Tablas Magia'!$D$6:$Z$680,20,FALSE))</f>
        <v>Daño Base de 120 / Proyección Mágica 180</v>
      </c>
      <c r="AU33" s="5471"/>
      <c r="AV33" s="5471"/>
      <c r="AW33" s="5471"/>
      <c r="AX33" s="5471"/>
      <c r="AY33" s="5471"/>
      <c r="AZ33" s="5471"/>
      <c r="BA33" s="5471"/>
      <c r="BB33" s="5471"/>
      <c r="BC33" s="5472"/>
      <c r="BD33" s="1131"/>
      <c r="BE33" s="1125"/>
      <c r="BF33" s="1125"/>
      <c r="BG33" s="2110"/>
      <c r="BH33" s="5468" t="s">
        <v>4572</v>
      </c>
      <c r="BI33" s="5469"/>
      <c r="BJ33" s="1152">
        <f>IF(BH30=0,"",VLOOKUP(BH30,'Tablas Magia'!$D$6:$Z$680,8,FALSE))</f>
        <v>10</v>
      </c>
      <c r="BK33" s="1152">
        <f>IF(BH30=0,"",VLOOKUP(BH30,'Tablas Magia'!$D$6:$Z$680,12,FALSE))</f>
        <v>200</v>
      </c>
      <c r="BL33" s="1153" t="str">
        <f>IF(BH30=0,"",VLOOKUP(BH30,'Tablas Magia'!$D$6:$Z$680,16,FALSE))</f>
        <v>No</v>
      </c>
      <c r="BM33" s="5470" t="str">
        <f>IF(BH30=0,"",VLOOKUP(BH30,'Tablas Magia'!$D$6:$Z$680,20,FALSE))</f>
        <v>RM 180</v>
      </c>
      <c r="BN33" s="5471"/>
      <c r="BO33" s="5471"/>
      <c r="BP33" s="5471"/>
      <c r="BQ33" s="5471"/>
      <c r="BR33" s="5471"/>
      <c r="BS33" s="5471"/>
      <c r="BT33" s="5471"/>
      <c r="BU33" s="5471"/>
      <c r="BV33" s="5472"/>
      <c r="BW33" s="1131"/>
      <c r="BX33" s="1125"/>
      <c r="BY33" s="1125"/>
      <c r="BZ33" s="2110"/>
      <c r="CA33" s="5468" t="s">
        <v>4572</v>
      </c>
      <c r="CB33" s="5469"/>
      <c r="CC33" s="1152">
        <f>IF(CA30=0,"",VLOOKUP(CA30,'Tablas Magia'!$D$6:$Z$680,8,FALSE))</f>
        <v>13</v>
      </c>
      <c r="CD33" s="1152">
        <f>IF(CA30=0,"",VLOOKUP(CA30,'Tablas Magia'!$D$6:$Z$680,12,FALSE))</f>
        <v>250</v>
      </c>
      <c r="CE33" s="1153">
        <f>IF(CA30=0,"",VLOOKUP(CA30,'Tablas Magia'!$D$6:$Z$680,16,FALSE))</f>
        <v>25</v>
      </c>
      <c r="CF33" s="5470" t="str">
        <f>IF(CA30=0,"",VLOOKUP(CA30,'Tablas Magia'!$D$6:$Z$680,20,FALSE))</f>
        <v>120 contra choques / Tiene 1.500 puntos de Resistencia</v>
      </c>
      <c r="CG33" s="5471"/>
      <c r="CH33" s="5471"/>
      <c r="CI33" s="5471"/>
      <c r="CJ33" s="5471"/>
      <c r="CK33" s="5471"/>
      <c r="CL33" s="5471"/>
      <c r="CM33" s="5471"/>
      <c r="CN33" s="5471"/>
      <c r="CO33" s="5472"/>
      <c r="CP33" s="1131"/>
      <c r="CQ33" s="1125"/>
    </row>
    <row r="34" spans="1:95" ht="12" customHeight="1" x14ac:dyDescent="0.2">
      <c r="A34" s="1125"/>
      <c r="B34" s="2096"/>
      <c r="C34" s="5473" t="s">
        <v>4573</v>
      </c>
      <c r="D34" s="5474"/>
      <c r="E34" s="1150">
        <f>IF(C30=0,"",VLOOKUP(C30,'Tablas Magia'!$D$6:$Z$680,9,FALSE))</f>
        <v>11</v>
      </c>
      <c r="F34" s="1150">
        <f>IF(C30=0,"",VLOOKUP(C30,'Tablas Magia'!$D$6:$Z$680,13,FALSE))</f>
        <v>120</v>
      </c>
      <c r="G34" s="1151" t="str">
        <f>IF(C30=0,"",VLOOKUP(C30,'Tablas Magia'!$D$6:$Z$680,17,FALSE))</f>
        <v>No</v>
      </c>
      <c r="H34" s="5475" t="str">
        <f>IF(C30=0,"",VLOOKUP(C30,'Tablas Magia'!$D$6:$Z$680,21,FALSE))</f>
        <v>RM o RP 120 / 50 metros de radio</v>
      </c>
      <c r="I34" s="5476"/>
      <c r="J34" s="5476"/>
      <c r="K34" s="5476"/>
      <c r="L34" s="5476"/>
      <c r="M34" s="5476"/>
      <c r="N34" s="5476"/>
      <c r="O34" s="5476"/>
      <c r="P34" s="5476"/>
      <c r="Q34" s="5477"/>
      <c r="R34" s="1131"/>
      <c r="S34" s="1125"/>
      <c r="T34" s="1125"/>
      <c r="U34" s="2096"/>
      <c r="V34" s="5473" t="s">
        <v>4573</v>
      </c>
      <c r="W34" s="5474"/>
      <c r="X34" s="1150">
        <f>IF(V30=0,"",VLOOKUP(V30,'Tablas Magia'!$D$6:$Z$680,9,FALSE))</f>
        <v>12</v>
      </c>
      <c r="Y34" s="1150">
        <f>IF(V30=0,"",VLOOKUP(V30,'Tablas Magia'!$D$6:$Z$680,13,FALSE))</f>
        <v>250</v>
      </c>
      <c r="Z34" s="1151">
        <f>IF(V30=0,"",VLOOKUP(V30,'Tablas Magia'!$D$6:$Z$680,17,FALSE))</f>
        <v>25</v>
      </c>
      <c r="AA34" s="5475" t="str">
        <f>IF(V30=0,"",VLOOKUP(V30,'Tablas Magia'!$D$6:$Z$680,21,FALSE))</f>
        <v>La imagen tiene un tamaño máximo de 50 metros cuadrados</v>
      </c>
      <c r="AB34" s="5476"/>
      <c r="AC34" s="5476"/>
      <c r="AD34" s="5476"/>
      <c r="AE34" s="5476"/>
      <c r="AF34" s="5476"/>
      <c r="AG34" s="5476"/>
      <c r="AH34" s="5476"/>
      <c r="AI34" s="5476"/>
      <c r="AJ34" s="5477"/>
      <c r="AK34" s="1131"/>
      <c r="AL34" s="1125"/>
      <c r="AM34" s="1125"/>
      <c r="AN34" s="2110"/>
      <c r="AO34" s="5473" t="s">
        <v>4573</v>
      </c>
      <c r="AP34" s="5474"/>
      <c r="AQ34" s="1150">
        <f>IF(AO30=0,"",VLOOKUP(AO30,'Tablas Magia'!$D$6:$Z$680,9,FALSE))</f>
        <v>12</v>
      </c>
      <c r="AR34" s="1150">
        <f>IF(AO30=0,"",VLOOKUP(AO30,'Tablas Magia'!$D$6:$Z$680,13,FALSE))</f>
        <v>240</v>
      </c>
      <c r="AS34" s="1151">
        <f>IF(AO30=0,"",VLOOKUP(AO30,'Tablas Magia'!$D$6:$Z$680,17,FALSE))</f>
        <v>25</v>
      </c>
      <c r="AT34" s="5475" t="str">
        <f>IF(AO30=0,"",VLOOKUP(AO30,'Tablas Magia'!$D$6:$Z$680,21,FALSE))</f>
        <v>Daño Base de 160 / Proyección Mágica 210</v>
      </c>
      <c r="AU34" s="5476"/>
      <c r="AV34" s="5476"/>
      <c r="AW34" s="5476"/>
      <c r="AX34" s="5476"/>
      <c r="AY34" s="5476"/>
      <c r="AZ34" s="5476"/>
      <c r="BA34" s="5476"/>
      <c r="BB34" s="5476"/>
      <c r="BC34" s="5477"/>
      <c r="BD34" s="1131"/>
      <c r="BE34" s="1125"/>
      <c r="BF34" s="1125"/>
      <c r="BG34" s="2110"/>
      <c r="BH34" s="5473" t="s">
        <v>4573</v>
      </c>
      <c r="BI34" s="5474"/>
      <c r="BJ34" s="1150">
        <f>IF(BH30=0,"",VLOOKUP(BH30,'Tablas Magia'!$D$6:$Z$680,9,FALSE))</f>
        <v>13</v>
      </c>
      <c r="BK34" s="1150">
        <f>IF(BH30=0,"",VLOOKUP(BH30,'Tablas Magia'!$D$6:$Z$680,13,FALSE))</f>
        <v>260</v>
      </c>
      <c r="BL34" s="1151" t="str">
        <f>IF(BH30=0,"",VLOOKUP(BH30,'Tablas Magia'!$D$6:$Z$680,17,FALSE))</f>
        <v>No</v>
      </c>
      <c r="BM34" s="5475" t="str">
        <f>IF(BH30=0,"",VLOOKUP(BH30,'Tablas Magia'!$D$6:$Z$680,21,FALSE))</f>
        <v>RM 220.</v>
      </c>
      <c r="BN34" s="5476"/>
      <c r="BO34" s="5476"/>
      <c r="BP34" s="5476"/>
      <c r="BQ34" s="5476"/>
      <c r="BR34" s="5476"/>
      <c r="BS34" s="5476"/>
      <c r="BT34" s="5476"/>
      <c r="BU34" s="5476"/>
      <c r="BV34" s="5477"/>
      <c r="BW34" s="1131"/>
      <c r="BX34" s="1125"/>
      <c r="BY34" s="1125"/>
      <c r="BZ34" s="2110"/>
      <c r="CA34" s="5473" t="s">
        <v>4573</v>
      </c>
      <c r="CB34" s="5474"/>
      <c r="CC34" s="1150">
        <f>IF(CA30=0,"",VLOOKUP(CA30,'Tablas Magia'!$D$6:$Z$680,9,FALSE))</f>
        <v>15</v>
      </c>
      <c r="CD34" s="1150">
        <f>IF(CA30=0,"",VLOOKUP(CA30,'Tablas Magia'!$D$6:$Z$680,13,FALSE))</f>
        <v>300</v>
      </c>
      <c r="CE34" s="1151">
        <f>IF(CA30=0,"",VLOOKUP(CA30,'Tablas Magia'!$D$6:$Z$680,17,FALSE))</f>
        <v>30</v>
      </c>
      <c r="CF34" s="5475" t="str">
        <f>IF(CA30=0,"",VLOOKUP(CA30,'Tablas Magia'!$D$6:$Z$680,21,FALSE))</f>
        <v>140 contra choques / Tiene 3.000 puntos de Resistencia</v>
      </c>
      <c r="CG34" s="5476"/>
      <c r="CH34" s="5476"/>
      <c r="CI34" s="5476"/>
      <c r="CJ34" s="5476"/>
      <c r="CK34" s="5476"/>
      <c r="CL34" s="5476"/>
      <c r="CM34" s="5476"/>
      <c r="CN34" s="5476"/>
      <c r="CO34" s="5477"/>
      <c r="CP34" s="1131"/>
      <c r="CQ34" s="1125"/>
    </row>
    <row r="35" spans="1:95" ht="12" customHeight="1" thickBot="1" x14ac:dyDescent="0.25">
      <c r="A35" s="1125"/>
      <c r="B35" s="2096"/>
      <c r="C35" s="5483" t="s">
        <v>4574</v>
      </c>
      <c r="D35" s="5484"/>
      <c r="E35" s="1154">
        <f>IF(C30=0,"",VLOOKUP(C30,'Tablas Magia'!$D$6:$Z$680,10,FALSE))</f>
        <v>14</v>
      </c>
      <c r="F35" s="1154">
        <f>IF(C30=0,"",VLOOKUP(C30,'Tablas Magia'!$D$6:$Z$680,14,FALSE))</f>
        <v>160</v>
      </c>
      <c r="G35" s="1155" t="str">
        <f>IF(C30=0,"",VLOOKUP(C30,'Tablas Magia'!$D$6:$Z$680,18,FALSE))</f>
        <v>No</v>
      </c>
      <c r="H35" s="5485" t="str">
        <f>IF(C30=0,"",VLOOKUP(C30,'Tablas Magia'!$D$6:$Z$680,22,FALSE))</f>
        <v>RM o RP 150 / 100 metros de radio</v>
      </c>
      <c r="I35" s="5486"/>
      <c r="J35" s="5486"/>
      <c r="K35" s="5486"/>
      <c r="L35" s="5486"/>
      <c r="M35" s="5486"/>
      <c r="N35" s="5486"/>
      <c r="O35" s="5486"/>
      <c r="P35" s="5486"/>
      <c r="Q35" s="5487"/>
      <c r="R35" s="1131"/>
      <c r="S35" s="1125"/>
      <c r="T35" s="1125"/>
      <c r="U35" s="2096"/>
      <c r="V35" s="5483" t="s">
        <v>4574</v>
      </c>
      <c r="W35" s="5484"/>
      <c r="X35" s="1154">
        <f>IF(V30=0,"",VLOOKUP(V30,'Tablas Magia'!$D$6:$Z$680,10,FALSE))</f>
        <v>15</v>
      </c>
      <c r="Y35" s="1154">
        <f>IF(V30=0,"",VLOOKUP(V30,'Tablas Magia'!$D$6:$Z$680,14,FALSE))</f>
        <v>350</v>
      </c>
      <c r="Z35" s="1155">
        <f>IF(V30=0,"",VLOOKUP(V30,'Tablas Magia'!$D$6:$Z$680,18,FALSE))</f>
        <v>30</v>
      </c>
      <c r="AA35" s="5485" t="str">
        <f>IF(V30=0,"",VLOOKUP(V30,'Tablas Magia'!$D$6:$Z$680,22,FALSE))</f>
        <v>máximo 100 metros² y dificultad de Advertir (IMP) y Buscar (ABS).</v>
      </c>
      <c r="AB35" s="5486"/>
      <c r="AC35" s="5486"/>
      <c r="AD35" s="5486"/>
      <c r="AE35" s="5486"/>
      <c r="AF35" s="5486"/>
      <c r="AG35" s="5486"/>
      <c r="AH35" s="5486"/>
      <c r="AI35" s="5486"/>
      <c r="AJ35" s="5487"/>
      <c r="AK35" s="1131"/>
      <c r="AL35" s="1125"/>
      <c r="AM35" s="1125"/>
      <c r="AN35" s="2110"/>
      <c r="AO35" s="5483" t="s">
        <v>4574</v>
      </c>
      <c r="AP35" s="5484"/>
      <c r="AQ35" s="1154">
        <f>IF(AO30=0,"",VLOOKUP(AO30,'Tablas Magia'!$D$6:$Z$680,10,FALSE))</f>
        <v>15</v>
      </c>
      <c r="AR35" s="1154">
        <f>IF(AO30=0,"",VLOOKUP(AO30,'Tablas Magia'!$D$6:$Z$680,14,FALSE))</f>
        <v>300</v>
      </c>
      <c r="AS35" s="1155">
        <f>IF(AO30=0,"",VLOOKUP(AO30,'Tablas Magia'!$D$6:$Z$680,18,FALSE))</f>
        <v>30</v>
      </c>
      <c r="AT35" s="5485" t="str">
        <f>IF(AO30=0,"",VLOOKUP(AO30,'Tablas Magia'!$D$6:$Z$680,22,FALSE))</f>
        <v>Daño Base de 200 / Proyección Mágica 240</v>
      </c>
      <c r="AU35" s="5486"/>
      <c r="AV35" s="5486"/>
      <c r="AW35" s="5486"/>
      <c r="AX35" s="5486"/>
      <c r="AY35" s="5486"/>
      <c r="AZ35" s="5486"/>
      <c r="BA35" s="5486"/>
      <c r="BB35" s="5486"/>
      <c r="BC35" s="5487"/>
      <c r="BD35" s="1131"/>
      <c r="BE35" s="1125"/>
      <c r="BF35" s="1125"/>
      <c r="BG35" s="2110"/>
      <c r="BH35" s="5483" t="s">
        <v>4574</v>
      </c>
      <c r="BI35" s="5484"/>
      <c r="BJ35" s="1154">
        <f>IF(BH30=0,"",VLOOKUP(BH30,'Tablas Magia'!$D$6:$Z$680,10,FALSE))</f>
        <v>16</v>
      </c>
      <c r="BK35" s="1154">
        <f>IF(BH30=0,"",VLOOKUP(BH30,'Tablas Magia'!$D$6:$Z$680,14,FALSE))</f>
        <v>320</v>
      </c>
      <c r="BL35" s="1155" t="str">
        <f>IF(BH30=0,"",VLOOKUP(BH30,'Tablas Magia'!$D$6:$Z$680,18,FALSE))</f>
        <v>No</v>
      </c>
      <c r="BM35" s="5485" t="str">
        <f>IF(BH30=0,"",VLOOKUP(BH30,'Tablas Magia'!$D$6:$Z$680,22,FALSE))</f>
        <v>RM 260.</v>
      </c>
      <c r="BN35" s="5486"/>
      <c r="BO35" s="5486"/>
      <c r="BP35" s="5486"/>
      <c r="BQ35" s="5486"/>
      <c r="BR35" s="5486"/>
      <c r="BS35" s="5486"/>
      <c r="BT35" s="5486"/>
      <c r="BU35" s="5486"/>
      <c r="BV35" s="5487"/>
      <c r="BW35" s="1131"/>
      <c r="BX35" s="1125"/>
      <c r="BY35" s="1125"/>
      <c r="BZ35" s="2110"/>
      <c r="CA35" s="5483" t="s">
        <v>4574</v>
      </c>
      <c r="CB35" s="5484"/>
      <c r="CC35" s="1154">
        <f>IF(CA30=0,"",VLOOKUP(CA30,'Tablas Magia'!$D$6:$Z$680,10,FALSE))</f>
        <v>17</v>
      </c>
      <c r="CD35" s="1154">
        <f>IF(CA30=0,"",VLOOKUP(CA30,'Tablas Magia'!$D$6:$Z$680,14,FALSE))</f>
        <v>400</v>
      </c>
      <c r="CE35" s="1155">
        <f>IF(CA30=0,"",VLOOKUP(CA30,'Tablas Magia'!$D$6:$Z$680,18,FALSE))</f>
        <v>40</v>
      </c>
      <c r="CF35" s="5485" t="str">
        <f>IF(CA30=0,"",VLOOKUP(CA30,'Tablas Magia'!$D$6:$Z$680,22,FALSE))</f>
        <v>180 contra choques / Tiene 6.000 puntos de Resistencia</v>
      </c>
      <c r="CG35" s="5486"/>
      <c r="CH35" s="5486"/>
      <c r="CI35" s="5486"/>
      <c r="CJ35" s="5486"/>
      <c r="CK35" s="5486"/>
      <c r="CL35" s="5486"/>
      <c r="CM35" s="5486"/>
      <c r="CN35" s="5486"/>
      <c r="CO35" s="5487"/>
      <c r="CP35" s="1131"/>
      <c r="CQ35" s="1125"/>
    </row>
    <row r="36" spans="1:95" ht="12" customHeight="1" x14ac:dyDescent="0.2">
      <c r="A36" s="1125"/>
      <c r="B36" s="2096"/>
      <c r="C36" s="5488"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489"/>
      <c r="E36" s="5489"/>
      <c r="F36" s="5489"/>
      <c r="G36" s="5489"/>
      <c r="H36" s="5489"/>
      <c r="I36" s="5489"/>
      <c r="J36" s="5489"/>
      <c r="K36" s="5489"/>
      <c r="L36" s="5489"/>
      <c r="M36" s="5489"/>
      <c r="N36" s="5489"/>
      <c r="O36" s="5489"/>
      <c r="P36" s="5489"/>
      <c r="Q36" s="5490"/>
      <c r="R36" s="1131"/>
      <c r="S36" s="1125"/>
      <c r="T36" s="1125"/>
      <c r="U36" s="2096"/>
      <c r="V36" s="5488"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489"/>
      <c r="X36" s="5489"/>
      <c r="Y36" s="5489"/>
      <c r="Z36" s="5489"/>
      <c r="AA36" s="5489"/>
      <c r="AB36" s="5489"/>
      <c r="AC36" s="5489"/>
      <c r="AD36" s="5489"/>
      <c r="AE36" s="5489"/>
      <c r="AF36" s="5489"/>
      <c r="AG36" s="5489"/>
      <c r="AH36" s="5489"/>
      <c r="AI36" s="5489"/>
      <c r="AJ36" s="5490"/>
      <c r="AK36" s="1131"/>
      <c r="AL36" s="1125"/>
      <c r="AM36" s="1125"/>
      <c r="AN36" s="2110"/>
      <c r="AO36" s="5488"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489"/>
      <c r="AQ36" s="5489"/>
      <c r="AR36" s="5489"/>
      <c r="AS36" s="5489"/>
      <c r="AT36" s="5489"/>
      <c r="AU36" s="5489"/>
      <c r="AV36" s="5489"/>
      <c r="AW36" s="5489"/>
      <c r="AX36" s="5489"/>
      <c r="AY36" s="5489"/>
      <c r="AZ36" s="5489"/>
      <c r="BA36" s="5489"/>
      <c r="BB36" s="5489"/>
      <c r="BC36" s="5490"/>
      <c r="BD36" s="1131"/>
      <c r="BE36" s="1125"/>
      <c r="BF36" s="1125"/>
      <c r="BG36" s="2110"/>
      <c r="BH36" s="5488"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489"/>
      <c r="BJ36" s="5489"/>
      <c r="BK36" s="5489"/>
      <c r="BL36" s="5489"/>
      <c r="BM36" s="5489"/>
      <c r="BN36" s="5489"/>
      <c r="BO36" s="5489"/>
      <c r="BP36" s="5489"/>
      <c r="BQ36" s="5489"/>
      <c r="BR36" s="5489"/>
      <c r="BS36" s="5489"/>
      <c r="BT36" s="5489"/>
      <c r="BU36" s="5489"/>
      <c r="BV36" s="5490"/>
      <c r="BW36" s="1131"/>
      <c r="BX36" s="1125"/>
      <c r="BY36" s="1125"/>
      <c r="BZ36" s="2110"/>
      <c r="CA36" s="5488"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489"/>
      <c r="CC36" s="5489"/>
      <c r="CD36" s="5489"/>
      <c r="CE36" s="5489"/>
      <c r="CF36" s="5489"/>
      <c r="CG36" s="5489"/>
      <c r="CH36" s="5489"/>
      <c r="CI36" s="5489"/>
      <c r="CJ36" s="5489"/>
      <c r="CK36" s="5489"/>
      <c r="CL36" s="5489"/>
      <c r="CM36" s="5489"/>
      <c r="CN36" s="5489"/>
      <c r="CO36" s="5490"/>
      <c r="CP36" s="1131"/>
      <c r="CQ36" s="1125"/>
    </row>
    <row r="37" spans="1:95" ht="12" customHeight="1" x14ac:dyDescent="0.2">
      <c r="A37" s="1125"/>
      <c r="B37" s="2096"/>
      <c r="C37" s="5491"/>
      <c r="D37" s="5492"/>
      <c r="E37" s="5492"/>
      <c r="F37" s="5492"/>
      <c r="G37" s="5492"/>
      <c r="H37" s="5492"/>
      <c r="I37" s="5492"/>
      <c r="J37" s="5492"/>
      <c r="K37" s="5492"/>
      <c r="L37" s="5492"/>
      <c r="M37" s="5492"/>
      <c r="N37" s="5492"/>
      <c r="O37" s="5492"/>
      <c r="P37" s="5492"/>
      <c r="Q37" s="5493"/>
      <c r="R37" s="1131"/>
      <c r="S37" s="1125"/>
      <c r="T37" s="1125"/>
      <c r="U37" s="2096"/>
      <c r="V37" s="5491"/>
      <c r="W37" s="5492"/>
      <c r="X37" s="5492"/>
      <c r="Y37" s="5492"/>
      <c r="Z37" s="5492"/>
      <c r="AA37" s="5492"/>
      <c r="AB37" s="5492"/>
      <c r="AC37" s="5492"/>
      <c r="AD37" s="5492"/>
      <c r="AE37" s="5492"/>
      <c r="AF37" s="5492"/>
      <c r="AG37" s="5492"/>
      <c r="AH37" s="5492"/>
      <c r="AI37" s="5492"/>
      <c r="AJ37" s="5493"/>
      <c r="AK37" s="1131"/>
      <c r="AL37" s="1125"/>
      <c r="AM37" s="1125"/>
      <c r="AN37" s="2110"/>
      <c r="AO37" s="5491"/>
      <c r="AP37" s="5492"/>
      <c r="AQ37" s="5492"/>
      <c r="AR37" s="5492"/>
      <c r="AS37" s="5492"/>
      <c r="AT37" s="5492"/>
      <c r="AU37" s="5492"/>
      <c r="AV37" s="5492"/>
      <c r="AW37" s="5492"/>
      <c r="AX37" s="5492"/>
      <c r="AY37" s="5492"/>
      <c r="AZ37" s="5492"/>
      <c r="BA37" s="5492"/>
      <c r="BB37" s="5492"/>
      <c r="BC37" s="5493"/>
      <c r="BD37" s="1131"/>
      <c r="BE37" s="1125"/>
      <c r="BF37" s="1125"/>
      <c r="BG37" s="2110"/>
      <c r="BH37" s="5491"/>
      <c r="BI37" s="5492"/>
      <c r="BJ37" s="5492"/>
      <c r="BK37" s="5492"/>
      <c r="BL37" s="5492"/>
      <c r="BM37" s="5492"/>
      <c r="BN37" s="5492"/>
      <c r="BO37" s="5492"/>
      <c r="BP37" s="5492"/>
      <c r="BQ37" s="5492"/>
      <c r="BR37" s="5492"/>
      <c r="BS37" s="5492"/>
      <c r="BT37" s="5492"/>
      <c r="BU37" s="5492"/>
      <c r="BV37" s="5493"/>
      <c r="BW37" s="1131"/>
      <c r="BX37" s="1125"/>
      <c r="BY37" s="1125"/>
      <c r="BZ37" s="2110"/>
      <c r="CA37" s="5491"/>
      <c r="CB37" s="5492"/>
      <c r="CC37" s="5492"/>
      <c r="CD37" s="5492"/>
      <c r="CE37" s="5492"/>
      <c r="CF37" s="5492"/>
      <c r="CG37" s="5492"/>
      <c r="CH37" s="5492"/>
      <c r="CI37" s="5492"/>
      <c r="CJ37" s="5492"/>
      <c r="CK37" s="5492"/>
      <c r="CL37" s="5492"/>
      <c r="CM37" s="5492"/>
      <c r="CN37" s="5492"/>
      <c r="CO37" s="5493"/>
      <c r="CP37" s="1131"/>
      <c r="CQ37" s="1125"/>
    </row>
    <row r="38" spans="1:95" ht="12" customHeight="1" x14ac:dyDescent="0.2">
      <c r="A38" s="1125"/>
      <c r="B38" s="2096"/>
      <c r="C38" s="5491"/>
      <c r="D38" s="5492"/>
      <c r="E38" s="5492"/>
      <c r="F38" s="5492"/>
      <c r="G38" s="5492"/>
      <c r="H38" s="5492"/>
      <c r="I38" s="5492"/>
      <c r="J38" s="5492"/>
      <c r="K38" s="5492"/>
      <c r="L38" s="5492"/>
      <c r="M38" s="5492"/>
      <c r="N38" s="5492"/>
      <c r="O38" s="5492"/>
      <c r="P38" s="5492"/>
      <c r="Q38" s="5493"/>
      <c r="R38" s="1131"/>
      <c r="S38" s="1125"/>
      <c r="T38" s="1125"/>
      <c r="U38" s="2096"/>
      <c r="V38" s="5491"/>
      <c r="W38" s="5492"/>
      <c r="X38" s="5492"/>
      <c r="Y38" s="5492"/>
      <c r="Z38" s="5492"/>
      <c r="AA38" s="5492"/>
      <c r="AB38" s="5492"/>
      <c r="AC38" s="5492"/>
      <c r="AD38" s="5492"/>
      <c r="AE38" s="5492"/>
      <c r="AF38" s="5492"/>
      <c r="AG38" s="5492"/>
      <c r="AH38" s="5492"/>
      <c r="AI38" s="5492"/>
      <c r="AJ38" s="5493"/>
      <c r="AK38" s="1131"/>
      <c r="AL38" s="1125"/>
      <c r="AM38" s="1125"/>
      <c r="AN38" s="2110"/>
      <c r="AO38" s="5491"/>
      <c r="AP38" s="5492"/>
      <c r="AQ38" s="5492"/>
      <c r="AR38" s="5492"/>
      <c r="AS38" s="5492"/>
      <c r="AT38" s="5492"/>
      <c r="AU38" s="5492"/>
      <c r="AV38" s="5492"/>
      <c r="AW38" s="5492"/>
      <c r="AX38" s="5492"/>
      <c r="AY38" s="5492"/>
      <c r="AZ38" s="5492"/>
      <c r="BA38" s="5492"/>
      <c r="BB38" s="5492"/>
      <c r="BC38" s="5493"/>
      <c r="BD38" s="1131"/>
      <c r="BE38" s="1125"/>
      <c r="BF38" s="1125"/>
      <c r="BG38" s="2110"/>
      <c r="BH38" s="5491"/>
      <c r="BI38" s="5492"/>
      <c r="BJ38" s="5492"/>
      <c r="BK38" s="5492"/>
      <c r="BL38" s="5492"/>
      <c r="BM38" s="5492"/>
      <c r="BN38" s="5492"/>
      <c r="BO38" s="5492"/>
      <c r="BP38" s="5492"/>
      <c r="BQ38" s="5492"/>
      <c r="BR38" s="5492"/>
      <c r="BS38" s="5492"/>
      <c r="BT38" s="5492"/>
      <c r="BU38" s="5492"/>
      <c r="BV38" s="5493"/>
      <c r="BW38" s="1131"/>
      <c r="BX38" s="1125"/>
      <c r="BY38" s="1125"/>
      <c r="BZ38" s="2110"/>
      <c r="CA38" s="5491"/>
      <c r="CB38" s="5492"/>
      <c r="CC38" s="5492"/>
      <c r="CD38" s="5492"/>
      <c r="CE38" s="5492"/>
      <c r="CF38" s="5492"/>
      <c r="CG38" s="5492"/>
      <c r="CH38" s="5492"/>
      <c r="CI38" s="5492"/>
      <c r="CJ38" s="5492"/>
      <c r="CK38" s="5492"/>
      <c r="CL38" s="5492"/>
      <c r="CM38" s="5492"/>
      <c r="CN38" s="5492"/>
      <c r="CO38" s="5493"/>
      <c r="CP38" s="1131"/>
      <c r="CQ38" s="1125"/>
    </row>
    <row r="39" spans="1:95" ht="12" customHeight="1" thickBot="1" x14ac:dyDescent="0.25">
      <c r="A39" s="1125"/>
      <c r="B39" s="2096"/>
      <c r="C39" s="5494"/>
      <c r="D39" s="5495"/>
      <c r="E39" s="5495"/>
      <c r="F39" s="5495"/>
      <c r="G39" s="5495"/>
      <c r="H39" s="5495"/>
      <c r="I39" s="5495"/>
      <c r="J39" s="5495"/>
      <c r="K39" s="5495"/>
      <c r="L39" s="5495"/>
      <c r="M39" s="5495"/>
      <c r="N39" s="5495"/>
      <c r="O39" s="5495"/>
      <c r="P39" s="5495"/>
      <c r="Q39" s="5496"/>
      <c r="R39" s="1131"/>
      <c r="S39" s="1125"/>
      <c r="T39" s="1125"/>
      <c r="U39" s="2096"/>
      <c r="V39" s="5494"/>
      <c r="W39" s="5495"/>
      <c r="X39" s="5495"/>
      <c r="Y39" s="5495"/>
      <c r="Z39" s="5495"/>
      <c r="AA39" s="5495"/>
      <c r="AB39" s="5495"/>
      <c r="AC39" s="5495"/>
      <c r="AD39" s="5495"/>
      <c r="AE39" s="5495"/>
      <c r="AF39" s="5495"/>
      <c r="AG39" s="5495"/>
      <c r="AH39" s="5495"/>
      <c r="AI39" s="5495"/>
      <c r="AJ39" s="5496"/>
      <c r="AK39" s="1131"/>
      <c r="AL39" s="1125"/>
      <c r="AM39" s="1125"/>
      <c r="AN39" s="2110"/>
      <c r="AO39" s="5494"/>
      <c r="AP39" s="5495"/>
      <c r="AQ39" s="5495"/>
      <c r="AR39" s="5495"/>
      <c r="AS39" s="5495"/>
      <c r="AT39" s="5495"/>
      <c r="AU39" s="5495"/>
      <c r="AV39" s="5495"/>
      <c r="AW39" s="5495"/>
      <c r="AX39" s="5495"/>
      <c r="AY39" s="5495"/>
      <c r="AZ39" s="5495"/>
      <c r="BA39" s="5495"/>
      <c r="BB39" s="5495"/>
      <c r="BC39" s="5496"/>
      <c r="BD39" s="1131"/>
      <c r="BE39" s="1125"/>
      <c r="BF39" s="1125"/>
      <c r="BG39" s="2110"/>
      <c r="BH39" s="5494"/>
      <c r="BI39" s="5495"/>
      <c r="BJ39" s="5495"/>
      <c r="BK39" s="5495"/>
      <c r="BL39" s="5495"/>
      <c r="BM39" s="5495"/>
      <c r="BN39" s="5495"/>
      <c r="BO39" s="5495"/>
      <c r="BP39" s="5495"/>
      <c r="BQ39" s="5495"/>
      <c r="BR39" s="5495"/>
      <c r="BS39" s="5495"/>
      <c r="BT39" s="5495"/>
      <c r="BU39" s="5495"/>
      <c r="BV39" s="5496"/>
      <c r="BW39" s="1131"/>
      <c r="BX39" s="1125"/>
      <c r="BY39" s="1125"/>
      <c r="BZ39" s="2110"/>
      <c r="CA39" s="5494"/>
      <c r="CB39" s="5495"/>
      <c r="CC39" s="5495"/>
      <c r="CD39" s="5495"/>
      <c r="CE39" s="5495"/>
      <c r="CF39" s="5495"/>
      <c r="CG39" s="5495"/>
      <c r="CH39" s="5495"/>
      <c r="CI39" s="5495"/>
      <c r="CJ39" s="5495"/>
      <c r="CK39" s="5495"/>
      <c r="CL39" s="5495"/>
      <c r="CM39" s="5495"/>
      <c r="CN39" s="5495"/>
      <c r="CO39" s="5496"/>
      <c r="CP39" s="1131"/>
      <c r="CQ39" s="1125"/>
    </row>
    <row r="40" spans="1:95" ht="12" customHeight="1" thickBot="1" x14ac:dyDescent="0.25">
      <c r="A40" s="1125"/>
      <c r="B40" s="2096"/>
      <c r="C40" s="1166"/>
      <c r="D40" s="1166"/>
      <c r="E40" s="1167"/>
      <c r="F40" s="1167"/>
      <c r="G40" s="1167"/>
      <c r="H40" s="1167"/>
      <c r="I40" s="1167"/>
      <c r="J40" s="1167"/>
      <c r="K40" s="1167"/>
      <c r="L40" s="1167"/>
      <c r="M40" s="1167"/>
      <c r="N40" s="1167"/>
      <c r="O40" s="1167"/>
      <c r="P40" s="1167"/>
      <c r="Q40" s="1167"/>
      <c r="R40" s="1131"/>
      <c r="S40" s="1125"/>
      <c r="T40" s="1125"/>
      <c r="U40" s="2096"/>
      <c r="V40" s="1166"/>
      <c r="W40" s="1166"/>
      <c r="X40" s="1167"/>
      <c r="Y40" s="1167"/>
      <c r="Z40" s="1167"/>
      <c r="AA40" s="1167"/>
      <c r="AB40" s="1167"/>
      <c r="AC40" s="1167"/>
      <c r="AD40" s="1167"/>
      <c r="AE40" s="1167"/>
      <c r="AF40" s="1167"/>
      <c r="AG40" s="1167"/>
      <c r="AH40" s="1167"/>
      <c r="AI40" s="1167"/>
      <c r="AJ40" s="1167"/>
      <c r="AK40" s="1131"/>
      <c r="AL40" s="1125"/>
      <c r="AM40" s="1125"/>
      <c r="AN40" s="2096"/>
      <c r="AO40" s="1166"/>
      <c r="AP40" s="1166"/>
      <c r="AQ40" s="1167"/>
      <c r="AR40" s="1167"/>
      <c r="AS40" s="1167"/>
      <c r="AT40" s="1167"/>
      <c r="AU40" s="1167"/>
      <c r="AV40" s="1167"/>
      <c r="AW40" s="1167"/>
      <c r="AX40" s="1167"/>
      <c r="AY40" s="1167"/>
      <c r="AZ40" s="1167"/>
      <c r="BA40" s="1167"/>
      <c r="BB40" s="1167"/>
      <c r="BC40" s="1167"/>
      <c r="BD40" s="1131"/>
      <c r="BE40" s="1125"/>
      <c r="BF40" s="1125"/>
      <c r="BG40" s="2096"/>
      <c r="BH40" s="1166"/>
      <c r="BI40" s="1166"/>
      <c r="BJ40" s="1167"/>
      <c r="BK40" s="1167"/>
      <c r="BL40" s="1167"/>
      <c r="BM40" s="1167"/>
      <c r="BN40" s="1167"/>
      <c r="BO40" s="1167"/>
      <c r="BP40" s="1167"/>
      <c r="BQ40" s="1167"/>
      <c r="BR40" s="1167"/>
      <c r="BS40" s="1167"/>
      <c r="BT40" s="1167"/>
      <c r="BU40" s="1167"/>
      <c r="BV40" s="1167"/>
      <c r="BW40" s="1131"/>
      <c r="BX40" s="1125"/>
      <c r="BY40" s="1125"/>
      <c r="BZ40" s="2096"/>
      <c r="CA40" s="1166"/>
      <c r="CB40" s="1166"/>
      <c r="CC40" s="1167"/>
      <c r="CD40" s="1167"/>
      <c r="CE40" s="1167"/>
      <c r="CF40" s="1167"/>
      <c r="CG40" s="1167"/>
      <c r="CH40" s="1167"/>
      <c r="CI40" s="1167"/>
      <c r="CJ40" s="1167"/>
      <c r="CK40" s="1167"/>
      <c r="CL40" s="1167"/>
      <c r="CM40" s="1167"/>
      <c r="CN40" s="1167"/>
      <c r="CO40" s="1167"/>
      <c r="CP40" s="1131"/>
      <c r="CQ40" s="1125"/>
    </row>
    <row r="41" spans="1:95" ht="12" customHeight="1" x14ac:dyDescent="0.2">
      <c r="A41" s="1125"/>
      <c r="B41" s="2096">
        <f>B30+2</f>
        <v>8</v>
      </c>
      <c r="C41" s="5497"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498"/>
      <c r="E41" s="5498"/>
      <c r="F41" s="5498"/>
      <c r="G41" s="5498"/>
      <c r="H41" s="1145" t="s">
        <v>1627</v>
      </c>
      <c r="I41" s="1146">
        <f>B41</f>
        <v>8</v>
      </c>
      <c r="J41" s="5463" t="s">
        <v>7687</v>
      </c>
      <c r="K41" s="5463"/>
      <c r="L41" s="5463"/>
      <c r="M41" s="5464" t="str">
        <f>IF(C41=0,"",VLOOKUP(C41,'Tablas Magia'!$D$6:$Z$680,2,FALSE))</f>
        <v>Luz</v>
      </c>
      <c r="N41" s="5464"/>
      <c r="O41" s="5464"/>
      <c r="P41" s="5464"/>
      <c r="Q41" s="5465"/>
      <c r="R41" s="1131"/>
      <c r="S41" s="1125"/>
      <c r="T41" s="1125"/>
      <c r="U41" s="2096">
        <f>U30+2</f>
        <v>28</v>
      </c>
      <c r="V41" s="5497"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498"/>
      <c r="X41" s="5498"/>
      <c r="Y41" s="5498"/>
      <c r="Z41" s="5498"/>
      <c r="AA41" s="1145" t="s">
        <v>1627</v>
      </c>
      <c r="AB41" s="1146">
        <f>U41</f>
        <v>28</v>
      </c>
      <c r="AC41" s="5463" t="s">
        <v>7687</v>
      </c>
      <c r="AD41" s="5463"/>
      <c r="AE41" s="5463"/>
      <c r="AF41" s="5464" t="str">
        <f>IF(V41=0,"",VLOOKUP(V41,'Tablas Magia'!$D$6:$Z$680,2,FALSE))</f>
        <v>Luz</v>
      </c>
      <c r="AG41" s="5464"/>
      <c r="AH41" s="5464"/>
      <c r="AI41" s="5464"/>
      <c r="AJ41" s="5465"/>
      <c r="AK41" s="1131"/>
      <c r="AL41" s="1125"/>
      <c r="AM41" s="1125"/>
      <c r="AN41" s="2110">
        <f>AN30+2</f>
        <v>48</v>
      </c>
      <c r="AO41" s="5497"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498"/>
      <c r="AQ41" s="5498"/>
      <c r="AR41" s="5498"/>
      <c r="AS41" s="5498"/>
      <c r="AT41" s="1145" t="s">
        <v>1627</v>
      </c>
      <c r="AU41" s="1146">
        <f>AN41</f>
        <v>48</v>
      </c>
      <c r="AV41" s="5463" t="s">
        <v>7687</v>
      </c>
      <c r="AW41" s="5463"/>
      <c r="AX41" s="5463"/>
      <c r="AY41" s="5464" t="str">
        <f>IF(AO41=0,"",VLOOKUP(AO41,'Tablas Magia'!$D$6:$Z$680,2,FALSE))</f>
        <v>Luz</v>
      </c>
      <c r="AZ41" s="5464"/>
      <c r="BA41" s="5464"/>
      <c r="BB41" s="5464"/>
      <c r="BC41" s="5465"/>
      <c r="BD41" s="1131"/>
      <c r="BE41" s="1125"/>
      <c r="BF41" s="1125"/>
      <c r="BG41" s="2110">
        <f>BG30+2</f>
        <v>68</v>
      </c>
      <c r="BH41" s="5497"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498"/>
      <c r="BJ41" s="5498"/>
      <c r="BK41" s="5498"/>
      <c r="BL41" s="5498"/>
      <c r="BM41" s="1145" t="s">
        <v>1627</v>
      </c>
      <c r="BN41" s="1146">
        <f>BG41</f>
        <v>68</v>
      </c>
      <c r="BO41" s="5463" t="s">
        <v>7687</v>
      </c>
      <c r="BP41" s="5463"/>
      <c r="BQ41" s="5463"/>
      <c r="BR41" s="5464" t="str">
        <f>IF(BH41=0,"",VLOOKUP(BH41,'Tablas Magia'!$D$6:$Z$680,2,FALSE))</f>
        <v>Luz</v>
      </c>
      <c r="BS41" s="5464"/>
      <c r="BT41" s="5464"/>
      <c r="BU41" s="5464"/>
      <c r="BV41" s="5465"/>
      <c r="BW41" s="1131"/>
      <c r="BX41" s="1125"/>
      <c r="BY41" s="1125"/>
      <c r="BZ41" s="2110">
        <f>BZ30+2</f>
        <v>88</v>
      </c>
      <c r="CA41" s="5497"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498"/>
      <c r="CC41" s="5498"/>
      <c r="CD41" s="5498"/>
      <c r="CE41" s="5498"/>
      <c r="CF41" s="1145" t="s">
        <v>1627</v>
      </c>
      <c r="CG41" s="1146">
        <f>BZ41</f>
        <v>88</v>
      </c>
      <c r="CH41" s="5463" t="s">
        <v>7687</v>
      </c>
      <c r="CI41" s="5463"/>
      <c r="CJ41" s="5463"/>
      <c r="CK41" s="5464" t="str">
        <f>IF(CA41=0,"",VLOOKUP(CA41,'Tablas Magia'!$D$6:$Z$680,2,FALSE))</f>
        <v>Luz</v>
      </c>
      <c r="CL41" s="5464"/>
      <c r="CM41" s="5464"/>
      <c r="CN41" s="5464"/>
      <c r="CO41" s="5465"/>
      <c r="CP41" s="1131"/>
      <c r="CQ41" s="1125"/>
    </row>
    <row r="42" spans="1:95" ht="12" customHeight="1" x14ac:dyDescent="0.2">
      <c r="A42" s="1125"/>
      <c r="B42" s="2096"/>
      <c r="C42" s="5481" t="s">
        <v>7688</v>
      </c>
      <c r="D42" s="5482"/>
      <c r="E42" s="1147" t="s">
        <v>7689</v>
      </c>
      <c r="F42" s="1147" t="s">
        <v>1820</v>
      </c>
      <c r="G42" s="1147" t="s">
        <v>3334</v>
      </c>
      <c r="H42" s="1148" t="s">
        <v>2165</v>
      </c>
      <c r="I42" s="5478" t="str">
        <f>IF(C41=0,"",VLOOKUP(C41,'Tablas Magia'!$D$6:$Z$680,5,FALSE))</f>
        <v>Auto</v>
      </c>
      <c r="J42" s="5478"/>
      <c r="K42" s="5479" t="s">
        <v>7690</v>
      </c>
      <c r="L42" s="5479"/>
      <c r="M42" s="5478" t="str">
        <f>IF(C41=0,"",VLOOKUP(C41,'Tablas Magia'!$D$6:$Z$680,6,FALSE))</f>
        <v>Activa</v>
      </c>
      <c r="N42" s="5478"/>
      <c r="O42" s="5480" t="s">
        <v>7691</v>
      </c>
      <c r="P42" s="5480"/>
      <c r="Q42" s="1149" t="str">
        <f>IF(C41=0,"",VLOOKUP(C41,'Tablas Magia'!$D$6:$Z$680,4,FALSE))</f>
        <v>No</v>
      </c>
      <c r="R42" s="1131"/>
      <c r="S42" s="1125"/>
      <c r="T42" s="1125"/>
      <c r="U42" s="2096"/>
      <c r="V42" s="5481" t="s">
        <v>7688</v>
      </c>
      <c r="W42" s="5482"/>
      <c r="X42" s="1147" t="s">
        <v>7689</v>
      </c>
      <c r="Y42" s="1147" t="s">
        <v>1820</v>
      </c>
      <c r="Z42" s="1147" t="s">
        <v>3334</v>
      </c>
      <c r="AA42" s="1148" t="s">
        <v>2165</v>
      </c>
      <c r="AB42" s="5478" t="str">
        <f>IF(V41=0,"",VLOOKUP(V41,'Tablas Magia'!$D$6:$Z$680,5,FALSE))</f>
        <v>Ataque</v>
      </c>
      <c r="AC42" s="5478"/>
      <c r="AD42" s="5479" t="s">
        <v>7690</v>
      </c>
      <c r="AE42" s="5479"/>
      <c r="AF42" s="5478" t="str">
        <f>IF(V41=0,"",VLOOKUP(V41,'Tablas Magia'!$D$6:$Z$680,6,FALSE))</f>
        <v>Activa</v>
      </c>
      <c r="AG42" s="5478"/>
      <c r="AH42" s="5480" t="s">
        <v>7691</v>
      </c>
      <c r="AI42" s="5480"/>
      <c r="AJ42" s="1149" t="str">
        <f>IF(V41=0,"",VLOOKUP(V41,'Tablas Magia'!$D$6:$Z$680,4,FALSE))</f>
        <v>No</v>
      </c>
      <c r="AK42" s="1131"/>
      <c r="AL42" s="1125"/>
      <c r="AM42" s="1125"/>
      <c r="AN42" s="2110"/>
      <c r="AO42" s="5481" t="s">
        <v>7688</v>
      </c>
      <c r="AP42" s="5482"/>
      <c r="AQ42" s="1147" t="s">
        <v>7689</v>
      </c>
      <c r="AR42" s="1147" t="s">
        <v>1820</v>
      </c>
      <c r="AS42" s="1147" t="s">
        <v>3334</v>
      </c>
      <c r="AT42" s="1148" t="s">
        <v>2165</v>
      </c>
      <c r="AU42" s="5478" t="str">
        <f>IF(AO41=0,"",VLOOKUP(AO41,'Tablas Magia'!$D$6:$Z$680,5,FALSE))</f>
        <v>Detección</v>
      </c>
      <c r="AV42" s="5478"/>
      <c r="AW42" s="5479" t="s">
        <v>7690</v>
      </c>
      <c r="AX42" s="5479"/>
      <c r="AY42" s="5478" t="str">
        <f>IF(AO41=0,"",VLOOKUP(AO41,'Tablas Magia'!$D$6:$Z$680,6,FALSE))</f>
        <v>Activa</v>
      </c>
      <c r="AZ42" s="5478"/>
      <c r="BA42" s="5480" t="s">
        <v>7691</v>
      </c>
      <c r="BB42" s="5480"/>
      <c r="BC42" s="1149" t="str">
        <f>IF(AO41=0,"",VLOOKUP(AO41,'Tablas Magia'!$D$6:$Z$680,4,FALSE))</f>
        <v>Si</v>
      </c>
      <c r="BD42" s="1131"/>
      <c r="BE42" s="1125"/>
      <c r="BF42" s="1125"/>
      <c r="BG42" s="2110"/>
      <c r="BH42" s="5481" t="s">
        <v>7688</v>
      </c>
      <c r="BI42" s="5482"/>
      <c r="BJ42" s="1147" t="s">
        <v>7689</v>
      </c>
      <c r="BK42" s="1147" t="s">
        <v>1820</v>
      </c>
      <c r="BL42" s="1147" t="s">
        <v>3334</v>
      </c>
      <c r="BM42" s="1148" t="s">
        <v>2165</v>
      </c>
      <c r="BN42" s="5478" t="str">
        <f>IF(BH41=0,"",VLOOKUP(BH41,'Tablas Magia'!$D$6:$Z$680,5,FALSE))</f>
        <v>Efecto</v>
      </c>
      <c r="BO42" s="5478"/>
      <c r="BP42" s="5479" t="s">
        <v>7690</v>
      </c>
      <c r="BQ42" s="5479"/>
      <c r="BR42" s="5478" t="str">
        <f>IF(BH41=0,"",VLOOKUP(BH41,'Tablas Magia'!$D$6:$Z$680,6,FALSE))</f>
        <v>Activa</v>
      </c>
      <c r="BS42" s="5478"/>
      <c r="BT42" s="5480" t="s">
        <v>7691</v>
      </c>
      <c r="BU42" s="5480"/>
      <c r="BV42" s="1149" t="str">
        <f>IF(BH41=0,"",VLOOKUP(BH41,'Tablas Magia'!$D$6:$Z$680,4,FALSE))</f>
        <v>No</v>
      </c>
      <c r="BW42" s="1131"/>
      <c r="BX42" s="1125"/>
      <c r="BY42" s="1125"/>
      <c r="BZ42" s="2110"/>
      <c r="CA42" s="5481" t="s">
        <v>7688</v>
      </c>
      <c r="CB42" s="5482"/>
      <c r="CC42" s="1147" t="s">
        <v>7689</v>
      </c>
      <c r="CD42" s="1147" t="s">
        <v>1820</v>
      </c>
      <c r="CE42" s="1147" t="s">
        <v>3334</v>
      </c>
      <c r="CF42" s="1148" t="s">
        <v>2165</v>
      </c>
      <c r="CG42" s="5478" t="str">
        <f>IF(CA41=0,"",VLOOKUP(CA41,'Tablas Magia'!$D$6:$Z$680,5,FALSE))</f>
        <v>Efecto</v>
      </c>
      <c r="CH42" s="5478"/>
      <c r="CI42" s="5479" t="s">
        <v>7690</v>
      </c>
      <c r="CJ42" s="5479"/>
      <c r="CK42" s="5478" t="str">
        <f>IF(CA41=0,"",VLOOKUP(CA41,'Tablas Magia'!$D$6:$Z$680,6,FALSE))</f>
        <v>Activa</v>
      </c>
      <c r="CL42" s="5478"/>
      <c r="CM42" s="5480" t="s">
        <v>7691</v>
      </c>
      <c r="CN42" s="5480"/>
      <c r="CO42" s="1149" t="str">
        <f>IF(CA41=0,"",VLOOKUP(CA41,'Tablas Magia'!$D$6:$Z$680,4,FALSE))</f>
        <v>No</v>
      </c>
      <c r="CP42" s="1131"/>
      <c r="CQ42" s="1125"/>
    </row>
    <row r="43" spans="1:95" ht="12" customHeight="1" x14ac:dyDescent="0.2">
      <c r="A43" s="1125"/>
      <c r="B43" s="2096"/>
      <c r="C43" s="5473" t="s">
        <v>1674</v>
      </c>
      <c r="D43" s="5474"/>
      <c r="E43" s="1150">
        <f>IF(C41=0,"",VLOOKUP(C41,'Tablas Magia'!$D$6:$Z$680,7,FALSE))</f>
        <v>6</v>
      </c>
      <c r="F43" s="1150">
        <f>IF(C41=0,"",VLOOKUP(C41,'Tablas Magia'!$D$6:$Z$680,11,FALSE))</f>
        <v>50</v>
      </c>
      <c r="G43" s="1151" t="str">
        <f>IF(C41=0,"",VLOOKUP(C41,'Tablas Magia'!$D$6:$Z$680,15,FALSE))</f>
        <v>No</v>
      </c>
      <c r="H43" s="5475" t="str">
        <f>IF(C41=0,"",VLOOKUP(C41,'Tablas Magia'!$D$6:$Z$680,19,FALSE))</f>
        <v>10 metros de radio / 140 RF</v>
      </c>
      <c r="I43" s="5476"/>
      <c r="J43" s="5476"/>
      <c r="K43" s="5476"/>
      <c r="L43" s="5476"/>
      <c r="M43" s="5476"/>
      <c r="N43" s="5476"/>
      <c r="O43" s="5476"/>
      <c r="P43" s="5476"/>
      <c r="Q43" s="5477"/>
      <c r="R43" s="1131"/>
      <c r="S43" s="1125"/>
      <c r="T43" s="1125"/>
      <c r="U43" s="2096"/>
      <c r="V43" s="5473" t="s">
        <v>1674</v>
      </c>
      <c r="W43" s="5474"/>
      <c r="X43" s="1150">
        <f>IF(V41=0,"",VLOOKUP(V41,'Tablas Magia'!$D$6:$Z$680,7,FALSE))</f>
        <v>6</v>
      </c>
      <c r="Y43" s="1150">
        <f>IF(V41=0,"",VLOOKUP(V41,'Tablas Magia'!$D$6:$Z$680,11,FALSE))</f>
        <v>60</v>
      </c>
      <c r="Z43" s="1151">
        <f>IF(V41=0,"",VLOOKUP(V41,'Tablas Magia'!$D$6:$Z$680,15,FALSE))</f>
        <v>10</v>
      </c>
      <c r="AA43" s="5475" t="str">
        <f>IF(V41=0,"",VLOOKUP(V41,'Tablas Magia'!$D$6:$Z$680,19,FALSE))</f>
        <v>Disponen de una Fuerza base 8 para los controles</v>
      </c>
      <c r="AB43" s="5476"/>
      <c r="AC43" s="5476"/>
      <c r="AD43" s="5476"/>
      <c r="AE43" s="5476"/>
      <c r="AF43" s="5476"/>
      <c r="AG43" s="5476"/>
      <c r="AH43" s="5476"/>
      <c r="AI43" s="5476"/>
      <c r="AJ43" s="5477"/>
      <c r="AK43" s="1131"/>
      <c r="AL43" s="1125"/>
      <c r="AM43" s="1125"/>
      <c r="AN43" s="2110"/>
      <c r="AO43" s="5473" t="s">
        <v>1674</v>
      </c>
      <c r="AP43" s="5474"/>
      <c r="AQ43" s="1150">
        <f>IF(AO41=0,"",VLOOKUP(AO41,'Tablas Magia'!$D$6:$Z$680,7,FALSE))</f>
        <v>7</v>
      </c>
      <c r="AR43" s="1150">
        <f>IF(AO41=0,"",VLOOKUP(AO41,'Tablas Magia'!$D$6:$Z$680,11,FALSE))</f>
        <v>140</v>
      </c>
      <c r="AS43" s="1151">
        <f>IF(AO41=0,"",VLOOKUP(AO41,'Tablas Magia'!$D$6:$Z$680,15,FALSE))</f>
        <v>10</v>
      </c>
      <c r="AT43" s="5475" t="str">
        <f>IF(AO41=0,"",VLOOKUP(AO41,'Tablas Magia'!$D$6:$Z$680,19,FALSE))</f>
        <v>RM 180 / 20 metros de radio</v>
      </c>
      <c r="AU43" s="5476"/>
      <c r="AV43" s="5476"/>
      <c r="AW43" s="5476"/>
      <c r="AX43" s="5476"/>
      <c r="AY43" s="5476"/>
      <c r="AZ43" s="5476"/>
      <c r="BA43" s="5476"/>
      <c r="BB43" s="5476"/>
      <c r="BC43" s="5477"/>
      <c r="BD43" s="1131"/>
      <c r="BE43" s="1125"/>
      <c r="BF43" s="1125"/>
      <c r="BG43" s="2110"/>
      <c r="BH43" s="5473" t="s">
        <v>1674</v>
      </c>
      <c r="BI43" s="5474"/>
      <c r="BJ43" s="1150">
        <f>IF(BH41=0,"",VLOOKUP(BH41,'Tablas Magia'!$D$6:$Z$680,7,FALSE))</f>
        <v>8</v>
      </c>
      <c r="BK43" s="1150">
        <f>IF(BH41=0,"",VLOOKUP(BH41,'Tablas Magia'!$D$6:$Z$680,11,FALSE))</f>
        <v>150</v>
      </c>
      <c r="BL43" s="1151" t="str">
        <f>IF(BH41=0,"",VLOOKUP(BH41,'Tablas Magia'!$D$6:$Z$680,15,FALSE))</f>
        <v>No</v>
      </c>
      <c r="BM43" s="5475" t="str">
        <f>IF(BH41=0,"",VLOOKUP(BH41,'Tablas Magia'!$D$6:$Z$680,19,FALSE))</f>
        <v>Elimina un -40 a toda acción y restituye 2 puntos de Cansancio</v>
      </c>
      <c r="BN43" s="5476"/>
      <c r="BO43" s="5476"/>
      <c r="BP43" s="5476"/>
      <c r="BQ43" s="5476"/>
      <c r="BR43" s="5476"/>
      <c r="BS43" s="5476"/>
      <c r="BT43" s="5476"/>
      <c r="BU43" s="5476"/>
      <c r="BV43" s="5477"/>
      <c r="BW43" s="1131"/>
      <c r="BX43" s="1125"/>
      <c r="BY43" s="1125"/>
      <c r="BZ43" s="2110"/>
      <c r="CA43" s="5473" t="s">
        <v>1674</v>
      </c>
      <c r="CB43" s="5474"/>
      <c r="CC43" s="1150">
        <f>IF(CA41=0,"",VLOOKUP(CA41,'Tablas Magia'!$D$6:$Z$680,7,FALSE))</f>
        <v>10</v>
      </c>
      <c r="CD43" s="1150">
        <f>IF(CA41=0,"",VLOOKUP(CA41,'Tablas Magia'!$D$6:$Z$680,11,FALSE))</f>
        <v>200</v>
      </c>
      <c r="CE43" s="1151">
        <f>IF(CA41=0,"",VLOOKUP(CA41,'Tablas Magia'!$D$6:$Z$680,15,FALSE))</f>
        <v>40</v>
      </c>
      <c r="CF43" s="5475" t="str">
        <f>IF(CA41=0,"",VLOOKUP(CA41,'Tablas Magia'!$D$6:$Z$680,19,FALSE))</f>
        <v>500 metros de radio / presencia máxima 60.</v>
      </c>
      <c r="CG43" s="5476"/>
      <c r="CH43" s="5476"/>
      <c r="CI43" s="5476"/>
      <c r="CJ43" s="5476"/>
      <c r="CK43" s="5476"/>
      <c r="CL43" s="5476"/>
      <c r="CM43" s="5476"/>
      <c r="CN43" s="5476"/>
      <c r="CO43" s="5477"/>
      <c r="CP43" s="1131"/>
      <c r="CQ43" s="1125"/>
    </row>
    <row r="44" spans="1:95" ht="12" customHeight="1" x14ac:dyDescent="0.2">
      <c r="A44" s="1125"/>
      <c r="B44" s="2096"/>
      <c r="C44" s="5468" t="s">
        <v>4572</v>
      </c>
      <c r="D44" s="5469"/>
      <c r="E44" s="1152">
        <f>IF(C41=0,"",VLOOKUP(C41,'Tablas Magia'!$D$6:$Z$680,8,FALSE))</f>
        <v>9</v>
      </c>
      <c r="F44" s="1152">
        <f>IF(C41=0,"",VLOOKUP(C41,'Tablas Magia'!$D$6:$Z$680,12,FALSE))</f>
        <v>100</v>
      </c>
      <c r="G44" s="1153" t="str">
        <f>IF(C41=0,"",VLOOKUP(C41,'Tablas Magia'!$D$6:$Z$680,16,FALSE))</f>
        <v>No</v>
      </c>
      <c r="H44" s="5470" t="str">
        <f>IF(C41=0,"",VLOOKUP(C41,'Tablas Magia'!$D$6:$Z$680,20,FALSE))</f>
        <v>25 metros de radio / 140 RF.</v>
      </c>
      <c r="I44" s="5471"/>
      <c r="J44" s="5471"/>
      <c r="K44" s="5471"/>
      <c r="L44" s="5471"/>
      <c r="M44" s="5471"/>
      <c r="N44" s="5471"/>
      <c r="O44" s="5471"/>
      <c r="P44" s="5471"/>
      <c r="Q44" s="5472"/>
      <c r="R44" s="1131"/>
      <c r="S44" s="1125"/>
      <c r="T44" s="1125"/>
      <c r="U44" s="2096"/>
      <c r="V44" s="5468" t="s">
        <v>4572</v>
      </c>
      <c r="W44" s="5469"/>
      <c r="X44" s="1152">
        <f>IF(V41=0,"",VLOOKUP(V41,'Tablas Magia'!$D$6:$Z$680,8,FALSE))</f>
        <v>9</v>
      </c>
      <c r="Y44" s="1152">
        <f>IF(V41=0,"",VLOOKUP(V41,'Tablas Magia'!$D$6:$Z$680,12,FALSE))</f>
        <v>100</v>
      </c>
      <c r="Z44" s="1153">
        <f>IF(V41=0,"",VLOOKUP(V41,'Tablas Magia'!$D$6:$Z$680,16,FALSE))</f>
        <v>10</v>
      </c>
      <c r="AA44" s="5470" t="str">
        <f>IF(V41=0,"",VLOOKUP(V41,'Tablas Magia'!$D$6:$Z$680,20,FALSE))</f>
        <v>Disponen de una Fuerza base 12 para los controles</v>
      </c>
      <c r="AB44" s="5471"/>
      <c r="AC44" s="5471"/>
      <c r="AD44" s="5471"/>
      <c r="AE44" s="5471"/>
      <c r="AF44" s="5471"/>
      <c r="AG44" s="5471"/>
      <c r="AH44" s="5471"/>
      <c r="AI44" s="5471"/>
      <c r="AJ44" s="5472"/>
      <c r="AK44" s="1131"/>
      <c r="AL44" s="1125"/>
      <c r="AM44" s="1125"/>
      <c r="AN44" s="2110"/>
      <c r="AO44" s="5468" t="s">
        <v>4572</v>
      </c>
      <c r="AP44" s="5469"/>
      <c r="AQ44" s="1152">
        <f>IF(AO41=0,"",VLOOKUP(AO41,'Tablas Magia'!$D$6:$Z$680,8,FALSE))</f>
        <v>10</v>
      </c>
      <c r="AR44" s="1152">
        <f>IF(AO41=0,"",VLOOKUP(AO41,'Tablas Magia'!$D$6:$Z$680,12,FALSE))</f>
        <v>200</v>
      </c>
      <c r="AS44" s="1153">
        <f>IF(AO41=0,"",VLOOKUP(AO41,'Tablas Magia'!$D$6:$Z$680,16,FALSE))</f>
        <v>10</v>
      </c>
      <c r="AT44" s="5470" t="str">
        <f>IF(AO41=0,"",VLOOKUP(AO41,'Tablas Magia'!$D$6:$Z$680,20,FALSE))</f>
        <v>RM 240 / 80 metros de radio</v>
      </c>
      <c r="AU44" s="5471"/>
      <c r="AV44" s="5471"/>
      <c r="AW44" s="5471"/>
      <c r="AX44" s="5471"/>
      <c r="AY44" s="5471"/>
      <c r="AZ44" s="5471"/>
      <c r="BA44" s="5471"/>
      <c r="BB44" s="5471"/>
      <c r="BC44" s="5472"/>
      <c r="BD44" s="1131"/>
      <c r="BE44" s="1125"/>
      <c r="BF44" s="1125"/>
      <c r="BG44" s="2110"/>
      <c r="BH44" s="5468" t="s">
        <v>4572</v>
      </c>
      <c r="BI44" s="5469"/>
      <c r="BJ44" s="1152">
        <f>IF(BH41=0,"",VLOOKUP(BH41,'Tablas Magia'!$D$6:$Z$680,8,FALSE))</f>
        <v>10</v>
      </c>
      <c r="BK44" s="1152">
        <f>IF(BH41=0,"",VLOOKUP(BH41,'Tablas Magia'!$D$6:$Z$680,12,FALSE))</f>
        <v>200</v>
      </c>
      <c r="BL44" s="1153" t="str">
        <f>IF(BH41=0,"",VLOOKUP(BH41,'Tablas Magia'!$D$6:$Z$680,16,FALSE))</f>
        <v>No</v>
      </c>
      <c r="BM44" s="5470" t="str">
        <f>IF(BH41=0,"",VLOOKUP(BH41,'Tablas Magia'!$D$6:$Z$680,20,FALSE))</f>
        <v>Elimina un -80 a toda acción y restituye 5 puntos de Cansancio</v>
      </c>
      <c r="BN44" s="5471"/>
      <c r="BO44" s="5471"/>
      <c r="BP44" s="5471"/>
      <c r="BQ44" s="5471"/>
      <c r="BR44" s="5471"/>
      <c r="BS44" s="5471"/>
      <c r="BT44" s="5471"/>
      <c r="BU44" s="5471"/>
      <c r="BV44" s="5472"/>
      <c r="BW44" s="1131"/>
      <c r="BX44" s="1125"/>
      <c r="BY44" s="1125"/>
      <c r="BZ44" s="2110"/>
      <c r="CA44" s="5468" t="s">
        <v>4572</v>
      </c>
      <c r="CB44" s="5469"/>
      <c r="CC44" s="1152">
        <f>IF(CA41=0,"",VLOOKUP(CA41,'Tablas Magia'!$D$6:$Z$680,8,FALSE))</f>
        <v>12</v>
      </c>
      <c r="CD44" s="1152">
        <f>IF(CA41=0,"",VLOOKUP(CA41,'Tablas Magia'!$D$6:$Z$680,12,FALSE))</f>
        <v>250</v>
      </c>
      <c r="CE44" s="1153">
        <f>IF(CA41=0,"",VLOOKUP(CA41,'Tablas Magia'!$D$6:$Z$680,16,FALSE))</f>
        <v>50</v>
      </c>
      <c r="CF44" s="5470" t="str">
        <f>IF(CA41=0,"",VLOOKUP(CA41,'Tablas Magia'!$D$6:$Z$680,20,FALSE))</f>
        <v>2 kilómetros de radio / presencia máxima 80</v>
      </c>
      <c r="CG44" s="5471"/>
      <c r="CH44" s="5471"/>
      <c r="CI44" s="5471"/>
      <c r="CJ44" s="5471"/>
      <c r="CK44" s="5471"/>
      <c r="CL44" s="5471"/>
      <c r="CM44" s="5471"/>
      <c r="CN44" s="5471"/>
      <c r="CO44" s="5472"/>
      <c r="CP44" s="1131"/>
      <c r="CQ44" s="1125"/>
    </row>
    <row r="45" spans="1:95" ht="12" customHeight="1" x14ac:dyDescent="0.2">
      <c r="A45" s="1125"/>
      <c r="B45" s="2096"/>
      <c r="C45" s="5473" t="s">
        <v>4573</v>
      </c>
      <c r="D45" s="5474"/>
      <c r="E45" s="1150">
        <f>IF(C41=0,"",VLOOKUP(C41,'Tablas Magia'!$D$6:$Z$680,9,FALSE))</f>
        <v>11</v>
      </c>
      <c r="F45" s="1150">
        <f>IF(C41=0,"",VLOOKUP(C41,'Tablas Magia'!$D$6:$Z$680,13,FALSE))</f>
        <v>150</v>
      </c>
      <c r="G45" s="1151" t="str">
        <f>IF(C41=0,"",VLOOKUP(C41,'Tablas Magia'!$D$6:$Z$680,17,FALSE))</f>
        <v>No</v>
      </c>
      <c r="H45" s="5475" t="str">
        <f>IF(C41=0,"",VLOOKUP(C41,'Tablas Magia'!$D$6:$Z$680,21,FALSE))</f>
        <v>50 metros de radio / 140 RF.</v>
      </c>
      <c r="I45" s="5476"/>
      <c r="J45" s="5476"/>
      <c r="K45" s="5476"/>
      <c r="L45" s="5476"/>
      <c r="M45" s="5476"/>
      <c r="N45" s="5476"/>
      <c r="O45" s="5476"/>
      <c r="P45" s="5476"/>
      <c r="Q45" s="5477"/>
      <c r="R45" s="1131"/>
      <c r="S45" s="1125"/>
      <c r="T45" s="1125"/>
      <c r="U45" s="2096"/>
      <c r="V45" s="5473" t="s">
        <v>4573</v>
      </c>
      <c r="W45" s="5474"/>
      <c r="X45" s="1150">
        <f>IF(V41=0,"",VLOOKUP(V41,'Tablas Magia'!$D$6:$Z$680,9,FALSE))</f>
        <v>12</v>
      </c>
      <c r="Y45" s="1150">
        <f>IF(V41=0,"",VLOOKUP(V41,'Tablas Magia'!$D$6:$Z$680,13,FALSE))</f>
        <v>140</v>
      </c>
      <c r="Z45" s="1151">
        <f>IF(V41=0,"",VLOOKUP(V41,'Tablas Magia'!$D$6:$Z$680,17,FALSE))</f>
        <v>15</v>
      </c>
      <c r="AA45" s="5475" t="str">
        <f>IF(V41=0,"",VLOOKUP(V41,'Tablas Magia'!$D$6:$Z$680,21,FALSE))</f>
        <v>Disponen de una Fuerza base 15 para los controles y tienen Entereza 30</v>
      </c>
      <c r="AB45" s="5476"/>
      <c r="AC45" s="5476"/>
      <c r="AD45" s="5476"/>
      <c r="AE45" s="5476"/>
      <c r="AF45" s="5476"/>
      <c r="AG45" s="5476"/>
      <c r="AH45" s="5476"/>
      <c r="AI45" s="5476"/>
      <c r="AJ45" s="5477"/>
      <c r="AK45" s="1131"/>
      <c r="AL45" s="1125"/>
      <c r="AM45" s="1125"/>
      <c r="AN45" s="2110"/>
      <c r="AO45" s="5473" t="s">
        <v>4573</v>
      </c>
      <c r="AP45" s="5474"/>
      <c r="AQ45" s="1150">
        <f>IF(AO41=0,"",VLOOKUP(AO41,'Tablas Magia'!$D$6:$Z$680,9,FALSE))</f>
        <v>12</v>
      </c>
      <c r="AR45" s="1150">
        <f>IF(AO41=0,"",VLOOKUP(AO41,'Tablas Magia'!$D$6:$Z$680,13,FALSE))</f>
        <v>280</v>
      </c>
      <c r="AS45" s="1151">
        <f>IF(AO41=0,"",VLOOKUP(AO41,'Tablas Magia'!$D$6:$Z$680,17,FALSE))</f>
        <v>15</v>
      </c>
      <c r="AT45" s="5475" t="str">
        <f>IF(AO41=0,"",VLOOKUP(AO41,'Tablas Magia'!$D$6:$Z$680,21,FALSE))</f>
        <v>RM 280 / 150 metros de radio</v>
      </c>
      <c r="AU45" s="5476"/>
      <c r="AV45" s="5476"/>
      <c r="AW45" s="5476"/>
      <c r="AX45" s="5476"/>
      <c r="AY45" s="5476"/>
      <c r="AZ45" s="5476"/>
      <c r="BA45" s="5476"/>
      <c r="BB45" s="5476"/>
      <c r="BC45" s="5477"/>
      <c r="BD45" s="1131"/>
      <c r="BE45" s="1125"/>
      <c r="BF45" s="1125"/>
      <c r="BG45" s="2110"/>
      <c r="BH45" s="5473" t="s">
        <v>4573</v>
      </c>
      <c r="BI45" s="5474"/>
      <c r="BJ45" s="1150">
        <f>IF(BH41=0,"",VLOOKUP(BH41,'Tablas Magia'!$D$6:$Z$680,9,FALSE))</f>
        <v>12</v>
      </c>
      <c r="BK45" s="1150">
        <f>IF(BH41=0,"",VLOOKUP(BH41,'Tablas Magia'!$D$6:$Z$680,13,FALSE))</f>
        <v>250</v>
      </c>
      <c r="BL45" s="1151" t="str">
        <f>IF(BH41=0,"",VLOOKUP(BH41,'Tablas Magia'!$D$6:$Z$680,17,FALSE))</f>
        <v>No</v>
      </c>
      <c r="BM45" s="5475" t="str">
        <f>IF(BH41=0,"",VLOOKUP(BH41,'Tablas Magia'!$D$6:$Z$680,21,FALSE))</f>
        <v>Elimina un -120 a toda acción y restituye 10 puntos de Cansancio</v>
      </c>
      <c r="BN45" s="5476"/>
      <c r="BO45" s="5476"/>
      <c r="BP45" s="5476"/>
      <c r="BQ45" s="5476"/>
      <c r="BR45" s="5476"/>
      <c r="BS45" s="5476"/>
      <c r="BT45" s="5476"/>
      <c r="BU45" s="5476"/>
      <c r="BV45" s="5477"/>
      <c r="BW45" s="1131"/>
      <c r="BX45" s="1125"/>
      <c r="BY45" s="1125"/>
      <c r="BZ45" s="2110"/>
      <c r="CA45" s="5473" t="s">
        <v>4573</v>
      </c>
      <c r="CB45" s="5474"/>
      <c r="CC45" s="1150">
        <f>IF(CA41=0,"",VLOOKUP(CA41,'Tablas Magia'!$D$6:$Z$680,9,FALSE))</f>
        <v>15</v>
      </c>
      <c r="CD45" s="1150">
        <f>IF(CA41=0,"",VLOOKUP(CA41,'Tablas Magia'!$D$6:$Z$680,13,FALSE))</f>
        <v>400</v>
      </c>
      <c r="CE45" s="1151">
        <f>IF(CA41=0,"",VLOOKUP(CA41,'Tablas Magia'!$D$6:$Z$680,17,FALSE))</f>
        <v>60</v>
      </c>
      <c r="CF45" s="5475" t="str">
        <f>IF(CA41=0,"",VLOOKUP(CA41,'Tablas Magia'!$D$6:$Z$680,21,FALSE))</f>
        <v>10 kilómetros de radio / presencia máxima 100</v>
      </c>
      <c r="CG45" s="5476"/>
      <c r="CH45" s="5476"/>
      <c r="CI45" s="5476"/>
      <c r="CJ45" s="5476"/>
      <c r="CK45" s="5476"/>
      <c r="CL45" s="5476"/>
      <c r="CM45" s="5476"/>
      <c r="CN45" s="5476"/>
      <c r="CO45" s="5477"/>
      <c r="CP45" s="1131"/>
      <c r="CQ45" s="1125"/>
    </row>
    <row r="46" spans="1:95" ht="12" customHeight="1" thickBot="1" x14ac:dyDescent="0.25">
      <c r="A46" s="1125"/>
      <c r="B46" s="2096"/>
      <c r="C46" s="5483" t="s">
        <v>4574</v>
      </c>
      <c r="D46" s="5484"/>
      <c r="E46" s="1154">
        <f>IF(C41=0,"",VLOOKUP(C41,'Tablas Magia'!$D$6:$Z$680,10,FALSE))</f>
        <v>14</v>
      </c>
      <c r="F46" s="1154">
        <f>IF(C41=0,"",VLOOKUP(C41,'Tablas Magia'!$D$6:$Z$680,14,FALSE))</f>
        <v>200</v>
      </c>
      <c r="G46" s="1155" t="str">
        <f>IF(C41=0,"",VLOOKUP(C41,'Tablas Magia'!$D$6:$Z$680,18,FALSE))</f>
        <v>No</v>
      </c>
      <c r="H46" s="5485" t="str">
        <f>IF(C41=0,"",VLOOKUP(C41,'Tablas Magia'!$D$6:$Z$680,22,FALSE))</f>
        <v>100 metros de radio / 160 RF</v>
      </c>
      <c r="I46" s="5486"/>
      <c r="J46" s="5486"/>
      <c r="K46" s="5486"/>
      <c r="L46" s="5486"/>
      <c r="M46" s="5486"/>
      <c r="N46" s="5486"/>
      <c r="O46" s="5486"/>
      <c r="P46" s="5486"/>
      <c r="Q46" s="5487"/>
      <c r="R46" s="1131"/>
      <c r="S46" s="1125"/>
      <c r="T46" s="1125"/>
      <c r="U46" s="2096"/>
      <c r="V46" s="5483" t="s">
        <v>4574</v>
      </c>
      <c r="W46" s="5484"/>
      <c r="X46" s="1154">
        <f>IF(V41=0,"",VLOOKUP(V41,'Tablas Magia'!$D$6:$Z$680,10,FALSE))</f>
        <v>15</v>
      </c>
      <c r="Y46" s="1154">
        <f>IF(V41=0,"",VLOOKUP(V41,'Tablas Magia'!$D$6:$Z$680,14,FALSE))</f>
        <v>180</v>
      </c>
      <c r="Z46" s="1155">
        <f>IF(V41=0,"",VLOOKUP(V41,'Tablas Magia'!$D$6:$Z$680,18,FALSE))</f>
        <v>15</v>
      </c>
      <c r="AA46" s="5485" t="str">
        <f>IF(V41=0,"",VLOOKUP(V41,'Tablas Magia'!$D$6:$Z$680,22,FALSE))</f>
        <v>Disponen de una Fuerza base 18 para los controles y tienen Entereza 35</v>
      </c>
      <c r="AB46" s="5486"/>
      <c r="AC46" s="5486"/>
      <c r="AD46" s="5486"/>
      <c r="AE46" s="5486"/>
      <c r="AF46" s="5486"/>
      <c r="AG46" s="5486"/>
      <c r="AH46" s="5486"/>
      <c r="AI46" s="5486"/>
      <c r="AJ46" s="5487"/>
      <c r="AK46" s="1131"/>
      <c r="AL46" s="1125"/>
      <c r="AM46" s="1125"/>
      <c r="AN46" s="2110"/>
      <c r="AO46" s="5483" t="s">
        <v>4574</v>
      </c>
      <c r="AP46" s="5484"/>
      <c r="AQ46" s="1154">
        <f>IF(AO41=0,"",VLOOKUP(AO41,'Tablas Magia'!$D$6:$Z$680,10,FALSE))</f>
        <v>15</v>
      </c>
      <c r="AR46" s="1154">
        <f>IF(AO41=0,"",VLOOKUP(AO41,'Tablas Magia'!$D$6:$Z$680,14,FALSE))</f>
        <v>360</v>
      </c>
      <c r="AS46" s="1155">
        <f>IF(AO41=0,"",VLOOKUP(AO41,'Tablas Magia'!$D$6:$Z$680,18,FALSE))</f>
        <v>15</v>
      </c>
      <c r="AT46" s="5485" t="str">
        <f>IF(AO41=0,"",VLOOKUP(AO41,'Tablas Magia'!$D$6:$Z$680,22,FALSE))</f>
        <v>RM 340 / 250 metros de rad</v>
      </c>
      <c r="AU46" s="5486"/>
      <c r="AV46" s="5486"/>
      <c r="AW46" s="5486"/>
      <c r="AX46" s="5486"/>
      <c r="AY46" s="5486"/>
      <c r="AZ46" s="5486"/>
      <c r="BA46" s="5486"/>
      <c r="BB46" s="5486"/>
      <c r="BC46" s="5487"/>
      <c r="BD46" s="1131"/>
      <c r="BE46" s="1125"/>
      <c r="BF46" s="1125"/>
      <c r="BG46" s="2110"/>
      <c r="BH46" s="5483" t="s">
        <v>4574</v>
      </c>
      <c r="BI46" s="5484"/>
      <c r="BJ46" s="1154">
        <f>IF(BH41=0,"",VLOOKUP(BH41,'Tablas Magia'!$D$6:$Z$680,10,FALSE))</f>
        <v>15</v>
      </c>
      <c r="BK46" s="1154">
        <f>IF(BH41=0,"",VLOOKUP(BH41,'Tablas Magia'!$D$6:$Z$680,14,FALSE))</f>
        <v>300</v>
      </c>
      <c r="BL46" s="1155" t="str">
        <f>IF(BH41=0,"",VLOOKUP(BH41,'Tablas Magia'!$D$6:$Z$680,18,FALSE))</f>
        <v>No</v>
      </c>
      <c r="BM46" s="5485" t="str">
        <f>IF(BH41=0,"",VLOOKUP(BH41,'Tablas Magia'!$D$6:$Z$680,22,FALSE))</f>
        <v>Restituye cualquier penalizador y cantidad de Puntos de Cansancio</v>
      </c>
      <c r="BN46" s="5486"/>
      <c r="BO46" s="5486"/>
      <c r="BP46" s="5486"/>
      <c r="BQ46" s="5486"/>
      <c r="BR46" s="5486"/>
      <c r="BS46" s="5486"/>
      <c r="BT46" s="5486"/>
      <c r="BU46" s="5486"/>
      <c r="BV46" s="5487"/>
      <c r="BW46" s="1131"/>
      <c r="BX46" s="1125"/>
      <c r="BY46" s="1125"/>
      <c r="BZ46" s="2110"/>
      <c r="CA46" s="5483" t="s">
        <v>4574</v>
      </c>
      <c r="CB46" s="5484"/>
      <c r="CC46" s="1154">
        <f>IF(CA41=0,"",VLOOKUP(CA41,'Tablas Magia'!$D$6:$Z$680,10,FALSE))</f>
        <v>18</v>
      </c>
      <c r="CD46" s="1154">
        <f>IF(CA41=0,"",VLOOKUP(CA41,'Tablas Magia'!$D$6:$Z$680,14,FALSE))</f>
        <v>800</v>
      </c>
      <c r="CE46" s="1155">
        <f>IF(CA41=0,"",VLOOKUP(CA41,'Tablas Magia'!$D$6:$Z$680,18,FALSE))</f>
        <v>65</v>
      </c>
      <c r="CF46" s="5485" t="str">
        <f>IF(CA41=0,"",VLOOKUP(CA41,'Tablas Magia'!$D$6:$Z$680,22,FALSE))</f>
        <v>50 kilómetros de radio / presencia máxima 120</v>
      </c>
      <c r="CG46" s="5486"/>
      <c r="CH46" s="5486"/>
      <c r="CI46" s="5486"/>
      <c r="CJ46" s="5486"/>
      <c r="CK46" s="5486"/>
      <c r="CL46" s="5486"/>
      <c r="CM46" s="5486"/>
      <c r="CN46" s="5486"/>
      <c r="CO46" s="5487"/>
      <c r="CP46" s="1131"/>
      <c r="CQ46" s="1125"/>
    </row>
    <row r="47" spans="1:95" ht="12" customHeight="1" x14ac:dyDescent="0.2">
      <c r="A47" s="1125"/>
      <c r="B47" s="2096"/>
      <c r="C47" s="5488"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489"/>
      <c r="E47" s="5489"/>
      <c r="F47" s="5489"/>
      <c r="G47" s="5489"/>
      <c r="H47" s="5489"/>
      <c r="I47" s="5489"/>
      <c r="J47" s="5489"/>
      <c r="K47" s="5489"/>
      <c r="L47" s="5489"/>
      <c r="M47" s="5489"/>
      <c r="N47" s="5489"/>
      <c r="O47" s="5489"/>
      <c r="P47" s="5489"/>
      <c r="Q47" s="5490"/>
      <c r="R47" s="1131"/>
      <c r="S47" s="1125"/>
      <c r="T47" s="1125"/>
      <c r="U47" s="2096"/>
      <c r="V47" s="5488"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489"/>
      <c r="X47" s="5489"/>
      <c r="Y47" s="5489"/>
      <c r="Z47" s="5489"/>
      <c r="AA47" s="5489"/>
      <c r="AB47" s="5489"/>
      <c r="AC47" s="5489"/>
      <c r="AD47" s="5489"/>
      <c r="AE47" s="5489"/>
      <c r="AF47" s="5489"/>
      <c r="AG47" s="5489"/>
      <c r="AH47" s="5489"/>
      <c r="AI47" s="5489"/>
      <c r="AJ47" s="5490"/>
      <c r="AK47" s="1131"/>
      <c r="AL47" s="1125"/>
      <c r="AM47" s="1125"/>
      <c r="AN47" s="2110"/>
      <c r="AO47" s="5488"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489"/>
      <c r="AQ47" s="5489"/>
      <c r="AR47" s="5489"/>
      <c r="AS47" s="5489"/>
      <c r="AT47" s="5489"/>
      <c r="AU47" s="5489"/>
      <c r="AV47" s="5489"/>
      <c r="AW47" s="5489"/>
      <c r="AX47" s="5489"/>
      <c r="AY47" s="5489"/>
      <c r="AZ47" s="5489"/>
      <c r="BA47" s="5489"/>
      <c r="BB47" s="5489"/>
      <c r="BC47" s="5490"/>
      <c r="BD47" s="1131"/>
      <c r="BE47" s="1125"/>
      <c r="BF47" s="1125"/>
      <c r="BG47" s="2110"/>
      <c r="BH47" s="5488"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489"/>
      <c r="BJ47" s="5489"/>
      <c r="BK47" s="5489"/>
      <c r="BL47" s="5489"/>
      <c r="BM47" s="5489"/>
      <c r="BN47" s="5489"/>
      <c r="BO47" s="5489"/>
      <c r="BP47" s="5489"/>
      <c r="BQ47" s="5489"/>
      <c r="BR47" s="5489"/>
      <c r="BS47" s="5489"/>
      <c r="BT47" s="5489"/>
      <c r="BU47" s="5489"/>
      <c r="BV47" s="5490"/>
      <c r="BW47" s="1131"/>
      <c r="BX47" s="1125"/>
      <c r="BY47" s="1125"/>
      <c r="BZ47" s="2110"/>
      <c r="CA47" s="5488"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489"/>
      <c r="CC47" s="5489"/>
      <c r="CD47" s="5489"/>
      <c r="CE47" s="5489"/>
      <c r="CF47" s="5489"/>
      <c r="CG47" s="5489"/>
      <c r="CH47" s="5489"/>
      <c r="CI47" s="5489"/>
      <c r="CJ47" s="5489"/>
      <c r="CK47" s="5489"/>
      <c r="CL47" s="5489"/>
      <c r="CM47" s="5489"/>
      <c r="CN47" s="5489"/>
      <c r="CO47" s="5490"/>
      <c r="CP47" s="1131"/>
      <c r="CQ47" s="1125"/>
    </row>
    <row r="48" spans="1:95" ht="12" customHeight="1" x14ac:dyDescent="0.2">
      <c r="A48" s="1125"/>
      <c r="B48" s="2096"/>
      <c r="C48" s="5491"/>
      <c r="D48" s="5492"/>
      <c r="E48" s="5492"/>
      <c r="F48" s="5492"/>
      <c r="G48" s="5492"/>
      <c r="H48" s="5492"/>
      <c r="I48" s="5492"/>
      <c r="J48" s="5492"/>
      <c r="K48" s="5492"/>
      <c r="L48" s="5492"/>
      <c r="M48" s="5492"/>
      <c r="N48" s="5492"/>
      <c r="O48" s="5492"/>
      <c r="P48" s="5492"/>
      <c r="Q48" s="5493"/>
      <c r="R48" s="1131"/>
      <c r="S48" s="1125"/>
      <c r="T48" s="1125"/>
      <c r="U48" s="2096"/>
      <c r="V48" s="5491"/>
      <c r="W48" s="5492"/>
      <c r="X48" s="5492"/>
      <c r="Y48" s="5492"/>
      <c r="Z48" s="5492"/>
      <c r="AA48" s="5492"/>
      <c r="AB48" s="5492"/>
      <c r="AC48" s="5492"/>
      <c r="AD48" s="5492"/>
      <c r="AE48" s="5492"/>
      <c r="AF48" s="5492"/>
      <c r="AG48" s="5492"/>
      <c r="AH48" s="5492"/>
      <c r="AI48" s="5492"/>
      <c r="AJ48" s="5493"/>
      <c r="AK48" s="1131"/>
      <c r="AL48" s="1125"/>
      <c r="AM48" s="1125"/>
      <c r="AN48" s="2110"/>
      <c r="AO48" s="5491"/>
      <c r="AP48" s="5492"/>
      <c r="AQ48" s="5492"/>
      <c r="AR48" s="5492"/>
      <c r="AS48" s="5492"/>
      <c r="AT48" s="5492"/>
      <c r="AU48" s="5492"/>
      <c r="AV48" s="5492"/>
      <c r="AW48" s="5492"/>
      <c r="AX48" s="5492"/>
      <c r="AY48" s="5492"/>
      <c r="AZ48" s="5492"/>
      <c r="BA48" s="5492"/>
      <c r="BB48" s="5492"/>
      <c r="BC48" s="5493"/>
      <c r="BD48" s="1131"/>
      <c r="BE48" s="1125"/>
      <c r="BF48" s="1125"/>
      <c r="BG48" s="2110"/>
      <c r="BH48" s="5491"/>
      <c r="BI48" s="5492"/>
      <c r="BJ48" s="5492"/>
      <c r="BK48" s="5492"/>
      <c r="BL48" s="5492"/>
      <c r="BM48" s="5492"/>
      <c r="BN48" s="5492"/>
      <c r="BO48" s="5492"/>
      <c r="BP48" s="5492"/>
      <c r="BQ48" s="5492"/>
      <c r="BR48" s="5492"/>
      <c r="BS48" s="5492"/>
      <c r="BT48" s="5492"/>
      <c r="BU48" s="5492"/>
      <c r="BV48" s="5493"/>
      <c r="BW48" s="1131"/>
      <c r="BX48" s="1125"/>
      <c r="BY48" s="1125"/>
      <c r="BZ48" s="2110"/>
      <c r="CA48" s="5491"/>
      <c r="CB48" s="5492"/>
      <c r="CC48" s="5492"/>
      <c r="CD48" s="5492"/>
      <c r="CE48" s="5492"/>
      <c r="CF48" s="5492"/>
      <c r="CG48" s="5492"/>
      <c r="CH48" s="5492"/>
      <c r="CI48" s="5492"/>
      <c r="CJ48" s="5492"/>
      <c r="CK48" s="5492"/>
      <c r="CL48" s="5492"/>
      <c r="CM48" s="5492"/>
      <c r="CN48" s="5492"/>
      <c r="CO48" s="5493"/>
      <c r="CP48" s="1131"/>
      <c r="CQ48" s="1125"/>
    </row>
    <row r="49" spans="1:95" ht="12" customHeight="1" x14ac:dyDescent="0.2">
      <c r="A49" s="1125"/>
      <c r="B49" s="2096"/>
      <c r="C49" s="5491"/>
      <c r="D49" s="5492"/>
      <c r="E49" s="5492"/>
      <c r="F49" s="5492"/>
      <c r="G49" s="5492"/>
      <c r="H49" s="5492"/>
      <c r="I49" s="5492"/>
      <c r="J49" s="5492"/>
      <c r="K49" s="5492"/>
      <c r="L49" s="5492"/>
      <c r="M49" s="5492"/>
      <c r="N49" s="5492"/>
      <c r="O49" s="5492"/>
      <c r="P49" s="5492"/>
      <c r="Q49" s="5493"/>
      <c r="R49" s="1131"/>
      <c r="S49" s="1125"/>
      <c r="T49" s="1125"/>
      <c r="U49" s="2096"/>
      <c r="V49" s="5491"/>
      <c r="W49" s="5492"/>
      <c r="X49" s="5492"/>
      <c r="Y49" s="5492"/>
      <c r="Z49" s="5492"/>
      <c r="AA49" s="5492"/>
      <c r="AB49" s="5492"/>
      <c r="AC49" s="5492"/>
      <c r="AD49" s="5492"/>
      <c r="AE49" s="5492"/>
      <c r="AF49" s="5492"/>
      <c r="AG49" s="5492"/>
      <c r="AH49" s="5492"/>
      <c r="AI49" s="5492"/>
      <c r="AJ49" s="5493"/>
      <c r="AK49" s="1131"/>
      <c r="AL49" s="1125"/>
      <c r="AM49" s="1125"/>
      <c r="AN49" s="2110"/>
      <c r="AO49" s="5491"/>
      <c r="AP49" s="5492"/>
      <c r="AQ49" s="5492"/>
      <c r="AR49" s="5492"/>
      <c r="AS49" s="5492"/>
      <c r="AT49" s="5492"/>
      <c r="AU49" s="5492"/>
      <c r="AV49" s="5492"/>
      <c r="AW49" s="5492"/>
      <c r="AX49" s="5492"/>
      <c r="AY49" s="5492"/>
      <c r="AZ49" s="5492"/>
      <c r="BA49" s="5492"/>
      <c r="BB49" s="5492"/>
      <c r="BC49" s="5493"/>
      <c r="BD49" s="1131"/>
      <c r="BE49" s="1125"/>
      <c r="BF49" s="1125"/>
      <c r="BG49" s="2110"/>
      <c r="BH49" s="5491"/>
      <c r="BI49" s="5492"/>
      <c r="BJ49" s="5492"/>
      <c r="BK49" s="5492"/>
      <c r="BL49" s="5492"/>
      <c r="BM49" s="5492"/>
      <c r="BN49" s="5492"/>
      <c r="BO49" s="5492"/>
      <c r="BP49" s="5492"/>
      <c r="BQ49" s="5492"/>
      <c r="BR49" s="5492"/>
      <c r="BS49" s="5492"/>
      <c r="BT49" s="5492"/>
      <c r="BU49" s="5492"/>
      <c r="BV49" s="5493"/>
      <c r="BW49" s="1131"/>
      <c r="BX49" s="1125"/>
      <c r="BY49" s="1125"/>
      <c r="BZ49" s="2110"/>
      <c r="CA49" s="5491"/>
      <c r="CB49" s="5492"/>
      <c r="CC49" s="5492"/>
      <c r="CD49" s="5492"/>
      <c r="CE49" s="5492"/>
      <c r="CF49" s="5492"/>
      <c r="CG49" s="5492"/>
      <c r="CH49" s="5492"/>
      <c r="CI49" s="5492"/>
      <c r="CJ49" s="5492"/>
      <c r="CK49" s="5492"/>
      <c r="CL49" s="5492"/>
      <c r="CM49" s="5492"/>
      <c r="CN49" s="5492"/>
      <c r="CO49" s="5493"/>
      <c r="CP49" s="1131"/>
      <c r="CQ49" s="1125"/>
    </row>
    <row r="50" spans="1:95" ht="12" customHeight="1" thickBot="1" x14ac:dyDescent="0.25">
      <c r="A50" s="1125"/>
      <c r="B50" s="2096"/>
      <c r="C50" s="5494"/>
      <c r="D50" s="5495"/>
      <c r="E50" s="5495"/>
      <c r="F50" s="5495"/>
      <c r="G50" s="5495"/>
      <c r="H50" s="5495"/>
      <c r="I50" s="5495"/>
      <c r="J50" s="5495"/>
      <c r="K50" s="5495"/>
      <c r="L50" s="5495"/>
      <c r="M50" s="5495"/>
      <c r="N50" s="5495"/>
      <c r="O50" s="5495"/>
      <c r="P50" s="5495"/>
      <c r="Q50" s="5496"/>
      <c r="R50" s="1131"/>
      <c r="S50" s="1125"/>
      <c r="T50" s="1125"/>
      <c r="U50" s="2096"/>
      <c r="V50" s="5494"/>
      <c r="W50" s="5495"/>
      <c r="X50" s="5495"/>
      <c r="Y50" s="5495"/>
      <c r="Z50" s="5495"/>
      <c r="AA50" s="5495"/>
      <c r="AB50" s="5495"/>
      <c r="AC50" s="5495"/>
      <c r="AD50" s="5495"/>
      <c r="AE50" s="5495"/>
      <c r="AF50" s="5495"/>
      <c r="AG50" s="5495"/>
      <c r="AH50" s="5495"/>
      <c r="AI50" s="5495"/>
      <c r="AJ50" s="5496"/>
      <c r="AK50" s="1131"/>
      <c r="AL50" s="1125"/>
      <c r="AM50" s="1125"/>
      <c r="AN50" s="2110"/>
      <c r="AO50" s="5494"/>
      <c r="AP50" s="5495"/>
      <c r="AQ50" s="5495"/>
      <c r="AR50" s="5495"/>
      <c r="AS50" s="5495"/>
      <c r="AT50" s="5495"/>
      <c r="AU50" s="5495"/>
      <c r="AV50" s="5495"/>
      <c r="AW50" s="5495"/>
      <c r="AX50" s="5495"/>
      <c r="AY50" s="5495"/>
      <c r="AZ50" s="5495"/>
      <c r="BA50" s="5495"/>
      <c r="BB50" s="5495"/>
      <c r="BC50" s="5496"/>
      <c r="BD50" s="1131"/>
      <c r="BE50" s="1125"/>
      <c r="BF50" s="1125"/>
      <c r="BG50" s="2110"/>
      <c r="BH50" s="5494"/>
      <c r="BI50" s="5495"/>
      <c r="BJ50" s="5495"/>
      <c r="BK50" s="5495"/>
      <c r="BL50" s="5495"/>
      <c r="BM50" s="5495"/>
      <c r="BN50" s="5495"/>
      <c r="BO50" s="5495"/>
      <c r="BP50" s="5495"/>
      <c r="BQ50" s="5495"/>
      <c r="BR50" s="5495"/>
      <c r="BS50" s="5495"/>
      <c r="BT50" s="5495"/>
      <c r="BU50" s="5495"/>
      <c r="BV50" s="5496"/>
      <c r="BW50" s="1131"/>
      <c r="BX50" s="1125"/>
      <c r="BY50" s="1125"/>
      <c r="BZ50" s="2110"/>
      <c r="CA50" s="5494"/>
      <c r="CB50" s="5495"/>
      <c r="CC50" s="5495"/>
      <c r="CD50" s="5495"/>
      <c r="CE50" s="5495"/>
      <c r="CF50" s="5495"/>
      <c r="CG50" s="5495"/>
      <c r="CH50" s="5495"/>
      <c r="CI50" s="5495"/>
      <c r="CJ50" s="5495"/>
      <c r="CK50" s="5495"/>
      <c r="CL50" s="5495"/>
      <c r="CM50" s="5495"/>
      <c r="CN50" s="5495"/>
      <c r="CO50" s="5496"/>
      <c r="CP50" s="1131"/>
      <c r="CQ50" s="1125"/>
    </row>
    <row r="51" spans="1:95" ht="12" customHeight="1" thickBot="1" x14ac:dyDescent="0.25">
      <c r="A51" s="1125"/>
      <c r="B51" s="2096"/>
      <c r="C51" s="1166"/>
      <c r="D51" s="1166"/>
      <c r="E51" s="1152"/>
      <c r="F51" s="1152"/>
      <c r="G51" s="1152"/>
      <c r="H51" s="1167"/>
      <c r="I51" s="1167"/>
      <c r="J51" s="1167"/>
      <c r="K51" s="1167"/>
      <c r="L51" s="1167"/>
      <c r="M51" s="1167"/>
      <c r="N51" s="1167"/>
      <c r="O51" s="1167"/>
      <c r="P51" s="1167"/>
      <c r="Q51" s="1167"/>
      <c r="R51" s="1131"/>
      <c r="S51" s="1125"/>
      <c r="T51" s="1125"/>
      <c r="U51" s="2096"/>
      <c r="V51" s="1166"/>
      <c r="W51" s="1166"/>
      <c r="X51" s="1152"/>
      <c r="Y51" s="1152"/>
      <c r="Z51" s="1152"/>
      <c r="AA51" s="1167"/>
      <c r="AB51" s="1167"/>
      <c r="AC51" s="1167"/>
      <c r="AD51" s="1167"/>
      <c r="AE51" s="1167"/>
      <c r="AF51" s="1167"/>
      <c r="AG51" s="1167"/>
      <c r="AH51" s="1167"/>
      <c r="AI51" s="1167"/>
      <c r="AJ51" s="1167"/>
      <c r="AK51" s="1131"/>
      <c r="AL51" s="1125"/>
      <c r="AM51" s="1125"/>
      <c r="AN51" s="2096"/>
      <c r="AO51" s="1166"/>
      <c r="AP51" s="1166"/>
      <c r="AQ51" s="1152"/>
      <c r="AR51" s="1152"/>
      <c r="AS51" s="1152"/>
      <c r="AT51" s="1167"/>
      <c r="AU51" s="1167"/>
      <c r="AV51" s="1167"/>
      <c r="AW51" s="1167"/>
      <c r="AX51" s="1167"/>
      <c r="AY51" s="1167"/>
      <c r="AZ51" s="1167"/>
      <c r="BA51" s="1167"/>
      <c r="BB51" s="1167"/>
      <c r="BC51" s="1167"/>
      <c r="BD51" s="1131"/>
      <c r="BE51" s="1125"/>
      <c r="BF51" s="1125"/>
      <c r="BG51" s="2096"/>
      <c r="BH51" s="1166"/>
      <c r="BI51" s="1166"/>
      <c r="BJ51" s="1152"/>
      <c r="BK51" s="1152"/>
      <c r="BL51" s="1152"/>
      <c r="BM51" s="1167"/>
      <c r="BN51" s="1167"/>
      <c r="BO51" s="1167"/>
      <c r="BP51" s="1167"/>
      <c r="BQ51" s="1167"/>
      <c r="BR51" s="1167"/>
      <c r="BS51" s="1167"/>
      <c r="BT51" s="1167"/>
      <c r="BU51" s="1167"/>
      <c r="BV51" s="1167"/>
      <c r="BW51" s="1131"/>
      <c r="BX51" s="1125"/>
      <c r="BY51" s="1125"/>
      <c r="BZ51" s="2096"/>
      <c r="CA51" s="1166"/>
      <c r="CB51" s="1166"/>
      <c r="CC51" s="1152"/>
      <c r="CD51" s="1152"/>
      <c r="CE51" s="1152"/>
      <c r="CF51" s="1167"/>
      <c r="CG51" s="1167"/>
      <c r="CH51" s="1167"/>
      <c r="CI51" s="1167"/>
      <c r="CJ51" s="1167"/>
      <c r="CK51" s="1167"/>
      <c r="CL51" s="1167"/>
      <c r="CM51" s="1167"/>
      <c r="CN51" s="1167"/>
      <c r="CO51" s="1167"/>
      <c r="CP51" s="1131"/>
      <c r="CQ51" s="1125"/>
    </row>
    <row r="52" spans="1:95" ht="12" customHeight="1" x14ac:dyDescent="0.2">
      <c r="A52" s="1125"/>
      <c r="B52" s="2096">
        <f>B41+2</f>
        <v>10</v>
      </c>
      <c r="C52" s="5497"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498"/>
      <c r="E52" s="5498"/>
      <c r="F52" s="5498"/>
      <c r="G52" s="5498"/>
      <c r="H52" s="1145" t="s">
        <v>1627</v>
      </c>
      <c r="I52" s="1146">
        <f>B52</f>
        <v>10</v>
      </c>
      <c r="J52" s="5463" t="s">
        <v>7687</v>
      </c>
      <c r="K52" s="5463"/>
      <c r="L52" s="5463"/>
      <c r="M52" s="5464" t="str">
        <f>IF(C52=0,"",VLOOKUP(C52,'Tablas Magia'!$D$6:$Z$680,2,FALSE))</f>
        <v>Luz</v>
      </c>
      <c r="N52" s="5464"/>
      <c r="O52" s="5464"/>
      <c r="P52" s="5464"/>
      <c r="Q52" s="5465"/>
      <c r="R52" s="1131"/>
      <c r="S52" s="1125"/>
      <c r="T52" s="1125"/>
      <c r="U52" s="2096">
        <f>U41+2</f>
        <v>30</v>
      </c>
      <c r="V52" s="5497"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498"/>
      <c r="X52" s="5498"/>
      <c r="Y52" s="5498"/>
      <c r="Z52" s="5498"/>
      <c r="AA52" s="1145" t="s">
        <v>1627</v>
      </c>
      <c r="AB52" s="1146">
        <f>U52</f>
        <v>30</v>
      </c>
      <c r="AC52" s="5463" t="s">
        <v>7687</v>
      </c>
      <c r="AD52" s="5463"/>
      <c r="AE52" s="5463"/>
      <c r="AF52" s="5464" t="str">
        <f>IF(V52=0,"",VLOOKUP(V52,'Tablas Magia'!$D$6:$Z$680,2,FALSE))</f>
        <v>Luz</v>
      </c>
      <c r="AG52" s="5464"/>
      <c r="AH52" s="5464"/>
      <c r="AI52" s="5464"/>
      <c r="AJ52" s="5465"/>
      <c r="AK52" s="1131"/>
      <c r="AL52" s="1125"/>
      <c r="AM52" s="1125"/>
      <c r="AN52" s="2110">
        <f>AN41+2</f>
        <v>50</v>
      </c>
      <c r="AO52" s="5497"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498"/>
      <c r="AQ52" s="5498"/>
      <c r="AR52" s="5498"/>
      <c r="AS52" s="5498"/>
      <c r="AT52" s="1145" t="s">
        <v>1627</v>
      </c>
      <c r="AU52" s="1146">
        <f>AN52</f>
        <v>50</v>
      </c>
      <c r="AV52" s="5463" t="s">
        <v>7687</v>
      </c>
      <c r="AW52" s="5463"/>
      <c r="AX52" s="5463"/>
      <c r="AY52" s="5464" t="str">
        <f>IF(AO52=0,"",VLOOKUP(AO52,'Tablas Magia'!$D$6:$Z$680,2,FALSE))</f>
        <v>Luz</v>
      </c>
      <c r="AZ52" s="5464"/>
      <c r="BA52" s="5464"/>
      <c r="BB52" s="5464"/>
      <c r="BC52" s="5465"/>
      <c r="BD52" s="1131"/>
      <c r="BE52" s="1125"/>
      <c r="BF52" s="1125"/>
      <c r="BG52" s="2110">
        <f>BG41+2</f>
        <v>70</v>
      </c>
      <c r="BH52" s="5497"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498"/>
      <c r="BJ52" s="5498"/>
      <c r="BK52" s="5498"/>
      <c r="BL52" s="5498"/>
      <c r="BM52" s="1145" t="s">
        <v>1627</v>
      </c>
      <c r="BN52" s="1146">
        <f>BG52</f>
        <v>70</v>
      </c>
      <c r="BO52" s="5463" t="s">
        <v>7687</v>
      </c>
      <c r="BP52" s="5463"/>
      <c r="BQ52" s="5463"/>
      <c r="BR52" s="5464" t="str">
        <f>IF(BH52=0,"",VLOOKUP(BH52,'Tablas Magia'!$D$6:$Z$680,2,FALSE))</f>
        <v>Luz</v>
      </c>
      <c r="BS52" s="5464"/>
      <c r="BT52" s="5464"/>
      <c r="BU52" s="5464"/>
      <c r="BV52" s="5465"/>
      <c r="BW52" s="1131"/>
      <c r="BX52" s="1125"/>
      <c r="BY52" s="1125"/>
      <c r="BZ52" s="2110">
        <f>BZ41+2</f>
        <v>90</v>
      </c>
      <c r="CA52" s="5497"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498"/>
      <c r="CC52" s="5498"/>
      <c r="CD52" s="5498"/>
      <c r="CE52" s="5498"/>
      <c r="CF52" s="1145" t="s">
        <v>1627</v>
      </c>
      <c r="CG52" s="1146">
        <f>BZ52</f>
        <v>90</v>
      </c>
      <c r="CH52" s="5463" t="s">
        <v>7687</v>
      </c>
      <c r="CI52" s="5463"/>
      <c r="CJ52" s="5463"/>
      <c r="CK52" s="5464" t="str">
        <f>IF(CA52=0,"",VLOOKUP(CA52,'Tablas Magia'!$D$6:$Z$680,2,FALSE))</f>
        <v>Luz</v>
      </c>
      <c r="CL52" s="5464"/>
      <c r="CM52" s="5464"/>
      <c r="CN52" s="5464"/>
      <c r="CO52" s="5465"/>
      <c r="CP52" s="1131"/>
      <c r="CQ52" s="1125"/>
    </row>
    <row r="53" spans="1:95" ht="12" customHeight="1" x14ac:dyDescent="0.2">
      <c r="A53" s="1125"/>
      <c r="B53" s="2096"/>
      <c r="C53" s="5481" t="s">
        <v>7688</v>
      </c>
      <c r="D53" s="5482"/>
      <c r="E53" s="1147" t="s">
        <v>7689</v>
      </c>
      <c r="F53" s="1147" t="s">
        <v>1820</v>
      </c>
      <c r="G53" s="1147" t="s">
        <v>3334</v>
      </c>
      <c r="H53" s="1148" t="s">
        <v>2165</v>
      </c>
      <c r="I53" s="5478" t="str">
        <f>IF(C52=0,"",VLOOKUP(C52,'Tablas Magia'!$D$6:$Z$680,5,FALSE))</f>
        <v>Defensa</v>
      </c>
      <c r="J53" s="5478"/>
      <c r="K53" s="5479" t="s">
        <v>7690</v>
      </c>
      <c r="L53" s="5479"/>
      <c r="M53" s="5478" t="str">
        <f>IF(C52=0,"",VLOOKUP(C52,'Tablas Magia'!$D$6:$Z$680,6,FALSE))</f>
        <v>Pasiva</v>
      </c>
      <c r="N53" s="5478"/>
      <c r="O53" s="5480" t="s">
        <v>7691</v>
      </c>
      <c r="P53" s="5480"/>
      <c r="Q53" s="1149" t="str">
        <f>IF(C52=0,"",VLOOKUP(C52,'Tablas Magia'!$D$6:$Z$680,4,FALSE))</f>
        <v>No</v>
      </c>
      <c r="R53" s="1131"/>
      <c r="S53" s="1125"/>
      <c r="T53" s="1125"/>
      <c r="U53" s="2096"/>
      <c r="V53" s="5481" t="s">
        <v>7688</v>
      </c>
      <c r="W53" s="5482"/>
      <c r="X53" s="1147" t="s">
        <v>7689</v>
      </c>
      <c r="Y53" s="1147" t="s">
        <v>1820</v>
      </c>
      <c r="Z53" s="1147" t="s">
        <v>3334</v>
      </c>
      <c r="AA53" s="1148" t="s">
        <v>2165</v>
      </c>
      <c r="AB53" s="5478" t="str">
        <f>IF(V52=0,"",VLOOKUP(V52,'Tablas Magia'!$D$6:$Z$680,5,FALSE))</f>
        <v>Efecto</v>
      </c>
      <c r="AC53" s="5478"/>
      <c r="AD53" s="5479" t="s">
        <v>7690</v>
      </c>
      <c r="AE53" s="5479"/>
      <c r="AF53" s="5478" t="str">
        <f>IF(V52=0,"",VLOOKUP(V52,'Tablas Magia'!$D$6:$Z$680,6,FALSE))</f>
        <v>Activa</v>
      </c>
      <c r="AG53" s="5478"/>
      <c r="AH53" s="5480" t="s">
        <v>7691</v>
      </c>
      <c r="AI53" s="5480"/>
      <c r="AJ53" s="1149" t="str">
        <f>IF(V52=0,"",VLOOKUP(V52,'Tablas Magia'!$D$6:$Z$680,4,FALSE))</f>
        <v>No</v>
      </c>
      <c r="AK53" s="1131"/>
      <c r="AL53" s="1125"/>
      <c r="AM53" s="1125"/>
      <c r="AN53" s="2110"/>
      <c r="AO53" s="5481" t="s">
        <v>7688</v>
      </c>
      <c r="AP53" s="5482"/>
      <c r="AQ53" s="1147" t="s">
        <v>7689</v>
      </c>
      <c r="AR53" s="1147" t="s">
        <v>1820</v>
      </c>
      <c r="AS53" s="1147" t="s">
        <v>3334</v>
      </c>
      <c r="AT53" s="1148" t="s">
        <v>2165</v>
      </c>
      <c r="AU53" s="5478" t="str">
        <f>IF(AO52=0,"",VLOOKUP(AO52,'Tablas Magia'!$D$6:$Z$680,5,FALSE))</f>
        <v>Anímico</v>
      </c>
      <c r="AV53" s="5478"/>
      <c r="AW53" s="5479" t="s">
        <v>7690</v>
      </c>
      <c r="AX53" s="5479"/>
      <c r="AY53" s="5478" t="str">
        <f>IF(AO52=0,"",VLOOKUP(AO52,'Tablas Magia'!$D$6:$Z$680,6,FALSE))</f>
        <v>Activa</v>
      </c>
      <c r="AZ53" s="5478"/>
      <c r="BA53" s="5480" t="s">
        <v>7691</v>
      </c>
      <c r="BB53" s="5480"/>
      <c r="BC53" s="1149" t="str">
        <f>IF(AO52=0,"",VLOOKUP(AO52,'Tablas Magia'!$D$6:$Z$680,4,FALSE))</f>
        <v>Si</v>
      </c>
      <c r="BD53" s="1131"/>
      <c r="BE53" s="1125"/>
      <c r="BF53" s="1125"/>
      <c r="BG53" s="2110"/>
      <c r="BH53" s="5481" t="s">
        <v>7688</v>
      </c>
      <c r="BI53" s="5482"/>
      <c r="BJ53" s="1147" t="s">
        <v>7689</v>
      </c>
      <c r="BK53" s="1147" t="s">
        <v>1820</v>
      </c>
      <c r="BL53" s="1147" t="s">
        <v>3334</v>
      </c>
      <c r="BM53" s="1148" t="s">
        <v>2165</v>
      </c>
      <c r="BN53" s="5478" t="str">
        <f>IF(BH52=0,"",VLOOKUP(BH52,'Tablas Magia'!$D$6:$Z$680,5,FALSE))</f>
        <v>Auto</v>
      </c>
      <c r="BO53" s="5478"/>
      <c r="BP53" s="5479" t="s">
        <v>7690</v>
      </c>
      <c r="BQ53" s="5479"/>
      <c r="BR53" s="5478" t="str">
        <f>IF(BH52=0,"",VLOOKUP(BH52,'Tablas Magia'!$D$6:$Z$680,6,FALSE))</f>
        <v>Activa</v>
      </c>
      <c r="BS53" s="5478"/>
      <c r="BT53" s="5480" t="s">
        <v>7691</v>
      </c>
      <c r="BU53" s="5480"/>
      <c r="BV53" s="1149" t="str">
        <f>IF(BH52=0,"",VLOOKUP(BH52,'Tablas Magia'!$D$6:$Z$680,4,FALSE))</f>
        <v>No</v>
      </c>
      <c r="BW53" s="1131"/>
      <c r="BX53" s="1125"/>
      <c r="BY53" s="1125"/>
      <c r="BZ53" s="2110"/>
      <c r="CA53" s="5481" t="s">
        <v>7688</v>
      </c>
      <c r="CB53" s="5482"/>
      <c r="CC53" s="1147" t="s">
        <v>7689</v>
      </c>
      <c r="CD53" s="1147" t="s">
        <v>1820</v>
      </c>
      <c r="CE53" s="1147" t="s">
        <v>3334</v>
      </c>
      <c r="CF53" s="1148" t="s">
        <v>2165</v>
      </c>
      <c r="CG53" s="5478" t="str">
        <f>IF(CA52=0,"",VLOOKUP(CA52,'Tablas Magia'!$D$6:$Z$680,5,FALSE))</f>
        <v>Anímico</v>
      </c>
      <c r="CH53" s="5478"/>
      <c r="CI53" s="5479" t="s">
        <v>7690</v>
      </c>
      <c r="CJ53" s="5479"/>
      <c r="CK53" s="5478" t="str">
        <f>IF(CA52=0,"",VLOOKUP(CA52,'Tablas Magia'!$D$6:$Z$680,6,FALSE))</f>
        <v>Activa</v>
      </c>
      <c r="CL53" s="5478"/>
      <c r="CM53" s="5480" t="s">
        <v>7691</v>
      </c>
      <c r="CN53" s="5480"/>
      <c r="CO53" s="1149" t="str">
        <f>IF(CA52=0,"",VLOOKUP(CA52,'Tablas Magia'!$D$6:$Z$680,4,FALSE))</f>
        <v>No</v>
      </c>
      <c r="CP53" s="1131"/>
      <c r="CQ53" s="1125"/>
    </row>
    <row r="54" spans="1:95" ht="12" customHeight="1" x14ac:dyDescent="0.2">
      <c r="A54" s="1125"/>
      <c r="B54" s="2096"/>
      <c r="C54" s="5473" t="s">
        <v>1674</v>
      </c>
      <c r="D54" s="5474"/>
      <c r="E54" s="1150">
        <f>IF(C52=0,"",VLOOKUP(C52,'Tablas Magia'!$D$6:$Z$680,7,FALSE))</f>
        <v>6</v>
      </c>
      <c r="F54" s="1150">
        <f>IF(C52=0,"",VLOOKUP(C52,'Tablas Magia'!$D$6:$Z$680,11,FALSE))</f>
        <v>50</v>
      </c>
      <c r="G54" s="1151">
        <f>IF(C52=0,"",VLOOKUP(C52,'Tablas Magia'!$D$6:$Z$680,15,FALSE))</f>
        <v>5</v>
      </c>
      <c r="H54" s="5475" t="str">
        <f>IF(C52=0,"",VLOOKUP(C52,'Tablas Magia'!$D$6:$Z$680,19,FALSE))</f>
        <v>El escudo tiene 300 puntos de Resistencia</v>
      </c>
      <c r="I54" s="5476"/>
      <c r="J54" s="5476"/>
      <c r="K54" s="5476"/>
      <c r="L54" s="5476"/>
      <c r="M54" s="5476"/>
      <c r="N54" s="5476"/>
      <c r="O54" s="5476"/>
      <c r="P54" s="5476"/>
      <c r="Q54" s="5477"/>
      <c r="R54" s="1131"/>
      <c r="S54" s="1125"/>
      <c r="T54" s="1125"/>
      <c r="U54" s="2096"/>
      <c r="V54" s="5473" t="s">
        <v>1674</v>
      </c>
      <c r="W54" s="5474"/>
      <c r="X54" s="1150">
        <f>IF(V52=0,"",VLOOKUP(V52,'Tablas Magia'!$D$6:$Z$680,7,FALSE))</f>
        <v>6</v>
      </c>
      <c r="Y54" s="1150">
        <f>IF(V52=0,"",VLOOKUP(V52,'Tablas Magia'!$D$6:$Z$680,11,FALSE))</f>
        <v>50</v>
      </c>
      <c r="Z54" s="1151">
        <f>IF(V52=0,"",VLOOKUP(V52,'Tablas Magia'!$D$6:$Z$680,15,FALSE))</f>
        <v>5</v>
      </c>
      <c r="AA54" s="5475" t="str">
        <f>IF(V52=0,"",VLOOKUP(V52,'Tablas Magia'!$D$6:$Z$680,19,FALSE))</f>
        <v>Radio de 20 metros / RM 80</v>
      </c>
      <c r="AB54" s="5476"/>
      <c r="AC54" s="5476"/>
      <c r="AD54" s="5476"/>
      <c r="AE54" s="5476"/>
      <c r="AF54" s="5476"/>
      <c r="AG54" s="5476"/>
      <c r="AH54" s="5476"/>
      <c r="AI54" s="5476"/>
      <c r="AJ54" s="5477"/>
      <c r="AK54" s="1131"/>
      <c r="AL54" s="1125"/>
      <c r="AM54" s="1125"/>
      <c r="AN54" s="2110"/>
      <c r="AO54" s="5473" t="s">
        <v>1674</v>
      </c>
      <c r="AP54" s="5474"/>
      <c r="AQ54" s="1150">
        <f>IF(AO52=0,"",VLOOKUP(AO52,'Tablas Magia'!$D$6:$Z$680,7,FALSE))</f>
        <v>6</v>
      </c>
      <c r="AR54" s="1150">
        <f>IF(AO52=0,"",VLOOKUP(AO52,'Tablas Magia'!$D$6:$Z$680,11,FALSE))</f>
        <v>120</v>
      </c>
      <c r="AS54" s="1151">
        <f>IF(AO52=0,"",VLOOKUP(AO52,'Tablas Magia'!$D$6:$Z$680,15,FALSE))</f>
        <v>10</v>
      </c>
      <c r="AT54" s="5475" t="str">
        <f>IF(AO52=0,"",VLOOKUP(AO52,'Tablas Magia'!$D$6:$Z$680,19,FALSE))</f>
        <v>RM o RP 140 / 10 metros de distancia</v>
      </c>
      <c r="AU54" s="5476"/>
      <c r="AV54" s="5476"/>
      <c r="AW54" s="5476"/>
      <c r="AX54" s="5476"/>
      <c r="AY54" s="5476"/>
      <c r="AZ54" s="5476"/>
      <c r="BA54" s="5476"/>
      <c r="BB54" s="5476"/>
      <c r="BC54" s="5477"/>
      <c r="BD54" s="1131"/>
      <c r="BE54" s="1125"/>
      <c r="BF54" s="1125"/>
      <c r="BG54" s="2110"/>
      <c r="BH54" s="5473" t="s">
        <v>1674</v>
      </c>
      <c r="BI54" s="5474"/>
      <c r="BJ54" s="1150">
        <f>IF(BH52=0,"",VLOOKUP(BH52,'Tablas Magia'!$D$6:$Z$680,7,FALSE))</f>
        <v>10</v>
      </c>
      <c r="BK54" s="1150">
        <f>IF(BH52=0,"",VLOOKUP(BH52,'Tablas Magia'!$D$6:$Z$680,11,FALSE))</f>
        <v>140</v>
      </c>
      <c r="BL54" s="1151">
        <f>IF(BH52=0,"",VLOOKUP(BH52,'Tablas Magia'!$D$6:$Z$680,15,FALSE))</f>
        <v>5</v>
      </c>
      <c r="BM54" s="5475" t="str">
        <f>IF(BH52=0,"",VLOOKUP(BH52,'Tablas Magia'!$D$6:$Z$680,19,FALSE))</f>
        <v>Visible en 1 kilómetro de radio / RM o RP 120</v>
      </c>
      <c r="BN54" s="5476"/>
      <c r="BO54" s="5476"/>
      <c r="BP54" s="5476"/>
      <c r="BQ54" s="5476"/>
      <c r="BR54" s="5476"/>
      <c r="BS54" s="5476"/>
      <c r="BT54" s="5476"/>
      <c r="BU54" s="5476"/>
      <c r="BV54" s="5477"/>
      <c r="BW54" s="1131"/>
      <c r="BX54" s="1125"/>
      <c r="BY54" s="1125"/>
      <c r="BZ54" s="2110"/>
      <c r="CA54" s="5473" t="s">
        <v>1674</v>
      </c>
      <c r="CB54" s="5474"/>
      <c r="CC54" s="1150">
        <f>IF(CA52=0,"",VLOOKUP(CA52,'Tablas Magia'!$D$6:$Z$680,7,FALSE))</f>
        <v>10</v>
      </c>
      <c r="CD54" s="1150">
        <f>IF(CA52=0,"",VLOOKUP(CA52,'Tablas Magia'!$D$6:$Z$680,11,FALSE))</f>
        <v>200</v>
      </c>
      <c r="CE54" s="1151" t="str">
        <f>IF(CA52=0,"",VLOOKUP(CA52,'Tablas Magia'!$D$6:$Z$680,15,FALSE))</f>
        <v>No</v>
      </c>
      <c r="CF54" s="5475" t="str">
        <f>IF(CA52=0,"",VLOOKUP(CA52,'Tablas Magia'!$D$6:$Z$680,19,FALSE))</f>
        <v>Un año</v>
      </c>
      <c r="CG54" s="5476"/>
      <c r="CH54" s="5476"/>
      <c r="CI54" s="5476"/>
      <c r="CJ54" s="5476"/>
      <c r="CK54" s="5476"/>
      <c r="CL54" s="5476"/>
      <c r="CM54" s="5476"/>
      <c r="CN54" s="5476"/>
      <c r="CO54" s="5477"/>
      <c r="CP54" s="1131"/>
      <c r="CQ54" s="1125"/>
    </row>
    <row r="55" spans="1:95" ht="12" customHeight="1" x14ac:dyDescent="0.2">
      <c r="A55" s="1125"/>
      <c r="B55" s="2096"/>
      <c r="C55" s="5468" t="s">
        <v>4572</v>
      </c>
      <c r="D55" s="5469"/>
      <c r="E55" s="1152">
        <f>IF(C52=0,"",VLOOKUP(C52,'Tablas Magia'!$D$6:$Z$680,8,FALSE))</f>
        <v>8</v>
      </c>
      <c r="F55" s="1152">
        <f>IF(C52=0,"",VLOOKUP(C52,'Tablas Magia'!$D$6:$Z$680,12,FALSE))</f>
        <v>120</v>
      </c>
      <c r="G55" s="1153">
        <f>IF(C52=0,"",VLOOKUP(C52,'Tablas Magia'!$D$6:$Z$680,16,FALSE))</f>
        <v>15</v>
      </c>
      <c r="H55" s="5470" t="str">
        <f>IF(C52=0,"",VLOOKUP(C52,'Tablas Magia'!$D$6:$Z$680,20,FALSE))</f>
        <v>El escudo tiene 1.000 puntos de Resistencia</v>
      </c>
      <c r="I55" s="5471"/>
      <c r="J55" s="5471"/>
      <c r="K55" s="5471"/>
      <c r="L55" s="5471"/>
      <c r="M55" s="5471"/>
      <c r="N55" s="5471"/>
      <c r="O55" s="5471"/>
      <c r="P55" s="5471"/>
      <c r="Q55" s="5472"/>
      <c r="R55" s="1131"/>
      <c r="S55" s="1125"/>
      <c r="T55" s="1125"/>
      <c r="U55" s="2096"/>
      <c r="V55" s="5468" t="s">
        <v>4572</v>
      </c>
      <c r="W55" s="5469"/>
      <c r="X55" s="1152">
        <f>IF(V52=0,"",VLOOKUP(V52,'Tablas Magia'!$D$6:$Z$680,8,FALSE))</f>
        <v>9</v>
      </c>
      <c r="Y55" s="1152">
        <f>IF(V52=0,"",VLOOKUP(V52,'Tablas Magia'!$D$6:$Z$680,12,FALSE))</f>
        <v>150</v>
      </c>
      <c r="Z55" s="1153">
        <f>IF(V52=0,"",VLOOKUP(V52,'Tablas Magia'!$D$6:$Z$680,16,FALSE))</f>
        <v>20</v>
      </c>
      <c r="AA55" s="5470" t="str">
        <f>IF(V52=0,"",VLOOKUP(V52,'Tablas Magia'!$D$6:$Z$680,20,FALSE))</f>
        <v>Radio de 150 metros / RM 140</v>
      </c>
      <c r="AB55" s="5471"/>
      <c r="AC55" s="5471"/>
      <c r="AD55" s="5471"/>
      <c r="AE55" s="5471"/>
      <c r="AF55" s="5471"/>
      <c r="AG55" s="5471"/>
      <c r="AH55" s="5471"/>
      <c r="AI55" s="5471"/>
      <c r="AJ55" s="5472"/>
      <c r="AK55" s="1131"/>
      <c r="AL55" s="1125"/>
      <c r="AM55" s="1125"/>
      <c r="AN55" s="2110"/>
      <c r="AO55" s="5468" t="s">
        <v>4572</v>
      </c>
      <c r="AP55" s="5469"/>
      <c r="AQ55" s="1152">
        <f>IF(AO52=0,"",VLOOKUP(AO52,'Tablas Magia'!$D$6:$Z$680,8,FALSE))</f>
        <v>9</v>
      </c>
      <c r="AR55" s="1152">
        <f>IF(AO52=0,"",VLOOKUP(AO52,'Tablas Magia'!$D$6:$Z$680,12,FALSE))</f>
        <v>180</v>
      </c>
      <c r="AS55" s="1153">
        <f>IF(AO52=0,"",VLOOKUP(AO52,'Tablas Magia'!$D$6:$Z$680,16,FALSE))</f>
        <v>10</v>
      </c>
      <c r="AT55" s="5470" t="str">
        <f>IF(AO52=0,"",VLOOKUP(AO52,'Tablas Magia'!$D$6:$Z$680,20,FALSE))</f>
        <v>RM o RP 160 / 80 metros de distancia</v>
      </c>
      <c r="AU55" s="5471"/>
      <c r="AV55" s="5471"/>
      <c r="AW55" s="5471"/>
      <c r="AX55" s="5471"/>
      <c r="AY55" s="5471"/>
      <c r="AZ55" s="5471"/>
      <c r="BA55" s="5471"/>
      <c r="BB55" s="5471"/>
      <c r="BC55" s="5472"/>
      <c r="BD55" s="1131"/>
      <c r="BE55" s="1125"/>
      <c r="BF55" s="1125"/>
      <c r="BG55" s="2110"/>
      <c r="BH55" s="5468" t="s">
        <v>4572</v>
      </c>
      <c r="BI55" s="5469"/>
      <c r="BJ55" s="1152">
        <f>IF(BH52=0,"",VLOOKUP(BH52,'Tablas Magia'!$D$6:$Z$680,8,FALSE))</f>
        <v>12</v>
      </c>
      <c r="BK55" s="1152">
        <f>IF(BH52=0,"",VLOOKUP(BH52,'Tablas Magia'!$D$6:$Z$680,12,FALSE))</f>
        <v>200</v>
      </c>
      <c r="BL55" s="1153">
        <f>IF(BH52=0,"",VLOOKUP(BH52,'Tablas Magia'!$D$6:$Z$680,16,FALSE))</f>
        <v>10</v>
      </c>
      <c r="BM55" s="5470" t="str">
        <f>IF(BH52=0,"",VLOOKUP(BH52,'Tablas Magia'!$D$6:$Z$680,20,FALSE))</f>
        <v>Visible en 5 kilómetros de radio / RM o RP 150</v>
      </c>
      <c r="BN55" s="5471"/>
      <c r="BO55" s="5471"/>
      <c r="BP55" s="5471"/>
      <c r="BQ55" s="5471"/>
      <c r="BR55" s="5471"/>
      <c r="BS55" s="5471"/>
      <c r="BT55" s="5471"/>
      <c r="BU55" s="5471"/>
      <c r="BV55" s="5472"/>
      <c r="BW55" s="1131"/>
      <c r="BX55" s="1125"/>
      <c r="BY55" s="1125"/>
      <c r="BZ55" s="2110"/>
      <c r="CA55" s="5468" t="s">
        <v>4572</v>
      </c>
      <c r="CB55" s="5469"/>
      <c r="CC55" s="1152">
        <f>IF(CA52=0,"",VLOOKUP(CA52,'Tablas Magia'!$D$6:$Z$680,8,FALSE))</f>
        <v>12</v>
      </c>
      <c r="CD55" s="1152">
        <f>IF(CA52=0,"",VLOOKUP(CA52,'Tablas Magia'!$D$6:$Z$680,12,FALSE))</f>
        <v>300</v>
      </c>
      <c r="CE55" s="1153" t="str">
        <f>IF(CA52=0,"",VLOOKUP(CA52,'Tablas Magia'!$D$6:$Z$680,16,FALSE))</f>
        <v>No</v>
      </c>
      <c r="CF55" s="5470" t="str">
        <f>IF(CA52=0,"",VLOOKUP(CA52,'Tablas Magia'!$D$6:$Z$680,20,FALSE))</f>
        <v>Cinco años</v>
      </c>
      <c r="CG55" s="5471"/>
      <c r="CH55" s="5471"/>
      <c r="CI55" s="5471"/>
      <c r="CJ55" s="5471"/>
      <c r="CK55" s="5471"/>
      <c r="CL55" s="5471"/>
      <c r="CM55" s="5471"/>
      <c r="CN55" s="5471"/>
      <c r="CO55" s="5472"/>
      <c r="CP55" s="1131"/>
      <c r="CQ55" s="1125"/>
    </row>
    <row r="56" spans="1:95" ht="12" customHeight="1" x14ac:dyDescent="0.2">
      <c r="A56" s="1125"/>
      <c r="B56" s="2096"/>
      <c r="C56" s="5473" t="s">
        <v>4573</v>
      </c>
      <c r="D56" s="5474"/>
      <c r="E56" s="1150">
        <f>IF(C52=0,"",VLOOKUP(C52,'Tablas Magia'!$D$6:$Z$680,9,FALSE))</f>
        <v>10</v>
      </c>
      <c r="F56" s="1150">
        <f>IF(C52=0,"",VLOOKUP(C52,'Tablas Magia'!$D$6:$Z$680,13,FALSE))</f>
        <v>180</v>
      </c>
      <c r="G56" s="1151">
        <f>IF(C52=0,"",VLOOKUP(C52,'Tablas Magia'!$D$6:$Z$680,17,FALSE))</f>
        <v>20</v>
      </c>
      <c r="H56" s="5475" t="str">
        <f>IF(C52=0,"",VLOOKUP(C52,'Tablas Magia'!$D$6:$Z$680,21,FALSE))</f>
        <v>El escudo tiene 1.800 puntos de Resistencia</v>
      </c>
      <c r="I56" s="5476"/>
      <c r="J56" s="5476"/>
      <c r="K56" s="5476"/>
      <c r="L56" s="5476"/>
      <c r="M56" s="5476"/>
      <c r="N56" s="5476"/>
      <c r="O56" s="5476"/>
      <c r="P56" s="5476"/>
      <c r="Q56" s="5477"/>
      <c r="R56" s="1131"/>
      <c r="S56" s="1125"/>
      <c r="T56" s="1125"/>
      <c r="U56" s="2096"/>
      <c r="V56" s="5473" t="s">
        <v>4573</v>
      </c>
      <c r="W56" s="5474"/>
      <c r="X56" s="1150">
        <f>IF(V52=0,"",VLOOKUP(V52,'Tablas Magia'!$D$6:$Z$680,9,FALSE))</f>
        <v>12</v>
      </c>
      <c r="Y56" s="1150">
        <f>IF(V52=0,"",VLOOKUP(V52,'Tablas Magia'!$D$6:$Z$680,13,FALSE))</f>
        <v>250</v>
      </c>
      <c r="Z56" s="1151">
        <f>IF(V52=0,"",VLOOKUP(V52,'Tablas Magia'!$D$6:$Z$680,17,FALSE))</f>
        <v>25</v>
      </c>
      <c r="AA56" s="5475" t="str">
        <f>IF(V52=0,"",VLOOKUP(V52,'Tablas Magia'!$D$6:$Z$680,21,FALSE))</f>
        <v>Radio de 300 metros y RM 180.</v>
      </c>
      <c r="AB56" s="5476"/>
      <c r="AC56" s="5476"/>
      <c r="AD56" s="5476"/>
      <c r="AE56" s="5476"/>
      <c r="AF56" s="5476"/>
      <c r="AG56" s="5476"/>
      <c r="AH56" s="5476"/>
      <c r="AI56" s="5476"/>
      <c r="AJ56" s="5477"/>
      <c r="AK56" s="1131"/>
      <c r="AL56" s="1125"/>
      <c r="AM56" s="1125"/>
      <c r="AN56" s="2110"/>
      <c r="AO56" s="5473" t="s">
        <v>4573</v>
      </c>
      <c r="AP56" s="5474"/>
      <c r="AQ56" s="1150">
        <f>IF(AO52=0,"",VLOOKUP(AO52,'Tablas Magia'!$D$6:$Z$680,9,FALSE))</f>
        <v>12</v>
      </c>
      <c r="AR56" s="1150">
        <f>IF(AO52=0,"",VLOOKUP(AO52,'Tablas Magia'!$D$6:$Z$680,13,FALSE))</f>
        <v>240</v>
      </c>
      <c r="AS56" s="1151">
        <f>IF(AO52=0,"",VLOOKUP(AO52,'Tablas Magia'!$D$6:$Z$680,17,FALSE))</f>
        <v>15</v>
      </c>
      <c r="AT56" s="5475" t="str">
        <f>IF(AO52=0,"",VLOOKUP(AO52,'Tablas Magia'!$D$6:$Z$680,21,FALSE))</f>
        <v>RM o RP 200 / 140 metros de distancia</v>
      </c>
      <c r="AU56" s="5476"/>
      <c r="AV56" s="5476"/>
      <c r="AW56" s="5476"/>
      <c r="AX56" s="5476"/>
      <c r="AY56" s="5476"/>
      <c r="AZ56" s="5476"/>
      <c r="BA56" s="5476"/>
      <c r="BB56" s="5476"/>
      <c r="BC56" s="5477"/>
      <c r="BD56" s="1131"/>
      <c r="BE56" s="1125"/>
      <c r="BF56" s="1125"/>
      <c r="BG56" s="2110"/>
      <c r="BH56" s="5473" t="s">
        <v>4573</v>
      </c>
      <c r="BI56" s="5474"/>
      <c r="BJ56" s="1150">
        <f>IF(BH52=0,"",VLOOKUP(BH52,'Tablas Magia'!$D$6:$Z$680,9,FALSE))</f>
        <v>14</v>
      </c>
      <c r="BK56" s="1150">
        <f>IF(BH52=0,"",VLOOKUP(BH52,'Tablas Magia'!$D$6:$Z$680,13,FALSE))</f>
        <v>2880</v>
      </c>
      <c r="BL56" s="1151">
        <f>IF(BH52=0,"",VLOOKUP(BH52,'Tablas Magia'!$D$6:$Z$680,17,FALSE))</f>
        <v>10</v>
      </c>
      <c r="BM56" s="5475" t="str">
        <f>IF(BH52=0,"",VLOOKUP(BH52,'Tablas Magia'!$D$6:$Z$680,21,FALSE))</f>
        <v>Visible en 15 kilómetros de radio / RM o RP 180.</v>
      </c>
      <c r="BN56" s="5476"/>
      <c r="BO56" s="5476"/>
      <c r="BP56" s="5476"/>
      <c r="BQ56" s="5476"/>
      <c r="BR56" s="5476"/>
      <c r="BS56" s="5476"/>
      <c r="BT56" s="5476"/>
      <c r="BU56" s="5476"/>
      <c r="BV56" s="5477"/>
      <c r="BW56" s="1131"/>
      <c r="BX56" s="1125"/>
      <c r="BY56" s="1125"/>
      <c r="BZ56" s="2110"/>
      <c r="CA56" s="5473" t="s">
        <v>4573</v>
      </c>
      <c r="CB56" s="5474"/>
      <c r="CC56" s="1150">
        <f>IF(CA52=0,"",VLOOKUP(CA52,'Tablas Magia'!$D$6:$Z$680,9,FALSE))</f>
        <v>14</v>
      </c>
      <c r="CD56" s="1150">
        <f>IF(CA52=0,"",VLOOKUP(CA52,'Tablas Magia'!$D$6:$Z$680,13,FALSE))</f>
        <v>450</v>
      </c>
      <c r="CE56" s="1151" t="str">
        <f>IF(CA52=0,"",VLOOKUP(CA52,'Tablas Magia'!$D$6:$Z$680,17,FALSE))</f>
        <v>No</v>
      </c>
      <c r="CF56" s="5475" t="str">
        <f>IF(CA52=0,"",VLOOKUP(CA52,'Tablas Magia'!$D$6:$Z$680,21,FALSE))</f>
        <v>Cincuenta años / Si ocurrirá en menos de un día, será muy exacta</v>
      </c>
      <c r="CG56" s="5476"/>
      <c r="CH56" s="5476"/>
      <c r="CI56" s="5476"/>
      <c r="CJ56" s="5476"/>
      <c r="CK56" s="5476"/>
      <c r="CL56" s="5476"/>
      <c r="CM56" s="5476"/>
      <c r="CN56" s="5476"/>
      <c r="CO56" s="5477"/>
      <c r="CP56" s="1131"/>
      <c r="CQ56" s="1125"/>
    </row>
    <row r="57" spans="1:95" ht="12" customHeight="1" thickBot="1" x14ac:dyDescent="0.25">
      <c r="A57" s="1125"/>
      <c r="B57" s="2096"/>
      <c r="C57" s="5483" t="s">
        <v>4574</v>
      </c>
      <c r="D57" s="5484"/>
      <c r="E57" s="1154">
        <f>IF(C52=0,"",VLOOKUP(C52,'Tablas Magia'!$D$6:$Z$680,10,FALSE))</f>
        <v>14</v>
      </c>
      <c r="F57" s="1154">
        <f>IF(C52=0,"",VLOOKUP(C52,'Tablas Magia'!$D$6:$Z$680,14,FALSE))</f>
        <v>250</v>
      </c>
      <c r="G57" s="1155">
        <f>IF(C52=0,"",VLOOKUP(C52,'Tablas Magia'!$D$6:$Z$680,18,FALSE))</f>
        <v>25</v>
      </c>
      <c r="H57" s="5485" t="str">
        <f>IF(C52=0,"",VLOOKUP(C52,'Tablas Magia'!$D$6:$Z$680,22,FALSE))</f>
        <v>El escudo tiene 3.000 puntos de Resistencia</v>
      </c>
      <c r="I57" s="5486"/>
      <c r="J57" s="5486"/>
      <c r="K57" s="5486"/>
      <c r="L57" s="5486"/>
      <c r="M57" s="5486"/>
      <c r="N57" s="5486"/>
      <c r="O57" s="5486"/>
      <c r="P57" s="5486"/>
      <c r="Q57" s="5487"/>
      <c r="R57" s="1131"/>
      <c r="S57" s="1125"/>
      <c r="T57" s="1125"/>
      <c r="U57" s="2096"/>
      <c r="V57" s="5483" t="s">
        <v>4574</v>
      </c>
      <c r="W57" s="5484"/>
      <c r="X57" s="1154">
        <f>IF(V52=0,"",VLOOKUP(V52,'Tablas Magia'!$D$6:$Z$680,10,FALSE))</f>
        <v>15</v>
      </c>
      <c r="Y57" s="1154">
        <f>IF(V52=0,"",VLOOKUP(V52,'Tablas Magia'!$D$6:$Z$680,14,FALSE))</f>
        <v>250</v>
      </c>
      <c r="Z57" s="1155">
        <f>IF(V52=0,"",VLOOKUP(V52,'Tablas Magia'!$D$6:$Z$680,18,FALSE))</f>
        <v>30</v>
      </c>
      <c r="AA57" s="5485" t="str">
        <f>IF(V52=0,"",VLOOKUP(V52,'Tablas Magia'!$D$6:$Z$680,22,FALSE))</f>
        <v>Radio de 500 metros / RM 220</v>
      </c>
      <c r="AB57" s="5486"/>
      <c r="AC57" s="5486"/>
      <c r="AD57" s="5486"/>
      <c r="AE57" s="5486"/>
      <c r="AF57" s="5486"/>
      <c r="AG57" s="5486"/>
      <c r="AH57" s="5486"/>
      <c r="AI57" s="5486"/>
      <c r="AJ57" s="5487"/>
      <c r="AK57" s="1131"/>
      <c r="AL57" s="1125"/>
      <c r="AM57" s="1125"/>
      <c r="AN57" s="2110"/>
      <c r="AO57" s="5483" t="s">
        <v>4574</v>
      </c>
      <c r="AP57" s="5484"/>
      <c r="AQ57" s="1154">
        <f>IF(AO52=0,"",VLOOKUP(AO52,'Tablas Magia'!$D$6:$Z$680,10,FALSE))</f>
        <v>15</v>
      </c>
      <c r="AR57" s="1154">
        <f>IF(AO52=0,"",VLOOKUP(AO52,'Tablas Magia'!$D$6:$Z$680,14,FALSE))</f>
        <v>300</v>
      </c>
      <c r="AS57" s="1155">
        <f>IF(AO52=0,"",VLOOKUP(AO52,'Tablas Magia'!$D$6:$Z$680,18,FALSE))</f>
        <v>15</v>
      </c>
      <c r="AT57" s="5485" t="str">
        <f>IF(AO52=0,"",VLOOKUP(AO52,'Tablas Magia'!$D$6:$Z$680,22,FALSE))</f>
        <v>RM o RP 240 / 200 metros de distancia</v>
      </c>
      <c r="AU57" s="5486"/>
      <c r="AV57" s="5486"/>
      <c r="AW57" s="5486"/>
      <c r="AX57" s="5486"/>
      <c r="AY57" s="5486"/>
      <c r="AZ57" s="5486"/>
      <c r="BA57" s="5486"/>
      <c r="BB57" s="5486"/>
      <c r="BC57" s="5487"/>
      <c r="BD57" s="1131"/>
      <c r="BE57" s="1125"/>
      <c r="BF57" s="1125"/>
      <c r="BG57" s="2110"/>
      <c r="BH57" s="5483" t="s">
        <v>4574</v>
      </c>
      <c r="BI57" s="5484"/>
      <c r="BJ57" s="1154">
        <f>IF(BH52=0,"",VLOOKUP(BH52,'Tablas Magia'!$D$6:$Z$680,10,FALSE))</f>
        <v>16</v>
      </c>
      <c r="BK57" s="1154">
        <f>IF(BH52=0,"",VLOOKUP(BH52,'Tablas Magia'!$D$6:$Z$680,14,FALSE))</f>
        <v>360</v>
      </c>
      <c r="BL57" s="1155">
        <f>IF(BH52=0,"",VLOOKUP(BH52,'Tablas Magia'!$D$6:$Z$680,18,FALSE))</f>
        <v>15</v>
      </c>
      <c r="BM57" s="5485" t="str">
        <f>IF(BH52=0,"",VLOOKUP(BH52,'Tablas Magia'!$D$6:$Z$680,22,FALSE))</f>
        <v>Visible en 25 kilómetros de radio / RM o RP 220</v>
      </c>
      <c r="BN57" s="5486"/>
      <c r="BO57" s="5486"/>
      <c r="BP57" s="5486"/>
      <c r="BQ57" s="5486"/>
      <c r="BR57" s="5486"/>
      <c r="BS57" s="5486"/>
      <c r="BT57" s="5486"/>
      <c r="BU57" s="5486"/>
      <c r="BV57" s="5487"/>
      <c r="BW57" s="1131"/>
      <c r="BX57" s="1125"/>
      <c r="BY57" s="1125"/>
      <c r="BZ57" s="2110"/>
      <c r="CA57" s="5483" t="s">
        <v>4574</v>
      </c>
      <c r="CB57" s="5484"/>
      <c r="CC57" s="1154">
        <f>IF(CA52=0,"",VLOOKUP(CA52,'Tablas Magia'!$D$6:$Z$680,10,FALSE))</f>
        <v>16</v>
      </c>
      <c r="CD57" s="1154">
        <f>IF(CA52=0,"",VLOOKUP(CA52,'Tablas Magia'!$D$6:$Z$680,14,FALSE))</f>
        <v>600</v>
      </c>
      <c r="CE57" s="1155" t="str">
        <f>IF(CA52=0,"",VLOOKUP(CA52,'Tablas Magia'!$D$6:$Z$680,18,FALSE))</f>
        <v>No</v>
      </c>
      <c r="CF57" s="5485" t="str">
        <f>IF(CA52=0,"",VLOOKUP(CA52,'Tablas Magia'!$D$6:$Z$680,22,FALSE))</f>
        <v>Un siglo / Si ocurrirá en menos de un año, será bastante exacta.</v>
      </c>
      <c r="CG57" s="5486"/>
      <c r="CH57" s="5486"/>
      <c r="CI57" s="5486"/>
      <c r="CJ57" s="5486"/>
      <c r="CK57" s="5486"/>
      <c r="CL57" s="5486"/>
      <c r="CM57" s="5486"/>
      <c r="CN57" s="5486"/>
      <c r="CO57" s="5487"/>
      <c r="CP57" s="1131"/>
      <c r="CQ57" s="1125"/>
    </row>
    <row r="58" spans="1:95" ht="12" customHeight="1" x14ac:dyDescent="0.2">
      <c r="A58" s="1125"/>
      <c r="B58" s="2096"/>
      <c r="C58" s="5488"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489"/>
      <c r="E58" s="5489"/>
      <c r="F58" s="5489"/>
      <c r="G58" s="5489"/>
      <c r="H58" s="5489"/>
      <c r="I58" s="5489"/>
      <c r="J58" s="5489"/>
      <c r="K58" s="5489"/>
      <c r="L58" s="5489"/>
      <c r="M58" s="5489"/>
      <c r="N58" s="5489"/>
      <c r="O58" s="5489"/>
      <c r="P58" s="5489"/>
      <c r="Q58" s="5490"/>
      <c r="R58" s="1131"/>
      <c r="S58" s="1125"/>
      <c r="T58" s="1125"/>
      <c r="U58" s="2096"/>
      <c r="V58" s="5488"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489"/>
      <c r="X58" s="5489"/>
      <c r="Y58" s="5489"/>
      <c r="Z58" s="5489"/>
      <c r="AA58" s="5489"/>
      <c r="AB58" s="5489"/>
      <c r="AC58" s="5489"/>
      <c r="AD58" s="5489"/>
      <c r="AE58" s="5489"/>
      <c r="AF58" s="5489"/>
      <c r="AG58" s="5489"/>
      <c r="AH58" s="5489"/>
      <c r="AI58" s="5489"/>
      <c r="AJ58" s="5490"/>
      <c r="AK58" s="1131"/>
      <c r="AL58" s="1125"/>
      <c r="AM58" s="1125"/>
      <c r="AN58" s="2110"/>
      <c r="AO58" s="5488"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489"/>
      <c r="AQ58" s="5489"/>
      <c r="AR58" s="5489"/>
      <c r="AS58" s="5489"/>
      <c r="AT58" s="5489"/>
      <c r="AU58" s="5489"/>
      <c r="AV58" s="5489"/>
      <c r="AW58" s="5489"/>
      <c r="AX58" s="5489"/>
      <c r="AY58" s="5489"/>
      <c r="AZ58" s="5489"/>
      <c r="BA58" s="5489"/>
      <c r="BB58" s="5489"/>
      <c r="BC58" s="5490"/>
      <c r="BD58" s="1131"/>
      <c r="BE58" s="1125"/>
      <c r="BF58" s="1125"/>
      <c r="BG58" s="2110"/>
      <c r="BH58" s="5488"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489"/>
      <c r="BJ58" s="5489"/>
      <c r="BK58" s="5489"/>
      <c r="BL58" s="5489"/>
      <c r="BM58" s="5489"/>
      <c r="BN58" s="5489"/>
      <c r="BO58" s="5489"/>
      <c r="BP58" s="5489"/>
      <c r="BQ58" s="5489"/>
      <c r="BR58" s="5489"/>
      <c r="BS58" s="5489"/>
      <c r="BT58" s="5489"/>
      <c r="BU58" s="5489"/>
      <c r="BV58" s="5490"/>
      <c r="BW58" s="1131"/>
      <c r="BX58" s="1125"/>
      <c r="BY58" s="1125"/>
      <c r="BZ58" s="2110"/>
      <c r="CA58" s="5488"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489"/>
      <c r="CC58" s="5489"/>
      <c r="CD58" s="5489"/>
      <c r="CE58" s="5489"/>
      <c r="CF58" s="5489"/>
      <c r="CG58" s="5489"/>
      <c r="CH58" s="5489"/>
      <c r="CI58" s="5489"/>
      <c r="CJ58" s="5489"/>
      <c r="CK58" s="5489"/>
      <c r="CL58" s="5489"/>
      <c r="CM58" s="5489"/>
      <c r="CN58" s="5489"/>
      <c r="CO58" s="5490"/>
      <c r="CP58" s="1131"/>
      <c r="CQ58" s="1125"/>
    </row>
    <row r="59" spans="1:95" ht="12" customHeight="1" x14ac:dyDescent="0.2">
      <c r="A59" s="1125"/>
      <c r="B59" s="2096"/>
      <c r="C59" s="5491"/>
      <c r="D59" s="5492"/>
      <c r="E59" s="5492"/>
      <c r="F59" s="5492"/>
      <c r="G59" s="5492"/>
      <c r="H59" s="5492"/>
      <c r="I59" s="5492"/>
      <c r="J59" s="5492"/>
      <c r="K59" s="5492"/>
      <c r="L59" s="5492"/>
      <c r="M59" s="5492"/>
      <c r="N59" s="5492"/>
      <c r="O59" s="5492"/>
      <c r="P59" s="5492"/>
      <c r="Q59" s="5493"/>
      <c r="R59" s="1131"/>
      <c r="S59" s="1125"/>
      <c r="T59" s="1125"/>
      <c r="U59" s="2096"/>
      <c r="V59" s="5491"/>
      <c r="W59" s="5492"/>
      <c r="X59" s="5492"/>
      <c r="Y59" s="5492"/>
      <c r="Z59" s="5492"/>
      <c r="AA59" s="5492"/>
      <c r="AB59" s="5492"/>
      <c r="AC59" s="5492"/>
      <c r="AD59" s="5492"/>
      <c r="AE59" s="5492"/>
      <c r="AF59" s="5492"/>
      <c r="AG59" s="5492"/>
      <c r="AH59" s="5492"/>
      <c r="AI59" s="5492"/>
      <c r="AJ59" s="5493"/>
      <c r="AK59" s="1131"/>
      <c r="AL59" s="1125"/>
      <c r="AM59" s="1125"/>
      <c r="AN59" s="2110"/>
      <c r="AO59" s="5491"/>
      <c r="AP59" s="5492"/>
      <c r="AQ59" s="5492"/>
      <c r="AR59" s="5492"/>
      <c r="AS59" s="5492"/>
      <c r="AT59" s="5492"/>
      <c r="AU59" s="5492"/>
      <c r="AV59" s="5492"/>
      <c r="AW59" s="5492"/>
      <c r="AX59" s="5492"/>
      <c r="AY59" s="5492"/>
      <c r="AZ59" s="5492"/>
      <c r="BA59" s="5492"/>
      <c r="BB59" s="5492"/>
      <c r="BC59" s="5493"/>
      <c r="BD59" s="1131"/>
      <c r="BE59" s="1125"/>
      <c r="BF59" s="1125"/>
      <c r="BG59" s="2110"/>
      <c r="BH59" s="5491"/>
      <c r="BI59" s="5492"/>
      <c r="BJ59" s="5492"/>
      <c r="BK59" s="5492"/>
      <c r="BL59" s="5492"/>
      <c r="BM59" s="5492"/>
      <c r="BN59" s="5492"/>
      <c r="BO59" s="5492"/>
      <c r="BP59" s="5492"/>
      <c r="BQ59" s="5492"/>
      <c r="BR59" s="5492"/>
      <c r="BS59" s="5492"/>
      <c r="BT59" s="5492"/>
      <c r="BU59" s="5492"/>
      <c r="BV59" s="5493"/>
      <c r="BW59" s="1131"/>
      <c r="BX59" s="1125"/>
      <c r="BY59" s="1125"/>
      <c r="BZ59" s="2110"/>
      <c r="CA59" s="5491"/>
      <c r="CB59" s="5492"/>
      <c r="CC59" s="5492"/>
      <c r="CD59" s="5492"/>
      <c r="CE59" s="5492"/>
      <c r="CF59" s="5492"/>
      <c r="CG59" s="5492"/>
      <c r="CH59" s="5492"/>
      <c r="CI59" s="5492"/>
      <c r="CJ59" s="5492"/>
      <c r="CK59" s="5492"/>
      <c r="CL59" s="5492"/>
      <c r="CM59" s="5492"/>
      <c r="CN59" s="5492"/>
      <c r="CO59" s="5493"/>
      <c r="CP59" s="1131"/>
      <c r="CQ59" s="1125"/>
    </row>
    <row r="60" spans="1:95" ht="12" customHeight="1" x14ac:dyDescent="0.2">
      <c r="A60" s="1125"/>
      <c r="B60" s="2096"/>
      <c r="C60" s="5491"/>
      <c r="D60" s="5492"/>
      <c r="E60" s="5492"/>
      <c r="F60" s="5492"/>
      <c r="G60" s="5492"/>
      <c r="H60" s="5492"/>
      <c r="I60" s="5492"/>
      <c r="J60" s="5492"/>
      <c r="K60" s="5492"/>
      <c r="L60" s="5492"/>
      <c r="M60" s="5492"/>
      <c r="N60" s="5492"/>
      <c r="O60" s="5492"/>
      <c r="P60" s="5492"/>
      <c r="Q60" s="5493"/>
      <c r="R60" s="1131"/>
      <c r="S60" s="1125"/>
      <c r="T60" s="1125"/>
      <c r="U60" s="2096"/>
      <c r="V60" s="5491"/>
      <c r="W60" s="5492"/>
      <c r="X60" s="5492"/>
      <c r="Y60" s="5492"/>
      <c r="Z60" s="5492"/>
      <c r="AA60" s="5492"/>
      <c r="AB60" s="5492"/>
      <c r="AC60" s="5492"/>
      <c r="AD60" s="5492"/>
      <c r="AE60" s="5492"/>
      <c r="AF60" s="5492"/>
      <c r="AG60" s="5492"/>
      <c r="AH60" s="5492"/>
      <c r="AI60" s="5492"/>
      <c r="AJ60" s="5493"/>
      <c r="AK60" s="1131"/>
      <c r="AL60" s="1125"/>
      <c r="AM60" s="1125"/>
      <c r="AN60" s="2110"/>
      <c r="AO60" s="5491"/>
      <c r="AP60" s="5492"/>
      <c r="AQ60" s="5492"/>
      <c r="AR60" s="5492"/>
      <c r="AS60" s="5492"/>
      <c r="AT60" s="5492"/>
      <c r="AU60" s="5492"/>
      <c r="AV60" s="5492"/>
      <c r="AW60" s="5492"/>
      <c r="AX60" s="5492"/>
      <c r="AY60" s="5492"/>
      <c r="AZ60" s="5492"/>
      <c r="BA60" s="5492"/>
      <c r="BB60" s="5492"/>
      <c r="BC60" s="5493"/>
      <c r="BD60" s="1131"/>
      <c r="BE60" s="1125"/>
      <c r="BF60" s="1125"/>
      <c r="BG60" s="2110"/>
      <c r="BH60" s="5491"/>
      <c r="BI60" s="5492"/>
      <c r="BJ60" s="5492"/>
      <c r="BK60" s="5492"/>
      <c r="BL60" s="5492"/>
      <c r="BM60" s="5492"/>
      <c r="BN60" s="5492"/>
      <c r="BO60" s="5492"/>
      <c r="BP60" s="5492"/>
      <c r="BQ60" s="5492"/>
      <c r="BR60" s="5492"/>
      <c r="BS60" s="5492"/>
      <c r="BT60" s="5492"/>
      <c r="BU60" s="5492"/>
      <c r="BV60" s="5493"/>
      <c r="BW60" s="1131"/>
      <c r="BX60" s="1125"/>
      <c r="BY60" s="1125"/>
      <c r="BZ60" s="2110"/>
      <c r="CA60" s="5491"/>
      <c r="CB60" s="5492"/>
      <c r="CC60" s="5492"/>
      <c r="CD60" s="5492"/>
      <c r="CE60" s="5492"/>
      <c r="CF60" s="5492"/>
      <c r="CG60" s="5492"/>
      <c r="CH60" s="5492"/>
      <c r="CI60" s="5492"/>
      <c r="CJ60" s="5492"/>
      <c r="CK60" s="5492"/>
      <c r="CL60" s="5492"/>
      <c r="CM60" s="5492"/>
      <c r="CN60" s="5492"/>
      <c r="CO60" s="5493"/>
      <c r="CP60" s="1131"/>
      <c r="CQ60" s="1125"/>
    </row>
    <row r="61" spans="1:95" ht="12" customHeight="1" thickBot="1" x14ac:dyDescent="0.25">
      <c r="A61" s="1125"/>
      <c r="B61" s="2096"/>
      <c r="C61" s="5494"/>
      <c r="D61" s="5495"/>
      <c r="E61" s="5495"/>
      <c r="F61" s="5495"/>
      <c r="G61" s="5495"/>
      <c r="H61" s="5495"/>
      <c r="I61" s="5495"/>
      <c r="J61" s="5495"/>
      <c r="K61" s="5495"/>
      <c r="L61" s="5495"/>
      <c r="M61" s="5495"/>
      <c r="N61" s="5495"/>
      <c r="O61" s="5495"/>
      <c r="P61" s="5495"/>
      <c r="Q61" s="5496"/>
      <c r="R61" s="1131"/>
      <c r="S61" s="1125"/>
      <c r="T61" s="1125"/>
      <c r="U61" s="2096"/>
      <c r="V61" s="5494"/>
      <c r="W61" s="5495"/>
      <c r="X61" s="5495"/>
      <c r="Y61" s="5495"/>
      <c r="Z61" s="5495"/>
      <c r="AA61" s="5495"/>
      <c r="AB61" s="5495"/>
      <c r="AC61" s="5495"/>
      <c r="AD61" s="5495"/>
      <c r="AE61" s="5495"/>
      <c r="AF61" s="5495"/>
      <c r="AG61" s="5495"/>
      <c r="AH61" s="5495"/>
      <c r="AI61" s="5495"/>
      <c r="AJ61" s="5496"/>
      <c r="AK61" s="1131"/>
      <c r="AL61" s="1125"/>
      <c r="AM61" s="1125"/>
      <c r="AN61" s="2110"/>
      <c r="AO61" s="5494"/>
      <c r="AP61" s="5495"/>
      <c r="AQ61" s="5495"/>
      <c r="AR61" s="5495"/>
      <c r="AS61" s="5495"/>
      <c r="AT61" s="5495"/>
      <c r="AU61" s="5495"/>
      <c r="AV61" s="5495"/>
      <c r="AW61" s="5495"/>
      <c r="AX61" s="5495"/>
      <c r="AY61" s="5495"/>
      <c r="AZ61" s="5495"/>
      <c r="BA61" s="5495"/>
      <c r="BB61" s="5495"/>
      <c r="BC61" s="5496"/>
      <c r="BD61" s="1131"/>
      <c r="BE61" s="1125"/>
      <c r="BF61" s="1125"/>
      <c r="BG61" s="2110"/>
      <c r="BH61" s="5494"/>
      <c r="BI61" s="5495"/>
      <c r="BJ61" s="5495"/>
      <c r="BK61" s="5495"/>
      <c r="BL61" s="5495"/>
      <c r="BM61" s="5495"/>
      <c r="BN61" s="5495"/>
      <c r="BO61" s="5495"/>
      <c r="BP61" s="5495"/>
      <c r="BQ61" s="5495"/>
      <c r="BR61" s="5495"/>
      <c r="BS61" s="5495"/>
      <c r="BT61" s="5495"/>
      <c r="BU61" s="5495"/>
      <c r="BV61" s="5496"/>
      <c r="BW61" s="1131"/>
      <c r="BX61" s="1125"/>
      <c r="BY61" s="1125"/>
      <c r="BZ61" s="2110"/>
      <c r="CA61" s="5494"/>
      <c r="CB61" s="5495"/>
      <c r="CC61" s="5495"/>
      <c r="CD61" s="5495"/>
      <c r="CE61" s="5495"/>
      <c r="CF61" s="5495"/>
      <c r="CG61" s="5495"/>
      <c r="CH61" s="5495"/>
      <c r="CI61" s="5495"/>
      <c r="CJ61" s="5495"/>
      <c r="CK61" s="5495"/>
      <c r="CL61" s="5495"/>
      <c r="CM61" s="5495"/>
      <c r="CN61" s="5495"/>
      <c r="CO61" s="5496"/>
      <c r="CP61" s="1131"/>
      <c r="CQ61" s="1125"/>
    </row>
    <row r="62" spans="1:95" ht="12" customHeight="1" x14ac:dyDescent="0.2">
      <c r="A62" s="1125"/>
      <c r="B62" s="2096"/>
      <c r="R62" s="1131"/>
      <c r="S62" s="1125"/>
      <c r="T62" s="1125"/>
      <c r="U62" s="2096"/>
      <c r="AK62" s="1131"/>
      <c r="AL62" s="1125"/>
      <c r="AM62" s="1125"/>
      <c r="AN62" s="2096"/>
      <c r="BD62" s="1131"/>
      <c r="BE62" s="1125"/>
      <c r="BF62" s="1125"/>
      <c r="BG62" s="2096"/>
      <c r="BW62" s="1131"/>
      <c r="BX62" s="1125"/>
      <c r="BY62" s="1125"/>
      <c r="BZ62" s="2096"/>
      <c r="CP62" s="1131"/>
      <c r="CQ62" s="1125"/>
    </row>
    <row r="63" spans="1:95" ht="12" customHeight="1" thickBot="1" x14ac:dyDescent="0.25">
      <c r="A63" s="1125"/>
      <c r="B63" s="2113"/>
      <c r="C63" s="5499" t="str">
        <f>B64&amp;"-"&amp;B108</f>
        <v>12-20</v>
      </c>
      <c r="D63" s="5499"/>
      <c r="E63" s="5499"/>
      <c r="F63" s="5499"/>
      <c r="G63" s="5499"/>
      <c r="H63" s="5499"/>
      <c r="I63" s="5499"/>
      <c r="J63" s="5499"/>
      <c r="K63" s="5499"/>
      <c r="L63" s="5499"/>
      <c r="M63" s="5499"/>
      <c r="N63" s="5499"/>
      <c r="O63" s="5499"/>
      <c r="P63" s="5499"/>
      <c r="Q63" s="5499"/>
      <c r="R63" s="2109"/>
      <c r="S63" s="1125"/>
      <c r="T63" s="1125"/>
      <c r="U63" s="2113"/>
      <c r="V63" s="5499" t="str">
        <f>U64&amp;"-"&amp;U108</f>
        <v>32-40</v>
      </c>
      <c r="W63" s="5499"/>
      <c r="X63" s="5499"/>
      <c r="Y63" s="5499"/>
      <c r="Z63" s="5499"/>
      <c r="AA63" s="5499"/>
      <c r="AB63" s="5499"/>
      <c r="AC63" s="5499"/>
      <c r="AD63" s="5499"/>
      <c r="AE63" s="5499"/>
      <c r="AF63" s="5499"/>
      <c r="AG63" s="5499"/>
      <c r="AH63" s="5499"/>
      <c r="AI63" s="5499"/>
      <c r="AJ63" s="5499"/>
      <c r="AK63" s="2108"/>
      <c r="AL63" s="1125"/>
      <c r="AM63" s="2111"/>
      <c r="AN63" s="2107"/>
      <c r="AO63" s="5499" t="str">
        <f>AN64&amp;"-"&amp;AN108</f>
        <v>52-60</v>
      </c>
      <c r="AP63" s="5499"/>
      <c r="AQ63" s="5499"/>
      <c r="AR63" s="5499"/>
      <c r="AS63" s="5499"/>
      <c r="AT63" s="5499"/>
      <c r="AU63" s="5499"/>
      <c r="AV63" s="5499"/>
      <c r="AW63" s="5499"/>
      <c r="AX63" s="5499"/>
      <c r="AY63" s="5499"/>
      <c r="AZ63" s="5499"/>
      <c r="BA63" s="5499"/>
      <c r="BB63" s="5499"/>
      <c r="BC63" s="5499"/>
      <c r="BD63" s="2108"/>
      <c r="BE63" s="1125"/>
      <c r="BF63" s="1125"/>
      <c r="BG63" s="2107"/>
      <c r="BH63" s="5499" t="str">
        <f>BG64&amp;"-"&amp;BG108</f>
        <v>72-80</v>
      </c>
      <c r="BI63" s="5499"/>
      <c r="BJ63" s="5499"/>
      <c r="BK63" s="5499"/>
      <c r="BL63" s="5499"/>
      <c r="BM63" s="5499"/>
      <c r="BN63" s="5499"/>
      <c r="BO63" s="5499"/>
      <c r="BP63" s="5499"/>
      <c r="BQ63" s="5499"/>
      <c r="BR63" s="5499"/>
      <c r="BS63" s="5499"/>
      <c r="BT63" s="5499"/>
      <c r="BU63" s="5499"/>
      <c r="BV63" s="5499"/>
      <c r="BW63" s="2108"/>
      <c r="BX63" s="1125"/>
      <c r="BY63" s="1125"/>
      <c r="BZ63" s="2107"/>
      <c r="CA63" s="5499" t="str">
        <f>BZ64&amp;"-"&amp;BZ108</f>
        <v>92-100</v>
      </c>
      <c r="CB63" s="5499"/>
      <c r="CC63" s="5499"/>
      <c r="CD63" s="5499"/>
      <c r="CE63" s="5499"/>
      <c r="CF63" s="5499"/>
      <c r="CG63" s="5499"/>
      <c r="CH63" s="5499"/>
      <c r="CI63" s="5499"/>
      <c r="CJ63" s="5499"/>
      <c r="CK63" s="5499"/>
      <c r="CL63" s="5499"/>
      <c r="CM63" s="5499"/>
      <c r="CN63" s="5499"/>
      <c r="CO63" s="5499"/>
      <c r="CP63" s="2108"/>
      <c r="CQ63" s="1125"/>
    </row>
    <row r="64" spans="1:95" ht="12" customHeight="1" x14ac:dyDescent="0.2">
      <c r="A64" s="1125"/>
      <c r="B64" s="2096">
        <f>B52+2</f>
        <v>12</v>
      </c>
      <c r="C64" s="5497"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498"/>
      <c r="E64" s="5498"/>
      <c r="F64" s="5498"/>
      <c r="G64" s="5498"/>
      <c r="H64" s="1145" t="s">
        <v>1627</v>
      </c>
      <c r="I64" s="1146">
        <f>B64</f>
        <v>12</v>
      </c>
      <c r="J64" s="5463" t="s">
        <v>7687</v>
      </c>
      <c r="K64" s="5463"/>
      <c r="L64" s="5463"/>
      <c r="M64" s="5464" t="str">
        <f>IF(C64=0,"",VLOOKUP(C64,'Tablas Magia'!$D$6:$Z$680,2,FALSE))</f>
        <v>Luz</v>
      </c>
      <c r="N64" s="5464"/>
      <c r="O64" s="5464"/>
      <c r="P64" s="5464"/>
      <c r="Q64" s="5465"/>
      <c r="R64" s="1131"/>
      <c r="S64" s="1125"/>
      <c r="T64" s="1125"/>
      <c r="U64" s="2096">
        <f>U52+2</f>
        <v>32</v>
      </c>
      <c r="V64" s="5497"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498"/>
      <c r="X64" s="5498"/>
      <c r="Y64" s="5498"/>
      <c r="Z64" s="5498"/>
      <c r="AA64" s="1145" t="s">
        <v>1627</v>
      </c>
      <c r="AB64" s="1146">
        <f>U64</f>
        <v>32</v>
      </c>
      <c r="AC64" s="5463" t="s">
        <v>7687</v>
      </c>
      <c r="AD64" s="5463"/>
      <c r="AE64" s="5463"/>
      <c r="AF64" s="5464" t="str">
        <f>IF(V64=0,"",VLOOKUP(V64,'Tablas Magia'!$D$6:$Z$680,2,FALSE))</f>
        <v>Luz</v>
      </c>
      <c r="AG64" s="5464"/>
      <c r="AH64" s="5464"/>
      <c r="AI64" s="5464"/>
      <c r="AJ64" s="5465"/>
      <c r="AK64" s="1131"/>
      <c r="AL64" s="1125"/>
      <c r="AM64" s="1125"/>
      <c r="AN64" s="2110">
        <f>AN52+2</f>
        <v>52</v>
      </c>
      <c r="AO64" s="5497"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498"/>
      <c r="AQ64" s="5498"/>
      <c r="AR64" s="5498"/>
      <c r="AS64" s="5498"/>
      <c r="AT64" s="1145" t="s">
        <v>1627</v>
      </c>
      <c r="AU64" s="1146">
        <f>AN64</f>
        <v>52</v>
      </c>
      <c r="AV64" s="5463" t="s">
        <v>7687</v>
      </c>
      <c r="AW64" s="5463"/>
      <c r="AX64" s="5463"/>
      <c r="AY64" s="5464" t="str">
        <f>IF(AO64=0,"",VLOOKUP(AO64,'Tablas Magia'!$D$6:$Z$680,2,FALSE))</f>
        <v>Luz</v>
      </c>
      <c r="AZ64" s="5464"/>
      <c r="BA64" s="5464"/>
      <c r="BB64" s="5464"/>
      <c r="BC64" s="5465"/>
      <c r="BD64" s="1131"/>
      <c r="BE64" s="1125"/>
      <c r="BF64" s="1125"/>
      <c r="BG64" s="2110">
        <f>BG52+2</f>
        <v>72</v>
      </c>
      <c r="BH64" s="5497"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498"/>
      <c r="BJ64" s="5498"/>
      <c r="BK64" s="5498"/>
      <c r="BL64" s="5498"/>
      <c r="BM64" s="1145" t="s">
        <v>1627</v>
      </c>
      <c r="BN64" s="1146">
        <f>BG64</f>
        <v>72</v>
      </c>
      <c r="BO64" s="5463" t="s">
        <v>7687</v>
      </c>
      <c r="BP64" s="5463"/>
      <c r="BQ64" s="5463"/>
      <c r="BR64" s="5464" t="str">
        <f>IF(BH64=0,"",VLOOKUP(BH64,'Tablas Magia'!$D$6:$Z$680,2,FALSE))</f>
        <v>Luz</v>
      </c>
      <c r="BS64" s="5464"/>
      <c r="BT64" s="5464"/>
      <c r="BU64" s="5464"/>
      <c r="BV64" s="5465"/>
      <c r="BW64" s="1131"/>
      <c r="BX64" s="1125"/>
      <c r="BY64" s="1125"/>
      <c r="BZ64" s="2110">
        <f>BZ52+2</f>
        <v>92</v>
      </c>
      <c r="CA64" s="5497"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498"/>
      <c r="CC64" s="5498"/>
      <c r="CD64" s="5498"/>
      <c r="CE64" s="5498"/>
      <c r="CF64" s="1145" t="s">
        <v>1627</v>
      </c>
      <c r="CG64" s="1146">
        <f>BZ64</f>
        <v>92</v>
      </c>
      <c r="CH64" s="5463" t="s">
        <v>7687</v>
      </c>
      <c r="CI64" s="5463"/>
      <c r="CJ64" s="5463"/>
      <c r="CK64" s="5464" t="str">
        <f>IF(CA64=0,"",VLOOKUP(CA64,'Tablas Magia'!$D$6:$Z$680,2,FALSE))</f>
        <v>Luz</v>
      </c>
      <c r="CL64" s="5464"/>
      <c r="CM64" s="5464"/>
      <c r="CN64" s="5464"/>
      <c r="CO64" s="5465"/>
      <c r="CP64" s="1131"/>
      <c r="CQ64" s="1125"/>
    </row>
    <row r="65" spans="1:95" ht="12" customHeight="1" x14ac:dyDescent="0.2">
      <c r="A65" s="1125"/>
      <c r="B65" s="2096"/>
      <c r="C65" s="5481" t="s">
        <v>7688</v>
      </c>
      <c r="D65" s="5482"/>
      <c r="E65" s="1147" t="s">
        <v>7689</v>
      </c>
      <c r="F65" s="1147" t="s">
        <v>1820</v>
      </c>
      <c r="G65" s="1147" t="s">
        <v>3334</v>
      </c>
      <c r="H65" s="1148" t="s">
        <v>2165</v>
      </c>
      <c r="I65" s="5478" t="str">
        <f>IF(C64=0,"",VLOOKUP(C64,'Tablas Magia'!$D$6:$Z$680,5,FALSE))</f>
        <v>Efecto</v>
      </c>
      <c r="J65" s="5478"/>
      <c r="K65" s="5479" t="s">
        <v>7690</v>
      </c>
      <c r="L65" s="5479"/>
      <c r="M65" s="5478" t="str">
        <f>IF(C64=0,"",VLOOKUP(C64,'Tablas Magia'!$D$6:$Z$680,6,FALSE))</f>
        <v>Activa</v>
      </c>
      <c r="N65" s="5478"/>
      <c r="O65" s="5480" t="s">
        <v>7691</v>
      </c>
      <c r="P65" s="5480"/>
      <c r="Q65" s="1149" t="str">
        <f>IF(C64=0,"",VLOOKUP(C64,'Tablas Magia'!$D$6:$Z$680,4,FALSE))</f>
        <v>No</v>
      </c>
      <c r="R65" s="1131"/>
      <c r="S65" s="1125"/>
      <c r="T65" s="1125"/>
      <c r="U65" s="2096"/>
      <c r="V65" s="5481" t="s">
        <v>7688</v>
      </c>
      <c r="W65" s="5482"/>
      <c r="X65" s="1147" t="s">
        <v>7689</v>
      </c>
      <c r="Y65" s="1147" t="s">
        <v>1820</v>
      </c>
      <c r="Z65" s="1147" t="s">
        <v>3334</v>
      </c>
      <c r="AA65" s="1148" t="s">
        <v>2165</v>
      </c>
      <c r="AB65" s="5478" t="str">
        <f>IF(V64=0,"",VLOOKUP(V64,'Tablas Magia'!$D$6:$Z$680,5,FALSE))</f>
        <v>Detección</v>
      </c>
      <c r="AC65" s="5478"/>
      <c r="AD65" s="5479" t="s">
        <v>7690</v>
      </c>
      <c r="AE65" s="5479"/>
      <c r="AF65" s="5478" t="str">
        <f>IF(V64=0,"",VLOOKUP(V64,'Tablas Magia'!$D$6:$Z$680,6,FALSE))</f>
        <v>Activa</v>
      </c>
      <c r="AG65" s="5478"/>
      <c r="AH65" s="5480" t="s">
        <v>7691</v>
      </c>
      <c r="AI65" s="5480"/>
      <c r="AJ65" s="1149" t="str">
        <f>IF(V64=0,"",VLOOKUP(V64,'Tablas Magia'!$D$6:$Z$680,4,FALSE))</f>
        <v>No</v>
      </c>
      <c r="AK65" s="1131"/>
      <c r="AL65" s="1125"/>
      <c r="AM65" s="1125"/>
      <c r="AN65" s="2110"/>
      <c r="AO65" s="5481" t="s">
        <v>7688</v>
      </c>
      <c r="AP65" s="5482"/>
      <c r="AQ65" s="1147" t="s">
        <v>7689</v>
      </c>
      <c r="AR65" s="1147" t="s">
        <v>1820</v>
      </c>
      <c r="AS65" s="1147" t="s">
        <v>3334</v>
      </c>
      <c r="AT65" s="1148" t="s">
        <v>2165</v>
      </c>
      <c r="AU65" s="5478" t="str">
        <f>IF(AO64=0,"",VLOOKUP(AO64,'Tablas Magia'!$D$6:$Z$680,5,FALSE))</f>
        <v>Efecto</v>
      </c>
      <c r="AV65" s="5478"/>
      <c r="AW65" s="5479" t="s">
        <v>7690</v>
      </c>
      <c r="AX65" s="5479"/>
      <c r="AY65" s="5478" t="str">
        <f>IF(AO64=0,"",VLOOKUP(AO64,'Tablas Magia'!$D$6:$Z$680,6,FALSE))</f>
        <v>Activa</v>
      </c>
      <c r="AZ65" s="5478"/>
      <c r="BA65" s="5480" t="s">
        <v>7691</v>
      </c>
      <c r="BB65" s="5480"/>
      <c r="BC65" s="1149" t="str">
        <f>IF(AO64=0,"",VLOOKUP(AO64,'Tablas Magia'!$D$6:$Z$680,4,FALSE))</f>
        <v>No</v>
      </c>
      <c r="BD65" s="1131"/>
      <c r="BE65" s="1125"/>
      <c r="BF65" s="1125"/>
      <c r="BG65" s="2110"/>
      <c r="BH65" s="5481" t="s">
        <v>7688</v>
      </c>
      <c r="BI65" s="5482"/>
      <c r="BJ65" s="1147" t="s">
        <v>7689</v>
      </c>
      <c r="BK65" s="1147" t="s">
        <v>1820</v>
      </c>
      <c r="BL65" s="1147" t="s">
        <v>3334</v>
      </c>
      <c r="BM65" s="1148" t="s">
        <v>2165</v>
      </c>
      <c r="BN65" s="5478" t="str">
        <f>IF(BH64=0,"",VLOOKUP(BH64,'Tablas Magia'!$D$6:$Z$680,5,FALSE))</f>
        <v>Ataque</v>
      </c>
      <c r="BO65" s="5478"/>
      <c r="BP65" s="5479" t="s">
        <v>7690</v>
      </c>
      <c r="BQ65" s="5479"/>
      <c r="BR65" s="5478" t="str">
        <f>IF(BH64=0,"",VLOOKUP(BH64,'Tablas Magia'!$D$6:$Z$680,6,FALSE))</f>
        <v>Activa</v>
      </c>
      <c r="BS65" s="5478"/>
      <c r="BT65" s="5480" t="s">
        <v>7691</v>
      </c>
      <c r="BU65" s="5480"/>
      <c r="BV65" s="1149" t="str">
        <f>IF(BH64=0,"",VLOOKUP(BH64,'Tablas Magia'!$D$6:$Z$680,4,FALSE))</f>
        <v>No</v>
      </c>
      <c r="BW65" s="1131"/>
      <c r="BX65" s="1125"/>
      <c r="BY65" s="1125"/>
      <c r="BZ65" s="2110"/>
      <c r="CA65" s="5481" t="s">
        <v>7688</v>
      </c>
      <c r="CB65" s="5482"/>
      <c r="CC65" s="1147" t="s">
        <v>7689</v>
      </c>
      <c r="CD65" s="1147" t="s">
        <v>1820</v>
      </c>
      <c r="CE65" s="1147" t="s">
        <v>3334</v>
      </c>
      <c r="CF65" s="1148" t="s">
        <v>2165</v>
      </c>
      <c r="CG65" s="5478" t="str">
        <f>IF(CA64=0,"",VLOOKUP(CA64,'Tablas Magia'!$D$6:$Z$680,5,FALSE))</f>
        <v>Anímico</v>
      </c>
      <c r="CH65" s="5478"/>
      <c r="CI65" s="5479" t="s">
        <v>7690</v>
      </c>
      <c r="CJ65" s="5479"/>
      <c r="CK65" s="5478" t="str">
        <f>IF(CA64=0,"",VLOOKUP(CA64,'Tablas Magia'!$D$6:$Z$680,6,FALSE))</f>
        <v>Activa</v>
      </c>
      <c r="CL65" s="5478"/>
      <c r="CM65" s="5480" t="s">
        <v>7691</v>
      </c>
      <c r="CN65" s="5480"/>
      <c r="CO65" s="1149" t="str">
        <f>IF(CA64=0,"",VLOOKUP(CA64,'Tablas Magia'!$D$6:$Z$680,4,FALSE))</f>
        <v>Si</v>
      </c>
      <c r="CP65" s="1131"/>
      <c r="CQ65" s="1125"/>
    </row>
    <row r="66" spans="1:95" ht="12" customHeight="1" x14ac:dyDescent="0.2">
      <c r="A66" s="1125"/>
      <c r="B66" s="2096"/>
      <c r="C66" s="5473" t="s">
        <v>1674</v>
      </c>
      <c r="D66" s="5474"/>
      <c r="E66" s="1150">
        <f>IF(C64=0,"",VLOOKUP(C64,'Tablas Magia'!$D$6:$Z$680,7,FALSE))</f>
        <v>6</v>
      </c>
      <c r="F66" s="1150">
        <f>IF(C64=0,"",VLOOKUP(C64,'Tablas Magia'!$D$6:$Z$680,11,FALSE))</f>
        <v>50</v>
      </c>
      <c r="G66" s="1151">
        <f>IF(C64=0,"",VLOOKUP(C64,'Tablas Magia'!$D$6:$Z$680,15,FALSE))</f>
        <v>5</v>
      </c>
      <c r="H66" s="5475" t="str">
        <f>IF(C64=0,"",VLOOKUP(C64,'Tablas Magia'!$D$6:$Z$680,19,FALSE))</f>
        <v>+50 Advertir, Buscar y Valoración mágica.</v>
      </c>
      <c r="I66" s="5476"/>
      <c r="J66" s="5476"/>
      <c r="K66" s="5476"/>
      <c r="L66" s="5476"/>
      <c r="M66" s="5476"/>
      <c r="N66" s="5476"/>
      <c r="O66" s="5476"/>
      <c r="P66" s="5476"/>
      <c r="Q66" s="5477"/>
      <c r="R66" s="1131"/>
      <c r="S66" s="1125"/>
      <c r="T66" s="1125"/>
      <c r="U66" s="2096"/>
      <c r="V66" s="5473" t="s">
        <v>1674</v>
      </c>
      <c r="W66" s="5474"/>
      <c r="X66" s="1150">
        <f>IF(V64=0,"",VLOOKUP(V64,'Tablas Magia'!$D$6:$Z$680,7,FALSE))</f>
        <v>6</v>
      </c>
      <c r="Y66" s="1150">
        <f>IF(V64=0,"",VLOOKUP(V64,'Tablas Magia'!$D$6:$Z$680,11,FALSE))</f>
        <v>60</v>
      </c>
      <c r="Z66" s="1151">
        <f>IF(V64=0,"",VLOOKUP(V64,'Tablas Magia'!$D$6:$Z$680,15,FALSE))</f>
        <v>5</v>
      </c>
      <c r="AA66" s="5475" t="str">
        <f>IF(V64=0,"",VLOOKUP(V64,'Tablas Magia'!$D$6:$Z$680,19,FALSE))</f>
        <v>Radio de 25 metros / RM 140</v>
      </c>
      <c r="AB66" s="5476"/>
      <c r="AC66" s="5476"/>
      <c r="AD66" s="5476"/>
      <c r="AE66" s="5476"/>
      <c r="AF66" s="5476"/>
      <c r="AG66" s="5476"/>
      <c r="AH66" s="5476"/>
      <c r="AI66" s="5476"/>
      <c r="AJ66" s="5477"/>
      <c r="AK66" s="1131"/>
      <c r="AL66" s="1125"/>
      <c r="AM66" s="1125"/>
      <c r="AN66" s="2110"/>
      <c r="AO66" s="5473" t="s">
        <v>1674</v>
      </c>
      <c r="AP66" s="5474"/>
      <c r="AQ66" s="1150">
        <f>IF(AO64=0,"",VLOOKUP(AO64,'Tablas Magia'!$D$6:$Z$680,7,FALSE))</f>
        <v>8</v>
      </c>
      <c r="AR66" s="1150">
        <f>IF(AO64=0,"",VLOOKUP(AO64,'Tablas Magia'!$D$6:$Z$680,11,FALSE))</f>
        <v>100</v>
      </c>
      <c r="AS66" s="1151">
        <f>IF(AO64=0,"",VLOOKUP(AO64,'Tablas Magia'!$D$6:$Z$680,15,FALSE))</f>
        <v>10</v>
      </c>
      <c r="AT66" s="5475" t="str">
        <f>IF(AO64=0,"",VLOOKUP(AO64,'Tablas Magia'!$D$6:$Z$680,19,FALSE))</f>
        <v>+50 en Advertir y Buscar / +20 a sus Resistencias</v>
      </c>
      <c r="AU66" s="5476"/>
      <c r="AV66" s="5476"/>
      <c r="AW66" s="5476"/>
      <c r="AX66" s="5476"/>
      <c r="AY66" s="5476"/>
      <c r="AZ66" s="5476"/>
      <c r="BA66" s="5476"/>
      <c r="BB66" s="5476"/>
      <c r="BC66" s="5477"/>
      <c r="BD66" s="1131"/>
      <c r="BE66" s="1125"/>
      <c r="BF66" s="1125"/>
      <c r="BG66" s="2110"/>
      <c r="BH66" s="5473" t="s">
        <v>1674</v>
      </c>
      <c r="BI66" s="5474"/>
      <c r="BJ66" s="1150">
        <f>IF(BH64=0,"",VLOOKUP(BH64,'Tablas Magia'!$D$6:$Z$680,7,FALSE))</f>
        <v>10</v>
      </c>
      <c r="BK66" s="1150">
        <f>IF(BH64=0,"",VLOOKUP(BH64,'Tablas Magia'!$D$6:$Z$680,11,FALSE))</f>
        <v>140</v>
      </c>
      <c r="BL66" s="1151" t="str">
        <f>IF(BH64=0,"",VLOOKUP(BH64,'Tablas Magia'!$D$6:$Z$680,15,FALSE))</f>
        <v>No</v>
      </c>
      <c r="BM66" s="5475" t="str">
        <f>IF(BH64=0,"",VLOOKUP(BH64,'Tablas Magia'!$D$6:$Z$680,19,FALSE))</f>
        <v>Daño 120 / 25 metros de radio</v>
      </c>
      <c r="BN66" s="5476"/>
      <c r="BO66" s="5476"/>
      <c r="BP66" s="5476"/>
      <c r="BQ66" s="5476"/>
      <c r="BR66" s="5476"/>
      <c r="BS66" s="5476"/>
      <c r="BT66" s="5476"/>
      <c r="BU66" s="5476"/>
      <c r="BV66" s="5477"/>
      <c r="BW66" s="1131"/>
      <c r="BX66" s="1125"/>
      <c r="BY66" s="1125"/>
      <c r="BZ66" s="2110"/>
      <c r="CA66" s="5473" t="s">
        <v>1674</v>
      </c>
      <c r="CB66" s="5474"/>
      <c r="CC66" s="1150">
        <f>IF(CA64=0,"",VLOOKUP(CA64,'Tablas Magia'!$D$6:$Z$680,7,FALSE))</f>
        <v>14</v>
      </c>
      <c r="CD66" s="1150">
        <f>IF(CA64=0,"",VLOOKUP(CA64,'Tablas Magia'!$D$6:$Z$680,11,FALSE))</f>
        <v>200</v>
      </c>
      <c r="CE66" s="1151">
        <f>IF(CA64=0,"",VLOOKUP(CA64,'Tablas Magia'!$D$6:$Z$680,15,FALSE))</f>
        <v>40</v>
      </c>
      <c r="CF66" s="5475" t="str">
        <f>IF(CA64=0,"",VLOOKUP(CA64,'Tablas Magia'!$D$6:$Z$680,19,FALSE))</f>
        <v>RM 140 / La prisión posee 10.000 puntos de resistencia</v>
      </c>
      <c r="CG66" s="5476"/>
      <c r="CH66" s="5476"/>
      <c r="CI66" s="5476"/>
      <c r="CJ66" s="5476"/>
      <c r="CK66" s="5476"/>
      <c r="CL66" s="5476"/>
      <c r="CM66" s="5476"/>
      <c r="CN66" s="5476"/>
      <c r="CO66" s="5477"/>
      <c r="CP66" s="1131"/>
      <c r="CQ66" s="1125"/>
    </row>
    <row r="67" spans="1:95" ht="12" customHeight="1" x14ac:dyDescent="0.2">
      <c r="A67" s="1125"/>
      <c r="B67" s="2096"/>
      <c r="C67" s="5468" t="s">
        <v>4572</v>
      </c>
      <c r="D67" s="5469"/>
      <c r="E67" s="1152">
        <f>IF(C64=0,"",VLOOKUP(C64,'Tablas Magia'!$D$6:$Z$680,8,FALSE))</f>
        <v>9</v>
      </c>
      <c r="F67" s="1152">
        <f>IF(C64=0,"",VLOOKUP(C64,'Tablas Magia'!$D$6:$Z$680,12,FALSE))</f>
        <v>150</v>
      </c>
      <c r="G67" s="1153">
        <f>IF(C64=0,"",VLOOKUP(C64,'Tablas Magia'!$D$6:$Z$680,16,FALSE))</f>
        <v>15</v>
      </c>
      <c r="H67" s="5470" t="str">
        <f>IF(C64=0,"",VLOOKUP(C64,'Tablas Magia'!$D$6:$Z$680,20,FALSE))</f>
        <v>+150 Advertir, Buscar y Valoración mágica</v>
      </c>
      <c r="I67" s="5471"/>
      <c r="J67" s="5471"/>
      <c r="K67" s="5471"/>
      <c r="L67" s="5471"/>
      <c r="M67" s="5471"/>
      <c r="N67" s="5471"/>
      <c r="O67" s="5471"/>
      <c r="P67" s="5471"/>
      <c r="Q67" s="5472"/>
      <c r="R67" s="1131"/>
      <c r="S67" s="1125"/>
      <c r="T67" s="1125"/>
      <c r="U67" s="2096"/>
      <c r="V67" s="5468" t="s">
        <v>4572</v>
      </c>
      <c r="W67" s="5469"/>
      <c r="X67" s="1152">
        <f>IF(V64=0,"",VLOOKUP(V64,'Tablas Magia'!$D$6:$Z$680,8,FALSE))</f>
        <v>9</v>
      </c>
      <c r="Y67" s="1152">
        <f>IF(V64=0,"",VLOOKUP(V64,'Tablas Magia'!$D$6:$Z$680,12,FALSE))</f>
        <v>100</v>
      </c>
      <c r="Z67" s="1153">
        <f>IF(V64=0,"",VLOOKUP(V64,'Tablas Magia'!$D$6:$Z$680,16,FALSE))</f>
        <v>10</v>
      </c>
      <c r="AA67" s="5470" t="str">
        <f>IF(V64=0,"",VLOOKUP(V64,'Tablas Magia'!$D$6:$Z$680,20,FALSE))</f>
        <v>Radio de 50 metros / RM 180</v>
      </c>
      <c r="AB67" s="5471"/>
      <c r="AC67" s="5471"/>
      <c r="AD67" s="5471"/>
      <c r="AE67" s="5471"/>
      <c r="AF67" s="5471"/>
      <c r="AG67" s="5471"/>
      <c r="AH67" s="5471"/>
      <c r="AI67" s="5471"/>
      <c r="AJ67" s="5472"/>
      <c r="AK67" s="1131"/>
      <c r="AL67" s="1125"/>
      <c r="AM67" s="1125"/>
      <c r="AN67" s="2110"/>
      <c r="AO67" s="5468" t="s">
        <v>4572</v>
      </c>
      <c r="AP67" s="5469"/>
      <c r="AQ67" s="1152">
        <f>IF(AO64=0,"",VLOOKUP(AO64,'Tablas Magia'!$D$6:$Z$680,8,FALSE))</f>
        <v>11</v>
      </c>
      <c r="AR67" s="1152">
        <f>IF(AO64=0,"",VLOOKUP(AO64,'Tablas Magia'!$D$6:$Z$680,12,FALSE))</f>
        <v>120</v>
      </c>
      <c r="AS67" s="1153">
        <f>IF(AO64=0,"",VLOOKUP(AO64,'Tablas Magia'!$D$6:$Z$680,16,FALSE))</f>
        <v>15</v>
      </c>
      <c r="AT67" s="5470" t="str">
        <f>IF(AO64=0,"",VLOOKUP(AO64,'Tablas Magia'!$D$6:$Z$680,20,FALSE))</f>
        <v>+60 en Advertir y Buscar / +30 a sus Resistencias</v>
      </c>
      <c r="AU67" s="5471"/>
      <c r="AV67" s="5471"/>
      <c r="AW67" s="5471"/>
      <c r="AX67" s="5471"/>
      <c r="AY67" s="5471"/>
      <c r="AZ67" s="5471"/>
      <c r="BA67" s="5471"/>
      <c r="BB67" s="5471"/>
      <c r="BC67" s="5472"/>
      <c r="BD67" s="1131"/>
      <c r="BE67" s="1125"/>
      <c r="BF67" s="1125"/>
      <c r="BG67" s="2110"/>
      <c r="BH67" s="5468" t="s">
        <v>4572</v>
      </c>
      <c r="BI67" s="5469"/>
      <c r="BJ67" s="1152">
        <f>IF(BH64=0,"",VLOOKUP(BH64,'Tablas Magia'!$D$6:$Z$680,8,FALSE))</f>
        <v>12</v>
      </c>
      <c r="BK67" s="1152">
        <f>IF(BH64=0,"",VLOOKUP(BH64,'Tablas Magia'!$D$6:$Z$680,12,FALSE))</f>
        <v>180</v>
      </c>
      <c r="BL67" s="1153" t="str">
        <f>IF(BH64=0,"",VLOOKUP(BH64,'Tablas Magia'!$D$6:$Z$680,16,FALSE))</f>
        <v>No</v>
      </c>
      <c r="BM67" s="5470" t="str">
        <f>IF(BH64=0,"",VLOOKUP(BH64,'Tablas Magia'!$D$6:$Z$680,20,FALSE))</f>
        <v>Daño 150 / 100 metros de radio</v>
      </c>
      <c r="BN67" s="5471"/>
      <c r="BO67" s="5471"/>
      <c r="BP67" s="5471"/>
      <c r="BQ67" s="5471"/>
      <c r="BR67" s="5471"/>
      <c r="BS67" s="5471"/>
      <c r="BT67" s="5471"/>
      <c r="BU67" s="5471"/>
      <c r="BV67" s="5472"/>
      <c r="BW67" s="1131"/>
      <c r="BX67" s="1125"/>
      <c r="BY67" s="1125"/>
      <c r="BZ67" s="2110"/>
      <c r="CA67" s="5468" t="s">
        <v>4572</v>
      </c>
      <c r="CB67" s="5469"/>
      <c r="CC67" s="1152">
        <f>IF(CA64=0,"",VLOOKUP(CA64,'Tablas Magia'!$D$6:$Z$680,8,FALSE))</f>
        <v>16</v>
      </c>
      <c r="CD67" s="1152">
        <f>IF(CA64=0,"",VLOOKUP(CA64,'Tablas Magia'!$D$6:$Z$680,12,FALSE))</f>
        <v>350</v>
      </c>
      <c r="CE67" s="1153">
        <f>IF(CA64=0,"",VLOOKUP(CA64,'Tablas Magia'!$D$6:$Z$680,16,FALSE))</f>
        <v>70</v>
      </c>
      <c r="CF67" s="5470" t="str">
        <f>IF(CA64=0,"",VLOOKUP(CA64,'Tablas Magia'!$D$6:$Z$680,20,FALSE))</f>
        <v>RM 180 / La prisión posee 250.000 puntos de resistencia</v>
      </c>
      <c r="CG67" s="5471"/>
      <c r="CH67" s="5471"/>
      <c r="CI67" s="5471"/>
      <c r="CJ67" s="5471"/>
      <c r="CK67" s="5471"/>
      <c r="CL67" s="5471"/>
      <c r="CM67" s="5471"/>
      <c r="CN67" s="5471"/>
      <c r="CO67" s="5472"/>
      <c r="CP67" s="1131"/>
      <c r="CQ67" s="1125"/>
    </row>
    <row r="68" spans="1:95" ht="12" customHeight="1" x14ac:dyDescent="0.2">
      <c r="A68" s="1125"/>
      <c r="B68" s="2096"/>
      <c r="C68" s="5473" t="s">
        <v>4573</v>
      </c>
      <c r="D68" s="5474"/>
      <c r="E68" s="1150">
        <f>IF(C64=0,"",VLOOKUP(C64,'Tablas Magia'!$D$6:$Z$680,9,FALSE))</f>
        <v>12</v>
      </c>
      <c r="F68" s="1150">
        <f>IF(C64=0,"",VLOOKUP(C64,'Tablas Magia'!$D$6:$Z$680,13,FALSE))</f>
        <v>200</v>
      </c>
      <c r="G68" s="1151">
        <f>IF(C64=0,"",VLOOKUP(C64,'Tablas Magia'!$D$6:$Z$680,17,FALSE))</f>
        <v>20</v>
      </c>
      <c r="H68" s="5475" t="str">
        <f>IF(C64=0,"",VLOOKUP(C64,'Tablas Magia'!$D$6:$Z$680,21,FALSE))</f>
        <v>+200 Advertir, Buscar y Valoración mágica</v>
      </c>
      <c r="I68" s="5476"/>
      <c r="J68" s="5476"/>
      <c r="K68" s="5476"/>
      <c r="L68" s="5476"/>
      <c r="M68" s="5476"/>
      <c r="N68" s="5476"/>
      <c r="O68" s="5476"/>
      <c r="P68" s="5476"/>
      <c r="Q68" s="5477"/>
      <c r="R68" s="1131"/>
      <c r="S68" s="1125"/>
      <c r="T68" s="1125"/>
      <c r="U68" s="2096"/>
      <c r="V68" s="5473" t="s">
        <v>4573</v>
      </c>
      <c r="W68" s="5474"/>
      <c r="X68" s="1150">
        <f>IF(V64=0,"",VLOOKUP(V64,'Tablas Magia'!$D$6:$Z$680,9,FALSE))</f>
        <v>12</v>
      </c>
      <c r="Y68" s="1150">
        <f>IF(V64=0,"",VLOOKUP(V64,'Tablas Magia'!$D$6:$Z$680,13,FALSE))</f>
        <v>150</v>
      </c>
      <c r="Z68" s="1151">
        <f>IF(V64=0,"",VLOOKUP(V64,'Tablas Magia'!$D$6:$Z$680,17,FALSE))</f>
        <v>15</v>
      </c>
      <c r="AA68" s="5475" t="str">
        <f>IF(V64=0,"",VLOOKUP(V64,'Tablas Magia'!$D$6:$Z$680,21,FALSE))</f>
        <v>Radio de 150 metros / RM 220</v>
      </c>
      <c r="AB68" s="5476"/>
      <c r="AC68" s="5476"/>
      <c r="AD68" s="5476"/>
      <c r="AE68" s="5476"/>
      <c r="AF68" s="5476"/>
      <c r="AG68" s="5476"/>
      <c r="AH68" s="5476"/>
      <c r="AI68" s="5476"/>
      <c r="AJ68" s="5477"/>
      <c r="AK68" s="1131"/>
      <c r="AL68" s="1125"/>
      <c r="AM68" s="1125"/>
      <c r="AN68" s="2110"/>
      <c r="AO68" s="5473" t="s">
        <v>4573</v>
      </c>
      <c r="AP68" s="5474"/>
      <c r="AQ68" s="1150">
        <f>IF(AO64=0,"",VLOOKUP(AO64,'Tablas Magia'!$D$6:$Z$680,9,FALSE))</f>
        <v>13</v>
      </c>
      <c r="AR68" s="1150">
        <f>IF(AO64=0,"",VLOOKUP(AO64,'Tablas Magia'!$D$6:$Z$680,13,FALSE))</f>
        <v>140</v>
      </c>
      <c r="AS68" s="1151">
        <f>IF(AO64=0,"",VLOOKUP(AO64,'Tablas Magia'!$D$6:$Z$680,17,FALSE))</f>
        <v>15</v>
      </c>
      <c r="AT68" s="5475" t="str">
        <f>IF(AO64=0,"",VLOOKUP(AO64,'Tablas Magia'!$D$6:$Z$680,21,FALSE))</f>
        <v>el bono será  contra todo efecto sobrenatural que no sea oscuridad</v>
      </c>
      <c r="AU68" s="5476"/>
      <c r="AV68" s="5476"/>
      <c r="AW68" s="5476"/>
      <c r="AX68" s="5476"/>
      <c r="AY68" s="5476"/>
      <c r="AZ68" s="5476"/>
      <c r="BA68" s="5476"/>
      <c r="BB68" s="5476"/>
      <c r="BC68" s="5477"/>
      <c r="BD68" s="1131"/>
      <c r="BE68" s="1125"/>
      <c r="BF68" s="1125"/>
      <c r="BG68" s="2110"/>
      <c r="BH68" s="5473" t="s">
        <v>4573</v>
      </c>
      <c r="BI68" s="5474"/>
      <c r="BJ68" s="1150">
        <f>IF(BH64=0,"",VLOOKUP(BH64,'Tablas Magia'!$D$6:$Z$680,9,FALSE))</f>
        <v>14</v>
      </c>
      <c r="BK68" s="1150">
        <f>IF(BH64=0,"",VLOOKUP(BH64,'Tablas Magia'!$D$6:$Z$680,13,FALSE))</f>
        <v>240</v>
      </c>
      <c r="BL68" s="1151" t="str">
        <f>IF(BH64=0,"",VLOOKUP(BH64,'Tablas Magia'!$D$6:$Z$680,17,FALSE))</f>
        <v>No</v>
      </c>
      <c r="BM68" s="5475" t="str">
        <f>IF(BH64=0,"",VLOOKUP(BH64,'Tablas Magia'!$D$6:$Z$680,21,FALSE))</f>
        <v>Daño 200 / 150 metros de radio</v>
      </c>
      <c r="BN68" s="5476"/>
      <c r="BO68" s="5476"/>
      <c r="BP68" s="5476"/>
      <c r="BQ68" s="5476"/>
      <c r="BR68" s="5476"/>
      <c r="BS68" s="5476"/>
      <c r="BT68" s="5476"/>
      <c r="BU68" s="5476"/>
      <c r="BV68" s="5477"/>
      <c r="BW68" s="1131"/>
      <c r="BX68" s="1125"/>
      <c r="BY68" s="1125"/>
      <c r="BZ68" s="2110"/>
      <c r="CA68" s="5473" t="s">
        <v>4573</v>
      </c>
      <c r="CB68" s="5474"/>
      <c r="CC68" s="1150">
        <f>IF(CA64=0,"",VLOOKUP(CA64,'Tablas Magia'!$D$6:$Z$680,9,FALSE))</f>
        <v>18</v>
      </c>
      <c r="CD68" s="1150">
        <f>IF(CA64=0,"",VLOOKUP(CA64,'Tablas Magia'!$D$6:$Z$680,13,FALSE))</f>
        <v>500</v>
      </c>
      <c r="CE68" s="1151">
        <f>IF(CA64=0,"",VLOOKUP(CA64,'Tablas Magia'!$D$6:$Z$680,17,FALSE))</f>
        <v>100</v>
      </c>
      <c r="CF68" s="5475" t="str">
        <f>IF(CA64=0,"",VLOOKUP(CA64,'Tablas Magia'!$D$6:$Z$680,21,FALSE))</f>
        <v>RM 220 / La prisión posee 500.000 puntos de resistencia</v>
      </c>
      <c r="CG68" s="5476"/>
      <c r="CH68" s="5476"/>
      <c r="CI68" s="5476"/>
      <c r="CJ68" s="5476"/>
      <c r="CK68" s="5476"/>
      <c r="CL68" s="5476"/>
      <c r="CM68" s="5476"/>
      <c r="CN68" s="5476"/>
      <c r="CO68" s="5477"/>
      <c r="CP68" s="1131"/>
      <c r="CQ68" s="1125"/>
    </row>
    <row r="69" spans="1:95" ht="12" customHeight="1" thickBot="1" x14ac:dyDescent="0.25">
      <c r="A69" s="1125"/>
      <c r="B69" s="2096"/>
      <c r="C69" s="5483" t="s">
        <v>4574</v>
      </c>
      <c r="D69" s="5484"/>
      <c r="E69" s="1154">
        <f>IF(C64=0,"",VLOOKUP(C64,'Tablas Magia'!$D$6:$Z$680,10,FALSE))</f>
        <v>14</v>
      </c>
      <c r="F69" s="1154">
        <f>IF(C64=0,"",VLOOKUP(C64,'Tablas Magia'!$D$6:$Z$680,14,FALSE))</f>
        <v>250</v>
      </c>
      <c r="G69" s="1155">
        <f>IF(C64=0,"",VLOOKUP(C64,'Tablas Magia'!$D$6:$Z$680,18,FALSE))</f>
        <v>25</v>
      </c>
      <c r="H69" s="5485" t="str">
        <f>IF(C64=0,"",VLOOKUP(C64,'Tablas Magia'!$D$6:$Z$680,22,FALSE))</f>
        <v>+250 Advertir, Buscar y Valoración mágica</v>
      </c>
      <c r="I69" s="5486"/>
      <c r="J69" s="5486"/>
      <c r="K69" s="5486"/>
      <c r="L69" s="5486"/>
      <c r="M69" s="5486"/>
      <c r="N69" s="5486"/>
      <c r="O69" s="5486"/>
      <c r="P69" s="5486"/>
      <c r="Q69" s="5487"/>
      <c r="R69" s="1131"/>
      <c r="S69" s="1125"/>
      <c r="T69" s="1125"/>
      <c r="U69" s="2096"/>
      <c r="V69" s="5483" t="s">
        <v>4574</v>
      </c>
      <c r="W69" s="5484"/>
      <c r="X69" s="1154">
        <f>IF(V64=0,"",VLOOKUP(V64,'Tablas Magia'!$D$6:$Z$680,10,FALSE))</f>
        <v>15</v>
      </c>
      <c r="Y69" s="1154">
        <f>IF(V64=0,"",VLOOKUP(V64,'Tablas Magia'!$D$6:$Z$680,14,FALSE))</f>
        <v>300</v>
      </c>
      <c r="Z69" s="1155">
        <f>IF(V64=0,"",VLOOKUP(V64,'Tablas Magia'!$D$6:$Z$680,18,FALSE))</f>
        <v>30</v>
      </c>
      <c r="AA69" s="5485" t="str">
        <f>IF(V64=0,"",VLOOKUP(V64,'Tablas Magia'!$D$6:$Z$680,22,FALSE))</f>
        <v>Radio de 500 metros / RM 280.</v>
      </c>
      <c r="AB69" s="5486"/>
      <c r="AC69" s="5486"/>
      <c r="AD69" s="5486"/>
      <c r="AE69" s="5486"/>
      <c r="AF69" s="5486"/>
      <c r="AG69" s="5486"/>
      <c r="AH69" s="5486"/>
      <c r="AI69" s="5486"/>
      <c r="AJ69" s="5487"/>
      <c r="AK69" s="1131"/>
      <c r="AL69" s="1125"/>
      <c r="AM69" s="1125"/>
      <c r="AN69" s="2110"/>
      <c r="AO69" s="5483" t="s">
        <v>4574</v>
      </c>
      <c r="AP69" s="5484"/>
      <c r="AQ69" s="1154">
        <f>IF(AO64=0,"",VLOOKUP(AO64,'Tablas Magia'!$D$6:$Z$680,10,FALSE))</f>
        <v>16</v>
      </c>
      <c r="AR69" s="1154">
        <f>IF(AO64=0,"",VLOOKUP(AO64,'Tablas Magia'!$D$6:$Z$680,14,FALSE))</f>
        <v>160</v>
      </c>
      <c r="AS69" s="1155">
        <f>IF(AO64=0,"",VLOOKUP(AO64,'Tablas Magia'!$D$6:$Z$680,18,FALSE))</f>
        <v>20</v>
      </c>
      <c r="AT69" s="5485" t="str">
        <f>IF(AO64=0,"",VLOOKUP(AO64,'Tablas Magia'!$D$6:$Z$680,22,FALSE))</f>
        <v>Como arriba, pero no sufre doble daño por ataques basado en oscuridad</v>
      </c>
      <c r="AU69" s="5486"/>
      <c r="AV69" s="5486"/>
      <c r="AW69" s="5486"/>
      <c r="AX69" s="5486"/>
      <c r="AY69" s="5486"/>
      <c r="AZ69" s="5486"/>
      <c r="BA69" s="5486"/>
      <c r="BB69" s="5486"/>
      <c r="BC69" s="5487"/>
      <c r="BD69" s="1131"/>
      <c r="BE69" s="1125"/>
      <c r="BF69" s="1125"/>
      <c r="BG69" s="2110"/>
      <c r="BH69" s="5483" t="s">
        <v>4574</v>
      </c>
      <c r="BI69" s="5484"/>
      <c r="BJ69" s="1154">
        <f>IF(BH64=0,"",VLOOKUP(BH64,'Tablas Magia'!$D$6:$Z$680,10,FALSE))</f>
        <v>16</v>
      </c>
      <c r="BK69" s="1154">
        <f>IF(BH64=0,"",VLOOKUP(BH64,'Tablas Magia'!$D$6:$Z$680,14,FALSE))</f>
        <v>350</v>
      </c>
      <c r="BL69" s="1155" t="str">
        <f>IF(BH64=0,"",VLOOKUP(BH64,'Tablas Magia'!$D$6:$Z$680,18,FALSE))</f>
        <v>No</v>
      </c>
      <c r="BM69" s="5485" t="str">
        <f>IF(BH64=0,"",VLOOKUP(BH64,'Tablas Magia'!$D$6:$Z$680,22,FALSE))</f>
        <v>Daño 250 / 250 metros de radio.</v>
      </c>
      <c r="BN69" s="5486"/>
      <c r="BO69" s="5486"/>
      <c r="BP69" s="5486"/>
      <c r="BQ69" s="5486"/>
      <c r="BR69" s="5486"/>
      <c r="BS69" s="5486"/>
      <c r="BT69" s="5486"/>
      <c r="BU69" s="5486"/>
      <c r="BV69" s="5487"/>
      <c r="BW69" s="1131"/>
      <c r="BX69" s="1125"/>
      <c r="BY69" s="1125"/>
      <c r="BZ69" s="2110"/>
      <c r="CA69" s="5483" t="s">
        <v>4574</v>
      </c>
      <c r="CB69" s="5484"/>
      <c r="CC69" s="1154">
        <f>IF(CA64=0,"",VLOOKUP(CA64,'Tablas Magia'!$D$6:$Z$680,10,FALSE))</f>
        <v>20</v>
      </c>
      <c r="CD69" s="1154">
        <f>IF(CA64=0,"",VLOOKUP(CA64,'Tablas Magia'!$D$6:$Z$680,14,FALSE))</f>
        <v>800</v>
      </c>
      <c r="CE69" s="1155">
        <f>IF(CA64=0,"",VLOOKUP(CA64,'Tablas Magia'!$D$6:$Z$680,18,FALSE))</f>
        <v>160</v>
      </c>
      <c r="CF69" s="5485" t="str">
        <f>IF(CA64=0,"",VLOOKUP(CA64,'Tablas Magia'!$D$6:$Z$680,22,FALSE))</f>
        <v>RM 240 / no puede romperse desde adentro, 500.000 puntos de resistencia.</v>
      </c>
      <c r="CG69" s="5486"/>
      <c r="CH69" s="5486"/>
      <c r="CI69" s="5486"/>
      <c r="CJ69" s="5486"/>
      <c r="CK69" s="5486"/>
      <c r="CL69" s="5486"/>
      <c r="CM69" s="5486"/>
      <c r="CN69" s="5486"/>
      <c r="CO69" s="5487"/>
      <c r="CP69" s="1131"/>
      <c r="CQ69" s="1125"/>
    </row>
    <row r="70" spans="1:95" ht="12" customHeight="1" x14ac:dyDescent="0.2">
      <c r="A70" s="1125"/>
      <c r="B70" s="2096"/>
      <c r="C70" s="5488"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489"/>
      <c r="E70" s="5489"/>
      <c r="F70" s="5489"/>
      <c r="G70" s="5489"/>
      <c r="H70" s="5489"/>
      <c r="I70" s="5489"/>
      <c r="J70" s="5489"/>
      <c r="K70" s="5489"/>
      <c r="L70" s="5489"/>
      <c r="M70" s="5489"/>
      <c r="N70" s="5489"/>
      <c r="O70" s="5489"/>
      <c r="P70" s="5489"/>
      <c r="Q70" s="5490"/>
      <c r="R70" s="1131"/>
      <c r="S70" s="1125"/>
      <c r="T70" s="1125"/>
      <c r="U70" s="2096"/>
      <c r="V70" s="5488" t="str">
        <f>IF(V64=0,"",VLOOKUP(V64,'Tablas Magia'!$D$6:$Z$680,23,FALSE))</f>
        <v>Detecta cualquier fuente de vida. El conjuro no dará más información que el número de seres vivos y el lugar exacto donde se encuentran con respecto al lanzador</v>
      </c>
      <c r="W70" s="5489"/>
      <c r="X70" s="5489"/>
      <c r="Y70" s="5489"/>
      <c r="Z70" s="5489"/>
      <c r="AA70" s="5489"/>
      <c r="AB70" s="5489"/>
      <c r="AC70" s="5489"/>
      <c r="AD70" s="5489"/>
      <c r="AE70" s="5489"/>
      <c r="AF70" s="5489"/>
      <c r="AG70" s="5489"/>
      <c r="AH70" s="5489"/>
      <c r="AI70" s="5489"/>
      <c r="AJ70" s="5490"/>
      <c r="AK70" s="1131"/>
      <c r="AL70" s="1125"/>
      <c r="AM70" s="1125"/>
      <c r="AN70" s="2110"/>
      <c r="AO70" s="5488"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489"/>
      <c r="AQ70" s="5489"/>
      <c r="AR70" s="5489"/>
      <c r="AS70" s="5489"/>
      <c r="AT70" s="5489"/>
      <c r="AU70" s="5489"/>
      <c r="AV70" s="5489"/>
      <c r="AW70" s="5489"/>
      <c r="AX70" s="5489"/>
      <c r="AY70" s="5489"/>
      <c r="AZ70" s="5489"/>
      <c r="BA70" s="5489"/>
      <c r="BB70" s="5489"/>
      <c r="BC70" s="5490"/>
      <c r="BD70" s="1131"/>
      <c r="BE70" s="1125"/>
      <c r="BF70" s="1125"/>
      <c r="BG70" s="2110"/>
      <c r="BH70" s="5488" t="str">
        <f>IF(BH64=0,"",VLOOKUP(BH64,'Tablas Magia'!$D$6:$Z$680,23,FALSE))</f>
        <v>Proyecta una descarga basada en luz. Ataca en la TA de Energía</v>
      </c>
      <c r="BI70" s="5489"/>
      <c r="BJ70" s="5489"/>
      <c r="BK70" s="5489"/>
      <c r="BL70" s="5489"/>
      <c r="BM70" s="5489"/>
      <c r="BN70" s="5489"/>
      <c r="BO70" s="5489"/>
      <c r="BP70" s="5489"/>
      <c r="BQ70" s="5489"/>
      <c r="BR70" s="5489"/>
      <c r="BS70" s="5489"/>
      <c r="BT70" s="5489"/>
      <c r="BU70" s="5489"/>
      <c r="BV70" s="5490"/>
      <c r="BW70" s="1131"/>
      <c r="BX70" s="1125"/>
      <c r="BY70" s="1125"/>
      <c r="BZ70" s="2110"/>
      <c r="CA70" s="5488"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489"/>
      <c r="CC70" s="5489"/>
      <c r="CD70" s="5489"/>
      <c r="CE70" s="5489"/>
      <c r="CF70" s="5489"/>
      <c r="CG70" s="5489"/>
      <c r="CH70" s="5489"/>
      <c r="CI70" s="5489"/>
      <c r="CJ70" s="5489"/>
      <c r="CK70" s="5489"/>
      <c r="CL70" s="5489"/>
      <c r="CM70" s="5489"/>
      <c r="CN70" s="5489"/>
      <c r="CO70" s="5490"/>
      <c r="CP70" s="1131"/>
      <c r="CQ70" s="1125"/>
    </row>
    <row r="71" spans="1:95" ht="12" customHeight="1" x14ac:dyDescent="0.2">
      <c r="A71" s="1125"/>
      <c r="B71" s="2096"/>
      <c r="C71" s="5491"/>
      <c r="D71" s="5492"/>
      <c r="E71" s="5492"/>
      <c r="F71" s="5492"/>
      <c r="G71" s="5492"/>
      <c r="H71" s="5492"/>
      <c r="I71" s="5492"/>
      <c r="J71" s="5492"/>
      <c r="K71" s="5492"/>
      <c r="L71" s="5492"/>
      <c r="M71" s="5492"/>
      <c r="N71" s="5492"/>
      <c r="O71" s="5492"/>
      <c r="P71" s="5492"/>
      <c r="Q71" s="5493"/>
      <c r="R71" s="1131"/>
      <c r="S71" s="1125"/>
      <c r="T71" s="1125"/>
      <c r="U71" s="2096"/>
      <c r="V71" s="5491"/>
      <c r="W71" s="5492"/>
      <c r="X71" s="5492"/>
      <c r="Y71" s="5492"/>
      <c r="Z71" s="5492"/>
      <c r="AA71" s="5492"/>
      <c r="AB71" s="5492"/>
      <c r="AC71" s="5492"/>
      <c r="AD71" s="5492"/>
      <c r="AE71" s="5492"/>
      <c r="AF71" s="5492"/>
      <c r="AG71" s="5492"/>
      <c r="AH71" s="5492"/>
      <c r="AI71" s="5492"/>
      <c r="AJ71" s="5493"/>
      <c r="AK71" s="1131"/>
      <c r="AL71" s="1125"/>
      <c r="AM71" s="1125"/>
      <c r="AN71" s="2110"/>
      <c r="AO71" s="5491"/>
      <c r="AP71" s="5492"/>
      <c r="AQ71" s="5492"/>
      <c r="AR71" s="5492"/>
      <c r="AS71" s="5492"/>
      <c r="AT71" s="5492"/>
      <c r="AU71" s="5492"/>
      <c r="AV71" s="5492"/>
      <c r="AW71" s="5492"/>
      <c r="AX71" s="5492"/>
      <c r="AY71" s="5492"/>
      <c r="AZ71" s="5492"/>
      <c r="BA71" s="5492"/>
      <c r="BB71" s="5492"/>
      <c r="BC71" s="5493"/>
      <c r="BD71" s="1131"/>
      <c r="BE71" s="1125"/>
      <c r="BF71" s="1125"/>
      <c r="BG71" s="2110"/>
      <c r="BH71" s="5491"/>
      <c r="BI71" s="5492"/>
      <c r="BJ71" s="5492"/>
      <c r="BK71" s="5492"/>
      <c r="BL71" s="5492"/>
      <c r="BM71" s="5492"/>
      <c r="BN71" s="5492"/>
      <c r="BO71" s="5492"/>
      <c r="BP71" s="5492"/>
      <c r="BQ71" s="5492"/>
      <c r="BR71" s="5492"/>
      <c r="BS71" s="5492"/>
      <c r="BT71" s="5492"/>
      <c r="BU71" s="5492"/>
      <c r="BV71" s="5493"/>
      <c r="BW71" s="1131"/>
      <c r="BX71" s="1125"/>
      <c r="BY71" s="1125"/>
      <c r="BZ71" s="2110"/>
      <c r="CA71" s="5491"/>
      <c r="CB71" s="5492"/>
      <c r="CC71" s="5492"/>
      <c r="CD71" s="5492"/>
      <c r="CE71" s="5492"/>
      <c r="CF71" s="5492"/>
      <c r="CG71" s="5492"/>
      <c r="CH71" s="5492"/>
      <c r="CI71" s="5492"/>
      <c r="CJ71" s="5492"/>
      <c r="CK71" s="5492"/>
      <c r="CL71" s="5492"/>
      <c r="CM71" s="5492"/>
      <c r="CN71" s="5492"/>
      <c r="CO71" s="5493"/>
      <c r="CP71" s="1131"/>
      <c r="CQ71" s="1125"/>
    </row>
    <row r="72" spans="1:95" ht="12" customHeight="1" x14ac:dyDescent="0.2">
      <c r="A72" s="1125"/>
      <c r="B72" s="2096"/>
      <c r="C72" s="5491"/>
      <c r="D72" s="5492"/>
      <c r="E72" s="5492"/>
      <c r="F72" s="5492"/>
      <c r="G72" s="5492"/>
      <c r="H72" s="5492"/>
      <c r="I72" s="5492"/>
      <c r="J72" s="5492"/>
      <c r="K72" s="5492"/>
      <c r="L72" s="5492"/>
      <c r="M72" s="5492"/>
      <c r="N72" s="5492"/>
      <c r="O72" s="5492"/>
      <c r="P72" s="5492"/>
      <c r="Q72" s="5493"/>
      <c r="R72" s="1131"/>
      <c r="S72" s="1125"/>
      <c r="T72" s="1125"/>
      <c r="U72" s="2096"/>
      <c r="V72" s="5491"/>
      <c r="W72" s="5492"/>
      <c r="X72" s="5492"/>
      <c r="Y72" s="5492"/>
      <c r="Z72" s="5492"/>
      <c r="AA72" s="5492"/>
      <c r="AB72" s="5492"/>
      <c r="AC72" s="5492"/>
      <c r="AD72" s="5492"/>
      <c r="AE72" s="5492"/>
      <c r="AF72" s="5492"/>
      <c r="AG72" s="5492"/>
      <c r="AH72" s="5492"/>
      <c r="AI72" s="5492"/>
      <c r="AJ72" s="5493"/>
      <c r="AK72" s="1131"/>
      <c r="AL72" s="1125"/>
      <c r="AM72" s="1125"/>
      <c r="AN72" s="2110"/>
      <c r="AO72" s="5491"/>
      <c r="AP72" s="5492"/>
      <c r="AQ72" s="5492"/>
      <c r="AR72" s="5492"/>
      <c r="AS72" s="5492"/>
      <c r="AT72" s="5492"/>
      <c r="AU72" s="5492"/>
      <c r="AV72" s="5492"/>
      <c r="AW72" s="5492"/>
      <c r="AX72" s="5492"/>
      <c r="AY72" s="5492"/>
      <c r="AZ72" s="5492"/>
      <c r="BA72" s="5492"/>
      <c r="BB72" s="5492"/>
      <c r="BC72" s="5493"/>
      <c r="BD72" s="1131"/>
      <c r="BE72" s="1125"/>
      <c r="BF72" s="1125"/>
      <c r="BG72" s="2110"/>
      <c r="BH72" s="5491"/>
      <c r="BI72" s="5492"/>
      <c r="BJ72" s="5492"/>
      <c r="BK72" s="5492"/>
      <c r="BL72" s="5492"/>
      <c r="BM72" s="5492"/>
      <c r="BN72" s="5492"/>
      <c r="BO72" s="5492"/>
      <c r="BP72" s="5492"/>
      <c r="BQ72" s="5492"/>
      <c r="BR72" s="5492"/>
      <c r="BS72" s="5492"/>
      <c r="BT72" s="5492"/>
      <c r="BU72" s="5492"/>
      <c r="BV72" s="5493"/>
      <c r="BW72" s="1131"/>
      <c r="BX72" s="1125"/>
      <c r="BY72" s="1125"/>
      <c r="BZ72" s="2110"/>
      <c r="CA72" s="5491"/>
      <c r="CB72" s="5492"/>
      <c r="CC72" s="5492"/>
      <c r="CD72" s="5492"/>
      <c r="CE72" s="5492"/>
      <c r="CF72" s="5492"/>
      <c r="CG72" s="5492"/>
      <c r="CH72" s="5492"/>
      <c r="CI72" s="5492"/>
      <c r="CJ72" s="5492"/>
      <c r="CK72" s="5492"/>
      <c r="CL72" s="5492"/>
      <c r="CM72" s="5492"/>
      <c r="CN72" s="5492"/>
      <c r="CO72" s="5493"/>
      <c r="CP72" s="1131"/>
      <c r="CQ72" s="1125"/>
    </row>
    <row r="73" spans="1:95" ht="12" customHeight="1" thickBot="1" x14ac:dyDescent="0.25">
      <c r="A73" s="1125"/>
      <c r="B73" s="2096"/>
      <c r="C73" s="5494"/>
      <c r="D73" s="5495"/>
      <c r="E73" s="5495"/>
      <c r="F73" s="5495"/>
      <c r="G73" s="5495"/>
      <c r="H73" s="5495"/>
      <c r="I73" s="5495"/>
      <c r="J73" s="5495"/>
      <c r="K73" s="5495"/>
      <c r="L73" s="5495"/>
      <c r="M73" s="5495"/>
      <c r="N73" s="5495"/>
      <c r="O73" s="5495"/>
      <c r="P73" s="5495"/>
      <c r="Q73" s="5496"/>
      <c r="R73" s="1131"/>
      <c r="S73" s="1125"/>
      <c r="T73" s="1125"/>
      <c r="U73" s="2096"/>
      <c r="V73" s="5494"/>
      <c r="W73" s="5495"/>
      <c r="X73" s="5495"/>
      <c r="Y73" s="5495"/>
      <c r="Z73" s="5495"/>
      <c r="AA73" s="5495"/>
      <c r="AB73" s="5495"/>
      <c r="AC73" s="5495"/>
      <c r="AD73" s="5495"/>
      <c r="AE73" s="5495"/>
      <c r="AF73" s="5495"/>
      <c r="AG73" s="5495"/>
      <c r="AH73" s="5495"/>
      <c r="AI73" s="5495"/>
      <c r="AJ73" s="5496"/>
      <c r="AK73" s="1131"/>
      <c r="AL73" s="1125"/>
      <c r="AM73" s="1125"/>
      <c r="AN73" s="2110"/>
      <c r="AO73" s="5494"/>
      <c r="AP73" s="5495"/>
      <c r="AQ73" s="5495"/>
      <c r="AR73" s="5495"/>
      <c r="AS73" s="5495"/>
      <c r="AT73" s="5495"/>
      <c r="AU73" s="5495"/>
      <c r="AV73" s="5495"/>
      <c r="AW73" s="5495"/>
      <c r="AX73" s="5495"/>
      <c r="AY73" s="5495"/>
      <c r="AZ73" s="5495"/>
      <c r="BA73" s="5495"/>
      <c r="BB73" s="5495"/>
      <c r="BC73" s="5496"/>
      <c r="BD73" s="1131"/>
      <c r="BE73" s="1125"/>
      <c r="BF73" s="1125"/>
      <c r="BG73" s="2110"/>
      <c r="BH73" s="5494"/>
      <c r="BI73" s="5495"/>
      <c r="BJ73" s="5495"/>
      <c r="BK73" s="5495"/>
      <c r="BL73" s="5495"/>
      <c r="BM73" s="5495"/>
      <c r="BN73" s="5495"/>
      <c r="BO73" s="5495"/>
      <c r="BP73" s="5495"/>
      <c r="BQ73" s="5495"/>
      <c r="BR73" s="5495"/>
      <c r="BS73" s="5495"/>
      <c r="BT73" s="5495"/>
      <c r="BU73" s="5495"/>
      <c r="BV73" s="5496"/>
      <c r="BW73" s="1131"/>
      <c r="BX73" s="1125"/>
      <c r="BY73" s="1125"/>
      <c r="BZ73" s="2110"/>
      <c r="CA73" s="5494"/>
      <c r="CB73" s="5495"/>
      <c r="CC73" s="5495"/>
      <c r="CD73" s="5495"/>
      <c r="CE73" s="5495"/>
      <c r="CF73" s="5495"/>
      <c r="CG73" s="5495"/>
      <c r="CH73" s="5495"/>
      <c r="CI73" s="5495"/>
      <c r="CJ73" s="5495"/>
      <c r="CK73" s="5495"/>
      <c r="CL73" s="5495"/>
      <c r="CM73" s="5495"/>
      <c r="CN73" s="5495"/>
      <c r="CO73" s="5496"/>
      <c r="CP73" s="1131"/>
      <c r="CQ73" s="1125"/>
    </row>
    <row r="74" spans="1:95" ht="12" customHeight="1" thickBot="1" x14ac:dyDescent="0.25">
      <c r="A74" s="1125"/>
      <c r="B74" s="2096"/>
      <c r="C74" s="1159"/>
      <c r="D74" s="1159"/>
      <c r="E74" s="1163"/>
      <c r="F74" s="1163"/>
      <c r="G74" s="1163"/>
      <c r="H74" s="1159"/>
      <c r="I74" s="668"/>
      <c r="J74" s="668"/>
      <c r="K74" s="1159"/>
      <c r="L74" s="1159"/>
      <c r="M74" s="668"/>
      <c r="N74" s="668"/>
      <c r="O74" s="1164"/>
      <c r="P74" s="1164"/>
      <c r="Q74" s="668"/>
      <c r="R74" s="1131"/>
      <c r="S74" s="1125"/>
      <c r="T74" s="1125"/>
      <c r="U74" s="2096"/>
      <c r="V74" s="1159"/>
      <c r="W74" s="1159"/>
      <c r="X74" s="1163"/>
      <c r="Y74" s="1163"/>
      <c r="Z74" s="1163"/>
      <c r="AA74" s="1159"/>
      <c r="AB74" s="668"/>
      <c r="AC74" s="668"/>
      <c r="AD74" s="1159"/>
      <c r="AE74" s="1159"/>
      <c r="AF74" s="668"/>
      <c r="AG74" s="668"/>
      <c r="AH74" s="1164"/>
      <c r="AI74" s="1164"/>
      <c r="AJ74" s="668"/>
      <c r="AK74" s="1131"/>
      <c r="AL74" s="1125"/>
      <c r="AM74" s="1125"/>
      <c r="AN74" s="2096"/>
      <c r="AO74" s="1159"/>
      <c r="AP74" s="1159"/>
      <c r="AQ74" s="1163"/>
      <c r="AR74" s="1163"/>
      <c r="AS74" s="1163"/>
      <c r="AT74" s="1159"/>
      <c r="AU74" s="668"/>
      <c r="AV74" s="668"/>
      <c r="AW74" s="1159"/>
      <c r="AX74" s="1159"/>
      <c r="AY74" s="668"/>
      <c r="AZ74" s="668"/>
      <c r="BA74" s="1164"/>
      <c r="BB74" s="1164"/>
      <c r="BC74" s="668"/>
      <c r="BD74" s="1131"/>
      <c r="BE74" s="1125"/>
      <c r="BF74" s="1125"/>
      <c r="BG74" s="2096"/>
      <c r="BH74" s="1159"/>
      <c r="BI74" s="1159"/>
      <c r="BJ74" s="1163"/>
      <c r="BK74" s="1163"/>
      <c r="BL74" s="1163"/>
      <c r="BM74" s="1159"/>
      <c r="BN74" s="668"/>
      <c r="BO74" s="668"/>
      <c r="BP74" s="1159"/>
      <c r="BQ74" s="1159"/>
      <c r="BR74" s="668"/>
      <c r="BS74" s="668"/>
      <c r="BT74" s="1164"/>
      <c r="BU74" s="1164"/>
      <c r="BV74" s="668"/>
      <c r="BW74" s="1131"/>
      <c r="BX74" s="1125"/>
      <c r="BY74" s="1125"/>
      <c r="BZ74" s="2096"/>
      <c r="CA74" s="1159"/>
      <c r="CB74" s="1159"/>
      <c r="CC74" s="1163"/>
      <c r="CD74" s="1163"/>
      <c r="CE74" s="1163"/>
      <c r="CF74" s="1159"/>
      <c r="CG74" s="668"/>
      <c r="CH74" s="668"/>
      <c r="CI74" s="1159"/>
      <c r="CJ74" s="1159"/>
      <c r="CK74" s="668"/>
      <c r="CL74" s="668"/>
      <c r="CM74" s="1164"/>
      <c r="CN74" s="1164"/>
      <c r="CO74" s="668"/>
      <c r="CP74" s="1131"/>
      <c r="CQ74" s="1125"/>
    </row>
    <row r="75" spans="1:95" ht="12" customHeight="1" x14ac:dyDescent="0.2">
      <c r="A75" s="1125"/>
      <c r="B75" s="2096">
        <f>B64+2</f>
        <v>14</v>
      </c>
      <c r="C75" s="5497"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498"/>
      <c r="E75" s="5498"/>
      <c r="F75" s="5498"/>
      <c r="G75" s="5498"/>
      <c r="H75" s="1145" t="s">
        <v>1627</v>
      </c>
      <c r="I75" s="1146">
        <f>B75</f>
        <v>14</v>
      </c>
      <c r="J75" s="5463" t="s">
        <v>7687</v>
      </c>
      <c r="K75" s="5463"/>
      <c r="L75" s="5463"/>
      <c r="M75" s="5464" t="e">
        <f>IF(C75=0,"",VLOOKUP(C75,'Tablas Magia'!$D$6:$Z$680,2,FALSE))</f>
        <v>#N/A</v>
      </c>
      <c r="N75" s="5464"/>
      <c r="O75" s="5464"/>
      <c r="P75" s="5464"/>
      <c r="Q75" s="5465"/>
      <c r="R75" s="1131"/>
      <c r="S75" s="1125"/>
      <c r="T75" s="1125"/>
      <c r="U75" s="2096">
        <f>U64+2</f>
        <v>34</v>
      </c>
      <c r="V75" s="5497"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498"/>
      <c r="X75" s="5498"/>
      <c r="Y75" s="5498"/>
      <c r="Z75" s="5498"/>
      <c r="AA75" s="1145" t="s">
        <v>1627</v>
      </c>
      <c r="AB75" s="1146">
        <f>U75</f>
        <v>34</v>
      </c>
      <c r="AC75" s="5463" t="s">
        <v>7687</v>
      </c>
      <c r="AD75" s="5463"/>
      <c r="AE75" s="5463"/>
      <c r="AF75" s="5464" t="e">
        <f>IF(V75=0,"",VLOOKUP(V75,'Tablas Magia'!$D$6:$Z$680,2,FALSE))</f>
        <v>#N/A</v>
      </c>
      <c r="AG75" s="5464"/>
      <c r="AH75" s="5464"/>
      <c r="AI75" s="5464"/>
      <c r="AJ75" s="5465"/>
      <c r="AK75" s="1131"/>
      <c r="AL75" s="1125"/>
      <c r="AM75" s="1125"/>
      <c r="AN75" s="2110">
        <f>AN64+2</f>
        <v>54</v>
      </c>
      <c r="AO75" s="5497"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498"/>
      <c r="AQ75" s="5498"/>
      <c r="AR75" s="5498"/>
      <c r="AS75" s="5498"/>
      <c r="AT75" s="1145" t="s">
        <v>1627</v>
      </c>
      <c r="AU75" s="1146">
        <f>AN75</f>
        <v>54</v>
      </c>
      <c r="AV75" s="5463" t="s">
        <v>7687</v>
      </c>
      <c r="AW75" s="5463"/>
      <c r="AX75" s="5463"/>
      <c r="AY75" s="5464" t="e">
        <f>IF(AO75=0,"",VLOOKUP(AO75,'Tablas Magia'!$D$6:$Z$680,2,FALSE))</f>
        <v>#N/A</v>
      </c>
      <c r="AZ75" s="5464"/>
      <c r="BA75" s="5464"/>
      <c r="BB75" s="5464"/>
      <c r="BC75" s="5465"/>
      <c r="BD75" s="1131"/>
      <c r="BE75" s="1125"/>
      <c r="BF75" s="1125"/>
      <c r="BG75" s="2110">
        <f>BG64+2</f>
        <v>74</v>
      </c>
      <c r="BH75" s="5497"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498"/>
      <c r="BJ75" s="5498"/>
      <c r="BK75" s="5498"/>
      <c r="BL75" s="5498"/>
      <c r="BM75" s="1145" t="s">
        <v>1627</v>
      </c>
      <c r="BN75" s="1146">
        <f>BG75</f>
        <v>74</v>
      </c>
      <c r="BO75" s="5463" t="s">
        <v>7687</v>
      </c>
      <c r="BP75" s="5463"/>
      <c r="BQ75" s="5463"/>
      <c r="BR75" s="5464" t="e">
        <f>IF(BH75=0,"",VLOOKUP(BH75,'Tablas Magia'!$D$6:$Z$680,2,FALSE))</f>
        <v>#N/A</v>
      </c>
      <c r="BS75" s="5464"/>
      <c r="BT75" s="5464"/>
      <c r="BU75" s="5464"/>
      <c r="BV75" s="5465"/>
      <c r="BW75" s="1131"/>
      <c r="BX75" s="1125"/>
      <c r="BY75" s="1125"/>
      <c r="BZ75" s="2110">
        <f>BZ64+2</f>
        <v>94</v>
      </c>
      <c r="CA75" s="5497"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498"/>
      <c r="CC75" s="5498"/>
      <c r="CD75" s="5498"/>
      <c r="CE75" s="5498"/>
      <c r="CF75" s="1145" t="s">
        <v>1627</v>
      </c>
      <c r="CG75" s="1146">
        <f>BZ75</f>
        <v>94</v>
      </c>
      <c r="CH75" s="5463" t="s">
        <v>7687</v>
      </c>
      <c r="CI75" s="5463"/>
      <c r="CJ75" s="5463"/>
      <c r="CK75" s="5464" t="e">
        <f>IF(CA75=0,"",VLOOKUP(CA75,'Tablas Magia'!$D$6:$Z$680,2,FALSE))</f>
        <v>#N/A</v>
      </c>
      <c r="CL75" s="5464"/>
      <c r="CM75" s="5464"/>
      <c r="CN75" s="5464"/>
      <c r="CO75" s="5465"/>
      <c r="CP75" s="1131"/>
      <c r="CQ75" s="1125"/>
    </row>
    <row r="76" spans="1:95" ht="12" customHeight="1" x14ac:dyDescent="0.2">
      <c r="A76" s="1125"/>
      <c r="B76" s="2096"/>
      <c r="C76" s="5481" t="s">
        <v>7688</v>
      </c>
      <c r="D76" s="5482"/>
      <c r="E76" s="1147" t="s">
        <v>7689</v>
      </c>
      <c r="F76" s="1147" t="s">
        <v>1820</v>
      </c>
      <c r="G76" s="1147" t="s">
        <v>3334</v>
      </c>
      <c r="H76" s="1148" t="s">
        <v>2165</v>
      </c>
      <c r="I76" s="5478" t="e">
        <f>IF(C75=0,"",VLOOKUP(C75,'Tablas Magia'!$D$6:$Z$680,5,FALSE))</f>
        <v>#N/A</v>
      </c>
      <c r="J76" s="5478"/>
      <c r="K76" s="5479" t="s">
        <v>7690</v>
      </c>
      <c r="L76" s="5479"/>
      <c r="M76" s="5478" t="e">
        <f>IF(C75=0,"",VLOOKUP(C75,'Tablas Magia'!$D$6:$Z$680,6,FALSE))</f>
        <v>#N/A</v>
      </c>
      <c r="N76" s="5478"/>
      <c r="O76" s="5480" t="s">
        <v>7691</v>
      </c>
      <c r="P76" s="5480"/>
      <c r="Q76" s="1149" t="e">
        <f>IF(C75=0,"",VLOOKUP(C75,'Tablas Magia'!$D$6:$Z$680,4,FALSE))</f>
        <v>#N/A</v>
      </c>
      <c r="R76" s="1131"/>
      <c r="S76" s="1125"/>
      <c r="T76" s="1125"/>
      <c r="U76" s="2096"/>
      <c r="V76" s="5481" t="s">
        <v>7688</v>
      </c>
      <c r="W76" s="5482"/>
      <c r="X76" s="1147" t="s">
        <v>7689</v>
      </c>
      <c r="Y76" s="1147" t="s">
        <v>1820</v>
      </c>
      <c r="Z76" s="1147" t="s">
        <v>3334</v>
      </c>
      <c r="AA76" s="1148" t="s">
        <v>2165</v>
      </c>
      <c r="AB76" s="5478" t="e">
        <f>IF(V75=0,"",VLOOKUP(V75,'Tablas Magia'!$D$6:$Z$680,5,FALSE))</f>
        <v>#N/A</v>
      </c>
      <c r="AC76" s="5478"/>
      <c r="AD76" s="5479" t="s">
        <v>7690</v>
      </c>
      <c r="AE76" s="5479"/>
      <c r="AF76" s="5478" t="e">
        <f>IF(V75=0,"",VLOOKUP(V75,'Tablas Magia'!$D$6:$Z$680,6,FALSE))</f>
        <v>#N/A</v>
      </c>
      <c r="AG76" s="5478"/>
      <c r="AH76" s="5480" t="s">
        <v>7691</v>
      </c>
      <c r="AI76" s="5480"/>
      <c r="AJ76" s="1149" t="e">
        <f>IF(V75=0,"",VLOOKUP(V75,'Tablas Magia'!$D$6:$Z$680,4,FALSE))</f>
        <v>#N/A</v>
      </c>
      <c r="AK76" s="1131"/>
      <c r="AL76" s="1125"/>
      <c r="AM76" s="1125"/>
      <c r="AN76" s="2110"/>
      <c r="AO76" s="5481" t="s">
        <v>7688</v>
      </c>
      <c r="AP76" s="5482"/>
      <c r="AQ76" s="1147" t="s">
        <v>7689</v>
      </c>
      <c r="AR76" s="1147" t="s">
        <v>1820</v>
      </c>
      <c r="AS76" s="1147" t="s">
        <v>3334</v>
      </c>
      <c r="AT76" s="1148" t="s">
        <v>2165</v>
      </c>
      <c r="AU76" s="5478" t="e">
        <f>IF(AO75=0,"",VLOOKUP(AO75,'Tablas Magia'!$D$6:$Z$680,5,FALSE))</f>
        <v>#N/A</v>
      </c>
      <c r="AV76" s="5478"/>
      <c r="AW76" s="5479" t="s">
        <v>7690</v>
      </c>
      <c r="AX76" s="5479"/>
      <c r="AY76" s="5478" t="e">
        <f>IF(AO75=0,"",VLOOKUP(AO75,'Tablas Magia'!$D$6:$Z$680,6,FALSE))</f>
        <v>#N/A</v>
      </c>
      <c r="AZ76" s="5478"/>
      <c r="BA76" s="5480" t="s">
        <v>7691</v>
      </c>
      <c r="BB76" s="5480"/>
      <c r="BC76" s="1149" t="e">
        <f>IF(AO75=0,"",VLOOKUP(AO75,'Tablas Magia'!$D$6:$Z$680,4,FALSE))</f>
        <v>#N/A</v>
      </c>
      <c r="BD76" s="1131"/>
      <c r="BE76" s="1125"/>
      <c r="BF76" s="1125"/>
      <c r="BG76" s="2110"/>
      <c r="BH76" s="5481" t="s">
        <v>7688</v>
      </c>
      <c r="BI76" s="5482"/>
      <c r="BJ76" s="1147" t="s">
        <v>7689</v>
      </c>
      <c r="BK76" s="1147" t="s">
        <v>1820</v>
      </c>
      <c r="BL76" s="1147" t="s">
        <v>3334</v>
      </c>
      <c r="BM76" s="1148" t="s">
        <v>2165</v>
      </c>
      <c r="BN76" s="5478" t="e">
        <f>IF(BH75=0,"",VLOOKUP(BH75,'Tablas Magia'!$D$6:$Z$680,5,FALSE))</f>
        <v>#N/A</v>
      </c>
      <c r="BO76" s="5478"/>
      <c r="BP76" s="5479" t="s">
        <v>7690</v>
      </c>
      <c r="BQ76" s="5479"/>
      <c r="BR76" s="5478" t="e">
        <f>IF(BH75=0,"",VLOOKUP(BH75,'Tablas Magia'!$D$6:$Z$680,6,FALSE))</f>
        <v>#N/A</v>
      </c>
      <c r="BS76" s="5478"/>
      <c r="BT76" s="5480" t="s">
        <v>7691</v>
      </c>
      <c r="BU76" s="5480"/>
      <c r="BV76" s="1149" t="e">
        <f>IF(BH75=0,"",VLOOKUP(BH75,'Tablas Magia'!$D$6:$Z$680,4,FALSE))</f>
        <v>#N/A</v>
      </c>
      <c r="BW76" s="1131"/>
      <c r="BX76" s="1125"/>
      <c r="BY76" s="1125"/>
      <c r="BZ76" s="2110"/>
      <c r="CA76" s="5481" t="s">
        <v>7688</v>
      </c>
      <c r="CB76" s="5482"/>
      <c r="CC76" s="1147" t="s">
        <v>7689</v>
      </c>
      <c r="CD76" s="1147" t="s">
        <v>1820</v>
      </c>
      <c r="CE76" s="1147" t="s">
        <v>3334</v>
      </c>
      <c r="CF76" s="1148" t="s">
        <v>2165</v>
      </c>
      <c r="CG76" s="5478" t="e">
        <f>IF(CA75=0,"",VLOOKUP(CA75,'Tablas Magia'!$D$6:$Z$680,5,FALSE))</f>
        <v>#N/A</v>
      </c>
      <c r="CH76" s="5478"/>
      <c r="CI76" s="5479" t="s">
        <v>7690</v>
      </c>
      <c r="CJ76" s="5479"/>
      <c r="CK76" s="5478" t="e">
        <f>IF(CA75=0,"",VLOOKUP(CA75,'Tablas Magia'!$D$6:$Z$680,6,FALSE))</f>
        <v>#N/A</v>
      </c>
      <c r="CL76" s="5478"/>
      <c r="CM76" s="5480" t="s">
        <v>7691</v>
      </c>
      <c r="CN76" s="5480"/>
      <c r="CO76" s="1149" t="e">
        <f>IF(CA75=0,"",VLOOKUP(CA75,'Tablas Magia'!$D$6:$Z$680,4,FALSE))</f>
        <v>#N/A</v>
      </c>
      <c r="CP76" s="1131"/>
      <c r="CQ76" s="1125"/>
    </row>
    <row r="77" spans="1:95" ht="12" customHeight="1" x14ac:dyDescent="0.2">
      <c r="A77" s="1125"/>
      <c r="B77" s="2096"/>
      <c r="C77" s="5473" t="s">
        <v>1674</v>
      </c>
      <c r="D77" s="5474"/>
      <c r="E77" s="1150" t="e">
        <f>IF(C75=0,"",VLOOKUP(C75,'Tablas Magia'!$D$6:$Z$680,7,FALSE))</f>
        <v>#N/A</v>
      </c>
      <c r="F77" s="1150" t="e">
        <f>IF(C75=0,"",VLOOKUP(C75,'Tablas Magia'!$D$6:$Z$680,11,FALSE))</f>
        <v>#N/A</v>
      </c>
      <c r="G77" s="1151" t="e">
        <f>IF(C75=0,"",VLOOKUP(C75,'Tablas Magia'!$D$6:$Z$680,15,FALSE))</f>
        <v>#N/A</v>
      </c>
      <c r="H77" s="5475" t="e">
        <f>IF(C75=0,"",VLOOKUP(C75,'Tablas Magia'!$D$6:$Z$680,19,FALSE))</f>
        <v>#N/A</v>
      </c>
      <c r="I77" s="5476"/>
      <c r="J77" s="5476"/>
      <c r="K77" s="5476"/>
      <c r="L77" s="5476"/>
      <c r="M77" s="5476"/>
      <c r="N77" s="5476"/>
      <c r="O77" s="5476"/>
      <c r="P77" s="5476"/>
      <c r="Q77" s="5477"/>
      <c r="R77" s="1131"/>
      <c r="S77" s="1125"/>
      <c r="T77" s="1125"/>
      <c r="U77" s="2096"/>
      <c r="V77" s="5473" t="s">
        <v>1674</v>
      </c>
      <c r="W77" s="5474"/>
      <c r="X77" s="1150" t="e">
        <f>IF(V75=0,"",VLOOKUP(V75,'Tablas Magia'!$D$6:$Z$680,7,FALSE))</f>
        <v>#N/A</v>
      </c>
      <c r="Y77" s="1150" t="e">
        <f>IF(V75=0,"",VLOOKUP(V75,'Tablas Magia'!$D$6:$Z$680,11,FALSE))</f>
        <v>#N/A</v>
      </c>
      <c r="Z77" s="1151" t="e">
        <f>IF(V75=0,"",VLOOKUP(V75,'Tablas Magia'!$D$6:$Z$680,15,FALSE))</f>
        <v>#N/A</v>
      </c>
      <c r="AA77" s="5475" t="e">
        <f>IF(V75=0,"",VLOOKUP(V75,'Tablas Magia'!$D$6:$Z$680,19,FALSE))</f>
        <v>#N/A</v>
      </c>
      <c r="AB77" s="5476"/>
      <c r="AC77" s="5476"/>
      <c r="AD77" s="5476"/>
      <c r="AE77" s="5476"/>
      <c r="AF77" s="5476"/>
      <c r="AG77" s="5476"/>
      <c r="AH77" s="5476"/>
      <c r="AI77" s="5476"/>
      <c r="AJ77" s="5477"/>
      <c r="AK77" s="1131"/>
      <c r="AL77" s="1125"/>
      <c r="AM77" s="1125"/>
      <c r="AN77" s="2110"/>
      <c r="AO77" s="5473" t="s">
        <v>1674</v>
      </c>
      <c r="AP77" s="5474"/>
      <c r="AQ77" s="1150" t="e">
        <f>IF(AO75=0,"",VLOOKUP(AO75,'Tablas Magia'!$D$6:$Z$680,7,FALSE))</f>
        <v>#N/A</v>
      </c>
      <c r="AR77" s="1150" t="e">
        <f>IF(AO75=0,"",VLOOKUP(AO75,'Tablas Magia'!$D$6:$Z$680,11,FALSE))</f>
        <v>#N/A</v>
      </c>
      <c r="AS77" s="1151" t="e">
        <f>IF(AO75=0,"",VLOOKUP(AO75,'Tablas Magia'!$D$6:$Z$680,15,FALSE))</f>
        <v>#N/A</v>
      </c>
      <c r="AT77" s="5475" t="e">
        <f>IF(AO75=0,"",VLOOKUP(AO75,'Tablas Magia'!$D$6:$Z$680,19,FALSE))</f>
        <v>#N/A</v>
      </c>
      <c r="AU77" s="5476"/>
      <c r="AV77" s="5476"/>
      <c r="AW77" s="5476"/>
      <c r="AX77" s="5476"/>
      <c r="AY77" s="5476"/>
      <c r="AZ77" s="5476"/>
      <c r="BA77" s="5476"/>
      <c r="BB77" s="5476"/>
      <c r="BC77" s="5477"/>
      <c r="BD77" s="1131"/>
      <c r="BE77" s="1125"/>
      <c r="BF77" s="1125"/>
      <c r="BG77" s="2110"/>
      <c r="BH77" s="5473" t="s">
        <v>1674</v>
      </c>
      <c r="BI77" s="5474"/>
      <c r="BJ77" s="1150" t="e">
        <f>IF(BH75=0,"",VLOOKUP(BH75,'Tablas Magia'!$D$6:$Z$680,7,FALSE))</f>
        <v>#N/A</v>
      </c>
      <c r="BK77" s="1150" t="e">
        <f>IF(BH75=0,"",VLOOKUP(BH75,'Tablas Magia'!$D$6:$Z$680,11,FALSE))</f>
        <v>#N/A</v>
      </c>
      <c r="BL77" s="1151" t="e">
        <f>IF(BH75=0,"",VLOOKUP(BH75,'Tablas Magia'!$D$6:$Z$680,15,FALSE))</f>
        <v>#N/A</v>
      </c>
      <c r="BM77" s="5475" t="e">
        <f>IF(BH75=0,"",VLOOKUP(BH75,'Tablas Magia'!$D$6:$Z$680,19,FALSE))</f>
        <v>#N/A</v>
      </c>
      <c r="BN77" s="5476"/>
      <c r="BO77" s="5476"/>
      <c r="BP77" s="5476"/>
      <c r="BQ77" s="5476"/>
      <c r="BR77" s="5476"/>
      <c r="BS77" s="5476"/>
      <c r="BT77" s="5476"/>
      <c r="BU77" s="5476"/>
      <c r="BV77" s="5477"/>
      <c r="BW77" s="1131"/>
      <c r="BX77" s="1125"/>
      <c r="BY77" s="1125"/>
      <c r="BZ77" s="2110"/>
      <c r="CA77" s="5473" t="s">
        <v>1674</v>
      </c>
      <c r="CB77" s="5474"/>
      <c r="CC77" s="1150" t="e">
        <f>IF(CA75=0,"",VLOOKUP(CA75,'Tablas Magia'!$D$6:$Z$680,7,FALSE))</f>
        <v>#N/A</v>
      </c>
      <c r="CD77" s="1150" t="e">
        <f>IF(CA75=0,"",VLOOKUP(CA75,'Tablas Magia'!$D$6:$Z$680,11,FALSE))</f>
        <v>#N/A</v>
      </c>
      <c r="CE77" s="1151" t="e">
        <f>IF(CA75=0,"",VLOOKUP(CA75,'Tablas Magia'!$D$6:$Z$680,15,FALSE))</f>
        <v>#N/A</v>
      </c>
      <c r="CF77" s="5475" t="e">
        <f>IF(CA75=0,"",VLOOKUP(CA75,'Tablas Magia'!$D$6:$Z$680,19,FALSE))</f>
        <v>#N/A</v>
      </c>
      <c r="CG77" s="5476"/>
      <c r="CH77" s="5476"/>
      <c r="CI77" s="5476"/>
      <c r="CJ77" s="5476"/>
      <c r="CK77" s="5476"/>
      <c r="CL77" s="5476"/>
      <c r="CM77" s="5476"/>
      <c r="CN77" s="5476"/>
      <c r="CO77" s="5477"/>
      <c r="CP77" s="1131"/>
      <c r="CQ77" s="1125"/>
    </row>
    <row r="78" spans="1:95" ht="12" customHeight="1" x14ac:dyDescent="0.2">
      <c r="A78" s="1125"/>
      <c r="B78" s="2096"/>
      <c r="C78" s="5468" t="s">
        <v>4572</v>
      </c>
      <c r="D78" s="5469"/>
      <c r="E78" s="1152" t="e">
        <f>IF(C75=0,"",VLOOKUP(C75,'Tablas Magia'!$D$6:$Z$680,8,FALSE))</f>
        <v>#N/A</v>
      </c>
      <c r="F78" s="1152" t="e">
        <f>IF(C75=0,"",VLOOKUP(C75,'Tablas Magia'!$D$6:$Z$680,12,FALSE))</f>
        <v>#N/A</v>
      </c>
      <c r="G78" s="1153" t="e">
        <f>IF(C75=0,"",VLOOKUP(C75,'Tablas Magia'!$D$6:$Z$680,16,FALSE))</f>
        <v>#N/A</v>
      </c>
      <c r="H78" s="5470" t="e">
        <f>IF(C75=0,"",VLOOKUP(C75,'Tablas Magia'!$D$6:$Z$680,20,FALSE))</f>
        <v>#N/A</v>
      </c>
      <c r="I78" s="5471"/>
      <c r="J78" s="5471"/>
      <c r="K78" s="5471"/>
      <c r="L78" s="5471"/>
      <c r="M78" s="5471"/>
      <c r="N78" s="5471"/>
      <c r="O78" s="5471"/>
      <c r="P78" s="5471"/>
      <c r="Q78" s="5472"/>
      <c r="R78" s="1131"/>
      <c r="S78" s="1125"/>
      <c r="T78" s="1125"/>
      <c r="U78" s="2096"/>
      <c r="V78" s="5468" t="s">
        <v>4572</v>
      </c>
      <c r="W78" s="5469"/>
      <c r="X78" s="1152" t="e">
        <f>IF(V75=0,"",VLOOKUP(V75,'Tablas Magia'!$D$6:$Z$680,8,FALSE))</f>
        <v>#N/A</v>
      </c>
      <c r="Y78" s="1152" t="e">
        <f>IF(V75=0,"",VLOOKUP(V75,'Tablas Magia'!$D$6:$Z$680,12,FALSE))</f>
        <v>#N/A</v>
      </c>
      <c r="Z78" s="1153" t="e">
        <f>IF(V75=0,"",VLOOKUP(V75,'Tablas Magia'!$D$6:$Z$680,16,FALSE))</f>
        <v>#N/A</v>
      </c>
      <c r="AA78" s="5470" t="e">
        <f>IF(V75=0,"",VLOOKUP(V75,'Tablas Magia'!$D$6:$Z$680,20,FALSE))</f>
        <v>#N/A</v>
      </c>
      <c r="AB78" s="5471"/>
      <c r="AC78" s="5471"/>
      <c r="AD78" s="5471"/>
      <c r="AE78" s="5471"/>
      <c r="AF78" s="5471"/>
      <c r="AG78" s="5471"/>
      <c r="AH78" s="5471"/>
      <c r="AI78" s="5471"/>
      <c r="AJ78" s="5472"/>
      <c r="AK78" s="1131"/>
      <c r="AL78" s="1125"/>
      <c r="AM78" s="1125"/>
      <c r="AN78" s="2110"/>
      <c r="AO78" s="5468" t="s">
        <v>4572</v>
      </c>
      <c r="AP78" s="5469"/>
      <c r="AQ78" s="1152" t="e">
        <f>IF(AO75=0,"",VLOOKUP(AO75,'Tablas Magia'!$D$6:$Z$680,8,FALSE))</f>
        <v>#N/A</v>
      </c>
      <c r="AR78" s="1152" t="e">
        <f>IF(AO75=0,"",VLOOKUP(AO75,'Tablas Magia'!$D$6:$Z$680,12,FALSE))</f>
        <v>#N/A</v>
      </c>
      <c r="AS78" s="1153" t="e">
        <f>IF(AO75=0,"",VLOOKUP(AO75,'Tablas Magia'!$D$6:$Z$680,16,FALSE))</f>
        <v>#N/A</v>
      </c>
      <c r="AT78" s="5470" t="e">
        <f>IF(AO75=0,"",VLOOKUP(AO75,'Tablas Magia'!$D$6:$Z$680,20,FALSE))</f>
        <v>#N/A</v>
      </c>
      <c r="AU78" s="5471"/>
      <c r="AV78" s="5471"/>
      <c r="AW78" s="5471"/>
      <c r="AX78" s="5471"/>
      <c r="AY78" s="5471"/>
      <c r="AZ78" s="5471"/>
      <c r="BA78" s="5471"/>
      <c r="BB78" s="5471"/>
      <c r="BC78" s="5472"/>
      <c r="BD78" s="1131"/>
      <c r="BE78" s="1125"/>
      <c r="BF78" s="1125"/>
      <c r="BG78" s="2110"/>
      <c r="BH78" s="5468" t="s">
        <v>4572</v>
      </c>
      <c r="BI78" s="5469"/>
      <c r="BJ78" s="1152" t="e">
        <f>IF(BH75=0,"",VLOOKUP(BH75,'Tablas Magia'!$D$6:$Z$680,8,FALSE))</f>
        <v>#N/A</v>
      </c>
      <c r="BK78" s="1152" t="e">
        <f>IF(BH75=0,"",VLOOKUP(BH75,'Tablas Magia'!$D$6:$Z$680,12,FALSE))</f>
        <v>#N/A</v>
      </c>
      <c r="BL78" s="1153" t="e">
        <f>IF(BH75=0,"",VLOOKUP(BH75,'Tablas Magia'!$D$6:$Z$680,16,FALSE))</f>
        <v>#N/A</v>
      </c>
      <c r="BM78" s="5470" t="e">
        <f>IF(BH75=0,"",VLOOKUP(BH75,'Tablas Magia'!$D$6:$Z$680,20,FALSE))</f>
        <v>#N/A</v>
      </c>
      <c r="BN78" s="5471"/>
      <c r="BO78" s="5471"/>
      <c r="BP78" s="5471"/>
      <c r="BQ78" s="5471"/>
      <c r="BR78" s="5471"/>
      <c r="BS78" s="5471"/>
      <c r="BT78" s="5471"/>
      <c r="BU78" s="5471"/>
      <c r="BV78" s="5472"/>
      <c r="BW78" s="1131"/>
      <c r="BX78" s="1125"/>
      <c r="BY78" s="1125"/>
      <c r="BZ78" s="2110"/>
      <c r="CA78" s="5468" t="s">
        <v>4572</v>
      </c>
      <c r="CB78" s="5469"/>
      <c r="CC78" s="1152" t="e">
        <f>IF(CA75=0,"",VLOOKUP(CA75,'Tablas Magia'!$D$6:$Z$680,8,FALSE))</f>
        <v>#N/A</v>
      </c>
      <c r="CD78" s="1152" t="e">
        <f>IF(CA75=0,"",VLOOKUP(CA75,'Tablas Magia'!$D$6:$Z$680,12,FALSE))</f>
        <v>#N/A</v>
      </c>
      <c r="CE78" s="1153" t="e">
        <f>IF(CA75=0,"",VLOOKUP(CA75,'Tablas Magia'!$D$6:$Z$680,16,FALSE))</f>
        <v>#N/A</v>
      </c>
      <c r="CF78" s="5470" t="e">
        <f>IF(CA75=0,"",VLOOKUP(CA75,'Tablas Magia'!$D$6:$Z$680,20,FALSE))</f>
        <v>#N/A</v>
      </c>
      <c r="CG78" s="5471"/>
      <c r="CH78" s="5471"/>
      <c r="CI78" s="5471"/>
      <c r="CJ78" s="5471"/>
      <c r="CK78" s="5471"/>
      <c r="CL78" s="5471"/>
      <c r="CM78" s="5471"/>
      <c r="CN78" s="5471"/>
      <c r="CO78" s="5472"/>
      <c r="CP78" s="1131"/>
      <c r="CQ78" s="1125"/>
    </row>
    <row r="79" spans="1:95" ht="12" customHeight="1" x14ac:dyDescent="0.2">
      <c r="A79" s="1125"/>
      <c r="B79" s="2096"/>
      <c r="C79" s="5473" t="s">
        <v>4573</v>
      </c>
      <c r="D79" s="5474"/>
      <c r="E79" s="1150" t="e">
        <f>IF(C75=0,"",VLOOKUP(C75,'Tablas Magia'!$D$6:$Z$680,9,FALSE))</f>
        <v>#N/A</v>
      </c>
      <c r="F79" s="1150" t="e">
        <f>IF(C75=0,"",VLOOKUP(C75,'Tablas Magia'!$D$6:$Z$680,13,FALSE))</f>
        <v>#N/A</v>
      </c>
      <c r="G79" s="1151" t="e">
        <f>IF(C75=0,"",VLOOKUP(C75,'Tablas Magia'!$D$6:$Z$680,17,FALSE))</f>
        <v>#N/A</v>
      </c>
      <c r="H79" s="5475" t="e">
        <f>IF(C75=0,"",VLOOKUP(C75,'Tablas Magia'!$D$6:$Z$680,21,FALSE))</f>
        <v>#N/A</v>
      </c>
      <c r="I79" s="5476"/>
      <c r="J79" s="5476"/>
      <c r="K79" s="5476"/>
      <c r="L79" s="5476"/>
      <c r="M79" s="5476"/>
      <c r="N79" s="5476"/>
      <c r="O79" s="5476"/>
      <c r="P79" s="5476"/>
      <c r="Q79" s="5477"/>
      <c r="R79" s="1131"/>
      <c r="S79" s="1125"/>
      <c r="T79" s="1125"/>
      <c r="U79" s="2096"/>
      <c r="V79" s="5473" t="s">
        <v>4573</v>
      </c>
      <c r="W79" s="5474"/>
      <c r="X79" s="1150" t="e">
        <f>IF(V75=0,"",VLOOKUP(V75,'Tablas Magia'!$D$6:$Z$680,9,FALSE))</f>
        <v>#N/A</v>
      </c>
      <c r="Y79" s="1150" t="e">
        <f>IF(V75=0,"",VLOOKUP(V75,'Tablas Magia'!$D$6:$Z$680,13,FALSE))</f>
        <v>#N/A</v>
      </c>
      <c r="Z79" s="1151" t="e">
        <f>IF(V75=0,"",VLOOKUP(V75,'Tablas Magia'!$D$6:$Z$680,17,FALSE))</f>
        <v>#N/A</v>
      </c>
      <c r="AA79" s="5475" t="e">
        <f>IF(V75=0,"",VLOOKUP(V75,'Tablas Magia'!$D$6:$Z$680,21,FALSE))</f>
        <v>#N/A</v>
      </c>
      <c r="AB79" s="5476"/>
      <c r="AC79" s="5476"/>
      <c r="AD79" s="5476"/>
      <c r="AE79" s="5476"/>
      <c r="AF79" s="5476"/>
      <c r="AG79" s="5476"/>
      <c r="AH79" s="5476"/>
      <c r="AI79" s="5476"/>
      <c r="AJ79" s="5477"/>
      <c r="AK79" s="1131"/>
      <c r="AL79" s="1125"/>
      <c r="AM79" s="1125"/>
      <c r="AN79" s="2110"/>
      <c r="AO79" s="5473" t="s">
        <v>4573</v>
      </c>
      <c r="AP79" s="5474"/>
      <c r="AQ79" s="1150" t="e">
        <f>IF(AO75=0,"",VLOOKUP(AO75,'Tablas Magia'!$D$6:$Z$680,9,FALSE))</f>
        <v>#N/A</v>
      </c>
      <c r="AR79" s="1150" t="e">
        <f>IF(AO75=0,"",VLOOKUP(AO75,'Tablas Magia'!$D$6:$Z$680,13,FALSE))</f>
        <v>#N/A</v>
      </c>
      <c r="AS79" s="1151" t="e">
        <f>IF(AO75=0,"",VLOOKUP(AO75,'Tablas Magia'!$D$6:$Z$680,17,FALSE))</f>
        <v>#N/A</v>
      </c>
      <c r="AT79" s="5475" t="e">
        <f>IF(AO75=0,"",VLOOKUP(AO75,'Tablas Magia'!$D$6:$Z$680,21,FALSE))</f>
        <v>#N/A</v>
      </c>
      <c r="AU79" s="5476"/>
      <c r="AV79" s="5476"/>
      <c r="AW79" s="5476"/>
      <c r="AX79" s="5476"/>
      <c r="AY79" s="5476"/>
      <c r="AZ79" s="5476"/>
      <c r="BA79" s="5476"/>
      <c r="BB79" s="5476"/>
      <c r="BC79" s="5477"/>
      <c r="BD79" s="1131"/>
      <c r="BE79" s="1125"/>
      <c r="BF79" s="1125"/>
      <c r="BG79" s="2110"/>
      <c r="BH79" s="5473" t="s">
        <v>4573</v>
      </c>
      <c r="BI79" s="5474"/>
      <c r="BJ79" s="1150" t="e">
        <f>IF(BH75=0,"",VLOOKUP(BH75,'Tablas Magia'!$D$6:$Z$680,9,FALSE))</f>
        <v>#N/A</v>
      </c>
      <c r="BK79" s="1150" t="e">
        <f>IF(BH75=0,"",VLOOKUP(BH75,'Tablas Magia'!$D$6:$Z$680,13,FALSE))</f>
        <v>#N/A</v>
      </c>
      <c r="BL79" s="1151" t="e">
        <f>IF(BH75=0,"",VLOOKUP(BH75,'Tablas Magia'!$D$6:$Z$680,17,FALSE))</f>
        <v>#N/A</v>
      </c>
      <c r="BM79" s="5475" t="e">
        <f>IF(BH75=0,"",VLOOKUP(BH75,'Tablas Magia'!$D$6:$Z$680,21,FALSE))</f>
        <v>#N/A</v>
      </c>
      <c r="BN79" s="5476"/>
      <c r="BO79" s="5476"/>
      <c r="BP79" s="5476"/>
      <c r="BQ79" s="5476"/>
      <c r="BR79" s="5476"/>
      <c r="BS79" s="5476"/>
      <c r="BT79" s="5476"/>
      <c r="BU79" s="5476"/>
      <c r="BV79" s="5477"/>
      <c r="BW79" s="1131"/>
      <c r="BX79" s="1125"/>
      <c r="BY79" s="1125"/>
      <c r="BZ79" s="2110"/>
      <c r="CA79" s="5473" t="s">
        <v>4573</v>
      </c>
      <c r="CB79" s="5474"/>
      <c r="CC79" s="1150" t="e">
        <f>IF(CA75=0,"",VLOOKUP(CA75,'Tablas Magia'!$D$6:$Z$680,9,FALSE))</f>
        <v>#N/A</v>
      </c>
      <c r="CD79" s="1150" t="e">
        <f>IF(CA75=0,"",VLOOKUP(CA75,'Tablas Magia'!$D$6:$Z$680,13,FALSE))</f>
        <v>#N/A</v>
      </c>
      <c r="CE79" s="1151" t="e">
        <f>IF(CA75=0,"",VLOOKUP(CA75,'Tablas Magia'!$D$6:$Z$680,17,FALSE))</f>
        <v>#N/A</v>
      </c>
      <c r="CF79" s="5475" t="e">
        <f>IF(CA75=0,"",VLOOKUP(CA75,'Tablas Magia'!$D$6:$Z$680,21,FALSE))</f>
        <v>#N/A</v>
      </c>
      <c r="CG79" s="5476"/>
      <c r="CH79" s="5476"/>
      <c r="CI79" s="5476"/>
      <c r="CJ79" s="5476"/>
      <c r="CK79" s="5476"/>
      <c r="CL79" s="5476"/>
      <c r="CM79" s="5476"/>
      <c r="CN79" s="5476"/>
      <c r="CO79" s="5477"/>
      <c r="CP79" s="1131"/>
      <c r="CQ79" s="1125"/>
    </row>
    <row r="80" spans="1:95" ht="12" customHeight="1" thickBot="1" x14ac:dyDescent="0.25">
      <c r="A80" s="1125"/>
      <c r="B80" s="2096"/>
      <c r="C80" s="5483" t="s">
        <v>4574</v>
      </c>
      <c r="D80" s="5484"/>
      <c r="E80" s="1154" t="e">
        <f>IF(C75=0,"",VLOOKUP(C75,'Tablas Magia'!$D$6:$Z$680,10,FALSE))</f>
        <v>#N/A</v>
      </c>
      <c r="F80" s="1154" t="e">
        <f>IF(C75=0,"",VLOOKUP(C75,'Tablas Magia'!$D$6:$Z$680,14,FALSE))</f>
        <v>#N/A</v>
      </c>
      <c r="G80" s="1155" t="e">
        <f>IF(C75=0,"",VLOOKUP(C75,'Tablas Magia'!$D$6:$Z$680,18,FALSE))</f>
        <v>#N/A</v>
      </c>
      <c r="H80" s="5485" t="e">
        <f>IF(C75=0,"",VLOOKUP(C75,'Tablas Magia'!$D$6:$Z$680,22,FALSE))</f>
        <v>#N/A</v>
      </c>
      <c r="I80" s="5486"/>
      <c r="J80" s="5486"/>
      <c r="K80" s="5486"/>
      <c r="L80" s="5486"/>
      <c r="M80" s="5486"/>
      <c r="N80" s="5486"/>
      <c r="O80" s="5486"/>
      <c r="P80" s="5486"/>
      <c r="Q80" s="5487"/>
      <c r="R80" s="1131"/>
      <c r="S80" s="1125"/>
      <c r="T80" s="1125"/>
      <c r="U80" s="2096"/>
      <c r="V80" s="5483" t="s">
        <v>4574</v>
      </c>
      <c r="W80" s="5484"/>
      <c r="X80" s="1154" t="e">
        <f>IF(V75=0,"",VLOOKUP(V75,'Tablas Magia'!$D$6:$Z$680,10,FALSE))</f>
        <v>#N/A</v>
      </c>
      <c r="Y80" s="1154" t="e">
        <f>IF(V75=0,"",VLOOKUP(V75,'Tablas Magia'!$D$6:$Z$680,14,FALSE))</f>
        <v>#N/A</v>
      </c>
      <c r="Z80" s="1155" t="e">
        <f>IF(V75=0,"",VLOOKUP(V75,'Tablas Magia'!$D$6:$Z$680,18,FALSE))</f>
        <v>#N/A</v>
      </c>
      <c r="AA80" s="5485" t="e">
        <f>IF(V75=0,"",VLOOKUP(V75,'Tablas Magia'!$D$6:$Z$680,22,FALSE))</f>
        <v>#N/A</v>
      </c>
      <c r="AB80" s="5486"/>
      <c r="AC80" s="5486"/>
      <c r="AD80" s="5486"/>
      <c r="AE80" s="5486"/>
      <c r="AF80" s="5486"/>
      <c r="AG80" s="5486"/>
      <c r="AH80" s="5486"/>
      <c r="AI80" s="5486"/>
      <c r="AJ80" s="5487"/>
      <c r="AK80" s="1131"/>
      <c r="AL80" s="1125"/>
      <c r="AM80" s="1125"/>
      <c r="AN80" s="2110"/>
      <c r="AO80" s="5483" t="s">
        <v>4574</v>
      </c>
      <c r="AP80" s="5484"/>
      <c r="AQ80" s="1154" t="e">
        <f>IF(AO75=0,"",VLOOKUP(AO75,'Tablas Magia'!$D$6:$Z$680,10,FALSE))</f>
        <v>#N/A</v>
      </c>
      <c r="AR80" s="1154" t="e">
        <f>IF(AO75=0,"",VLOOKUP(AO75,'Tablas Magia'!$D$6:$Z$680,14,FALSE))</f>
        <v>#N/A</v>
      </c>
      <c r="AS80" s="1155" t="e">
        <f>IF(AO75=0,"",VLOOKUP(AO75,'Tablas Magia'!$D$6:$Z$680,18,FALSE))</f>
        <v>#N/A</v>
      </c>
      <c r="AT80" s="5485" t="e">
        <f>IF(AO75=0,"",VLOOKUP(AO75,'Tablas Magia'!$D$6:$Z$680,22,FALSE))</f>
        <v>#N/A</v>
      </c>
      <c r="AU80" s="5486"/>
      <c r="AV80" s="5486"/>
      <c r="AW80" s="5486"/>
      <c r="AX80" s="5486"/>
      <c r="AY80" s="5486"/>
      <c r="AZ80" s="5486"/>
      <c r="BA80" s="5486"/>
      <c r="BB80" s="5486"/>
      <c r="BC80" s="5487"/>
      <c r="BD80" s="1131"/>
      <c r="BE80" s="1125"/>
      <c r="BF80" s="1125"/>
      <c r="BG80" s="2110"/>
      <c r="BH80" s="5483" t="s">
        <v>4574</v>
      </c>
      <c r="BI80" s="5484"/>
      <c r="BJ80" s="1154" t="e">
        <f>IF(BH75=0,"",VLOOKUP(BH75,'Tablas Magia'!$D$6:$Z$680,10,FALSE))</f>
        <v>#N/A</v>
      </c>
      <c r="BK80" s="1154" t="e">
        <f>IF(BH75=0,"",VLOOKUP(BH75,'Tablas Magia'!$D$6:$Z$680,14,FALSE))</f>
        <v>#N/A</v>
      </c>
      <c r="BL80" s="1155" t="e">
        <f>IF(BH75=0,"",VLOOKUP(BH75,'Tablas Magia'!$D$6:$Z$680,18,FALSE))</f>
        <v>#N/A</v>
      </c>
      <c r="BM80" s="5485" t="e">
        <f>IF(BH75=0,"",VLOOKUP(BH75,'Tablas Magia'!$D$6:$Z$680,22,FALSE))</f>
        <v>#N/A</v>
      </c>
      <c r="BN80" s="5486"/>
      <c r="BO80" s="5486"/>
      <c r="BP80" s="5486"/>
      <c r="BQ80" s="5486"/>
      <c r="BR80" s="5486"/>
      <c r="BS80" s="5486"/>
      <c r="BT80" s="5486"/>
      <c r="BU80" s="5486"/>
      <c r="BV80" s="5487"/>
      <c r="BW80" s="1131"/>
      <c r="BX80" s="1125"/>
      <c r="BY80" s="1125"/>
      <c r="BZ80" s="2110"/>
      <c r="CA80" s="5483" t="s">
        <v>4574</v>
      </c>
      <c r="CB80" s="5484"/>
      <c r="CC80" s="1154" t="e">
        <f>IF(CA75=0,"",VLOOKUP(CA75,'Tablas Magia'!$D$6:$Z$680,10,FALSE))</f>
        <v>#N/A</v>
      </c>
      <c r="CD80" s="1154" t="e">
        <f>IF(CA75=0,"",VLOOKUP(CA75,'Tablas Magia'!$D$6:$Z$680,14,FALSE))</f>
        <v>#N/A</v>
      </c>
      <c r="CE80" s="1155" t="e">
        <f>IF(CA75=0,"",VLOOKUP(CA75,'Tablas Magia'!$D$6:$Z$680,18,FALSE))</f>
        <v>#N/A</v>
      </c>
      <c r="CF80" s="5485" t="e">
        <f>IF(CA75=0,"",VLOOKUP(CA75,'Tablas Magia'!$D$6:$Z$680,22,FALSE))</f>
        <v>#N/A</v>
      </c>
      <c r="CG80" s="5486"/>
      <c r="CH80" s="5486"/>
      <c r="CI80" s="5486"/>
      <c r="CJ80" s="5486"/>
      <c r="CK80" s="5486"/>
      <c r="CL80" s="5486"/>
      <c r="CM80" s="5486"/>
      <c r="CN80" s="5486"/>
      <c r="CO80" s="5487"/>
      <c r="CP80" s="1131"/>
      <c r="CQ80" s="1125"/>
    </row>
    <row r="81" spans="1:95" ht="12" customHeight="1" x14ac:dyDescent="0.2">
      <c r="A81" s="1125"/>
      <c r="B81" s="2096"/>
      <c r="C81" s="5488" t="e">
        <f>IF(C75=0,"",VLOOKUP(C75,'Tablas Magia'!$D$6:$Z$680,23,FALSE))</f>
        <v>#N/A</v>
      </c>
      <c r="D81" s="5489"/>
      <c r="E81" s="5489"/>
      <c r="F81" s="5489"/>
      <c r="G81" s="5489"/>
      <c r="H81" s="5489"/>
      <c r="I81" s="5489"/>
      <c r="J81" s="5489"/>
      <c r="K81" s="5489"/>
      <c r="L81" s="5489"/>
      <c r="M81" s="5489"/>
      <c r="N81" s="5489"/>
      <c r="O81" s="5489"/>
      <c r="P81" s="5489"/>
      <c r="Q81" s="5490"/>
      <c r="R81" s="1131"/>
      <c r="S81" s="1125"/>
      <c r="T81" s="1125"/>
      <c r="U81" s="2096"/>
      <c r="V81" s="5488" t="e">
        <f>IF(V75=0,"",VLOOKUP(V75,'Tablas Magia'!$D$6:$Z$680,23,FALSE))</f>
        <v>#N/A</v>
      </c>
      <c r="W81" s="5489"/>
      <c r="X81" s="5489"/>
      <c r="Y81" s="5489"/>
      <c r="Z81" s="5489"/>
      <c r="AA81" s="5489"/>
      <c r="AB81" s="5489"/>
      <c r="AC81" s="5489"/>
      <c r="AD81" s="5489"/>
      <c r="AE81" s="5489"/>
      <c r="AF81" s="5489"/>
      <c r="AG81" s="5489"/>
      <c r="AH81" s="5489"/>
      <c r="AI81" s="5489"/>
      <c r="AJ81" s="5490"/>
      <c r="AK81" s="1131"/>
      <c r="AL81" s="1125"/>
      <c r="AM81" s="1125"/>
      <c r="AN81" s="2110"/>
      <c r="AO81" s="5488" t="e">
        <f>IF(AO75=0,"",VLOOKUP(AO75,'Tablas Magia'!$D$6:$Z$680,23,FALSE))</f>
        <v>#N/A</v>
      </c>
      <c r="AP81" s="5489"/>
      <c r="AQ81" s="5489"/>
      <c r="AR81" s="5489"/>
      <c r="AS81" s="5489"/>
      <c r="AT81" s="5489"/>
      <c r="AU81" s="5489"/>
      <c r="AV81" s="5489"/>
      <c r="AW81" s="5489"/>
      <c r="AX81" s="5489"/>
      <c r="AY81" s="5489"/>
      <c r="AZ81" s="5489"/>
      <c r="BA81" s="5489"/>
      <c r="BB81" s="5489"/>
      <c r="BC81" s="5490"/>
      <c r="BD81" s="1131"/>
      <c r="BE81" s="1125"/>
      <c r="BF81" s="1125"/>
      <c r="BG81" s="2110"/>
      <c r="BH81" s="5488" t="e">
        <f>IF(BH75=0,"",VLOOKUP(BH75,'Tablas Magia'!$D$6:$Z$680,23,FALSE))</f>
        <v>#N/A</v>
      </c>
      <c r="BI81" s="5489"/>
      <c r="BJ81" s="5489"/>
      <c r="BK81" s="5489"/>
      <c r="BL81" s="5489"/>
      <c r="BM81" s="5489"/>
      <c r="BN81" s="5489"/>
      <c r="BO81" s="5489"/>
      <c r="BP81" s="5489"/>
      <c r="BQ81" s="5489"/>
      <c r="BR81" s="5489"/>
      <c r="BS81" s="5489"/>
      <c r="BT81" s="5489"/>
      <c r="BU81" s="5489"/>
      <c r="BV81" s="5490"/>
      <c r="BW81" s="1131"/>
      <c r="BX81" s="1125"/>
      <c r="BY81" s="1125"/>
      <c r="BZ81" s="2110"/>
      <c r="CA81" s="5488" t="e">
        <f>IF(CA75=0,"",VLOOKUP(CA75,'Tablas Magia'!$D$6:$Z$680,23,FALSE))</f>
        <v>#N/A</v>
      </c>
      <c r="CB81" s="5489"/>
      <c r="CC81" s="5489"/>
      <c r="CD81" s="5489"/>
      <c r="CE81" s="5489"/>
      <c r="CF81" s="5489"/>
      <c r="CG81" s="5489"/>
      <c r="CH81" s="5489"/>
      <c r="CI81" s="5489"/>
      <c r="CJ81" s="5489"/>
      <c r="CK81" s="5489"/>
      <c r="CL81" s="5489"/>
      <c r="CM81" s="5489"/>
      <c r="CN81" s="5489"/>
      <c r="CO81" s="5490"/>
      <c r="CP81" s="1131"/>
      <c r="CQ81" s="1125"/>
    </row>
    <row r="82" spans="1:95" ht="12" customHeight="1" x14ac:dyDescent="0.2">
      <c r="A82" s="1125"/>
      <c r="B82" s="2096"/>
      <c r="C82" s="5491"/>
      <c r="D82" s="5492"/>
      <c r="E82" s="5492"/>
      <c r="F82" s="5492"/>
      <c r="G82" s="5492"/>
      <c r="H82" s="5492"/>
      <c r="I82" s="5492"/>
      <c r="J82" s="5492"/>
      <c r="K82" s="5492"/>
      <c r="L82" s="5492"/>
      <c r="M82" s="5492"/>
      <c r="N82" s="5492"/>
      <c r="O82" s="5492"/>
      <c r="P82" s="5492"/>
      <c r="Q82" s="5493"/>
      <c r="R82" s="1131"/>
      <c r="S82" s="1125"/>
      <c r="T82" s="1125"/>
      <c r="U82" s="2096"/>
      <c r="V82" s="5491"/>
      <c r="W82" s="5492"/>
      <c r="X82" s="5492"/>
      <c r="Y82" s="5492"/>
      <c r="Z82" s="5492"/>
      <c r="AA82" s="5492"/>
      <c r="AB82" s="5492"/>
      <c r="AC82" s="5492"/>
      <c r="AD82" s="5492"/>
      <c r="AE82" s="5492"/>
      <c r="AF82" s="5492"/>
      <c r="AG82" s="5492"/>
      <c r="AH82" s="5492"/>
      <c r="AI82" s="5492"/>
      <c r="AJ82" s="5493"/>
      <c r="AK82" s="1131"/>
      <c r="AL82" s="1125"/>
      <c r="AM82" s="1125"/>
      <c r="AN82" s="2110"/>
      <c r="AO82" s="5491"/>
      <c r="AP82" s="5492"/>
      <c r="AQ82" s="5492"/>
      <c r="AR82" s="5492"/>
      <c r="AS82" s="5492"/>
      <c r="AT82" s="5492"/>
      <c r="AU82" s="5492"/>
      <c r="AV82" s="5492"/>
      <c r="AW82" s="5492"/>
      <c r="AX82" s="5492"/>
      <c r="AY82" s="5492"/>
      <c r="AZ82" s="5492"/>
      <c r="BA82" s="5492"/>
      <c r="BB82" s="5492"/>
      <c r="BC82" s="5493"/>
      <c r="BD82" s="1131"/>
      <c r="BE82" s="1125"/>
      <c r="BF82" s="1125"/>
      <c r="BG82" s="2110"/>
      <c r="BH82" s="5491"/>
      <c r="BI82" s="5492"/>
      <c r="BJ82" s="5492"/>
      <c r="BK82" s="5492"/>
      <c r="BL82" s="5492"/>
      <c r="BM82" s="5492"/>
      <c r="BN82" s="5492"/>
      <c r="BO82" s="5492"/>
      <c r="BP82" s="5492"/>
      <c r="BQ82" s="5492"/>
      <c r="BR82" s="5492"/>
      <c r="BS82" s="5492"/>
      <c r="BT82" s="5492"/>
      <c r="BU82" s="5492"/>
      <c r="BV82" s="5493"/>
      <c r="BW82" s="1131"/>
      <c r="BX82" s="1125"/>
      <c r="BY82" s="1125"/>
      <c r="BZ82" s="2110"/>
      <c r="CA82" s="5491"/>
      <c r="CB82" s="5492"/>
      <c r="CC82" s="5492"/>
      <c r="CD82" s="5492"/>
      <c r="CE82" s="5492"/>
      <c r="CF82" s="5492"/>
      <c r="CG82" s="5492"/>
      <c r="CH82" s="5492"/>
      <c r="CI82" s="5492"/>
      <c r="CJ82" s="5492"/>
      <c r="CK82" s="5492"/>
      <c r="CL82" s="5492"/>
      <c r="CM82" s="5492"/>
      <c r="CN82" s="5492"/>
      <c r="CO82" s="5493"/>
      <c r="CP82" s="1131"/>
      <c r="CQ82" s="1125"/>
    </row>
    <row r="83" spans="1:95" ht="12" customHeight="1" x14ac:dyDescent="0.2">
      <c r="A83" s="1125"/>
      <c r="B83" s="2096"/>
      <c r="C83" s="5491"/>
      <c r="D83" s="5492"/>
      <c r="E83" s="5492"/>
      <c r="F83" s="5492"/>
      <c r="G83" s="5492"/>
      <c r="H83" s="5492"/>
      <c r="I83" s="5492"/>
      <c r="J83" s="5492"/>
      <c r="K83" s="5492"/>
      <c r="L83" s="5492"/>
      <c r="M83" s="5492"/>
      <c r="N83" s="5492"/>
      <c r="O83" s="5492"/>
      <c r="P83" s="5492"/>
      <c r="Q83" s="5493"/>
      <c r="R83" s="1131"/>
      <c r="S83" s="1125"/>
      <c r="T83" s="1125"/>
      <c r="U83" s="2096"/>
      <c r="V83" s="5491"/>
      <c r="W83" s="5492"/>
      <c r="X83" s="5492"/>
      <c r="Y83" s="5492"/>
      <c r="Z83" s="5492"/>
      <c r="AA83" s="5492"/>
      <c r="AB83" s="5492"/>
      <c r="AC83" s="5492"/>
      <c r="AD83" s="5492"/>
      <c r="AE83" s="5492"/>
      <c r="AF83" s="5492"/>
      <c r="AG83" s="5492"/>
      <c r="AH83" s="5492"/>
      <c r="AI83" s="5492"/>
      <c r="AJ83" s="5493"/>
      <c r="AK83" s="1131"/>
      <c r="AL83" s="1125"/>
      <c r="AM83" s="1125"/>
      <c r="AN83" s="2110"/>
      <c r="AO83" s="5491"/>
      <c r="AP83" s="5492"/>
      <c r="AQ83" s="5492"/>
      <c r="AR83" s="5492"/>
      <c r="AS83" s="5492"/>
      <c r="AT83" s="5492"/>
      <c r="AU83" s="5492"/>
      <c r="AV83" s="5492"/>
      <c r="AW83" s="5492"/>
      <c r="AX83" s="5492"/>
      <c r="AY83" s="5492"/>
      <c r="AZ83" s="5492"/>
      <c r="BA83" s="5492"/>
      <c r="BB83" s="5492"/>
      <c r="BC83" s="5493"/>
      <c r="BD83" s="1131"/>
      <c r="BE83" s="1125"/>
      <c r="BF83" s="1125"/>
      <c r="BG83" s="2110"/>
      <c r="BH83" s="5491"/>
      <c r="BI83" s="5492"/>
      <c r="BJ83" s="5492"/>
      <c r="BK83" s="5492"/>
      <c r="BL83" s="5492"/>
      <c r="BM83" s="5492"/>
      <c r="BN83" s="5492"/>
      <c r="BO83" s="5492"/>
      <c r="BP83" s="5492"/>
      <c r="BQ83" s="5492"/>
      <c r="BR83" s="5492"/>
      <c r="BS83" s="5492"/>
      <c r="BT83" s="5492"/>
      <c r="BU83" s="5492"/>
      <c r="BV83" s="5493"/>
      <c r="BW83" s="1131"/>
      <c r="BX83" s="1125"/>
      <c r="BY83" s="1125"/>
      <c r="BZ83" s="2110"/>
      <c r="CA83" s="5491"/>
      <c r="CB83" s="5492"/>
      <c r="CC83" s="5492"/>
      <c r="CD83" s="5492"/>
      <c r="CE83" s="5492"/>
      <c r="CF83" s="5492"/>
      <c r="CG83" s="5492"/>
      <c r="CH83" s="5492"/>
      <c r="CI83" s="5492"/>
      <c r="CJ83" s="5492"/>
      <c r="CK83" s="5492"/>
      <c r="CL83" s="5492"/>
      <c r="CM83" s="5492"/>
      <c r="CN83" s="5492"/>
      <c r="CO83" s="5493"/>
      <c r="CP83" s="1131"/>
      <c r="CQ83" s="1125"/>
    </row>
    <row r="84" spans="1:95" ht="12" customHeight="1" thickBot="1" x14ac:dyDescent="0.25">
      <c r="A84" s="1125"/>
      <c r="B84" s="2096"/>
      <c r="C84" s="5494"/>
      <c r="D84" s="5495"/>
      <c r="E84" s="5495"/>
      <c r="F84" s="5495"/>
      <c r="G84" s="5495"/>
      <c r="H84" s="5495"/>
      <c r="I84" s="5495"/>
      <c r="J84" s="5495"/>
      <c r="K84" s="5495"/>
      <c r="L84" s="5495"/>
      <c r="M84" s="5495"/>
      <c r="N84" s="5495"/>
      <c r="O84" s="5495"/>
      <c r="P84" s="5495"/>
      <c r="Q84" s="5496"/>
      <c r="R84" s="1131"/>
      <c r="S84" s="1125"/>
      <c r="T84" s="1125"/>
      <c r="U84" s="2096"/>
      <c r="V84" s="5494"/>
      <c r="W84" s="5495"/>
      <c r="X84" s="5495"/>
      <c r="Y84" s="5495"/>
      <c r="Z84" s="5495"/>
      <c r="AA84" s="5495"/>
      <c r="AB84" s="5495"/>
      <c r="AC84" s="5495"/>
      <c r="AD84" s="5495"/>
      <c r="AE84" s="5495"/>
      <c r="AF84" s="5495"/>
      <c r="AG84" s="5495"/>
      <c r="AH84" s="5495"/>
      <c r="AI84" s="5495"/>
      <c r="AJ84" s="5496"/>
      <c r="AK84" s="1131"/>
      <c r="AL84" s="1125"/>
      <c r="AM84" s="1125"/>
      <c r="AN84" s="2110"/>
      <c r="AO84" s="5494"/>
      <c r="AP84" s="5495"/>
      <c r="AQ84" s="5495"/>
      <c r="AR84" s="5495"/>
      <c r="AS84" s="5495"/>
      <c r="AT84" s="5495"/>
      <c r="AU84" s="5495"/>
      <c r="AV84" s="5495"/>
      <c r="AW84" s="5495"/>
      <c r="AX84" s="5495"/>
      <c r="AY84" s="5495"/>
      <c r="AZ84" s="5495"/>
      <c r="BA84" s="5495"/>
      <c r="BB84" s="5495"/>
      <c r="BC84" s="5496"/>
      <c r="BD84" s="1131"/>
      <c r="BE84" s="1125"/>
      <c r="BF84" s="1125"/>
      <c r="BG84" s="2110"/>
      <c r="BH84" s="5494"/>
      <c r="BI84" s="5495"/>
      <c r="BJ84" s="5495"/>
      <c r="BK84" s="5495"/>
      <c r="BL84" s="5495"/>
      <c r="BM84" s="5495"/>
      <c r="BN84" s="5495"/>
      <c r="BO84" s="5495"/>
      <c r="BP84" s="5495"/>
      <c r="BQ84" s="5495"/>
      <c r="BR84" s="5495"/>
      <c r="BS84" s="5495"/>
      <c r="BT84" s="5495"/>
      <c r="BU84" s="5495"/>
      <c r="BV84" s="5496"/>
      <c r="BW84" s="1131"/>
      <c r="BX84" s="1125"/>
      <c r="BY84" s="1125"/>
      <c r="BZ84" s="2110"/>
      <c r="CA84" s="5494"/>
      <c r="CB84" s="5495"/>
      <c r="CC84" s="5495"/>
      <c r="CD84" s="5495"/>
      <c r="CE84" s="5495"/>
      <c r="CF84" s="5495"/>
      <c r="CG84" s="5495"/>
      <c r="CH84" s="5495"/>
      <c r="CI84" s="5495"/>
      <c r="CJ84" s="5495"/>
      <c r="CK84" s="5495"/>
      <c r="CL84" s="5495"/>
      <c r="CM84" s="5495"/>
      <c r="CN84" s="5495"/>
      <c r="CO84" s="5496"/>
      <c r="CP84" s="1131"/>
      <c r="CQ84" s="1125"/>
    </row>
    <row r="85" spans="1:95" ht="12" customHeight="1" thickBot="1" x14ac:dyDescent="0.25">
      <c r="A85" s="1125"/>
      <c r="B85" s="2096"/>
      <c r="C85" s="1166"/>
      <c r="D85" s="1166"/>
      <c r="E85" s="1167"/>
      <c r="F85" s="1167"/>
      <c r="G85" s="1167"/>
      <c r="H85" s="1167"/>
      <c r="I85" s="1167"/>
      <c r="J85" s="1167"/>
      <c r="K85" s="1167"/>
      <c r="L85" s="1167"/>
      <c r="M85" s="1167"/>
      <c r="N85" s="1167"/>
      <c r="O85" s="1167"/>
      <c r="P85" s="1167"/>
      <c r="Q85" s="1167"/>
      <c r="R85" s="1131"/>
      <c r="S85" s="1125"/>
      <c r="T85" s="1125"/>
      <c r="U85" s="2096"/>
      <c r="V85" s="1166"/>
      <c r="W85" s="1166"/>
      <c r="X85" s="1167"/>
      <c r="Y85" s="1167"/>
      <c r="Z85" s="1167"/>
      <c r="AA85" s="1167"/>
      <c r="AB85" s="1167"/>
      <c r="AC85" s="1167"/>
      <c r="AD85" s="1167"/>
      <c r="AE85" s="1167"/>
      <c r="AF85" s="1167"/>
      <c r="AG85" s="1167"/>
      <c r="AH85" s="1167"/>
      <c r="AI85" s="1167"/>
      <c r="AJ85" s="1167"/>
      <c r="AK85" s="1131"/>
      <c r="AL85" s="1125"/>
      <c r="AM85" s="1125"/>
      <c r="AN85" s="2096"/>
      <c r="AO85" s="1166"/>
      <c r="AP85" s="1166"/>
      <c r="AQ85" s="1167"/>
      <c r="AR85" s="1167"/>
      <c r="AS85" s="1167"/>
      <c r="AT85" s="1167"/>
      <c r="AU85" s="1167"/>
      <c r="AV85" s="1167"/>
      <c r="AW85" s="1167"/>
      <c r="AX85" s="1167"/>
      <c r="AY85" s="1167"/>
      <c r="AZ85" s="1167"/>
      <c r="BA85" s="1167"/>
      <c r="BB85" s="1167"/>
      <c r="BC85" s="1167"/>
      <c r="BD85" s="1131"/>
      <c r="BE85" s="1125"/>
      <c r="BF85" s="1125"/>
      <c r="BG85" s="2096"/>
      <c r="BH85" s="1166"/>
      <c r="BI85" s="1166"/>
      <c r="BJ85" s="1167"/>
      <c r="BK85" s="1167"/>
      <c r="BL85" s="1167"/>
      <c r="BM85" s="1167"/>
      <c r="BN85" s="1167"/>
      <c r="BO85" s="1167"/>
      <c r="BP85" s="1167"/>
      <c r="BQ85" s="1167"/>
      <c r="BR85" s="1167"/>
      <c r="BS85" s="1167"/>
      <c r="BT85" s="1167"/>
      <c r="BU85" s="1167"/>
      <c r="BV85" s="1167"/>
      <c r="BW85" s="1131"/>
      <c r="BX85" s="1125"/>
      <c r="BY85" s="1125"/>
      <c r="BZ85" s="2096"/>
      <c r="CA85" s="1166"/>
      <c r="CB85" s="1166"/>
      <c r="CC85" s="1167"/>
      <c r="CD85" s="1167"/>
      <c r="CE85" s="1167"/>
      <c r="CF85" s="1167"/>
      <c r="CG85" s="1167"/>
      <c r="CH85" s="1167"/>
      <c r="CI85" s="1167"/>
      <c r="CJ85" s="1167"/>
      <c r="CK85" s="1167"/>
      <c r="CL85" s="1167"/>
      <c r="CM85" s="1167"/>
      <c r="CN85" s="1167"/>
      <c r="CO85" s="1167"/>
      <c r="CP85" s="1131"/>
      <c r="CQ85" s="1125"/>
    </row>
    <row r="86" spans="1:95" ht="12" customHeight="1" x14ac:dyDescent="0.2">
      <c r="A86" s="1125"/>
      <c r="B86" s="2096">
        <f>B75+2</f>
        <v>16</v>
      </c>
      <c r="C86" s="5497"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498"/>
      <c r="E86" s="5498"/>
      <c r="F86" s="5498"/>
      <c r="G86" s="5498"/>
      <c r="H86" s="1145" t="s">
        <v>1627</v>
      </c>
      <c r="I86" s="1146">
        <f>B86</f>
        <v>16</v>
      </c>
      <c r="J86" s="5463" t="s">
        <v>7687</v>
      </c>
      <c r="K86" s="5463"/>
      <c r="L86" s="5463"/>
      <c r="M86" s="5464" t="str">
        <f>IF(C86=0,"",VLOOKUP(C86,'Tablas Magia'!$D$6:$Z$680,2,FALSE))</f>
        <v>Luz</v>
      </c>
      <c r="N86" s="5464"/>
      <c r="O86" s="5464"/>
      <c r="P86" s="5464"/>
      <c r="Q86" s="5465"/>
      <c r="R86" s="1131"/>
      <c r="S86" s="1125"/>
      <c r="T86" s="1125"/>
      <c r="U86" s="2096">
        <f>U75+2</f>
        <v>36</v>
      </c>
      <c r="V86" s="5497"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498"/>
      <c r="X86" s="5498"/>
      <c r="Y86" s="5498"/>
      <c r="Z86" s="5498"/>
      <c r="AA86" s="1145" t="s">
        <v>1627</v>
      </c>
      <c r="AB86" s="1146">
        <f>U86</f>
        <v>36</v>
      </c>
      <c r="AC86" s="5463" t="s">
        <v>7687</v>
      </c>
      <c r="AD86" s="5463"/>
      <c r="AE86" s="5463"/>
      <c r="AF86" s="5464" t="str">
        <f>IF(V86=0,"",VLOOKUP(V86,'Tablas Magia'!$D$6:$Z$680,2,FALSE))</f>
        <v>Luz</v>
      </c>
      <c r="AG86" s="5464"/>
      <c r="AH86" s="5464"/>
      <c r="AI86" s="5464"/>
      <c r="AJ86" s="5465"/>
      <c r="AK86" s="1131"/>
      <c r="AL86" s="1125"/>
      <c r="AM86" s="1125"/>
      <c r="AN86" s="2110">
        <f>AN75+2</f>
        <v>56</v>
      </c>
      <c r="AO86" s="5497"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498"/>
      <c r="AQ86" s="5498"/>
      <c r="AR86" s="5498"/>
      <c r="AS86" s="5498"/>
      <c r="AT86" s="1145" t="s">
        <v>1627</v>
      </c>
      <c r="AU86" s="1146">
        <f>AN86</f>
        <v>56</v>
      </c>
      <c r="AV86" s="5463" t="s">
        <v>7687</v>
      </c>
      <c r="AW86" s="5463"/>
      <c r="AX86" s="5463"/>
      <c r="AY86" s="5464" t="str">
        <f>IF(AO86=0,"",VLOOKUP(AO86,'Tablas Magia'!$D$6:$Z$680,2,FALSE))</f>
        <v>Luz</v>
      </c>
      <c r="AZ86" s="5464"/>
      <c r="BA86" s="5464"/>
      <c r="BB86" s="5464"/>
      <c r="BC86" s="5465"/>
      <c r="BD86" s="1131"/>
      <c r="BE86" s="1125"/>
      <c r="BF86" s="1125"/>
      <c r="BG86" s="2110">
        <f>BG75+2</f>
        <v>76</v>
      </c>
      <c r="BH86" s="5497"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498"/>
      <c r="BJ86" s="5498"/>
      <c r="BK86" s="5498"/>
      <c r="BL86" s="5498"/>
      <c r="BM86" s="1145" t="s">
        <v>1627</v>
      </c>
      <c r="BN86" s="1146">
        <f>BG86</f>
        <v>76</v>
      </c>
      <c r="BO86" s="5463" t="s">
        <v>7687</v>
      </c>
      <c r="BP86" s="5463"/>
      <c r="BQ86" s="5463"/>
      <c r="BR86" s="5464" t="str">
        <f>IF(BH86=0,"",VLOOKUP(BH86,'Tablas Magia'!$D$6:$Z$680,2,FALSE))</f>
        <v>Luz</v>
      </c>
      <c r="BS86" s="5464"/>
      <c r="BT86" s="5464"/>
      <c r="BU86" s="5464"/>
      <c r="BV86" s="5465"/>
      <c r="BW86" s="1131"/>
      <c r="BX86" s="1125"/>
      <c r="BY86" s="1125"/>
      <c r="BZ86" s="2110">
        <f>BZ75+2</f>
        <v>96</v>
      </c>
      <c r="CA86" s="5497"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498"/>
      <c r="CC86" s="5498"/>
      <c r="CD86" s="5498"/>
      <c r="CE86" s="5498"/>
      <c r="CF86" s="1145" t="s">
        <v>1627</v>
      </c>
      <c r="CG86" s="1146">
        <f>BZ86</f>
        <v>96</v>
      </c>
      <c r="CH86" s="5463" t="s">
        <v>7687</v>
      </c>
      <c r="CI86" s="5463"/>
      <c r="CJ86" s="5463"/>
      <c r="CK86" s="5464" t="str">
        <f>IF(CA86=0,"",VLOOKUP(CA86,'Tablas Magia'!$D$6:$Z$680,2,FALSE))</f>
        <v>Luz</v>
      </c>
      <c r="CL86" s="5464"/>
      <c r="CM86" s="5464"/>
      <c r="CN86" s="5464"/>
      <c r="CO86" s="5465"/>
      <c r="CP86" s="1131"/>
      <c r="CQ86" s="1125"/>
    </row>
    <row r="87" spans="1:95" ht="12" customHeight="1" x14ac:dyDescent="0.2">
      <c r="A87" s="1125"/>
      <c r="B87" s="2096"/>
      <c r="C87" s="5481" t="s">
        <v>7688</v>
      </c>
      <c r="D87" s="5482"/>
      <c r="E87" s="1147" t="s">
        <v>7689</v>
      </c>
      <c r="F87" s="1147" t="s">
        <v>1820</v>
      </c>
      <c r="G87" s="1147" t="s">
        <v>3334</v>
      </c>
      <c r="H87" s="1148" t="s">
        <v>2165</v>
      </c>
      <c r="I87" s="5478" t="str">
        <f>IF(C86=0,"",VLOOKUP(C86,'Tablas Magia'!$D$6:$Z$680,5,FALSE))</f>
        <v>Efecto</v>
      </c>
      <c r="J87" s="5478"/>
      <c r="K87" s="5479" t="s">
        <v>7690</v>
      </c>
      <c r="L87" s="5479"/>
      <c r="M87" s="5478" t="str">
        <f>IF(C86=0,"",VLOOKUP(C86,'Tablas Magia'!$D$6:$Z$680,6,FALSE))</f>
        <v>Activa</v>
      </c>
      <c r="N87" s="5478"/>
      <c r="O87" s="5480" t="s">
        <v>7691</v>
      </c>
      <c r="P87" s="5480"/>
      <c r="Q87" s="1149" t="str">
        <f>IF(C86=0,"",VLOOKUP(C86,'Tablas Magia'!$D$6:$Z$680,4,FALSE))</f>
        <v>No</v>
      </c>
      <c r="R87" s="1131"/>
      <c r="S87" s="1125"/>
      <c r="T87" s="1125"/>
      <c r="U87" s="2096"/>
      <c r="V87" s="5481" t="s">
        <v>7688</v>
      </c>
      <c r="W87" s="5482"/>
      <c r="X87" s="1147" t="s">
        <v>7689</v>
      </c>
      <c r="Y87" s="1147" t="s">
        <v>1820</v>
      </c>
      <c r="Z87" s="1147" t="s">
        <v>3334</v>
      </c>
      <c r="AA87" s="1148" t="s">
        <v>2165</v>
      </c>
      <c r="AB87" s="5478" t="str">
        <f>IF(V86=0,"",VLOOKUP(V86,'Tablas Magia'!$D$6:$Z$680,5,FALSE))</f>
        <v>Efecto</v>
      </c>
      <c r="AC87" s="5478"/>
      <c r="AD87" s="5479" t="s">
        <v>7690</v>
      </c>
      <c r="AE87" s="5479"/>
      <c r="AF87" s="5478" t="str">
        <f>IF(V86=0,"",VLOOKUP(V86,'Tablas Magia'!$D$6:$Z$680,6,FALSE))</f>
        <v>Activa</v>
      </c>
      <c r="AG87" s="5478"/>
      <c r="AH87" s="5480" t="s">
        <v>7691</v>
      </c>
      <c r="AI87" s="5480"/>
      <c r="AJ87" s="1149" t="str">
        <f>IF(V86=0,"",VLOOKUP(V86,'Tablas Magia'!$D$6:$Z$680,4,FALSE))</f>
        <v>Si</v>
      </c>
      <c r="AK87" s="1131"/>
      <c r="AL87" s="1125"/>
      <c r="AM87" s="1125"/>
      <c r="AN87" s="2110"/>
      <c r="AO87" s="5481" t="s">
        <v>7688</v>
      </c>
      <c r="AP87" s="5482"/>
      <c r="AQ87" s="1147" t="s">
        <v>7689</v>
      </c>
      <c r="AR87" s="1147" t="s">
        <v>1820</v>
      </c>
      <c r="AS87" s="1147" t="s">
        <v>3334</v>
      </c>
      <c r="AT87" s="1148" t="s">
        <v>2165</v>
      </c>
      <c r="AU87" s="5478" t="str">
        <f>IF(AO86=0,"",VLOOKUP(AO86,'Tablas Magia'!$D$6:$Z$680,5,FALSE))</f>
        <v>Efecto</v>
      </c>
      <c r="AV87" s="5478"/>
      <c r="AW87" s="5479" t="s">
        <v>7690</v>
      </c>
      <c r="AX87" s="5479"/>
      <c r="AY87" s="5478" t="str">
        <f>IF(AO86=0,"",VLOOKUP(AO86,'Tablas Magia'!$D$6:$Z$680,6,FALSE))</f>
        <v>Activa</v>
      </c>
      <c r="AZ87" s="5478"/>
      <c r="BA87" s="5480" t="s">
        <v>7691</v>
      </c>
      <c r="BB87" s="5480"/>
      <c r="BC87" s="1149" t="str">
        <f>IF(AO86=0,"",VLOOKUP(AO86,'Tablas Magia'!$D$6:$Z$680,4,FALSE))</f>
        <v>No</v>
      </c>
      <c r="BD87" s="1131"/>
      <c r="BE87" s="1125"/>
      <c r="BF87" s="1125"/>
      <c r="BG87" s="2110"/>
      <c r="BH87" s="5481" t="s">
        <v>7688</v>
      </c>
      <c r="BI87" s="5482"/>
      <c r="BJ87" s="1147" t="s">
        <v>7689</v>
      </c>
      <c r="BK87" s="1147" t="s">
        <v>1820</v>
      </c>
      <c r="BL87" s="1147" t="s">
        <v>3334</v>
      </c>
      <c r="BM87" s="1148" t="s">
        <v>2165</v>
      </c>
      <c r="BN87" s="5478" t="str">
        <f>IF(BH86=0,"",VLOOKUP(BH86,'Tablas Magia'!$D$6:$Z$680,5,FALSE))</f>
        <v>Efecto</v>
      </c>
      <c r="BO87" s="5478"/>
      <c r="BP87" s="5479" t="s">
        <v>7690</v>
      </c>
      <c r="BQ87" s="5479"/>
      <c r="BR87" s="5478" t="str">
        <f>IF(BH86=0,"",VLOOKUP(BH86,'Tablas Magia'!$D$6:$Z$680,6,FALSE))</f>
        <v>Activa</v>
      </c>
      <c r="BS87" s="5478"/>
      <c r="BT87" s="5480" t="s">
        <v>7691</v>
      </c>
      <c r="BU87" s="5480"/>
      <c r="BV87" s="1149" t="str">
        <f>IF(BH86=0,"",VLOOKUP(BH86,'Tablas Magia'!$D$6:$Z$680,4,FALSE))</f>
        <v>No</v>
      </c>
      <c r="BW87" s="1131"/>
      <c r="BX87" s="1125"/>
      <c r="BY87" s="1125"/>
      <c r="BZ87" s="2110"/>
      <c r="CA87" s="5481" t="s">
        <v>7688</v>
      </c>
      <c r="CB87" s="5482"/>
      <c r="CC87" s="1147" t="s">
        <v>7689</v>
      </c>
      <c r="CD87" s="1147" t="s">
        <v>1820</v>
      </c>
      <c r="CE87" s="1147" t="s">
        <v>3334</v>
      </c>
      <c r="CF87" s="1148" t="s">
        <v>2165</v>
      </c>
      <c r="CG87" s="5478" t="str">
        <f>IF(CA86=0,"",VLOOKUP(CA86,'Tablas Magia'!$D$6:$Z$680,5,FALSE))</f>
        <v>Efecto</v>
      </c>
      <c r="CH87" s="5478"/>
      <c r="CI87" s="5479" t="s">
        <v>7690</v>
      </c>
      <c r="CJ87" s="5479"/>
      <c r="CK87" s="5478" t="str">
        <f>IF(CA86=0,"",VLOOKUP(CA86,'Tablas Magia'!$D$6:$Z$680,6,FALSE))</f>
        <v>Activa</v>
      </c>
      <c r="CL87" s="5478"/>
      <c r="CM87" s="5480" t="s">
        <v>7691</v>
      </c>
      <c r="CN87" s="5480"/>
      <c r="CO87" s="1149" t="str">
        <f>IF(CA86=0,"",VLOOKUP(CA86,'Tablas Magia'!$D$6:$Z$680,4,FALSE))</f>
        <v>No</v>
      </c>
      <c r="CP87" s="1131"/>
      <c r="CQ87" s="1125"/>
    </row>
    <row r="88" spans="1:95" ht="12" customHeight="1" x14ac:dyDescent="0.2">
      <c r="A88" s="1125"/>
      <c r="B88" s="2096"/>
      <c r="C88" s="5473" t="s">
        <v>1674</v>
      </c>
      <c r="D88" s="5474"/>
      <c r="E88" s="1150">
        <f>IF(C86=0,"",VLOOKUP(C86,'Tablas Magia'!$D$6:$Z$680,7,FALSE))</f>
        <v>6</v>
      </c>
      <c r="F88" s="1150">
        <f>IF(C86=0,"",VLOOKUP(C86,'Tablas Magia'!$D$6:$Z$680,11,FALSE))</f>
        <v>60</v>
      </c>
      <c r="G88" s="1151">
        <f>IF(C86=0,"",VLOOKUP(C86,'Tablas Magia'!$D$6:$Z$680,15,FALSE))</f>
        <v>5</v>
      </c>
      <c r="H88" s="5475" t="str">
        <f>IF(C86=0,"",VLOOKUP(C86,'Tablas Magia'!$D$6:$Z$680,19,FALSE))</f>
        <v>TA 2 en Energía y TA 1 en el resto</v>
      </c>
      <c r="I88" s="5476"/>
      <c r="J88" s="5476"/>
      <c r="K88" s="5476"/>
      <c r="L88" s="5476"/>
      <c r="M88" s="5476"/>
      <c r="N88" s="5476"/>
      <c r="O88" s="5476"/>
      <c r="P88" s="5476"/>
      <c r="Q88" s="5477"/>
      <c r="R88" s="1131"/>
      <c r="S88" s="1125"/>
      <c r="T88" s="1125"/>
      <c r="U88" s="2096"/>
      <c r="V88" s="5473" t="s">
        <v>1674</v>
      </c>
      <c r="W88" s="5474"/>
      <c r="X88" s="1150">
        <f>IF(V86=0,"",VLOOKUP(V86,'Tablas Magia'!$D$6:$Z$680,7,FALSE))</f>
        <v>6</v>
      </c>
      <c r="Y88" s="1150">
        <f>IF(V86=0,"",VLOOKUP(V86,'Tablas Magia'!$D$6:$Z$680,11,FALSE))</f>
        <v>100</v>
      </c>
      <c r="Z88" s="1151">
        <f>IF(V86=0,"",VLOOKUP(V86,'Tablas Magia'!$D$6:$Z$680,15,FALSE))</f>
        <v>20</v>
      </c>
      <c r="AA88" s="5475" t="str">
        <f>IF(V86=0,"",VLOOKUP(V86,'Tablas Magia'!$D$6:$Z$680,19,FALSE))</f>
        <v>100 en Advertir y Buscar / 1 Kilómetro de distancia máxima</v>
      </c>
      <c r="AB88" s="5476"/>
      <c r="AC88" s="5476"/>
      <c r="AD88" s="5476"/>
      <c r="AE88" s="5476"/>
      <c r="AF88" s="5476"/>
      <c r="AG88" s="5476"/>
      <c r="AH88" s="5476"/>
      <c r="AI88" s="5476"/>
      <c r="AJ88" s="5477"/>
      <c r="AK88" s="1131"/>
      <c r="AL88" s="1125"/>
      <c r="AM88" s="1125"/>
      <c r="AN88" s="2110"/>
      <c r="AO88" s="5473" t="s">
        <v>1674</v>
      </c>
      <c r="AP88" s="5474"/>
      <c r="AQ88" s="1150">
        <f>IF(AO86=0,"",VLOOKUP(AO86,'Tablas Magia'!$D$6:$Z$680,7,FALSE))</f>
        <v>8</v>
      </c>
      <c r="AR88" s="1150">
        <f>IF(AO86=0,"",VLOOKUP(AO86,'Tablas Magia'!$D$6:$Z$680,11,FALSE))</f>
        <v>100</v>
      </c>
      <c r="AS88" s="1151">
        <f>IF(AO86=0,"",VLOOKUP(AO86,'Tablas Magia'!$D$6:$Z$680,15,FALSE))</f>
        <v>5</v>
      </c>
      <c r="AT88" s="5475" t="str">
        <f>IF(AO86=0,"",VLOOKUP(AO86,'Tablas Magia'!$D$6:$Z$680,19,FALSE))</f>
        <v xml:space="preserve"> +10 a toda acción / +10 resistencias / Radio de 5 metros</v>
      </c>
      <c r="AU88" s="5476"/>
      <c r="AV88" s="5476"/>
      <c r="AW88" s="5476"/>
      <c r="AX88" s="5476"/>
      <c r="AY88" s="5476"/>
      <c r="AZ88" s="5476"/>
      <c r="BA88" s="5476"/>
      <c r="BB88" s="5476"/>
      <c r="BC88" s="5477"/>
      <c r="BD88" s="1131"/>
      <c r="BE88" s="1125"/>
      <c r="BF88" s="1125"/>
      <c r="BG88" s="2110"/>
      <c r="BH88" s="5473" t="s">
        <v>1674</v>
      </c>
      <c r="BI88" s="5474"/>
      <c r="BJ88" s="1150">
        <f>IF(BH86=0,"",VLOOKUP(BH86,'Tablas Magia'!$D$6:$Z$680,7,FALSE))</f>
        <v>10</v>
      </c>
      <c r="BK88" s="1150">
        <f>IF(BH86=0,"",VLOOKUP(BH86,'Tablas Magia'!$D$6:$Z$680,11,FALSE))</f>
        <v>150</v>
      </c>
      <c r="BL88" s="1151">
        <f>IF(BH86=0,"",VLOOKUP(BH86,'Tablas Magia'!$D$6:$Z$680,15,FALSE))</f>
        <v>15</v>
      </c>
      <c r="BM88" s="5475" t="str">
        <f>IF(BH86=0,"",VLOOKUP(BH86,'Tablas Magia'!$D$6:$Z$680,19,FALSE))</f>
        <v>Presencia 60 / Calidad +5</v>
      </c>
      <c r="BN88" s="5476"/>
      <c r="BO88" s="5476"/>
      <c r="BP88" s="5476"/>
      <c r="BQ88" s="5476"/>
      <c r="BR88" s="5476"/>
      <c r="BS88" s="5476"/>
      <c r="BT88" s="5476"/>
      <c r="BU88" s="5476"/>
      <c r="BV88" s="5477"/>
      <c r="BW88" s="1131"/>
      <c r="BX88" s="1125"/>
      <c r="BY88" s="1125"/>
      <c r="BZ88" s="2110"/>
      <c r="CA88" s="5473" t="s">
        <v>1674</v>
      </c>
      <c r="CB88" s="5474"/>
      <c r="CC88" s="1150">
        <f>IF(CA86=0,"",VLOOKUP(CA86,'Tablas Magia'!$D$6:$Z$680,7,FALSE))</f>
        <v>12</v>
      </c>
      <c r="CD88" s="1150">
        <f>IF(CA86=0,"",VLOOKUP(CA86,'Tablas Magia'!$D$6:$Z$680,11,FALSE))</f>
        <v>200</v>
      </c>
      <c r="CE88" s="1151" t="str">
        <f>IF(CA86=0,"",VLOOKUP(CA86,'Tablas Magia'!$D$6:$Z$680,15,FALSE))</f>
        <v>No</v>
      </c>
      <c r="CF88" s="5475" t="str">
        <f>IF(CA86=0,"",VLOOKUP(CA86,'Tablas Magia'!$D$6:$Z$680,19,FALSE))</f>
        <v>Un día</v>
      </c>
      <c r="CG88" s="5476"/>
      <c r="CH88" s="5476"/>
      <c r="CI88" s="5476"/>
      <c r="CJ88" s="5476"/>
      <c r="CK88" s="5476"/>
      <c r="CL88" s="5476"/>
      <c r="CM88" s="5476"/>
      <c r="CN88" s="5476"/>
      <c r="CO88" s="5477"/>
      <c r="CP88" s="1131"/>
      <c r="CQ88" s="1125"/>
    </row>
    <row r="89" spans="1:95" ht="12" customHeight="1" x14ac:dyDescent="0.2">
      <c r="A89" s="1125"/>
      <c r="B89" s="2096"/>
      <c r="C89" s="5468" t="s">
        <v>4572</v>
      </c>
      <c r="D89" s="5469"/>
      <c r="E89" s="1152">
        <f>IF(C86=0,"",VLOOKUP(C86,'Tablas Magia'!$D$6:$Z$680,8,FALSE))</f>
        <v>9</v>
      </c>
      <c r="F89" s="1152">
        <f>IF(C86=0,"",VLOOKUP(C86,'Tablas Magia'!$D$6:$Z$680,12,FALSE))</f>
        <v>90</v>
      </c>
      <c r="G89" s="1153">
        <f>IF(C86=0,"",VLOOKUP(C86,'Tablas Magia'!$D$6:$Z$680,16,FALSE))</f>
        <v>10</v>
      </c>
      <c r="H89" s="5470" t="str">
        <f>IF(C86=0,"",VLOOKUP(C86,'Tablas Magia'!$D$6:$Z$680,20,FALSE))</f>
        <v>TA 5 en Energía y TA 2 en el resto</v>
      </c>
      <c r="I89" s="5471"/>
      <c r="J89" s="5471"/>
      <c r="K89" s="5471"/>
      <c r="L89" s="5471"/>
      <c r="M89" s="5471"/>
      <c r="N89" s="5471"/>
      <c r="O89" s="5471"/>
      <c r="P89" s="5471"/>
      <c r="Q89" s="5472"/>
      <c r="R89" s="1131"/>
      <c r="S89" s="1125"/>
      <c r="T89" s="1125"/>
      <c r="U89" s="2096"/>
      <c r="V89" s="5468" t="s">
        <v>4572</v>
      </c>
      <c r="W89" s="5469"/>
      <c r="X89" s="1152">
        <f>IF(V86=0,"",VLOOKUP(V86,'Tablas Magia'!$D$6:$Z$680,8,FALSE))</f>
        <v>9</v>
      </c>
      <c r="Y89" s="1152">
        <f>IF(V86=0,"",VLOOKUP(V86,'Tablas Magia'!$D$6:$Z$680,12,FALSE))</f>
        <v>200</v>
      </c>
      <c r="Z89" s="1153">
        <f>IF(V86=0,"",VLOOKUP(V86,'Tablas Magia'!$D$6:$Z$680,16,FALSE))</f>
        <v>40</v>
      </c>
      <c r="AA89" s="5470" t="str">
        <f>IF(V86=0,"",VLOOKUP(V86,'Tablas Magia'!$D$6:$Z$680,20,FALSE))</f>
        <v>150 en Advertir y Buscar / 10 Kilómetros de distancia máxima.</v>
      </c>
      <c r="AB89" s="5471"/>
      <c r="AC89" s="5471"/>
      <c r="AD89" s="5471"/>
      <c r="AE89" s="5471"/>
      <c r="AF89" s="5471"/>
      <c r="AG89" s="5471"/>
      <c r="AH89" s="5471"/>
      <c r="AI89" s="5471"/>
      <c r="AJ89" s="5472"/>
      <c r="AK89" s="1131"/>
      <c r="AL89" s="1125"/>
      <c r="AM89" s="1125"/>
      <c r="AN89" s="2110"/>
      <c r="AO89" s="5468" t="s">
        <v>4572</v>
      </c>
      <c r="AP89" s="5469"/>
      <c r="AQ89" s="1152">
        <f>IF(AO86=0,"",VLOOKUP(AO86,'Tablas Magia'!$D$6:$Z$680,8,FALSE))</f>
        <v>10</v>
      </c>
      <c r="AR89" s="1152">
        <f>IF(AO86=0,"",VLOOKUP(AO86,'Tablas Magia'!$D$6:$Z$680,12,FALSE))</f>
        <v>180</v>
      </c>
      <c r="AS89" s="1153">
        <f>IF(AO86=0,"",VLOOKUP(AO86,'Tablas Magia'!$D$6:$Z$680,16,FALSE))</f>
        <v>10</v>
      </c>
      <c r="AT89" s="5470" t="str">
        <f>IF(AO86=0,"",VLOOKUP(AO86,'Tablas Magia'!$D$6:$Z$680,20,FALSE))</f>
        <v xml:space="preserve"> +20 a toda acción / +20 resistencias / Radio de 25 metros</v>
      </c>
      <c r="AU89" s="5471"/>
      <c r="AV89" s="5471"/>
      <c r="AW89" s="5471"/>
      <c r="AX89" s="5471"/>
      <c r="AY89" s="5471"/>
      <c r="AZ89" s="5471"/>
      <c r="BA89" s="5471"/>
      <c r="BB89" s="5471"/>
      <c r="BC89" s="5472"/>
      <c r="BD89" s="1131"/>
      <c r="BE89" s="1125"/>
      <c r="BF89" s="1125"/>
      <c r="BG89" s="2110"/>
      <c r="BH89" s="5468" t="s">
        <v>4572</v>
      </c>
      <c r="BI89" s="5469"/>
      <c r="BJ89" s="1152">
        <f>IF(BH86=0,"",VLOOKUP(BH86,'Tablas Magia'!$D$6:$Z$680,8,FALSE))</f>
        <v>12</v>
      </c>
      <c r="BK89" s="1152">
        <f>IF(BH86=0,"",VLOOKUP(BH86,'Tablas Magia'!$D$6:$Z$680,12,FALSE))</f>
        <v>200</v>
      </c>
      <c r="BL89" s="1153">
        <f>IF(BH86=0,"",VLOOKUP(BH86,'Tablas Magia'!$D$6:$Z$680,16,FALSE))</f>
        <v>20</v>
      </c>
      <c r="BM89" s="5470" t="str">
        <f>IF(BH86=0,"",VLOOKUP(BH86,'Tablas Magia'!$D$6:$Z$680,20,FALSE))</f>
        <v>Presencia 100 / Calidad +10</v>
      </c>
      <c r="BN89" s="5471"/>
      <c r="BO89" s="5471"/>
      <c r="BP89" s="5471"/>
      <c r="BQ89" s="5471"/>
      <c r="BR89" s="5471"/>
      <c r="BS89" s="5471"/>
      <c r="BT89" s="5471"/>
      <c r="BU89" s="5471"/>
      <c r="BV89" s="5472"/>
      <c r="BW89" s="1131"/>
      <c r="BX89" s="1125"/>
      <c r="BY89" s="1125"/>
      <c r="BZ89" s="2110"/>
      <c r="CA89" s="5468" t="s">
        <v>4572</v>
      </c>
      <c r="CB89" s="5469"/>
      <c r="CC89" s="1152">
        <f>IF(CA86=0,"",VLOOKUP(CA86,'Tablas Magia'!$D$6:$Z$680,8,FALSE))</f>
        <v>14</v>
      </c>
      <c r="CD89" s="1152">
        <f>IF(CA86=0,"",VLOOKUP(CA86,'Tablas Magia'!$D$6:$Z$680,12,FALSE))</f>
        <v>400</v>
      </c>
      <c r="CE89" s="1153" t="str">
        <f>IF(CA86=0,"",VLOOKUP(CA86,'Tablas Magia'!$D$6:$Z$680,16,FALSE))</f>
        <v>No</v>
      </c>
      <c r="CF89" s="5470" t="str">
        <f>IF(CA86=0,"",VLOOKUP(CA86,'Tablas Magia'!$D$6:$Z$680,20,FALSE))</f>
        <v>Una semana</v>
      </c>
      <c r="CG89" s="5471"/>
      <c r="CH89" s="5471"/>
      <c r="CI89" s="5471"/>
      <c r="CJ89" s="5471"/>
      <c r="CK89" s="5471"/>
      <c r="CL89" s="5471"/>
      <c r="CM89" s="5471"/>
      <c r="CN89" s="5471"/>
      <c r="CO89" s="5472"/>
      <c r="CP89" s="1131"/>
      <c r="CQ89" s="1125"/>
    </row>
    <row r="90" spans="1:95" ht="12" customHeight="1" x14ac:dyDescent="0.2">
      <c r="A90" s="1125"/>
      <c r="B90" s="2096"/>
      <c r="C90" s="5473" t="s">
        <v>4573</v>
      </c>
      <c r="D90" s="5474"/>
      <c r="E90" s="1150">
        <f>IF(C86=0,"",VLOOKUP(C86,'Tablas Magia'!$D$6:$Z$680,9,FALSE))</f>
        <v>12</v>
      </c>
      <c r="F90" s="1150">
        <f>IF(C86=0,"",VLOOKUP(C86,'Tablas Magia'!$D$6:$Z$680,13,FALSE))</f>
        <v>120</v>
      </c>
      <c r="G90" s="1151">
        <f>IF(C86=0,"",VLOOKUP(C86,'Tablas Magia'!$D$6:$Z$680,17,FALSE))</f>
        <v>15</v>
      </c>
      <c r="H90" s="5475" t="str">
        <f>IF(C86=0,"",VLOOKUP(C86,'Tablas Magia'!$D$6:$Z$680,21,FALSE))</f>
        <v>TA 8 en Energía y TA 4 en el resto.</v>
      </c>
      <c r="I90" s="5476"/>
      <c r="J90" s="5476"/>
      <c r="K90" s="5476"/>
      <c r="L90" s="5476"/>
      <c r="M90" s="5476"/>
      <c r="N90" s="5476"/>
      <c r="O90" s="5476"/>
      <c r="P90" s="5476"/>
      <c r="Q90" s="5477"/>
      <c r="R90" s="1131"/>
      <c r="S90" s="1125"/>
      <c r="T90" s="1125"/>
      <c r="U90" s="2096"/>
      <c r="V90" s="5473" t="s">
        <v>4573</v>
      </c>
      <c r="W90" s="5474"/>
      <c r="X90" s="1150">
        <f>IF(V86=0,"",VLOOKUP(V86,'Tablas Magia'!$D$6:$Z$680,9,FALSE))</f>
        <v>12</v>
      </c>
      <c r="Y90" s="1150">
        <f>IF(V86=0,"",VLOOKUP(V86,'Tablas Magia'!$D$6:$Z$680,13,FALSE))</f>
        <v>300</v>
      </c>
      <c r="Z90" s="1151">
        <f>IF(V86=0,"",VLOOKUP(V86,'Tablas Magia'!$D$6:$Z$680,17,FALSE))</f>
        <v>60</v>
      </c>
      <c r="AA90" s="5475" t="str">
        <f>IF(V86=0,"",VLOOKUP(V86,'Tablas Magia'!$D$6:$Z$680,21,FALSE))</f>
        <v>200 en Advertir y Buscar / 50 Kilómetros de distancia máxima.</v>
      </c>
      <c r="AB90" s="5476"/>
      <c r="AC90" s="5476"/>
      <c r="AD90" s="5476"/>
      <c r="AE90" s="5476"/>
      <c r="AF90" s="5476"/>
      <c r="AG90" s="5476"/>
      <c r="AH90" s="5476"/>
      <c r="AI90" s="5476"/>
      <c r="AJ90" s="5477"/>
      <c r="AK90" s="1131"/>
      <c r="AL90" s="1125"/>
      <c r="AM90" s="1125"/>
      <c r="AN90" s="2110"/>
      <c r="AO90" s="5473" t="s">
        <v>4573</v>
      </c>
      <c r="AP90" s="5474"/>
      <c r="AQ90" s="1150">
        <f>IF(AO86=0,"",VLOOKUP(AO86,'Tablas Magia'!$D$6:$Z$680,9,FALSE))</f>
        <v>12</v>
      </c>
      <c r="AR90" s="1150">
        <f>IF(AO86=0,"",VLOOKUP(AO86,'Tablas Magia'!$D$6:$Z$680,13,FALSE))</f>
        <v>240</v>
      </c>
      <c r="AS90" s="1151">
        <f>IF(AO86=0,"",VLOOKUP(AO86,'Tablas Magia'!$D$6:$Z$680,17,FALSE))</f>
        <v>15</v>
      </c>
      <c r="AT90" s="5475" t="str">
        <f>IF(AO86=0,"",VLOOKUP(AO86,'Tablas Magia'!$D$6:$Z$680,21,FALSE))</f>
        <v xml:space="preserve"> +20 a toda acción / +30 resistencias / Radio de 50 metros</v>
      </c>
      <c r="AU90" s="5476"/>
      <c r="AV90" s="5476"/>
      <c r="AW90" s="5476"/>
      <c r="AX90" s="5476"/>
      <c r="AY90" s="5476"/>
      <c r="AZ90" s="5476"/>
      <c r="BA90" s="5476"/>
      <c r="BB90" s="5476"/>
      <c r="BC90" s="5477"/>
      <c r="BD90" s="1131"/>
      <c r="BE90" s="1125"/>
      <c r="BF90" s="1125"/>
      <c r="BG90" s="2110"/>
      <c r="BH90" s="5473" t="s">
        <v>4573</v>
      </c>
      <c r="BI90" s="5474"/>
      <c r="BJ90" s="1150">
        <f>IF(BH86=0,"",VLOOKUP(BH86,'Tablas Magia'!$D$6:$Z$680,9,FALSE))</f>
        <v>14</v>
      </c>
      <c r="BK90" s="1150">
        <f>IF(BH86=0,"",VLOOKUP(BH86,'Tablas Magia'!$D$6:$Z$680,13,FALSE))</f>
        <v>240</v>
      </c>
      <c r="BL90" s="1151">
        <f>IF(BH86=0,"",VLOOKUP(BH86,'Tablas Magia'!$D$6:$Z$680,17,FALSE))</f>
        <v>25</v>
      </c>
      <c r="BM90" s="5475" t="str">
        <f>IF(BH86=0,"",VLOOKUP(BH86,'Tablas Magia'!$D$6:$Z$680,21,FALSE))</f>
        <v>Presencia 140 / Calidad +10</v>
      </c>
      <c r="BN90" s="5476"/>
      <c r="BO90" s="5476"/>
      <c r="BP90" s="5476"/>
      <c r="BQ90" s="5476"/>
      <c r="BR90" s="5476"/>
      <c r="BS90" s="5476"/>
      <c r="BT90" s="5476"/>
      <c r="BU90" s="5476"/>
      <c r="BV90" s="5477"/>
      <c r="BW90" s="1131"/>
      <c r="BX90" s="1125"/>
      <c r="BY90" s="1125"/>
      <c r="BZ90" s="2110"/>
      <c r="CA90" s="5473" t="s">
        <v>4573</v>
      </c>
      <c r="CB90" s="5474"/>
      <c r="CC90" s="1150">
        <f>IF(CA86=0,"",VLOOKUP(CA86,'Tablas Magia'!$D$6:$Z$680,9,FALSE))</f>
        <v>16</v>
      </c>
      <c r="CD90" s="1150">
        <f>IF(CA86=0,"",VLOOKUP(CA86,'Tablas Magia'!$D$6:$Z$680,13,FALSE))</f>
        <v>600</v>
      </c>
      <c r="CE90" s="1151" t="str">
        <f>IF(CA86=0,"",VLOOKUP(CA86,'Tablas Magia'!$D$6:$Z$680,17,FALSE))</f>
        <v>No</v>
      </c>
      <c r="CF90" s="5475" t="str">
        <f>IF(CA86=0,"",VLOOKUP(CA86,'Tablas Magia'!$D$6:$Z$680,21,FALSE))</f>
        <v>Un mes</v>
      </c>
      <c r="CG90" s="5476"/>
      <c r="CH90" s="5476"/>
      <c r="CI90" s="5476"/>
      <c r="CJ90" s="5476"/>
      <c r="CK90" s="5476"/>
      <c r="CL90" s="5476"/>
      <c r="CM90" s="5476"/>
      <c r="CN90" s="5476"/>
      <c r="CO90" s="5477"/>
      <c r="CP90" s="1131"/>
      <c r="CQ90" s="1125"/>
    </row>
    <row r="91" spans="1:95" ht="12" customHeight="1" thickBot="1" x14ac:dyDescent="0.25">
      <c r="A91" s="1125"/>
      <c r="B91" s="2096"/>
      <c r="C91" s="5483" t="s">
        <v>4574</v>
      </c>
      <c r="D91" s="5484"/>
      <c r="E91" s="1154">
        <f>IF(C86=0,"",VLOOKUP(C86,'Tablas Magia'!$D$6:$Z$680,10,FALSE))</f>
        <v>15</v>
      </c>
      <c r="F91" s="1154">
        <f>IF(C86=0,"",VLOOKUP(C86,'Tablas Magia'!$D$6:$Z$680,14,FALSE))</f>
        <v>150</v>
      </c>
      <c r="G91" s="1155">
        <f>IF(C86=0,"",VLOOKUP(C86,'Tablas Magia'!$D$6:$Z$680,18,FALSE))</f>
        <v>20</v>
      </c>
      <c r="H91" s="5485" t="str">
        <f>IF(C86=0,"",VLOOKUP(C86,'Tablas Magia'!$D$6:$Z$680,22,FALSE))</f>
        <v>TA 12 en Energía y TA 6 en el resto.</v>
      </c>
      <c r="I91" s="5486"/>
      <c r="J91" s="5486"/>
      <c r="K91" s="5486"/>
      <c r="L91" s="5486"/>
      <c r="M91" s="5486"/>
      <c r="N91" s="5486"/>
      <c r="O91" s="5486"/>
      <c r="P91" s="5486"/>
      <c r="Q91" s="5487"/>
      <c r="R91" s="1131"/>
      <c r="S91" s="1125"/>
      <c r="T91" s="1125"/>
      <c r="U91" s="2096"/>
      <c r="V91" s="5483" t="s">
        <v>4574</v>
      </c>
      <c r="W91" s="5484"/>
      <c r="X91" s="1154">
        <f>IF(V86=0,"",VLOOKUP(V86,'Tablas Magia'!$D$6:$Z$680,10,FALSE))</f>
        <v>15</v>
      </c>
      <c r="Y91" s="1154">
        <f>IF(V86=0,"",VLOOKUP(V86,'Tablas Magia'!$D$6:$Z$680,14,FALSE))</f>
        <v>400</v>
      </c>
      <c r="Z91" s="1155">
        <f>IF(V86=0,"",VLOOKUP(V86,'Tablas Magia'!$D$6:$Z$680,18,FALSE))</f>
        <v>80</v>
      </c>
      <c r="AA91" s="5485" t="str">
        <f>IF(V86=0,"",VLOOKUP(V86,'Tablas Magia'!$D$6:$Z$680,22,FALSE))</f>
        <v>250 en Advertir y Buscar / 500 Kilómetros de distancia máxima</v>
      </c>
      <c r="AB91" s="5486"/>
      <c r="AC91" s="5486"/>
      <c r="AD91" s="5486"/>
      <c r="AE91" s="5486"/>
      <c r="AF91" s="5486"/>
      <c r="AG91" s="5486"/>
      <c r="AH91" s="5486"/>
      <c r="AI91" s="5486"/>
      <c r="AJ91" s="5487"/>
      <c r="AK91" s="1131"/>
      <c r="AL91" s="1125"/>
      <c r="AM91" s="1125"/>
      <c r="AN91" s="2110"/>
      <c r="AO91" s="5483" t="s">
        <v>4574</v>
      </c>
      <c r="AP91" s="5484"/>
      <c r="AQ91" s="1154">
        <f>IF(AO86=0,"",VLOOKUP(AO86,'Tablas Magia'!$D$6:$Z$680,10,FALSE))</f>
        <v>15</v>
      </c>
      <c r="AR91" s="1154">
        <f>IF(AO86=0,"",VLOOKUP(AO86,'Tablas Magia'!$D$6:$Z$680,14,FALSE))</f>
        <v>300</v>
      </c>
      <c r="AS91" s="1155">
        <f>IF(AO86=0,"",VLOOKUP(AO86,'Tablas Magia'!$D$6:$Z$680,18,FALSE))</f>
        <v>15</v>
      </c>
      <c r="AT91" s="5485" t="str">
        <f>IF(AO86=0,"",VLOOKUP(AO86,'Tablas Magia'!$D$6:$Z$680,22,FALSE))</f>
        <v xml:space="preserve"> +30 a toda acción / +30 resistencias / Radio de 150 metros</v>
      </c>
      <c r="AU91" s="5486"/>
      <c r="AV91" s="5486"/>
      <c r="AW91" s="5486"/>
      <c r="AX91" s="5486"/>
      <c r="AY91" s="5486"/>
      <c r="AZ91" s="5486"/>
      <c r="BA91" s="5486"/>
      <c r="BB91" s="5486"/>
      <c r="BC91" s="5487"/>
      <c r="BD91" s="1131"/>
      <c r="BE91" s="1125"/>
      <c r="BF91" s="1125"/>
      <c r="BG91" s="2110"/>
      <c r="BH91" s="5483" t="s">
        <v>4574</v>
      </c>
      <c r="BI91" s="5484"/>
      <c r="BJ91" s="1154">
        <f>IF(BH86=0,"",VLOOKUP(BH86,'Tablas Magia'!$D$6:$Z$680,10,FALSE))</f>
        <v>16</v>
      </c>
      <c r="BK91" s="1154">
        <f>IF(BH86=0,"",VLOOKUP(BH86,'Tablas Magia'!$D$6:$Z$680,14,FALSE))</f>
        <v>300</v>
      </c>
      <c r="BL91" s="1155">
        <f>IF(BH86=0,"",VLOOKUP(BH86,'Tablas Magia'!$D$6:$Z$680,18,FALSE))</f>
        <v>30</v>
      </c>
      <c r="BM91" s="5485" t="str">
        <f>IF(BH86=0,"",VLOOKUP(BH86,'Tablas Magia'!$D$6:$Z$680,22,FALSE))</f>
        <v>Presencia 180 / Calidad +15</v>
      </c>
      <c r="BN91" s="5486"/>
      <c r="BO91" s="5486"/>
      <c r="BP91" s="5486"/>
      <c r="BQ91" s="5486"/>
      <c r="BR91" s="5486"/>
      <c r="BS91" s="5486"/>
      <c r="BT91" s="5486"/>
      <c r="BU91" s="5486"/>
      <c r="BV91" s="5487"/>
      <c r="BW91" s="1131"/>
      <c r="BX91" s="1125"/>
      <c r="BY91" s="1125"/>
      <c r="BZ91" s="2110"/>
      <c r="CA91" s="5483" t="s">
        <v>4574</v>
      </c>
      <c r="CB91" s="5484"/>
      <c r="CC91" s="1154">
        <f>IF(CA86=0,"",VLOOKUP(CA86,'Tablas Magia'!$D$6:$Z$680,10,FALSE))</f>
        <v>18</v>
      </c>
      <c r="CD91" s="1154">
        <f>IF(CA86=0,"",VLOOKUP(CA86,'Tablas Magia'!$D$6:$Z$680,14,FALSE))</f>
        <v>800</v>
      </c>
      <c r="CE91" s="1155" t="str">
        <f>IF(CA86=0,"",VLOOKUP(CA86,'Tablas Magia'!$D$6:$Z$680,18,FALSE))</f>
        <v>No</v>
      </c>
      <c r="CF91" s="5485" t="str">
        <f>IF(CA86=0,"",VLOOKUP(CA86,'Tablas Magia'!$D$6:$Z$680,22,FALSE))</f>
        <v>Un año</v>
      </c>
      <c r="CG91" s="5486"/>
      <c r="CH91" s="5486"/>
      <c r="CI91" s="5486"/>
      <c r="CJ91" s="5486"/>
      <c r="CK91" s="5486"/>
      <c r="CL91" s="5486"/>
      <c r="CM91" s="5486"/>
      <c r="CN91" s="5486"/>
      <c r="CO91" s="5487"/>
      <c r="CP91" s="1131"/>
      <c r="CQ91" s="1125"/>
    </row>
    <row r="92" spans="1:95" ht="12" customHeight="1" x14ac:dyDescent="0.2">
      <c r="A92" s="1125"/>
      <c r="B92" s="2096"/>
      <c r="C92" s="5488"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489"/>
      <c r="E92" s="5489"/>
      <c r="F92" s="5489"/>
      <c r="G92" s="5489"/>
      <c r="H92" s="5489"/>
      <c r="I92" s="5489"/>
      <c r="J92" s="5489"/>
      <c r="K92" s="5489"/>
      <c r="L92" s="5489"/>
      <c r="M92" s="5489"/>
      <c r="N92" s="5489"/>
      <c r="O92" s="5489"/>
      <c r="P92" s="5489"/>
      <c r="Q92" s="5490"/>
      <c r="R92" s="1131"/>
      <c r="S92" s="1125"/>
      <c r="T92" s="1125"/>
      <c r="U92" s="2096"/>
      <c r="V92" s="5488"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489"/>
      <c r="X92" s="5489"/>
      <c r="Y92" s="5489"/>
      <c r="Z92" s="5489"/>
      <c r="AA92" s="5489"/>
      <c r="AB92" s="5489"/>
      <c r="AC92" s="5489"/>
      <c r="AD92" s="5489"/>
      <c r="AE92" s="5489"/>
      <c r="AF92" s="5489"/>
      <c r="AG92" s="5489"/>
      <c r="AH92" s="5489"/>
      <c r="AI92" s="5489"/>
      <c r="AJ92" s="5490"/>
      <c r="AK92" s="1131"/>
      <c r="AL92" s="1125"/>
      <c r="AM92" s="1125"/>
      <c r="AN92" s="2110"/>
      <c r="AO92" s="5488"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489"/>
      <c r="AQ92" s="5489"/>
      <c r="AR92" s="5489"/>
      <c r="AS92" s="5489"/>
      <c r="AT92" s="5489"/>
      <c r="AU92" s="5489"/>
      <c r="AV92" s="5489"/>
      <c r="AW92" s="5489"/>
      <c r="AX92" s="5489"/>
      <c r="AY92" s="5489"/>
      <c r="AZ92" s="5489"/>
      <c r="BA92" s="5489"/>
      <c r="BB92" s="5489"/>
      <c r="BC92" s="5490"/>
      <c r="BD92" s="1131"/>
      <c r="BE92" s="1125"/>
      <c r="BF92" s="1125"/>
      <c r="BG92" s="2110"/>
      <c r="BH92" s="5488" t="str">
        <f>IF(BH86=0,"",VLOOKUP(BH86,'Tablas Magia'!$D$6:$Z$680,23,FALSE))</f>
        <v>Forma un objeto físico de energía lumínica. Pese a estar hecho de luz, tiene consistencia física. La presencia máxima de dicho objeto y la calidad del mismo viene determinada por el grado del conjuro.</v>
      </c>
      <c r="BI92" s="5489"/>
      <c r="BJ92" s="5489"/>
      <c r="BK92" s="5489"/>
      <c r="BL92" s="5489"/>
      <c r="BM92" s="5489"/>
      <c r="BN92" s="5489"/>
      <c r="BO92" s="5489"/>
      <c r="BP92" s="5489"/>
      <c r="BQ92" s="5489"/>
      <c r="BR92" s="5489"/>
      <c r="BS92" s="5489"/>
      <c r="BT92" s="5489"/>
      <c r="BU92" s="5489"/>
      <c r="BV92" s="5490"/>
      <c r="BW92" s="1131"/>
      <c r="BX92" s="1125"/>
      <c r="BY92" s="1125"/>
      <c r="BZ92" s="2110"/>
      <c r="CA92" s="5488"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489"/>
      <c r="CC92" s="5489"/>
      <c r="CD92" s="5489"/>
      <c r="CE92" s="5489"/>
      <c r="CF92" s="5489"/>
      <c r="CG92" s="5489"/>
      <c r="CH92" s="5489"/>
      <c r="CI92" s="5489"/>
      <c r="CJ92" s="5489"/>
      <c r="CK92" s="5489"/>
      <c r="CL92" s="5489"/>
      <c r="CM92" s="5489"/>
      <c r="CN92" s="5489"/>
      <c r="CO92" s="5490"/>
      <c r="CP92" s="1131"/>
      <c r="CQ92" s="1125"/>
    </row>
    <row r="93" spans="1:95" ht="12" customHeight="1" x14ac:dyDescent="0.2">
      <c r="A93" s="1125"/>
      <c r="B93" s="2096"/>
      <c r="C93" s="5491"/>
      <c r="D93" s="5492"/>
      <c r="E93" s="5492"/>
      <c r="F93" s="5492"/>
      <c r="G93" s="5492"/>
      <c r="H93" s="5492"/>
      <c r="I93" s="5492"/>
      <c r="J93" s="5492"/>
      <c r="K93" s="5492"/>
      <c r="L93" s="5492"/>
      <c r="M93" s="5492"/>
      <c r="N93" s="5492"/>
      <c r="O93" s="5492"/>
      <c r="P93" s="5492"/>
      <c r="Q93" s="5493"/>
      <c r="R93" s="1131"/>
      <c r="S93" s="1125"/>
      <c r="T93" s="1125"/>
      <c r="U93" s="2096"/>
      <c r="V93" s="5491"/>
      <c r="W93" s="5492"/>
      <c r="X93" s="5492"/>
      <c r="Y93" s="5492"/>
      <c r="Z93" s="5492"/>
      <c r="AA93" s="5492"/>
      <c r="AB93" s="5492"/>
      <c r="AC93" s="5492"/>
      <c r="AD93" s="5492"/>
      <c r="AE93" s="5492"/>
      <c r="AF93" s="5492"/>
      <c r="AG93" s="5492"/>
      <c r="AH93" s="5492"/>
      <c r="AI93" s="5492"/>
      <c r="AJ93" s="5493"/>
      <c r="AK93" s="1131"/>
      <c r="AL93" s="1125"/>
      <c r="AM93" s="1125"/>
      <c r="AN93" s="2110"/>
      <c r="AO93" s="5491"/>
      <c r="AP93" s="5492"/>
      <c r="AQ93" s="5492"/>
      <c r="AR93" s="5492"/>
      <c r="AS93" s="5492"/>
      <c r="AT93" s="5492"/>
      <c r="AU93" s="5492"/>
      <c r="AV93" s="5492"/>
      <c r="AW93" s="5492"/>
      <c r="AX93" s="5492"/>
      <c r="AY93" s="5492"/>
      <c r="AZ93" s="5492"/>
      <c r="BA93" s="5492"/>
      <c r="BB93" s="5492"/>
      <c r="BC93" s="5493"/>
      <c r="BD93" s="1131"/>
      <c r="BE93" s="1125"/>
      <c r="BF93" s="1125"/>
      <c r="BG93" s="2110"/>
      <c r="BH93" s="5491"/>
      <c r="BI93" s="5492"/>
      <c r="BJ93" s="5492"/>
      <c r="BK93" s="5492"/>
      <c r="BL93" s="5492"/>
      <c r="BM93" s="5492"/>
      <c r="BN93" s="5492"/>
      <c r="BO93" s="5492"/>
      <c r="BP93" s="5492"/>
      <c r="BQ93" s="5492"/>
      <c r="BR93" s="5492"/>
      <c r="BS93" s="5492"/>
      <c r="BT93" s="5492"/>
      <c r="BU93" s="5492"/>
      <c r="BV93" s="5493"/>
      <c r="BW93" s="1131"/>
      <c r="BX93" s="1125"/>
      <c r="BY93" s="1125"/>
      <c r="BZ93" s="2110"/>
      <c r="CA93" s="5491"/>
      <c r="CB93" s="5492"/>
      <c r="CC93" s="5492"/>
      <c r="CD93" s="5492"/>
      <c r="CE93" s="5492"/>
      <c r="CF93" s="5492"/>
      <c r="CG93" s="5492"/>
      <c r="CH93" s="5492"/>
      <c r="CI93" s="5492"/>
      <c r="CJ93" s="5492"/>
      <c r="CK93" s="5492"/>
      <c r="CL93" s="5492"/>
      <c r="CM93" s="5492"/>
      <c r="CN93" s="5492"/>
      <c r="CO93" s="5493"/>
      <c r="CP93" s="1131"/>
      <c r="CQ93" s="1125"/>
    </row>
    <row r="94" spans="1:95" ht="12" customHeight="1" x14ac:dyDescent="0.2">
      <c r="A94" s="1125"/>
      <c r="B94" s="2096"/>
      <c r="C94" s="5491"/>
      <c r="D94" s="5492"/>
      <c r="E94" s="5492"/>
      <c r="F94" s="5492"/>
      <c r="G94" s="5492"/>
      <c r="H94" s="5492"/>
      <c r="I94" s="5492"/>
      <c r="J94" s="5492"/>
      <c r="K94" s="5492"/>
      <c r="L94" s="5492"/>
      <c r="M94" s="5492"/>
      <c r="N94" s="5492"/>
      <c r="O94" s="5492"/>
      <c r="P94" s="5492"/>
      <c r="Q94" s="5493"/>
      <c r="R94" s="1131"/>
      <c r="S94" s="1125"/>
      <c r="T94" s="1125"/>
      <c r="U94" s="2096"/>
      <c r="V94" s="5491"/>
      <c r="W94" s="5492"/>
      <c r="X94" s="5492"/>
      <c r="Y94" s="5492"/>
      <c r="Z94" s="5492"/>
      <c r="AA94" s="5492"/>
      <c r="AB94" s="5492"/>
      <c r="AC94" s="5492"/>
      <c r="AD94" s="5492"/>
      <c r="AE94" s="5492"/>
      <c r="AF94" s="5492"/>
      <c r="AG94" s="5492"/>
      <c r="AH94" s="5492"/>
      <c r="AI94" s="5492"/>
      <c r="AJ94" s="5493"/>
      <c r="AK94" s="1131"/>
      <c r="AL94" s="1125"/>
      <c r="AM94" s="1125"/>
      <c r="AN94" s="2110"/>
      <c r="AO94" s="5491"/>
      <c r="AP94" s="5492"/>
      <c r="AQ94" s="5492"/>
      <c r="AR94" s="5492"/>
      <c r="AS94" s="5492"/>
      <c r="AT94" s="5492"/>
      <c r="AU94" s="5492"/>
      <c r="AV94" s="5492"/>
      <c r="AW94" s="5492"/>
      <c r="AX94" s="5492"/>
      <c r="AY94" s="5492"/>
      <c r="AZ94" s="5492"/>
      <c r="BA94" s="5492"/>
      <c r="BB94" s="5492"/>
      <c r="BC94" s="5493"/>
      <c r="BD94" s="1131"/>
      <c r="BE94" s="1125"/>
      <c r="BF94" s="1125"/>
      <c r="BG94" s="2110"/>
      <c r="BH94" s="5491"/>
      <c r="BI94" s="5492"/>
      <c r="BJ94" s="5492"/>
      <c r="BK94" s="5492"/>
      <c r="BL94" s="5492"/>
      <c r="BM94" s="5492"/>
      <c r="BN94" s="5492"/>
      <c r="BO94" s="5492"/>
      <c r="BP94" s="5492"/>
      <c r="BQ94" s="5492"/>
      <c r="BR94" s="5492"/>
      <c r="BS94" s="5492"/>
      <c r="BT94" s="5492"/>
      <c r="BU94" s="5492"/>
      <c r="BV94" s="5493"/>
      <c r="BW94" s="1131"/>
      <c r="BX94" s="1125"/>
      <c r="BY94" s="1125"/>
      <c r="BZ94" s="2110"/>
      <c r="CA94" s="5491"/>
      <c r="CB94" s="5492"/>
      <c r="CC94" s="5492"/>
      <c r="CD94" s="5492"/>
      <c r="CE94" s="5492"/>
      <c r="CF94" s="5492"/>
      <c r="CG94" s="5492"/>
      <c r="CH94" s="5492"/>
      <c r="CI94" s="5492"/>
      <c r="CJ94" s="5492"/>
      <c r="CK94" s="5492"/>
      <c r="CL94" s="5492"/>
      <c r="CM94" s="5492"/>
      <c r="CN94" s="5492"/>
      <c r="CO94" s="5493"/>
      <c r="CP94" s="1131"/>
      <c r="CQ94" s="1125"/>
    </row>
    <row r="95" spans="1:95" ht="12" customHeight="1" thickBot="1" x14ac:dyDescent="0.25">
      <c r="A95" s="1125"/>
      <c r="B95" s="2096"/>
      <c r="C95" s="5494"/>
      <c r="D95" s="5495"/>
      <c r="E95" s="5495"/>
      <c r="F95" s="5495"/>
      <c r="G95" s="5495"/>
      <c r="H95" s="5495"/>
      <c r="I95" s="5495"/>
      <c r="J95" s="5495"/>
      <c r="K95" s="5495"/>
      <c r="L95" s="5495"/>
      <c r="M95" s="5495"/>
      <c r="N95" s="5495"/>
      <c r="O95" s="5495"/>
      <c r="P95" s="5495"/>
      <c r="Q95" s="5496"/>
      <c r="R95" s="1131"/>
      <c r="S95" s="1125"/>
      <c r="T95" s="1125"/>
      <c r="U95" s="2096"/>
      <c r="V95" s="5494"/>
      <c r="W95" s="5495"/>
      <c r="X95" s="5495"/>
      <c r="Y95" s="5495"/>
      <c r="Z95" s="5495"/>
      <c r="AA95" s="5495"/>
      <c r="AB95" s="5495"/>
      <c r="AC95" s="5495"/>
      <c r="AD95" s="5495"/>
      <c r="AE95" s="5495"/>
      <c r="AF95" s="5495"/>
      <c r="AG95" s="5495"/>
      <c r="AH95" s="5495"/>
      <c r="AI95" s="5495"/>
      <c r="AJ95" s="5496"/>
      <c r="AK95" s="1131"/>
      <c r="AL95" s="1125"/>
      <c r="AM95" s="1125"/>
      <c r="AN95" s="2110"/>
      <c r="AO95" s="5494"/>
      <c r="AP95" s="5495"/>
      <c r="AQ95" s="5495"/>
      <c r="AR95" s="5495"/>
      <c r="AS95" s="5495"/>
      <c r="AT95" s="5495"/>
      <c r="AU95" s="5495"/>
      <c r="AV95" s="5495"/>
      <c r="AW95" s="5495"/>
      <c r="AX95" s="5495"/>
      <c r="AY95" s="5495"/>
      <c r="AZ95" s="5495"/>
      <c r="BA95" s="5495"/>
      <c r="BB95" s="5495"/>
      <c r="BC95" s="5496"/>
      <c r="BD95" s="1131"/>
      <c r="BE95" s="1125"/>
      <c r="BF95" s="1125"/>
      <c r="BG95" s="2110"/>
      <c r="BH95" s="5494"/>
      <c r="BI95" s="5495"/>
      <c r="BJ95" s="5495"/>
      <c r="BK95" s="5495"/>
      <c r="BL95" s="5495"/>
      <c r="BM95" s="5495"/>
      <c r="BN95" s="5495"/>
      <c r="BO95" s="5495"/>
      <c r="BP95" s="5495"/>
      <c r="BQ95" s="5495"/>
      <c r="BR95" s="5495"/>
      <c r="BS95" s="5495"/>
      <c r="BT95" s="5495"/>
      <c r="BU95" s="5495"/>
      <c r="BV95" s="5496"/>
      <c r="BW95" s="1131"/>
      <c r="BX95" s="1125"/>
      <c r="BY95" s="1125"/>
      <c r="BZ95" s="2110"/>
      <c r="CA95" s="5494"/>
      <c r="CB95" s="5495"/>
      <c r="CC95" s="5495"/>
      <c r="CD95" s="5495"/>
      <c r="CE95" s="5495"/>
      <c r="CF95" s="5495"/>
      <c r="CG95" s="5495"/>
      <c r="CH95" s="5495"/>
      <c r="CI95" s="5495"/>
      <c r="CJ95" s="5495"/>
      <c r="CK95" s="5495"/>
      <c r="CL95" s="5495"/>
      <c r="CM95" s="5495"/>
      <c r="CN95" s="5495"/>
      <c r="CO95" s="5496"/>
      <c r="CP95" s="1131"/>
      <c r="CQ95" s="1125"/>
    </row>
    <row r="96" spans="1:95" ht="12" customHeight="1" thickBot="1" x14ac:dyDescent="0.25">
      <c r="A96" s="1125"/>
      <c r="B96" s="2096"/>
      <c r="C96" s="1166"/>
      <c r="D96" s="1166"/>
      <c r="E96" s="1152"/>
      <c r="F96" s="1152"/>
      <c r="G96" s="1152"/>
      <c r="H96" s="1167"/>
      <c r="I96" s="1167"/>
      <c r="J96" s="1167"/>
      <c r="K96" s="1167"/>
      <c r="L96" s="1167"/>
      <c r="M96" s="1167"/>
      <c r="N96" s="1167"/>
      <c r="O96" s="1167"/>
      <c r="P96" s="1167"/>
      <c r="Q96" s="1167"/>
      <c r="R96" s="1131"/>
      <c r="S96" s="1125"/>
      <c r="T96" s="1125"/>
      <c r="U96" s="2096"/>
      <c r="V96" s="1166"/>
      <c r="W96" s="1166"/>
      <c r="X96" s="1152"/>
      <c r="Y96" s="1152"/>
      <c r="Z96" s="1152"/>
      <c r="AA96" s="1167"/>
      <c r="AB96" s="1167"/>
      <c r="AC96" s="1167"/>
      <c r="AD96" s="1167"/>
      <c r="AE96" s="1167"/>
      <c r="AF96" s="1167"/>
      <c r="AG96" s="1167"/>
      <c r="AH96" s="1167"/>
      <c r="AI96" s="1167"/>
      <c r="AJ96" s="1167"/>
      <c r="AK96" s="1131"/>
      <c r="AL96" s="1125"/>
      <c r="AM96" s="1125"/>
      <c r="AN96" s="2096"/>
      <c r="AO96" s="1166"/>
      <c r="AP96" s="1166"/>
      <c r="AQ96" s="1152"/>
      <c r="AR96" s="1152"/>
      <c r="AS96" s="1152"/>
      <c r="AT96" s="1167"/>
      <c r="AU96" s="1167"/>
      <c r="AV96" s="1167"/>
      <c r="AW96" s="1167"/>
      <c r="AX96" s="1167"/>
      <c r="AY96" s="1167"/>
      <c r="AZ96" s="1167"/>
      <c r="BA96" s="1167"/>
      <c r="BB96" s="1167"/>
      <c r="BC96" s="1167"/>
      <c r="BD96" s="1131"/>
      <c r="BE96" s="1125"/>
      <c r="BF96" s="1125"/>
      <c r="BG96" s="2096"/>
      <c r="BH96" s="1166"/>
      <c r="BI96" s="1166"/>
      <c r="BJ96" s="1152"/>
      <c r="BK96" s="1152"/>
      <c r="BL96" s="1152"/>
      <c r="BM96" s="1167"/>
      <c r="BN96" s="1167"/>
      <c r="BO96" s="1167"/>
      <c r="BP96" s="1167"/>
      <c r="BQ96" s="1167"/>
      <c r="BR96" s="1167"/>
      <c r="BS96" s="1167"/>
      <c r="BT96" s="1167"/>
      <c r="BU96" s="1167"/>
      <c r="BV96" s="1167"/>
      <c r="BW96" s="1131"/>
      <c r="BX96" s="1125"/>
      <c r="BY96" s="1125"/>
      <c r="BZ96" s="2096"/>
      <c r="CA96" s="1166"/>
      <c r="CB96" s="1166"/>
      <c r="CC96" s="1152"/>
      <c r="CD96" s="1152"/>
      <c r="CE96" s="1152"/>
      <c r="CF96" s="1167"/>
      <c r="CG96" s="1167"/>
      <c r="CH96" s="1167"/>
      <c r="CI96" s="1167"/>
      <c r="CJ96" s="1167"/>
      <c r="CK96" s="1167"/>
      <c r="CL96" s="1167"/>
      <c r="CM96" s="1167"/>
      <c r="CN96" s="1167"/>
      <c r="CO96" s="1167"/>
      <c r="CP96" s="1131"/>
      <c r="CQ96" s="1125"/>
    </row>
    <row r="97" spans="1:95" ht="12" customHeight="1" x14ac:dyDescent="0.2">
      <c r="A97" s="1125"/>
      <c r="B97" s="2096">
        <f>B86+2</f>
        <v>18</v>
      </c>
      <c r="C97" s="5497"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498"/>
      <c r="E97" s="5498"/>
      <c r="F97" s="5498"/>
      <c r="G97" s="5498"/>
      <c r="H97" s="1145" t="s">
        <v>1627</v>
      </c>
      <c r="I97" s="1146">
        <f>B97</f>
        <v>18</v>
      </c>
      <c r="J97" s="5463" t="s">
        <v>7687</v>
      </c>
      <c r="K97" s="5463"/>
      <c r="L97" s="5463"/>
      <c r="M97" s="5464" t="str">
        <f>IF(C97=0,"",VLOOKUP(C97,'Tablas Magia'!$D$6:$Z$680,2,FALSE))</f>
        <v>Luz</v>
      </c>
      <c r="N97" s="5464"/>
      <c r="O97" s="5464"/>
      <c r="P97" s="5464"/>
      <c r="Q97" s="5465"/>
      <c r="R97" s="1131"/>
      <c r="S97" s="1125"/>
      <c r="T97" s="1125"/>
      <c r="U97" s="2096">
        <f>U86+2</f>
        <v>38</v>
      </c>
      <c r="V97" s="5497"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498"/>
      <c r="X97" s="5498"/>
      <c r="Y97" s="5498"/>
      <c r="Z97" s="5498"/>
      <c r="AA97" s="1145" t="s">
        <v>1627</v>
      </c>
      <c r="AB97" s="1146">
        <f>U97</f>
        <v>38</v>
      </c>
      <c r="AC97" s="5463" t="s">
        <v>7687</v>
      </c>
      <c r="AD97" s="5463"/>
      <c r="AE97" s="5463"/>
      <c r="AF97" s="5464" t="str">
        <f>IF(V97=0,"",VLOOKUP(V97,'Tablas Magia'!$D$6:$Z$680,2,FALSE))</f>
        <v>Luz</v>
      </c>
      <c r="AG97" s="5464"/>
      <c r="AH97" s="5464"/>
      <c r="AI97" s="5464"/>
      <c r="AJ97" s="5465"/>
      <c r="AK97" s="1131"/>
      <c r="AL97" s="1125"/>
      <c r="AM97" s="1125"/>
      <c r="AN97" s="2110">
        <f>AN86+2</f>
        <v>58</v>
      </c>
      <c r="AO97" s="5497"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498"/>
      <c r="AQ97" s="5498"/>
      <c r="AR97" s="5498"/>
      <c r="AS97" s="5498"/>
      <c r="AT97" s="1145" t="s">
        <v>1627</v>
      </c>
      <c r="AU97" s="1146">
        <f>AN97</f>
        <v>58</v>
      </c>
      <c r="AV97" s="5463" t="s">
        <v>7687</v>
      </c>
      <c r="AW97" s="5463"/>
      <c r="AX97" s="5463"/>
      <c r="AY97" s="5464" t="str">
        <f>IF(AO97=0,"",VLOOKUP(AO97,'Tablas Magia'!$D$6:$Z$680,2,FALSE))</f>
        <v>Luz</v>
      </c>
      <c r="AZ97" s="5464"/>
      <c r="BA97" s="5464"/>
      <c r="BB97" s="5464"/>
      <c r="BC97" s="5465"/>
      <c r="BD97" s="1131"/>
      <c r="BE97" s="1125"/>
      <c r="BF97" s="1125"/>
      <c r="BG97" s="2110">
        <f>BG86+2</f>
        <v>78</v>
      </c>
      <c r="BH97" s="5497"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498"/>
      <c r="BJ97" s="5498"/>
      <c r="BK97" s="5498"/>
      <c r="BL97" s="5498"/>
      <c r="BM97" s="1145" t="s">
        <v>1627</v>
      </c>
      <c r="BN97" s="1146">
        <f>BG97</f>
        <v>78</v>
      </c>
      <c r="BO97" s="5463" t="s">
        <v>7687</v>
      </c>
      <c r="BP97" s="5463"/>
      <c r="BQ97" s="5463"/>
      <c r="BR97" s="5464" t="str">
        <f>IF(BH97=0,"",VLOOKUP(BH97,'Tablas Magia'!$D$6:$Z$680,2,FALSE))</f>
        <v>Luz</v>
      </c>
      <c r="BS97" s="5464"/>
      <c r="BT97" s="5464"/>
      <c r="BU97" s="5464"/>
      <c r="BV97" s="5465"/>
      <c r="BW97" s="1131"/>
      <c r="BX97" s="1125"/>
      <c r="BY97" s="1125"/>
      <c r="BZ97" s="2110">
        <f>BZ86+2</f>
        <v>98</v>
      </c>
      <c r="CA97" s="5497"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498"/>
      <c r="CC97" s="5498"/>
      <c r="CD97" s="5498"/>
      <c r="CE97" s="5498"/>
      <c r="CF97" s="1145" t="s">
        <v>1627</v>
      </c>
      <c r="CG97" s="1146">
        <f>BZ97</f>
        <v>98</v>
      </c>
      <c r="CH97" s="5463" t="s">
        <v>7687</v>
      </c>
      <c r="CI97" s="5463"/>
      <c r="CJ97" s="5463"/>
      <c r="CK97" s="5464" t="str">
        <f>IF(CA97=0,"",VLOOKUP(CA97,'Tablas Magia'!$D$6:$Z$680,2,FALSE))</f>
        <v>Luz</v>
      </c>
      <c r="CL97" s="5464"/>
      <c r="CM97" s="5464"/>
      <c r="CN97" s="5464"/>
      <c r="CO97" s="5465"/>
      <c r="CP97" s="1131"/>
      <c r="CQ97" s="1125"/>
    </row>
    <row r="98" spans="1:95" ht="12" customHeight="1" x14ac:dyDescent="0.2">
      <c r="A98" s="1125"/>
      <c r="B98" s="2096"/>
      <c r="C98" s="5481" t="s">
        <v>7688</v>
      </c>
      <c r="D98" s="5482"/>
      <c r="E98" s="1147" t="s">
        <v>7689</v>
      </c>
      <c r="F98" s="1147" t="s">
        <v>1820</v>
      </c>
      <c r="G98" s="1147" t="s">
        <v>3334</v>
      </c>
      <c r="H98" s="1148" t="s">
        <v>2165</v>
      </c>
      <c r="I98" s="5478" t="str">
        <f>IF(C97=0,"",VLOOKUP(C97,'Tablas Magia'!$D$6:$Z$680,5,FALSE))</f>
        <v>Efecto</v>
      </c>
      <c r="J98" s="5478"/>
      <c r="K98" s="5479" t="s">
        <v>7690</v>
      </c>
      <c r="L98" s="5479"/>
      <c r="M98" s="5478" t="str">
        <f>IF(C97=0,"",VLOOKUP(C97,'Tablas Magia'!$D$6:$Z$680,6,FALSE))</f>
        <v>Activa</v>
      </c>
      <c r="N98" s="5478"/>
      <c r="O98" s="5480" t="s">
        <v>7691</v>
      </c>
      <c r="P98" s="5480"/>
      <c r="Q98" s="1149" t="str">
        <f>IF(C97=0,"",VLOOKUP(C97,'Tablas Magia'!$D$6:$Z$680,4,FALSE))</f>
        <v>No</v>
      </c>
      <c r="R98" s="1131"/>
      <c r="S98" s="1125"/>
      <c r="T98" s="1125"/>
      <c r="U98" s="2096"/>
      <c r="V98" s="5481" t="s">
        <v>7688</v>
      </c>
      <c r="W98" s="5482"/>
      <c r="X98" s="1147" t="s">
        <v>7689</v>
      </c>
      <c r="Y98" s="1147" t="s">
        <v>1820</v>
      </c>
      <c r="Z98" s="1147" t="s">
        <v>3334</v>
      </c>
      <c r="AA98" s="1148" t="s">
        <v>2165</v>
      </c>
      <c r="AB98" s="5478" t="str">
        <f>IF(V97=0,"",VLOOKUP(V97,'Tablas Magia'!$D$6:$Z$680,5,FALSE))</f>
        <v>Anímico</v>
      </c>
      <c r="AC98" s="5478"/>
      <c r="AD98" s="5479" t="s">
        <v>7690</v>
      </c>
      <c r="AE98" s="5479"/>
      <c r="AF98" s="5478" t="str">
        <f>IF(V97=0,"",VLOOKUP(V97,'Tablas Magia'!$D$6:$Z$680,6,FALSE))</f>
        <v>Activa</v>
      </c>
      <c r="AG98" s="5478"/>
      <c r="AH98" s="5480" t="s">
        <v>7691</v>
      </c>
      <c r="AI98" s="5480"/>
      <c r="AJ98" s="1149" t="str">
        <f>IF(V97=0,"",VLOOKUP(V97,'Tablas Magia'!$D$6:$Z$680,4,FALSE))</f>
        <v>No</v>
      </c>
      <c r="AK98" s="1131"/>
      <c r="AL98" s="1125"/>
      <c r="AM98" s="1125"/>
      <c r="AN98" s="2110"/>
      <c r="AO98" s="5481" t="s">
        <v>7688</v>
      </c>
      <c r="AP98" s="5482"/>
      <c r="AQ98" s="1147" t="s">
        <v>7689</v>
      </c>
      <c r="AR98" s="1147" t="s">
        <v>1820</v>
      </c>
      <c r="AS98" s="1147" t="s">
        <v>3334</v>
      </c>
      <c r="AT98" s="1148" t="s">
        <v>2165</v>
      </c>
      <c r="AU98" s="5478" t="str">
        <f>IF(AO97=0,"",VLOOKUP(AO97,'Tablas Magia'!$D$6:$Z$680,5,FALSE))</f>
        <v>Anímico</v>
      </c>
      <c r="AV98" s="5478"/>
      <c r="AW98" s="5479" t="s">
        <v>7690</v>
      </c>
      <c r="AX98" s="5479"/>
      <c r="AY98" s="5478" t="str">
        <f>IF(AO97=0,"",VLOOKUP(AO97,'Tablas Magia'!$D$6:$Z$680,6,FALSE))</f>
        <v>Activa</v>
      </c>
      <c r="AZ98" s="5478"/>
      <c r="BA98" s="5480" t="s">
        <v>7691</v>
      </c>
      <c r="BB98" s="5480"/>
      <c r="BC98" s="1149" t="str">
        <f>IF(AO97=0,"",VLOOKUP(AO97,'Tablas Magia'!$D$6:$Z$680,4,FALSE))</f>
        <v>Si</v>
      </c>
      <c r="BD98" s="1131"/>
      <c r="BE98" s="1125"/>
      <c r="BF98" s="1125"/>
      <c r="BG98" s="2110"/>
      <c r="BH98" s="5481" t="s">
        <v>7688</v>
      </c>
      <c r="BI98" s="5482"/>
      <c r="BJ98" s="1147" t="s">
        <v>7689</v>
      </c>
      <c r="BK98" s="1147" t="s">
        <v>1820</v>
      </c>
      <c r="BL98" s="1147" t="s">
        <v>3334</v>
      </c>
      <c r="BM98" s="1148" t="s">
        <v>2165</v>
      </c>
      <c r="BN98" s="5478" t="str">
        <f>IF(BH97=0,"",VLOOKUP(BH97,'Tablas Magia'!$D$6:$Z$680,5,FALSE))</f>
        <v>Efecto</v>
      </c>
      <c r="BO98" s="5478"/>
      <c r="BP98" s="5479" t="s">
        <v>7690</v>
      </c>
      <c r="BQ98" s="5479"/>
      <c r="BR98" s="5478" t="str">
        <f>IF(BH97=0,"",VLOOKUP(BH97,'Tablas Magia'!$D$6:$Z$680,6,FALSE))</f>
        <v>Activa</v>
      </c>
      <c r="BS98" s="5478"/>
      <c r="BT98" s="5480" t="s">
        <v>7691</v>
      </c>
      <c r="BU98" s="5480"/>
      <c r="BV98" s="1149" t="str">
        <f>IF(BH97=0,"",VLOOKUP(BH97,'Tablas Magia'!$D$6:$Z$680,4,FALSE))</f>
        <v>No</v>
      </c>
      <c r="BW98" s="1131"/>
      <c r="BX98" s="1125"/>
      <c r="BY98" s="1125"/>
      <c r="BZ98" s="2110"/>
      <c r="CA98" s="5481" t="s">
        <v>7688</v>
      </c>
      <c r="CB98" s="5482"/>
      <c r="CC98" s="1147" t="s">
        <v>7689</v>
      </c>
      <c r="CD98" s="1147" t="s">
        <v>1820</v>
      </c>
      <c r="CE98" s="1147" t="s">
        <v>3334</v>
      </c>
      <c r="CF98" s="1148" t="s">
        <v>2165</v>
      </c>
      <c r="CG98" s="5478" t="str">
        <f>IF(CA97=0,"",VLOOKUP(CA97,'Tablas Magia'!$D$6:$Z$680,5,FALSE))</f>
        <v>Efecto</v>
      </c>
      <c r="CH98" s="5478"/>
      <c r="CI98" s="5479" t="s">
        <v>7690</v>
      </c>
      <c r="CJ98" s="5479"/>
      <c r="CK98" s="5478" t="str">
        <f>IF(CA97=0,"",VLOOKUP(CA97,'Tablas Magia'!$D$6:$Z$680,6,FALSE))</f>
        <v>Activa</v>
      </c>
      <c r="CL98" s="5478"/>
      <c r="CM98" s="5480" t="s">
        <v>7691</v>
      </c>
      <c r="CN98" s="5480"/>
      <c r="CO98" s="1149" t="str">
        <f>IF(CA97=0,"",VLOOKUP(CA97,'Tablas Magia'!$D$6:$Z$680,4,FALSE))</f>
        <v>Si</v>
      </c>
      <c r="CP98" s="1131"/>
      <c r="CQ98" s="1125"/>
    </row>
    <row r="99" spans="1:95" ht="12" customHeight="1" x14ac:dyDescent="0.2">
      <c r="A99" s="1125"/>
      <c r="B99" s="2096"/>
      <c r="C99" s="5473" t="s">
        <v>1674</v>
      </c>
      <c r="D99" s="5474"/>
      <c r="E99" s="1150">
        <f>IF(C97=0,"",VLOOKUP(C97,'Tablas Magia'!$D$6:$Z$680,7,FALSE))</f>
        <v>6</v>
      </c>
      <c r="F99" s="1150">
        <f>IF(C97=0,"",VLOOKUP(C97,'Tablas Magia'!$D$6:$Z$680,11,FALSE))</f>
        <v>60</v>
      </c>
      <c r="G99" s="1151">
        <f>IF(C97=0,"",VLOOKUP(C97,'Tablas Magia'!$D$6:$Z$680,15,FALSE))</f>
        <v>10</v>
      </c>
      <c r="H99" s="5475" t="str">
        <f>IF(C97=0,"",VLOOKUP(C97,'Tablas Magia'!$D$6:$Z$680,19,FALSE))</f>
        <v>10 metros de radio / 140 RM.</v>
      </c>
      <c r="I99" s="5476"/>
      <c r="J99" s="5476"/>
      <c r="K99" s="5476"/>
      <c r="L99" s="5476"/>
      <c r="M99" s="5476"/>
      <c r="N99" s="5476"/>
      <c r="O99" s="5476"/>
      <c r="P99" s="5476"/>
      <c r="Q99" s="5477"/>
      <c r="R99" s="1131"/>
      <c r="S99" s="1125"/>
      <c r="T99" s="1125"/>
      <c r="U99" s="2096"/>
      <c r="V99" s="5473" t="s">
        <v>1674</v>
      </c>
      <c r="W99" s="5474"/>
      <c r="X99" s="1150">
        <f>IF(V97=0,"",VLOOKUP(V97,'Tablas Magia'!$D$6:$Z$680,7,FALSE))</f>
        <v>6</v>
      </c>
      <c r="Y99" s="1150">
        <f>IF(V97=0,"",VLOOKUP(V97,'Tablas Magia'!$D$6:$Z$680,11,FALSE))</f>
        <v>60</v>
      </c>
      <c r="Z99" s="1151">
        <f>IF(V97=0,"",VLOOKUP(V97,'Tablas Magia'!$D$6:$Z$680,15,FALSE))</f>
        <v>10</v>
      </c>
      <c r="AA99" s="5475" t="str">
        <f>IF(V97=0,"",VLOOKUP(V97,'Tablas Magia'!$D$6:$Z$680,19,FALSE))</f>
        <v>RM 80 / 10 metros de radio</v>
      </c>
      <c r="AB99" s="5476"/>
      <c r="AC99" s="5476"/>
      <c r="AD99" s="5476"/>
      <c r="AE99" s="5476"/>
      <c r="AF99" s="5476"/>
      <c r="AG99" s="5476"/>
      <c r="AH99" s="5476"/>
      <c r="AI99" s="5476"/>
      <c r="AJ99" s="5477"/>
      <c r="AK99" s="1131"/>
      <c r="AL99" s="1125"/>
      <c r="AM99" s="1125"/>
      <c r="AN99" s="2110"/>
      <c r="AO99" s="5473" t="s">
        <v>1674</v>
      </c>
      <c r="AP99" s="5474"/>
      <c r="AQ99" s="1150">
        <f>IF(AO97=0,"",VLOOKUP(AO97,'Tablas Magia'!$D$6:$Z$680,7,FALSE))</f>
        <v>8</v>
      </c>
      <c r="AR99" s="1150">
        <f>IF(AO97=0,"",VLOOKUP(AO97,'Tablas Magia'!$D$6:$Z$680,11,FALSE))</f>
        <v>100</v>
      </c>
      <c r="AS99" s="1151">
        <f>IF(AO97=0,"",VLOOKUP(AO97,'Tablas Magia'!$D$6:$Z$680,15,FALSE))</f>
        <v>10</v>
      </c>
      <c r="AT99" s="5475" t="str">
        <f>IF(AO97=0,"",VLOOKUP(AO97,'Tablas Magia'!$D$6:$Z$680,19,FALSE))</f>
        <v>Radio de 20 metros / RM o RP 120.</v>
      </c>
      <c r="AU99" s="5476"/>
      <c r="AV99" s="5476"/>
      <c r="AW99" s="5476"/>
      <c r="AX99" s="5476"/>
      <c r="AY99" s="5476"/>
      <c r="AZ99" s="5476"/>
      <c r="BA99" s="5476"/>
      <c r="BB99" s="5476"/>
      <c r="BC99" s="5477"/>
      <c r="BD99" s="1131"/>
      <c r="BE99" s="1125"/>
      <c r="BF99" s="1125"/>
      <c r="BG99" s="2110"/>
      <c r="BH99" s="5473" t="s">
        <v>1674</v>
      </c>
      <c r="BI99" s="5474"/>
      <c r="BJ99" s="1150">
        <f>IF(BH97=0,"",VLOOKUP(BH97,'Tablas Magia'!$D$6:$Z$680,7,FALSE))</f>
        <v>10</v>
      </c>
      <c r="BK99" s="1150">
        <f>IF(BH97=0,"",VLOOKUP(BH97,'Tablas Magia'!$D$6:$Z$680,11,FALSE))</f>
        <v>250</v>
      </c>
      <c r="BL99" s="1151" t="str">
        <f>IF(BH97=0,"",VLOOKUP(BH97,'Tablas Magia'!$D$6:$Z$680,15,FALSE))</f>
        <v>No</v>
      </c>
      <c r="BM99" s="5475" t="str">
        <f>IF(BH97=0,"",VLOOKUP(BH97,'Tablas Magia'!$D$6:$Z$680,19,FALSE))</f>
        <v>100 kilómetros / 250 de presencia / RM 120</v>
      </c>
      <c r="BN99" s="5476"/>
      <c r="BO99" s="5476"/>
      <c r="BP99" s="5476"/>
      <c r="BQ99" s="5476"/>
      <c r="BR99" s="5476"/>
      <c r="BS99" s="5476"/>
      <c r="BT99" s="5476"/>
      <c r="BU99" s="5476"/>
      <c r="BV99" s="5477"/>
      <c r="BW99" s="1131"/>
      <c r="BX99" s="1125"/>
      <c r="BY99" s="1125"/>
      <c r="BZ99" s="2110"/>
      <c r="CA99" s="5473" t="s">
        <v>1674</v>
      </c>
      <c r="CB99" s="5474"/>
      <c r="CC99" s="1150">
        <f>IF(CA97=0,"",VLOOKUP(CA97,'Tablas Magia'!$D$6:$Z$680,7,FALSE))</f>
        <v>14</v>
      </c>
      <c r="CD99" s="1150">
        <f>IF(CA97=0,"",VLOOKUP(CA97,'Tablas Magia'!$D$6:$Z$680,11,FALSE))</f>
        <v>500</v>
      </c>
      <c r="CE99" s="1151">
        <f>IF(CA97=0,"",VLOOKUP(CA97,'Tablas Magia'!$D$6:$Z$680,15,FALSE))</f>
        <v>30</v>
      </c>
      <c r="CF99" s="5475" t="str">
        <f>IF(CA97=0,"",VLOOKUP(CA97,'Tablas Magia'!$D$6:$Z$680,19,FALSE))</f>
        <v>Gnosis máximo 30</v>
      </c>
      <c r="CG99" s="5476"/>
      <c r="CH99" s="5476"/>
      <c r="CI99" s="5476"/>
      <c r="CJ99" s="5476"/>
      <c r="CK99" s="5476"/>
      <c r="CL99" s="5476"/>
      <c r="CM99" s="5476"/>
      <c r="CN99" s="5476"/>
      <c r="CO99" s="5477"/>
      <c r="CP99" s="1131"/>
      <c r="CQ99" s="1125"/>
    </row>
    <row r="100" spans="1:95" ht="12" customHeight="1" x14ac:dyDescent="0.2">
      <c r="A100" s="1125"/>
      <c r="B100" s="2096"/>
      <c r="C100" s="5468" t="s">
        <v>4572</v>
      </c>
      <c r="D100" s="5469"/>
      <c r="E100" s="1152">
        <f>IF(C97=0,"",VLOOKUP(C97,'Tablas Magia'!$D$6:$Z$680,8,FALSE))</f>
        <v>9</v>
      </c>
      <c r="F100" s="1152">
        <f>IF(C97=0,"",VLOOKUP(C97,'Tablas Magia'!$D$6:$Z$680,12,FALSE))</f>
        <v>100</v>
      </c>
      <c r="G100" s="1153">
        <f>IF(C97=0,"",VLOOKUP(C97,'Tablas Magia'!$D$6:$Z$680,16,FALSE))</f>
        <v>10</v>
      </c>
      <c r="H100" s="5470" t="str">
        <f>IF(C97=0,"",VLOOKUP(C97,'Tablas Magia'!$D$6:$Z$680,20,FALSE))</f>
        <v>100 metros de radio / 180 RM</v>
      </c>
      <c r="I100" s="5471"/>
      <c r="J100" s="5471"/>
      <c r="K100" s="5471"/>
      <c r="L100" s="5471"/>
      <c r="M100" s="5471"/>
      <c r="N100" s="5471"/>
      <c r="O100" s="5471"/>
      <c r="P100" s="5471"/>
      <c r="Q100" s="5472"/>
      <c r="R100" s="1131"/>
      <c r="S100" s="1125"/>
      <c r="T100" s="1125"/>
      <c r="U100" s="2096"/>
      <c r="V100" s="5468" t="s">
        <v>4572</v>
      </c>
      <c r="W100" s="5469"/>
      <c r="X100" s="1152">
        <f>IF(V97=0,"",VLOOKUP(V97,'Tablas Magia'!$D$6:$Z$680,8,FALSE))</f>
        <v>9</v>
      </c>
      <c r="Y100" s="1152">
        <f>IF(V97=0,"",VLOOKUP(V97,'Tablas Magia'!$D$6:$Z$680,12,FALSE))</f>
        <v>90</v>
      </c>
      <c r="Z100" s="1153">
        <f>IF(V97=0,"",VLOOKUP(V97,'Tablas Magia'!$D$6:$Z$680,16,FALSE))</f>
        <v>10</v>
      </c>
      <c r="AA100" s="5470" t="str">
        <f>IF(V97=0,"",VLOOKUP(V97,'Tablas Magia'!$D$6:$Z$680,20,FALSE))</f>
        <v>RM 100 / 50 metros de radio.</v>
      </c>
      <c r="AB100" s="5471"/>
      <c r="AC100" s="5471"/>
      <c r="AD100" s="5471"/>
      <c r="AE100" s="5471"/>
      <c r="AF100" s="5471"/>
      <c r="AG100" s="5471"/>
      <c r="AH100" s="5471"/>
      <c r="AI100" s="5471"/>
      <c r="AJ100" s="5472"/>
      <c r="AK100" s="1131"/>
      <c r="AL100" s="1125"/>
      <c r="AM100" s="1125"/>
      <c r="AN100" s="2110"/>
      <c r="AO100" s="5468" t="s">
        <v>4572</v>
      </c>
      <c r="AP100" s="5469"/>
      <c r="AQ100" s="1152">
        <f>IF(AO97=0,"",VLOOKUP(AO97,'Tablas Magia'!$D$6:$Z$680,8,FALSE))</f>
        <v>10</v>
      </c>
      <c r="AR100" s="1152">
        <f>IF(AO97=0,"",VLOOKUP(AO97,'Tablas Magia'!$D$6:$Z$680,12,FALSE))</f>
        <v>180</v>
      </c>
      <c r="AS100" s="1153">
        <f>IF(AO97=0,"",VLOOKUP(AO97,'Tablas Magia'!$D$6:$Z$680,16,FALSE))</f>
        <v>20</v>
      </c>
      <c r="AT100" s="5470" t="str">
        <f>IF(AO97=0,"",VLOOKUP(AO97,'Tablas Magia'!$D$6:$Z$680,20,FALSE))</f>
        <v>Radio de 100 metros / RM o RP 160</v>
      </c>
      <c r="AU100" s="5471"/>
      <c r="AV100" s="5471"/>
      <c r="AW100" s="5471"/>
      <c r="AX100" s="5471"/>
      <c r="AY100" s="5471"/>
      <c r="AZ100" s="5471"/>
      <c r="BA100" s="5471"/>
      <c r="BB100" s="5471"/>
      <c r="BC100" s="5472"/>
      <c r="BD100" s="1131"/>
      <c r="BE100" s="1125"/>
      <c r="BF100" s="1125"/>
      <c r="BG100" s="2110"/>
      <c r="BH100" s="5468" t="s">
        <v>4572</v>
      </c>
      <c r="BI100" s="5469"/>
      <c r="BJ100" s="1152">
        <f>IF(BH97=0,"",VLOOKUP(BH97,'Tablas Magia'!$D$6:$Z$680,8,FALSE))</f>
        <v>12</v>
      </c>
      <c r="BK100" s="1152">
        <f>IF(BH97=0,"",VLOOKUP(BH97,'Tablas Magia'!$D$6:$Z$680,12,FALSE))</f>
        <v>360</v>
      </c>
      <c r="BL100" s="1153" t="str">
        <f>IF(BH97=0,"",VLOOKUP(BH97,'Tablas Magia'!$D$6:$Z$680,16,FALSE))</f>
        <v>No</v>
      </c>
      <c r="BM100" s="5470" t="str">
        <f>IF(BH97=0,"",VLOOKUP(BH97,'Tablas Magia'!$D$6:$Z$680,20,FALSE))</f>
        <v>1.000 kilómetros / 500 de presencia / RM 140</v>
      </c>
      <c r="BN100" s="5471"/>
      <c r="BO100" s="5471"/>
      <c r="BP100" s="5471"/>
      <c r="BQ100" s="5471"/>
      <c r="BR100" s="5471"/>
      <c r="BS100" s="5471"/>
      <c r="BT100" s="5471"/>
      <c r="BU100" s="5471"/>
      <c r="BV100" s="5472"/>
      <c r="BW100" s="1131"/>
      <c r="BX100" s="1125"/>
      <c r="BY100" s="1125"/>
      <c r="BZ100" s="2110"/>
      <c r="CA100" s="5468" t="s">
        <v>4572</v>
      </c>
      <c r="CB100" s="5469"/>
      <c r="CC100" s="1152">
        <f>IF(CA97=0,"",VLOOKUP(CA97,'Tablas Magia'!$D$6:$Z$680,8,FALSE))</f>
        <v>16</v>
      </c>
      <c r="CD100" s="1152">
        <f>IF(CA97=0,"",VLOOKUP(CA97,'Tablas Magia'!$D$6:$Z$680,12,FALSE))</f>
        <v>1000</v>
      </c>
      <c r="CE100" s="1153">
        <f>IF(CA97=0,"",VLOOKUP(CA97,'Tablas Magia'!$D$6:$Z$680,16,FALSE))</f>
        <v>40</v>
      </c>
      <c r="CF100" s="5470" t="str">
        <f>IF(CA97=0,"",VLOOKUP(CA97,'Tablas Magia'!$D$6:$Z$680,20,FALSE))</f>
        <v>Gnosis máximo 35</v>
      </c>
      <c r="CG100" s="5471"/>
      <c r="CH100" s="5471"/>
      <c r="CI100" s="5471"/>
      <c r="CJ100" s="5471"/>
      <c r="CK100" s="5471"/>
      <c r="CL100" s="5471"/>
      <c r="CM100" s="5471"/>
      <c r="CN100" s="5471"/>
      <c r="CO100" s="5472"/>
      <c r="CP100" s="1131"/>
      <c r="CQ100" s="1125"/>
    </row>
    <row r="101" spans="1:95" ht="12" customHeight="1" x14ac:dyDescent="0.2">
      <c r="A101" s="1125"/>
      <c r="B101" s="2096"/>
      <c r="C101" s="5473" t="s">
        <v>4573</v>
      </c>
      <c r="D101" s="5474"/>
      <c r="E101" s="1150">
        <f>IF(C97=0,"",VLOOKUP(C97,'Tablas Magia'!$D$6:$Z$680,9,FALSE))</f>
        <v>12</v>
      </c>
      <c r="F101" s="1150">
        <f>IF(C97=0,"",VLOOKUP(C97,'Tablas Magia'!$D$6:$Z$680,13,FALSE))</f>
        <v>150</v>
      </c>
      <c r="G101" s="1151">
        <f>IF(C97=0,"",VLOOKUP(C97,'Tablas Magia'!$D$6:$Z$680,17,FALSE))</f>
        <v>15</v>
      </c>
      <c r="H101" s="5475" t="str">
        <f>IF(C97=0,"",VLOOKUP(C97,'Tablas Magia'!$D$6:$Z$680,21,FALSE))</f>
        <v>250 metros de radio / 220 RM.</v>
      </c>
      <c r="I101" s="5476"/>
      <c r="J101" s="5476"/>
      <c r="K101" s="5476"/>
      <c r="L101" s="5476"/>
      <c r="M101" s="5476"/>
      <c r="N101" s="5476"/>
      <c r="O101" s="5476"/>
      <c r="P101" s="5476"/>
      <c r="Q101" s="5477"/>
      <c r="R101" s="1131"/>
      <c r="S101" s="1125"/>
      <c r="T101" s="1125"/>
      <c r="U101" s="2096"/>
      <c r="V101" s="5473" t="s">
        <v>4573</v>
      </c>
      <c r="W101" s="5474"/>
      <c r="X101" s="1150">
        <f>IF(V97=0,"",VLOOKUP(V97,'Tablas Magia'!$D$6:$Z$680,9,FALSE))</f>
        <v>12</v>
      </c>
      <c r="Y101" s="1150">
        <f>IF(V97=0,"",VLOOKUP(V97,'Tablas Magia'!$D$6:$Z$680,13,FALSE))</f>
        <v>120</v>
      </c>
      <c r="Z101" s="1151">
        <f>IF(V97=0,"",VLOOKUP(V97,'Tablas Magia'!$D$6:$Z$680,17,FALSE))</f>
        <v>15</v>
      </c>
      <c r="AA101" s="5475" t="str">
        <f>IF(V97=0,"",VLOOKUP(V97,'Tablas Magia'!$D$6:$Z$680,21,FALSE))</f>
        <v>RM 120 / 100 metros de radio.</v>
      </c>
      <c r="AB101" s="5476"/>
      <c r="AC101" s="5476"/>
      <c r="AD101" s="5476"/>
      <c r="AE101" s="5476"/>
      <c r="AF101" s="5476"/>
      <c r="AG101" s="5476"/>
      <c r="AH101" s="5476"/>
      <c r="AI101" s="5476"/>
      <c r="AJ101" s="5477"/>
      <c r="AK101" s="1131"/>
      <c r="AL101" s="1125"/>
      <c r="AM101" s="1125"/>
      <c r="AN101" s="2110"/>
      <c r="AO101" s="5473" t="s">
        <v>4573</v>
      </c>
      <c r="AP101" s="5474"/>
      <c r="AQ101" s="1150">
        <f>IF(AO97=0,"",VLOOKUP(AO97,'Tablas Magia'!$D$6:$Z$680,9,FALSE))</f>
        <v>12</v>
      </c>
      <c r="AR101" s="1150">
        <f>IF(AO97=0,"",VLOOKUP(AO97,'Tablas Magia'!$D$6:$Z$680,13,FALSE))</f>
        <v>240</v>
      </c>
      <c r="AS101" s="1151">
        <f>IF(AO97=0,"",VLOOKUP(AO97,'Tablas Magia'!$D$6:$Z$680,17,FALSE))</f>
        <v>25</v>
      </c>
      <c r="AT101" s="5475" t="str">
        <f>IF(AO97=0,"",VLOOKUP(AO97,'Tablas Magia'!$D$6:$Z$680,21,FALSE))</f>
        <v>Radio de 250 metros / RM o RP 180.</v>
      </c>
      <c r="AU101" s="5476"/>
      <c r="AV101" s="5476"/>
      <c r="AW101" s="5476"/>
      <c r="AX101" s="5476"/>
      <c r="AY101" s="5476"/>
      <c r="AZ101" s="5476"/>
      <c r="BA101" s="5476"/>
      <c r="BB101" s="5476"/>
      <c r="BC101" s="5477"/>
      <c r="BD101" s="1131"/>
      <c r="BE101" s="1125"/>
      <c r="BF101" s="1125"/>
      <c r="BG101" s="2110"/>
      <c r="BH101" s="5473" t="s">
        <v>4573</v>
      </c>
      <c r="BI101" s="5474"/>
      <c r="BJ101" s="1150">
        <f>IF(BH97=0,"",VLOOKUP(BH97,'Tablas Magia'!$D$6:$Z$680,9,FALSE))</f>
        <v>14</v>
      </c>
      <c r="BK101" s="1150">
        <f>IF(BH97=0,"",VLOOKUP(BH97,'Tablas Magia'!$D$6:$Z$680,13,FALSE))</f>
        <v>450</v>
      </c>
      <c r="BL101" s="1151" t="str">
        <f>IF(BH97=0,"",VLOOKUP(BH97,'Tablas Magia'!$D$6:$Z$680,17,FALSE))</f>
        <v>No</v>
      </c>
      <c r="BM101" s="5475" t="str">
        <f>IF(BH97=0,"",VLOOKUP(BH97,'Tablas Magia'!$D$6:$Z$680,21,FALSE))</f>
        <v>5.000 kilómetros / 1.000 de presencia / RM 180</v>
      </c>
      <c r="BN101" s="5476"/>
      <c r="BO101" s="5476"/>
      <c r="BP101" s="5476"/>
      <c r="BQ101" s="5476"/>
      <c r="BR101" s="5476"/>
      <c r="BS101" s="5476"/>
      <c r="BT101" s="5476"/>
      <c r="BU101" s="5476"/>
      <c r="BV101" s="5477"/>
      <c r="BW101" s="1131"/>
      <c r="BX101" s="1125"/>
      <c r="BY101" s="1125"/>
      <c r="BZ101" s="2110"/>
      <c r="CA101" s="5473" t="s">
        <v>4573</v>
      </c>
      <c r="CB101" s="5474"/>
      <c r="CC101" s="1150">
        <f>IF(CA97=0,"",VLOOKUP(CA97,'Tablas Magia'!$D$6:$Z$680,9,FALSE))</f>
        <v>18</v>
      </c>
      <c r="CD101" s="1150">
        <f>IF(CA97=0,"",VLOOKUP(CA97,'Tablas Magia'!$D$6:$Z$680,13,FALSE))</f>
        <v>2000</v>
      </c>
      <c r="CE101" s="1151">
        <f>IF(CA97=0,"",VLOOKUP(CA97,'Tablas Magia'!$D$6:$Z$680,17,FALSE))</f>
        <v>45</v>
      </c>
      <c r="CF101" s="5475" t="str">
        <f>IF(CA97=0,"",VLOOKUP(CA97,'Tablas Magia'!$D$6:$Z$680,21,FALSE))</f>
        <v>Gnosis máximo 40</v>
      </c>
      <c r="CG101" s="5476"/>
      <c r="CH101" s="5476"/>
      <c r="CI101" s="5476"/>
      <c r="CJ101" s="5476"/>
      <c r="CK101" s="5476"/>
      <c r="CL101" s="5476"/>
      <c r="CM101" s="5476"/>
      <c r="CN101" s="5476"/>
      <c r="CO101" s="5477"/>
      <c r="CP101" s="1131"/>
      <c r="CQ101" s="1125"/>
    </row>
    <row r="102" spans="1:95" ht="12" customHeight="1" thickBot="1" x14ac:dyDescent="0.25">
      <c r="A102" s="1125"/>
      <c r="B102" s="2096"/>
      <c r="C102" s="5483" t="s">
        <v>4574</v>
      </c>
      <c r="D102" s="5484"/>
      <c r="E102" s="1154">
        <f>IF(C97=0,"",VLOOKUP(C97,'Tablas Magia'!$D$6:$Z$680,10,FALSE))</f>
        <v>15</v>
      </c>
      <c r="F102" s="1154">
        <f>IF(C97=0,"",VLOOKUP(C97,'Tablas Magia'!$D$6:$Z$680,14,FALSE))</f>
        <v>250</v>
      </c>
      <c r="G102" s="1155">
        <f>IF(C97=0,"",VLOOKUP(C97,'Tablas Magia'!$D$6:$Z$680,18,FALSE))</f>
        <v>25</v>
      </c>
      <c r="H102" s="5485" t="str">
        <f>IF(C97=0,"",VLOOKUP(C97,'Tablas Magia'!$D$6:$Z$680,22,FALSE))</f>
        <v>500 metros de radio / 280 RM</v>
      </c>
      <c r="I102" s="5486"/>
      <c r="J102" s="5486"/>
      <c r="K102" s="5486"/>
      <c r="L102" s="5486"/>
      <c r="M102" s="5486"/>
      <c r="N102" s="5486"/>
      <c r="O102" s="5486"/>
      <c r="P102" s="5486"/>
      <c r="Q102" s="5487"/>
      <c r="R102" s="1131"/>
      <c r="S102" s="1125"/>
      <c r="T102" s="1125"/>
      <c r="U102" s="2096"/>
      <c r="V102" s="5483" t="s">
        <v>4574</v>
      </c>
      <c r="W102" s="5484"/>
      <c r="X102" s="1154">
        <f>IF(V97=0,"",VLOOKUP(V97,'Tablas Magia'!$D$6:$Z$680,10,FALSE))</f>
        <v>15</v>
      </c>
      <c r="Y102" s="1154">
        <f>IF(V97=0,"",VLOOKUP(V97,'Tablas Magia'!$D$6:$Z$680,14,FALSE))</f>
        <v>150</v>
      </c>
      <c r="Z102" s="1155">
        <f>IF(V97=0,"",VLOOKUP(V97,'Tablas Magia'!$D$6:$Z$680,18,FALSE))</f>
        <v>15</v>
      </c>
      <c r="AA102" s="5485" t="str">
        <f>IF(V97=0,"",VLOOKUP(V97,'Tablas Magia'!$D$6:$Z$680,22,FALSE))</f>
        <v>RM 160 / 250 metros de radio</v>
      </c>
      <c r="AB102" s="5486"/>
      <c r="AC102" s="5486"/>
      <c r="AD102" s="5486"/>
      <c r="AE102" s="5486"/>
      <c r="AF102" s="5486"/>
      <c r="AG102" s="5486"/>
      <c r="AH102" s="5486"/>
      <c r="AI102" s="5486"/>
      <c r="AJ102" s="5487"/>
      <c r="AK102" s="1131"/>
      <c r="AL102" s="1125"/>
      <c r="AM102" s="1125"/>
      <c r="AN102" s="2110"/>
      <c r="AO102" s="5483" t="s">
        <v>4574</v>
      </c>
      <c r="AP102" s="5484"/>
      <c r="AQ102" s="1154">
        <f>IF(AO97=0,"",VLOOKUP(AO97,'Tablas Magia'!$D$6:$Z$680,10,FALSE))</f>
        <v>15</v>
      </c>
      <c r="AR102" s="1154">
        <f>IF(AO97=0,"",VLOOKUP(AO97,'Tablas Magia'!$D$6:$Z$680,14,FALSE))</f>
        <v>300</v>
      </c>
      <c r="AS102" s="1155">
        <f>IF(AO97=0,"",VLOOKUP(AO97,'Tablas Magia'!$D$6:$Z$680,18,FALSE))</f>
        <v>30</v>
      </c>
      <c r="AT102" s="5485" t="str">
        <f>IF(AO97=0,"",VLOOKUP(AO97,'Tablas Magia'!$D$6:$Z$680,22,FALSE))</f>
        <v>Radio de 500 metros / RM o RP 220</v>
      </c>
      <c r="AU102" s="5486"/>
      <c r="AV102" s="5486"/>
      <c r="AW102" s="5486"/>
      <c r="AX102" s="5486"/>
      <c r="AY102" s="5486"/>
      <c r="AZ102" s="5486"/>
      <c r="BA102" s="5486"/>
      <c r="BB102" s="5486"/>
      <c r="BC102" s="5487"/>
      <c r="BD102" s="1131"/>
      <c r="BE102" s="1125"/>
      <c r="BF102" s="1125"/>
      <c r="BG102" s="2110"/>
      <c r="BH102" s="5483" t="s">
        <v>4574</v>
      </c>
      <c r="BI102" s="5484"/>
      <c r="BJ102" s="1154">
        <f>IF(BH97=0,"",VLOOKUP(BH97,'Tablas Magia'!$D$6:$Z$680,10,FALSE))</f>
        <v>16</v>
      </c>
      <c r="BK102" s="1154">
        <f>IF(BH97=0,"",VLOOKUP(BH97,'Tablas Magia'!$D$6:$Z$680,14,FALSE))</f>
        <v>600</v>
      </c>
      <c r="BL102" s="1155" t="str">
        <f>IF(BH97=0,"",VLOOKUP(BH97,'Tablas Magia'!$D$6:$Z$680,18,FALSE))</f>
        <v>No</v>
      </c>
      <c r="BM102" s="5485" t="str">
        <f>IF(BH97=0,"",VLOOKUP(BH97,'Tablas Magia'!$D$6:$Z$680,22,FALSE))</f>
        <v>15.000 kilómetros / 2.000 de presencia / RM contra 200</v>
      </c>
      <c r="BN102" s="5486"/>
      <c r="BO102" s="5486"/>
      <c r="BP102" s="5486"/>
      <c r="BQ102" s="5486"/>
      <c r="BR102" s="5486"/>
      <c r="BS102" s="5486"/>
      <c r="BT102" s="5486"/>
      <c r="BU102" s="5486"/>
      <c r="BV102" s="5487"/>
      <c r="BW102" s="1131"/>
      <c r="BX102" s="1125"/>
      <c r="BY102" s="1125"/>
      <c r="BZ102" s="2110"/>
      <c r="CA102" s="5483" t="s">
        <v>4574</v>
      </c>
      <c r="CB102" s="5484"/>
      <c r="CC102" s="1154">
        <f>IF(CA97=0,"",VLOOKUP(CA97,'Tablas Magia'!$D$6:$Z$680,10,FALSE))</f>
        <v>20</v>
      </c>
      <c r="CD102" s="1154">
        <f>IF(CA97=0,"",VLOOKUP(CA97,'Tablas Magia'!$D$6:$Z$680,14,FALSE))</f>
        <v>5000</v>
      </c>
      <c r="CE102" s="1155">
        <f>IF(CA97=0,"",VLOOKUP(CA97,'Tablas Magia'!$D$6:$Z$680,18,FALSE))</f>
        <v>50</v>
      </c>
      <c r="CF102" s="5485" t="str">
        <f>IF(CA97=0,"",VLOOKUP(CA97,'Tablas Magia'!$D$6:$Z$680,22,FALSE))</f>
        <v>Gnosis máximo 45.</v>
      </c>
      <c r="CG102" s="5486"/>
      <c r="CH102" s="5486"/>
      <c r="CI102" s="5486"/>
      <c r="CJ102" s="5486"/>
      <c r="CK102" s="5486"/>
      <c r="CL102" s="5486"/>
      <c r="CM102" s="5486"/>
      <c r="CN102" s="5486"/>
      <c r="CO102" s="5487"/>
      <c r="CP102" s="1131"/>
      <c r="CQ102" s="1125"/>
    </row>
    <row r="103" spans="1:95" ht="12" customHeight="1" x14ac:dyDescent="0.2">
      <c r="A103" s="1125"/>
      <c r="B103" s="2096"/>
      <c r="C103" s="5488"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489"/>
      <c r="E103" s="5489"/>
      <c r="F103" s="5489"/>
      <c r="G103" s="5489"/>
      <c r="H103" s="5489"/>
      <c r="I103" s="5489"/>
      <c r="J103" s="5489"/>
      <c r="K103" s="5489"/>
      <c r="L103" s="5489"/>
      <c r="M103" s="5489"/>
      <c r="N103" s="5489"/>
      <c r="O103" s="5489"/>
      <c r="P103" s="5489"/>
      <c r="Q103" s="5490"/>
      <c r="R103" s="1131"/>
      <c r="S103" s="1125"/>
      <c r="T103" s="1125"/>
      <c r="U103" s="2096"/>
      <c r="V103" s="5488"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489"/>
      <c r="X103" s="5489"/>
      <c r="Y103" s="5489"/>
      <c r="Z103" s="5489"/>
      <c r="AA103" s="5489"/>
      <c r="AB103" s="5489"/>
      <c r="AC103" s="5489"/>
      <c r="AD103" s="5489"/>
      <c r="AE103" s="5489"/>
      <c r="AF103" s="5489"/>
      <c r="AG103" s="5489"/>
      <c r="AH103" s="5489"/>
      <c r="AI103" s="5489"/>
      <c r="AJ103" s="5490"/>
      <c r="AK103" s="1131"/>
      <c r="AL103" s="1125"/>
      <c r="AM103" s="1125"/>
      <c r="AN103" s="2110"/>
      <c r="AO103" s="5488" t="str">
        <f>IF(AO97=0,"",VLOOKUP(AO97,'Tablas Magia'!$D$6:$Z$680,23,FALSE))</f>
        <v>Introduce algún tipo de sentimiento positivo, como amor, placer o amistad, en los individuos designados por el hechicero que fallen la RM del conjuro. El afectado puede repetir el control una vez al día</v>
      </c>
      <c r="AP103" s="5489"/>
      <c r="AQ103" s="5489"/>
      <c r="AR103" s="5489"/>
      <c r="AS103" s="5489"/>
      <c r="AT103" s="5489"/>
      <c r="AU103" s="5489"/>
      <c r="AV103" s="5489"/>
      <c r="AW103" s="5489"/>
      <c r="AX103" s="5489"/>
      <c r="AY103" s="5489"/>
      <c r="AZ103" s="5489"/>
      <c r="BA103" s="5489"/>
      <c r="BB103" s="5489"/>
      <c r="BC103" s="5490"/>
      <c r="BD103" s="1131"/>
      <c r="BE103" s="1125"/>
      <c r="BF103" s="1125"/>
      <c r="BG103" s="2110"/>
      <c r="BH103" s="5488"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489"/>
      <c r="BJ103" s="5489"/>
      <c r="BK103" s="5489"/>
      <c r="BL103" s="5489"/>
      <c r="BM103" s="5489"/>
      <c r="BN103" s="5489"/>
      <c r="BO103" s="5489"/>
      <c r="BP103" s="5489"/>
      <c r="BQ103" s="5489"/>
      <c r="BR103" s="5489"/>
      <c r="BS103" s="5489"/>
      <c r="BT103" s="5489"/>
      <c r="BU103" s="5489"/>
      <c r="BV103" s="5490"/>
      <c r="BW103" s="1131"/>
      <c r="BX103" s="1125"/>
      <c r="BY103" s="1125"/>
      <c r="BZ103" s="2110"/>
      <c r="CA103" s="5488"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489"/>
      <c r="CC103" s="5489"/>
      <c r="CD103" s="5489"/>
      <c r="CE103" s="5489"/>
      <c r="CF103" s="5489"/>
      <c r="CG103" s="5489"/>
      <c r="CH103" s="5489"/>
      <c r="CI103" s="5489"/>
      <c r="CJ103" s="5489"/>
      <c r="CK103" s="5489"/>
      <c r="CL103" s="5489"/>
      <c r="CM103" s="5489"/>
      <c r="CN103" s="5489"/>
      <c r="CO103" s="5490"/>
      <c r="CP103" s="1131"/>
      <c r="CQ103" s="1125"/>
    </row>
    <row r="104" spans="1:95" ht="12" customHeight="1" x14ac:dyDescent="0.2">
      <c r="A104" s="1125"/>
      <c r="B104" s="2096"/>
      <c r="C104" s="5491"/>
      <c r="D104" s="5492"/>
      <c r="E104" s="5492"/>
      <c r="F104" s="5492"/>
      <c r="G104" s="5492"/>
      <c r="H104" s="5492"/>
      <c r="I104" s="5492"/>
      <c r="J104" s="5492"/>
      <c r="K104" s="5492"/>
      <c r="L104" s="5492"/>
      <c r="M104" s="5492"/>
      <c r="N104" s="5492"/>
      <c r="O104" s="5492"/>
      <c r="P104" s="5492"/>
      <c r="Q104" s="5493"/>
      <c r="R104" s="1131"/>
      <c r="S104" s="1125"/>
      <c r="T104" s="1125"/>
      <c r="U104" s="2096"/>
      <c r="V104" s="5491"/>
      <c r="W104" s="5492"/>
      <c r="X104" s="5492"/>
      <c r="Y104" s="5492"/>
      <c r="Z104" s="5492"/>
      <c r="AA104" s="5492"/>
      <c r="AB104" s="5492"/>
      <c r="AC104" s="5492"/>
      <c r="AD104" s="5492"/>
      <c r="AE104" s="5492"/>
      <c r="AF104" s="5492"/>
      <c r="AG104" s="5492"/>
      <c r="AH104" s="5492"/>
      <c r="AI104" s="5492"/>
      <c r="AJ104" s="5493"/>
      <c r="AK104" s="1131"/>
      <c r="AL104" s="1125"/>
      <c r="AM104" s="1125"/>
      <c r="AN104" s="2110"/>
      <c r="AO104" s="5491"/>
      <c r="AP104" s="5492"/>
      <c r="AQ104" s="5492"/>
      <c r="AR104" s="5492"/>
      <c r="AS104" s="5492"/>
      <c r="AT104" s="5492"/>
      <c r="AU104" s="5492"/>
      <c r="AV104" s="5492"/>
      <c r="AW104" s="5492"/>
      <c r="AX104" s="5492"/>
      <c r="AY104" s="5492"/>
      <c r="AZ104" s="5492"/>
      <c r="BA104" s="5492"/>
      <c r="BB104" s="5492"/>
      <c r="BC104" s="5493"/>
      <c r="BD104" s="1131"/>
      <c r="BE104" s="1125"/>
      <c r="BF104" s="1125"/>
      <c r="BG104" s="2110"/>
      <c r="BH104" s="5491"/>
      <c r="BI104" s="5492"/>
      <c r="BJ104" s="5492"/>
      <c r="BK104" s="5492"/>
      <c r="BL104" s="5492"/>
      <c r="BM104" s="5492"/>
      <c r="BN104" s="5492"/>
      <c r="BO104" s="5492"/>
      <c r="BP104" s="5492"/>
      <c r="BQ104" s="5492"/>
      <c r="BR104" s="5492"/>
      <c r="BS104" s="5492"/>
      <c r="BT104" s="5492"/>
      <c r="BU104" s="5492"/>
      <c r="BV104" s="5493"/>
      <c r="BW104" s="1131"/>
      <c r="BX104" s="1125"/>
      <c r="BY104" s="1125"/>
      <c r="BZ104" s="2110"/>
      <c r="CA104" s="5491"/>
      <c r="CB104" s="5492"/>
      <c r="CC104" s="5492"/>
      <c r="CD104" s="5492"/>
      <c r="CE104" s="5492"/>
      <c r="CF104" s="5492"/>
      <c r="CG104" s="5492"/>
      <c r="CH104" s="5492"/>
      <c r="CI104" s="5492"/>
      <c r="CJ104" s="5492"/>
      <c r="CK104" s="5492"/>
      <c r="CL104" s="5492"/>
      <c r="CM104" s="5492"/>
      <c r="CN104" s="5492"/>
      <c r="CO104" s="5493"/>
      <c r="CP104" s="1131"/>
      <c r="CQ104" s="1125"/>
    </row>
    <row r="105" spans="1:95" ht="12" customHeight="1" x14ac:dyDescent="0.2">
      <c r="A105" s="1125"/>
      <c r="B105" s="2096"/>
      <c r="C105" s="5491"/>
      <c r="D105" s="5492"/>
      <c r="E105" s="5492"/>
      <c r="F105" s="5492"/>
      <c r="G105" s="5492"/>
      <c r="H105" s="5492"/>
      <c r="I105" s="5492"/>
      <c r="J105" s="5492"/>
      <c r="K105" s="5492"/>
      <c r="L105" s="5492"/>
      <c r="M105" s="5492"/>
      <c r="N105" s="5492"/>
      <c r="O105" s="5492"/>
      <c r="P105" s="5492"/>
      <c r="Q105" s="5493"/>
      <c r="R105" s="1131"/>
      <c r="S105" s="1125"/>
      <c r="T105" s="1125"/>
      <c r="U105" s="2096"/>
      <c r="V105" s="5491"/>
      <c r="W105" s="5492"/>
      <c r="X105" s="5492"/>
      <c r="Y105" s="5492"/>
      <c r="Z105" s="5492"/>
      <c r="AA105" s="5492"/>
      <c r="AB105" s="5492"/>
      <c r="AC105" s="5492"/>
      <c r="AD105" s="5492"/>
      <c r="AE105" s="5492"/>
      <c r="AF105" s="5492"/>
      <c r="AG105" s="5492"/>
      <c r="AH105" s="5492"/>
      <c r="AI105" s="5492"/>
      <c r="AJ105" s="5493"/>
      <c r="AK105" s="1131"/>
      <c r="AL105" s="1125"/>
      <c r="AM105" s="1125"/>
      <c r="AN105" s="2110"/>
      <c r="AO105" s="5491"/>
      <c r="AP105" s="5492"/>
      <c r="AQ105" s="5492"/>
      <c r="AR105" s="5492"/>
      <c r="AS105" s="5492"/>
      <c r="AT105" s="5492"/>
      <c r="AU105" s="5492"/>
      <c r="AV105" s="5492"/>
      <c r="AW105" s="5492"/>
      <c r="AX105" s="5492"/>
      <c r="AY105" s="5492"/>
      <c r="AZ105" s="5492"/>
      <c r="BA105" s="5492"/>
      <c r="BB105" s="5492"/>
      <c r="BC105" s="5493"/>
      <c r="BD105" s="1131"/>
      <c r="BE105" s="1125"/>
      <c r="BF105" s="1125"/>
      <c r="BG105" s="2110"/>
      <c r="BH105" s="5491"/>
      <c r="BI105" s="5492"/>
      <c r="BJ105" s="5492"/>
      <c r="BK105" s="5492"/>
      <c r="BL105" s="5492"/>
      <c r="BM105" s="5492"/>
      <c r="BN105" s="5492"/>
      <c r="BO105" s="5492"/>
      <c r="BP105" s="5492"/>
      <c r="BQ105" s="5492"/>
      <c r="BR105" s="5492"/>
      <c r="BS105" s="5492"/>
      <c r="BT105" s="5492"/>
      <c r="BU105" s="5492"/>
      <c r="BV105" s="5493"/>
      <c r="BW105" s="1131"/>
      <c r="BX105" s="1125"/>
      <c r="BY105" s="1125"/>
      <c r="BZ105" s="2110"/>
      <c r="CA105" s="5491"/>
      <c r="CB105" s="5492"/>
      <c r="CC105" s="5492"/>
      <c r="CD105" s="5492"/>
      <c r="CE105" s="5492"/>
      <c r="CF105" s="5492"/>
      <c r="CG105" s="5492"/>
      <c r="CH105" s="5492"/>
      <c r="CI105" s="5492"/>
      <c r="CJ105" s="5492"/>
      <c r="CK105" s="5492"/>
      <c r="CL105" s="5492"/>
      <c r="CM105" s="5492"/>
      <c r="CN105" s="5492"/>
      <c r="CO105" s="5493"/>
      <c r="CP105" s="1131"/>
      <c r="CQ105" s="1125"/>
    </row>
    <row r="106" spans="1:95" ht="13.5" thickBot="1" x14ac:dyDescent="0.25">
      <c r="A106" s="1125"/>
      <c r="B106" s="2096"/>
      <c r="C106" s="5494"/>
      <c r="D106" s="5495"/>
      <c r="E106" s="5495"/>
      <c r="F106" s="5495"/>
      <c r="G106" s="5495"/>
      <c r="H106" s="5495"/>
      <c r="I106" s="5495"/>
      <c r="J106" s="5495"/>
      <c r="K106" s="5495"/>
      <c r="L106" s="5495"/>
      <c r="M106" s="5495"/>
      <c r="N106" s="5495"/>
      <c r="O106" s="5495"/>
      <c r="P106" s="5495"/>
      <c r="Q106" s="5496"/>
      <c r="R106" s="1131"/>
      <c r="S106" s="1125"/>
      <c r="T106" s="1125"/>
      <c r="U106" s="2096"/>
      <c r="V106" s="5494"/>
      <c r="W106" s="5495"/>
      <c r="X106" s="5495"/>
      <c r="Y106" s="5495"/>
      <c r="Z106" s="5495"/>
      <c r="AA106" s="5495"/>
      <c r="AB106" s="5495"/>
      <c r="AC106" s="5495"/>
      <c r="AD106" s="5495"/>
      <c r="AE106" s="5495"/>
      <c r="AF106" s="5495"/>
      <c r="AG106" s="5495"/>
      <c r="AH106" s="5495"/>
      <c r="AI106" s="5495"/>
      <c r="AJ106" s="5496"/>
      <c r="AK106" s="1131"/>
      <c r="AL106" s="1125"/>
      <c r="AM106" s="1125"/>
      <c r="AN106" s="2110"/>
      <c r="AO106" s="5494"/>
      <c r="AP106" s="5495"/>
      <c r="AQ106" s="5495"/>
      <c r="AR106" s="5495"/>
      <c r="AS106" s="5495"/>
      <c r="AT106" s="5495"/>
      <c r="AU106" s="5495"/>
      <c r="AV106" s="5495"/>
      <c r="AW106" s="5495"/>
      <c r="AX106" s="5495"/>
      <c r="AY106" s="5495"/>
      <c r="AZ106" s="5495"/>
      <c r="BA106" s="5495"/>
      <c r="BB106" s="5495"/>
      <c r="BC106" s="5496"/>
      <c r="BD106" s="1131"/>
      <c r="BE106" s="1125"/>
      <c r="BF106" s="1125"/>
      <c r="BG106" s="2110"/>
      <c r="BH106" s="5494"/>
      <c r="BI106" s="5495"/>
      <c r="BJ106" s="5495"/>
      <c r="BK106" s="5495"/>
      <c r="BL106" s="5495"/>
      <c r="BM106" s="5495"/>
      <c r="BN106" s="5495"/>
      <c r="BO106" s="5495"/>
      <c r="BP106" s="5495"/>
      <c r="BQ106" s="5495"/>
      <c r="BR106" s="5495"/>
      <c r="BS106" s="5495"/>
      <c r="BT106" s="5495"/>
      <c r="BU106" s="5495"/>
      <c r="BV106" s="5496"/>
      <c r="BW106" s="1131"/>
      <c r="BX106" s="1125"/>
      <c r="BY106" s="1125"/>
      <c r="BZ106" s="2110"/>
      <c r="CA106" s="5494"/>
      <c r="CB106" s="5495"/>
      <c r="CC106" s="5495"/>
      <c r="CD106" s="5495"/>
      <c r="CE106" s="5495"/>
      <c r="CF106" s="5495"/>
      <c r="CG106" s="5495"/>
      <c r="CH106" s="5495"/>
      <c r="CI106" s="5495"/>
      <c r="CJ106" s="5495"/>
      <c r="CK106" s="5495"/>
      <c r="CL106" s="5495"/>
      <c r="CM106" s="5495"/>
      <c r="CN106" s="5495"/>
      <c r="CO106" s="5496"/>
      <c r="CP106" s="1131"/>
      <c r="CQ106" s="1125"/>
    </row>
    <row r="107" spans="1:95" ht="13.5" thickBot="1" x14ac:dyDescent="0.25">
      <c r="A107" s="1125"/>
      <c r="B107" s="2096"/>
      <c r="C107" s="1166"/>
      <c r="D107" s="1166"/>
      <c r="E107" s="1152"/>
      <c r="F107" s="1152"/>
      <c r="G107" s="1152"/>
      <c r="H107" s="1167"/>
      <c r="I107" s="1167"/>
      <c r="J107" s="1167"/>
      <c r="K107" s="1167"/>
      <c r="L107" s="1167"/>
      <c r="M107" s="1167"/>
      <c r="N107" s="1167"/>
      <c r="O107" s="1167"/>
      <c r="P107" s="1167"/>
      <c r="Q107" s="1167"/>
      <c r="R107" s="1131"/>
      <c r="S107" s="1125"/>
      <c r="T107" s="1125"/>
      <c r="U107" s="2096"/>
      <c r="V107" s="1166"/>
      <c r="W107" s="1166"/>
      <c r="X107" s="1152"/>
      <c r="Y107" s="1152"/>
      <c r="Z107" s="1152"/>
      <c r="AA107" s="1167"/>
      <c r="AB107" s="1167"/>
      <c r="AC107" s="1167"/>
      <c r="AD107" s="1167"/>
      <c r="AE107" s="1167"/>
      <c r="AF107" s="1167"/>
      <c r="AG107" s="1167"/>
      <c r="AH107" s="1167"/>
      <c r="AI107" s="1167"/>
      <c r="AJ107" s="1167"/>
      <c r="AK107" s="1131"/>
      <c r="AL107" s="1125"/>
      <c r="AM107" s="1125"/>
      <c r="AN107" s="2096"/>
      <c r="AO107" s="1166"/>
      <c r="AP107" s="1166"/>
      <c r="AQ107" s="1152"/>
      <c r="AR107" s="1152"/>
      <c r="AS107" s="1152"/>
      <c r="AT107" s="1167"/>
      <c r="AU107" s="1167"/>
      <c r="AV107" s="1167"/>
      <c r="AW107" s="1167"/>
      <c r="AX107" s="1167"/>
      <c r="AY107" s="1167"/>
      <c r="AZ107" s="1167"/>
      <c r="BA107" s="1167"/>
      <c r="BB107" s="1167"/>
      <c r="BC107" s="1167"/>
      <c r="BD107" s="1131"/>
      <c r="BE107" s="1125"/>
      <c r="BF107" s="1125"/>
      <c r="BG107" s="2096"/>
      <c r="BH107" s="1166"/>
      <c r="BI107" s="1166"/>
      <c r="BJ107" s="1152"/>
      <c r="BK107" s="1152"/>
      <c r="BL107" s="1152"/>
      <c r="BM107" s="1167"/>
      <c r="BN107" s="1167"/>
      <c r="BO107" s="1167"/>
      <c r="BP107" s="1167"/>
      <c r="BQ107" s="1167"/>
      <c r="BR107" s="1167"/>
      <c r="BS107" s="1167"/>
      <c r="BT107" s="1167"/>
      <c r="BU107" s="1167"/>
      <c r="BV107" s="1167"/>
      <c r="BW107" s="1131"/>
      <c r="BX107" s="1125"/>
      <c r="BY107" s="1125"/>
      <c r="BZ107" s="2096"/>
      <c r="CA107" s="1166"/>
      <c r="CB107" s="1166"/>
      <c r="CC107" s="1152"/>
      <c r="CD107" s="1152"/>
      <c r="CE107" s="1152"/>
      <c r="CF107" s="1167"/>
      <c r="CG107" s="1167"/>
      <c r="CH107" s="1167"/>
      <c r="CI107" s="1167"/>
      <c r="CJ107" s="1167"/>
      <c r="CK107" s="1167"/>
      <c r="CL107" s="1167"/>
      <c r="CM107" s="1167"/>
      <c r="CN107" s="1167"/>
      <c r="CO107" s="1167"/>
      <c r="CP107" s="1131"/>
      <c r="CQ107" s="1125"/>
    </row>
    <row r="108" spans="1:95" ht="12.75" customHeight="1" x14ac:dyDescent="0.2">
      <c r="A108" s="1125"/>
      <c r="B108" s="2096">
        <f>B97+2</f>
        <v>20</v>
      </c>
      <c r="C108" s="5497"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498"/>
      <c r="E108" s="5498"/>
      <c r="F108" s="5498"/>
      <c r="G108" s="5498"/>
      <c r="H108" s="1145" t="s">
        <v>1627</v>
      </c>
      <c r="I108" s="1146">
        <f>B108</f>
        <v>20</v>
      </c>
      <c r="J108" s="5463" t="s">
        <v>7687</v>
      </c>
      <c r="K108" s="5463"/>
      <c r="L108" s="5463"/>
      <c r="M108" s="5464" t="str">
        <f>IF(C108=0,"",VLOOKUP(C108,'Tablas Magia'!$D$6:$Z$680,2,FALSE))</f>
        <v>Luz</v>
      </c>
      <c r="N108" s="5464"/>
      <c r="O108" s="5464"/>
      <c r="P108" s="5464"/>
      <c r="Q108" s="5465"/>
      <c r="R108" s="1131"/>
      <c r="S108" s="1125"/>
      <c r="T108" s="1125"/>
      <c r="U108" s="2096">
        <f>U97+2</f>
        <v>40</v>
      </c>
      <c r="V108" s="5497"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498"/>
      <c r="X108" s="5498"/>
      <c r="Y108" s="5498"/>
      <c r="Z108" s="5498"/>
      <c r="AA108" s="1145" t="s">
        <v>1627</v>
      </c>
      <c r="AB108" s="1146">
        <f>U108</f>
        <v>40</v>
      </c>
      <c r="AC108" s="5463" t="s">
        <v>7687</v>
      </c>
      <c r="AD108" s="5463"/>
      <c r="AE108" s="5463"/>
      <c r="AF108" s="5464" t="str">
        <f>IF(V108=0,"",VLOOKUP(V108,'Tablas Magia'!$D$6:$Z$680,2,FALSE))</f>
        <v>Luz</v>
      </c>
      <c r="AG108" s="5464"/>
      <c r="AH108" s="5464"/>
      <c r="AI108" s="5464"/>
      <c r="AJ108" s="5465"/>
      <c r="AK108" s="1131"/>
      <c r="AL108" s="1125"/>
      <c r="AM108" s="1125"/>
      <c r="AN108" s="2110">
        <f>AN97+2</f>
        <v>60</v>
      </c>
      <c r="AO108" s="5497"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498"/>
      <c r="AQ108" s="5498"/>
      <c r="AR108" s="5498"/>
      <c r="AS108" s="5498"/>
      <c r="AT108" s="1145" t="s">
        <v>1627</v>
      </c>
      <c r="AU108" s="1146">
        <f>AN108</f>
        <v>60</v>
      </c>
      <c r="AV108" s="5463" t="s">
        <v>7687</v>
      </c>
      <c r="AW108" s="5463"/>
      <c r="AX108" s="5463"/>
      <c r="AY108" s="5464" t="str">
        <f>IF(AO108=0,"",VLOOKUP(AO108,'Tablas Magia'!$D$6:$Z$680,2,FALSE))</f>
        <v>Luz</v>
      </c>
      <c r="AZ108" s="5464"/>
      <c r="BA108" s="5464"/>
      <c r="BB108" s="5464"/>
      <c r="BC108" s="5465"/>
      <c r="BD108" s="1131"/>
      <c r="BE108" s="1125"/>
      <c r="BF108" s="1125"/>
      <c r="BG108" s="2110">
        <f>BG97+2</f>
        <v>80</v>
      </c>
      <c r="BH108" s="5497"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498"/>
      <c r="BJ108" s="5498"/>
      <c r="BK108" s="5498"/>
      <c r="BL108" s="5498"/>
      <c r="BM108" s="1145" t="s">
        <v>1627</v>
      </c>
      <c r="BN108" s="1146">
        <f>BG108</f>
        <v>80</v>
      </c>
      <c r="BO108" s="5463" t="s">
        <v>7687</v>
      </c>
      <c r="BP108" s="5463"/>
      <c r="BQ108" s="5463"/>
      <c r="BR108" s="5464" t="str">
        <f>IF(BH108=0,"",VLOOKUP(BH108,'Tablas Magia'!$D$6:$Z$680,2,FALSE))</f>
        <v>Luz</v>
      </c>
      <c r="BS108" s="5464"/>
      <c r="BT108" s="5464"/>
      <c r="BU108" s="5464"/>
      <c r="BV108" s="5465"/>
      <c r="BW108" s="1131"/>
      <c r="BX108" s="1125"/>
      <c r="BY108" s="1125"/>
      <c r="BZ108" s="2110">
        <f>BZ97+2</f>
        <v>100</v>
      </c>
      <c r="CA108" s="5497"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498"/>
      <c r="CC108" s="5498"/>
      <c r="CD108" s="5498"/>
      <c r="CE108" s="5498"/>
      <c r="CF108" s="1145" t="s">
        <v>1627</v>
      </c>
      <c r="CG108" s="1146">
        <f>BZ108</f>
        <v>100</v>
      </c>
      <c r="CH108" s="5463" t="s">
        <v>7687</v>
      </c>
      <c r="CI108" s="5463"/>
      <c r="CJ108" s="5463"/>
      <c r="CK108" s="5464" t="str">
        <f>IF(CA108=0,"",VLOOKUP(CA108,'Tablas Magia'!$D$6:$Z$680,2,FALSE))</f>
        <v>Luz</v>
      </c>
      <c r="CL108" s="5464"/>
      <c r="CM108" s="5464"/>
      <c r="CN108" s="5464"/>
      <c r="CO108" s="5465"/>
      <c r="CP108" s="1131"/>
      <c r="CQ108" s="1125"/>
    </row>
    <row r="109" spans="1:95" ht="12.75" customHeight="1" x14ac:dyDescent="0.2">
      <c r="A109" s="1125"/>
      <c r="B109" s="2096"/>
      <c r="C109" s="5481" t="s">
        <v>7688</v>
      </c>
      <c r="D109" s="5482"/>
      <c r="E109" s="1147" t="s">
        <v>7689</v>
      </c>
      <c r="F109" s="1147" t="s">
        <v>1820</v>
      </c>
      <c r="G109" s="1147" t="s">
        <v>3334</v>
      </c>
      <c r="H109" s="1148" t="s">
        <v>2165</v>
      </c>
      <c r="I109" s="5478" t="str">
        <f>IF(C108=0,"",VLOOKUP(C108,'Tablas Magia'!$D$6:$Z$680,5,FALSE))</f>
        <v>Detección</v>
      </c>
      <c r="J109" s="5478"/>
      <c r="K109" s="5479" t="s">
        <v>7690</v>
      </c>
      <c r="L109" s="5479"/>
      <c r="M109" s="5478" t="str">
        <f>IF(C108=0,"",VLOOKUP(C108,'Tablas Magia'!$D$6:$Z$680,6,FALSE))</f>
        <v>Activa</v>
      </c>
      <c r="N109" s="5478"/>
      <c r="O109" s="5480" t="s">
        <v>7691</v>
      </c>
      <c r="P109" s="5480"/>
      <c r="Q109" s="1149" t="str">
        <f>IF(C108=0,"",VLOOKUP(C108,'Tablas Magia'!$D$6:$Z$680,4,FALSE))</f>
        <v>No</v>
      </c>
      <c r="R109" s="1131"/>
      <c r="S109" s="1125"/>
      <c r="T109" s="1125"/>
      <c r="U109" s="2096"/>
      <c r="V109" s="5481" t="s">
        <v>7688</v>
      </c>
      <c r="W109" s="5482"/>
      <c r="X109" s="1147" t="s">
        <v>7689</v>
      </c>
      <c r="Y109" s="1147" t="s">
        <v>1820</v>
      </c>
      <c r="Z109" s="1147" t="s">
        <v>3334</v>
      </c>
      <c r="AA109" s="1148" t="s">
        <v>2165</v>
      </c>
      <c r="AB109" s="5478" t="str">
        <f>IF(V108=0,"",VLOOKUP(V108,'Tablas Magia'!$D$6:$Z$680,5,FALSE))</f>
        <v>Anímico</v>
      </c>
      <c r="AC109" s="5478"/>
      <c r="AD109" s="5479" t="s">
        <v>7690</v>
      </c>
      <c r="AE109" s="5479"/>
      <c r="AF109" s="5478" t="str">
        <f>IF(V108=0,"",VLOOKUP(V108,'Tablas Magia'!$D$6:$Z$680,6,FALSE))</f>
        <v>Activa</v>
      </c>
      <c r="AG109" s="5478"/>
      <c r="AH109" s="5480" t="s">
        <v>7691</v>
      </c>
      <c r="AI109" s="5480"/>
      <c r="AJ109" s="1149" t="str">
        <f>IF(V108=0,"",VLOOKUP(V108,'Tablas Magia'!$D$6:$Z$680,4,FALSE))</f>
        <v>No</v>
      </c>
      <c r="AK109" s="1131"/>
      <c r="AL109" s="1125"/>
      <c r="AM109" s="1125"/>
      <c r="AN109" s="2110"/>
      <c r="AO109" s="5481" t="s">
        <v>7688</v>
      </c>
      <c r="AP109" s="5482"/>
      <c r="AQ109" s="1147" t="s">
        <v>7689</v>
      </c>
      <c r="AR109" s="1147" t="s">
        <v>1820</v>
      </c>
      <c r="AS109" s="1147" t="s">
        <v>3334</v>
      </c>
      <c r="AT109" s="1148" t="s">
        <v>2165</v>
      </c>
      <c r="AU109" s="5478" t="str">
        <f>IF(AO108=0,"",VLOOKUP(AO108,'Tablas Magia'!$D$6:$Z$680,5,FALSE))</f>
        <v>Efecto</v>
      </c>
      <c r="AV109" s="5478"/>
      <c r="AW109" s="5479" t="s">
        <v>7690</v>
      </c>
      <c r="AX109" s="5479"/>
      <c r="AY109" s="5478" t="str">
        <f>IF(AO108=0,"",VLOOKUP(AO108,'Tablas Magia'!$D$6:$Z$680,6,FALSE))</f>
        <v>Activa</v>
      </c>
      <c r="AZ109" s="5478"/>
      <c r="BA109" s="5480" t="s">
        <v>7691</v>
      </c>
      <c r="BB109" s="5480"/>
      <c r="BC109" s="1149" t="str">
        <f>IF(AO108=0,"",VLOOKUP(AO108,'Tablas Magia'!$D$6:$Z$680,4,FALSE))</f>
        <v>Si</v>
      </c>
      <c r="BD109" s="1131"/>
      <c r="BE109" s="1125"/>
      <c r="BF109" s="1125"/>
      <c r="BG109" s="2110"/>
      <c r="BH109" s="5481" t="s">
        <v>7688</v>
      </c>
      <c r="BI109" s="5482"/>
      <c r="BJ109" s="1147" t="s">
        <v>7689</v>
      </c>
      <c r="BK109" s="1147" t="s">
        <v>1820</v>
      </c>
      <c r="BL109" s="1147" t="s">
        <v>3334</v>
      </c>
      <c r="BM109" s="1148" t="s">
        <v>2165</v>
      </c>
      <c r="BN109" s="5478" t="str">
        <f>IF(BH108=0,"",VLOOKUP(BH108,'Tablas Magia'!$D$6:$Z$680,5,FALSE))</f>
        <v>Animíco</v>
      </c>
      <c r="BO109" s="5478"/>
      <c r="BP109" s="5479" t="s">
        <v>7690</v>
      </c>
      <c r="BQ109" s="5479"/>
      <c r="BR109" s="5478" t="str">
        <f>IF(BH108=0,"",VLOOKUP(BH108,'Tablas Magia'!$D$6:$Z$680,6,FALSE))</f>
        <v>Activa</v>
      </c>
      <c r="BS109" s="5478"/>
      <c r="BT109" s="5480" t="s">
        <v>7691</v>
      </c>
      <c r="BU109" s="5480"/>
      <c r="BV109" s="1149" t="str">
        <f>IF(BH108=0,"",VLOOKUP(BH108,'Tablas Magia'!$D$6:$Z$680,4,FALSE))</f>
        <v>Si</v>
      </c>
      <c r="BW109" s="1131"/>
      <c r="BX109" s="1125"/>
      <c r="BY109" s="1125"/>
      <c r="BZ109" s="2110"/>
      <c r="CA109" s="5481" t="s">
        <v>7688</v>
      </c>
      <c r="CB109" s="5482"/>
      <c r="CC109" s="1147" t="s">
        <v>7689</v>
      </c>
      <c r="CD109" s="1147" t="s">
        <v>1820</v>
      </c>
      <c r="CE109" s="1147" t="s">
        <v>3334</v>
      </c>
      <c r="CF109" s="1148" t="s">
        <v>2165</v>
      </c>
      <c r="CG109" s="5478" t="str">
        <f>IF(CA108=0,"",VLOOKUP(CA108,'Tablas Magia'!$D$6:$Z$680,5,FALSE))</f>
        <v>Ataque</v>
      </c>
      <c r="CH109" s="5478"/>
      <c r="CI109" s="5479" t="s">
        <v>7690</v>
      </c>
      <c r="CJ109" s="5479"/>
      <c r="CK109" s="5478" t="str">
        <f>IF(CA108=0,"",VLOOKUP(CA108,'Tablas Magia'!$D$6:$Z$680,6,FALSE))</f>
        <v>Activa</v>
      </c>
      <c r="CL109" s="5478"/>
      <c r="CM109" s="5480" t="s">
        <v>7691</v>
      </c>
      <c r="CN109" s="5480"/>
      <c r="CO109" s="1149" t="str">
        <f>IF(CA108=0,"",VLOOKUP(CA108,'Tablas Magia'!$D$6:$Z$680,4,FALSE))</f>
        <v>No</v>
      </c>
      <c r="CP109" s="1131"/>
      <c r="CQ109" s="1125"/>
    </row>
    <row r="110" spans="1:95" ht="12.75" customHeight="1" x14ac:dyDescent="0.2">
      <c r="A110" s="1125"/>
      <c r="B110" s="2096"/>
      <c r="C110" s="5473" t="s">
        <v>1674</v>
      </c>
      <c r="D110" s="5474"/>
      <c r="E110" s="1150">
        <f>IF(C108=0,"",VLOOKUP(C108,'Tablas Magia'!$D$6:$Z$680,7,FALSE))</f>
        <v>6</v>
      </c>
      <c r="F110" s="1150">
        <f>IF(C108=0,"",VLOOKUP(C108,'Tablas Magia'!$D$6:$Z$680,11,FALSE))</f>
        <v>50</v>
      </c>
      <c r="G110" s="1151">
        <f>IF(C108=0,"",VLOOKUP(C108,'Tablas Magia'!$D$6:$Z$680,15,FALSE))</f>
        <v>5</v>
      </c>
      <c r="H110" s="5475" t="str">
        <f>IF(C108=0,"",VLOOKUP(C108,'Tablas Magia'!$D$6:$Z$680,19,FALSE))</f>
        <v>25 metros de radio / 80 RM para resistirse.</v>
      </c>
      <c r="I110" s="5476"/>
      <c r="J110" s="5476"/>
      <c r="K110" s="5476"/>
      <c r="L110" s="5476"/>
      <c r="M110" s="5476"/>
      <c r="N110" s="5476"/>
      <c r="O110" s="5476"/>
      <c r="P110" s="5476"/>
      <c r="Q110" s="5477"/>
      <c r="R110" s="1131"/>
      <c r="S110" s="1125"/>
      <c r="T110" s="1125"/>
      <c r="U110" s="2096"/>
      <c r="V110" s="5473" t="s">
        <v>1674</v>
      </c>
      <c r="W110" s="5474"/>
      <c r="X110" s="1150">
        <f>IF(V108=0,"",VLOOKUP(V108,'Tablas Magia'!$D$6:$Z$680,7,FALSE))</f>
        <v>6</v>
      </c>
      <c r="Y110" s="1150">
        <f>IF(V108=0,"",VLOOKUP(V108,'Tablas Magia'!$D$6:$Z$680,11,FALSE))</f>
        <v>80</v>
      </c>
      <c r="Z110" s="1151" t="str">
        <f>IF(V108=0,"",VLOOKUP(V108,'Tablas Magia'!$D$6:$Z$680,15,FALSE))</f>
        <v>No</v>
      </c>
      <c r="AA110" s="5475" t="str">
        <f>IF(V108=0,"",VLOOKUP(V108,'Tablas Magia'!$D$6:$Z$680,19,FALSE))</f>
        <v>RM o RP 100 / 100 metros de radio</v>
      </c>
      <c r="AB110" s="5476"/>
      <c r="AC110" s="5476"/>
      <c r="AD110" s="5476"/>
      <c r="AE110" s="5476"/>
      <c r="AF110" s="5476"/>
      <c r="AG110" s="5476"/>
      <c r="AH110" s="5476"/>
      <c r="AI110" s="5476"/>
      <c r="AJ110" s="5477"/>
      <c r="AK110" s="1131"/>
      <c r="AL110" s="1125"/>
      <c r="AM110" s="1125"/>
      <c r="AN110" s="2110"/>
      <c r="AO110" s="5473" t="s">
        <v>1674</v>
      </c>
      <c r="AP110" s="5474"/>
      <c r="AQ110" s="1150">
        <f>IF(AO108=0,"",VLOOKUP(AO108,'Tablas Magia'!$D$6:$Z$680,7,FALSE))</f>
        <v>8</v>
      </c>
      <c r="AR110" s="1150">
        <f>IF(AO108=0,"",VLOOKUP(AO108,'Tablas Magia'!$D$6:$Z$680,11,FALSE))</f>
        <v>100</v>
      </c>
      <c r="AS110" s="1151">
        <f>IF(AO108=0,"",VLOOKUP(AO108,'Tablas Magia'!$D$6:$Z$680,15,FALSE))</f>
        <v>10</v>
      </c>
      <c r="AT110" s="5475" t="str">
        <f>IF(AO108=0,"",VLOOKUP(AO108,'Tablas Magia'!$D$6:$Z$680,19,FALSE))</f>
        <v>Verá magia, matrices psíquicas y seres invisibles / +50 RM contra Ilusiónes.</v>
      </c>
      <c r="AU110" s="5476"/>
      <c r="AV110" s="5476"/>
      <c r="AW110" s="5476"/>
      <c r="AX110" s="5476"/>
      <c r="AY110" s="5476"/>
      <c r="AZ110" s="5476"/>
      <c r="BA110" s="5476"/>
      <c r="BB110" s="5476"/>
      <c r="BC110" s="5477"/>
      <c r="BD110" s="1131"/>
      <c r="BE110" s="1125"/>
      <c r="BF110" s="1125"/>
      <c r="BG110" s="2110"/>
      <c r="BH110" s="5473" t="s">
        <v>1674</v>
      </c>
      <c r="BI110" s="5474"/>
      <c r="BJ110" s="1150">
        <f>IF(BH108=0,"",VLOOKUP(BH108,'Tablas Magia'!$D$6:$Z$680,7,FALSE))</f>
        <v>12</v>
      </c>
      <c r="BK110" s="1150">
        <f>IF(BH108=0,"",VLOOKUP(BH108,'Tablas Magia'!$D$6:$Z$680,11,FALSE))</f>
        <v>300</v>
      </c>
      <c r="BL110" s="1151">
        <f>IF(BH108=0,"",VLOOKUP(BH108,'Tablas Magia'!$D$6:$Z$680,15,FALSE))</f>
        <v>60</v>
      </c>
      <c r="BM110" s="5475" t="str">
        <f>IF(BH108=0,"",VLOOKUP(BH108,'Tablas Magia'!$D$6:$Z$680,19,FALSE))</f>
        <v>RM 140.</v>
      </c>
      <c r="BN110" s="5476"/>
      <c r="BO110" s="5476"/>
      <c r="BP110" s="5476"/>
      <c r="BQ110" s="5476"/>
      <c r="BR110" s="5476"/>
      <c r="BS110" s="5476"/>
      <c r="BT110" s="5476"/>
      <c r="BU110" s="5476"/>
      <c r="BV110" s="5477"/>
      <c r="BW110" s="1131"/>
      <c r="BX110" s="1125"/>
      <c r="BY110" s="1125"/>
      <c r="BZ110" s="2110"/>
      <c r="CA110" s="5473" t="s">
        <v>1674</v>
      </c>
      <c r="CB110" s="5474"/>
      <c r="CC110" s="1150">
        <f>IF(CA108=0,"",VLOOKUP(CA108,'Tablas Magia'!$D$6:$Z$680,7,FALSE))</f>
        <v>14</v>
      </c>
      <c r="CD110" s="1150">
        <f>IF(CA108=0,"",VLOOKUP(CA108,'Tablas Magia'!$D$6:$Z$680,11,FALSE))</f>
        <v>600</v>
      </c>
      <c r="CE110" s="1151" t="str">
        <f>IF(CA108=0,"",VLOOKUP(CA108,'Tablas Magia'!$D$6:$Z$680,15,FALSE))</f>
        <v>No</v>
      </c>
      <c r="CF110" s="5475" t="str">
        <f>IF(CA108=0,"",VLOOKUP(CA108,'Tablas Magia'!$D$6:$Z$680,19,FALSE))</f>
        <v>Daño 350 / 100 metros de radio</v>
      </c>
      <c r="CG110" s="5476"/>
      <c r="CH110" s="5476"/>
      <c r="CI110" s="5476"/>
      <c r="CJ110" s="5476"/>
      <c r="CK110" s="5476"/>
      <c r="CL110" s="5476"/>
      <c r="CM110" s="5476"/>
      <c r="CN110" s="5476"/>
      <c r="CO110" s="5477"/>
      <c r="CP110" s="1131"/>
      <c r="CQ110" s="1125"/>
    </row>
    <row r="111" spans="1:95" x14ac:dyDescent="0.2">
      <c r="A111" s="1125"/>
      <c r="B111" s="2096"/>
      <c r="C111" s="5468" t="s">
        <v>4572</v>
      </c>
      <c r="D111" s="5469"/>
      <c r="E111" s="1152">
        <f>IF(C108=0,"",VLOOKUP(C108,'Tablas Magia'!$D$6:$Z$680,8,FALSE))</f>
        <v>9</v>
      </c>
      <c r="F111" s="1152">
        <f>IF(C108=0,"",VLOOKUP(C108,'Tablas Magia'!$D$6:$Z$680,12,FALSE))</f>
        <v>100</v>
      </c>
      <c r="G111" s="1153">
        <f>IF(C108=0,"",VLOOKUP(C108,'Tablas Magia'!$D$6:$Z$680,16,FALSE))</f>
        <v>10</v>
      </c>
      <c r="H111" s="5470" t="str">
        <f>IF(C108=0,"",VLOOKUP(C108,'Tablas Magia'!$D$6:$Z$680,20,FALSE))</f>
        <v>150 metros de radio / 140 RM para resistirse</v>
      </c>
      <c r="I111" s="5471"/>
      <c r="J111" s="5471"/>
      <c r="K111" s="5471"/>
      <c r="L111" s="5471"/>
      <c r="M111" s="5471"/>
      <c r="N111" s="5471"/>
      <c r="O111" s="5471"/>
      <c r="P111" s="5471"/>
      <c r="Q111" s="5472"/>
      <c r="R111" s="1131"/>
      <c r="S111" s="1125"/>
      <c r="T111" s="1125"/>
      <c r="U111" s="2096"/>
      <c r="V111" s="5468" t="s">
        <v>4572</v>
      </c>
      <c r="W111" s="5469"/>
      <c r="X111" s="1152">
        <f>IF(V108=0,"",VLOOKUP(V108,'Tablas Magia'!$D$6:$Z$680,8,FALSE))</f>
        <v>9</v>
      </c>
      <c r="Y111" s="1152">
        <f>IF(V108=0,"",VLOOKUP(V108,'Tablas Magia'!$D$6:$Z$680,12,FALSE))</f>
        <v>180</v>
      </c>
      <c r="Z111" s="1153" t="str">
        <f>IF(V108=0,"",VLOOKUP(V108,'Tablas Magia'!$D$6:$Z$680,16,FALSE))</f>
        <v>No</v>
      </c>
      <c r="AA111" s="5470" t="str">
        <f>IF(V108=0,"",VLOOKUP(V108,'Tablas Magia'!$D$6:$Z$680,20,FALSE))</f>
        <v>RM o RP 150 / 500 metros de radio</v>
      </c>
      <c r="AB111" s="5471"/>
      <c r="AC111" s="5471"/>
      <c r="AD111" s="5471"/>
      <c r="AE111" s="5471"/>
      <c r="AF111" s="5471"/>
      <c r="AG111" s="5471"/>
      <c r="AH111" s="5471"/>
      <c r="AI111" s="5471"/>
      <c r="AJ111" s="5472"/>
      <c r="AK111" s="1131"/>
      <c r="AL111" s="1125"/>
      <c r="AM111" s="1125"/>
      <c r="AN111" s="2110"/>
      <c r="AO111" s="5468" t="s">
        <v>4572</v>
      </c>
      <c r="AP111" s="5469"/>
      <c r="AQ111" s="1152">
        <f>IF(AO108=0,"",VLOOKUP(AO108,'Tablas Magia'!$D$6:$Z$680,8,FALSE))</f>
        <v>12</v>
      </c>
      <c r="AR111" s="1152">
        <f>IF(AO108=0,"",VLOOKUP(AO108,'Tablas Magia'!$D$6:$Z$680,12,FALSE))</f>
        <v>120</v>
      </c>
      <c r="AS111" s="1153">
        <f>IF(AO108=0,"",VLOOKUP(AO108,'Tablas Magia'!$D$6:$Z$680,16,FALSE))</f>
        <v>15</v>
      </c>
      <c r="AT111" s="5470" t="str">
        <f>IF(AO108=0,"",VLOOKUP(AO108,'Tablas Magia'!$D$6:$Z$680,20,FALSE))</f>
        <v>Como en Base, pero permite ver también seres espirituales</v>
      </c>
      <c r="AU111" s="5471"/>
      <c r="AV111" s="5471"/>
      <c r="AW111" s="5471"/>
      <c r="AX111" s="5471"/>
      <c r="AY111" s="5471"/>
      <c r="AZ111" s="5471"/>
      <c r="BA111" s="5471"/>
      <c r="BB111" s="5471"/>
      <c r="BC111" s="5472"/>
      <c r="BD111" s="1131"/>
      <c r="BE111" s="1125"/>
      <c r="BF111" s="1125"/>
      <c r="BG111" s="2110"/>
      <c r="BH111" s="5468" t="s">
        <v>4572</v>
      </c>
      <c r="BI111" s="5469"/>
      <c r="BJ111" s="1152">
        <f>IF(BH108=0,"",VLOOKUP(BH108,'Tablas Magia'!$D$6:$Z$680,8,FALSE))</f>
        <v>14</v>
      </c>
      <c r="BK111" s="1152">
        <f>IF(BH108=0,"",VLOOKUP(BH108,'Tablas Magia'!$D$6:$Z$680,12,FALSE))</f>
        <v>400</v>
      </c>
      <c r="BL111" s="1153">
        <f>IF(BH108=0,"",VLOOKUP(BH108,'Tablas Magia'!$D$6:$Z$680,16,FALSE))</f>
        <v>65</v>
      </c>
      <c r="BM111" s="5470" t="str">
        <f>IF(BH108=0,"",VLOOKUP(BH108,'Tablas Magia'!$D$6:$Z$680,20,FALSE))</f>
        <v>RM 150 / En Vigilia, obtiene Gnosis 40. En zona neutra, 30.</v>
      </c>
      <c r="BN111" s="5471"/>
      <c r="BO111" s="5471"/>
      <c r="BP111" s="5471"/>
      <c r="BQ111" s="5471"/>
      <c r="BR111" s="5471"/>
      <c r="BS111" s="5471"/>
      <c r="BT111" s="5471"/>
      <c r="BU111" s="5471"/>
      <c r="BV111" s="5472"/>
      <c r="BW111" s="1131"/>
      <c r="BX111" s="1125"/>
      <c r="BY111" s="1125"/>
      <c r="BZ111" s="2110"/>
      <c r="CA111" s="5468" t="s">
        <v>4572</v>
      </c>
      <c r="CB111" s="5469"/>
      <c r="CC111" s="1152">
        <f>IF(CA108=0,"",VLOOKUP(CA108,'Tablas Magia'!$D$6:$Z$680,8,FALSE))</f>
        <v>16</v>
      </c>
      <c r="CD111" s="1152">
        <f>IF(CA108=0,"",VLOOKUP(CA108,'Tablas Magia'!$D$6:$Z$680,12,FALSE))</f>
        <v>1000</v>
      </c>
      <c r="CE111" s="1153" t="str">
        <f>IF(CA108=0,"",VLOOKUP(CA108,'Tablas Magia'!$D$6:$Z$680,16,FALSE))</f>
        <v>No</v>
      </c>
      <c r="CF111" s="5470" t="str">
        <f>IF(CA108=0,"",VLOOKUP(CA108,'Tablas Magia'!$D$6:$Z$680,20,FALSE))</f>
        <v>Daño 500 / 100 kilómetros de radio</v>
      </c>
      <c r="CG111" s="5471"/>
      <c r="CH111" s="5471"/>
      <c r="CI111" s="5471"/>
      <c r="CJ111" s="5471"/>
      <c r="CK111" s="5471"/>
      <c r="CL111" s="5471"/>
      <c r="CM111" s="5471"/>
      <c r="CN111" s="5471"/>
      <c r="CO111" s="5472"/>
      <c r="CP111" s="1131"/>
      <c r="CQ111" s="1125"/>
    </row>
    <row r="112" spans="1:95" x14ac:dyDescent="0.2">
      <c r="A112" s="1125"/>
      <c r="B112" s="2096"/>
      <c r="C112" s="5473" t="s">
        <v>4573</v>
      </c>
      <c r="D112" s="5474"/>
      <c r="E112" s="1150">
        <f>IF(C108=0,"",VLOOKUP(C108,'Tablas Magia'!$D$6:$Z$680,9,FALSE))</f>
        <v>12</v>
      </c>
      <c r="F112" s="1150">
        <f>IF(C108=0,"",VLOOKUP(C108,'Tablas Magia'!$D$6:$Z$680,13,FALSE))</f>
        <v>160</v>
      </c>
      <c r="G112" s="1151">
        <f>IF(C108=0,"",VLOOKUP(C108,'Tablas Magia'!$D$6:$Z$680,17,FALSE))</f>
        <v>20</v>
      </c>
      <c r="H112" s="5475" t="str">
        <f>IF(C108=0,"",VLOOKUP(C108,'Tablas Magia'!$D$6:$Z$680,21,FALSE))</f>
        <v>500 metros de radio / 160 RM para resistirse.</v>
      </c>
      <c r="I112" s="5476"/>
      <c r="J112" s="5476"/>
      <c r="K112" s="5476"/>
      <c r="L112" s="5476"/>
      <c r="M112" s="5476"/>
      <c r="N112" s="5476"/>
      <c r="O112" s="5476"/>
      <c r="P112" s="5476"/>
      <c r="Q112" s="5477"/>
      <c r="R112" s="1131"/>
      <c r="S112" s="1125"/>
      <c r="T112" s="1125"/>
      <c r="U112" s="2096"/>
      <c r="V112" s="5473" t="s">
        <v>4573</v>
      </c>
      <c r="W112" s="5474"/>
      <c r="X112" s="1150">
        <f>IF(V108=0,"",VLOOKUP(V108,'Tablas Magia'!$D$6:$Z$680,9,FALSE))</f>
        <v>12</v>
      </c>
      <c r="Y112" s="1150">
        <f>IF(V108=0,"",VLOOKUP(V108,'Tablas Magia'!$D$6:$Z$680,13,FALSE))</f>
        <v>240</v>
      </c>
      <c r="Z112" s="1151" t="str">
        <f>IF(V108=0,"",VLOOKUP(V108,'Tablas Magia'!$D$6:$Z$680,17,FALSE))</f>
        <v>No</v>
      </c>
      <c r="AA112" s="5475" t="str">
        <f>IF(V108=0,"",VLOOKUP(V108,'Tablas Magia'!$D$6:$Z$680,21,FALSE))</f>
        <v>RM o RP 180 / 1 kilómetro de radio</v>
      </c>
      <c r="AB112" s="5476"/>
      <c r="AC112" s="5476"/>
      <c r="AD112" s="5476"/>
      <c r="AE112" s="5476"/>
      <c r="AF112" s="5476"/>
      <c r="AG112" s="5476"/>
      <c r="AH112" s="5476"/>
      <c r="AI112" s="5476"/>
      <c r="AJ112" s="5477"/>
      <c r="AK112" s="1131"/>
      <c r="AL112" s="1125"/>
      <c r="AM112" s="1125"/>
      <c r="AN112" s="2110"/>
      <c r="AO112" s="5473" t="s">
        <v>4573</v>
      </c>
      <c r="AP112" s="5474"/>
      <c r="AQ112" s="1150">
        <f>IF(AO108=0,"",VLOOKUP(AO108,'Tablas Magia'!$D$6:$Z$680,9,FALSE))</f>
        <v>14</v>
      </c>
      <c r="AR112" s="1150">
        <f>IF(AO108=0,"",VLOOKUP(AO108,'Tablas Magia'!$D$6:$Z$680,13,FALSE))</f>
        <v>180</v>
      </c>
      <c r="AS112" s="1151">
        <f>IF(AO108=0,"",VLOOKUP(AO108,'Tablas Magia'!$D$6:$Z$680,17,FALSE))</f>
        <v>15</v>
      </c>
      <c r="AT112" s="5475" t="str">
        <f>IF(AO108=0,"",VLOOKUP(AO108,'Tablas Magia'!$D$6:$Z$680,21,FALSE))</f>
        <v>Como en Intermedio, pero obtiene un +75 RM contra Ilusiónes.</v>
      </c>
      <c r="AU112" s="5476"/>
      <c r="AV112" s="5476"/>
      <c r="AW112" s="5476"/>
      <c r="AX112" s="5476"/>
      <c r="AY112" s="5476"/>
      <c r="AZ112" s="5476"/>
      <c r="BA112" s="5476"/>
      <c r="BB112" s="5476"/>
      <c r="BC112" s="5477"/>
      <c r="BD112" s="1131"/>
      <c r="BE112" s="1125"/>
      <c r="BF112" s="1125"/>
      <c r="BG112" s="2110"/>
      <c r="BH112" s="5473" t="s">
        <v>4573</v>
      </c>
      <c r="BI112" s="5474"/>
      <c r="BJ112" s="1150">
        <f>IF(BH108=0,"",VLOOKUP(BH108,'Tablas Magia'!$D$6:$Z$680,9,FALSE))</f>
        <v>16</v>
      </c>
      <c r="BK112" s="1150">
        <f>IF(BH108=0,"",VLOOKUP(BH108,'Tablas Magia'!$D$6:$Z$680,13,FALSE))</f>
        <v>500</v>
      </c>
      <c r="BL112" s="1151">
        <f>IF(BH108=0,"",VLOOKUP(BH108,'Tablas Magia'!$D$6:$Z$680,17,FALSE))</f>
        <v>70</v>
      </c>
      <c r="BM112" s="5475" t="str">
        <f>IF(BH108=0,"",VLOOKUP(BH108,'Tablas Magia'!$D$6:$Z$680,21,FALSE))</f>
        <v>RM 160 / como intermedio, pero el Gnosis en zonas neutras es de 35.</v>
      </c>
      <c r="BN112" s="5476"/>
      <c r="BO112" s="5476"/>
      <c r="BP112" s="5476"/>
      <c r="BQ112" s="5476"/>
      <c r="BR112" s="5476"/>
      <c r="BS112" s="5476"/>
      <c r="BT112" s="5476"/>
      <c r="BU112" s="5476"/>
      <c r="BV112" s="5477"/>
      <c r="BW112" s="1131"/>
      <c r="BX112" s="1125"/>
      <c r="BY112" s="1125"/>
      <c r="BZ112" s="2110"/>
      <c r="CA112" s="5473" t="s">
        <v>4573</v>
      </c>
      <c r="CB112" s="5474"/>
      <c r="CC112" s="1150">
        <f>IF(CA108=0,"",VLOOKUP(CA108,'Tablas Magia'!$D$6:$Z$680,9,FALSE))</f>
        <v>18</v>
      </c>
      <c r="CD112" s="1150">
        <f>IF(CA108=0,"",VLOOKUP(CA108,'Tablas Magia'!$D$6:$Z$680,13,FALSE))</f>
        <v>2500</v>
      </c>
      <c r="CE112" s="1151" t="str">
        <f>IF(CA108=0,"",VLOOKUP(CA108,'Tablas Magia'!$D$6:$Z$680,17,FALSE))</f>
        <v>No</v>
      </c>
      <c r="CF112" s="5475" t="str">
        <f>IF(CA108=0,"",VLOOKUP(CA108,'Tablas Magia'!$D$6:$Z$680,21,FALSE))</f>
        <v>Daño 800 / 10.000 kilómetros de radio</v>
      </c>
      <c r="CG112" s="5476"/>
      <c r="CH112" s="5476"/>
      <c r="CI112" s="5476"/>
      <c r="CJ112" s="5476"/>
      <c r="CK112" s="5476"/>
      <c r="CL112" s="5476"/>
      <c r="CM112" s="5476"/>
      <c r="CN112" s="5476"/>
      <c r="CO112" s="5477"/>
      <c r="CP112" s="1131"/>
      <c r="CQ112" s="1125"/>
    </row>
    <row r="113" spans="1:95" ht="13.5" thickBot="1" x14ac:dyDescent="0.25">
      <c r="A113" s="1125"/>
      <c r="B113" s="2096"/>
      <c r="C113" s="5483" t="s">
        <v>4574</v>
      </c>
      <c r="D113" s="5484"/>
      <c r="E113" s="1154">
        <f>IF(C108=0,"",VLOOKUP(C108,'Tablas Magia'!$D$6:$Z$680,10,FALSE))</f>
        <v>15</v>
      </c>
      <c r="F113" s="1154">
        <f>IF(C108=0,"",VLOOKUP(C108,'Tablas Magia'!$D$6:$Z$680,14,FALSE))</f>
        <v>280</v>
      </c>
      <c r="G113" s="1155">
        <f>IF(C108=0,"",VLOOKUP(C108,'Tablas Magia'!$D$6:$Z$680,18,FALSE))</f>
        <v>30</v>
      </c>
      <c r="H113" s="5485" t="str">
        <f>IF(C108=0,"",VLOOKUP(C108,'Tablas Magia'!$D$6:$Z$680,22,FALSE))</f>
        <v>1 kilómetro de radio / 200 RM para resistirse</v>
      </c>
      <c r="I113" s="5486"/>
      <c r="J113" s="5486"/>
      <c r="K113" s="5486"/>
      <c r="L113" s="5486"/>
      <c r="M113" s="5486"/>
      <c r="N113" s="5486"/>
      <c r="O113" s="5486"/>
      <c r="P113" s="5486"/>
      <c r="Q113" s="5487"/>
      <c r="R113" s="1131"/>
      <c r="S113" s="1125"/>
      <c r="T113" s="1125"/>
      <c r="U113" s="2096"/>
      <c r="V113" s="5483" t="s">
        <v>4574</v>
      </c>
      <c r="W113" s="5484"/>
      <c r="X113" s="1154">
        <f>IF(V108=0,"",VLOOKUP(V108,'Tablas Magia'!$D$6:$Z$680,10,FALSE))</f>
        <v>15</v>
      </c>
      <c r="Y113" s="1154">
        <f>IF(V108=0,"",VLOOKUP(V108,'Tablas Magia'!$D$6:$Z$680,14,FALSE))</f>
        <v>350</v>
      </c>
      <c r="Z113" s="1155" t="str">
        <f>IF(V108=0,"",VLOOKUP(V108,'Tablas Magia'!$D$6:$Z$680,18,FALSE))</f>
        <v>No</v>
      </c>
      <c r="AA113" s="5485" t="str">
        <f>IF(V108=0,"",VLOOKUP(V108,'Tablas Magia'!$D$6:$Z$680,22,FALSE))</f>
        <v>RM o RP 220 / 5 Kilómetros de radio</v>
      </c>
      <c r="AB113" s="5486"/>
      <c r="AC113" s="5486"/>
      <c r="AD113" s="5486"/>
      <c r="AE113" s="5486"/>
      <c r="AF113" s="5486"/>
      <c r="AG113" s="5486"/>
      <c r="AH113" s="5486"/>
      <c r="AI113" s="5486"/>
      <c r="AJ113" s="5487"/>
      <c r="AK113" s="1131"/>
      <c r="AL113" s="1125"/>
      <c r="AM113" s="1125"/>
      <c r="AN113" s="2110"/>
      <c r="AO113" s="5483" t="s">
        <v>4574</v>
      </c>
      <c r="AP113" s="5484"/>
      <c r="AQ113" s="1154">
        <f>IF(AO108=0,"",VLOOKUP(AO108,'Tablas Magia'!$D$6:$Z$680,10,FALSE))</f>
        <v>16</v>
      </c>
      <c r="AR113" s="1154">
        <f>IF(AO108=0,"",VLOOKUP(AO108,'Tablas Magia'!$D$6:$Z$680,14,FALSE))</f>
        <v>250</v>
      </c>
      <c r="AS113" s="1155">
        <f>IF(AO108=0,"",VLOOKUP(AO108,'Tablas Magia'!$D$6:$Z$680,18,FALSE))</f>
        <v>25</v>
      </c>
      <c r="AT113" s="5485" t="str">
        <f>IF(AO108=0,"",VLOOKUP(AO108,'Tablas Magia'!$D$6:$Z$680,22,FALSE))</f>
        <v>Como avanzado, pero obtiene un +100 RM contra Ilusiónes</v>
      </c>
      <c r="AU113" s="5486"/>
      <c r="AV113" s="5486"/>
      <c r="AW113" s="5486"/>
      <c r="AX113" s="5486"/>
      <c r="AY113" s="5486"/>
      <c r="AZ113" s="5486"/>
      <c r="BA113" s="5486"/>
      <c r="BB113" s="5486"/>
      <c r="BC113" s="5487"/>
      <c r="BD113" s="1131"/>
      <c r="BE113" s="1125"/>
      <c r="BF113" s="1125"/>
      <c r="BG113" s="2110"/>
      <c r="BH113" s="5483" t="s">
        <v>4574</v>
      </c>
      <c r="BI113" s="5484"/>
      <c r="BJ113" s="1154">
        <f>IF(BH108=0,"",VLOOKUP(BH108,'Tablas Magia'!$D$6:$Z$680,10,FALSE))</f>
        <v>18</v>
      </c>
      <c r="BK113" s="1154">
        <f>IF(BH108=0,"",VLOOKUP(BH108,'Tablas Magia'!$D$6:$Z$680,14,FALSE))</f>
        <v>750</v>
      </c>
      <c r="BL113" s="1155">
        <f>IF(BH108=0,"",VLOOKUP(BH108,'Tablas Magia'!$D$6:$Z$680,18,FALSE))</f>
        <v>80</v>
      </c>
      <c r="BM113" s="5485" t="str">
        <f>IF(BH108=0,"",VLOOKUP(BH108,'Tablas Magia'!$D$6:$Z$680,22,FALSE))</f>
        <v>RM 180 / Como Avanzado, sin límites espacial.</v>
      </c>
      <c r="BN113" s="5486"/>
      <c r="BO113" s="5486"/>
      <c r="BP113" s="5486"/>
      <c r="BQ113" s="5486"/>
      <c r="BR113" s="5486"/>
      <c r="BS113" s="5486"/>
      <c r="BT113" s="5486"/>
      <c r="BU113" s="5486"/>
      <c r="BV113" s="5487"/>
      <c r="BW113" s="1131"/>
      <c r="BX113" s="1125"/>
      <c r="BY113" s="1125"/>
      <c r="BZ113" s="2110"/>
      <c r="CA113" s="5483" t="s">
        <v>4574</v>
      </c>
      <c r="CB113" s="5484"/>
      <c r="CC113" s="1154">
        <f>IF(CA108=0,"",VLOOKUP(CA108,'Tablas Magia'!$D$6:$Z$680,10,FALSE))</f>
        <v>20</v>
      </c>
      <c r="CD113" s="1154">
        <f>IF(CA108=0,"",VLOOKUP(CA108,'Tablas Magia'!$D$6:$Z$680,14,FALSE))</f>
        <v>10000</v>
      </c>
      <c r="CE113" s="1155" t="str">
        <f>IF(CA108=0,"",VLOOKUP(CA108,'Tablas Magia'!$D$6:$Z$680,18,FALSE))</f>
        <v>No</v>
      </c>
      <c r="CF113" s="5485" t="str">
        <f>IF(CA108=0,"",VLOOKUP(CA108,'Tablas Magia'!$D$6:$Z$680,22,FALSE))</f>
        <v>Daño 1.000 / 1 ua de radio</v>
      </c>
      <c r="CG113" s="5486"/>
      <c r="CH113" s="5486"/>
      <c r="CI113" s="5486"/>
      <c r="CJ113" s="5486"/>
      <c r="CK113" s="5486"/>
      <c r="CL113" s="5486"/>
      <c r="CM113" s="5486"/>
      <c r="CN113" s="5486"/>
      <c r="CO113" s="5487"/>
      <c r="CP113" s="1131"/>
      <c r="CQ113" s="1125"/>
    </row>
    <row r="114" spans="1:95" ht="12.75" customHeight="1" x14ac:dyDescent="0.2">
      <c r="A114" s="1125"/>
      <c r="B114" s="2096"/>
      <c r="C114" s="5488"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489"/>
      <c r="E114" s="5489"/>
      <c r="F114" s="5489"/>
      <c r="G114" s="5489"/>
      <c r="H114" s="5489"/>
      <c r="I114" s="5489"/>
      <c r="J114" s="5489"/>
      <c r="K114" s="5489"/>
      <c r="L114" s="5489"/>
      <c r="M114" s="5489"/>
      <c r="N114" s="5489"/>
      <c r="O114" s="5489"/>
      <c r="P114" s="5489"/>
      <c r="Q114" s="5490"/>
      <c r="R114" s="1131"/>
      <c r="S114" s="1125"/>
      <c r="T114" s="1125"/>
      <c r="U114" s="2096"/>
      <c r="V114" s="5488" t="str">
        <f>IF(V108=0,"",VLOOKUP(V108,'Tablas Magia'!$D$6:$Z$680,23,FALSE))</f>
        <v>Destruye temporalmente cualquier sentimiento negativo, como odio, miedo o ira, de aquellos individuos que se encuentren alrededor del hechicero y no superen la RM del conjuro.</v>
      </c>
      <c r="W114" s="5489"/>
      <c r="X114" s="5489"/>
      <c r="Y114" s="5489"/>
      <c r="Z114" s="5489"/>
      <c r="AA114" s="5489"/>
      <c r="AB114" s="5489"/>
      <c r="AC114" s="5489"/>
      <c r="AD114" s="5489"/>
      <c r="AE114" s="5489"/>
      <c r="AF114" s="5489"/>
      <c r="AG114" s="5489"/>
      <c r="AH114" s="5489"/>
      <c r="AI114" s="5489"/>
      <c r="AJ114" s="5490"/>
      <c r="AK114" s="1131"/>
      <c r="AL114" s="1125"/>
      <c r="AM114" s="1125"/>
      <c r="AN114" s="2110"/>
      <c r="AO114" s="5488"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489"/>
      <c r="AQ114" s="5489"/>
      <c r="AR114" s="5489"/>
      <c r="AS114" s="5489"/>
      <c r="AT114" s="5489"/>
      <c r="AU114" s="5489"/>
      <c r="AV114" s="5489"/>
      <c r="AW114" s="5489"/>
      <c r="AX114" s="5489"/>
      <c r="AY114" s="5489"/>
      <c r="AZ114" s="5489"/>
      <c r="BA114" s="5489"/>
      <c r="BB114" s="5489"/>
      <c r="BC114" s="5490"/>
      <c r="BD114" s="1131"/>
      <c r="BE114" s="1125"/>
      <c r="BF114" s="1125"/>
      <c r="BG114" s="2110"/>
      <c r="BH114" s="5488"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489"/>
      <c r="BJ114" s="5489"/>
      <c r="BK114" s="5489"/>
      <c r="BL114" s="5489"/>
      <c r="BM114" s="5489"/>
      <c r="BN114" s="5489"/>
      <c r="BO114" s="5489"/>
      <c r="BP114" s="5489"/>
      <c r="BQ114" s="5489"/>
      <c r="BR114" s="5489"/>
      <c r="BS114" s="5489"/>
      <c r="BT114" s="5489"/>
      <c r="BU114" s="5489"/>
      <c r="BV114" s="5490"/>
      <c r="BW114" s="1131"/>
      <c r="BX114" s="1125"/>
      <c r="BY114" s="1125"/>
      <c r="BZ114" s="2110"/>
      <c r="CA114" s="5488"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489"/>
      <c r="CC114" s="5489"/>
      <c r="CD114" s="5489"/>
      <c r="CE114" s="5489"/>
      <c r="CF114" s="5489"/>
      <c r="CG114" s="5489"/>
      <c r="CH114" s="5489"/>
      <c r="CI114" s="5489"/>
      <c r="CJ114" s="5489"/>
      <c r="CK114" s="5489"/>
      <c r="CL114" s="5489"/>
      <c r="CM114" s="5489"/>
      <c r="CN114" s="5489"/>
      <c r="CO114" s="5490"/>
      <c r="CP114" s="1131"/>
      <c r="CQ114" s="1125"/>
    </row>
    <row r="115" spans="1:95" x14ac:dyDescent="0.2">
      <c r="A115" s="1125"/>
      <c r="B115" s="2096"/>
      <c r="C115" s="5491"/>
      <c r="D115" s="5492"/>
      <c r="E115" s="5492"/>
      <c r="F115" s="5492"/>
      <c r="G115" s="5492"/>
      <c r="H115" s="5492"/>
      <c r="I115" s="5492"/>
      <c r="J115" s="5492"/>
      <c r="K115" s="5492"/>
      <c r="L115" s="5492"/>
      <c r="M115" s="5492"/>
      <c r="N115" s="5492"/>
      <c r="O115" s="5492"/>
      <c r="P115" s="5492"/>
      <c r="Q115" s="5493"/>
      <c r="R115" s="1131"/>
      <c r="S115" s="1125"/>
      <c r="T115" s="1125"/>
      <c r="U115" s="2096"/>
      <c r="V115" s="5491"/>
      <c r="W115" s="5492"/>
      <c r="X115" s="5492"/>
      <c r="Y115" s="5492"/>
      <c r="Z115" s="5492"/>
      <c r="AA115" s="5492"/>
      <c r="AB115" s="5492"/>
      <c r="AC115" s="5492"/>
      <c r="AD115" s="5492"/>
      <c r="AE115" s="5492"/>
      <c r="AF115" s="5492"/>
      <c r="AG115" s="5492"/>
      <c r="AH115" s="5492"/>
      <c r="AI115" s="5492"/>
      <c r="AJ115" s="5493"/>
      <c r="AK115" s="1131"/>
      <c r="AL115" s="1125"/>
      <c r="AM115" s="1125"/>
      <c r="AN115" s="2110"/>
      <c r="AO115" s="5491"/>
      <c r="AP115" s="5492"/>
      <c r="AQ115" s="5492"/>
      <c r="AR115" s="5492"/>
      <c r="AS115" s="5492"/>
      <c r="AT115" s="5492"/>
      <c r="AU115" s="5492"/>
      <c r="AV115" s="5492"/>
      <c r="AW115" s="5492"/>
      <c r="AX115" s="5492"/>
      <c r="AY115" s="5492"/>
      <c r="AZ115" s="5492"/>
      <c r="BA115" s="5492"/>
      <c r="BB115" s="5492"/>
      <c r="BC115" s="5493"/>
      <c r="BD115" s="1131"/>
      <c r="BE115" s="1125"/>
      <c r="BF115" s="1125"/>
      <c r="BG115" s="2110"/>
      <c r="BH115" s="5491"/>
      <c r="BI115" s="5492"/>
      <c r="BJ115" s="5492"/>
      <c r="BK115" s="5492"/>
      <c r="BL115" s="5492"/>
      <c r="BM115" s="5492"/>
      <c r="BN115" s="5492"/>
      <c r="BO115" s="5492"/>
      <c r="BP115" s="5492"/>
      <c r="BQ115" s="5492"/>
      <c r="BR115" s="5492"/>
      <c r="BS115" s="5492"/>
      <c r="BT115" s="5492"/>
      <c r="BU115" s="5492"/>
      <c r="BV115" s="5493"/>
      <c r="BW115" s="1131"/>
      <c r="BX115" s="1125"/>
      <c r="BY115" s="1125"/>
      <c r="BZ115" s="2110"/>
      <c r="CA115" s="5491"/>
      <c r="CB115" s="5492"/>
      <c r="CC115" s="5492"/>
      <c r="CD115" s="5492"/>
      <c r="CE115" s="5492"/>
      <c r="CF115" s="5492"/>
      <c r="CG115" s="5492"/>
      <c r="CH115" s="5492"/>
      <c r="CI115" s="5492"/>
      <c r="CJ115" s="5492"/>
      <c r="CK115" s="5492"/>
      <c r="CL115" s="5492"/>
      <c r="CM115" s="5492"/>
      <c r="CN115" s="5492"/>
      <c r="CO115" s="5493"/>
      <c r="CP115" s="1131"/>
      <c r="CQ115" s="1125"/>
    </row>
    <row r="116" spans="1:95" x14ac:dyDescent="0.2">
      <c r="A116" s="1125"/>
      <c r="B116" s="2096"/>
      <c r="C116" s="5491"/>
      <c r="D116" s="5492"/>
      <c r="E116" s="5492"/>
      <c r="F116" s="5492"/>
      <c r="G116" s="5492"/>
      <c r="H116" s="5492"/>
      <c r="I116" s="5492"/>
      <c r="J116" s="5492"/>
      <c r="K116" s="5492"/>
      <c r="L116" s="5492"/>
      <c r="M116" s="5492"/>
      <c r="N116" s="5492"/>
      <c r="O116" s="5492"/>
      <c r="P116" s="5492"/>
      <c r="Q116" s="5493"/>
      <c r="R116" s="1131"/>
      <c r="S116" s="1125"/>
      <c r="T116" s="1125"/>
      <c r="U116" s="2096"/>
      <c r="V116" s="5491"/>
      <c r="W116" s="5492"/>
      <c r="X116" s="5492"/>
      <c r="Y116" s="5492"/>
      <c r="Z116" s="5492"/>
      <c r="AA116" s="5492"/>
      <c r="AB116" s="5492"/>
      <c r="AC116" s="5492"/>
      <c r="AD116" s="5492"/>
      <c r="AE116" s="5492"/>
      <c r="AF116" s="5492"/>
      <c r="AG116" s="5492"/>
      <c r="AH116" s="5492"/>
      <c r="AI116" s="5492"/>
      <c r="AJ116" s="5493"/>
      <c r="AK116" s="1131"/>
      <c r="AL116" s="1125"/>
      <c r="AM116" s="1125"/>
      <c r="AN116" s="2110"/>
      <c r="AO116" s="5491"/>
      <c r="AP116" s="5492"/>
      <c r="AQ116" s="5492"/>
      <c r="AR116" s="5492"/>
      <c r="AS116" s="5492"/>
      <c r="AT116" s="5492"/>
      <c r="AU116" s="5492"/>
      <c r="AV116" s="5492"/>
      <c r="AW116" s="5492"/>
      <c r="AX116" s="5492"/>
      <c r="AY116" s="5492"/>
      <c r="AZ116" s="5492"/>
      <c r="BA116" s="5492"/>
      <c r="BB116" s="5492"/>
      <c r="BC116" s="5493"/>
      <c r="BD116" s="1131"/>
      <c r="BE116" s="1125"/>
      <c r="BF116" s="1125"/>
      <c r="BG116" s="2110"/>
      <c r="BH116" s="5491"/>
      <c r="BI116" s="5492"/>
      <c r="BJ116" s="5492"/>
      <c r="BK116" s="5492"/>
      <c r="BL116" s="5492"/>
      <c r="BM116" s="5492"/>
      <c r="BN116" s="5492"/>
      <c r="BO116" s="5492"/>
      <c r="BP116" s="5492"/>
      <c r="BQ116" s="5492"/>
      <c r="BR116" s="5492"/>
      <c r="BS116" s="5492"/>
      <c r="BT116" s="5492"/>
      <c r="BU116" s="5492"/>
      <c r="BV116" s="5493"/>
      <c r="BW116" s="1131"/>
      <c r="BX116" s="1125"/>
      <c r="BY116" s="1125"/>
      <c r="BZ116" s="2110"/>
      <c r="CA116" s="5491"/>
      <c r="CB116" s="5492"/>
      <c r="CC116" s="5492"/>
      <c r="CD116" s="5492"/>
      <c r="CE116" s="5492"/>
      <c r="CF116" s="5492"/>
      <c r="CG116" s="5492"/>
      <c r="CH116" s="5492"/>
      <c r="CI116" s="5492"/>
      <c r="CJ116" s="5492"/>
      <c r="CK116" s="5492"/>
      <c r="CL116" s="5492"/>
      <c r="CM116" s="5492"/>
      <c r="CN116" s="5492"/>
      <c r="CO116" s="5493"/>
      <c r="CP116" s="1131"/>
      <c r="CQ116" s="1125"/>
    </row>
    <row r="117" spans="1:95" ht="13.5" thickBot="1" x14ac:dyDescent="0.25">
      <c r="A117" s="1125"/>
      <c r="B117" s="2096"/>
      <c r="C117" s="5494"/>
      <c r="D117" s="5495"/>
      <c r="E117" s="5495"/>
      <c r="F117" s="5495"/>
      <c r="G117" s="5495"/>
      <c r="H117" s="5495"/>
      <c r="I117" s="5495"/>
      <c r="J117" s="5495"/>
      <c r="K117" s="5495"/>
      <c r="L117" s="5495"/>
      <c r="M117" s="5495"/>
      <c r="N117" s="5495"/>
      <c r="O117" s="5495"/>
      <c r="P117" s="5495"/>
      <c r="Q117" s="5496"/>
      <c r="R117" s="1131"/>
      <c r="S117" s="1125"/>
      <c r="T117" s="1125"/>
      <c r="U117" s="2096"/>
      <c r="V117" s="5494"/>
      <c r="W117" s="5495"/>
      <c r="X117" s="5495"/>
      <c r="Y117" s="5495"/>
      <c r="Z117" s="5495"/>
      <c r="AA117" s="5495"/>
      <c r="AB117" s="5495"/>
      <c r="AC117" s="5495"/>
      <c r="AD117" s="5495"/>
      <c r="AE117" s="5495"/>
      <c r="AF117" s="5495"/>
      <c r="AG117" s="5495"/>
      <c r="AH117" s="5495"/>
      <c r="AI117" s="5495"/>
      <c r="AJ117" s="5496"/>
      <c r="AK117" s="1131"/>
      <c r="AL117" s="1125"/>
      <c r="AM117" s="1125"/>
      <c r="AN117" s="2110"/>
      <c r="AO117" s="5494"/>
      <c r="AP117" s="5495"/>
      <c r="AQ117" s="5495"/>
      <c r="AR117" s="5495"/>
      <c r="AS117" s="5495"/>
      <c r="AT117" s="5495"/>
      <c r="AU117" s="5495"/>
      <c r="AV117" s="5495"/>
      <c r="AW117" s="5495"/>
      <c r="AX117" s="5495"/>
      <c r="AY117" s="5495"/>
      <c r="AZ117" s="5495"/>
      <c r="BA117" s="5495"/>
      <c r="BB117" s="5495"/>
      <c r="BC117" s="5496"/>
      <c r="BD117" s="1131"/>
      <c r="BE117" s="1125"/>
      <c r="BF117" s="1125"/>
      <c r="BG117" s="2110"/>
      <c r="BH117" s="5494"/>
      <c r="BI117" s="5495"/>
      <c r="BJ117" s="5495"/>
      <c r="BK117" s="5495"/>
      <c r="BL117" s="5495"/>
      <c r="BM117" s="5495"/>
      <c r="BN117" s="5495"/>
      <c r="BO117" s="5495"/>
      <c r="BP117" s="5495"/>
      <c r="BQ117" s="5495"/>
      <c r="BR117" s="5495"/>
      <c r="BS117" s="5495"/>
      <c r="BT117" s="5495"/>
      <c r="BU117" s="5495"/>
      <c r="BV117" s="5496"/>
      <c r="BW117" s="1131"/>
      <c r="BX117" s="1125"/>
      <c r="BY117" s="1125"/>
      <c r="BZ117" s="2110"/>
      <c r="CA117" s="5494"/>
      <c r="CB117" s="5495"/>
      <c r="CC117" s="5495"/>
      <c r="CD117" s="5495"/>
      <c r="CE117" s="5495"/>
      <c r="CF117" s="5495"/>
      <c r="CG117" s="5495"/>
      <c r="CH117" s="5495"/>
      <c r="CI117" s="5495"/>
      <c r="CJ117" s="5495"/>
      <c r="CK117" s="5495"/>
      <c r="CL117" s="5495"/>
      <c r="CM117" s="5495"/>
      <c r="CN117" s="5495"/>
      <c r="CO117" s="5496"/>
      <c r="CP117" s="1131"/>
      <c r="CQ117" s="1125"/>
    </row>
    <row r="118" spans="1:95" x14ac:dyDescent="0.2">
      <c r="A118" s="1125"/>
      <c r="B118" s="2096"/>
      <c r="C118" s="1166"/>
      <c r="D118" s="1166"/>
      <c r="E118" s="1152"/>
      <c r="F118" s="1152"/>
      <c r="G118" s="1152"/>
      <c r="H118" s="1167"/>
      <c r="I118" s="1167"/>
      <c r="J118" s="1167"/>
      <c r="K118" s="1167"/>
      <c r="L118" s="1167"/>
      <c r="M118" s="1167"/>
      <c r="N118" s="1167"/>
      <c r="O118" s="1167"/>
      <c r="P118" s="1167"/>
      <c r="Q118" s="1167"/>
      <c r="R118" s="1131"/>
      <c r="S118" s="1125"/>
      <c r="T118" s="1125"/>
      <c r="U118" s="2096"/>
      <c r="V118" s="1166"/>
      <c r="W118" s="1166"/>
      <c r="X118" s="1167"/>
      <c r="Y118" s="1167"/>
      <c r="Z118" s="1167"/>
      <c r="AA118" s="1167"/>
      <c r="AB118" s="1167"/>
      <c r="AC118" s="1167"/>
      <c r="AD118" s="1167"/>
      <c r="AE118" s="1167"/>
      <c r="AF118" s="1167"/>
      <c r="AG118" s="1167"/>
      <c r="AH118" s="1167"/>
      <c r="AI118" s="1167"/>
      <c r="AJ118" s="1167"/>
      <c r="AK118" s="1131"/>
      <c r="AL118" s="1125"/>
      <c r="AM118" s="1125"/>
      <c r="AN118" s="2096"/>
      <c r="AO118" s="1166"/>
      <c r="AP118" s="1166"/>
      <c r="AQ118" s="1167"/>
      <c r="AR118" s="1167"/>
      <c r="AS118" s="1167"/>
      <c r="AT118" s="1167"/>
      <c r="AU118" s="1167"/>
      <c r="AV118" s="1167"/>
      <c r="AW118" s="1167"/>
      <c r="AX118" s="1167"/>
      <c r="AY118" s="1167"/>
      <c r="AZ118" s="1167"/>
      <c r="BA118" s="1167"/>
      <c r="BB118" s="1167"/>
      <c r="BC118" s="1167"/>
      <c r="BD118" s="1131"/>
      <c r="BE118" s="1125"/>
      <c r="BF118" s="1125"/>
      <c r="BG118" s="2096"/>
      <c r="BH118" s="1166"/>
      <c r="BI118" s="1166"/>
      <c r="BJ118" s="1167"/>
      <c r="BK118" s="1167"/>
      <c r="BL118" s="1167"/>
      <c r="BM118" s="1167"/>
      <c r="BN118" s="1167"/>
      <c r="BO118" s="1167"/>
      <c r="BP118" s="1167"/>
      <c r="BQ118" s="1167"/>
      <c r="BR118" s="1167"/>
      <c r="BS118" s="1167"/>
      <c r="BT118" s="1167"/>
      <c r="BU118" s="1167"/>
      <c r="BV118" s="1167"/>
      <c r="BW118" s="1131"/>
      <c r="BX118" s="1125"/>
      <c r="BY118" s="1125"/>
      <c r="BZ118" s="2096"/>
      <c r="CA118" s="1166"/>
      <c r="CB118" s="1166"/>
      <c r="CC118" s="1152"/>
      <c r="CD118" s="1152"/>
      <c r="CE118" s="1152"/>
      <c r="CF118" s="1167"/>
      <c r="CG118" s="1167"/>
      <c r="CH118" s="1167"/>
      <c r="CI118" s="1167"/>
      <c r="CJ118" s="1167"/>
      <c r="CK118" s="1167"/>
      <c r="CL118" s="1167"/>
      <c r="CM118" s="1167"/>
      <c r="CN118" s="1167"/>
      <c r="CO118" s="1167"/>
      <c r="CP118" s="1131"/>
      <c r="CQ118" s="1125"/>
    </row>
    <row r="119" spans="1:95" ht="13.5" thickBot="1" x14ac:dyDescent="0.25">
      <c r="A119" s="1125"/>
      <c r="B119" s="2097"/>
      <c r="C119" s="1168"/>
      <c r="D119" s="1168"/>
      <c r="E119" s="1168"/>
      <c r="F119" s="1168"/>
      <c r="G119" s="1168"/>
      <c r="H119" s="1168"/>
      <c r="I119" s="1168"/>
      <c r="J119" s="1168"/>
      <c r="K119" s="1168"/>
      <c r="L119" s="1168"/>
      <c r="M119" s="1168"/>
      <c r="N119" s="1168"/>
      <c r="O119" s="1168"/>
      <c r="P119" s="1168"/>
      <c r="Q119" s="1168"/>
      <c r="R119" s="1169"/>
      <c r="S119" s="1125"/>
      <c r="T119" s="1125"/>
      <c r="U119" s="2097"/>
      <c r="V119" s="1168"/>
      <c r="W119" s="1168"/>
      <c r="X119" s="1168"/>
      <c r="Y119" s="1168"/>
      <c r="Z119" s="1168"/>
      <c r="AA119" s="1168"/>
      <c r="AB119" s="1168"/>
      <c r="AC119" s="1168"/>
      <c r="AD119" s="1168"/>
      <c r="AE119" s="1168"/>
      <c r="AF119" s="1168"/>
      <c r="AG119" s="1168"/>
      <c r="AH119" s="1168"/>
      <c r="AI119" s="1168"/>
      <c r="AJ119" s="1168"/>
      <c r="AK119" s="1169"/>
      <c r="AL119" s="1125"/>
      <c r="AM119" s="1125"/>
      <c r="AN119" s="2097"/>
      <c r="AO119" s="1168"/>
      <c r="AP119" s="1168"/>
      <c r="AQ119" s="1168"/>
      <c r="AR119" s="1168"/>
      <c r="AS119" s="1168"/>
      <c r="AT119" s="1168"/>
      <c r="AU119" s="1168"/>
      <c r="AV119" s="1168"/>
      <c r="AW119" s="1168"/>
      <c r="AX119" s="1168"/>
      <c r="AY119" s="1168"/>
      <c r="AZ119" s="1168"/>
      <c r="BA119" s="1168"/>
      <c r="BB119" s="1168"/>
      <c r="BC119" s="1168"/>
      <c r="BD119" s="1169"/>
      <c r="BE119" s="1125"/>
      <c r="BF119" s="1125"/>
      <c r="BG119" s="2097"/>
      <c r="BH119" s="1168"/>
      <c r="BI119" s="1168"/>
      <c r="BJ119" s="1168"/>
      <c r="BK119" s="1168"/>
      <c r="BL119" s="1168"/>
      <c r="BM119" s="1168"/>
      <c r="BN119" s="1168"/>
      <c r="BO119" s="1168"/>
      <c r="BP119" s="1168"/>
      <c r="BQ119" s="1168"/>
      <c r="BR119" s="1168"/>
      <c r="BS119" s="1168"/>
      <c r="BT119" s="1168"/>
      <c r="BU119" s="1168"/>
      <c r="BV119" s="1168"/>
      <c r="BW119" s="1169"/>
      <c r="BX119" s="1125"/>
      <c r="BY119" s="1125"/>
      <c r="BZ119" s="2097"/>
      <c r="CA119" s="1168"/>
      <c r="CB119" s="1168"/>
      <c r="CC119" s="1168"/>
      <c r="CD119" s="1168"/>
      <c r="CE119" s="1168"/>
      <c r="CF119" s="1168"/>
      <c r="CG119" s="1168"/>
      <c r="CH119" s="1168"/>
      <c r="CI119" s="1168"/>
      <c r="CJ119" s="1168"/>
      <c r="CK119" s="1168"/>
      <c r="CL119" s="1168"/>
      <c r="CM119" s="1168"/>
      <c r="CN119" s="1168"/>
      <c r="CO119" s="1168"/>
      <c r="CP119" s="1169"/>
      <c r="CQ119" s="1125"/>
    </row>
    <row r="120" spans="1:95" x14ac:dyDescent="0.2">
      <c r="A120" s="1125"/>
      <c r="B120" s="2094"/>
      <c r="C120" s="1125"/>
      <c r="D120" s="1125"/>
      <c r="E120" s="1125"/>
      <c r="F120" s="1125"/>
      <c r="G120" s="1125"/>
      <c r="H120" s="1125"/>
      <c r="I120" s="1125"/>
      <c r="J120" s="1125"/>
      <c r="K120" s="1125"/>
      <c r="L120" s="1125"/>
      <c r="M120" s="1125"/>
      <c r="N120" s="1125"/>
      <c r="O120" s="1125"/>
      <c r="P120" s="1125"/>
      <c r="Q120" s="1125"/>
      <c r="R120" s="1125"/>
      <c r="T120" s="1125"/>
      <c r="U120" s="2094"/>
      <c r="V120" s="1125"/>
      <c r="W120" s="1125"/>
      <c r="X120" s="1125"/>
      <c r="Y120" s="1125"/>
      <c r="Z120" s="1125"/>
      <c r="AA120" s="1125"/>
      <c r="AB120" s="1125"/>
      <c r="AC120" s="1125"/>
      <c r="AD120" s="1125"/>
      <c r="AE120" s="1125"/>
      <c r="AF120" s="1125"/>
      <c r="AG120" s="1125"/>
      <c r="AH120" s="1125"/>
      <c r="AI120" s="1125"/>
      <c r="AJ120" s="1125"/>
      <c r="AK120" s="1125"/>
      <c r="AM120" s="1125"/>
      <c r="AN120" s="2094"/>
      <c r="AO120" s="1125"/>
      <c r="AP120" s="1125"/>
      <c r="AQ120" s="1125"/>
      <c r="AR120" s="1125"/>
      <c r="AS120" s="1125"/>
      <c r="AT120" s="1125"/>
      <c r="AU120" s="1125"/>
      <c r="AV120" s="1125"/>
      <c r="AW120" s="1125"/>
      <c r="AX120" s="1125"/>
      <c r="AY120" s="1125"/>
      <c r="AZ120" s="1125"/>
      <c r="BA120" s="1125"/>
      <c r="BB120" s="1125"/>
      <c r="BC120" s="1125"/>
      <c r="BD120" s="1125"/>
      <c r="BF120" s="1125"/>
      <c r="BG120" s="2094"/>
      <c r="BH120" s="1125"/>
      <c r="BI120" s="1125"/>
      <c r="BJ120" s="1125"/>
      <c r="BK120" s="1125"/>
      <c r="BL120" s="1125"/>
      <c r="BM120" s="1125"/>
      <c r="BN120" s="1125"/>
      <c r="BO120" s="1125"/>
      <c r="BP120" s="1125"/>
      <c r="BQ120" s="1125"/>
      <c r="BR120" s="1125"/>
      <c r="BS120" s="1125"/>
      <c r="BT120" s="1125"/>
      <c r="BU120" s="1125"/>
      <c r="BV120" s="1125"/>
      <c r="BW120" s="1125"/>
      <c r="BY120" s="1125"/>
      <c r="BZ120" s="2094"/>
      <c r="CA120" s="1125"/>
      <c r="CB120" s="1125"/>
      <c r="CC120" s="1125"/>
      <c r="CD120" s="1125"/>
      <c r="CE120" s="1125"/>
      <c r="CF120" s="1125"/>
      <c r="CG120" s="1125"/>
      <c r="CH120" s="1125"/>
      <c r="CI120" s="1125"/>
      <c r="CJ120" s="1125"/>
      <c r="CK120" s="1125"/>
      <c r="CL120" s="1125"/>
      <c r="CM120" s="1125"/>
      <c r="CN120" s="1125"/>
      <c r="CO120" s="1125"/>
      <c r="CP120" s="1125"/>
    </row>
    <row r="121" spans="1:95" x14ac:dyDescent="0.2">
      <c r="U121" s="2098"/>
      <c r="AN121" s="2098"/>
      <c r="BG121" s="2098"/>
      <c r="BZ121" s="2098"/>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xr:uid="{00000000-0002-0000-1300-000000000000}">
      <formula1>Subvias</formula1>
    </dataValidation>
    <dataValidation type="list" allowBlank="1" showInputMessage="1" showErrorMessage="1" sqref="E4:G4" xr:uid="{00000000-0002-0000-13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8">
    <tabColor theme="4" tint="-0.249977111117893"/>
  </sheetPr>
  <dimension ref="A1:AQ469"/>
  <sheetViews>
    <sheetView zoomScaleNormal="100" workbookViewId="0">
      <selection activeCell="C11" sqref="C11:Q11"/>
    </sheetView>
  </sheetViews>
  <sheetFormatPr defaultColWidth="5.7109375" defaultRowHeight="12" customHeight="1" x14ac:dyDescent="0.2"/>
  <cols>
    <col min="1" max="1" width="2" style="822" customWidth="1"/>
    <col min="2" max="2" width="3.7109375" style="1264" customWidth="1"/>
    <col min="3" max="17" width="5.7109375" style="822"/>
    <col min="18" max="18" width="5.5703125" style="822" customWidth="1"/>
    <col min="19" max="19" width="3.7109375" style="822" customWidth="1"/>
    <col min="20" max="20" width="1.7109375" style="822" customWidth="1"/>
    <col min="21" max="21" width="1.7109375" style="937" customWidth="1"/>
    <col min="22" max="22" width="3.7109375" style="1264" customWidth="1"/>
    <col min="23" max="38" width="5.7109375" style="937"/>
    <col min="39" max="39" width="3.7109375" style="822" customWidth="1"/>
    <col min="40" max="40" width="1.7109375" style="938" customWidth="1"/>
    <col min="41" max="16384" width="5.7109375" style="885"/>
  </cols>
  <sheetData>
    <row r="1" spans="1:41" ht="12" customHeight="1" thickBot="1" x14ac:dyDescent="0.25">
      <c r="A1" s="693"/>
      <c r="B1" s="1260"/>
      <c r="C1" s="693"/>
      <c r="D1" s="693"/>
      <c r="E1" s="693"/>
      <c r="F1" s="693"/>
      <c r="G1" s="693"/>
      <c r="H1" s="693"/>
      <c r="I1" s="693"/>
      <c r="J1" s="693"/>
      <c r="K1" s="693"/>
      <c r="L1" s="693"/>
      <c r="M1" s="693"/>
      <c r="N1" s="693"/>
      <c r="O1" s="693"/>
      <c r="P1" s="693"/>
      <c r="Q1" s="693"/>
      <c r="R1" s="693"/>
      <c r="S1" s="693"/>
      <c r="T1" s="693"/>
      <c r="U1" s="694"/>
      <c r="V1" s="1260"/>
      <c r="W1" s="694"/>
      <c r="X1" s="694"/>
      <c r="Y1" s="694"/>
      <c r="Z1" s="694"/>
      <c r="AA1" s="694"/>
      <c r="AB1" s="694"/>
      <c r="AC1" s="694"/>
      <c r="AD1" s="694"/>
      <c r="AE1" s="694"/>
      <c r="AF1" s="694"/>
      <c r="AG1" s="694"/>
      <c r="AH1" s="694"/>
      <c r="AI1" s="694"/>
      <c r="AJ1" s="694"/>
      <c r="AK1" s="694"/>
      <c r="AL1" s="694"/>
      <c r="AM1" s="693"/>
      <c r="AN1" s="695"/>
      <c r="AO1" s="884"/>
    </row>
    <row r="2" spans="1:41" ht="12" customHeight="1" thickBot="1" x14ac:dyDescent="0.25">
      <c r="A2" s="693"/>
      <c r="B2" s="1261"/>
      <c r="C2" s="708"/>
      <c r="D2" s="708"/>
      <c r="E2" s="708"/>
      <c r="F2" s="708"/>
      <c r="G2" s="708"/>
      <c r="H2" s="708"/>
      <c r="I2" s="708"/>
      <c r="J2" s="708"/>
      <c r="K2" s="708"/>
      <c r="L2" s="708"/>
      <c r="M2" s="708"/>
      <c r="N2" s="708"/>
      <c r="O2" s="708"/>
      <c r="P2" s="708"/>
      <c r="Q2" s="708"/>
      <c r="R2" s="708"/>
      <c r="S2" s="709"/>
      <c r="T2" s="693"/>
      <c r="U2" s="694"/>
      <c r="V2" s="1267"/>
      <c r="W2" s="710"/>
      <c r="X2" s="710"/>
      <c r="Y2" s="710"/>
      <c r="Z2" s="710"/>
      <c r="AA2" s="710"/>
      <c r="AB2" s="710"/>
      <c r="AC2" s="710"/>
      <c r="AD2" s="710"/>
      <c r="AE2" s="710"/>
      <c r="AF2" s="710"/>
      <c r="AG2" s="710"/>
      <c r="AH2" s="710"/>
      <c r="AI2" s="710"/>
      <c r="AJ2" s="710"/>
      <c r="AK2" s="710"/>
      <c r="AL2" s="710"/>
      <c r="AM2" s="709"/>
      <c r="AN2" s="695"/>
      <c r="AO2" s="884"/>
    </row>
    <row r="3" spans="1:41" ht="12" customHeight="1" x14ac:dyDescent="0.2">
      <c r="A3" s="693"/>
      <c r="B3" s="1262"/>
      <c r="C3" s="721"/>
      <c r="D3" s="722"/>
      <c r="E3" s="722"/>
      <c r="F3" s="722"/>
      <c r="G3" s="722"/>
      <c r="H3" s="722"/>
      <c r="I3" s="723"/>
      <c r="J3" s="723"/>
      <c r="K3" s="723"/>
      <c r="L3" s="723"/>
      <c r="M3" s="723"/>
      <c r="N3" s="723"/>
      <c r="O3" s="723"/>
      <c r="P3" s="723"/>
      <c r="Q3" s="723"/>
      <c r="R3" s="724"/>
      <c r="S3" s="725"/>
      <c r="T3" s="693"/>
      <c r="U3" s="694"/>
      <c r="V3" s="1262"/>
      <c r="W3" s="5512"/>
      <c r="X3" s="5513"/>
      <c r="Y3" s="5513"/>
      <c r="Z3" s="5513"/>
      <c r="AA3" s="5513"/>
      <c r="AB3" s="5513"/>
      <c r="AC3" s="1256"/>
      <c r="AD3" s="1256"/>
      <c r="AE3" s="1256"/>
      <c r="AF3" s="1256"/>
      <c r="AG3" s="1256"/>
      <c r="AH3" s="1256"/>
      <c r="AI3" s="1256"/>
      <c r="AJ3" s="1256"/>
      <c r="AK3" s="1256"/>
      <c r="AL3" s="726"/>
      <c r="AM3" s="725"/>
      <c r="AN3" s="695"/>
      <c r="AO3" s="884"/>
    </row>
    <row r="4" spans="1:41" ht="12" customHeight="1" x14ac:dyDescent="0.2">
      <c r="A4" s="693"/>
      <c r="B4" s="1262"/>
      <c r="C4" s="734"/>
      <c r="D4" s="5509" t="s">
        <v>3319</v>
      </c>
      <c r="E4" s="5509"/>
      <c r="F4" s="5509"/>
      <c r="G4" s="5509"/>
      <c r="H4" s="5518" t="str">
        <f>Principal!L4</f>
        <v/>
      </c>
      <c r="I4" s="5518"/>
      <c r="J4" s="5518"/>
      <c r="K4" s="5518"/>
      <c r="L4" s="5518"/>
      <c r="M4" s="5519" t="s">
        <v>7704</v>
      </c>
      <c r="N4" s="5519"/>
      <c r="O4" s="5519"/>
      <c r="P4" s="5519"/>
      <c r="Q4" s="5519"/>
      <c r="R4" s="735"/>
      <c r="S4" s="725"/>
      <c r="T4" s="693"/>
      <c r="U4" s="694"/>
      <c r="V4" s="1262"/>
      <c r="W4" s="5514"/>
      <c r="X4" s="5515"/>
      <c r="Y4" s="5515"/>
      <c r="Z4" s="5515"/>
      <c r="AA4" s="5515"/>
      <c r="AB4" s="5515"/>
      <c r="AC4" s="1257"/>
      <c r="AD4" s="5520" t="s">
        <v>7704</v>
      </c>
      <c r="AE4" s="5520"/>
      <c r="AF4" s="5520"/>
      <c r="AG4" s="5520"/>
      <c r="AH4" s="5520"/>
      <c r="AI4" s="5520"/>
      <c r="AJ4" s="5520"/>
      <c r="AK4" s="5520"/>
      <c r="AL4" s="736"/>
      <c r="AM4" s="725"/>
      <c r="AN4" s="695"/>
      <c r="AO4" s="884"/>
    </row>
    <row r="5" spans="1:41" ht="12" customHeight="1" x14ac:dyDescent="0.2">
      <c r="A5" s="693"/>
      <c r="B5" s="1262"/>
      <c r="C5" s="5521"/>
      <c r="D5" s="5511"/>
      <c r="E5" s="5511"/>
      <c r="F5" s="5511"/>
      <c r="G5" s="5511"/>
      <c r="H5" s="5511"/>
      <c r="I5" s="5522"/>
      <c r="J5" s="5522"/>
      <c r="K5" s="5522"/>
      <c r="L5" s="5522"/>
      <c r="M5" s="5519"/>
      <c r="N5" s="5519"/>
      <c r="O5" s="5519"/>
      <c r="P5" s="5519"/>
      <c r="Q5" s="5519"/>
      <c r="R5" s="752"/>
      <c r="S5" s="725"/>
      <c r="T5" s="693"/>
      <c r="U5" s="694"/>
      <c r="V5" s="1262"/>
      <c r="W5" s="5514"/>
      <c r="X5" s="5515"/>
      <c r="Y5" s="5515"/>
      <c r="Z5" s="5515"/>
      <c r="AA5" s="5515"/>
      <c r="AB5" s="5515"/>
      <c r="AC5" s="1257"/>
      <c r="AD5" s="5520"/>
      <c r="AE5" s="5520"/>
      <c r="AF5" s="5520"/>
      <c r="AG5" s="5520"/>
      <c r="AH5" s="5520"/>
      <c r="AI5" s="5520"/>
      <c r="AJ5" s="5520"/>
      <c r="AK5" s="5520"/>
      <c r="AL5" s="736"/>
      <c r="AM5" s="725"/>
      <c r="AN5" s="695"/>
      <c r="AO5" s="884"/>
    </row>
    <row r="6" spans="1:41" ht="12" customHeight="1" x14ac:dyDescent="0.2">
      <c r="A6" s="693"/>
      <c r="B6" s="1262"/>
      <c r="C6" s="734"/>
      <c r="D6" s="5510" t="s">
        <v>3326</v>
      </c>
      <c r="E6" s="5510"/>
      <c r="F6" s="5511" t="str">
        <f>Principal!L5</f>
        <v/>
      </c>
      <c r="G6" s="5511"/>
      <c r="H6" s="5511"/>
      <c r="I6" s="755"/>
      <c r="J6" s="755"/>
      <c r="K6" s="5510"/>
      <c r="L6" s="5510"/>
      <c r="M6" s="1253"/>
      <c r="N6" s="1251"/>
      <c r="O6" s="5508"/>
      <c r="P6" s="5508"/>
      <c r="Q6" s="756"/>
      <c r="R6" s="752"/>
      <c r="S6" s="725"/>
      <c r="T6" s="693"/>
      <c r="U6" s="694"/>
      <c r="V6" s="1262"/>
      <c r="W6" s="5514"/>
      <c r="X6" s="5515"/>
      <c r="Y6" s="5515"/>
      <c r="Z6" s="5515"/>
      <c r="AA6" s="5515"/>
      <c r="AB6" s="5515"/>
      <c r="AC6" s="1257"/>
      <c r="AD6" s="5509"/>
      <c r="AE6" s="5509"/>
      <c r="AF6" s="5509"/>
      <c r="AG6" s="5509"/>
      <c r="AH6" s="5509"/>
      <c r="AI6" s="5509"/>
      <c r="AJ6" s="5509"/>
      <c r="AK6" s="5509"/>
      <c r="AL6" s="736"/>
      <c r="AM6" s="725"/>
      <c r="AN6" s="695"/>
      <c r="AO6" s="884"/>
    </row>
    <row r="7" spans="1:41" ht="12" customHeight="1" x14ac:dyDescent="0.2">
      <c r="A7" s="693"/>
      <c r="B7" s="1262"/>
      <c r="C7" s="734"/>
      <c r="D7" s="5510" t="s">
        <v>1627</v>
      </c>
      <c r="E7" s="5510"/>
      <c r="F7" s="5511" t="str">
        <f>Principal!P5</f>
        <v>0</v>
      </c>
      <c r="G7" s="5511"/>
      <c r="H7" s="5511"/>
      <c r="I7" s="759"/>
      <c r="J7" s="759"/>
      <c r="K7" s="759"/>
      <c r="L7" s="759"/>
      <c r="M7" s="5510"/>
      <c r="N7" s="5510"/>
      <c r="O7" s="760"/>
      <c r="P7" s="1251"/>
      <c r="Q7" s="1251"/>
      <c r="R7" s="752"/>
      <c r="S7" s="725"/>
      <c r="T7" s="693"/>
      <c r="U7" s="694"/>
      <c r="V7" s="1262"/>
      <c r="W7" s="5514"/>
      <c r="X7" s="5515"/>
      <c r="Y7" s="5515"/>
      <c r="Z7" s="5515"/>
      <c r="AA7" s="5515"/>
      <c r="AB7" s="5515"/>
      <c r="AC7" s="1257"/>
      <c r="AD7" s="5511" t="str">
        <f>IF(C5&lt;1,"",C5)</f>
        <v/>
      </c>
      <c r="AE7" s="5511"/>
      <c r="AF7" s="5511"/>
      <c r="AG7" s="5511"/>
      <c r="AH7" s="5511"/>
      <c r="AI7" s="5511"/>
      <c r="AJ7" s="5511"/>
      <c r="AK7" s="5511"/>
      <c r="AL7" s="736"/>
      <c r="AM7" s="725"/>
      <c r="AN7" s="695"/>
      <c r="AO7" s="884"/>
    </row>
    <row r="8" spans="1:41" ht="12" customHeight="1" thickBot="1" x14ac:dyDescent="0.25">
      <c r="A8" s="693"/>
      <c r="B8" s="1262"/>
      <c r="C8" s="763"/>
      <c r="D8" s="764"/>
      <c r="E8" s="764"/>
      <c r="F8" s="764"/>
      <c r="G8" s="764"/>
      <c r="H8" s="764"/>
      <c r="I8" s="765"/>
      <c r="J8" s="766"/>
      <c r="K8" s="766"/>
      <c r="L8" s="766"/>
      <c r="M8" s="766"/>
      <c r="N8" s="767"/>
      <c r="O8" s="765"/>
      <c r="P8" s="765"/>
      <c r="Q8" s="765"/>
      <c r="R8" s="768"/>
      <c r="S8" s="725"/>
      <c r="T8" s="693"/>
      <c r="U8" s="694"/>
      <c r="V8" s="1262"/>
      <c r="W8" s="5516"/>
      <c r="X8" s="5517"/>
      <c r="Y8" s="5517"/>
      <c r="Z8" s="5517"/>
      <c r="AA8" s="5517"/>
      <c r="AB8" s="5517"/>
      <c r="AC8" s="1258"/>
      <c r="AD8" s="1258"/>
      <c r="AE8" s="1258"/>
      <c r="AF8" s="1258"/>
      <c r="AG8" s="1258"/>
      <c r="AH8" s="1258"/>
      <c r="AI8" s="1258"/>
      <c r="AJ8" s="1258"/>
      <c r="AK8" s="1258"/>
      <c r="AL8" s="769"/>
      <c r="AM8" s="725"/>
      <c r="AN8" s="695"/>
      <c r="AO8" s="884"/>
    </row>
    <row r="9" spans="1:41" ht="12" customHeight="1" x14ac:dyDescent="0.2">
      <c r="A9" s="693"/>
      <c r="B9" s="1262"/>
      <c r="C9" s="771"/>
      <c r="D9" s="771"/>
      <c r="E9" s="771"/>
      <c r="F9" s="771"/>
      <c r="G9" s="771"/>
      <c r="H9" s="771"/>
      <c r="I9" s="771"/>
      <c r="J9" s="771"/>
      <c r="K9" s="771"/>
      <c r="L9" s="771"/>
      <c r="M9" s="771"/>
      <c r="N9" s="771"/>
      <c r="O9" s="771"/>
      <c r="P9" s="771"/>
      <c r="Q9" s="772"/>
      <c r="R9" s="771"/>
      <c r="S9" s="725"/>
      <c r="T9" s="693"/>
      <c r="U9" s="694"/>
      <c r="V9" s="1262"/>
      <c r="W9" s="773"/>
      <c r="X9" s="773"/>
      <c r="Y9" s="773"/>
      <c r="Z9" s="773"/>
      <c r="AA9" s="773"/>
      <c r="AB9" s="773"/>
      <c r="AC9" s="773"/>
      <c r="AD9" s="773"/>
      <c r="AE9" s="773"/>
      <c r="AF9" s="773"/>
      <c r="AG9" s="773"/>
      <c r="AH9" s="773"/>
      <c r="AI9" s="773"/>
      <c r="AJ9" s="773"/>
      <c r="AK9" s="773"/>
      <c r="AL9" s="773"/>
      <c r="AM9" s="725"/>
      <c r="AN9" s="695"/>
      <c r="AO9" s="884"/>
    </row>
    <row r="10" spans="1:41" ht="12" customHeight="1" thickBot="1" x14ac:dyDescent="0.25">
      <c r="A10" s="693"/>
      <c r="B10" s="1262"/>
      <c r="C10" s="771"/>
      <c r="D10" s="771"/>
      <c r="E10" s="771"/>
      <c r="F10" s="771"/>
      <c r="G10" s="771"/>
      <c r="H10" s="771"/>
      <c r="I10" s="771"/>
      <c r="J10" s="771"/>
      <c r="K10" s="771"/>
      <c r="L10" s="771"/>
      <c r="M10" s="771"/>
      <c r="N10" s="771"/>
      <c r="O10" s="771"/>
      <c r="P10" s="771"/>
      <c r="Q10" s="772"/>
      <c r="R10" s="776"/>
      <c r="S10" s="725"/>
      <c r="T10" s="693"/>
      <c r="U10" s="694"/>
      <c r="V10" s="1262"/>
      <c r="W10" s="773"/>
      <c r="X10" s="773"/>
      <c r="Y10" s="773"/>
      <c r="Z10" s="773"/>
      <c r="AA10" s="773"/>
      <c r="AB10" s="773"/>
      <c r="AC10" s="773"/>
      <c r="AD10" s="773"/>
      <c r="AE10" s="773"/>
      <c r="AF10" s="773"/>
      <c r="AG10" s="773"/>
      <c r="AH10" s="773"/>
      <c r="AI10" s="773"/>
      <c r="AJ10" s="773"/>
      <c r="AK10" s="773"/>
      <c r="AL10" s="773"/>
      <c r="AM10" s="725"/>
      <c r="AN10" s="695"/>
      <c r="AO10" s="884"/>
    </row>
    <row r="11" spans="1:41" ht="12" customHeight="1" x14ac:dyDescent="0.2">
      <c r="A11" s="693"/>
      <c r="B11" s="1259">
        <v>1</v>
      </c>
      <c r="C11" s="5523" t="s">
        <v>7702</v>
      </c>
      <c r="D11" s="5524"/>
      <c r="E11" s="5524"/>
      <c r="F11" s="5524"/>
      <c r="G11" s="5524"/>
      <c r="H11" s="5524"/>
      <c r="I11" s="5524"/>
      <c r="J11" s="5524"/>
      <c r="K11" s="5524"/>
      <c r="L11" s="5524"/>
      <c r="M11" s="5524"/>
      <c r="N11" s="5524"/>
      <c r="O11" s="5524"/>
      <c r="P11" s="5524"/>
      <c r="Q11" s="5525"/>
      <c r="R11" s="5526">
        <f>IF(C11="","",IF(ISNA(VLOOKUP(C11,'Tablas Técnicas'!$AD$6:$AJ$188,3,FALSE)),"-",VLOOKUP(C11,'Tablas Técnicas'!$AD$6:$AJ$188,3,FALSE)))</f>
        <v>0</v>
      </c>
      <c r="S11" s="780"/>
      <c r="T11" s="693"/>
      <c r="U11" s="693"/>
      <c r="V11" s="1259">
        <v>6</v>
      </c>
      <c r="W11" s="5523" t="s">
        <v>7702</v>
      </c>
      <c r="X11" s="5524"/>
      <c r="Y11" s="5524"/>
      <c r="Z11" s="5524"/>
      <c r="AA11" s="5524"/>
      <c r="AB11" s="5524"/>
      <c r="AC11" s="5524"/>
      <c r="AD11" s="5524"/>
      <c r="AE11" s="5524"/>
      <c r="AF11" s="5524"/>
      <c r="AG11" s="5524"/>
      <c r="AH11" s="5524"/>
      <c r="AI11" s="5524"/>
      <c r="AJ11" s="5524"/>
      <c r="AK11" s="5525"/>
      <c r="AL11" s="5526">
        <f>IF(W11="","",IF(ISNA(VLOOKUP(W11,'Tablas Técnicas'!$AD$6:$AJ$188,3,FALSE)),"-",VLOOKUP(W11,'Tablas Técnicas'!$AD$6:$AJ$188,3,FALSE)))</f>
        <v>0</v>
      </c>
      <c r="AM11" s="781"/>
      <c r="AN11" s="695"/>
      <c r="AO11" s="884"/>
    </row>
    <row r="12" spans="1:41" ht="12" customHeight="1" x14ac:dyDescent="0.2">
      <c r="A12" s="693"/>
      <c r="B12" s="1259"/>
      <c r="C12" s="786" t="s">
        <v>1627</v>
      </c>
      <c r="D12" s="787">
        <f>IF(C11="","",IF(ISNA(VLOOKUP(C11,'Tablas Técnicas'!$AD$6:$AJ$188,2,FALSE)),"-",VLOOKUP(C11,'Tablas Técnicas'!$AD$6:$AJ$188,2,FALSE)))</f>
        <v>1</v>
      </c>
      <c r="E12" s="788" t="s">
        <v>2165</v>
      </c>
      <c r="F12" s="5528"/>
      <c r="G12" s="5528"/>
      <c r="H12" s="5528"/>
      <c r="I12" s="5529" t="s">
        <v>3347</v>
      </c>
      <c r="J12" s="5529"/>
      <c r="K12" s="5529"/>
      <c r="L12" s="5530" t="str">
        <f>IF(C11="","",IF(ISNA(VLOOKUP(C11,'Tablas Técnicas'!$AD$6:$AJ$188,7,FALSE)),"-",VLOOKUP(C11,'Tablas Técnicas'!$AD$6:$AJ$188,7,FALSE)))</f>
        <v/>
      </c>
      <c r="M12" s="5530"/>
      <c r="N12" s="5530"/>
      <c r="O12" s="5530"/>
      <c r="P12" s="5530"/>
      <c r="Q12" s="5531"/>
      <c r="R12" s="5527"/>
      <c r="S12" s="725"/>
      <c r="T12" s="693"/>
      <c r="U12" s="693"/>
      <c r="V12" s="1259"/>
      <c r="W12" s="786" t="s">
        <v>1627</v>
      </c>
      <c r="X12" s="787">
        <f>IF(W11="","",IF(ISNA(VLOOKUP(W11,'Tablas Técnicas'!$AD$6:$AJ$188,2,FALSE)),"-",VLOOKUP(W11,'Tablas Técnicas'!$AD$6:$AJ$188,2,FALSE)))</f>
        <v>1</v>
      </c>
      <c r="Y12" s="788" t="s">
        <v>2165</v>
      </c>
      <c r="Z12" s="5528"/>
      <c r="AA12" s="5528"/>
      <c r="AB12" s="5528"/>
      <c r="AC12" s="5529" t="s">
        <v>3347</v>
      </c>
      <c r="AD12" s="5529"/>
      <c r="AE12" s="5529"/>
      <c r="AF12" s="5530" t="str">
        <f>IF(W11="","",IF(ISNA(VLOOKUP(W11,'Tablas Técnicas'!$AD$6:$AJ$188,7,FALSE)),"-",VLOOKUP(W11,'Tablas Técnicas'!$AD$6:$AJ$188,7,FALSE)))</f>
        <v/>
      </c>
      <c r="AG12" s="5530"/>
      <c r="AH12" s="5530"/>
      <c r="AI12" s="5530"/>
      <c r="AJ12" s="5530"/>
      <c r="AK12" s="5531"/>
      <c r="AL12" s="5527"/>
      <c r="AM12" s="725"/>
      <c r="AN12" s="695"/>
      <c r="AO12" s="884"/>
    </row>
    <row r="13" spans="1:41" ht="12" customHeight="1" x14ac:dyDescent="0.2">
      <c r="A13" s="693"/>
      <c r="B13" s="1259"/>
      <c r="C13" s="5532" t="str">
        <f>IF(C11="","",IF(ISNA(VLOOKUP(C11,'Tablas Técnicas'!$AD$6:$AJ$188,5,FALSE)),"-",VLOOKUP(C11,'Tablas Técnicas'!$AD$6:$AJ$188,5,FALSE)))</f>
        <v/>
      </c>
      <c r="D13" s="5533"/>
      <c r="E13" s="5533"/>
      <c r="F13" s="5533"/>
      <c r="G13" s="5533"/>
      <c r="H13" s="5533"/>
      <c r="I13" s="5533"/>
      <c r="J13" s="5533"/>
      <c r="K13" s="5533"/>
      <c r="L13" s="5533"/>
      <c r="M13" s="5533"/>
      <c r="N13" s="5533"/>
      <c r="O13" s="5533"/>
      <c r="P13" s="5533"/>
      <c r="Q13" s="5533"/>
      <c r="R13" s="5534"/>
      <c r="S13" s="793"/>
      <c r="T13" s="792"/>
      <c r="U13" s="693"/>
      <c r="V13" s="1259"/>
      <c r="W13" s="5532" t="str">
        <f>IF(W11="","",IF(ISNA(VLOOKUP(W11,'Tablas Técnicas'!$AD$6:$AJ$188,5,FALSE)),"-",VLOOKUP(W11,'Tablas Técnicas'!$AD$6:$AJ$188,5,FALSE)))</f>
        <v/>
      </c>
      <c r="X13" s="5533"/>
      <c r="Y13" s="5533"/>
      <c r="Z13" s="5533"/>
      <c r="AA13" s="5533"/>
      <c r="AB13" s="5533"/>
      <c r="AC13" s="5533"/>
      <c r="AD13" s="5533"/>
      <c r="AE13" s="5533"/>
      <c r="AF13" s="5533"/>
      <c r="AG13" s="5533"/>
      <c r="AH13" s="5533"/>
      <c r="AI13" s="5533"/>
      <c r="AJ13" s="5533"/>
      <c r="AK13" s="5533"/>
      <c r="AL13" s="5534"/>
      <c r="AM13" s="793"/>
      <c r="AN13" s="695"/>
      <c r="AO13" s="884"/>
    </row>
    <row r="14" spans="1:41" ht="12" customHeight="1" x14ac:dyDescent="0.2">
      <c r="A14" s="693"/>
      <c r="B14" s="1259"/>
      <c r="C14" s="5535"/>
      <c r="D14" s="5536"/>
      <c r="E14" s="5536"/>
      <c r="F14" s="5536"/>
      <c r="G14" s="5536"/>
      <c r="H14" s="5536"/>
      <c r="I14" s="5536"/>
      <c r="J14" s="5536"/>
      <c r="K14" s="5536"/>
      <c r="L14" s="5536"/>
      <c r="M14" s="5536"/>
      <c r="N14" s="5536"/>
      <c r="O14" s="5536"/>
      <c r="P14" s="5536"/>
      <c r="Q14" s="5536"/>
      <c r="R14" s="5537"/>
      <c r="S14" s="802"/>
      <c r="T14" s="792"/>
      <c r="U14" s="693"/>
      <c r="V14" s="1259"/>
      <c r="W14" s="5535"/>
      <c r="X14" s="5536"/>
      <c r="Y14" s="5536"/>
      <c r="Z14" s="5536"/>
      <c r="AA14" s="5536"/>
      <c r="AB14" s="5536"/>
      <c r="AC14" s="5536"/>
      <c r="AD14" s="5536"/>
      <c r="AE14" s="5536"/>
      <c r="AF14" s="5536"/>
      <c r="AG14" s="5536"/>
      <c r="AH14" s="5536"/>
      <c r="AI14" s="5536"/>
      <c r="AJ14" s="5536"/>
      <c r="AK14" s="5536"/>
      <c r="AL14" s="5537"/>
      <c r="AM14" s="802"/>
      <c r="AN14" s="695"/>
      <c r="AO14" s="884"/>
    </row>
    <row r="15" spans="1:41" ht="12" customHeight="1" x14ac:dyDescent="0.2">
      <c r="A15" s="693"/>
      <c r="B15" s="1259"/>
      <c r="C15" s="5535"/>
      <c r="D15" s="5536"/>
      <c r="E15" s="5536"/>
      <c r="F15" s="5536"/>
      <c r="G15" s="5536"/>
      <c r="H15" s="5536"/>
      <c r="I15" s="5536"/>
      <c r="J15" s="5536"/>
      <c r="K15" s="5536"/>
      <c r="L15" s="5536"/>
      <c r="M15" s="5536"/>
      <c r="N15" s="5536"/>
      <c r="O15" s="5536"/>
      <c r="P15" s="5536"/>
      <c r="Q15" s="5536"/>
      <c r="R15" s="5537"/>
      <c r="S15" s="802"/>
      <c r="T15" s="792"/>
      <c r="U15" s="693"/>
      <c r="V15" s="1259"/>
      <c r="W15" s="5535"/>
      <c r="X15" s="5536"/>
      <c r="Y15" s="5536"/>
      <c r="Z15" s="5536"/>
      <c r="AA15" s="5536"/>
      <c r="AB15" s="5536"/>
      <c r="AC15" s="5536"/>
      <c r="AD15" s="5536"/>
      <c r="AE15" s="5536"/>
      <c r="AF15" s="5536"/>
      <c r="AG15" s="5536"/>
      <c r="AH15" s="5536"/>
      <c r="AI15" s="5536"/>
      <c r="AJ15" s="5536"/>
      <c r="AK15" s="5536"/>
      <c r="AL15" s="5537"/>
      <c r="AM15" s="802"/>
      <c r="AN15" s="695"/>
      <c r="AO15" s="884"/>
    </row>
    <row r="16" spans="1:41" ht="12" customHeight="1" x14ac:dyDescent="0.2">
      <c r="A16" s="693"/>
      <c r="B16" s="1259"/>
      <c r="C16" s="5538"/>
      <c r="D16" s="5539"/>
      <c r="E16" s="5539"/>
      <c r="F16" s="5539"/>
      <c r="G16" s="5539"/>
      <c r="H16" s="5539"/>
      <c r="I16" s="5539"/>
      <c r="J16" s="5539"/>
      <c r="K16" s="5539"/>
      <c r="L16" s="5539"/>
      <c r="M16" s="5539"/>
      <c r="N16" s="5539"/>
      <c r="O16" s="5539"/>
      <c r="P16" s="5539"/>
      <c r="Q16" s="5539"/>
      <c r="R16" s="5540"/>
      <c r="S16" s="802"/>
      <c r="T16" s="792"/>
      <c r="U16" s="693"/>
      <c r="V16" s="1259"/>
      <c r="W16" s="5538"/>
      <c r="X16" s="5539"/>
      <c r="Y16" s="5539"/>
      <c r="Z16" s="5539"/>
      <c r="AA16" s="5539"/>
      <c r="AB16" s="5539"/>
      <c r="AC16" s="5539"/>
      <c r="AD16" s="5539"/>
      <c r="AE16" s="5539"/>
      <c r="AF16" s="5539"/>
      <c r="AG16" s="5539"/>
      <c r="AH16" s="5539"/>
      <c r="AI16" s="5539"/>
      <c r="AJ16" s="5539"/>
      <c r="AK16" s="5539"/>
      <c r="AL16" s="5540"/>
      <c r="AM16" s="802"/>
      <c r="AN16" s="695"/>
      <c r="AO16" s="884"/>
    </row>
    <row r="17" spans="1:43" ht="12" customHeight="1" x14ac:dyDescent="0.2">
      <c r="A17" s="693"/>
      <c r="B17" s="1263"/>
      <c r="C17" s="5541" t="str">
        <f>"Desventajas: "&amp;IF(C11="","",IF(ISNA(VLOOKUP(C11,'Tablas Técnicas'!$AD$6:$AJ$188,6,FALSE)),"-",VLOOKUP(C11,'Tablas Técnicas'!$AD$6:$AJ$188,6,FALSE)))</f>
        <v xml:space="preserve">Desventajas: </v>
      </c>
      <c r="D17" s="5542"/>
      <c r="E17" s="5542"/>
      <c r="F17" s="5542"/>
      <c r="G17" s="5542"/>
      <c r="H17" s="5542"/>
      <c r="I17" s="5542"/>
      <c r="J17" s="5542"/>
      <c r="K17" s="5542"/>
      <c r="L17" s="5542"/>
      <c r="M17" s="5542"/>
      <c r="N17" s="5543"/>
      <c r="O17" s="5547" t="s">
        <v>3367</v>
      </c>
      <c r="P17" s="5548"/>
      <c r="Q17" s="5548"/>
      <c r="R17" s="5549"/>
      <c r="S17" s="725"/>
      <c r="T17" s="693"/>
      <c r="U17" s="693"/>
      <c r="V17" s="1263"/>
      <c r="W17" s="5541" t="str">
        <f>"Desventajas: "&amp;IF(W11="","",IF(ISNA(VLOOKUP(W11,'Tablas Técnicas'!$AD$6:$AJ$188,6,FALSE)),"-",VLOOKUP(W11,'Tablas Técnicas'!$AD$6:$AJ$188,6,FALSE)))</f>
        <v xml:space="preserve">Desventajas: </v>
      </c>
      <c r="X17" s="5542"/>
      <c r="Y17" s="5542"/>
      <c r="Z17" s="5542"/>
      <c r="AA17" s="5542"/>
      <c r="AB17" s="5542"/>
      <c r="AC17" s="5542"/>
      <c r="AD17" s="5542"/>
      <c r="AE17" s="5542"/>
      <c r="AF17" s="5542"/>
      <c r="AG17" s="5542"/>
      <c r="AH17" s="5543"/>
      <c r="AI17" s="5547" t="s">
        <v>3367</v>
      </c>
      <c r="AJ17" s="5548"/>
      <c r="AK17" s="5548"/>
      <c r="AL17" s="5549"/>
      <c r="AM17" s="725"/>
      <c r="AN17" s="695"/>
      <c r="AO17" s="884"/>
      <c r="AQ17" s="1374"/>
    </row>
    <row r="18" spans="1:43" ht="12" customHeight="1" x14ac:dyDescent="0.2">
      <c r="A18" s="693"/>
      <c r="B18" s="1259"/>
      <c r="C18" s="5544"/>
      <c r="D18" s="5545"/>
      <c r="E18" s="5545"/>
      <c r="F18" s="5545"/>
      <c r="G18" s="5545"/>
      <c r="H18" s="5545"/>
      <c r="I18" s="5545"/>
      <c r="J18" s="5545"/>
      <c r="K18" s="5545"/>
      <c r="L18" s="5545"/>
      <c r="M18" s="5545"/>
      <c r="N18" s="5546"/>
      <c r="O18" s="5550"/>
      <c r="P18" s="5551"/>
      <c r="Q18" s="5551"/>
      <c r="R18" s="5552"/>
      <c r="S18" s="725"/>
      <c r="T18" s="693"/>
      <c r="U18" s="693"/>
      <c r="V18" s="1259"/>
      <c r="W18" s="5544"/>
      <c r="X18" s="5545"/>
      <c r="Y18" s="5545"/>
      <c r="Z18" s="5545"/>
      <c r="AA18" s="5545"/>
      <c r="AB18" s="5545"/>
      <c r="AC18" s="5545"/>
      <c r="AD18" s="5545"/>
      <c r="AE18" s="5545"/>
      <c r="AF18" s="5545"/>
      <c r="AG18" s="5545"/>
      <c r="AH18" s="5546"/>
      <c r="AI18" s="5550"/>
      <c r="AJ18" s="5551"/>
      <c r="AK18" s="5551"/>
      <c r="AL18" s="5552"/>
      <c r="AM18" s="725"/>
      <c r="AN18" s="695"/>
      <c r="AO18" s="884"/>
    </row>
    <row r="19" spans="1:43" ht="12" customHeight="1" x14ac:dyDescent="0.2">
      <c r="A19" s="693"/>
      <c r="B19" s="1263"/>
      <c r="C19" s="5559" t="str">
        <f>IF(C11="","",IF(ISNA(VLOOKUP(C11,'Tablas Técnicas'!$AD$6:$AJ$188,4,FALSE)),"-",VLOOKUP(C11,'Tablas Técnicas'!$AD$6:$AJ$188,4,FALSE)))</f>
        <v/>
      </c>
      <c r="D19" s="5560"/>
      <c r="E19" s="5560"/>
      <c r="F19" s="5560"/>
      <c r="G19" s="5560"/>
      <c r="H19" s="5560"/>
      <c r="I19" s="5560"/>
      <c r="J19" s="5560"/>
      <c r="K19" s="5560"/>
      <c r="L19" s="5560"/>
      <c r="M19" s="5560"/>
      <c r="N19" s="5560"/>
      <c r="O19" s="5553"/>
      <c r="P19" s="5554"/>
      <c r="Q19" s="5554"/>
      <c r="R19" s="5555"/>
      <c r="S19" s="725"/>
      <c r="T19" s="693"/>
      <c r="U19" s="693"/>
      <c r="V19" s="1263"/>
      <c r="W19" s="5559" t="str">
        <f>IF(W11="","",IF(ISNA(VLOOKUP(W11,'Tablas Técnicas'!$AD$6:$AJ$188,4,FALSE)),"-",VLOOKUP(W11,'Tablas Técnicas'!$AD$6:$AJ$188,4,FALSE)))</f>
        <v/>
      </c>
      <c r="X19" s="5560"/>
      <c r="Y19" s="5560"/>
      <c r="Z19" s="5560"/>
      <c r="AA19" s="5560"/>
      <c r="AB19" s="5560"/>
      <c r="AC19" s="5560"/>
      <c r="AD19" s="5560"/>
      <c r="AE19" s="5560"/>
      <c r="AF19" s="5560"/>
      <c r="AG19" s="5560"/>
      <c r="AH19" s="5560"/>
      <c r="AI19" s="5553"/>
      <c r="AJ19" s="5554"/>
      <c r="AK19" s="5554"/>
      <c r="AL19" s="5555"/>
      <c r="AM19" s="725"/>
      <c r="AN19" s="695"/>
      <c r="AO19" s="884"/>
    </row>
    <row r="20" spans="1:43" ht="12" customHeight="1" thickBot="1" x14ac:dyDescent="0.25">
      <c r="A20" s="693"/>
      <c r="B20" s="1259"/>
      <c r="C20" s="5561"/>
      <c r="D20" s="5562"/>
      <c r="E20" s="5562"/>
      <c r="F20" s="5562"/>
      <c r="G20" s="5562"/>
      <c r="H20" s="5562"/>
      <c r="I20" s="5562"/>
      <c r="J20" s="5562"/>
      <c r="K20" s="5562"/>
      <c r="L20" s="5562"/>
      <c r="M20" s="5562"/>
      <c r="N20" s="5562"/>
      <c r="O20" s="5556"/>
      <c r="P20" s="5557"/>
      <c r="Q20" s="5557"/>
      <c r="R20" s="5558"/>
      <c r="S20" s="725"/>
      <c r="T20" s="693"/>
      <c r="U20" s="693"/>
      <c r="V20" s="1259"/>
      <c r="W20" s="5561"/>
      <c r="X20" s="5562"/>
      <c r="Y20" s="5562"/>
      <c r="Z20" s="5562"/>
      <c r="AA20" s="5562"/>
      <c r="AB20" s="5562"/>
      <c r="AC20" s="5562"/>
      <c r="AD20" s="5562"/>
      <c r="AE20" s="5562"/>
      <c r="AF20" s="5562"/>
      <c r="AG20" s="5562"/>
      <c r="AH20" s="5562"/>
      <c r="AI20" s="5556"/>
      <c r="AJ20" s="5557"/>
      <c r="AK20" s="5557"/>
      <c r="AL20" s="5558"/>
      <c r="AM20" s="725"/>
      <c r="AN20" s="695"/>
      <c r="AO20" s="884"/>
    </row>
    <row r="21" spans="1:43" ht="12" customHeight="1" thickBot="1" x14ac:dyDescent="0.25">
      <c r="A21" s="693"/>
      <c r="B21" s="1262"/>
      <c r="C21" s="771"/>
      <c r="D21" s="771"/>
      <c r="E21" s="771"/>
      <c r="F21" s="771"/>
      <c r="G21" s="771"/>
      <c r="H21" s="771"/>
      <c r="I21" s="771"/>
      <c r="J21" s="771"/>
      <c r="K21" s="771"/>
      <c r="L21" s="771"/>
      <c r="M21" s="771"/>
      <c r="N21" s="771"/>
      <c r="O21" s="771"/>
      <c r="P21" s="771"/>
      <c r="Q21" s="772"/>
      <c r="R21" s="776"/>
      <c r="S21" s="725"/>
      <c r="T21" s="693"/>
      <c r="U21" s="694"/>
      <c r="V21" s="1262"/>
      <c r="W21" s="773"/>
      <c r="X21" s="773"/>
      <c r="Y21" s="773"/>
      <c r="Z21" s="773"/>
      <c r="AA21" s="773"/>
      <c r="AB21" s="773"/>
      <c r="AC21" s="773"/>
      <c r="AD21" s="773"/>
      <c r="AE21" s="773"/>
      <c r="AF21" s="773"/>
      <c r="AG21" s="773"/>
      <c r="AH21" s="773"/>
      <c r="AI21" s="773"/>
      <c r="AJ21" s="773"/>
      <c r="AK21" s="816"/>
      <c r="AL21" s="816"/>
      <c r="AM21" s="725"/>
      <c r="AN21" s="695"/>
      <c r="AO21" s="884"/>
    </row>
    <row r="22" spans="1:43" ht="12" customHeight="1" x14ac:dyDescent="0.2">
      <c r="A22" s="693"/>
      <c r="B22" s="1259">
        <v>2</v>
      </c>
      <c r="C22" s="5523" t="s">
        <v>7702</v>
      </c>
      <c r="D22" s="5524"/>
      <c r="E22" s="5524"/>
      <c r="F22" s="5524"/>
      <c r="G22" s="5524"/>
      <c r="H22" s="5524"/>
      <c r="I22" s="5524"/>
      <c r="J22" s="5524"/>
      <c r="K22" s="5524"/>
      <c r="L22" s="5524"/>
      <c r="M22" s="5524"/>
      <c r="N22" s="5524"/>
      <c r="O22" s="5524"/>
      <c r="P22" s="5524"/>
      <c r="Q22" s="5525"/>
      <c r="R22" s="5526">
        <f>IF(C22="","",IF(ISNA(VLOOKUP(C22,'Tablas Técnicas'!$AD$6:$AJ$188,3,FALSE)),"-",VLOOKUP(C22,'Tablas Técnicas'!$AD$6:$AJ$188,3,FALSE)))</f>
        <v>0</v>
      </c>
      <c r="S22" s="780"/>
      <c r="T22" s="693"/>
      <c r="U22" s="693"/>
      <c r="V22" s="1259">
        <v>7</v>
      </c>
      <c r="W22" s="5523" t="s">
        <v>7702</v>
      </c>
      <c r="X22" s="5524"/>
      <c r="Y22" s="5524"/>
      <c r="Z22" s="5524"/>
      <c r="AA22" s="5524"/>
      <c r="AB22" s="5524"/>
      <c r="AC22" s="5524"/>
      <c r="AD22" s="5524"/>
      <c r="AE22" s="5524"/>
      <c r="AF22" s="5524"/>
      <c r="AG22" s="5524"/>
      <c r="AH22" s="5524"/>
      <c r="AI22" s="5524"/>
      <c r="AJ22" s="5524"/>
      <c r="AK22" s="5525"/>
      <c r="AL22" s="5526">
        <f>IF(W22="","",IF(ISNA(VLOOKUP(W22,'Tablas Técnicas'!$AD$6:$AJ$188,3,FALSE)),"-",VLOOKUP(W22,'Tablas Técnicas'!$AD$6:$AJ$188,3,FALSE)))</f>
        <v>0</v>
      </c>
      <c r="AM22" s="780"/>
      <c r="AN22" s="695"/>
      <c r="AO22" s="884"/>
    </row>
    <row r="23" spans="1:43" ht="12" customHeight="1" x14ac:dyDescent="0.2">
      <c r="A23" s="693"/>
      <c r="B23" s="1259"/>
      <c r="C23" s="786" t="s">
        <v>1627</v>
      </c>
      <c r="D23" s="787">
        <f>IF(C22="","",IF(ISNA(VLOOKUP(C22,'Tablas Técnicas'!$AD$6:$AJ$188,2,FALSE)),"-",VLOOKUP(C22,'Tablas Técnicas'!$AD$6:$AJ$188,2,FALSE)))</f>
        <v>1</v>
      </c>
      <c r="E23" s="788" t="s">
        <v>2165</v>
      </c>
      <c r="F23" s="5528"/>
      <c r="G23" s="5528"/>
      <c r="H23" s="5528"/>
      <c r="I23" s="5529" t="s">
        <v>3347</v>
      </c>
      <c r="J23" s="5529"/>
      <c r="K23" s="5529"/>
      <c r="L23" s="5530" t="str">
        <f>IF(C22="","",IF(ISNA(VLOOKUP(C22,'Tablas Técnicas'!$AD$6:$AJ$188,7,FALSE)),"-",VLOOKUP(C22,'Tablas Técnicas'!$AD$6:$AJ$188,7,FALSE)))</f>
        <v/>
      </c>
      <c r="M23" s="5530"/>
      <c r="N23" s="5530"/>
      <c r="O23" s="5530"/>
      <c r="P23" s="5530"/>
      <c r="Q23" s="5531"/>
      <c r="R23" s="5527"/>
      <c r="S23" s="725"/>
      <c r="T23" s="693"/>
      <c r="U23" s="693"/>
      <c r="V23" s="1259"/>
      <c r="W23" s="786" t="s">
        <v>1627</v>
      </c>
      <c r="X23" s="787">
        <f>IF(W22="","",IF(ISNA(VLOOKUP(W22,'Tablas Técnicas'!$AD$6:$AJ$188,2,FALSE)),"-",VLOOKUP(W22,'Tablas Técnicas'!$AD$6:$AJ$188,2,FALSE)))</f>
        <v>1</v>
      </c>
      <c r="Y23" s="788" t="s">
        <v>2165</v>
      </c>
      <c r="Z23" s="5528"/>
      <c r="AA23" s="5528"/>
      <c r="AB23" s="5528"/>
      <c r="AC23" s="5529" t="s">
        <v>3347</v>
      </c>
      <c r="AD23" s="5529"/>
      <c r="AE23" s="5529"/>
      <c r="AF23" s="5530" t="str">
        <f>IF(W22="","",IF(ISNA(VLOOKUP(W22,'Tablas Técnicas'!$AD$6:$AJ$188,7,FALSE)),"-",VLOOKUP(W22,'Tablas Técnicas'!$AD$6:$AJ$188,7,FALSE)))</f>
        <v/>
      </c>
      <c r="AG23" s="5530"/>
      <c r="AH23" s="5530"/>
      <c r="AI23" s="5530"/>
      <c r="AJ23" s="5530"/>
      <c r="AK23" s="5531"/>
      <c r="AL23" s="5527"/>
      <c r="AM23" s="725"/>
      <c r="AN23" s="695"/>
      <c r="AO23" s="884"/>
    </row>
    <row r="24" spans="1:43" ht="12" customHeight="1" x14ac:dyDescent="0.2">
      <c r="A24" s="693"/>
      <c r="B24" s="1259"/>
      <c r="C24" s="5532" t="str">
        <f>IF(C22="","",IF(ISNA(VLOOKUP(C22,'Tablas Técnicas'!$AD$6:$AJ$188,5,FALSE)),"-",VLOOKUP(C22,'Tablas Técnicas'!$AD$6:$AJ$188,5,FALSE)))</f>
        <v/>
      </c>
      <c r="D24" s="5533"/>
      <c r="E24" s="5533"/>
      <c r="F24" s="5533"/>
      <c r="G24" s="5533"/>
      <c r="H24" s="5533"/>
      <c r="I24" s="5533"/>
      <c r="J24" s="5533"/>
      <c r="K24" s="5533"/>
      <c r="L24" s="5533"/>
      <c r="M24" s="5533"/>
      <c r="N24" s="5533"/>
      <c r="O24" s="5533"/>
      <c r="P24" s="5533"/>
      <c r="Q24" s="5533"/>
      <c r="R24" s="5534"/>
      <c r="S24" s="793"/>
      <c r="T24" s="792"/>
      <c r="U24" s="693"/>
      <c r="V24" s="1259"/>
      <c r="W24" s="5532" t="str">
        <f>IF(W22="","",IF(ISNA(VLOOKUP(W22,'Tablas Técnicas'!$AD$6:$AJ$188,5,FALSE)),"-",VLOOKUP(W22,'Tablas Técnicas'!$AD$6:$AJ$188,5,FALSE)))</f>
        <v/>
      </c>
      <c r="X24" s="5533"/>
      <c r="Y24" s="5533"/>
      <c r="Z24" s="5533"/>
      <c r="AA24" s="5533"/>
      <c r="AB24" s="5533"/>
      <c r="AC24" s="5533"/>
      <c r="AD24" s="5533"/>
      <c r="AE24" s="5533"/>
      <c r="AF24" s="5533"/>
      <c r="AG24" s="5533"/>
      <c r="AH24" s="5533"/>
      <c r="AI24" s="5533"/>
      <c r="AJ24" s="5533"/>
      <c r="AK24" s="5533"/>
      <c r="AL24" s="5534"/>
      <c r="AM24" s="793"/>
      <c r="AN24" s="695"/>
      <c r="AO24" s="884"/>
    </row>
    <row r="25" spans="1:43" ht="12" customHeight="1" x14ac:dyDescent="0.2">
      <c r="A25" s="693"/>
      <c r="B25" s="1259"/>
      <c r="C25" s="5535"/>
      <c r="D25" s="5536"/>
      <c r="E25" s="5536"/>
      <c r="F25" s="5536"/>
      <c r="G25" s="5536"/>
      <c r="H25" s="5536"/>
      <c r="I25" s="5536"/>
      <c r="J25" s="5536"/>
      <c r="K25" s="5536"/>
      <c r="L25" s="5536"/>
      <c r="M25" s="5536"/>
      <c r="N25" s="5536"/>
      <c r="O25" s="5536"/>
      <c r="P25" s="5536"/>
      <c r="Q25" s="5536"/>
      <c r="R25" s="5537"/>
      <c r="S25" s="802"/>
      <c r="T25" s="792"/>
      <c r="U25" s="693"/>
      <c r="V25" s="1259"/>
      <c r="W25" s="5535"/>
      <c r="X25" s="5536"/>
      <c r="Y25" s="5536"/>
      <c r="Z25" s="5536"/>
      <c r="AA25" s="5536"/>
      <c r="AB25" s="5536"/>
      <c r="AC25" s="5536"/>
      <c r="AD25" s="5536"/>
      <c r="AE25" s="5536"/>
      <c r="AF25" s="5536"/>
      <c r="AG25" s="5536"/>
      <c r="AH25" s="5536"/>
      <c r="AI25" s="5536"/>
      <c r="AJ25" s="5536"/>
      <c r="AK25" s="5536"/>
      <c r="AL25" s="5537"/>
      <c r="AM25" s="802"/>
      <c r="AN25" s="695"/>
      <c r="AO25" s="884"/>
    </row>
    <row r="26" spans="1:43" ht="12" customHeight="1" x14ac:dyDescent="0.2">
      <c r="A26" s="693"/>
      <c r="B26" s="1259"/>
      <c r="C26" s="5535"/>
      <c r="D26" s="5536"/>
      <c r="E26" s="5536"/>
      <c r="F26" s="5536"/>
      <c r="G26" s="5536"/>
      <c r="H26" s="5536"/>
      <c r="I26" s="5536"/>
      <c r="J26" s="5536"/>
      <c r="K26" s="5536"/>
      <c r="L26" s="5536"/>
      <c r="M26" s="5536"/>
      <c r="N26" s="5536"/>
      <c r="O26" s="5536"/>
      <c r="P26" s="5536"/>
      <c r="Q26" s="5536"/>
      <c r="R26" s="5537"/>
      <c r="S26" s="802"/>
      <c r="T26" s="792"/>
      <c r="U26" s="693"/>
      <c r="V26" s="1259"/>
      <c r="W26" s="5535"/>
      <c r="X26" s="5536"/>
      <c r="Y26" s="5536"/>
      <c r="Z26" s="5536"/>
      <c r="AA26" s="5536"/>
      <c r="AB26" s="5536"/>
      <c r="AC26" s="5536"/>
      <c r="AD26" s="5536"/>
      <c r="AE26" s="5536"/>
      <c r="AF26" s="5536"/>
      <c r="AG26" s="5536"/>
      <c r="AH26" s="5536"/>
      <c r="AI26" s="5536"/>
      <c r="AJ26" s="5536"/>
      <c r="AK26" s="5536"/>
      <c r="AL26" s="5537"/>
      <c r="AM26" s="802"/>
      <c r="AN26" s="695"/>
      <c r="AO26" s="884"/>
    </row>
    <row r="27" spans="1:43" ht="12" customHeight="1" x14ac:dyDescent="0.2">
      <c r="A27" s="693"/>
      <c r="B27" s="1259"/>
      <c r="C27" s="5538"/>
      <c r="D27" s="5539"/>
      <c r="E27" s="5539"/>
      <c r="F27" s="5539"/>
      <c r="G27" s="5539"/>
      <c r="H27" s="5539"/>
      <c r="I27" s="5539"/>
      <c r="J27" s="5539"/>
      <c r="K27" s="5539"/>
      <c r="L27" s="5539"/>
      <c r="M27" s="5539"/>
      <c r="N27" s="5539"/>
      <c r="O27" s="5539"/>
      <c r="P27" s="5539"/>
      <c r="Q27" s="5539"/>
      <c r="R27" s="5540"/>
      <c r="S27" s="802"/>
      <c r="T27" s="792"/>
      <c r="U27" s="693"/>
      <c r="V27" s="1259"/>
      <c r="W27" s="5538"/>
      <c r="X27" s="5539"/>
      <c r="Y27" s="5539"/>
      <c r="Z27" s="5539"/>
      <c r="AA27" s="5539"/>
      <c r="AB27" s="5539"/>
      <c r="AC27" s="5539"/>
      <c r="AD27" s="5539"/>
      <c r="AE27" s="5539"/>
      <c r="AF27" s="5539"/>
      <c r="AG27" s="5539"/>
      <c r="AH27" s="5539"/>
      <c r="AI27" s="5539"/>
      <c r="AJ27" s="5539"/>
      <c r="AK27" s="5539"/>
      <c r="AL27" s="5540"/>
      <c r="AM27" s="802"/>
      <c r="AN27" s="695"/>
      <c r="AO27" s="884"/>
    </row>
    <row r="28" spans="1:43" ht="12" customHeight="1" x14ac:dyDescent="0.2">
      <c r="A28" s="693"/>
      <c r="B28" s="1263"/>
      <c r="C28" s="5541" t="str">
        <f>"Desventajas: "&amp;IF(C22="","",IF(ISNA(VLOOKUP(C22,'Tablas Técnicas'!$AD$6:$AJ$188,6,FALSE)),"-",VLOOKUP(C22,'Tablas Técnicas'!$AD$6:$AJ$188,6,FALSE)))</f>
        <v xml:space="preserve">Desventajas: </v>
      </c>
      <c r="D28" s="5542"/>
      <c r="E28" s="5542"/>
      <c r="F28" s="5542"/>
      <c r="G28" s="5542"/>
      <c r="H28" s="5542"/>
      <c r="I28" s="5542"/>
      <c r="J28" s="5542"/>
      <c r="K28" s="5542"/>
      <c r="L28" s="5542"/>
      <c r="M28" s="5542"/>
      <c r="N28" s="5543"/>
      <c r="O28" s="5547" t="s">
        <v>3367</v>
      </c>
      <c r="P28" s="5548"/>
      <c r="Q28" s="5548"/>
      <c r="R28" s="5549"/>
      <c r="S28" s="725"/>
      <c r="T28" s="693"/>
      <c r="U28" s="693"/>
      <c r="V28" s="1263"/>
      <c r="W28" s="5541" t="str">
        <f>"Desventajas: "&amp;IF(W22="","",IF(ISNA(VLOOKUP(W22,'Tablas Técnicas'!$AD$6:$AJ$188,6,FALSE)),"-",VLOOKUP(W22,'Tablas Técnicas'!$AD$6:$AJ$188,6,FALSE)))</f>
        <v xml:space="preserve">Desventajas: </v>
      </c>
      <c r="X28" s="5542"/>
      <c r="Y28" s="5542"/>
      <c r="Z28" s="5542"/>
      <c r="AA28" s="5542"/>
      <c r="AB28" s="5542"/>
      <c r="AC28" s="5542"/>
      <c r="AD28" s="5542"/>
      <c r="AE28" s="5542"/>
      <c r="AF28" s="5542"/>
      <c r="AG28" s="5542"/>
      <c r="AH28" s="5543"/>
      <c r="AI28" s="5547" t="s">
        <v>3367</v>
      </c>
      <c r="AJ28" s="5548"/>
      <c r="AK28" s="5548"/>
      <c r="AL28" s="5549"/>
      <c r="AM28" s="725"/>
      <c r="AN28" s="695"/>
      <c r="AO28" s="884"/>
    </row>
    <row r="29" spans="1:43" ht="12" customHeight="1" x14ac:dyDescent="0.2">
      <c r="A29" s="693"/>
      <c r="B29" s="1259"/>
      <c r="C29" s="5544"/>
      <c r="D29" s="5545"/>
      <c r="E29" s="5545"/>
      <c r="F29" s="5545"/>
      <c r="G29" s="5545"/>
      <c r="H29" s="5545"/>
      <c r="I29" s="5545"/>
      <c r="J29" s="5545"/>
      <c r="K29" s="5545"/>
      <c r="L29" s="5545"/>
      <c r="M29" s="5545"/>
      <c r="N29" s="5546"/>
      <c r="O29" s="5550"/>
      <c r="P29" s="5551"/>
      <c r="Q29" s="5551"/>
      <c r="R29" s="5552"/>
      <c r="S29" s="725"/>
      <c r="T29" s="693"/>
      <c r="U29" s="693"/>
      <c r="V29" s="1259"/>
      <c r="W29" s="5544"/>
      <c r="X29" s="5545"/>
      <c r="Y29" s="5545"/>
      <c r="Z29" s="5545"/>
      <c r="AA29" s="5545"/>
      <c r="AB29" s="5545"/>
      <c r="AC29" s="5545"/>
      <c r="AD29" s="5545"/>
      <c r="AE29" s="5545"/>
      <c r="AF29" s="5545"/>
      <c r="AG29" s="5545"/>
      <c r="AH29" s="5546"/>
      <c r="AI29" s="5550"/>
      <c r="AJ29" s="5551"/>
      <c r="AK29" s="5551"/>
      <c r="AL29" s="5552"/>
      <c r="AM29" s="725"/>
      <c r="AN29" s="695"/>
      <c r="AO29" s="884"/>
    </row>
    <row r="30" spans="1:43" ht="12" customHeight="1" x14ac:dyDescent="0.2">
      <c r="A30" s="693"/>
      <c r="B30" s="1263"/>
      <c r="C30" s="5559" t="str">
        <f>IF(C22="","",IF(ISNA(VLOOKUP(C22,'Tablas Técnicas'!$AD$6:$AJ$188,4,FALSE)),"-",VLOOKUP(C22,'Tablas Técnicas'!$AD$6:$AJ$188,4,FALSE)))</f>
        <v/>
      </c>
      <c r="D30" s="5560"/>
      <c r="E30" s="5560"/>
      <c r="F30" s="5560"/>
      <c r="G30" s="5560"/>
      <c r="H30" s="5560"/>
      <c r="I30" s="5560"/>
      <c r="J30" s="5560"/>
      <c r="K30" s="5560"/>
      <c r="L30" s="5560"/>
      <c r="M30" s="5560"/>
      <c r="N30" s="5560"/>
      <c r="O30" s="5553"/>
      <c r="P30" s="5554"/>
      <c r="Q30" s="5554"/>
      <c r="R30" s="5555"/>
      <c r="S30" s="725"/>
      <c r="T30" s="693"/>
      <c r="U30" s="693"/>
      <c r="V30" s="1263"/>
      <c r="W30" s="5559" t="str">
        <f>IF(W22="","",IF(ISNA(VLOOKUP(W22,'Tablas Técnicas'!$AD$6:$AJ$188,4,FALSE)),"-",VLOOKUP(W22,'Tablas Técnicas'!$AD$6:$AJ$188,4,FALSE)))</f>
        <v/>
      </c>
      <c r="X30" s="5560"/>
      <c r="Y30" s="5560"/>
      <c r="Z30" s="5560"/>
      <c r="AA30" s="5560"/>
      <c r="AB30" s="5560"/>
      <c r="AC30" s="5560"/>
      <c r="AD30" s="5560"/>
      <c r="AE30" s="5560"/>
      <c r="AF30" s="5560"/>
      <c r="AG30" s="5560"/>
      <c r="AH30" s="5560"/>
      <c r="AI30" s="5553"/>
      <c r="AJ30" s="5554"/>
      <c r="AK30" s="5554"/>
      <c r="AL30" s="5555"/>
      <c r="AM30" s="725"/>
      <c r="AN30" s="695"/>
      <c r="AO30" s="884"/>
    </row>
    <row r="31" spans="1:43" ht="12" customHeight="1" thickBot="1" x14ac:dyDescent="0.25">
      <c r="A31" s="693"/>
      <c r="B31" s="1259"/>
      <c r="C31" s="5561"/>
      <c r="D31" s="5562"/>
      <c r="E31" s="5562"/>
      <c r="F31" s="5562"/>
      <c r="G31" s="5562"/>
      <c r="H31" s="5562"/>
      <c r="I31" s="5562"/>
      <c r="J31" s="5562"/>
      <c r="K31" s="5562"/>
      <c r="L31" s="5562"/>
      <c r="M31" s="5562"/>
      <c r="N31" s="5562"/>
      <c r="O31" s="5556"/>
      <c r="P31" s="5557"/>
      <c r="Q31" s="5557"/>
      <c r="R31" s="5558"/>
      <c r="S31" s="725"/>
      <c r="T31" s="693"/>
      <c r="U31" s="693"/>
      <c r="V31" s="1259"/>
      <c r="W31" s="5561"/>
      <c r="X31" s="5562"/>
      <c r="Y31" s="5562"/>
      <c r="Z31" s="5562"/>
      <c r="AA31" s="5562"/>
      <c r="AB31" s="5562"/>
      <c r="AC31" s="5562"/>
      <c r="AD31" s="5562"/>
      <c r="AE31" s="5562"/>
      <c r="AF31" s="5562"/>
      <c r="AG31" s="5562"/>
      <c r="AH31" s="5562"/>
      <c r="AI31" s="5556"/>
      <c r="AJ31" s="5557"/>
      <c r="AK31" s="5557"/>
      <c r="AL31" s="5558"/>
      <c r="AM31" s="725"/>
      <c r="AN31" s="695"/>
      <c r="AO31" s="884"/>
    </row>
    <row r="32" spans="1:43" ht="12" customHeight="1" thickBot="1" x14ac:dyDescent="0.25">
      <c r="A32" s="693"/>
      <c r="B32" s="1262"/>
      <c r="C32" s="771"/>
      <c r="D32" s="771"/>
      <c r="E32" s="771"/>
      <c r="F32" s="771"/>
      <c r="G32" s="771"/>
      <c r="H32" s="771"/>
      <c r="I32" s="771"/>
      <c r="J32" s="771"/>
      <c r="K32" s="771"/>
      <c r="L32" s="771"/>
      <c r="M32" s="771"/>
      <c r="N32" s="771"/>
      <c r="O32" s="771"/>
      <c r="P32" s="771"/>
      <c r="Q32" s="771"/>
      <c r="R32" s="771"/>
      <c r="S32" s="725"/>
      <c r="T32" s="693"/>
      <c r="U32" s="694"/>
      <c r="V32" s="1262"/>
      <c r="W32" s="773"/>
      <c r="X32" s="820"/>
      <c r="Y32" s="820"/>
      <c r="Z32" s="820"/>
      <c r="AA32" s="820"/>
      <c r="AB32" s="820"/>
      <c r="AC32" s="820"/>
      <c r="AD32" s="820"/>
      <c r="AE32" s="820"/>
      <c r="AF32" s="816"/>
      <c r="AG32" s="816"/>
      <c r="AH32" s="816"/>
      <c r="AI32" s="816"/>
      <c r="AJ32" s="816"/>
      <c r="AK32" s="816"/>
      <c r="AL32" s="816"/>
      <c r="AM32" s="725"/>
      <c r="AN32" s="695"/>
      <c r="AO32" s="884"/>
    </row>
    <row r="33" spans="1:41" ht="12" customHeight="1" x14ac:dyDescent="0.2">
      <c r="A33" s="693"/>
      <c r="B33" s="1259">
        <v>3</v>
      </c>
      <c r="C33" s="5523" t="s">
        <v>7702</v>
      </c>
      <c r="D33" s="5524"/>
      <c r="E33" s="5524"/>
      <c r="F33" s="5524"/>
      <c r="G33" s="5524"/>
      <c r="H33" s="5524"/>
      <c r="I33" s="5524"/>
      <c r="J33" s="5524"/>
      <c r="K33" s="5524"/>
      <c r="L33" s="5524"/>
      <c r="M33" s="5524"/>
      <c r="N33" s="5524"/>
      <c r="O33" s="5524"/>
      <c r="P33" s="5524"/>
      <c r="Q33" s="5525"/>
      <c r="R33" s="5526">
        <f>IF(C33="","",IF(ISNA(VLOOKUP(C33,'Tablas Técnicas'!$AD$6:$AJ$188,3,FALSE)),"-",VLOOKUP(C33,'Tablas Técnicas'!$AD$6:$AJ$188,3,FALSE)))</f>
        <v>0</v>
      </c>
      <c r="S33" s="780"/>
      <c r="T33" s="693"/>
      <c r="U33" s="693"/>
      <c r="V33" s="1259">
        <v>8</v>
      </c>
      <c r="W33" s="5523" t="s">
        <v>7702</v>
      </c>
      <c r="X33" s="5524"/>
      <c r="Y33" s="5524"/>
      <c r="Z33" s="5524"/>
      <c r="AA33" s="5524"/>
      <c r="AB33" s="5524"/>
      <c r="AC33" s="5524"/>
      <c r="AD33" s="5524"/>
      <c r="AE33" s="5524"/>
      <c r="AF33" s="5524"/>
      <c r="AG33" s="5524"/>
      <c r="AH33" s="5524"/>
      <c r="AI33" s="5524"/>
      <c r="AJ33" s="5524"/>
      <c r="AK33" s="5525"/>
      <c r="AL33" s="5526">
        <f>IF(W33="","",IF(ISNA(VLOOKUP(W33,'Tablas Técnicas'!$AD$6:$AJ$188,3,FALSE)),"-",VLOOKUP(W33,'Tablas Técnicas'!$AD$6:$AJ$188,3,FALSE)))</f>
        <v>0</v>
      </c>
      <c r="AM33" s="780"/>
      <c r="AN33" s="695"/>
      <c r="AO33" s="884"/>
    </row>
    <row r="34" spans="1:41" ht="12" customHeight="1" x14ac:dyDescent="0.2">
      <c r="A34" s="693"/>
      <c r="B34" s="1259"/>
      <c r="C34" s="786" t="s">
        <v>1627</v>
      </c>
      <c r="D34" s="787">
        <f>IF(C33="","",IF(ISNA(VLOOKUP(C33,'Tablas Técnicas'!$AD$6:$AJ$188,2,FALSE)),"-",VLOOKUP(C33,'Tablas Técnicas'!$AD$6:$AJ$188,2,FALSE)))</f>
        <v>1</v>
      </c>
      <c r="E34" s="788" t="s">
        <v>2165</v>
      </c>
      <c r="F34" s="5528"/>
      <c r="G34" s="5528"/>
      <c r="H34" s="5528"/>
      <c r="I34" s="5529" t="s">
        <v>3347</v>
      </c>
      <c r="J34" s="5529"/>
      <c r="K34" s="5529"/>
      <c r="L34" s="5530" t="str">
        <f>IF(C33="","",IF(ISNA(VLOOKUP(C33,'Tablas Técnicas'!$AD$6:$AJ$188,7,FALSE)),"-",VLOOKUP(C33,'Tablas Técnicas'!$AD$6:$AJ$188,7,FALSE)))</f>
        <v/>
      </c>
      <c r="M34" s="5530"/>
      <c r="N34" s="5530"/>
      <c r="O34" s="5530"/>
      <c r="P34" s="5530"/>
      <c r="Q34" s="5531"/>
      <c r="R34" s="5527"/>
      <c r="S34" s="725"/>
      <c r="T34" s="693"/>
      <c r="U34" s="693"/>
      <c r="V34" s="1259"/>
      <c r="W34" s="786" t="s">
        <v>1627</v>
      </c>
      <c r="X34" s="787">
        <f>IF(W33="","",IF(ISNA(VLOOKUP(W33,'Tablas Técnicas'!$AD$6:$AJ$188,2,FALSE)),"-",VLOOKUP(W33,'Tablas Técnicas'!$AD$6:$AJ$188,2,FALSE)))</f>
        <v>1</v>
      </c>
      <c r="Y34" s="788" t="s">
        <v>2165</v>
      </c>
      <c r="Z34" s="5528"/>
      <c r="AA34" s="5528"/>
      <c r="AB34" s="5528"/>
      <c r="AC34" s="5529" t="s">
        <v>3347</v>
      </c>
      <c r="AD34" s="5529"/>
      <c r="AE34" s="5529"/>
      <c r="AF34" s="5530" t="str">
        <f>IF(W33="","",IF(ISNA(VLOOKUP(W33,'Tablas Técnicas'!$AD$6:$AJ$188,7,FALSE)),"-",VLOOKUP(W33,'Tablas Técnicas'!$AD$6:$AJ$188,7,FALSE)))</f>
        <v/>
      </c>
      <c r="AG34" s="5530"/>
      <c r="AH34" s="5530"/>
      <c r="AI34" s="5530"/>
      <c r="AJ34" s="5530"/>
      <c r="AK34" s="5531"/>
      <c r="AL34" s="5527"/>
      <c r="AM34" s="725"/>
      <c r="AN34" s="695"/>
      <c r="AO34" s="884"/>
    </row>
    <row r="35" spans="1:41" ht="12" customHeight="1" x14ac:dyDescent="0.2">
      <c r="A35" s="693"/>
      <c r="B35" s="1259"/>
      <c r="C35" s="5532" t="str">
        <f>IF(C33="","",IF(ISNA(VLOOKUP(C33,'Tablas Técnicas'!$AD$6:$AJ$188,5,FALSE)),"-",VLOOKUP(C33,'Tablas Técnicas'!$AD$6:$AJ$188,5,FALSE)))</f>
        <v/>
      </c>
      <c r="D35" s="5533"/>
      <c r="E35" s="5533"/>
      <c r="F35" s="5533"/>
      <c r="G35" s="5533"/>
      <c r="H35" s="5533"/>
      <c r="I35" s="5533"/>
      <c r="J35" s="5533"/>
      <c r="K35" s="5533"/>
      <c r="L35" s="5533"/>
      <c r="M35" s="5533"/>
      <c r="N35" s="5533"/>
      <c r="O35" s="5533"/>
      <c r="P35" s="5533"/>
      <c r="Q35" s="5533"/>
      <c r="R35" s="5534"/>
      <c r="S35" s="793"/>
      <c r="T35" s="792"/>
      <c r="U35" s="693"/>
      <c r="V35" s="1259"/>
      <c r="W35" s="5532" t="str">
        <f>IF(W33="","",IF(ISNA(VLOOKUP(W33,'Tablas Técnicas'!$AD$6:$AJ$188,5,FALSE)),"-",VLOOKUP(W33,'Tablas Técnicas'!$AD$6:$AJ$188,5,FALSE)))</f>
        <v/>
      </c>
      <c r="X35" s="5533"/>
      <c r="Y35" s="5533"/>
      <c r="Z35" s="5533"/>
      <c r="AA35" s="5533"/>
      <c r="AB35" s="5533"/>
      <c r="AC35" s="5533"/>
      <c r="AD35" s="5533"/>
      <c r="AE35" s="5533"/>
      <c r="AF35" s="5533"/>
      <c r="AG35" s="5533"/>
      <c r="AH35" s="5533"/>
      <c r="AI35" s="5533"/>
      <c r="AJ35" s="5533"/>
      <c r="AK35" s="5533"/>
      <c r="AL35" s="5534"/>
      <c r="AM35" s="793"/>
      <c r="AN35" s="695"/>
      <c r="AO35" s="884"/>
    </row>
    <row r="36" spans="1:41" ht="12" customHeight="1" x14ac:dyDescent="0.2">
      <c r="A36" s="693"/>
      <c r="B36" s="1259"/>
      <c r="C36" s="5535"/>
      <c r="D36" s="5536"/>
      <c r="E36" s="5536"/>
      <c r="F36" s="5536"/>
      <c r="G36" s="5536"/>
      <c r="H36" s="5536"/>
      <c r="I36" s="5536"/>
      <c r="J36" s="5536"/>
      <c r="K36" s="5536"/>
      <c r="L36" s="5536"/>
      <c r="M36" s="5536"/>
      <c r="N36" s="5536"/>
      <c r="O36" s="5536"/>
      <c r="P36" s="5536"/>
      <c r="Q36" s="5536"/>
      <c r="R36" s="5537"/>
      <c r="S36" s="802"/>
      <c r="T36" s="792"/>
      <c r="U36" s="693"/>
      <c r="V36" s="1259"/>
      <c r="W36" s="5535"/>
      <c r="X36" s="5536"/>
      <c r="Y36" s="5536"/>
      <c r="Z36" s="5536"/>
      <c r="AA36" s="5536"/>
      <c r="AB36" s="5536"/>
      <c r="AC36" s="5536"/>
      <c r="AD36" s="5536"/>
      <c r="AE36" s="5536"/>
      <c r="AF36" s="5536"/>
      <c r="AG36" s="5536"/>
      <c r="AH36" s="5536"/>
      <c r="AI36" s="5536"/>
      <c r="AJ36" s="5536"/>
      <c r="AK36" s="5536"/>
      <c r="AL36" s="5537"/>
      <c r="AM36" s="802"/>
      <c r="AN36" s="695"/>
      <c r="AO36" s="884"/>
    </row>
    <row r="37" spans="1:41" ht="12" customHeight="1" x14ac:dyDescent="0.2">
      <c r="A37" s="693"/>
      <c r="B37" s="1259"/>
      <c r="C37" s="5535"/>
      <c r="D37" s="5536"/>
      <c r="E37" s="5536"/>
      <c r="F37" s="5536"/>
      <c r="G37" s="5536"/>
      <c r="H37" s="5536"/>
      <c r="I37" s="5536"/>
      <c r="J37" s="5536"/>
      <c r="K37" s="5536"/>
      <c r="L37" s="5536"/>
      <c r="M37" s="5536"/>
      <c r="N37" s="5536"/>
      <c r="O37" s="5536"/>
      <c r="P37" s="5536"/>
      <c r="Q37" s="5536"/>
      <c r="R37" s="5537"/>
      <c r="S37" s="802"/>
      <c r="T37" s="792"/>
      <c r="U37" s="693"/>
      <c r="V37" s="1259"/>
      <c r="W37" s="5535"/>
      <c r="X37" s="5536"/>
      <c r="Y37" s="5536"/>
      <c r="Z37" s="5536"/>
      <c r="AA37" s="5536"/>
      <c r="AB37" s="5536"/>
      <c r="AC37" s="5536"/>
      <c r="AD37" s="5536"/>
      <c r="AE37" s="5536"/>
      <c r="AF37" s="5536"/>
      <c r="AG37" s="5536"/>
      <c r="AH37" s="5536"/>
      <c r="AI37" s="5536"/>
      <c r="AJ37" s="5536"/>
      <c r="AK37" s="5536"/>
      <c r="AL37" s="5537"/>
      <c r="AM37" s="802"/>
      <c r="AN37" s="695"/>
      <c r="AO37" s="884"/>
    </row>
    <row r="38" spans="1:41" ht="12" customHeight="1" x14ac:dyDescent="0.2">
      <c r="A38" s="693"/>
      <c r="B38" s="1259"/>
      <c r="C38" s="5538"/>
      <c r="D38" s="5539"/>
      <c r="E38" s="5539"/>
      <c r="F38" s="5539"/>
      <c r="G38" s="5539"/>
      <c r="H38" s="5539"/>
      <c r="I38" s="5539"/>
      <c r="J38" s="5539"/>
      <c r="K38" s="5539"/>
      <c r="L38" s="5539"/>
      <c r="M38" s="5539"/>
      <c r="N38" s="5539"/>
      <c r="O38" s="5539"/>
      <c r="P38" s="5539"/>
      <c r="Q38" s="5539"/>
      <c r="R38" s="5540"/>
      <c r="S38" s="802"/>
      <c r="T38" s="792"/>
      <c r="U38" s="693"/>
      <c r="V38" s="1259"/>
      <c r="W38" s="5538"/>
      <c r="X38" s="5539"/>
      <c r="Y38" s="5539"/>
      <c r="Z38" s="5539"/>
      <c r="AA38" s="5539"/>
      <c r="AB38" s="5539"/>
      <c r="AC38" s="5539"/>
      <c r="AD38" s="5539"/>
      <c r="AE38" s="5539"/>
      <c r="AF38" s="5539"/>
      <c r="AG38" s="5539"/>
      <c r="AH38" s="5539"/>
      <c r="AI38" s="5539"/>
      <c r="AJ38" s="5539"/>
      <c r="AK38" s="5539"/>
      <c r="AL38" s="5540"/>
      <c r="AM38" s="802"/>
      <c r="AN38" s="695"/>
      <c r="AO38" s="884"/>
    </row>
    <row r="39" spans="1:41" ht="12" customHeight="1" x14ac:dyDescent="0.2">
      <c r="A39" s="693"/>
      <c r="B39" s="1263"/>
      <c r="C39" s="5541" t="str">
        <f>"Desventajas: "&amp;IF(C33="","",IF(ISNA(VLOOKUP(C33,'Tablas Técnicas'!$AD$6:$AJ$188,6,FALSE)),"-",VLOOKUP(C33,'Tablas Técnicas'!$AD$6:$AJ$188,6,FALSE)))</f>
        <v xml:space="preserve">Desventajas: </v>
      </c>
      <c r="D39" s="5542"/>
      <c r="E39" s="5542"/>
      <c r="F39" s="5542"/>
      <c r="G39" s="5542"/>
      <c r="H39" s="5542"/>
      <c r="I39" s="5542"/>
      <c r="J39" s="5542"/>
      <c r="K39" s="5542"/>
      <c r="L39" s="5542"/>
      <c r="M39" s="5542"/>
      <c r="N39" s="5543"/>
      <c r="O39" s="5547" t="s">
        <v>3367</v>
      </c>
      <c r="P39" s="5548"/>
      <c r="Q39" s="5548"/>
      <c r="R39" s="5549"/>
      <c r="S39" s="725"/>
      <c r="T39" s="693"/>
      <c r="U39" s="693"/>
      <c r="V39" s="1263"/>
      <c r="W39" s="5541" t="str">
        <f>"Desventajas: "&amp;IF(W33="","",IF(ISNA(VLOOKUP(W33,'Tablas Técnicas'!$AD$6:$AJ$188,6,FALSE)),"-",VLOOKUP(W33,'Tablas Técnicas'!$AD$6:$AJ$188,6,FALSE)))</f>
        <v xml:space="preserve">Desventajas: </v>
      </c>
      <c r="X39" s="5542"/>
      <c r="Y39" s="5542"/>
      <c r="Z39" s="5542"/>
      <c r="AA39" s="5542"/>
      <c r="AB39" s="5542"/>
      <c r="AC39" s="5542"/>
      <c r="AD39" s="5542"/>
      <c r="AE39" s="5542"/>
      <c r="AF39" s="5542"/>
      <c r="AG39" s="5542"/>
      <c r="AH39" s="5543"/>
      <c r="AI39" s="5547" t="s">
        <v>3367</v>
      </c>
      <c r="AJ39" s="5548"/>
      <c r="AK39" s="5548"/>
      <c r="AL39" s="5549"/>
      <c r="AM39" s="725"/>
      <c r="AN39" s="695"/>
      <c r="AO39" s="884"/>
    </row>
    <row r="40" spans="1:41" ht="12" customHeight="1" x14ac:dyDescent="0.2">
      <c r="A40" s="693"/>
      <c r="B40" s="1259"/>
      <c r="C40" s="5544"/>
      <c r="D40" s="5545"/>
      <c r="E40" s="5545"/>
      <c r="F40" s="5545"/>
      <c r="G40" s="5545"/>
      <c r="H40" s="5545"/>
      <c r="I40" s="5545"/>
      <c r="J40" s="5545"/>
      <c r="K40" s="5545"/>
      <c r="L40" s="5545"/>
      <c r="M40" s="5545"/>
      <c r="N40" s="5546"/>
      <c r="O40" s="5550"/>
      <c r="P40" s="5551"/>
      <c r="Q40" s="5551"/>
      <c r="R40" s="5552"/>
      <c r="S40" s="725"/>
      <c r="T40" s="693"/>
      <c r="U40" s="693"/>
      <c r="V40" s="1259"/>
      <c r="W40" s="5544"/>
      <c r="X40" s="5545"/>
      <c r="Y40" s="5545"/>
      <c r="Z40" s="5545"/>
      <c r="AA40" s="5545"/>
      <c r="AB40" s="5545"/>
      <c r="AC40" s="5545"/>
      <c r="AD40" s="5545"/>
      <c r="AE40" s="5545"/>
      <c r="AF40" s="5545"/>
      <c r="AG40" s="5545"/>
      <c r="AH40" s="5546"/>
      <c r="AI40" s="5550"/>
      <c r="AJ40" s="5551"/>
      <c r="AK40" s="5551"/>
      <c r="AL40" s="5552"/>
      <c r="AM40" s="725"/>
      <c r="AN40" s="695"/>
      <c r="AO40" s="884"/>
    </row>
    <row r="41" spans="1:41" ht="12" customHeight="1" x14ac:dyDescent="0.2">
      <c r="A41" s="693"/>
      <c r="B41" s="1263"/>
      <c r="C41" s="5559" t="str">
        <f>IF(C33="","",IF(ISNA(VLOOKUP(C33,'Tablas Técnicas'!$AD$6:$AJ$188,4,FALSE)),"-",VLOOKUP(C33,'Tablas Técnicas'!$AD$6:$AJ$188,4,FALSE)))</f>
        <v/>
      </c>
      <c r="D41" s="5560"/>
      <c r="E41" s="5560"/>
      <c r="F41" s="5560"/>
      <c r="G41" s="5560"/>
      <c r="H41" s="5560"/>
      <c r="I41" s="5560"/>
      <c r="J41" s="5560"/>
      <c r="K41" s="5560"/>
      <c r="L41" s="5560"/>
      <c r="M41" s="5560"/>
      <c r="N41" s="5560"/>
      <c r="O41" s="5553"/>
      <c r="P41" s="5554"/>
      <c r="Q41" s="5554"/>
      <c r="R41" s="5555"/>
      <c r="S41" s="725"/>
      <c r="T41" s="693"/>
      <c r="U41" s="693"/>
      <c r="V41" s="1263"/>
      <c r="W41" s="5559" t="str">
        <f>IF(W33="","",IF(ISNA(VLOOKUP(W33,'Tablas Técnicas'!$AD$6:$AJ$188,4,FALSE)),"-",VLOOKUP(W33,'Tablas Técnicas'!$AD$6:$AJ$188,4,FALSE)))</f>
        <v/>
      </c>
      <c r="X41" s="5560"/>
      <c r="Y41" s="5560"/>
      <c r="Z41" s="5560"/>
      <c r="AA41" s="5560"/>
      <c r="AB41" s="5560"/>
      <c r="AC41" s="5560"/>
      <c r="AD41" s="5560"/>
      <c r="AE41" s="5560"/>
      <c r="AF41" s="5560"/>
      <c r="AG41" s="5560"/>
      <c r="AH41" s="5560"/>
      <c r="AI41" s="5553"/>
      <c r="AJ41" s="5554"/>
      <c r="AK41" s="5554"/>
      <c r="AL41" s="5555"/>
      <c r="AM41" s="725"/>
      <c r="AN41" s="695"/>
      <c r="AO41" s="884"/>
    </row>
    <row r="42" spans="1:41" ht="12" customHeight="1" thickBot="1" x14ac:dyDescent="0.25">
      <c r="A42" s="693"/>
      <c r="B42" s="1259"/>
      <c r="C42" s="5561"/>
      <c r="D42" s="5562"/>
      <c r="E42" s="5562"/>
      <c r="F42" s="5562"/>
      <c r="G42" s="5562"/>
      <c r="H42" s="5562"/>
      <c r="I42" s="5562"/>
      <c r="J42" s="5562"/>
      <c r="K42" s="5562"/>
      <c r="L42" s="5562"/>
      <c r="M42" s="5562"/>
      <c r="N42" s="5562"/>
      <c r="O42" s="5556"/>
      <c r="P42" s="5557"/>
      <c r="Q42" s="5557"/>
      <c r="R42" s="5558"/>
      <c r="S42" s="725"/>
      <c r="T42" s="693"/>
      <c r="U42" s="693"/>
      <c r="V42" s="1259"/>
      <c r="W42" s="5561"/>
      <c r="X42" s="5562"/>
      <c r="Y42" s="5562"/>
      <c r="Z42" s="5562"/>
      <c r="AA42" s="5562"/>
      <c r="AB42" s="5562"/>
      <c r="AC42" s="5562"/>
      <c r="AD42" s="5562"/>
      <c r="AE42" s="5562"/>
      <c r="AF42" s="5562"/>
      <c r="AG42" s="5562"/>
      <c r="AH42" s="5562"/>
      <c r="AI42" s="5556"/>
      <c r="AJ42" s="5557"/>
      <c r="AK42" s="5557"/>
      <c r="AL42" s="5558"/>
      <c r="AM42" s="725"/>
      <c r="AN42" s="695"/>
      <c r="AO42" s="884"/>
    </row>
    <row r="43" spans="1:41" ht="12" customHeight="1" thickBot="1" x14ac:dyDescent="0.25">
      <c r="A43" s="693"/>
      <c r="B43" s="1262"/>
      <c r="C43" s="771"/>
      <c r="D43" s="771"/>
      <c r="E43" s="771"/>
      <c r="F43" s="771"/>
      <c r="G43" s="771"/>
      <c r="H43" s="771"/>
      <c r="I43" s="771"/>
      <c r="J43" s="771"/>
      <c r="K43" s="771"/>
      <c r="L43" s="771"/>
      <c r="M43" s="771"/>
      <c r="N43" s="771"/>
      <c r="O43" s="771"/>
      <c r="P43" s="771"/>
      <c r="Q43" s="771"/>
      <c r="R43" s="771"/>
      <c r="S43" s="725"/>
      <c r="T43" s="693"/>
      <c r="U43" s="694"/>
      <c r="V43" s="1262"/>
      <c r="W43" s="773"/>
      <c r="X43" s="773"/>
      <c r="Y43" s="773"/>
      <c r="Z43" s="773"/>
      <c r="AA43" s="773"/>
      <c r="AB43" s="773"/>
      <c r="AC43" s="773"/>
      <c r="AD43" s="773"/>
      <c r="AE43" s="773"/>
      <c r="AF43" s="773"/>
      <c r="AG43" s="773"/>
      <c r="AH43" s="773"/>
      <c r="AI43" s="773"/>
      <c r="AJ43" s="773"/>
      <c r="AK43" s="773"/>
      <c r="AL43" s="816"/>
      <c r="AM43" s="725"/>
      <c r="AN43" s="695"/>
      <c r="AO43" s="884"/>
    </row>
    <row r="44" spans="1:41" ht="12" customHeight="1" x14ac:dyDescent="0.2">
      <c r="A44" s="693"/>
      <c r="B44" s="1259">
        <v>4</v>
      </c>
      <c r="C44" s="5523" t="s">
        <v>7702</v>
      </c>
      <c r="D44" s="5524"/>
      <c r="E44" s="5524"/>
      <c r="F44" s="5524"/>
      <c r="G44" s="5524"/>
      <c r="H44" s="5524"/>
      <c r="I44" s="5524"/>
      <c r="J44" s="5524"/>
      <c r="K44" s="5524"/>
      <c r="L44" s="5524"/>
      <c r="M44" s="5524"/>
      <c r="N44" s="5524"/>
      <c r="O44" s="5524"/>
      <c r="P44" s="5524"/>
      <c r="Q44" s="5525"/>
      <c r="R44" s="5526">
        <f>IF(C44="","",IF(ISNA(VLOOKUP(C44,'Tablas Técnicas'!$AD$6:$AJ$188,3,FALSE)),"-",VLOOKUP(C44,'Tablas Técnicas'!$AD$6:$AJ$188,3,FALSE)))</f>
        <v>0</v>
      </c>
      <c r="S44" s="780"/>
      <c r="T44" s="693"/>
      <c r="U44" s="693"/>
      <c r="V44" s="1259">
        <v>9</v>
      </c>
      <c r="W44" s="5523" t="s">
        <v>7702</v>
      </c>
      <c r="X44" s="5524"/>
      <c r="Y44" s="5524"/>
      <c r="Z44" s="5524"/>
      <c r="AA44" s="5524"/>
      <c r="AB44" s="5524"/>
      <c r="AC44" s="5524"/>
      <c r="AD44" s="5524"/>
      <c r="AE44" s="5524"/>
      <c r="AF44" s="5524"/>
      <c r="AG44" s="5524"/>
      <c r="AH44" s="5524"/>
      <c r="AI44" s="5524"/>
      <c r="AJ44" s="5524"/>
      <c r="AK44" s="5525"/>
      <c r="AL44" s="5526">
        <f>IF(W44="","",IF(ISNA(VLOOKUP(W44,'Tablas Técnicas'!$AD$6:$AJ$188,3,FALSE)),"-",VLOOKUP(W44,'Tablas Técnicas'!$AD$6:$AJ$188,3,FALSE)))</f>
        <v>0</v>
      </c>
      <c r="AM44" s="780"/>
      <c r="AN44" s="695"/>
      <c r="AO44" s="884"/>
    </row>
    <row r="45" spans="1:41" ht="12" customHeight="1" x14ac:dyDescent="0.2">
      <c r="A45" s="693"/>
      <c r="B45" s="1259"/>
      <c r="C45" s="786" t="s">
        <v>1627</v>
      </c>
      <c r="D45" s="787">
        <f>IF(C44="","",IF(ISNA(VLOOKUP(C44,'Tablas Técnicas'!$AD$6:$AJ$188,2,FALSE)),"-",VLOOKUP(C44,'Tablas Técnicas'!$AD$6:$AJ$188,2,FALSE)))</f>
        <v>1</v>
      </c>
      <c r="E45" s="788" t="s">
        <v>2165</v>
      </c>
      <c r="F45" s="5528"/>
      <c r="G45" s="5528"/>
      <c r="H45" s="5528"/>
      <c r="I45" s="5529" t="s">
        <v>3347</v>
      </c>
      <c r="J45" s="5529"/>
      <c r="K45" s="5529"/>
      <c r="L45" s="5530" t="str">
        <f>IF(C44="","",IF(ISNA(VLOOKUP(C44,'Tablas Técnicas'!$AD$6:$AJ$188,7,FALSE)),"-",VLOOKUP(C44,'Tablas Técnicas'!$AD$6:$AJ$188,7,FALSE)))</f>
        <v/>
      </c>
      <c r="M45" s="5530"/>
      <c r="N45" s="5530"/>
      <c r="O45" s="5530"/>
      <c r="P45" s="5530"/>
      <c r="Q45" s="5531"/>
      <c r="R45" s="5527"/>
      <c r="S45" s="725"/>
      <c r="T45" s="693"/>
      <c r="U45" s="693"/>
      <c r="V45" s="1259"/>
      <c r="W45" s="786" t="s">
        <v>1627</v>
      </c>
      <c r="X45" s="787">
        <f>IF(W44="","",IF(ISNA(VLOOKUP(W44,'Tablas Técnicas'!$AD$6:$AJ$188,2,FALSE)),"-",VLOOKUP(W44,'Tablas Técnicas'!$AD$6:$AJ$188,2,FALSE)))</f>
        <v>1</v>
      </c>
      <c r="Y45" s="788" t="s">
        <v>2165</v>
      </c>
      <c r="Z45" s="5528"/>
      <c r="AA45" s="5528"/>
      <c r="AB45" s="5528"/>
      <c r="AC45" s="5529" t="s">
        <v>3347</v>
      </c>
      <c r="AD45" s="5529"/>
      <c r="AE45" s="5529"/>
      <c r="AF45" s="5530" t="str">
        <f>IF(W44="","",IF(ISNA(VLOOKUP(W44,'Tablas Técnicas'!$AD$6:$AJ$188,7,FALSE)),"-",VLOOKUP(W44,'Tablas Técnicas'!$AD$6:$AJ$188,7,FALSE)))</f>
        <v/>
      </c>
      <c r="AG45" s="5530"/>
      <c r="AH45" s="5530"/>
      <c r="AI45" s="5530"/>
      <c r="AJ45" s="5530"/>
      <c r="AK45" s="5531"/>
      <c r="AL45" s="5527"/>
      <c r="AM45" s="725"/>
      <c r="AN45" s="695"/>
      <c r="AO45" s="884"/>
    </row>
    <row r="46" spans="1:41" ht="12" customHeight="1" x14ac:dyDescent="0.2">
      <c r="A46" s="693"/>
      <c r="B46" s="1259"/>
      <c r="C46" s="5532" t="str">
        <f>IF(C44="","",IF(ISNA(VLOOKUP(C44,'Tablas Técnicas'!$AD$6:$AJ$188,5,FALSE)),"-",VLOOKUP(C44,'Tablas Técnicas'!$AD$6:$AJ$188,5,FALSE)))</f>
        <v/>
      </c>
      <c r="D46" s="5533"/>
      <c r="E46" s="5533"/>
      <c r="F46" s="5533"/>
      <c r="G46" s="5533"/>
      <c r="H46" s="5533"/>
      <c r="I46" s="5533"/>
      <c r="J46" s="5533"/>
      <c r="K46" s="5533"/>
      <c r="L46" s="5533"/>
      <c r="M46" s="5533"/>
      <c r="N46" s="5533"/>
      <c r="O46" s="5533"/>
      <c r="P46" s="5533"/>
      <c r="Q46" s="5533"/>
      <c r="R46" s="5534"/>
      <c r="S46" s="793"/>
      <c r="T46" s="792"/>
      <c r="U46" s="693"/>
      <c r="V46" s="1259"/>
      <c r="W46" s="5532" t="str">
        <f>IF(W44="","",IF(ISNA(VLOOKUP(W44,'Tablas Técnicas'!$AD$6:$AJ$188,5,FALSE)),"-",VLOOKUP(W44,'Tablas Técnicas'!$AD$6:$AJ$188,5,FALSE)))</f>
        <v/>
      </c>
      <c r="X46" s="5533"/>
      <c r="Y46" s="5533"/>
      <c r="Z46" s="5533"/>
      <c r="AA46" s="5533"/>
      <c r="AB46" s="5533"/>
      <c r="AC46" s="5533"/>
      <c r="AD46" s="5533"/>
      <c r="AE46" s="5533"/>
      <c r="AF46" s="5533"/>
      <c r="AG46" s="5533"/>
      <c r="AH46" s="5533"/>
      <c r="AI46" s="5533"/>
      <c r="AJ46" s="5533"/>
      <c r="AK46" s="5533"/>
      <c r="AL46" s="5534"/>
      <c r="AM46" s="793"/>
      <c r="AN46" s="695"/>
      <c r="AO46" s="884"/>
    </row>
    <row r="47" spans="1:41" ht="12" customHeight="1" x14ac:dyDescent="0.2">
      <c r="A47" s="693"/>
      <c r="B47" s="1259"/>
      <c r="C47" s="5535"/>
      <c r="D47" s="5536"/>
      <c r="E47" s="5536"/>
      <c r="F47" s="5536"/>
      <c r="G47" s="5536"/>
      <c r="H47" s="5536"/>
      <c r="I47" s="5536"/>
      <c r="J47" s="5536"/>
      <c r="K47" s="5536"/>
      <c r="L47" s="5536"/>
      <c r="M47" s="5536"/>
      <c r="N47" s="5536"/>
      <c r="O47" s="5536"/>
      <c r="P47" s="5536"/>
      <c r="Q47" s="5536"/>
      <c r="R47" s="5537"/>
      <c r="S47" s="802"/>
      <c r="T47" s="792"/>
      <c r="U47" s="693"/>
      <c r="V47" s="1259"/>
      <c r="W47" s="5535"/>
      <c r="X47" s="5536"/>
      <c r="Y47" s="5536"/>
      <c r="Z47" s="5536"/>
      <c r="AA47" s="5536"/>
      <c r="AB47" s="5536"/>
      <c r="AC47" s="5536"/>
      <c r="AD47" s="5536"/>
      <c r="AE47" s="5536"/>
      <c r="AF47" s="5536"/>
      <c r="AG47" s="5536"/>
      <c r="AH47" s="5536"/>
      <c r="AI47" s="5536"/>
      <c r="AJ47" s="5536"/>
      <c r="AK47" s="5536"/>
      <c r="AL47" s="5537"/>
      <c r="AM47" s="802"/>
      <c r="AN47" s="695"/>
      <c r="AO47" s="884"/>
    </row>
    <row r="48" spans="1:41" ht="12" customHeight="1" x14ac:dyDescent="0.2">
      <c r="A48" s="693"/>
      <c r="B48" s="1259"/>
      <c r="C48" s="5535"/>
      <c r="D48" s="5536"/>
      <c r="E48" s="5536"/>
      <c r="F48" s="5536"/>
      <c r="G48" s="5536"/>
      <c r="H48" s="5536"/>
      <c r="I48" s="5536"/>
      <c r="J48" s="5536"/>
      <c r="K48" s="5536"/>
      <c r="L48" s="5536"/>
      <c r="M48" s="5536"/>
      <c r="N48" s="5536"/>
      <c r="O48" s="5536"/>
      <c r="P48" s="5536"/>
      <c r="Q48" s="5536"/>
      <c r="R48" s="5537"/>
      <c r="S48" s="802"/>
      <c r="T48" s="792"/>
      <c r="U48" s="693"/>
      <c r="V48" s="1259"/>
      <c r="W48" s="5535"/>
      <c r="X48" s="5536"/>
      <c r="Y48" s="5536"/>
      <c r="Z48" s="5536"/>
      <c r="AA48" s="5536"/>
      <c r="AB48" s="5536"/>
      <c r="AC48" s="5536"/>
      <c r="AD48" s="5536"/>
      <c r="AE48" s="5536"/>
      <c r="AF48" s="5536"/>
      <c r="AG48" s="5536"/>
      <c r="AH48" s="5536"/>
      <c r="AI48" s="5536"/>
      <c r="AJ48" s="5536"/>
      <c r="AK48" s="5536"/>
      <c r="AL48" s="5537"/>
      <c r="AM48" s="802"/>
      <c r="AN48" s="695"/>
      <c r="AO48" s="884"/>
    </row>
    <row r="49" spans="1:41" ht="12" customHeight="1" x14ac:dyDescent="0.2">
      <c r="A49" s="693"/>
      <c r="B49" s="1259"/>
      <c r="C49" s="5538"/>
      <c r="D49" s="5539"/>
      <c r="E49" s="5539"/>
      <c r="F49" s="5539"/>
      <c r="G49" s="5539"/>
      <c r="H49" s="5539"/>
      <c r="I49" s="5539"/>
      <c r="J49" s="5539"/>
      <c r="K49" s="5539"/>
      <c r="L49" s="5539"/>
      <c r="M49" s="5539"/>
      <c r="N49" s="5539"/>
      <c r="O49" s="5539"/>
      <c r="P49" s="5539"/>
      <c r="Q49" s="5539"/>
      <c r="R49" s="5540"/>
      <c r="S49" s="802"/>
      <c r="T49" s="792"/>
      <c r="U49" s="693"/>
      <c r="V49" s="1259"/>
      <c r="W49" s="5538"/>
      <c r="X49" s="5539"/>
      <c r="Y49" s="5539"/>
      <c r="Z49" s="5539"/>
      <c r="AA49" s="5539"/>
      <c r="AB49" s="5539"/>
      <c r="AC49" s="5539"/>
      <c r="AD49" s="5539"/>
      <c r="AE49" s="5539"/>
      <c r="AF49" s="5539"/>
      <c r="AG49" s="5539"/>
      <c r="AH49" s="5539"/>
      <c r="AI49" s="5539"/>
      <c r="AJ49" s="5539"/>
      <c r="AK49" s="5539"/>
      <c r="AL49" s="5540"/>
      <c r="AM49" s="802"/>
      <c r="AN49" s="695"/>
      <c r="AO49" s="884"/>
    </row>
    <row r="50" spans="1:41" ht="12" customHeight="1" x14ac:dyDescent="0.2">
      <c r="A50" s="693"/>
      <c r="B50" s="1263"/>
      <c r="C50" s="5541" t="str">
        <f>"Desventajas: "&amp;IF(C44="","",IF(ISNA(VLOOKUP(C44,'Tablas Técnicas'!$AD$6:$AJ$188,6,FALSE)),"-",VLOOKUP(C44,'Tablas Técnicas'!$AD$6:$AJ$188,6,FALSE)))</f>
        <v xml:space="preserve">Desventajas: </v>
      </c>
      <c r="D50" s="5542"/>
      <c r="E50" s="5542"/>
      <c r="F50" s="5542"/>
      <c r="G50" s="5542"/>
      <c r="H50" s="5542"/>
      <c r="I50" s="5542"/>
      <c r="J50" s="5542"/>
      <c r="K50" s="5542"/>
      <c r="L50" s="5542"/>
      <c r="M50" s="5542"/>
      <c r="N50" s="5543"/>
      <c r="O50" s="5547" t="s">
        <v>3367</v>
      </c>
      <c r="P50" s="5548"/>
      <c r="Q50" s="5548"/>
      <c r="R50" s="5549"/>
      <c r="S50" s="725"/>
      <c r="T50" s="693"/>
      <c r="U50" s="693"/>
      <c r="V50" s="1263"/>
      <c r="W50" s="5541" t="str">
        <f>"Desventajas: "&amp;IF(W44="","",IF(ISNA(VLOOKUP(W44,'Tablas Técnicas'!$AD$6:$AJ$188,6,FALSE)),"-",VLOOKUP(W44,'Tablas Técnicas'!$AD$6:$AJ$188,6,FALSE)))</f>
        <v xml:space="preserve">Desventajas: </v>
      </c>
      <c r="X50" s="5542"/>
      <c r="Y50" s="5542"/>
      <c r="Z50" s="5542"/>
      <c r="AA50" s="5542"/>
      <c r="AB50" s="5542"/>
      <c r="AC50" s="5542"/>
      <c r="AD50" s="5542"/>
      <c r="AE50" s="5542"/>
      <c r="AF50" s="5542"/>
      <c r="AG50" s="5542"/>
      <c r="AH50" s="5543"/>
      <c r="AI50" s="5547" t="s">
        <v>3367</v>
      </c>
      <c r="AJ50" s="5548"/>
      <c r="AK50" s="5548"/>
      <c r="AL50" s="5549"/>
      <c r="AM50" s="725"/>
      <c r="AN50" s="695"/>
      <c r="AO50" s="884"/>
    </row>
    <row r="51" spans="1:41" ht="12" customHeight="1" x14ac:dyDescent="0.2">
      <c r="A51" s="693"/>
      <c r="B51" s="1259"/>
      <c r="C51" s="5544"/>
      <c r="D51" s="5545"/>
      <c r="E51" s="5545"/>
      <c r="F51" s="5545"/>
      <c r="G51" s="5545"/>
      <c r="H51" s="5545"/>
      <c r="I51" s="5545"/>
      <c r="J51" s="5545"/>
      <c r="K51" s="5545"/>
      <c r="L51" s="5545"/>
      <c r="M51" s="5545"/>
      <c r="N51" s="5546"/>
      <c r="O51" s="5550"/>
      <c r="P51" s="5551"/>
      <c r="Q51" s="5551"/>
      <c r="R51" s="5552"/>
      <c r="S51" s="725"/>
      <c r="T51" s="693"/>
      <c r="U51" s="693"/>
      <c r="V51" s="1259"/>
      <c r="W51" s="5544"/>
      <c r="X51" s="5545"/>
      <c r="Y51" s="5545"/>
      <c r="Z51" s="5545"/>
      <c r="AA51" s="5545"/>
      <c r="AB51" s="5545"/>
      <c r="AC51" s="5545"/>
      <c r="AD51" s="5545"/>
      <c r="AE51" s="5545"/>
      <c r="AF51" s="5545"/>
      <c r="AG51" s="5545"/>
      <c r="AH51" s="5546"/>
      <c r="AI51" s="5550"/>
      <c r="AJ51" s="5551"/>
      <c r="AK51" s="5551"/>
      <c r="AL51" s="5552"/>
      <c r="AM51" s="725"/>
      <c r="AN51" s="695"/>
      <c r="AO51" s="884"/>
    </row>
    <row r="52" spans="1:41" ht="12" customHeight="1" x14ac:dyDescent="0.2">
      <c r="A52" s="693"/>
      <c r="B52" s="1263"/>
      <c r="C52" s="5559" t="str">
        <f>IF(C44="","",IF(ISNA(VLOOKUP(C44,'Tablas Técnicas'!$AD$6:$AJ$188,4,FALSE)),"-",VLOOKUP(C44,'Tablas Técnicas'!$AD$6:$AJ$188,4,FALSE)))</f>
        <v/>
      </c>
      <c r="D52" s="5560"/>
      <c r="E52" s="5560"/>
      <c r="F52" s="5560"/>
      <c r="G52" s="5560"/>
      <c r="H52" s="5560"/>
      <c r="I52" s="5560"/>
      <c r="J52" s="5560"/>
      <c r="K52" s="5560"/>
      <c r="L52" s="5560"/>
      <c r="M52" s="5560"/>
      <c r="N52" s="5560"/>
      <c r="O52" s="5553"/>
      <c r="P52" s="5554"/>
      <c r="Q52" s="5554"/>
      <c r="R52" s="5555"/>
      <c r="S52" s="725"/>
      <c r="T52" s="693"/>
      <c r="U52" s="693"/>
      <c r="V52" s="1263"/>
      <c r="W52" s="5559" t="str">
        <f>IF(W44="","",IF(ISNA(VLOOKUP(W44,'Tablas Técnicas'!$AD$6:$AJ$188,4,FALSE)),"-",VLOOKUP(W44,'Tablas Técnicas'!$AD$6:$AJ$188,4,FALSE)))</f>
        <v/>
      </c>
      <c r="X52" s="5560"/>
      <c r="Y52" s="5560"/>
      <c r="Z52" s="5560"/>
      <c r="AA52" s="5560"/>
      <c r="AB52" s="5560"/>
      <c r="AC52" s="5560"/>
      <c r="AD52" s="5560"/>
      <c r="AE52" s="5560"/>
      <c r="AF52" s="5560"/>
      <c r="AG52" s="5560"/>
      <c r="AH52" s="5560"/>
      <c r="AI52" s="5553"/>
      <c r="AJ52" s="5554"/>
      <c r="AK52" s="5554"/>
      <c r="AL52" s="5555"/>
      <c r="AM52" s="725"/>
      <c r="AN52" s="695"/>
      <c r="AO52" s="884"/>
    </row>
    <row r="53" spans="1:41" ht="12" customHeight="1" thickBot="1" x14ac:dyDescent="0.25">
      <c r="A53" s="693"/>
      <c r="B53" s="1259"/>
      <c r="C53" s="5561"/>
      <c r="D53" s="5562"/>
      <c r="E53" s="5562"/>
      <c r="F53" s="5562"/>
      <c r="G53" s="5562"/>
      <c r="H53" s="5562"/>
      <c r="I53" s="5562"/>
      <c r="J53" s="5562"/>
      <c r="K53" s="5562"/>
      <c r="L53" s="5562"/>
      <c r="M53" s="5562"/>
      <c r="N53" s="5562"/>
      <c r="O53" s="5556"/>
      <c r="P53" s="5557"/>
      <c r="Q53" s="5557"/>
      <c r="R53" s="5558"/>
      <c r="S53" s="725"/>
      <c r="T53" s="693"/>
      <c r="U53" s="693"/>
      <c r="V53" s="1259"/>
      <c r="W53" s="5561"/>
      <c r="X53" s="5562"/>
      <c r="Y53" s="5562"/>
      <c r="Z53" s="5562"/>
      <c r="AA53" s="5562"/>
      <c r="AB53" s="5562"/>
      <c r="AC53" s="5562"/>
      <c r="AD53" s="5562"/>
      <c r="AE53" s="5562"/>
      <c r="AF53" s="5562"/>
      <c r="AG53" s="5562"/>
      <c r="AH53" s="5562"/>
      <c r="AI53" s="5556"/>
      <c r="AJ53" s="5557"/>
      <c r="AK53" s="5557"/>
      <c r="AL53" s="5558"/>
      <c r="AM53" s="725"/>
      <c r="AN53" s="695"/>
      <c r="AO53" s="884"/>
    </row>
    <row r="54" spans="1:41" ht="12" customHeight="1" thickBot="1" x14ac:dyDescent="0.25">
      <c r="A54" s="821"/>
      <c r="S54" s="725"/>
      <c r="T54" s="693"/>
      <c r="U54" s="694"/>
      <c r="V54" s="1262"/>
      <c r="W54" s="773"/>
      <c r="X54" s="823"/>
      <c r="Y54" s="823"/>
      <c r="Z54" s="823"/>
      <c r="AA54" s="823"/>
      <c r="AB54" s="823"/>
      <c r="AC54" s="823"/>
      <c r="AD54" s="823"/>
      <c r="AE54" s="823"/>
      <c r="AF54" s="816"/>
      <c r="AG54" s="816"/>
      <c r="AH54" s="816"/>
      <c r="AI54" s="816"/>
      <c r="AJ54" s="816"/>
      <c r="AK54" s="816"/>
      <c r="AL54" s="816"/>
      <c r="AM54" s="725"/>
      <c r="AN54" s="695"/>
      <c r="AO54" s="884"/>
    </row>
    <row r="55" spans="1:41" ht="12" customHeight="1" x14ac:dyDescent="0.2">
      <c r="A55" s="693"/>
      <c r="B55" s="1259">
        <v>5</v>
      </c>
      <c r="C55" s="5523" t="s">
        <v>7702</v>
      </c>
      <c r="D55" s="5524"/>
      <c r="E55" s="5524"/>
      <c r="F55" s="5524"/>
      <c r="G55" s="5524"/>
      <c r="H55" s="5524"/>
      <c r="I55" s="5524"/>
      <c r="J55" s="5524"/>
      <c r="K55" s="5524"/>
      <c r="L55" s="5524"/>
      <c r="M55" s="5524"/>
      <c r="N55" s="5524"/>
      <c r="O55" s="5524"/>
      <c r="P55" s="5524"/>
      <c r="Q55" s="5525"/>
      <c r="R55" s="5526">
        <f>IF(C55="","",IF(ISNA(VLOOKUP(C55,'Tablas Técnicas'!$AD$6:$AJ$188,3,FALSE)),"-",VLOOKUP(C55,'Tablas Técnicas'!$AD$6:$AJ$188,3,FALSE)))</f>
        <v>0</v>
      </c>
      <c r="S55" s="780"/>
      <c r="T55" s="693"/>
      <c r="U55" s="693"/>
      <c r="V55" s="1259">
        <v>10</v>
      </c>
      <c r="W55" s="5523" t="s">
        <v>7702</v>
      </c>
      <c r="X55" s="5524"/>
      <c r="Y55" s="5524"/>
      <c r="Z55" s="5524"/>
      <c r="AA55" s="5524"/>
      <c r="AB55" s="5524"/>
      <c r="AC55" s="5524"/>
      <c r="AD55" s="5524"/>
      <c r="AE55" s="5524"/>
      <c r="AF55" s="5524"/>
      <c r="AG55" s="5524"/>
      <c r="AH55" s="5524"/>
      <c r="AI55" s="5524"/>
      <c r="AJ55" s="5524"/>
      <c r="AK55" s="5525"/>
      <c r="AL55" s="5526">
        <f>IF(W55="","",IF(ISNA(VLOOKUP(W55,'Tablas Técnicas'!$AD$6:$AJ$188,3,FALSE)),"-",VLOOKUP(W55,'Tablas Técnicas'!$AD$6:$AJ$188,3,FALSE)))</f>
        <v>0</v>
      </c>
      <c r="AM55" s="780"/>
      <c r="AN55" s="695"/>
      <c r="AO55" s="884"/>
    </row>
    <row r="56" spans="1:41" ht="12" customHeight="1" x14ac:dyDescent="0.2">
      <c r="A56" s="693"/>
      <c r="B56" s="1259"/>
      <c r="C56" s="786" t="s">
        <v>1627</v>
      </c>
      <c r="D56" s="787">
        <f>IF(C55="","",IF(ISNA(VLOOKUP(C55,'Tablas Técnicas'!$AD$6:$AJ$188,2,FALSE)),"-",VLOOKUP(C55,'Tablas Técnicas'!$AD$6:$AJ$188,2,FALSE)))</f>
        <v>1</v>
      </c>
      <c r="E56" s="788" t="s">
        <v>2165</v>
      </c>
      <c r="F56" s="5528"/>
      <c r="G56" s="5528"/>
      <c r="H56" s="5528"/>
      <c r="I56" s="5529" t="s">
        <v>3347</v>
      </c>
      <c r="J56" s="5529"/>
      <c r="K56" s="5529"/>
      <c r="L56" s="5530" t="str">
        <f>IF(C55="","",IF(ISNA(VLOOKUP(C55,'Tablas Técnicas'!$AD$6:$AJ$188,7,FALSE)),"-",VLOOKUP(C55,'Tablas Técnicas'!$AD$6:$AJ$188,7,FALSE)))</f>
        <v/>
      </c>
      <c r="M56" s="5530"/>
      <c r="N56" s="5530"/>
      <c r="O56" s="5530"/>
      <c r="P56" s="5530"/>
      <c r="Q56" s="5531"/>
      <c r="R56" s="5527"/>
      <c r="S56" s="725"/>
      <c r="T56" s="693"/>
      <c r="U56" s="693"/>
      <c r="V56" s="1259"/>
      <c r="W56" s="786" t="s">
        <v>1627</v>
      </c>
      <c r="X56" s="787">
        <f>IF(W55="","",IF(ISNA(VLOOKUP(W55,'Tablas Técnicas'!$AD$6:$AJ$188,2,FALSE)),"-",VLOOKUP(W55,'Tablas Técnicas'!$AD$6:$AJ$188,2,FALSE)))</f>
        <v>1</v>
      </c>
      <c r="Y56" s="788" t="s">
        <v>2165</v>
      </c>
      <c r="Z56" s="5528"/>
      <c r="AA56" s="5528"/>
      <c r="AB56" s="5528"/>
      <c r="AC56" s="5529" t="s">
        <v>3347</v>
      </c>
      <c r="AD56" s="5529"/>
      <c r="AE56" s="5529"/>
      <c r="AF56" s="5530" t="str">
        <f>IF(W55="","",IF(ISNA(VLOOKUP(W55,'Tablas Técnicas'!$AD$6:$AJ$188,7,FALSE)),"-",VLOOKUP(W55,'Tablas Técnicas'!$AD$6:$AJ$188,7,FALSE)))</f>
        <v/>
      </c>
      <c r="AG56" s="5530"/>
      <c r="AH56" s="5530"/>
      <c r="AI56" s="5530"/>
      <c r="AJ56" s="5530"/>
      <c r="AK56" s="5531"/>
      <c r="AL56" s="5527"/>
      <c r="AM56" s="725"/>
      <c r="AN56" s="695"/>
      <c r="AO56" s="884"/>
    </row>
    <row r="57" spans="1:41" ht="12" customHeight="1" x14ac:dyDescent="0.2">
      <c r="A57" s="693"/>
      <c r="B57" s="1259"/>
      <c r="C57" s="5532" t="str">
        <f>IF(C55="","",IF(ISNA(VLOOKUP(C55,'Tablas Técnicas'!$AD$6:$AJ$188,5,FALSE)),"-",VLOOKUP(C55,'Tablas Técnicas'!$AD$6:$AJ$188,5,FALSE)))</f>
        <v/>
      </c>
      <c r="D57" s="5533"/>
      <c r="E57" s="5533"/>
      <c r="F57" s="5533"/>
      <c r="G57" s="5533"/>
      <c r="H57" s="5533"/>
      <c r="I57" s="5533"/>
      <c r="J57" s="5533"/>
      <c r="K57" s="5533"/>
      <c r="L57" s="5533"/>
      <c r="M57" s="5533"/>
      <c r="N57" s="5533"/>
      <c r="O57" s="5533"/>
      <c r="P57" s="5533"/>
      <c r="Q57" s="5533"/>
      <c r="R57" s="5534"/>
      <c r="S57" s="793"/>
      <c r="T57" s="792"/>
      <c r="U57" s="693"/>
      <c r="V57" s="1259"/>
      <c r="W57" s="5532" t="str">
        <f>IF(W55="","",IF(ISNA(VLOOKUP(W55,'Tablas Técnicas'!$AD$6:$AJ$188,5,FALSE)),"-",VLOOKUP(W55,'Tablas Técnicas'!$AD$6:$AJ$188,5,FALSE)))</f>
        <v/>
      </c>
      <c r="X57" s="5533"/>
      <c r="Y57" s="5533"/>
      <c r="Z57" s="5533"/>
      <c r="AA57" s="5533"/>
      <c r="AB57" s="5533"/>
      <c r="AC57" s="5533"/>
      <c r="AD57" s="5533"/>
      <c r="AE57" s="5533"/>
      <c r="AF57" s="5533"/>
      <c r="AG57" s="5533"/>
      <c r="AH57" s="5533"/>
      <c r="AI57" s="5533"/>
      <c r="AJ57" s="5533"/>
      <c r="AK57" s="5533"/>
      <c r="AL57" s="5534"/>
      <c r="AM57" s="793"/>
      <c r="AN57" s="695"/>
      <c r="AO57" s="884"/>
    </row>
    <row r="58" spans="1:41" ht="12" customHeight="1" x14ac:dyDescent="0.2">
      <c r="A58" s="693"/>
      <c r="B58" s="1259"/>
      <c r="C58" s="5535"/>
      <c r="D58" s="5536"/>
      <c r="E58" s="5536"/>
      <c r="F58" s="5536"/>
      <c r="G58" s="5536"/>
      <c r="H58" s="5536"/>
      <c r="I58" s="5536"/>
      <c r="J58" s="5536"/>
      <c r="K58" s="5536"/>
      <c r="L58" s="5536"/>
      <c r="M58" s="5536"/>
      <c r="N58" s="5536"/>
      <c r="O58" s="5536"/>
      <c r="P58" s="5536"/>
      <c r="Q58" s="5536"/>
      <c r="R58" s="5537"/>
      <c r="S58" s="802"/>
      <c r="T58" s="792"/>
      <c r="U58" s="693"/>
      <c r="V58" s="1259"/>
      <c r="W58" s="5535"/>
      <c r="X58" s="5536"/>
      <c r="Y58" s="5536"/>
      <c r="Z58" s="5536"/>
      <c r="AA58" s="5536"/>
      <c r="AB58" s="5536"/>
      <c r="AC58" s="5536"/>
      <c r="AD58" s="5536"/>
      <c r="AE58" s="5536"/>
      <c r="AF58" s="5536"/>
      <c r="AG58" s="5536"/>
      <c r="AH58" s="5536"/>
      <c r="AI58" s="5536"/>
      <c r="AJ58" s="5536"/>
      <c r="AK58" s="5536"/>
      <c r="AL58" s="5537"/>
      <c r="AM58" s="802"/>
      <c r="AN58" s="695"/>
      <c r="AO58" s="884"/>
    </row>
    <row r="59" spans="1:41" ht="12" customHeight="1" x14ac:dyDescent="0.2">
      <c r="A59" s="693"/>
      <c r="B59" s="1259"/>
      <c r="C59" s="5535"/>
      <c r="D59" s="5536"/>
      <c r="E59" s="5536"/>
      <c r="F59" s="5536"/>
      <c r="G59" s="5536"/>
      <c r="H59" s="5536"/>
      <c r="I59" s="5536"/>
      <c r="J59" s="5536"/>
      <c r="K59" s="5536"/>
      <c r="L59" s="5536"/>
      <c r="M59" s="5536"/>
      <c r="N59" s="5536"/>
      <c r="O59" s="5536"/>
      <c r="P59" s="5536"/>
      <c r="Q59" s="5536"/>
      <c r="R59" s="5537"/>
      <c r="S59" s="802"/>
      <c r="T59" s="792"/>
      <c r="U59" s="693"/>
      <c r="V59" s="1259"/>
      <c r="W59" s="5535"/>
      <c r="X59" s="5536"/>
      <c r="Y59" s="5536"/>
      <c r="Z59" s="5536"/>
      <c r="AA59" s="5536"/>
      <c r="AB59" s="5536"/>
      <c r="AC59" s="5536"/>
      <c r="AD59" s="5536"/>
      <c r="AE59" s="5536"/>
      <c r="AF59" s="5536"/>
      <c r="AG59" s="5536"/>
      <c r="AH59" s="5536"/>
      <c r="AI59" s="5536"/>
      <c r="AJ59" s="5536"/>
      <c r="AK59" s="5536"/>
      <c r="AL59" s="5537"/>
      <c r="AM59" s="802"/>
      <c r="AN59" s="695"/>
      <c r="AO59" s="884"/>
    </row>
    <row r="60" spans="1:41" ht="12" customHeight="1" x14ac:dyDescent="0.2">
      <c r="A60" s="693"/>
      <c r="B60" s="1259"/>
      <c r="C60" s="5538"/>
      <c r="D60" s="5539"/>
      <c r="E60" s="5539"/>
      <c r="F60" s="5539"/>
      <c r="G60" s="5539"/>
      <c r="H60" s="5539"/>
      <c r="I60" s="5539"/>
      <c r="J60" s="5539"/>
      <c r="K60" s="5539"/>
      <c r="L60" s="5539"/>
      <c r="M60" s="5539"/>
      <c r="N60" s="5539"/>
      <c r="O60" s="5539"/>
      <c r="P60" s="5539"/>
      <c r="Q60" s="5539"/>
      <c r="R60" s="5540"/>
      <c r="S60" s="802"/>
      <c r="T60" s="792"/>
      <c r="U60" s="693"/>
      <c r="V60" s="1259"/>
      <c r="W60" s="5538"/>
      <c r="X60" s="5539"/>
      <c r="Y60" s="5539"/>
      <c r="Z60" s="5539"/>
      <c r="AA60" s="5539"/>
      <c r="AB60" s="5539"/>
      <c r="AC60" s="5539"/>
      <c r="AD60" s="5539"/>
      <c r="AE60" s="5539"/>
      <c r="AF60" s="5539"/>
      <c r="AG60" s="5539"/>
      <c r="AH60" s="5539"/>
      <c r="AI60" s="5539"/>
      <c r="AJ60" s="5539"/>
      <c r="AK60" s="5539"/>
      <c r="AL60" s="5540"/>
      <c r="AM60" s="802"/>
      <c r="AN60" s="695"/>
      <c r="AO60" s="884"/>
    </row>
    <row r="61" spans="1:41" ht="12" customHeight="1" x14ac:dyDescent="0.2">
      <c r="A61" s="693"/>
      <c r="B61" s="1263"/>
      <c r="C61" s="5541" t="str">
        <f>"Desventajas: "&amp;IF(C55="","",IF(ISNA(VLOOKUP(C55,'Tablas Técnicas'!$AD$6:$AJ$188,6,FALSE)),"-",VLOOKUP(C55,'Tablas Técnicas'!$AD$6:$AJ$188,6,FALSE)))</f>
        <v xml:space="preserve">Desventajas: </v>
      </c>
      <c r="D61" s="5542"/>
      <c r="E61" s="5542"/>
      <c r="F61" s="5542"/>
      <c r="G61" s="5542"/>
      <c r="H61" s="5542"/>
      <c r="I61" s="5542"/>
      <c r="J61" s="5542"/>
      <c r="K61" s="5542"/>
      <c r="L61" s="5542"/>
      <c r="M61" s="5542"/>
      <c r="N61" s="5543"/>
      <c r="O61" s="5547" t="s">
        <v>3367</v>
      </c>
      <c r="P61" s="5548"/>
      <c r="Q61" s="5548"/>
      <c r="R61" s="5549"/>
      <c r="S61" s="725"/>
      <c r="T61" s="693"/>
      <c r="U61" s="693"/>
      <c r="V61" s="1263"/>
      <c r="W61" s="5541" t="str">
        <f>"Desventajas: "&amp;IF(W55="","",IF(ISNA(VLOOKUP(W55,'Tablas Técnicas'!$AD$6:$AJ$188,6,FALSE)),"-",VLOOKUP(W55,'Tablas Técnicas'!$AD$6:$AJ$188,6,FALSE)))</f>
        <v xml:space="preserve">Desventajas: </v>
      </c>
      <c r="X61" s="5542"/>
      <c r="Y61" s="5542"/>
      <c r="Z61" s="5542"/>
      <c r="AA61" s="5542"/>
      <c r="AB61" s="5542"/>
      <c r="AC61" s="5542"/>
      <c r="AD61" s="5542"/>
      <c r="AE61" s="5542"/>
      <c r="AF61" s="5542"/>
      <c r="AG61" s="5542"/>
      <c r="AH61" s="5543"/>
      <c r="AI61" s="5547" t="s">
        <v>3367</v>
      </c>
      <c r="AJ61" s="5548"/>
      <c r="AK61" s="5548"/>
      <c r="AL61" s="5549"/>
      <c r="AM61" s="725"/>
      <c r="AN61" s="695"/>
      <c r="AO61" s="884"/>
    </row>
    <row r="62" spans="1:41" ht="12" customHeight="1" x14ac:dyDescent="0.2">
      <c r="A62" s="693"/>
      <c r="B62" s="1259"/>
      <c r="C62" s="5544"/>
      <c r="D62" s="5545"/>
      <c r="E62" s="5545"/>
      <c r="F62" s="5545"/>
      <c r="G62" s="5545"/>
      <c r="H62" s="5545"/>
      <c r="I62" s="5545"/>
      <c r="J62" s="5545"/>
      <c r="K62" s="5545"/>
      <c r="L62" s="5545"/>
      <c r="M62" s="5545"/>
      <c r="N62" s="5546"/>
      <c r="O62" s="5550"/>
      <c r="P62" s="5551"/>
      <c r="Q62" s="5551"/>
      <c r="R62" s="5552"/>
      <c r="S62" s="725"/>
      <c r="T62" s="693"/>
      <c r="U62" s="693"/>
      <c r="V62" s="1259"/>
      <c r="W62" s="5544"/>
      <c r="X62" s="5545"/>
      <c r="Y62" s="5545"/>
      <c r="Z62" s="5545"/>
      <c r="AA62" s="5545"/>
      <c r="AB62" s="5545"/>
      <c r="AC62" s="5545"/>
      <c r="AD62" s="5545"/>
      <c r="AE62" s="5545"/>
      <c r="AF62" s="5545"/>
      <c r="AG62" s="5545"/>
      <c r="AH62" s="5546"/>
      <c r="AI62" s="5550"/>
      <c r="AJ62" s="5551"/>
      <c r="AK62" s="5551"/>
      <c r="AL62" s="5552"/>
      <c r="AM62" s="725"/>
      <c r="AN62" s="695"/>
      <c r="AO62" s="884"/>
    </row>
    <row r="63" spans="1:41" ht="12" customHeight="1" x14ac:dyDescent="0.2">
      <c r="A63" s="693"/>
      <c r="B63" s="1263"/>
      <c r="C63" s="5559" t="str">
        <f>IF(C55="","",IF(ISNA(VLOOKUP(C55,'Tablas Técnicas'!$AD$6:$AJ$188,4,FALSE)),"-",VLOOKUP(C55,'Tablas Técnicas'!$AD$6:$AJ$188,4,FALSE)))</f>
        <v/>
      </c>
      <c r="D63" s="5560"/>
      <c r="E63" s="5560"/>
      <c r="F63" s="5560"/>
      <c r="G63" s="5560"/>
      <c r="H63" s="5560"/>
      <c r="I63" s="5560"/>
      <c r="J63" s="5560"/>
      <c r="K63" s="5560"/>
      <c r="L63" s="5560"/>
      <c r="M63" s="5560"/>
      <c r="N63" s="5560"/>
      <c r="O63" s="5553"/>
      <c r="P63" s="5554"/>
      <c r="Q63" s="5554"/>
      <c r="R63" s="5555"/>
      <c r="S63" s="725"/>
      <c r="T63" s="693"/>
      <c r="U63" s="693"/>
      <c r="V63" s="1263"/>
      <c r="W63" s="5559" t="str">
        <f>IF(W55="","",IF(ISNA(VLOOKUP(W55,'Tablas Técnicas'!$AD$6:$AJ$188,4,FALSE)),"-",VLOOKUP(W55,'Tablas Técnicas'!$AD$6:$AJ$188,4,FALSE)))</f>
        <v/>
      </c>
      <c r="X63" s="5560"/>
      <c r="Y63" s="5560"/>
      <c r="Z63" s="5560"/>
      <c r="AA63" s="5560"/>
      <c r="AB63" s="5560"/>
      <c r="AC63" s="5560"/>
      <c r="AD63" s="5560"/>
      <c r="AE63" s="5560"/>
      <c r="AF63" s="5560"/>
      <c r="AG63" s="5560"/>
      <c r="AH63" s="5560"/>
      <c r="AI63" s="5553"/>
      <c r="AJ63" s="5554"/>
      <c r="AK63" s="5554"/>
      <c r="AL63" s="5555"/>
      <c r="AM63" s="725"/>
      <c r="AN63" s="695"/>
      <c r="AO63" s="884"/>
    </row>
    <row r="64" spans="1:41" ht="12" customHeight="1" thickBot="1" x14ac:dyDescent="0.25">
      <c r="A64" s="693"/>
      <c r="B64" s="1259"/>
      <c r="C64" s="5561"/>
      <c r="D64" s="5562"/>
      <c r="E64" s="5562"/>
      <c r="F64" s="5562"/>
      <c r="G64" s="5562"/>
      <c r="H64" s="5562"/>
      <c r="I64" s="5562"/>
      <c r="J64" s="5562"/>
      <c r="K64" s="5562"/>
      <c r="L64" s="5562"/>
      <c r="M64" s="5562"/>
      <c r="N64" s="5562"/>
      <c r="O64" s="5556"/>
      <c r="P64" s="5557"/>
      <c r="Q64" s="5557"/>
      <c r="R64" s="5558"/>
      <c r="S64" s="725"/>
      <c r="T64" s="693"/>
      <c r="U64" s="693"/>
      <c r="V64" s="1259"/>
      <c r="W64" s="5561"/>
      <c r="X64" s="5562"/>
      <c r="Y64" s="5562"/>
      <c r="Z64" s="5562"/>
      <c r="AA64" s="5562"/>
      <c r="AB64" s="5562"/>
      <c r="AC64" s="5562"/>
      <c r="AD64" s="5562"/>
      <c r="AE64" s="5562"/>
      <c r="AF64" s="5562"/>
      <c r="AG64" s="5562"/>
      <c r="AH64" s="5562"/>
      <c r="AI64" s="5556"/>
      <c r="AJ64" s="5557"/>
      <c r="AK64" s="5557"/>
      <c r="AL64" s="5558"/>
      <c r="AM64" s="725"/>
      <c r="AN64" s="695"/>
      <c r="AO64" s="884"/>
    </row>
    <row r="65" spans="1:41" ht="12" customHeight="1" x14ac:dyDescent="0.2">
      <c r="A65" s="694"/>
      <c r="B65" s="1262"/>
      <c r="S65" s="725"/>
      <c r="T65" s="695"/>
      <c r="U65" s="694"/>
      <c r="V65" s="1262"/>
      <c r="W65" s="773"/>
      <c r="X65" s="773"/>
      <c r="Y65" s="773"/>
      <c r="Z65" s="773"/>
      <c r="AA65" s="773"/>
      <c r="AB65" s="773"/>
      <c r="AC65" s="773"/>
      <c r="AD65" s="773"/>
      <c r="AE65" s="773"/>
      <c r="AF65" s="773"/>
      <c r="AG65" s="773"/>
      <c r="AH65" s="773"/>
      <c r="AI65" s="773"/>
      <c r="AJ65" s="773"/>
      <c r="AK65" s="773"/>
      <c r="AL65" s="773"/>
      <c r="AM65" s="725"/>
      <c r="AN65" s="695"/>
      <c r="AO65" s="884"/>
    </row>
    <row r="66" spans="1:41" ht="12" customHeight="1" x14ac:dyDescent="0.2">
      <c r="A66" s="694"/>
      <c r="B66" s="1262"/>
      <c r="S66" s="725"/>
      <c r="T66" s="695"/>
      <c r="U66" s="694"/>
      <c r="V66" s="1262"/>
      <c r="W66" s="773"/>
      <c r="X66" s="773"/>
      <c r="Y66" s="773"/>
      <c r="Z66" s="773"/>
      <c r="AA66" s="773"/>
      <c r="AB66" s="773"/>
      <c r="AC66" s="773"/>
      <c r="AD66" s="773"/>
      <c r="AE66" s="773"/>
      <c r="AF66" s="773"/>
      <c r="AG66" s="773"/>
      <c r="AH66" s="773"/>
      <c r="AI66" s="773"/>
      <c r="AJ66" s="773"/>
      <c r="AK66" s="773"/>
      <c r="AL66" s="773"/>
      <c r="AM66" s="725"/>
      <c r="AN66" s="695"/>
      <c r="AO66" s="884"/>
    </row>
    <row r="67" spans="1:41" ht="12" customHeight="1" thickBot="1" x14ac:dyDescent="0.25">
      <c r="A67" s="694"/>
      <c r="B67" s="1265"/>
      <c r="C67" s="829"/>
      <c r="D67" s="829"/>
      <c r="E67" s="829"/>
      <c r="F67" s="829"/>
      <c r="G67" s="829"/>
      <c r="H67" s="829"/>
      <c r="I67" s="829"/>
      <c r="J67" s="5563" t="s">
        <v>3607</v>
      </c>
      <c r="K67" s="5563"/>
      <c r="L67" s="829"/>
      <c r="M67" s="829"/>
      <c r="N67" s="829"/>
      <c r="O67" s="829"/>
      <c r="P67" s="829"/>
      <c r="Q67" s="829"/>
      <c r="R67" s="829"/>
      <c r="S67" s="830"/>
      <c r="T67" s="695"/>
      <c r="U67" s="694"/>
      <c r="V67" s="1265"/>
      <c r="W67" s="829"/>
      <c r="X67" s="829"/>
      <c r="Y67" s="829"/>
      <c r="Z67" s="829"/>
      <c r="AA67" s="829"/>
      <c r="AB67" s="829"/>
      <c r="AC67" s="829"/>
      <c r="AD67" s="5563" t="s">
        <v>3608</v>
      </c>
      <c r="AE67" s="5563"/>
      <c r="AF67" s="829"/>
      <c r="AG67" s="829"/>
      <c r="AH67" s="829"/>
      <c r="AI67" s="829"/>
      <c r="AJ67" s="829"/>
      <c r="AK67" s="829"/>
      <c r="AL67" s="829"/>
      <c r="AM67" s="830"/>
      <c r="AN67" s="695"/>
      <c r="AO67" s="884"/>
    </row>
    <row r="68" spans="1:41" ht="12" customHeight="1" x14ac:dyDescent="0.2">
      <c r="A68" s="694"/>
      <c r="B68" s="1260"/>
      <c r="C68" s="694"/>
      <c r="D68" s="694"/>
      <c r="E68" s="694"/>
      <c r="F68" s="694"/>
      <c r="G68" s="694"/>
      <c r="H68" s="694"/>
      <c r="I68" s="694"/>
      <c r="J68" s="694"/>
      <c r="K68" s="694"/>
      <c r="L68" s="694"/>
      <c r="M68" s="694"/>
      <c r="N68" s="694"/>
      <c r="O68" s="694"/>
      <c r="P68" s="694"/>
      <c r="Q68" s="694"/>
      <c r="R68" s="694"/>
      <c r="S68" s="831"/>
      <c r="T68" s="695"/>
      <c r="U68" s="694"/>
      <c r="V68" s="1260"/>
      <c r="W68" s="694"/>
      <c r="X68" s="694"/>
      <c r="Y68" s="694"/>
      <c r="Z68" s="694"/>
      <c r="AA68" s="694"/>
      <c r="AB68" s="694"/>
      <c r="AC68" s="694"/>
      <c r="AD68" s="694"/>
      <c r="AE68" s="694"/>
      <c r="AF68" s="694"/>
      <c r="AG68" s="694"/>
      <c r="AH68" s="694"/>
      <c r="AI68" s="694"/>
      <c r="AJ68" s="694"/>
      <c r="AK68" s="694"/>
      <c r="AL68" s="694"/>
      <c r="AM68" s="831"/>
      <c r="AN68" s="695"/>
      <c r="AO68" s="884"/>
    </row>
    <row r="69" spans="1:41" ht="12" customHeight="1" x14ac:dyDescent="0.2">
      <c r="A69" s="771"/>
      <c r="B69" s="1266"/>
      <c r="C69" s="771"/>
      <c r="D69" s="771"/>
      <c r="E69" s="771"/>
      <c r="F69" s="771"/>
      <c r="G69" s="771"/>
      <c r="H69" s="771"/>
      <c r="I69" s="771"/>
      <c r="J69" s="771"/>
      <c r="K69" s="771"/>
      <c r="L69" s="771"/>
      <c r="M69" s="771"/>
      <c r="N69" s="771"/>
      <c r="O69" s="771"/>
      <c r="P69" s="771"/>
      <c r="Q69" s="771"/>
      <c r="R69" s="771"/>
      <c r="S69" s="771"/>
      <c r="T69" s="771"/>
      <c r="U69" s="773"/>
      <c r="V69" s="1266"/>
      <c r="W69" s="773"/>
      <c r="X69" s="773"/>
      <c r="Y69" s="773"/>
      <c r="Z69" s="773"/>
      <c r="AA69" s="773"/>
      <c r="AB69" s="773"/>
      <c r="AC69" s="773"/>
      <c r="AD69" s="773"/>
      <c r="AE69" s="773"/>
      <c r="AF69" s="773"/>
      <c r="AG69" s="773"/>
      <c r="AH69" s="773"/>
      <c r="AI69" s="773"/>
      <c r="AJ69" s="773"/>
      <c r="AK69" s="773"/>
      <c r="AL69" s="773"/>
      <c r="AM69" s="771"/>
      <c r="AN69" s="886"/>
      <c r="AO69" s="884"/>
    </row>
    <row r="70" spans="1:41" ht="12" customHeight="1" x14ac:dyDescent="0.2">
      <c r="T70" s="771"/>
      <c r="U70" s="773"/>
      <c r="V70" s="1266"/>
      <c r="W70" s="773"/>
      <c r="X70" s="773"/>
      <c r="Y70" s="773"/>
      <c r="Z70" s="773"/>
      <c r="AA70" s="773"/>
      <c r="AB70" s="773"/>
      <c r="AC70" s="773"/>
      <c r="AD70" s="773"/>
      <c r="AE70" s="773"/>
      <c r="AF70" s="773"/>
      <c r="AG70" s="773"/>
      <c r="AH70" s="773"/>
      <c r="AI70" s="773"/>
      <c r="AJ70" s="773"/>
      <c r="AK70" s="773"/>
      <c r="AL70" s="773"/>
      <c r="AM70" s="771"/>
      <c r="AN70" s="886"/>
      <c r="AO70" s="884"/>
    </row>
    <row r="71" spans="1:41" ht="12" customHeight="1" x14ac:dyDescent="0.2">
      <c r="T71" s="771"/>
      <c r="U71" s="773"/>
      <c r="V71" s="1266"/>
      <c r="W71" s="773"/>
      <c r="X71" s="887"/>
      <c r="Y71" s="887"/>
      <c r="Z71" s="887"/>
      <c r="AA71" s="887"/>
      <c r="AB71" s="887"/>
      <c r="AC71" s="887"/>
      <c r="AD71" s="887"/>
      <c r="AE71" s="887"/>
      <c r="AF71" s="887"/>
      <c r="AG71" s="887"/>
      <c r="AH71" s="887"/>
      <c r="AI71" s="887"/>
      <c r="AJ71" s="887"/>
      <c r="AK71" s="887"/>
      <c r="AL71" s="887"/>
      <c r="AM71" s="771"/>
      <c r="AN71" s="886"/>
      <c r="AO71" s="884"/>
    </row>
    <row r="72" spans="1:41" ht="12" customHeight="1" x14ac:dyDescent="0.2">
      <c r="T72" s="771"/>
      <c r="U72" s="773"/>
      <c r="V72" s="1266"/>
      <c r="W72" s="773"/>
      <c r="X72" s="887"/>
      <c r="Y72" s="887"/>
      <c r="Z72" s="887"/>
      <c r="AA72" s="887"/>
      <c r="AB72" s="887"/>
      <c r="AC72" s="887"/>
      <c r="AD72" s="887"/>
      <c r="AE72" s="888"/>
      <c r="AF72" s="889"/>
      <c r="AG72" s="889"/>
      <c r="AH72" s="889"/>
      <c r="AI72" s="889"/>
      <c r="AJ72" s="889"/>
      <c r="AK72" s="889"/>
      <c r="AL72" s="890"/>
      <c r="AM72" s="771"/>
      <c r="AN72" s="886"/>
      <c r="AO72" s="884"/>
    </row>
    <row r="73" spans="1:41" ht="12" customHeight="1" x14ac:dyDescent="0.2">
      <c r="T73" s="771"/>
      <c r="U73" s="773"/>
      <c r="V73" s="1266"/>
      <c r="W73" s="773"/>
      <c r="X73" s="887"/>
      <c r="Y73" s="887"/>
      <c r="Z73" s="887"/>
      <c r="AA73" s="887"/>
      <c r="AB73" s="887"/>
      <c r="AC73" s="887"/>
      <c r="AD73" s="887"/>
      <c r="AE73" s="889"/>
      <c r="AF73" s="889"/>
      <c r="AG73" s="889"/>
      <c r="AH73" s="889"/>
      <c r="AI73" s="889"/>
      <c r="AJ73" s="889"/>
      <c r="AK73" s="889"/>
      <c r="AL73" s="887"/>
      <c r="AM73" s="771"/>
      <c r="AN73" s="886"/>
      <c r="AO73" s="884"/>
    </row>
    <row r="74" spans="1:41" ht="12" customHeight="1" x14ac:dyDescent="0.2">
      <c r="T74" s="771"/>
      <c r="U74" s="773"/>
      <c r="V74" s="1266"/>
      <c r="W74" s="773"/>
      <c r="X74" s="887"/>
      <c r="Y74" s="887"/>
      <c r="Z74" s="887"/>
      <c r="AA74" s="887"/>
      <c r="AB74" s="887"/>
      <c r="AC74" s="887"/>
      <c r="AD74" s="887"/>
      <c r="AE74" s="888"/>
      <c r="AF74" s="889"/>
      <c r="AG74" s="889"/>
      <c r="AH74" s="889"/>
      <c r="AI74" s="889"/>
      <c r="AJ74" s="889"/>
      <c r="AK74" s="889"/>
      <c r="AL74" s="887"/>
      <c r="AM74" s="771"/>
      <c r="AN74" s="886"/>
      <c r="AO74" s="884"/>
    </row>
    <row r="75" spans="1:41" ht="12" customHeight="1" x14ac:dyDescent="0.2">
      <c r="T75" s="771"/>
      <c r="U75" s="773"/>
      <c r="V75" s="1266"/>
      <c r="W75" s="773"/>
      <c r="X75" s="887"/>
      <c r="Y75" s="887"/>
      <c r="Z75" s="887"/>
      <c r="AA75" s="887"/>
      <c r="AB75" s="887"/>
      <c r="AC75" s="887"/>
      <c r="AD75" s="887"/>
      <c r="AE75" s="889"/>
      <c r="AF75" s="889"/>
      <c r="AG75" s="889"/>
      <c r="AH75" s="889"/>
      <c r="AI75" s="889"/>
      <c r="AJ75" s="889"/>
      <c r="AK75" s="889"/>
      <c r="AL75" s="887"/>
      <c r="AM75" s="771"/>
      <c r="AN75" s="886"/>
      <c r="AO75" s="884"/>
    </row>
    <row r="76" spans="1:41" ht="12" customHeight="1" x14ac:dyDescent="0.2">
      <c r="T76" s="771"/>
      <c r="U76" s="773"/>
      <c r="V76" s="1266"/>
      <c r="W76" s="773"/>
      <c r="X76" s="887"/>
      <c r="Y76" s="887"/>
      <c r="Z76" s="887"/>
      <c r="AA76" s="887"/>
      <c r="AB76" s="887"/>
      <c r="AC76" s="887"/>
      <c r="AD76" s="887"/>
      <c r="AE76" s="887"/>
      <c r="AF76" s="887"/>
      <c r="AG76" s="887"/>
      <c r="AH76" s="887"/>
      <c r="AI76" s="887"/>
      <c r="AJ76" s="887"/>
      <c r="AK76" s="887"/>
      <c r="AL76" s="887"/>
      <c r="AM76" s="771"/>
      <c r="AN76" s="886"/>
      <c r="AO76" s="884"/>
    </row>
    <row r="77" spans="1:41" ht="12" customHeight="1" x14ac:dyDescent="0.2">
      <c r="T77" s="771"/>
      <c r="U77" s="773"/>
      <c r="V77" s="1266"/>
      <c r="W77" s="773"/>
      <c r="X77" s="773"/>
      <c r="Y77" s="773"/>
      <c r="Z77" s="773"/>
      <c r="AA77" s="773"/>
      <c r="AB77" s="773"/>
      <c r="AC77" s="773"/>
      <c r="AD77" s="773"/>
      <c r="AE77" s="773"/>
      <c r="AF77" s="773"/>
      <c r="AG77" s="773"/>
      <c r="AH77" s="773"/>
      <c r="AI77" s="773"/>
      <c r="AJ77" s="773"/>
      <c r="AK77" s="773"/>
      <c r="AL77" s="773"/>
      <c r="AM77" s="771"/>
      <c r="AN77" s="886"/>
      <c r="AO77" s="884"/>
    </row>
    <row r="78" spans="1:41" ht="12" customHeight="1" x14ac:dyDescent="0.2">
      <c r="T78" s="771"/>
      <c r="U78" s="773"/>
      <c r="V78" s="1266"/>
      <c r="W78" s="773"/>
      <c r="X78" s="891"/>
      <c r="Y78" s="891"/>
      <c r="Z78" s="892"/>
      <c r="AA78" s="892"/>
      <c r="AB78" s="892"/>
      <c r="AC78" s="892"/>
      <c r="AD78" s="893"/>
      <c r="AE78" s="773"/>
      <c r="AF78" s="891"/>
      <c r="AG78" s="891"/>
      <c r="AH78" s="892"/>
      <c r="AI78" s="892"/>
      <c r="AJ78" s="892"/>
      <c r="AK78" s="892"/>
      <c r="AL78" s="893"/>
      <c r="AM78" s="771"/>
      <c r="AN78" s="886"/>
      <c r="AO78" s="884"/>
    </row>
    <row r="79" spans="1:41" ht="12" customHeight="1" x14ac:dyDescent="0.2">
      <c r="T79" s="771"/>
      <c r="U79" s="773"/>
      <c r="V79" s="1266"/>
      <c r="W79" s="773"/>
      <c r="X79" s="894"/>
      <c r="Y79" s="894"/>
      <c r="Z79" s="892"/>
      <c r="AA79" s="892"/>
      <c r="AB79" s="892"/>
      <c r="AC79" s="892"/>
      <c r="AD79" s="895"/>
      <c r="AE79" s="896"/>
      <c r="AF79" s="894"/>
      <c r="AG79" s="894"/>
      <c r="AH79" s="892"/>
      <c r="AI79" s="892"/>
      <c r="AJ79" s="892"/>
      <c r="AK79" s="892"/>
      <c r="AL79" s="895"/>
      <c r="AM79" s="771"/>
      <c r="AN79" s="886"/>
      <c r="AO79" s="884"/>
    </row>
    <row r="80" spans="1:41" ht="12" customHeight="1" x14ac:dyDescent="0.2">
      <c r="A80" s="771"/>
      <c r="B80" s="1266"/>
      <c r="C80" s="771"/>
      <c r="D80" s="897"/>
      <c r="E80" s="897"/>
      <c r="F80" s="898"/>
      <c r="G80" s="898"/>
      <c r="H80" s="898"/>
      <c r="I80" s="899"/>
      <c r="J80" s="900"/>
      <c r="K80" s="901"/>
      <c r="L80" s="897"/>
      <c r="M80" s="897"/>
      <c r="N80" s="898"/>
      <c r="O80" s="898"/>
      <c r="P80" s="898"/>
      <c r="Q80" s="899"/>
      <c r="R80" s="900"/>
      <c r="S80" s="771"/>
      <c r="T80" s="771"/>
      <c r="U80" s="773"/>
      <c r="V80" s="1266"/>
      <c r="W80" s="773"/>
      <c r="X80" s="902"/>
      <c r="Y80" s="902"/>
      <c r="Z80" s="903"/>
      <c r="AA80" s="903"/>
      <c r="AB80" s="903"/>
      <c r="AC80" s="904"/>
      <c r="AD80" s="895"/>
      <c r="AE80" s="896"/>
      <c r="AF80" s="902"/>
      <c r="AG80" s="902"/>
      <c r="AH80" s="903"/>
      <c r="AI80" s="903"/>
      <c r="AJ80" s="903"/>
      <c r="AK80" s="904"/>
      <c r="AL80" s="895"/>
      <c r="AM80" s="771"/>
      <c r="AN80" s="886"/>
      <c r="AO80" s="884"/>
    </row>
    <row r="81" spans="1:41" ht="12" customHeight="1" x14ac:dyDescent="0.2">
      <c r="T81" s="771"/>
      <c r="U81" s="773"/>
      <c r="V81" s="1266"/>
      <c r="W81" s="773"/>
      <c r="X81" s="773"/>
      <c r="Y81" s="905"/>
      <c r="Z81" s="905"/>
      <c r="AA81" s="905"/>
      <c r="AB81" s="905"/>
      <c r="AC81" s="905"/>
      <c r="AD81" s="905"/>
      <c r="AE81" s="896"/>
      <c r="AF81" s="773"/>
      <c r="AG81" s="905"/>
      <c r="AH81" s="905"/>
      <c r="AI81" s="905"/>
      <c r="AJ81" s="905"/>
      <c r="AK81" s="905"/>
      <c r="AL81" s="905"/>
      <c r="AM81" s="771"/>
      <c r="AN81" s="886"/>
      <c r="AO81" s="884"/>
    </row>
    <row r="82" spans="1:41" ht="12" customHeight="1" x14ac:dyDescent="0.2">
      <c r="T82" s="771"/>
      <c r="U82" s="773"/>
      <c r="V82" s="1266"/>
      <c r="W82" s="773"/>
      <c r="X82" s="902"/>
      <c r="Y82" s="906"/>
      <c r="Z82" s="906"/>
      <c r="AA82" s="906"/>
      <c r="AB82" s="906"/>
      <c r="AC82" s="906"/>
      <c r="AD82" s="906"/>
      <c r="AE82" s="907"/>
      <c r="AF82" s="902"/>
      <c r="AG82" s="906"/>
      <c r="AH82" s="906"/>
      <c r="AI82" s="906"/>
      <c r="AJ82" s="906"/>
      <c r="AK82" s="906"/>
      <c r="AL82" s="906"/>
      <c r="AM82" s="771"/>
      <c r="AN82" s="886"/>
      <c r="AO82" s="884"/>
    </row>
    <row r="83" spans="1:41" ht="12" customHeight="1" x14ac:dyDescent="0.2">
      <c r="T83" s="771"/>
      <c r="U83" s="773"/>
      <c r="V83" s="1266"/>
      <c r="W83" s="773"/>
      <c r="X83" s="902"/>
      <c r="Y83" s="906"/>
      <c r="Z83" s="906"/>
      <c r="AA83" s="906"/>
      <c r="AB83" s="906"/>
      <c r="AC83" s="906"/>
      <c r="AD83" s="906"/>
      <c r="AE83" s="820"/>
      <c r="AF83" s="902"/>
      <c r="AG83" s="906"/>
      <c r="AH83" s="906"/>
      <c r="AI83" s="906"/>
      <c r="AJ83" s="906"/>
      <c r="AK83" s="906"/>
      <c r="AL83" s="906"/>
      <c r="AM83" s="771"/>
      <c r="AN83" s="886"/>
      <c r="AO83" s="884"/>
    </row>
    <row r="84" spans="1:41" ht="12" customHeight="1" x14ac:dyDescent="0.2">
      <c r="T84" s="771"/>
      <c r="U84" s="773"/>
      <c r="V84" s="1266"/>
      <c r="W84" s="773"/>
      <c r="X84" s="820"/>
      <c r="Y84" s="908"/>
      <c r="Z84" s="908"/>
      <c r="AA84" s="908"/>
      <c r="AB84" s="908"/>
      <c r="AC84" s="908"/>
      <c r="AD84" s="908"/>
      <c r="AE84" s="909"/>
      <c r="AF84" s="820"/>
      <c r="AG84" s="908"/>
      <c r="AH84" s="908"/>
      <c r="AI84" s="908"/>
      <c r="AJ84" s="908"/>
      <c r="AK84" s="908"/>
      <c r="AL84" s="908"/>
      <c r="AM84" s="771"/>
      <c r="AN84" s="886"/>
      <c r="AO84" s="884"/>
    </row>
    <row r="85" spans="1:41" ht="12" customHeight="1" x14ac:dyDescent="0.2">
      <c r="T85" s="771"/>
      <c r="U85" s="773"/>
      <c r="V85" s="1266"/>
      <c r="W85" s="773"/>
      <c r="X85" s="910"/>
      <c r="Y85" s="911"/>
      <c r="Z85" s="911"/>
      <c r="AA85" s="911"/>
      <c r="AB85" s="911"/>
      <c r="AC85" s="911"/>
      <c r="AD85" s="911"/>
      <c r="AE85" s="909"/>
      <c r="AF85" s="910"/>
      <c r="AG85" s="911"/>
      <c r="AH85" s="911"/>
      <c r="AI85" s="911"/>
      <c r="AJ85" s="911"/>
      <c r="AK85" s="911"/>
      <c r="AL85" s="911"/>
      <c r="AM85" s="771"/>
      <c r="AN85" s="886"/>
      <c r="AO85" s="884"/>
    </row>
    <row r="86" spans="1:41" ht="12" customHeight="1" x14ac:dyDescent="0.2">
      <c r="T86" s="771"/>
      <c r="U86" s="773"/>
      <c r="V86" s="1266"/>
      <c r="W86" s="773"/>
      <c r="X86" s="887"/>
      <c r="Y86" s="911"/>
      <c r="Z86" s="911"/>
      <c r="AA86" s="911"/>
      <c r="AB86" s="911"/>
      <c r="AC86" s="911"/>
      <c r="AD86" s="911"/>
      <c r="AE86" s="909"/>
      <c r="AF86" s="887"/>
      <c r="AG86" s="911"/>
      <c r="AH86" s="911"/>
      <c r="AI86" s="911"/>
      <c r="AJ86" s="911"/>
      <c r="AK86" s="911"/>
      <c r="AL86" s="911"/>
      <c r="AM86" s="771"/>
      <c r="AN86" s="886"/>
      <c r="AO86" s="884"/>
    </row>
    <row r="87" spans="1:41" ht="12" customHeight="1" x14ac:dyDescent="0.2">
      <c r="T87" s="771"/>
      <c r="U87" s="773"/>
      <c r="V87" s="1266"/>
      <c r="W87" s="773"/>
      <c r="X87" s="887"/>
      <c r="Y87" s="911"/>
      <c r="Z87" s="911"/>
      <c r="AA87" s="911"/>
      <c r="AB87" s="911"/>
      <c r="AC87" s="911"/>
      <c r="AD87" s="911"/>
      <c r="AE87" s="909"/>
      <c r="AF87" s="887"/>
      <c r="AG87" s="911"/>
      <c r="AH87" s="911"/>
      <c r="AI87" s="911"/>
      <c r="AJ87" s="911"/>
      <c r="AK87" s="911"/>
      <c r="AL87" s="911"/>
      <c r="AM87" s="771"/>
      <c r="AN87" s="886"/>
      <c r="AO87" s="884"/>
    </row>
    <row r="88" spans="1:41" ht="12" customHeight="1" x14ac:dyDescent="0.2">
      <c r="T88" s="771"/>
      <c r="U88" s="773"/>
      <c r="V88" s="1266"/>
      <c r="W88" s="773"/>
      <c r="X88" s="887"/>
      <c r="Y88" s="887"/>
      <c r="Z88" s="887"/>
      <c r="AA88" s="887"/>
      <c r="AB88" s="887"/>
      <c r="AC88" s="887"/>
      <c r="AD88" s="887"/>
      <c r="AE88" s="909"/>
      <c r="AF88" s="909"/>
      <c r="AG88" s="907"/>
      <c r="AH88" s="912"/>
      <c r="AI88" s="909"/>
      <c r="AJ88" s="909"/>
      <c r="AK88" s="909"/>
      <c r="AL88" s="909"/>
      <c r="AM88" s="771"/>
      <c r="AN88" s="886"/>
      <c r="AO88" s="884"/>
    </row>
    <row r="89" spans="1:41" ht="12" customHeight="1" x14ac:dyDescent="0.2">
      <c r="T89" s="771"/>
      <c r="U89" s="773"/>
      <c r="V89" s="1266"/>
      <c r="W89" s="773"/>
      <c r="X89" s="891"/>
      <c r="Y89" s="891"/>
      <c r="Z89" s="892"/>
      <c r="AA89" s="892"/>
      <c r="AB89" s="892"/>
      <c r="AC89" s="892"/>
      <c r="AD89" s="893"/>
      <c r="AE89" s="909"/>
      <c r="AF89" s="891"/>
      <c r="AG89" s="891"/>
      <c r="AH89" s="892"/>
      <c r="AI89" s="892"/>
      <c r="AJ89" s="892"/>
      <c r="AK89" s="892"/>
      <c r="AL89" s="893"/>
      <c r="AM89" s="771"/>
      <c r="AN89" s="886"/>
      <c r="AO89" s="884"/>
    </row>
    <row r="90" spans="1:41" ht="12" customHeight="1" x14ac:dyDescent="0.2">
      <c r="T90" s="771"/>
      <c r="U90" s="773"/>
      <c r="V90" s="1266"/>
      <c r="W90" s="773"/>
      <c r="X90" s="894"/>
      <c r="Y90" s="894"/>
      <c r="Z90" s="892"/>
      <c r="AA90" s="892"/>
      <c r="AB90" s="892"/>
      <c r="AC90" s="892"/>
      <c r="AD90" s="895"/>
      <c r="AE90" s="909"/>
      <c r="AF90" s="894"/>
      <c r="AG90" s="894"/>
      <c r="AH90" s="892"/>
      <c r="AI90" s="892"/>
      <c r="AJ90" s="892"/>
      <c r="AK90" s="892"/>
      <c r="AL90" s="895"/>
      <c r="AM90" s="771"/>
      <c r="AN90" s="886"/>
      <c r="AO90" s="884"/>
    </row>
    <row r="91" spans="1:41" ht="12" customHeight="1" x14ac:dyDescent="0.2">
      <c r="A91" s="771"/>
      <c r="B91" s="1266"/>
      <c r="C91" s="771"/>
      <c r="D91" s="897"/>
      <c r="E91" s="897"/>
      <c r="F91" s="898"/>
      <c r="G91" s="898"/>
      <c r="H91" s="898"/>
      <c r="I91" s="899"/>
      <c r="J91" s="900"/>
      <c r="K91" s="913"/>
      <c r="L91" s="897"/>
      <c r="M91" s="897"/>
      <c r="N91" s="898"/>
      <c r="O91" s="898"/>
      <c r="P91" s="898"/>
      <c r="Q91" s="899"/>
      <c r="R91" s="900"/>
      <c r="S91" s="771"/>
      <c r="T91" s="771"/>
      <c r="U91" s="773"/>
      <c r="V91" s="1266"/>
      <c r="W91" s="773"/>
      <c r="X91" s="902"/>
      <c r="Y91" s="902"/>
      <c r="Z91" s="903"/>
      <c r="AA91" s="903"/>
      <c r="AB91" s="903"/>
      <c r="AC91" s="904"/>
      <c r="AD91" s="895"/>
      <c r="AE91" s="909"/>
      <c r="AF91" s="902"/>
      <c r="AG91" s="902"/>
      <c r="AH91" s="903"/>
      <c r="AI91" s="903"/>
      <c r="AJ91" s="903"/>
      <c r="AK91" s="904"/>
      <c r="AL91" s="895"/>
      <c r="AM91" s="771"/>
      <c r="AN91" s="886"/>
      <c r="AO91" s="884"/>
    </row>
    <row r="92" spans="1:41" ht="12" customHeight="1" x14ac:dyDescent="0.2">
      <c r="T92" s="771"/>
      <c r="U92" s="773"/>
      <c r="V92" s="1266"/>
      <c r="W92" s="773"/>
      <c r="X92" s="773"/>
      <c r="Y92" s="905"/>
      <c r="Z92" s="905"/>
      <c r="AA92" s="905"/>
      <c r="AB92" s="905"/>
      <c r="AC92" s="905"/>
      <c r="AD92" s="905"/>
      <c r="AE92" s="909"/>
      <c r="AF92" s="773"/>
      <c r="AG92" s="905"/>
      <c r="AH92" s="905"/>
      <c r="AI92" s="905"/>
      <c r="AJ92" s="905"/>
      <c r="AK92" s="905"/>
      <c r="AL92" s="905"/>
      <c r="AM92" s="771"/>
      <c r="AN92" s="886"/>
      <c r="AO92" s="884"/>
    </row>
    <row r="93" spans="1:41" ht="12" customHeight="1" x14ac:dyDescent="0.2">
      <c r="T93" s="771"/>
      <c r="U93" s="773"/>
      <c r="V93" s="1266"/>
      <c r="W93" s="773"/>
      <c r="X93" s="902"/>
      <c r="Y93" s="906"/>
      <c r="Z93" s="906"/>
      <c r="AA93" s="906"/>
      <c r="AB93" s="906"/>
      <c r="AC93" s="906"/>
      <c r="AD93" s="906"/>
      <c r="AE93" s="914"/>
      <c r="AF93" s="902"/>
      <c r="AG93" s="906"/>
      <c r="AH93" s="906"/>
      <c r="AI93" s="906"/>
      <c r="AJ93" s="906"/>
      <c r="AK93" s="906"/>
      <c r="AL93" s="906"/>
      <c r="AM93" s="771"/>
      <c r="AN93" s="886"/>
      <c r="AO93" s="884"/>
    </row>
    <row r="94" spans="1:41" ht="12" customHeight="1" x14ac:dyDescent="0.2">
      <c r="T94" s="771"/>
      <c r="U94" s="773"/>
      <c r="V94" s="1266"/>
      <c r="W94" s="773"/>
      <c r="X94" s="902"/>
      <c r="Y94" s="906"/>
      <c r="Z94" s="906"/>
      <c r="AA94" s="906"/>
      <c r="AB94" s="906"/>
      <c r="AC94" s="906"/>
      <c r="AD94" s="906"/>
      <c r="AE94" s="914"/>
      <c r="AF94" s="902"/>
      <c r="AG94" s="906"/>
      <c r="AH94" s="906"/>
      <c r="AI94" s="906"/>
      <c r="AJ94" s="906"/>
      <c r="AK94" s="906"/>
      <c r="AL94" s="906"/>
      <c r="AM94" s="771"/>
      <c r="AN94" s="886"/>
      <c r="AO94" s="884"/>
    </row>
    <row r="95" spans="1:41" ht="12" customHeight="1" x14ac:dyDescent="0.2">
      <c r="T95" s="771"/>
      <c r="U95" s="773"/>
      <c r="V95" s="1266"/>
      <c r="W95" s="773"/>
      <c r="X95" s="820"/>
      <c r="Y95" s="908"/>
      <c r="Z95" s="908"/>
      <c r="AA95" s="908"/>
      <c r="AB95" s="908"/>
      <c r="AC95" s="908"/>
      <c r="AD95" s="908"/>
      <c r="AE95" s="820"/>
      <c r="AF95" s="820"/>
      <c r="AG95" s="908"/>
      <c r="AH95" s="908"/>
      <c r="AI95" s="908"/>
      <c r="AJ95" s="908"/>
      <c r="AK95" s="908"/>
      <c r="AL95" s="908"/>
      <c r="AM95" s="771"/>
      <c r="AN95" s="886"/>
      <c r="AO95" s="884"/>
    </row>
    <row r="96" spans="1:41" ht="12" customHeight="1" x14ac:dyDescent="0.2">
      <c r="T96" s="771"/>
      <c r="U96" s="773"/>
      <c r="V96" s="1266"/>
      <c r="W96" s="773"/>
      <c r="X96" s="910"/>
      <c r="Y96" s="911"/>
      <c r="Z96" s="911"/>
      <c r="AA96" s="911"/>
      <c r="AB96" s="911"/>
      <c r="AC96" s="911"/>
      <c r="AD96" s="911"/>
      <c r="AE96" s="915"/>
      <c r="AF96" s="910"/>
      <c r="AG96" s="911"/>
      <c r="AH96" s="911"/>
      <c r="AI96" s="911"/>
      <c r="AJ96" s="911"/>
      <c r="AK96" s="911"/>
      <c r="AL96" s="911"/>
      <c r="AM96" s="771"/>
      <c r="AN96" s="886"/>
      <c r="AO96" s="884"/>
    </row>
    <row r="97" spans="1:41" ht="12" customHeight="1" x14ac:dyDescent="0.2">
      <c r="T97" s="771"/>
      <c r="U97" s="773"/>
      <c r="V97" s="1266"/>
      <c r="W97" s="773"/>
      <c r="X97" s="887"/>
      <c r="Y97" s="911"/>
      <c r="Z97" s="911"/>
      <c r="AA97" s="911"/>
      <c r="AB97" s="911"/>
      <c r="AC97" s="911"/>
      <c r="AD97" s="911"/>
      <c r="AE97" s="914"/>
      <c r="AF97" s="887"/>
      <c r="AG97" s="911"/>
      <c r="AH97" s="911"/>
      <c r="AI97" s="911"/>
      <c r="AJ97" s="911"/>
      <c r="AK97" s="911"/>
      <c r="AL97" s="911"/>
      <c r="AM97" s="771"/>
      <c r="AN97" s="886"/>
      <c r="AO97" s="884"/>
    </row>
    <row r="98" spans="1:41" ht="12" customHeight="1" x14ac:dyDescent="0.2">
      <c r="T98" s="771"/>
      <c r="U98" s="773"/>
      <c r="V98" s="1266"/>
      <c r="W98" s="773"/>
      <c r="X98" s="887"/>
      <c r="Y98" s="911"/>
      <c r="Z98" s="911"/>
      <c r="AA98" s="911"/>
      <c r="AB98" s="911"/>
      <c r="AC98" s="911"/>
      <c r="AD98" s="911"/>
      <c r="AE98" s="914"/>
      <c r="AF98" s="887"/>
      <c r="AG98" s="911"/>
      <c r="AH98" s="911"/>
      <c r="AI98" s="911"/>
      <c r="AJ98" s="911"/>
      <c r="AK98" s="911"/>
      <c r="AL98" s="911"/>
      <c r="AM98" s="771"/>
      <c r="AN98" s="886"/>
      <c r="AO98" s="884"/>
    </row>
    <row r="99" spans="1:41" ht="12" customHeight="1" x14ac:dyDescent="0.2">
      <c r="T99" s="771"/>
      <c r="U99" s="773"/>
      <c r="V99" s="1266"/>
      <c r="W99" s="773"/>
      <c r="X99" s="773"/>
      <c r="Y99" s="773"/>
      <c r="Z99" s="773"/>
      <c r="AA99" s="773"/>
      <c r="AB99" s="773"/>
      <c r="AC99" s="820"/>
      <c r="AD99" s="820"/>
      <c r="AE99" s="916"/>
      <c r="AF99" s="917"/>
      <c r="AG99" s="907"/>
      <c r="AH99" s="909"/>
      <c r="AI99" s="909"/>
      <c r="AJ99" s="909"/>
      <c r="AK99" s="909"/>
      <c r="AL99" s="909"/>
      <c r="AM99" s="771"/>
      <c r="AN99" s="886"/>
      <c r="AO99" s="884"/>
    </row>
    <row r="100" spans="1:41" ht="12" customHeight="1" x14ac:dyDescent="0.2">
      <c r="T100" s="771"/>
      <c r="U100" s="773"/>
      <c r="V100" s="1266"/>
      <c r="W100" s="773"/>
      <c r="X100" s="891"/>
      <c r="Y100" s="891"/>
      <c r="Z100" s="892"/>
      <c r="AA100" s="892"/>
      <c r="AB100" s="892"/>
      <c r="AC100" s="892"/>
      <c r="AD100" s="893"/>
      <c r="AE100" s="916"/>
      <c r="AF100" s="891"/>
      <c r="AG100" s="891"/>
      <c r="AH100" s="892"/>
      <c r="AI100" s="892"/>
      <c r="AJ100" s="892"/>
      <c r="AK100" s="892"/>
      <c r="AL100" s="893"/>
      <c r="AM100" s="771"/>
      <c r="AN100" s="886"/>
      <c r="AO100" s="884"/>
    </row>
    <row r="101" spans="1:41" ht="12" customHeight="1" x14ac:dyDescent="0.2">
      <c r="T101" s="771"/>
      <c r="U101" s="773"/>
      <c r="V101" s="1266"/>
      <c r="W101" s="773"/>
      <c r="X101" s="894"/>
      <c r="Y101" s="894"/>
      <c r="Z101" s="892"/>
      <c r="AA101" s="892"/>
      <c r="AB101" s="892"/>
      <c r="AC101" s="892"/>
      <c r="AD101" s="895"/>
      <c r="AE101" s="909"/>
      <c r="AF101" s="894"/>
      <c r="AG101" s="894"/>
      <c r="AH101" s="892"/>
      <c r="AI101" s="892"/>
      <c r="AJ101" s="892"/>
      <c r="AK101" s="892"/>
      <c r="AL101" s="895"/>
      <c r="AM101" s="771"/>
      <c r="AN101" s="886"/>
      <c r="AO101" s="884"/>
    </row>
    <row r="102" spans="1:41" ht="12" customHeight="1" x14ac:dyDescent="0.2">
      <c r="A102" s="771"/>
      <c r="B102" s="1266"/>
      <c r="C102" s="771"/>
      <c r="D102" s="897"/>
      <c r="E102" s="897"/>
      <c r="F102" s="898"/>
      <c r="G102" s="898"/>
      <c r="H102" s="898"/>
      <c r="I102" s="899"/>
      <c r="J102" s="900"/>
      <c r="K102" s="918"/>
      <c r="L102" s="897"/>
      <c r="M102" s="897"/>
      <c r="N102" s="898"/>
      <c r="O102" s="898"/>
      <c r="P102" s="898"/>
      <c r="Q102" s="899"/>
      <c r="R102" s="900"/>
      <c r="S102" s="771"/>
      <c r="T102" s="771"/>
      <c r="U102" s="773"/>
      <c r="V102" s="1266"/>
      <c r="W102" s="773"/>
      <c r="X102" s="902"/>
      <c r="Y102" s="902"/>
      <c r="Z102" s="903"/>
      <c r="AA102" s="903"/>
      <c r="AB102" s="903"/>
      <c r="AC102" s="904"/>
      <c r="AD102" s="895"/>
      <c r="AE102" s="914"/>
      <c r="AF102" s="902"/>
      <c r="AG102" s="902"/>
      <c r="AH102" s="903"/>
      <c r="AI102" s="903"/>
      <c r="AJ102" s="903"/>
      <c r="AK102" s="904"/>
      <c r="AL102" s="895"/>
      <c r="AM102" s="771"/>
      <c r="AN102" s="886"/>
      <c r="AO102" s="884"/>
    </row>
    <row r="103" spans="1:41" ht="12" customHeight="1" x14ac:dyDescent="0.2">
      <c r="A103" s="771"/>
      <c r="B103" s="1266"/>
      <c r="C103" s="771"/>
      <c r="D103" s="771"/>
      <c r="E103" s="919"/>
      <c r="F103" s="919"/>
      <c r="G103" s="919"/>
      <c r="H103" s="919"/>
      <c r="I103" s="919"/>
      <c r="J103" s="919"/>
      <c r="K103" s="918"/>
      <c r="L103" s="771"/>
      <c r="M103" s="919"/>
      <c r="N103" s="919"/>
      <c r="O103" s="919"/>
      <c r="P103" s="919"/>
      <c r="Q103" s="919"/>
      <c r="R103" s="919"/>
      <c r="S103" s="771"/>
      <c r="T103" s="771"/>
      <c r="U103" s="773"/>
      <c r="V103" s="1266"/>
      <c r="W103" s="773"/>
      <c r="X103" s="773"/>
      <c r="Y103" s="905"/>
      <c r="Z103" s="905"/>
      <c r="AA103" s="905"/>
      <c r="AB103" s="905"/>
      <c r="AC103" s="905"/>
      <c r="AD103" s="905"/>
      <c r="AE103" s="914"/>
      <c r="AF103" s="773"/>
      <c r="AG103" s="905"/>
      <c r="AH103" s="905"/>
      <c r="AI103" s="905"/>
      <c r="AJ103" s="905"/>
      <c r="AK103" s="905"/>
      <c r="AL103" s="905"/>
      <c r="AM103" s="771"/>
      <c r="AN103" s="886"/>
      <c r="AO103" s="884"/>
    </row>
    <row r="104" spans="1:41" ht="12" customHeight="1" x14ac:dyDescent="0.2">
      <c r="A104" s="771"/>
      <c r="B104" s="1266"/>
      <c r="C104" s="771"/>
      <c r="D104" s="897"/>
      <c r="E104" s="920"/>
      <c r="F104" s="920"/>
      <c r="G104" s="920"/>
      <c r="H104" s="920"/>
      <c r="I104" s="920"/>
      <c r="J104" s="920"/>
      <c r="K104" s="918"/>
      <c r="L104" s="897"/>
      <c r="M104" s="920"/>
      <c r="N104" s="920"/>
      <c r="O104" s="920"/>
      <c r="P104" s="920"/>
      <c r="Q104" s="920"/>
      <c r="R104" s="920"/>
      <c r="S104" s="771"/>
      <c r="T104" s="771"/>
      <c r="U104" s="773"/>
      <c r="V104" s="1266"/>
      <c r="W104" s="773"/>
      <c r="X104" s="902"/>
      <c r="Y104" s="906"/>
      <c r="Z104" s="906"/>
      <c r="AA104" s="906"/>
      <c r="AB104" s="906"/>
      <c r="AC104" s="906"/>
      <c r="AD104" s="906"/>
      <c r="AE104" s="820"/>
      <c r="AF104" s="902"/>
      <c r="AG104" s="906"/>
      <c r="AH104" s="906"/>
      <c r="AI104" s="906"/>
      <c r="AJ104" s="906"/>
      <c r="AK104" s="906"/>
      <c r="AL104" s="906"/>
      <c r="AM104" s="771"/>
      <c r="AN104" s="886"/>
      <c r="AO104" s="884"/>
    </row>
    <row r="105" spans="1:41" ht="12" customHeight="1" x14ac:dyDescent="0.2">
      <c r="A105" s="771"/>
      <c r="B105" s="1266"/>
      <c r="C105" s="771"/>
      <c r="D105" s="897"/>
      <c r="E105" s="920"/>
      <c r="F105" s="920"/>
      <c r="G105" s="920"/>
      <c r="H105" s="920"/>
      <c r="I105" s="920"/>
      <c r="J105" s="920"/>
      <c r="K105" s="776"/>
      <c r="L105" s="897"/>
      <c r="M105" s="920"/>
      <c r="N105" s="920"/>
      <c r="O105" s="920"/>
      <c r="P105" s="920"/>
      <c r="Q105" s="920"/>
      <c r="R105" s="920"/>
      <c r="S105" s="771"/>
      <c r="T105" s="771"/>
      <c r="U105" s="773"/>
      <c r="V105" s="1266"/>
      <c r="W105" s="773"/>
      <c r="X105" s="902"/>
      <c r="Y105" s="906"/>
      <c r="Z105" s="906"/>
      <c r="AA105" s="906"/>
      <c r="AB105" s="906"/>
      <c r="AC105" s="906"/>
      <c r="AD105" s="906"/>
      <c r="AE105" s="915"/>
      <c r="AF105" s="902"/>
      <c r="AG105" s="906"/>
      <c r="AH105" s="906"/>
      <c r="AI105" s="906"/>
      <c r="AJ105" s="906"/>
      <c r="AK105" s="906"/>
      <c r="AL105" s="906"/>
      <c r="AM105" s="771"/>
      <c r="AN105" s="886"/>
      <c r="AO105" s="884"/>
    </row>
    <row r="106" spans="1:41" ht="12" customHeight="1" x14ac:dyDescent="0.2">
      <c r="A106" s="771"/>
      <c r="B106" s="1266"/>
      <c r="C106" s="771"/>
      <c r="D106" s="918"/>
      <c r="E106" s="921"/>
      <c r="F106" s="921"/>
      <c r="G106" s="921"/>
      <c r="H106" s="921"/>
      <c r="I106" s="921"/>
      <c r="J106" s="921"/>
      <c r="K106" s="918"/>
      <c r="L106" s="918"/>
      <c r="M106" s="921"/>
      <c r="N106" s="921"/>
      <c r="O106" s="921"/>
      <c r="P106" s="921"/>
      <c r="Q106" s="921"/>
      <c r="R106" s="921"/>
      <c r="S106" s="771"/>
      <c r="T106" s="771"/>
      <c r="U106" s="773"/>
      <c r="V106" s="1266"/>
      <c r="W106" s="773"/>
      <c r="X106" s="820"/>
      <c r="Y106" s="908"/>
      <c r="Z106" s="908"/>
      <c r="AA106" s="908"/>
      <c r="AB106" s="908"/>
      <c r="AC106" s="908"/>
      <c r="AD106" s="908"/>
      <c r="AE106" s="914"/>
      <c r="AF106" s="820"/>
      <c r="AG106" s="908"/>
      <c r="AH106" s="908"/>
      <c r="AI106" s="908"/>
      <c r="AJ106" s="908"/>
      <c r="AK106" s="908"/>
      <c r="AL106" s="908"/>
      <c r="AM106" s="771"/>
      <c r="AN106" s="886"/>
      <c r="AO106" s="884"/>
    </row>
    <row r="107" spans="1:41" ht="12" customHeight="1" x14ac:dyDescent="0.2">
      <c r="R107" s="922"/>
      <c r="S107" s="771"/>
      <c r="T107" s="771"/>
      <c r="U107" s="773"/>
      <c r="V107" s="1266"/>
      <c r="W107" s="773"/>
      <c r="X107" s="910"/>
      <c r="Y107" s="911"/>
      <c r="Z107" s="911"/>
      <c r="AA107" s="911"/>
      <c r="AB107" s="911"/>
      <c r="AC107" s="911"/>
      <c r="AD107" s="911"/>
      <c r="AE107" s="914"/>
      <c r="AF107" s="910"/>
      <c r="AG107" s="911"/>
      <c r="AH107" s="911"/>
      <c r="AI107" s="911"/>
      <c r="AJ107" s="911"/>
      <c r="AK107" s="911"/>
      <c r="AL107" s="911"/>
      <c r="AM107" s="771"/>
      <c r="AN107" s="886"/>
      <c r="AO107" s="884"/>
    </row>
    <row r="108" spans="1:41" ht="12" customHeight="1" x14ac:dyDescent="0.2">
      <c r="R108" s="922"/>
      <c r="S108" s="771"/>
      <c r="T108" s="771"/>
      <c r="U108" s="773"/>
      <c r="V108" s="1266"/>
      <c r="W108" s="773"/>
      <c r="X108" s="887"/>
      <c r="Y108" s="911"/>
      <c r="Z108" s="911"/>
      <c r="AA108" s="911"/>
      <c r="AB108" s="911"/>
      <c r="AC108" s="911"/>
      <c r="AD108" s="911"/>
      <c r="AE108" s="916"/>
      <c r="AF108" s="887"/>
      <c r="AG108" s="911"/>
      <c r="AH108" s="911"/>
      <c r="AI108" s="911"/>
      <c r="AJ108" s="911"/>
      <c r="AK108" s="911"/>
      <c r="AL108" s="911"/>
      <c r="AM108" s="771"/>
      <c r="AN108" s="886"/>
      <c r="AO108" s="884"/>
    </row>
    <row r="109" spans="1:41" ht="12" customHeight="1" x14ac:dyDescent="0.2">
      <c r="R109" s="922"/>
      <c r="S109" s="771"/>
      <c r="T109" s="771"/>
      <c r="U109" s="773"/>
      <c r="V109" s="1266"/>
      <c r="W109" s="773"/>
      <c r="X109" s="887"/>
      <c r="Y109" s="911"/>
      <c r="Z109" s="911"/>
      <c r="AA109" s="911"/>
      <c r="AB109" s="911"/>
      <c r="AC109" s="911"/>
      <c r="AD109" s="911"/>
      <c r="AE109" s="916"/>
      <c r="AF109" s="887"/>
      <c r="AG109" s="911"/>
      <c r="AH109" s="911"/>
      <c r="AI109" s="911"/>
      <c r="AJ109" s="911"/>
      <c r="AK109" s="911"/>
      <c r="AL109" s="911"/>
      <c r="AM109" s="771"/>
      <c r="AN109" s="886"/>
      <c r="AO109" s="884"/>
    </row>
    <row r="110" spans="1:41" ht="12" customHeight="1" x14ac:dyDescent="0.2">
      <c r="R110" s="913"/>
      <c r="S110" s="771"/>
      <c r="T110" s="771"/>
      <c r="U110" s="773"/>
      <c r="V110" s="1266"/>
      <c r="W110" s="773"/>
      <c r="X110" s="907"/>
      <c r="Y110" s="907"/>
      <c r="Z110" s="907"/>
      <c r="AA110" s="907"/>
      <c r="AB110" s="907"/>
      <c r="AC110" s="909"/>
      <c r="AD110" s="909"/>
      <c r="AE110" s="909"/>
      <c r="AF110" s="909"/>
      <c r="AG110" s="907"/>
      <c r="AH110" s="909"/>
      <c r="AI110" s="909"/>
      <c r="AJ110" s="909"/>
      <c r="AK110" s="909"/>
      <c r="AL110" s="909"/>
      <c r="AM110" s="771"/>
      <c r="AN110" s="886"/>
      <c r="AO110" s="884"/>
    </row>
    <row r="111" spans="1:41" ht="12" customHeight="1" x14ac:dyDescent="0.2">
      <c r="R111" s="923"/>
      <c r="S111" s="771"/>
      <c r="T111" s="771"/>
      <c r="U111" s="773"/>
      <c r="V111" s="1266"/>
      <c r="W111" s="773"/>
      <c r="X111" s="891"/>
      <c r="Y111" s="891"/>
      <c r="Z111" s="892"/>
      <c r="AA111" s="892"/>
      <c r="AB111" s="892"/>
      <c r="AC111" s="892"/>
      <c r="AD111" s="893"/>
      <c r="AE111" s="773"/>
      <c r="AF111" s="891"/>
      <c r="AG111" s="891"/>
      <c r="AH111" s="892"/>
      <c r="AI111" s="892"/>
      <c r="AJ111" s="892"/>
      <c r="AK111" s="892"/>
      <c r="AL111" s="893"/>
      <c r="AM111" s="771"/>
      <c r="AN111" s="886"/>
      <c r="AO111" s="884"/>
    </row>
    <row r="112" spans="1:41" ht="12" customHeight="1" x14ac:dyDescent="0.2">
      <c r="R112" s="900"/>
      <c r="S112" s="771"/>
      <c r="T112" s="771"/>
      <c r="U112" s="773"/>
      <c r="V112" s="1266"/>
      <c r="W112" s="773"/>
      <c r="X112" s="894"/>
      <c r="Y112" s="894"/>
      <c r="Z112" s="892"/>
      <c r="AA112" s="892"/>
      <c r="AB112" s="892"/>
      <c r="AC112" s="892"/>
      <c r="AD112" s="895"/>
      <c r="AE112" s="773"/>
      <c r="AF112" s="894"/>
      <c r="AG112" s="894"/>
      <c r="AH112" s="892"/>
      <c r="AI112" s="892"/>
      <c r="AJ112" s="892"/>
      <c r="AK112" s="892"/>
      <c r="AL112" s="895"/>
      <c r="AM112" s="771"/>
      <c r="AN112" s="886"/>
      <c r="AO112" s="884"/>
    </row>
    <row r="113" spans="1:41" ht="12" customHeight="1" x14ac:dyDescent="0.2">
      <c r="A113" s="771"/>
      <c r="B113" s="1266"/>
      <c r="C113" s="771"/>
      <c r="D113" s="897"/>
      <c r="E113" s="897"/>
      <c r="F113" s="898"/>
      <c r="G113" s="898"/>
      <c r="H113" s="898"/>
      <c r="I113" s="899"/>
      <c r="J113" s="900"/>
      <c r="K113" s="771"/>
      <c r="L113" s="897"/>
      <c r="M113" s="897"/>
      <c r="N113" s="898"/>
      <c r="O113" s="898"/>
      <c r="P113" s="898"/>
      <c r="Q113" s="899"/>
      <c r="R113" s="900"/>
      <c r="S113" s="771"/>
      <c r="T113" s="771"/>
      <c r="U113" s="773"/>
      <c r="V113" s="1266"/>
      <c r="W113" s="773"/>
      <c r="X113" s="902"/>
      <c r="Y113" s="902"/>
      <c r="Z113" s="903"/>
      <c r="AA113" s="903"/>
      <c r="AB113" s="903"/>
      <c r="AC113" s="904"/>
      <c r="AD113" s="895"/>
      <c r="AE113" s="773"/>
      <c r="AF113" s="902"/>
      <c r="AG113" s="902"/>
      <c r="AH113" s="903"/>
      <c r="AI113" s="903"/>
      <c r="AJ113" s="903"/>
      <c r="AK113" s="904"/>
      <c r="AL113" s="895"/>
      <c r="AM113" s="771"/>
      <c r="AN113" s="886"/>
      <c r="AO113" s="884"/>
    </row>
    <row r="114" spans="1:41" ht="12" customHeight="1" x14ac:dyDescent="0.2">
      <c r="A114" s="771"/>
      <c r="B114" s="1266"/>
      <c r="C114" s="771"/>
      <c r="D114" s="771"/>
      <c r="E114" s="919"/>
      <c r="F114" s="919"/>
      <c r="G114" s="919"/>
      <c r="H114" s="919"/>
      <c r="I114" s="919"/>
      <c r="J114" s="919"/>
      <c r="K114" s="771"/>
      <c r="L114" s="771"/>
      <c r="M114" s="919"/>
      <c r="N114" s="919"/>
      <c r="O114" s="919"/>
      <c r="P114" s="919"/>
      <c r="Q114" s="919"/>
      <c r="R114" s="919"/>
      <c r="S114" s="771"/>
      <c r="T114" s="771"/>
      <c r="U114" s="773"/>
      <c r="V114" s="1266"/>
      <c r="W114" s="773"/>
      <c r="X114" s="773"/>
      <c r="Y114" s="905"/>
      <c r="Z114" s="905"/>
      <c r="AA114" s="905"/>
      <c r="AB114" s="905"/>
      <c r="AC114" s="905"/>
      <c r="AD114" s="905"/>
      <c r="AE114" s="773"/>
      <c r="AF114" s="773"/>
      <c r="AG114" s="905"/>
      <c r="AH114" s="905"/>
      <c r="AI114" s="905"/>
      <c r="AJ114" s="905"/>
      <c r="AK114" s="905"/>
      <c r="AL114" s="905"/>
      <c r="AM114" s="771"/>
      <c r="AN114" s="886"/>
      <c r="AO114" s="884"/>
    </row>
    <row r="115" spans="1:41" ht="12" customHeight="1" x14ac:dyDescent="0.2">
      <c r="A115" s="771"/>
      <c r="B115" s="1266"/>
      <c r="C115" s="771"/>
      <c r="D115" s="897"/>
      <c r="E115" s="920"/>
      <c r="F115" s="920"/>
      <c r="G115" s="920"/>
      <c r="H115" s="920"/>
      <c r="I115" s="920"/>
      <c r="J115" s="920"/>
      <c r="K115" s="771"/>
      <c r="L115" s="897"/>
      <c r="M115" s="920"/>
      <c r="N115" s="920"/>
      <c r="O115" s="920"/>
      <c r="P115" s="920"/>
      <c r="Q115" s="920"/>
      <c r="R115" s="920"/>
      <c r="S115" s="771"/>
      <c r="T115" s="771"/>
      <c r="U115" s="773"/>
      <c r="V115" s="1266"/>
      <c r="W115" s="773"/>
      <c r="X115" s="902"/>
      <c r="Y115" s="906"/>
      <c r="Z115" s="906"/>
      <c r="AA115" s="906"/>
      <c r="AB115" s="906"/>
      <c r="AC115" s="906"/>
      <c r="AD115" s="906"/>
      <c r="AE115" s="773"/>
      <c r="AF115" s="902"/>
      <c r="AG115" s="906"/>
      <c r="AH115" s="906"/>
      <c r="AI115" s="906"/>
      <c r="AJ115" s="906"/>
      <c r="AK115" s="906"/>
      <c r="AL115" s="906"/>
      <c r="AM115" s="771"/>
      <c r="AN115" s="886"/>
      <c r="AO115" s="884"/>
    </row>
    <row r="116" spans="1:41" ht="12" customHeight="1" x14ac:dyDescent="0.2">
      <c r="A116" s="771"/>
      <c r="B116" s="1266"/>
      <c r="C116" s="771"/>
      <c r="D116" s="897"/>
      <c r="E116" s="920"/>
      <c r="F116" s="920"/>
      <c r="G116" s="920"/>
      <c r="H116" s="920"/>
      <c r="I116" s="920"/>
      <c r="J116" s="920"/>
      <c r="K116" s="771"/>
      <c r="L116" s="897"/>
      <c r="M116" s="920"/>
      <c r="N116" s="920"/>
      <c r="O116" s="920"/>
      <c r="P116" s="920"/>
      <c r="Q116" s="920"/>
      <c r="R116" s="920"/>
      <c r="S116" s="771"/>
      <c r="T116" s="771"/>
      <c r="U116" s="773"/>
      <c r="V116" s="1266"/>
      <c r="W116" s="773"/>
      <c r="X116" s="902"/>
      <c r="Y116" s="906"/>
      <c r="Z116" s="906"/>
      <c r="AA116" s="906"/>
      <c r="AB116" s="906"/>
      <c r="AC116" s="906"/>
      <c r="AD116" s="906"/>
      <c r="AE116" s="773"/>
      <c r="AF116" s="902"/>
      <c r="AG116" s="906"/>
      <c r="AH116" s="906"/>
      <c r="AI116" s="906"/>
      <c r="AJ116" s="906"/>
      <c r="AK116" s="906"/>
      <c r="AL116" s="906"/>
      <c r="AM116" s="771"/>
      <c r="AN116" s="886"/>
      <c r="AO116" s="884"/>
    </row>
    <row r="117" spans="1:41" ht="12" customHeight="1" x14ac:dyDescent="0.2">
      <c r="A117" s="771"/>
      <c r="B117" s="1266"/>
      <c r="C117" s="771"/>
      <c r="D117" s="918"/>
      <c r="E117" s="921"/>
      <c r="F117" s="921"/>
      <c r="G117" s="921"/>
      <c r="H117" s="921"/>
      <c r="I117" s="921"/>
      <c r="J117" s="921"/>
      <c r="K117" s="771"/>
      <c r="L117" s="918"/>
      <c r="M117" s="921"/>
      <c r="N117" s="921"/>
      <c r="O117" s="921"/>
      <c r="P117" s="921"/>
      <c r="Q117" s="921"/>
      <c r="R117" s="921"/>
      <c r="S117" s="771"/>
      <c r="T117" s="771"/>
      <c r="U117" s="773"/>
      <c r="V117" s="1266"/>
      <c r="W117" s="773"/>
      <c r="X117" s="820"/>
      <c r="Y117" s="908"/>
      <c r="Z117" s="908"/>
      <c r="AA117" s="908"/>
      <c r="AB117" s="908"/>
      <c r="AC117" s="908"/>
      <c r="AD117" s="908"/>
      <c r="AE117" s="773"/>
      <c r="AF117" s="820"/>
      <c r="AG117" s="908"/>
      <c r="AH117" s="908"/>
      <c r="AI117" s="908"/>
      <c r="AJ117" s="908"/>
      <c r="AK117" s="908"/>
      <c r="AL117" s="908"/>
      <c r="AM117" s="771"/>
      <c r="AN117" s="886"/>
      <c r="AO117" s="884"/>
    </row>
    <row r="118" spans="1:41" ht="12" customHeight="1" x14ac:dyDescent="0.2">
      <c r="S118" s="771"/>
      <c r="T118" s="771"/>
      <c r="U118" s="773"/>
      <c r="V118" s="1266"/>
      <c r="W118" s="773"/>
      <c r="X118" s="910"/>
      <c r="Y118" s="911"/>
      <c r="Z118" s="911"/>
      <c r="AA118" s="911"/>
      <c r="AB118" s="911"/>
      <c r="AC118" s="911"/>
      <c r="AD118" s="911"/>
      <c r="AE118" s="773"/>
      <c r="AF118" s="910"/>
      <c r="AG118" s="911"/>
      <c r="AH118" s="911"/>
      <c r="AI118" s="911"/>
      <c r="AJ118" s="911"/>
      <c r="AK118" s="911"/>
      <c r="AL118" s="911"/>
      <c r="AM118" s="771"/>
      <c r="AN118" s="886"/>
      <c r="AO118" s="884"/>
    </row>
    <row r="119" spans="1:41" ht="12" customHeight="1" x14ac:dyDescent="0.2">
      <c r="S119" s="771"/>
      <c r="T119" s="771"/>
      <c r="U119" s="773"/>
      <c r="V119" s="1266"/>
      <c r="W119" s="773"/>
      <c r="X119" s="887"/>
      <c r="Y119" s="911"/>
      <c r="Z119" s="911"/>
      <c r="AA119" s="911"/>
      <c r="AB119" s="911"/>
      <c r="AC119" s="911"/>
      <c r="AD119" s="911"/>
      <c r="AE119" s="773"/>
      <c r="AF119" s="887"/>
      <c r="AG119" s="911"/>
      <c r="AH119" s="911"/>
      <c r="AI119" s="911"/>
      <c r="AJ119" s="911"/>
      <c r="AK119" s="911"/>
      <c r="AL119" s="911"/>
      <c r="AM119" s="771"/>
      <c r="AN119" s="886"/>
      <c r="AO119" s="884"/>
    </row>
    <row r="120" spans="1:41" ht="12" customHeight="1" x14ac:dyDescent="0.2">
      <c r="S120" s="771"/>
      <c r="T120" s="771"/>
      <c r="U120" s="773"/>
      <c r="V120" s="1266"/>
      <c r="W120" s="773"/>
      <c r="X120" s="887"/>
      <c r="Y120" s="911"/>
      <c r="Z120" s="911"/>
      <c r="AA120" s="911"/>
      <c r="AB120" s="911"/>
      <c r="AC120" s="911"/>
      <c r="AD120" s="911"/>
      <c r="AE120" s="773"/>
      <c r="AF120" s="887"/>
      <c r="AG120" s="911"/>
      <c r="AH120" s="911"/>
      <c r="AI120" s="911"/>
      <c r="AJ120" s="911"/>
      <c r="AK120" s="911"/>
      <c r="AL120" s="911"/>
      <c r="AM120" s="771"/>
      <c r="AN120" s="886"/>
      <c r="AO120" s="884"/>
    </row>
    <row r="121" spans="1:41" ht="12" customHeight="1" x14ac:dyDescent="0.2">
      <c r="S121" s="771"/>
      <c r="T121" s="771"/>
      <c r="U121" s="773"/>
      <c r="V121" s="1266"/>
      <c r="W121" s="773"/>
      <c r="X121" s="773"/>
      <c r="Y121" s="773"/>
      <c r="Z121" s="773"/>
      <c r="AA121" s="773"/>
      <c r="AB121" s="773"/>
      <c r="AC121" s="773"/>
      <c r="AD121" s="773"/>
      <c r="AE121" s="773"/>
      <c r="AF121" s="773"/>
      <c r="AG121" s="773"/>
      <c r="AH121" s="773"/>
      <c r="AI121" s="773"/>
      <c r="AJ121" s="773"/>
      <c r="AK121" s="773"/>
      <c r="AL121" s="773"/>
      <c r="AM121" s="771"/>
      <c r="AN121" s="886"/>
      <c r="AO121" s="884"/>
    </row>
    <row r="122" spans="1:41" ht="12" customHeight="1" x14ac:dyDescent="0.2">
      <c r="S122" s="771"/>
      <c r="T122" s="771"/>
      <c r="U122" s="773"/>
      <c r="V122" s="1266"/>
      <c r="W122" s="773"/>
      <c r="X122" s="891"/>
      <c r="Y122" s="891"/>
      <c r="Z122" s="892"/>
      <c r="AA122" s="892"/>
      <c r="AB122" s="892"/>
      <c r="AC122" s="892"/>
      <c r="AD122" s="893"/>
      <c r="AE122" s="924"/>
      <c r="AF122" s="891"/>
      <c r="AG122" s="891"/>
      <c r="AH122" s="892"/>
      <c r="AI122" s="892"/>
      <c r="AJ122" s="892"/>
      <c r="AK122" s="892"/>
      <c r="AL122" s="893"/>
      <c r="AM122" s="771"/>
      <c r="AN122" s="886"/>
      <c r="AO122" s="884"/>
    </row>
    <row r="123" spans="1:41" ht="12" customHeight="1" x14ac:dyDescent="0.2">
      <c r="S123" s="771"/>
      <c r="T123" s="771"/>
      <c r="U123" s="773"/>
      <c r="V123" s="1266"/>
      <c r="W123" s="773"/>
      <c r="X123" s="894"/>
      <c r="Y123" s="894"/>
      <c r="Z123" s="892"/>
      <c r="AA123" s="892"/>
      <c r="AB123" s="892"/>
      <c r="AC123" s="892"/>
      <c r="AD123" s="895"/>
      <c r="AE123" s="925"/>
      <c r="AF123" s="894"/>
      <c r="AG123" s="894"/>
      <c r="AH123" s="892"/>
      <c r="AI123" s="892"/>
      <c r="AJ123" s="892"/>
      <c r="AK123" s="892"/>
      <c r="AL123" s="895"/>
      <c r="AM123" s="771"/>
      <c r="AN123" s="886"/>
      <c r="AO123" s="884"/>
    </row>
    <row r="124" spans="1:41" ht="12" customHeight="1" x14ac:dyDescent="0.2">
      <c r="S124" s="771"/>
      <c r="T124" s="771"/>
      <c r="U124" s="773"/>
      <c r="V124" s="1266"/>
      <c r="W124" s="773"/>
      <c r="X124" s="902"/>
      <c r="Y124" s="902"/>
      <c r="Z124" s="903"/>
      <c r="AA124" s="903"/>
      <c r="AB124" s="903"/>
      <c r="AC124" s="904"/>
      <c r="AD124" s="895"/>
      <c r="AE124" s="903"/>
      <c r="AF124" s="902"/>
      <c r="AG124" s="902"/>
      <c r="AH124" s="903"/>
      <c r="AI124" s="903"/>
      <c r="AJ124" s="903"/>
      <c r="AK124" s="904"/>
      <c r="AL124" s="895"/>
      <c r="AM124" s="771"/>
      <c r="AN124" s="886"/>
      <c r="AO124" s="884"/>
    </row>
    <row r="125" spans="1:41" ht="12" customHeight="1" x14ac:dyDescent="0.2">
      <c r="S125" s="771"/>
      <c r="T125" s="771"/>
      <c r="U125" s="773"/>
      <c r="V125" s="1266"/>
      <c r="W125" s="773"/>
      <c r="X125" s="773"/>
      <c r="Y125" s="905"/>
      <c r="Z125" s="905"/>
      <c r="AA125" s="905"/>
      <c r="AB125" s="905"/>
      <c r="AC125" s="905"/>
      <c r="AD125" s="905"/>
      <c r="AE125" s="903"/>
      <c r="AF125" s="773"/>
      <c r="AG125" s="905"/>
      <c r="AH125" s="905"/>
      <c r="AI125" s="905"/>
      <c r="AJ125" s="905"/>
      <c r="AK125" s="905"/>
      <c r="AL125" s="905"/>
      <c r="AM125" s="771"/>
      <c r="AN125" s="886"/>
      <c r="AO125" s="884"/>
    </row>
    <row r="126" spans="1:41" ht="12" customHeight="1" x14ac:dyDescent="0.2">
      <c r="S126" s="771"/>
      <c r="T126" s="771"/>
      <c r="U126" s="773"/>
      <c r="V126" s="1266"/>
      <c r="W126" s="773"/>
      <c r="X126" s="902"/>
      <c r="Y126" s="906"/>
      <c r="Z126" s="906"/>
      <c r="AA126" s="906"/>
      <c r="AB126" s="906"/>
      <c r="AC126" s="906"/>
      <c r="AD126" s="906"/>
      <c r="AE126" s="903"/>
      <c r="AF126" s="902"/>
      <c r="AG126" s="906"/>
      <c r="AH126" s="906"/>
      <c r="AI126" s="906"/>
      <c r="AJ126" s="906"/>
      <c r="AK126" s="906"/>
      <c r="AL126" s="906"/>
      <c r="AM126" s="771"/>
      <c r="AN126" s="886"/>
      <c r="AO126" s="884"/>
    </row>
    <row r="127" spans="1:41" ht="12" customHeight="1" x14ac:dyDescent="0.2">
      <c r="S127" s="771"/>
      <c r="T127" s="771"/>
      <c r="U127" s="773"/>
      <c r="V127" s="1266"/>
      <c r="W127" s="773"/>
      <c r="X127" s="902"/>
      <c r="Y127" s="906"/>
      <c r="Z127" s="906"/>
      <c r="AA127" s="906"/>
      <c r="AB127" s="906"/>
      <c r="AC127" s="906"/>
      <c r="AD127" s="906"/>
      <c r="AE127" s="903"/>
      <c r="AF127" s="902"/>
      <c r="AG127" s="906"/>
      <c r="AH127" s="906"/>
      <c r="AI127" s="906"/>
      <c r="AJ127" s="906"/>
      <c r="AK127" s="906"/>
      <c r="AL127" s="906"/>
      <c r="AM127" s="771"/>
      <c r="AN127" s="886"/>
      <c r="AO127" s="884"/>
    </row>
    <row r="128" spans="1:41" ht="12" customHeight="1" x14ac:dyDescent="0.2">
      <c r="A128" s="771"/>
      <c r="B128" s="1266"/>
      <c r="C128" s="771"/>
      <c r="D128" s="918"/>
      <c r="E128" s="921"/>
      <c r="F128" s="921"/>
      <c r="G128" s="921"/>
      <c r="H128" s="921"/>
      <c r="I128" s="921"/>
      <c r="J128" s="921"/>
      <c r="K128" s="898"/>
      <c r="L128" s="918"/>
      <c r="M128" s="921"/>
      <c r="N128" s="921"/>
      <c r="O128" s="921"/>
      <c r="P128" s="921"/>
      <c r="Q128" s="921"/>
      <c r="R128" s="921"/>
      <c r="S128" s="771"/>
      <c r="T128" s="771"/>
      <c r="U128" s="773"/>
      <c r="V128" s="1266"/>
      <c r="W128" s="773"/>
      <c r="X128" s="820"/>
      <c r="Y128" s="908"/>
      <c r="Z128" s="908"/>
      <c r="AA128" s="908"/>
      <c r="AB128" s="908"/>
      <c r="AC128" s="908"/>
      <c r="AD128" s="908"/>
      <c r="AE128" s="903"/>
      <c r="AF128" s="820"/>
      <c r="AG128" s="908"/>
      <c r="AH128" s="908"/>
      <c r="AI128" s="908"/>
      <c r="AJ128" s="908"/>
      <c r="AK128" s="908"/>
      <c r="AL128" s="908"/>
      <c r="AM128" s="771"/>
      <c r="AN128" s="886"/>
      <c r="AO128" s="884"/>
    </row>
    <row r="129" spans="1:41" ht="12" customHeight="1" x14ac:dyDescent="0.2">
      <c r="T129" s="771"/>
      <c r="U129" s="773"/>
      <c r="V129" s="1266"/>
      <c r="W129" s="773"/>
      <c r="X129" s="910"/>
      <c r="Y129" s="911"/>
      <c r="Z129" s="911"/>
      <c r="AA129" s="911"/>
      <c r="AB129" s="911"/>
      <c r="AC129" s="911"/>
      <c r="AD129" s="911"/>
      <c r="AE129" s="903"/>
      <c r="AF129" s="910"/>
      <c r="AG129" s="911"/>
      <c r="AH129" s="911"/>
      <c r="AI129" s="911"/>
      <c r="AJ129" s="911"/>
      <c r="AK129" s="911"/>
      <c r="AL129" s="911"/>
      <c r="AM129" s="771"/>
      <c r="AN129" s="886"/>
      <c r="AO129" s="884"/>
    </row>
    <row r="130" spans="1:41" ht="12" customHeight="1" x14ac:dyDescent="0.2">
      <c r="T130" s="771"/>
      <c r="U130" s="773"/>
      <c r="V130" s="1266"/>
      <c r="W130" s="773"/>
      <c r="X130" s="887"/>
      <c r="Y130" s="911"/>
      <c r="Z130" s="911"/>
      <c r="AA130" s="911"/>
      <c r="AB130" s="911"/>
      <c r="AC130" s="911"/>
      <c r="AD130" s="911"/>
      <c r="AE130" s="903"/>
      <c r="AF130" s="887"/>
      <c r="AG130" s="911"/>
      <c r="AH130" s="911"/>
      <c r="AI130" s="911"/>
      <c r="AJ130" s="911"/>
      <c r="AK130" s="911"/>
      <c r="AL130" s="911"/>
      <c r="AM130" s="771"/>
      <c r="AN130" s="886"/>
      <c r="AO130" s="884"/>
    </row>
    <row r="131" spans="1:41" ht="12" customHeight="1" x14ac:dyDescent="0.2">
      <c r="T131" s="771"/>
      <c r="U131" s="773"/>
      <c r="V131" s="1266"/>
      <c r="W131" s="773"/>
      <c r="X131" s="887"/>
      <c r="Y131" s="911"/>
      <c r="Z131" s="911"/>
      <c r="AA131" s="911"/>
      <c r="AB131" s="911"/>
      <c r="AC131" s="911"/>
      <c r="AD131" s="911"/>
      <c r="AE131" s="903"/>
      <c r="AF131" s="887"/>
      <c r="AG131" s="911"/>
      <c r="AH131" s="911"/>
      <c r="AI131" s="911"/>
      <c r="AJ131" s="911"/>
      <c r="AK131" s="911"/>
      <c r="AL131" s="911"/>
      <c r="AM131" s="771"/>
      <c r="AN131" s="886"/>
      <c r="AO131" s="884"/>
    </row>
    <row r="132" spans="1:41" ht="12" customHeight="1" x14ac:dyDescent="0.2">
      <c r="T132" s="771"/>
      <c r="U132" s="773"/>
      <c r="V132" s="1266"/>
      <c r="W132" s="773"/>
      <c r="X132" s="926"/>
      <c r="Y132" s="907"/>
      <c r="Z132" s="909"/>
      <c r="AA132" s="909"/>
      <c r="AB132" s="909"/>
      <c r="AC132" s="820"/>
      <c r="AD132" s="908"/>
      <c r="AE132" s="903"/>
      <c r="AF132" s="926"/>
      <c r="AG132" s="907"/>
      <c r="AH132" s="907"/>
      <c r="AI132" s="907"/>
      <c r="AJ132" s="907"/>
      <c r="AK132" s="820"/>
      <c r="AL132" s="908"/>
      <c r="AM132" s="771"/>
      <c r="AN132" s="886"/>
      <c r="AO132" s="884"/>
    </row>
    <row r="133" spans="1:41" ht="12" customHeight="1" x14ac:dyDescent="0.2">
      <c r="T133" s="771"/>
      <c r="U133" s="773"/>
      <c r="V133" s="1266"/>
      <c r="W133" s="773"/>
      <c r="X133" s="773"/>
      <c r="Y133" s="773"/>
      <c r="Z133" s="773"/>
      <c r="AA133" s="773"/>
      <c r="AB133" s="773"/>
      <c r="AC133" s="773"/>
      <c r="AD133" s="773"/>
      <c r="AE133" s="773"/>
      <c r="AF133" s="773"/>
      <c r="AG133" s="773"/>
      <c r="AH133" s="773"/>
      <c r="AI133" s="773"/>
      <c r="AJ133" s="773"/>
      <c r="AK133" s="773"/>
      <c r="AL133" s="773"/>
      <c r="AM133" s="913"/>
      <c r="AN133" s="886"/>
      <c r="AO133" s="884"/>
    </row>
    <row r="134" spans="1:41" ht="12" customHeight="1" x14ac:dyDescent="0.2">
      <c r="T134" s="771"/>
      <c r="U134" s="773"/>
      <c r="V134" s="1266"/>
      <c r="W134" s="773"/>
      <c r="X134" s="773"/>
      <c r="Y134" s="773"/>
      <c r="Z134" s="773"/>
      <c r="AA134" s="773"/>
      <c r="AB134" s="773"/>
      <c r="AC134" s="773"/>
      <c r="AD134" s="773"/>
      <c r="AE134" s="773"/>
      <c r="AF134" s="773"/>
      <c r="AG134" s="773"/>
      <c r="AH134" s="773"/>
      <c r="AI134" s="773"/>
      <c r="AJ134" s="773"/>
      <c r="AK134" s="773"/>
      <c r="AL134" s="773"/>
      <c r="AM134" s="913"/>
      <c r="AN134" s="886"/>
      <c r="AO134" s="884"/>
    </row>
    <row r="135" spans="1:41" ht="12" customHeight="1" x14ac:dyDescent="0.2">
      <c r="T135" s="771"/>
      <c r="U135" s="773"/>
      <c r="V135" s="1266"/>
      <c r="W135" s="773"/>
      <c r="X135" s="773"/>
      <c r="Y135" s="773"/>
      <c r="Z135" s="773"/>
      <c r="AA135" s="773"/>
      <c r="AB135" s="773"/>
      <c r="AC135" s="773"/>
      <c r="AD135" s="773"/>
      <c r="AE135" s="773"/>
      <c r="AF135" s="773"/>
      <c r="AG135" s="773"/>
      <c r="AH135" s="773"/>
      <c r="AI135" s="773"/>
      <c r="AJ135" s="773"/>
      <c r="AK135" s="773"/>
      <c r="AL135" s="773"/>
      <c r="AM135" s="771"/>
      <c r="AN135" s="886"/>
      <c r="AO135" s="884"/>
    </row>
    <row r="136" spans="1:41" ht="12" customHeight="1" x14ac:dyDescent="0.2">
      <c r="T136" s="771"/>
      <c r="U136" s="773"/>
      <c r="V136" s="1266"/>
      <c r="W136" s="773"/>
      <c r="X136" s="773"/>
      <c r="Y136" s="773"/>
      <c r="Z136" s="773"/>
      <c r="AA136" s="773"/>
      <c r="AB136" s="773"/>
      <c r="AC136" s="773"/>
      <c r="AD136" s="773"/>
      <c r="AE136" s="773"/>
      <c r="AF136" s="773"/>
      <c r="AG136" s="773"/>
      <c r="AH136" s="773"/>
      <c r="AI136" s="773"/>
      <c r="AJ136" s="773"/>
      <c r="AK136" s="773"/>
      <c r="AL136" s="773"/>
      <c r="AM136" s="771"/>
      <c r="AN136" s="886"/>
      <c r="AO136" s="884"/>
    </row>
    <row r="137" spans="1:41" ht="12" customHeight="1" x14ac:dyDescent="0.2">
      <c r="T137" s="771"/>
      <c r="U137" s="773"/>
      <c r="V137" s="1266"/>
      <c r="W137" s="773"/>
      <c r="X137" s="887"/>
      <c r="Y137" s="887"/>
      <c r="Z137" s="887"/>
      <c r="AA137" s="887"/>
      <c r="AB137" s="887"/>
      <c r="AC137" s="887"/>
      <c r="AD137" s="887"/>
      <c r="AE137" s="887"/>
      <c r="AF137" s="887"/>
      <c r="AG137" s="887"/>
      <c r="AH137" s="887"/>
      <c r="AI137" s="887"/>
      <c r="AJ137" s="887"/>
      <c r="AK137" s="887"/>
      <c r="AL137" s="887"/>
      <c r="AM137" s="771"/>
      <c r="AN137" s="886"/>
      <c r="AO137" s="884"/>
    </row>
    <row r="138" spans="1:41" ht="12" customHeight="1" x14ac:dyDescent="0.2">
      <c r="T138" s="771"/>
      <c r="U138" s="773"/>
      <c r="V138" s="1266"/>
      <c r="W138" s="773"/>
      <c r="X138" s="887"/>
      <c r="Y138" s="887"/>
      <c r="Z138" s="887"/>
      <c r="AA138" s="887"/>
      <c r="AB138" s="887"/>
      <c r="AC138" s="887"/>
      <c r="AD138" s="887"/>
      <c r="AE138" s="888"/>
      <c r="AF138" s="889"/>
      <c r="AG138" s="889"/>
      <c r="AH138" s="889"/>
      <c r="AI138" s="889"/>
      <c r="AJ138" s="889"/>
      <c r="AK138" s="889"/>
      <c r="AL138" s="890"/>
      <c r="AM138" s="771"/>
      <c r="AN138" s="886"/>
      <c r="AO138" s="884"/>
    </row>
    <row r="139" spans="1:41" ht="12" customHeight="1" x14ac:dyDescent="0.2">
      <c r="A139" s="771"/>
      <c r="B139" s="1266"/>
      <c r="C139" s="771"/>
      <c r="D139" s="927"/>
      <c r="E139" s="927"/>
      <c r="F139" s="927"/>
      <c r="G139" s="927"/>
      <c r="H139" s="927"/>
      <c r="I139" s="927"/>
      <c r="J139" s="927"/>
      <c r="K139" s="897"/>
      <c r="L139" s="897"/>
      <c r="M139" s="897"/>
      <c r="N139" s="897"/>
      <c r="O139" s="897"/>
      <c r="P139" s="897"/>
      <c r="Q139" s="897"/>
      <c r="R139" s="927"/>
      <c r="S139" s="771"/>
      <c r="T139" s="771"/>
      <c r="U139" s="773"/>
      <c r="V139" s="1266"/>
      <c r="W139" s="773"/>
      <c r="X139" s="887"/>
      <c r="Y139" s="887"/>
      <c r="Z139" s="887"/>
      <c r="AA139" s="887"/>
      <c r="AB139" s="887"/>
      <c r="AC139" s="887"/>
      <c r="AD139" s="887"/>
      <c r="AE139" s="889"/>
      <c r="AF139" s="889"/>
      <c r="AG139" s="889"/>
      <c r="AH139" s="889"/>
      <c r="AI139" s="889"/>
      <c r="AJ139" s="889"/>
      <c r="AK139" s="889"/>
      <c r="AL139" s="887"/>
      <c r="AM139" s="771"/>
      <c r="AN139" s="886"/>
      <c r="AO139" s="884"/>
    </row>
    <row r="140" spans="1:41" ht="12" customHeight="1" x14ac:dyDescent="0.2">
      <c r="A140" s="771"/>
      <c r="B140" s="1266"/>
      <c r="C140" s="771"/>
      <c r="D140" s="927"/>
      <c r="E140" s="927"/>
      <c r="F140" s="927"/>
      <c r="G140" s="927"/>
      <c r="H140" s="927"/>
      <c r="I140" s="927"/>
      <c r="J140" s="927"/>
      <c r="K140" s="928"/>
      <c r="L140" s="897"/>
      <c r="M140" s="897"/>
      <c r="N140" s="897"/>
      <c r="O140" s="897"/>
      <c r="P140" s="897"/>
      <c r="Q140" s="897"/>
      <c r="R140" s="927"/>
      <c r="S140" s="771"/>
      <c r="T140" s="771"/>
      <c r="U140" s="773"/>
      <c r="V140" s="1266"/>
      <c r="W140" s="773"/>
      <c r="X140" s="887"/>
      <c r="Y140" s="887"/>
      <c r="Z140" s="887"/>
      <c r="AA140" s="887"/>
      <c r="AB140" s="887"/>
      <c r="AC140" s="887"/>
      <c r="AD140" s="887"/>
      <c r="AE140" s="888"/>
      <c r="AF140" s="889"/>
      <c r="AG140" s="889"/>
      <c r="AH140" s="889"/>
      <c r="AI140" s="889"/>
      <c r="AJ140" s="889"/>
      <c r="AK140" s="889"/>
      <c r="AL140" s="887"/>
      <c r="AM140" s="771"/>
      <c r="AN140" s="886"/>
      <c r="AO140" s="884"/>
    </row>
    <row r="141" spans="1:41" ht="12" customHeight="1" x14ac:dyDescent="0.2">
      <c r="A141" s="771"/>
      <c r="B141" s="1266"/>
      <c r="C141" s="771"/>
      <c r="D141" s="927"/>
      <c r="E141" s="927"/>
      <c r="F141" s="927"/>
      <c r="G141" s="927"/>
      <c r="H141" s="927"/>
      <c r="I141" s="927"/>
      <c r="J141" s="927"/>
      <c r="K141" s="897"/>
      <c r="L141" s="897"/>
      <c r="M141" s="897"/>
      <c r="N141" s="897"/>
      <c r="O141" s="897"/>
      <c r="P141" s="897"/>
      <c r="Q141" s="897"/>
      <c r="R141" s="927"/>
      <c r="S141" s="771"/>
      <c r="T141" s="771"/>
      <c r="U141" s="773"/>
      <c r="V141" s="1266"/>
      <c r="W141" s="773"/>
      <c r="X141" s="887"/>
      <c r="Y141" s="887"/>
      <c r="Z141" s="887"/>
      <c r="AA141" s="887"/>
      <c r="AB141" s="887"/>
      <c r="AC141" s="887"/>
      <c r="AD141" s="887"/>
      <c r="AE141" s="889"/>
      <c r="AF141" s="889"/>
      <c r="AG141" s="889"/>
      <c r="AH141" s="889"/>
      <c r="AI141" s="889"/>
      <c r="AJ141" s="889"/>
      <c r="AK141" s="889"/>
      <c r="AL141" s="887"/>
      <c r="AM141" s="771"/>
      <c r="AN141" s="886"/>
      <c r="AO141" s="884"/>
    </row>
    <row r="142" spans="1:41" ht="12" customHeight="1" x14ac:dyDescent="0.2">
      <c r="A142" s="771"/>
      <c r="B142" s="1266"/>
      <c r="C142" s="771"/>
      <c r="D142" s="927"/>
      <c r="E142" s="927"/>
      <c r="F142" s="927"/>
      <c r="G142" s="927"/>
      <c r="H142" s="927"/>
      <c r="I142" s="927"/>
      <c r="J142" s="927"/>
      <c r="K142" s="927"/>
      <c r="L142" s="927"/>
      <c r="M142" s="927"/>
      <c r="N142" s="927"/>
      <c r="O142" s="927"/>
      <c r="P142" s="927"/>
      <c r="Q142" s="927"/>
      <c r="R142" s="927"/>
      <c r="S142" s="771"/>
      <c r="T142" s="771"/>
      <c r="U142" s="773"/>
      <c r="V142" s="1266"/>
      <c r="W142" s="773"/>
      <c r="X142" s="887"/>
      <c r="Y142" s="887"/>
      <c r="Z142" s="887"/>
      <c r="AA142" s="887"/>
      <c r="AB142" s="887"/>
      <c r="AC142" s="887"/>
      <c r="AD142" s="887"/>
      <c r="AE142" s="887"/>
      <c r="AF142" s="887"/>
      <c r="AG142" s="887"/>
      <c r="AH142" s="887"/>
      <c r="AI142" s="887"/>
      <c r="AJ142" s="887"/>
      <c r="AK142" s="887"/>
      <c r="AL142" s="887"/>
      <c r="AM142" s="771"/>
      <c r="AN142" s="886"/>
      <c r="AO142" s="884"/>
    </row>
    <row r="143" spans="1:41" ht="12" customHeight="1" x14ac:dyDescent="0.2">
      <c r="A143" s="771"/>
      <c r="B143" s="1266"/>
      <c r="C143" s="771"/>
      <c r="D143" s="771"/>
      <c r="E143" s="771"/>
      <c r="F143" s="771"/>
      <c r="G143" s="771"/>
      <c r="H143" s="771"/>
      <c r="I143" s="771"/>
      <c r="J143" s="771"/>
      <c r="K143" s="771"/>
      <c r="L143" s="771"/>
      <c r="M143" s="771"/>
      <c r="N143" s="771"/>
      <c r="O143" s="771"/>
      <c r="P143" s="771"/>
      <c r="Q143" s="771"/>
      <c r="R143" s="771"/>
      <c r="S143" s="771"/>
      <c r="T143" s="771"/>
      <c r="U143" s="773"/>
      <c r="V143" s="1266"/>
      <c r="W143" s="773"/>
      <c r="X143" s="773"/>
      <c r="Y143" s="773"/>
      <c r="Z143" s="773"/>
      <c r="AA143" s="773"/>
      <c r="AB143" s="773"/>
      <c r="AC143" s="773"/>
      <c r="AD143" s="773"/>
      <c r="AE143" s="773"/>
      <c r="AF143" s="773"/>
      <c r="AG143" s="773"/>
      <c r="AH143" s="773"/>
      <c r="AI143" s="773"/>
      <c r="AJ143" s="773"/>
      <c r="AK143" s="773"/>
      <c r="AL143" s="773"/>
      <c r="AM143" s="771"/>
      <c r="AN143" s="886"/>
      <c r="AO143" s="884"/>
    </row>
    <row r="144" spans="1:41" ht="12" customHeight="1" x14ac:dyDescent="0.2">
      <c r="R144" s="923"/>
      <c r="S144" s="771"/>
      <c r="T144" s="771"/>
      <c r="U144" s="773"/>
      <c r="V144" s="1266"/>
      <c r="W144" s="773"/>
      <c r="X144" s="891"/>
      <c r="Y144" s="891"/>
      <c r="Z144" s="892"/>
      <c r="AA144" s="892"/>
      <c r="AB144" s="892"/>
      <c r="AC144" s="892"/>
      <c r="AD144" s="893"/>
      <c r="AE144" s="773"/>
      <c r="AF144" s="891"/>
      <c r="AG144" s="891"/>
      <c r="AH144" s="892"/>
      <c r="AI144" s="892"/>
      <c r="AJ144" s="892"/>
      <c r="AK144" s="892"/>
      <c r="AL144" s="893"/>
      <c r="AM144" s="771"/>
      <c r="AN144" s="886"/>
      <c r="AO144" s="884"/>
    </row>
    <row r="145" spans="1:41" ht="12" customHeight="1" x14ac:dyDescent="0.2">
      <c r="R145" s="900"/>
      <c r="S145" s="771"/>
      <c r="T145" s="771"/>
      <c r="U145" s="773"/>
      <c r="V145" s="1266"/>
      <c r="W145" s="773"/>
      <c r="X145" s="894"/>
      <c r="Y145" s="894"/>
      <c r="Z145" s="892"/>
      <c r="AA145" s="892"/>
      <c r="AB145" s="892"/>
      <c r="AC145" s="892"/>
      <c r="AD145" s="895"/>
      <c r="AE145" s="896"/>
      <c r="AF145" s="894"/>
      <c r="AG145" s="894"/>
      <c r="AH145" s="892"/>
      <c r="AI145" s="892"/>
      <c r="AJ145" s="892"/>
      <c r="AK145" s="892"/>
      <c r="AL145" s="895"/>
      <c r="AM145" s="771"/>
      <c r="AN145" s="886"/>
      <c r="AO145" s="884"/>
    </row>
    <row r="146" spans="1:41" ht="12" customHeight="1" x14ac:dyDescent="0.2">
      <c r="R146" s="900"/>
      <c r="S146" s="771"/>
      <c r="T146" s="771"/>
      <c r="U146" s="773"/>
      <c r="V146" s="1266"/>
      <c r="W146" s="773"/>
      <c r="X146" s="902"/>
      <c r="Y146" s="902"/>
      <c r="Z146" s="903"/>
      <c r="AA146" s="903"/>
      <c r="AB146" s="903"/>
      <c r="AC146" s="904"/>
      <c r="AD146" s="895"/>
      <c r="AE146" s="896"/>
      <c r="AF146" s="902"/>
      <c r="AG146" s="902"/>
      <c r="AH146" s="903"/>
      <c r="AI146" s="903"/>
      <c r="AJ146" s="903"/>
      <c r="AK146" s="904"/>
      <c r="AL146" s="895"/>
      <c r="AM146" s="771"/>
      <c r="AN146" s="886"/>
      <c r="AO146" s="884"/>
    </row>
    <row r="147" spans="1:41" ht="12" customHeight="1" x14ac:dyDescent="0.2">
      <c r="R147" s="919"/>
      <c r="S147" s="771"/>
      <c r="T147" s="771"/>
      <c r="U147" s="773"/>
      <c r="V147" s="1266"/>
      <c r="W147" s="773"/>
      <c r="X147" s="773"/>
      <c r="Y147" s="905"/>
      <c r="Z147" s="905"/>
      <c r="AA147" s="905"/>
      <c r="AB147" s="905"/>
      <c r="AC147" s="905"/>
      <c r="AD147" s="905"/>
      <c r="AE147" s="896"/>
      <c r="AF147" s="773"/>
      <c r="AG147" s="905"/>
      <c r="AH147" s="905"/>
      <c r="AI147" s="905"/>
      <c r="AJ147" s="905"/>
      <c r="AK147" s="905"/>
      <c r="AL147" s="905"/>
      <c r="AM147" s="771"/>
      <c r="AN147" s="886"/>
      <c r="AO147" s="884"/>
    </row>
    <row r="148" spans="1:41" ht="12" customHeight="1" x14ac:dyDescent="0.2">
      <c r="A148" s="771"/>
      <c r="B148" s="1266"/>
      <c r="C148" s="771"/>
      <c r="D148" s="897"/>
      <c r="E148" s="920"/>
      <c r="F148" s="920"/>
      <c r="G148" s="920"/>
      <c r="H148" s="920"/>
      <c r="I148" s="920"/>
      <c r="J148" s="920"/>
      <c r="K148" s="913"/>
      <c r="L148" s="897"/>
      <c r="M148" s="920"/>
      <c r="N148" s="920"/>
      <c r="O148" s="920"/>
      <c r="P148" s="920"/>
      <c r="Q148" s="920"/>
      <c r="R148" s="920"/>
      <c r="S148" s="771"/>
      <c r="T148" s="771"/>
      <c r="U148" s="773"/>
      <c r="V148" s="1266"/>
      <c r="W148" s="773"/>
      <c r="X148" s="902"/>
      <c r="Y148" s="906"/>
      <c r="Z148" s="906"/>
      <c r="AA148" s="906"/>
      <c r="AB148" s="906"/>
      <c r="AC148" s="906"/>
      <c r="AD148" s="906"/>
      <c r="AE148" s="907"/>
      <c r="AF148" s="902"/>
      <c r="AG148" s="906"/>
      <c r="AH148" s="906"/>
      <c r="AI148" s="906"/>
      <c r="AJ148" s="906"/>
      <c r="AK148" s="906"/>
      <c r="AL148" s="906"/>
      <c r="AM148" s="771"/>
      <c r="AN148" s="886"/>
      <c r="AO148" s="884"/>
    </row>
    <row r="149" spans="1:41" ht="12" customHeight="1" x14ac:dyDescent="0.2">
      <c r="A149" s="771"/>
      <c r="B149" s="1266"/>
      <c r="C149" s="771"/>
      <c r="D149" s="897"/>
      <c r="E149" s="920"/>
      <c r="F149" s="920"/>
      <c r="G149" s="920"/>
      <c r="H149" s="920"/>
      <c r="I149" s="920"/>
      <c r="J149" s="920"/>
      <c r="K149" s="918"/>
      <c r="L149" s="897"/>
      <c r="M149" s="920"/>
      <c r="N149" s="920"/>
      <c r="O149" s="920"/>
      <c r="P149" s="920"/>
      <c r="Q149" s="920"/>
      <c r="R149" s="920"/>
      <c r="S149" s="771"/>
      <c r="T149" s="771"/>
      <c r="U149" s="773"/>
      <c r="V149" s="1266"/>
      <c r="W149" s="773"/>
      <c r="X149" s="902"/>
      <c r="Y149" s="906"/>
      <c r="Z149" s="906"/>
      <c r="AA149" s="906"/>
      <c r="AB149" s="906"/>
      <c r="AC149" s="906"/>
      <c r="AD149" s="906"/>
      <c r="AE149" s="820"/>
      <c r="AF149" s="902"/>
      <c r="AG149" s="906"/>
      <c r="AH149" s="906"/>
      <c r="AI149" s="906"/>
      <c r="AJ149" s="906"/>
      <c r="AK149" s="906"/>
      <c r="AL149" s="906"/>
      <c r="AM149" s="771"/>
      <c r="AN149" s="886"/>
      <c r="AO149" s="884"/>
    </row>
    <row r="150" spans="1:41" ht="12" customHeight="1" x14ac:dyDescent="0.2">
      <c r="A150" s="771"/>
      <c r="B150" s="1266"/>
      <c r="C150" s="771"/>
      <c r="D150" s="918"/>
      <c r="E150" s="921"/>
      <c r="F150" s="921"/>
      <c r="G150" s="921"/>
      <c r="H150" s="921"/>
      <c r="I150" s="921"/>
      <c r="J150" s="921"/>
      <c r="K150" s="913"/>
      <c r="L150" s="918"/>
      <c r="M150" s="921"/>
      <c r="N150" s="921"/>
      <c r="O150" s="921"/>
      <c r="P150" s="921"/>
      <c r="Q150" s="921"/>
      <c r="R150" s="921"/>
      <c r="S150" s="771"/>
      <c r="T150" s="771"/>
      <c r="U150" s="773"/>
      <c r="V150" s="1266"/>
      <c r="W150" s="773"/>
      <c r="X150" s="820"/>
      <c r="Y150" s="908"/>
      <c r="Z150" s="908"/>
      <c r="AA150" s="908"/>
      <c r="AB150" s="908"/>
      <c r="AC150" s="908"/>
      <c r="AD150" s="908"/>
      <c r="AE150" s="909"/>
      <c r="AF150" s="820"/>
      <c r="AG150" s="908"/>
      <c r="AH150" s="908"/>
      <c r="AI150" s="908"/>
      <c r="AJ150" s="908"/>
      <c r="AK150" s="908"/>
      <c r="AL150" s="908"/>
      <c r="AM150" s="771"/>
      <c r="AN150" s="886"/>
      <c r="AO150" s="884"/>
    </row>
    <row r="151" spans="1:41" ht="12" customHeight="1" x14ac:dyDescent="0.2">
      <c r="A151" s="771"/>
      <c r="B151" s="1266"/>
      <c r="C151" s="771"/>
      <c r="D151" s="929"/>
      <c r="E151" s="922"/>
      <c r="F151" s="922"/>
      <c r="G151" s="922"/>
      <c r="H151" s="922"/>
      <c r="I151" s="922"/>
      <c r="J151" s="922"/>
      <c r="K151" s="913"/>
      <c r="L151" s="929"/>
      <c r="M151" s="922"/>
      <c r="N151" s="922"/>
      <c r="O151" s="922"/>
      <c r="P151" s="922"/>
      <c r="Q151" s="922"/>
      <c r="R151" s="922"/>
      <c r="S151" s="771"/>
      <c r="T151" s="771"/>
      <c r="U151" s="773"/>
      <c r="V151" s="1266"/>
      <c r="W151" s="773"/>
      <c r="X151" s="910"/>
      <c r="Y151" s="911"/>
      <c r="Z151" s="911"/>
      <c r="AA151" s="911"/>
      <c r="AB151" s="911"/>
      <c r="AC151" s="911"/>
      <c r="AD151" s="911"/>
      <c r="AE151" s="909"/>
      <c r="AF151" s="910"/>
      <c r="AG151" s="911"/>
      <c r="AH151" s="911"/>
      <c r="AI151" s="911"/>
      <c r="AJ151" s="911"/>
      <c r="AK151" s="911"/>
      <c r="AL151" s="911"/>
      <c r="AM151" s="771"/>
      <c r="AN151" s="886"/>
      <c r="AO151" s="884"/>
    </row>
    <row r="152" spans="1:41" ht="12" customHeight="1" x14ac:dyDescent="0.2">
      <c r="A152" s="771"/>
      <c r="B152" s="1266"/>
      <c r="C152" s="771"/>
      <c r="D152" s="927"/>
      <c r="E152" s="922"/>
      <c r="F152" s="922"/>
      <c r="G152" s="922"/>
      <c r="H152" s="922"/>
      <c r="I152" s="922"/>
      <c r="J152" s="922"/>
      <c r="K152" s="913"/>
      <c r="L152" s="927"/>
      <c r="M152" s="922"/>
      <c r="N152" s="922"/>
      <c r="O152" s="922"/>
      <c r="P152" s="922"/>
      <c r="Q152" s="922"/>
      <c r="R152" s="922"/>
      <c r="S152" s="771"/>
      <c r="T152" s="771"/>
      <c r="U152" s="773"/>
      <c r="V152" s="1266"/>
      <c r="W152" s="773"/>
      <c r="X152" s="887"/>
      <c r="Y152" s="911"/>
      <c r="Z152" s="911"/>
      <c r="AA152" s="911"/>
      <c r="AB152" s="911"/>
      <c r="AC152" s="911"/>
      <c r="AD152" s="911"/>
      <c r="AE152" s="909"/>
      <c r="AF152" s="887"/>
      <c r="AG152" s="911"/>
      <c r="AH152" s="911"/>
      <c r="AI152" s="911"/>
      <c r="AJ152" s="911"/>
      <c r="AK152" s="911"/>
      <c r="AL152" s="911"/>
      <c r="AM152" s="771"/>
      <c r="AN152" s="886"/>
      <c r="AO152" s="884"/>
    </row>
    <row r="153" spans="1:41" ht="12" customHeight="1" x14ac:dyDescent="0.2">
      <c r="A153" s="771"/>
      <c r="B153" s="1266"/>
      <c r="C153" s="771"/>
      <c r="D153" s="927"/>
      <c r="E153" s="922"/>
      <c r="F153" s="922"/>
      <c r="G153" s="922"/>
      <c r="H153" s="922"/>
      <c r="I153" s="922"/>
      <c r="J153" s="922"/>
      <c r="K153" s="913"/>
      <c r="L153" s="927"/>
      <c r="M153" s="922"/>
      <c r="N153" s="922"/>
      <c r="O153" s="922"/>
      <c r="P153" s="922"/>
      <c r="Q153" s="922"/>
      <c r="R153" s="922"/>
      <c r="S153" s="771"/>
      <c r="T153" s="771"/>
      <c r="U153" s="773"/>
      <c r="V153" s="1266"/>
      <c r="W153" s="773"/>
      <c r="X153" s="887"/>
      <c r="Y153" s="911"/>
      <c r="Z153" s="911"/>
      <c r="AA153" s="911"/>
      <c r="AB153" s="911"/>
      <c r="AC153" s="911"/>
      <c r="AD153" s="911"/>
      <c r="AE153" s="909"/>
      <c r="AF153" s="887"/>
      <c r="AG153" s="911"/>
      <c r="AH153" s="911"/>
      <c r="AI153" s="911"/>
      <c r="AJ153" s="911"/>
      <c r="AK153" s="911"/>
      <c r="AL153" s="911"/>
      <c r="AM153" s="771"/>
      <c r="AN153" s="886"/>
      <c r="AO153" s="884"/>
    </row>
    <row r="154" spans="1:41" ht="12" customHeight="1" x14ac:dyDescent="0.2">
      <c r="A154" s="771"/>
      <c r="B154" s="1266"/>
      <c r="C154" s="771"/>
      <c r="D154" s="927"/>
      <c r="E154" s="927"/>
      <c r="F154" s="927"/>
      <c r="G154" s="927"/>
      <c r="H154" s="927"/>
      <c r="I154" s="927"/>
      <c r="J154" s="927"/>
      <c r="K154" s="913"/>
      <c r="L154" s="913"/>
      <c r="M154" s="913"/>
      <c r="N154" s="930"/>
      <c r="O154" s="913"/>
      <c r="P154" s="913"/>
      <c r="Q154" s="913"/>
      <c r="R154" s="913"/>
      <c r="S154" s="771"/>
      <c r="T154" s="771"/>
      <c r="U154" s="773"/>
      <c r="V154" s="1266"/>
      <c r="W154" s="773"/>
      <c r="X154" s="887"/>
      <c r="Y154" s="887"/>
      <c r="Z154" s="887"/>
      <c r="AA154" s="887"/>
      <c r="AB154" s="887"/>
      <c r="AC154" s="887"/>
      <c r="AD154" s="887"/>
      <c r="AE154" s="909"/>
      <c r="AF154" s="909"/>
      <c r="AG154" s="907"/>
      <c r="AH154" s="912"/>
      <c r="AI154" s="909"/>
      <c r="AJ154" s="909"/>
      <c r="AK154" s="909"/>
      <c r="AL154" s="909"/>
      <c r="AM154" s="771"/>
      <c r="AN154" s="886"/>
      <c r="AO154" s="884"/>
    </row>
    <row r="155" spans="1:41" ht="12" customHeight="1" x14ac:dyDescent="0.2">
      <c r="S155" s="771"/>
      <c r="T155" s="771"/>
      <c r="U155" s="773"/>
      <c r="V155" s="1266"/>
      <c r="W155" s="773"/>
      <c r="X155" s="891"/>
      <c r="Y155" s="891"/>
      <c r="Z155" s="892"/>
      <c r="AA155" s="892"/>
      <c r="AB155" s="892"/>
      <c r="AC155" s="892"/>
      <c r="AD155" s="893"/>
      <c r="AE155" s="909"/>
      <c r="AF155" s="891"/>
      <c r="AG155" s="891"/>
      <c r="AH155" s="892"/>
      <c r="AI155" s="892"/>
      <c r="AJ155" s="892"/>
      <c r="AK155" s="892"/>
      <c r="AL155" s="893"/>
      <c r="AM155" s="771"/>
      <c r="AN155" s="886"/>
      <c r="AO155" s="884"/>
    </row>
    <row r="156" spans="1:41" ht="12" customHeight="1" x14ac:dyDescent="0.2">
      <c r="S156" s="771"/>
      <c r="T156" s="771"/>
      <c r="U156" s="773"/>
      <c r="V156" s="1266"/>
      <c r="W156" s="773"/>
      <c r="X156" s="894"/>
      <c r="Y156" s="894"/>
      <c r="Z156" s="892"/>
      <c r="AA156" s="892"/>
      <c r="AB156" s="892"/>
      <c r="AC156" s="892"/>
      <c r="AD156" s="895"/>
      <c r="AE156" s="909"/>
      <c r="AF156" s="894"/>
      <c r="AG156" s="894"/>
      <c r="AH156" s="892"/>
      <c r="AI156" s="892"/>
      <c r="AJ156" s="892"/>
      <c r="AK156" s="892"/>
      <c r="AL156" s="895"/>
      <c r="AM156" s="771"/>
      <c r="AN156" s="886"/>
      <c r="AO156" s="884"/>
    </row>
    <row r="157" spans="1:41" ht="12" customHeight="1" x14ac:dyDescent="0.2">
      <c r="S157" s="771"/>
      <c r="T157" s="771"/>
      <c r="U157" s="773"/>
      <c r="V157" s="1266"/>
      <c r="W157" s="773"/>
      <c r="X157" s="902"/>
      <c r="Y157" s="902"/>
      <c r="Z157" s="903"/>
      <c r="AA157" s="903"/>
      <c r="AB157" s="903"/>
      <c r="AC157" s="904"/>
      <c r="AD157" s="895"/>
      <c r="AE157" s="909"/>
      <c r="AF157" s="902"/>
      <c r="AG157" s="902"/>
      <c r="AH157" s="903"/>
      <c r="AI157" s="903"/>
      <c r="AJ157" s="903"/>
      <c r="AK157" s="904"/>
      <c r="AL157" s="895"/>
      <c r="AM157" s="771"/>
      <c r="AN157" s="886"/>
      <c r="AO157" s="884"/>
    </row>
    <row r="158" spans="1:41" ht="12" customHeight="1" x14ac:dyDescent="0.2">
      <c r="S158" s="771"/>
      <c r="T158" s="771"/>
      <c r="U158" s="773"/>
      <c r="V158" s="1266"/>
      <c r="W158" s="773"/>
      <c r="X158" s="773"/>
      <c r="Y158" s="905"/>
      <c r="Z158" s="905"/>
      <c r="AA158" s="905"/>
      <c r="AB158" s="905"/>
      <c r="AC158" s="905"/>
      <c r="AD158" s="905"/>
      <c r="AE158" s="909"/>
      <c r="AF158" s="773"/>
      <c r="AG158" s="905"/>
      <c r="AH158" s="905"/>
      <c r="AI158" s="905"/>
      <c r="AJ158" s="905"/>
      <c r="AK158" s="905"/>
      <c r="AL158" s="905"/>
      <c r="AM158" s="771"/>
      <c r="AN158" s="886"/>
      <c r="AO158" s="884"/>
    </row>
    <row r="159" spans="1:41" ht="12" customHeight="1" x14ac:dyDescent="0.2">
      <c r="S159" s="771"/>
      <c r="T159" s="771"/>
      <c r="U159" s="773"/>
      <c r="V159" s="1266"/>
      <c r="W159" s="773"/>
      <c r="X159" s="902"/>
      <c r="Y159" s="906"/>
      <c r="Z159" s="906"/>
      <c r="AA159" s="906"/>
      <c r="AB159" s="906"/>
      <c r="AC159" s="906"/>
      <c r="AD159" s="906"/>
      <c r="AE159" s="914"/>
      <c r="AF159" s="902"/>
      <c r="AG159" s="906"/>
      <c r="AH159" s="906"/>
      <c r="AI159" s="906"/>
      <c r="AJ159" s="906"/>
      <c r="AK159" s="906"/>
      <c r="AL159" s="906"/>
      <c r="AM159" s="771"/>
      <c r="AN159" s="886"/>
      <c r="AO159" s="884"/>
    </row>
    <row r="160" spans="1:41" ht="12" customHeight="1" x14ac:dyDescent="0.2">
      <c r="S160" s="771"/>
      <c r="T160" s="771"/>
      <c r="U160" s="773"/>
      <c r="V160" s="1266"/>
      <c r="W160" s="773"/>
      <c r="X160" s="902"/>
      <c r="Y160" s="906"/>
      <c r="Z160" s="906"/>
      <c r="AA160" s="906"/>
      <c r="AB160" s="906"/>
      <c r="AC160" s="906"/>
      <c r="AD160" s="906"/>
      <c r="AE160" s="914"/>
      <c r="AF160" s="902"/>
      <c r="AG160" s="906"/>
      <c r="AH160" s="906"/>
      <c r="AI160" s="906"/>
      <c r="AJ160" s="906"/>
      <c r="AK160" s="906"/>
      <c r="AL160" s="906"/>
      <c r="AM160" s="771"/>
      <c r="AN160" s="886"/>
      <c r="AO160" s="884"/>
    </row>
    <row r="161" spans="1:41" ht="12" customHeight="1" x14ac:dyDescent="0.2">
      <c r="S161" s="771"/>
      <c r="T161" s="771"/>
      <c r="U161" s="773"/>
      <c r="V161" s="1266"/>
      <c r="W161" s="773"/>
      <c r="X161" s="820"/>
      <c r="Y161" s="908"/>
      <c r="Z161" s="908"/>
      <c r="AA161" s="908"/>
      <c r="AB161" s="908"/>
      <c r="AC161" s="908"/>
      <c r="AD161" s="908"/>
      <c r="AE161" s="820"/>
      <c r="AF161" s="820"/>
      <c r="AG161" s="908"/>
      <c r="AH161" s="908"/>
      <c r="AI161" s="908"/>
      <c r="AJ161" s="908"/>
      <c r="AK161" s="908"/>
      <c r="AL161" s="908"/>
      <c r="AM161" s="771"/>
      <c r="AN161" s="886"/>
      <c r="AO161" s="884"/>
    </row>
    <row r="162" spans="1:41" ht="12" customHeight="1" x14ac:dyDescent="0.2">
      <c r="S162" s="771"/>
      <c r="T162" s="771"/>
      <c r="U162" s="773"/>
      <c r="V162" s="1266"/>
      <c r="W162" s="773"/>
      <c r="X162" s="910"/>
      <c r="Y162" s="911"/>
      <c r="Z162" s="911"/>
      <c r="AA162" s="911"/>
      <c r="AB162" s="911"/>
      <c r="AC162" s="911"/>
      <c r="AD162" s="911"/>
      <c r="AE162" s="915"/>
      <c r="AF162" s="910"/>
      <c r="AG162" s="911"/>
      <c r="AH162" s="911"/>
      <c r="AI162" s="911"/>
      <c r="AJ162" s="911"/>
      <c r="AK162" s="911"/>
      <c r="AL162" s="911"/>
      <c r="AM162" s="771"/>
      <c r="AN162" s="886"/>
      <c r="AO162" s="884"/>
    </row>
    <row r="163" spans="1:41" ht="12" customHeight="1" x14ac:dyDescent="0.2">
      <c r="S163" s="771"/>
      <c r="T163" s="771"/>
      <c r="U163" s="773"/>
      <c r="V163" s="1266"/>
      <c r="W163" s="773"/>
      <c r="X163" s="887"/>
      <c r="Y163" s="911"/>
      <c r="Z163" s="911"/>
      <c r="AA163" s="911"/>
      <c r="AB163" s="911"/>
      <c r="AC163" s="911"/>
      <c r="AD163" s="911"/>
      <c r="AE163" s="914"/>
      <c r="AF163" s="887"/>
      <c r="AG163" s="911"/>
      <c r="AH163" s="911"/>
      <c r="AI163" s="911"/>
      <c r="AJ163" s="911"/>
      <c r="AK163" s="911"/>
      <c r="AL163" s="911"/>
      <c r="AM163" s="771"/>
      <c r="AN163" s="886"/>
      <c r="AO163" s="884"/>
    </row>
    <row r="164" spans="1:41" ht="12" customHeight="1" x14ac:dyDescent="0.2">
      <c r="S164" s="771"/>
      <c r="T164" s="771"/>
      <c r="U164" s="773"/>
      <c r="V164" s="1266"/>
      <c r="W164" s="773"/>
      <c r="X164" s="887"/>
      <c r="Y164" s="911"/>
      <c r="Z164" s="911"/>
      <c r="AA164" s="911"/>
      <c r="AB164" s="911"/>
      <c r="AC164" s="911"/>
      <c r="AD164" s="911"/>
      <c r="AE164" s="914"/>
      <c r="AF164" s="887"/>
      <c r="AG164" s="911"/>
      <c r="AH164" s="911"/>
      <c r="AI164" s="911"/>
      <c r="AJ164" s="911"/>
      <c r="AK164" s="911"/>
      <c r="AL164" s="911"/>
      <c r="AM164" s="771"/>
      <c r="AN164" s="886"/>
      <c r="AO164" s="884"/>
    </row>
    <row r="165" spans="1:41" ht="12" customHeight="1" x14ac:dyDescent="0.2">
      <c r="A165" s="771"/>
      <c r="B165" s="1266"/>
      <c r="C165" s="771"/>
      <c r="D165" s="771"/>
      <c r="E165" s="771"/>
      <c r="F165" s="771"/>
      <c r="G165" s="771"/>
      <c r="H165" s="771"/>
      <c r="I165" s="918"/>
      <c r="J165" s="918"/>
      <c r="K165" s="931"/>
      <c r="L165" s="921"/>
      <c r="M165" s="913"/>
      <c r="N165" s="913"/>
      <c r="O165" s="913"/>
      <c r="P165" s="913"/>
      <c r="Q165" s="913"/>
      <c r="R165" s="913"/>
      <c r="S165" s="771"/>
      <c r="T165" s="771"/>
      <c r="U165" s="773"/>
      <c r="V165" s="1266"/>
      <c r="W165" s="773"/>
      <c r="X165" s="773"/>
      <c r="Y165" s="773"/>
      <c r="Z165" s="773"/>
      <c r="AA165" s="773"/>
      <c r="AB165" s="773"/>
      <c r="AC165" s="820"/>
      <c r="AD165" s="820"/>
      <c r="AE165" s="916"/>
      <c r="AF165" s="917"/>
      <c r="AG165" s="907"/>
      <c r="AH165" s="909"/>
      <c r="AI165" s="909"/>
      <c r="AJ165" s="909"/>
      <c r="AK165" s="909"/>
      <c r="AL165" s="909"/>
      <c r="AM165" s="771"/>
      <c r="AN165" s="886"/>
      <c r="AO165" s="884"/>
    </row>
    <row r="166" spans="1:41" ht="12" customHeight="1" x14ac:dyDescent="0.2">
      <c r="T166" s="771"/>
      <c r="U166" s="773"/>
      <c r="V166" s="1266"/>
      <c r="W166" s="773"/>
      <c r="X166" s="891"/>
      <c r="Y166" s="891"/>
      <c r="Z166" s="892"/>
      <c r="AA166" s="892"/>
      <c r="AB166" s="892"/>
      <c r="AC166" s="892"/>
      <c r="AD166" s="893"/>
      <c r="AE166" s="916"/>
      <c r="AF166" s="891"/>
      <c r="AG166" s="891"/>
      <c r="AH166" s="892"/>
      <c r="AI166" s="892"/>
      <c r="AJ166" s="892"/>
      <c r="AK166" s="892"/>
      <c r="AL166" s="893"/>
      <c r="AM166" s="771"/>
      <c r="AN166" s="886"/>
      <c r="AO166" s="884"/>
    </row>
    <row r="167" spans="1:41" ht="12" customHeight="1" x14ac:dyDescent="0.2">
      <c r="T167" s="771"/>
      <c r="U167" s="773"/>
      <c r="V167" s="1266"/>
      <c r="W167" s="773"/>
      <c r="X167" s="894"/>
      <c r="Y167" s="894"/>
      <c r="Z167" s="892"/>
      <c r="AA167" s="892"/>
      <c r="AB167" s="892"/>
      <c r="AC167" s="892"/>
      <c r="AD167" s="895"/>
      <c r="AE167" s="909"/>
      <c r="AF167" s="894"/>
      <c r="AG167" s="894"/>
      <c r="AH167" s="892"/>
      <c r="AI167" s="892"/>
      <c r="AJ167" s="892"/>
      <c r="AK167" s="892"/>
      <c r="AL167" s="895"/>
      <c r="AM167" s="771"/>
      <c r="AN167" s="886"/>
      <c r="AO167" s="884"/>
    </row>
    <row r="168" spans="1:41" ht="12" customHeight="1" x14ac:dyDescent="0.2">
      <c r="T168" s="771"/>
      <c r="U168" s="773"/>
      <c r="V168" s="1266"/>
      <c r="W168" s="773"/>
      <c r="X168" s="902"/>
      <c r="Y168" s="902"/>
      <c r="Z168" s="903"/>
      <c r="AA168" s="903"/>
      <c r="AB168" s="903"/>
      <c r="AC168" s="904"/>
      <c r="AD168" s="895"/>
      <c r="AE168" s="914"/>
      <c r="AF168" s="902"/>
      <c r="AG168" s="902"/>
      <c r="AH168" s="903"/>
      <c r="AI168" s="903"/>
      <c r="AJ168" s="903"/>
      <c r="AK168" s="904"/>
      <c r="AL168" s="895"/>
      <c r="AM168" s="771"/>
      <c r="AN168" s="886"/>
      <c r="AO168" s="884"/>
    </row>
    <row r="169" spans="1:41" ht="12" customHeight="1" x14ac:dyDescent="0.2">
      <c r="T169" s="771"/>
      <c r="U169" s="773"/>
      <c r="V169" s="1266"/>
      <c r="W169" s="773"/>
      <c r="X169" s="773"/>
      <c r="Y169" s="905"/>
      <c r="Z169" s="905"/>
      <c r="AA169" s="905"/>
      <c r="AB169" s="905"/>
      <c r="AC169" s="905"/>
      <c r="AD169" s="905"/>
      <c r="AE169" s="914"/>
      <c r="AF169" s="773"/>
      <c r="AG169" s="905"/>
      <c r="AH169" s="905"/>
      <c r="AI169" s="905"/>
      <c r="AJ169" s="905"/>
      <c r="AK169" s="905"/>
      <c r="AL169" s="905"/>
      <c r="AM169" s="771"/>
      <c r="AN169" s="886"/>
      <c r="AO169" s="884"/>
    </row>
    <row r="170" spans="1:41" ht="12" customHeight="1" x14ac:dyDescent="0.2">
      <c r="T170" s="771"/>
      <c r="U170" s="773"/>
      <c r="V170" s="1266"/>
      <c r="W170" s="773"/>
      <c r="X170" s="902"/>
      <c r="Y170" s="906"/>
      <c r="Z170" s="906"/>
      <c r="AA170" s="906"/>
      <c r="AB170" s="906"/>
      <c r="AC170" s="906"/>
      <c r="AD170" s="906"/>
      <c r="AE170" s="820"/>
      <c r="AF170" s="902"/>
      <c r="AG170" s="906"/>
      <c r="AH170" s="906"/>
      <c r="AI170" s="906"/>
      <c r="AJ170" s="906"/>
      <c r="AK170" s="906"/>
      <c r="AL170" s="906"/>
      <c r="AM170" s="771"/>
      <c r="AN170" s="886"/>
      <c r="AO170" s="884"/>
    </row>
    <row r="171" spans="1:41" ht="12" customHeight="1" x14ac:dyDescent="0.2">
      <c r="T171" s="771"/>
      <c r="U171" s="773"/>
      <c r="V171" s="1266"/>
      <c r="W171" s="773"/>
      <c r="X171" s="902"/>
      <c r="Y171" s="906"/>
      <c r="Z171" s="906"/>
      <c r="AA171" s="906"/>
      <c r="AB171" s="906"/>
      <c r="AC171" s="906"/>
      <c r="AD171" s="906"/>
      <c r="AE171" s="915"/>
      <c r="AF171" s="902"/>
      <c r="AG171" s="906"/>
      <c r="AH171" s="906"/>
      <c r="AI171" s="906"/>
      <c r="AJ171" s="906"/>
      <c r="AK171" s="906"/>
      <c r="AL171" s="906"/>
      <c r="AM171" s="771"/>
      <c r="AN171" s="886"/>
      <c r="AO171" s="884"/>
    </row>
    <row r="172" spans="1:41" ht="12" customHeight="1" x14ac:dyDescent="0.2">
      <c r="T172" s="771"/>
      <c r="U172" s="773"/>
      <c r="V172" s="1266"/>
      <c r="W172" s="773"/>
      <c r="X172" s="820"/>
      <c r="Y172" s="908"/>
      <c r="Z172" s="908"/>
      <c r="AA172" s="908"/>
      <c r="AB172" s="908"/>
      <c r="AC172" s="908"/>
      <c r="AD172" s="908"/>
      <c r="AE172" s="914"/>
      <c r="AF172" s="820"/>
      <c r="AG172" s="908"/>
      <c r="AH172" s="908"/>
      <c r="AI172" s="908"/>
      <c r="AJ172" s="908"/>
      <c r="AK172" s="908"/>
      <c r="AL172" s="908"/>
      <c r="AM172" s="771"/>
      <c r="AN172" s="886"/>
      <c r="AO172" s="884"/>
    </row>
    <row r="173" spans="1:41" ht="12" customHeight="1" x14ac:dyDescent="0.2">
      <c r="T173" s="771"/>
      <c r="U173" s="773"/>
      <c r="V173" s="1266"/>
      <c r="W173" s="773"/>
      <c r="X173" s="910"/>
      <c r="Y173" s="911"/>
      <c r="Z173" s="911"/>
      <c r="AA173" s="911"/>
      <c r="AB173" s="911"/>
      <c r="AC173" s="911"/>
      <c r="AD173" s="911"/>
      <c r="AE173" s="914"/>
      <c r="AF173" s="910"/>
      <c r="AG173" s="911"/>
      <c r="AH173" s="911"/>
      <c r="AI173" s="911"/>
      <c r="AJ173" s="911"/>
      <c r="AK173" s="911"/>
      <c r="AL173" s="911"/>
      <c r="AM173" s="771"/>
      <c r="AN173" s="886"/>
      <c r="AO173" s="884"/>
    </row>
    <row r="174" spans="1:41" ht="12" customHeight="1" x14ac:dyDescent="0.2">
      <c r="T174" s="771"/>
      <c r="U174" s="773"/>
      <c r="V174" s="1266"/>
      <c r="W174" s="773"/>
      <c r="X174" s="887"/>
      <c r="Y174" s="911"/>
      <c r="Z174" s="911"/>
      <c r="AA174" s="911"/>
      <c r="AB174" s="911"/>
      <c r="AC174" s="911"/>
      <c r="AD174" s="911"/>
      <c r="AE174" s="916"/>
      <c r="AF174" s="887"/>
      <c r="AG174" s="911"/>
      <c r="AH174" s="911"/>
      <c r="AI174" s="911"/>
      <c r="AJ174" s="911"/>
      <c r="AK174" s="911"/>
      <c r="AL174" s="911"/>
      <c r="AM174" s="771"/>
      <c r="AN174" s="886"/>
      <c r="AO174" s="884"/>
    </row>
    <row r="175" spans="1:41" ht="12" customHeight="1" x14ac:dyDescent="0.2">
      <c r="T175" s="771"/>
      <c r="U175" s="773"/>
      <c r="V175" s="1266"/>
      <c r="W175" s="773"/>
      <c r="X175" s="887"/>
      <c r="Y175" s="911"/>
      <c r="Z175" s="911"/>
      <c r="AA175" s="911"/>
      <c r="AB175" s="911"/>
      <c r="AC175" s="911"/>
      <c r="AD175" s="911"/>
      <c r="AE175" s="916"/>
      <c r="AF175" s="887"/>
      <c r="AG175" s="911"/>
      <c r="AH175" s="911"/>
      <c r="AI175" s="911"/>
      <c r="AJ175" s="911"/>
      <c r="AK175" s="911"/>
      <c r="AL175" s="911"/>
      <c r="AM175" s="771"/>
      <c r="AN175" s="886"/>
      <c r="AO175" s="884"/>
    </row>
    <row r="176" spans="1:41" ht="12" customHeight="1" x14ac:dyDescent="0.2">
      <c r="A176" s="771"/>
      <c r="B176" s="1266"/>
      <c r="C176" s="771"/>
      <c r="D176" s="913"/>
      <c r="E176" s="913"/>
      <c r="F176" s="913"/>
      <c r="G176" s="913"/>
      <c r="H176" s="913"/>
      <c r="I176" s="913"/>
      <c r="J176" s="913"/>
      <c r="K176" s="913"/>
      <c r="L176" s="913"/>
      <c r="M176" s="913"/>
      <c r="N176" s="913"/>
      <c r="O176" s="913"/>
      <c r="P176" s="913"/>
      <c r="Q176" s="913"/>
      <c r="R176" s="913"/>
      <c r="S176" s="771"/>
      <c r="T176" s="771"/>
      <c r="U176" s="773"/>
      <c r="V176" s="1266"/>
      <c r="W176" s="773"/>
      <c r="X176" s="907"/>
      <c r="Y176" s="907"/>
      <c r="Z176" s="907"/>
      <c r="AA176" s="907"/>
      <c r="AB176" s="907"/>
      <c r="AC176" s="909"/>
      <c r="AD176" s="909"/>
      <c r="AE176" s="909"/>
      <c r="AF176" s="909"/>
      <c r="AG176" s="907"/>
      <c r="AH176" s="909"/>
      <c r="AI176" s="909"/>
      <c r="AJ176" s="909"/>
      <c r="AK176" s="909"/>
      <c r="AL176" s="909"/>
      <c r="AM176" s="771"/>
      <c r="AN176" s="886"/>
      <c r="AO176" s="884"/>
    </row>
    <row r="177" spans="1:41" ht="12" customHeight="1" x14ac:dyDescent="0.2">
      <c r="A177" s="771"/>
      <c r="B177" s="1266"/>
      <c r="C177" s="771"/>
      <c r="D177" s="932"/>
      <c r="E177" s="932"/>
      <c r="F177" s="898"/>
      <c r="G177" s="898"/>
      <c r="H177" s="898"/>
      <c r="I177" s="898"/>
      <c r="J177" s="923"/>
      <c r="K177" s="771"/>
      <c r="L177" s="932"/>
      <c r="M177" s="932"/>
      <c r="N177" s="898"/>
      <c r="O177" s="898"/>
      <c r="P177" s="898"/>
      <c r="Q177" s="898"/>
      <c r="R177" s="923"/>
      <c r="S177" s="771"/>
      <c r="T177" s="771"/>
      <c r="U177" s="773"/>
      <c r="V177" s="1266"/>
      <c r="W177" s="773"/>
      <c r="X177" s="891"/>
      <c r="Y177" s="891"/>
      <c r="Z177" s="892"/>
      <c r="AA177" s="892"/>
      <c r="AB177" s="892"/>
      <c r="AC177" s="892"/>
      <c r="AD177" s="893"/>
      <c r="AE177" s="773"/>
      <c r="AF177" s="891"/>
      <c r="AG177" s="891"/>
      <c r="AH177" s="892"/>
      <c r="AI177" s="892"/>
      <c r="AJ177" s="892"/>
      <c r="AK177" s="892"/>
      <c r="AL177" s="893"/>
      <c r="AM177" s="771"/>
      <c r="AN177" s="886"/>
      <c r="AO177" s="884"/>
    </row>
    <row r="178" spans="1:41" ht="12" customHeight="1" x14ac:dyDescent="0.2">
      <c r="A178" s="771"/>
      <c r="B178" s="1266"/>
      <c r="C178" s="771"/>
      <c r="D178" s="933"/>
      <c r="E178" s="933"/>
      <c r="F178" s="898"/>
      <c r="G178" s="898"/>
      <c r="H178" s="898"/>
      <c r="I178" s="898"/>
      <c r="J178" s="900"/>
      <c r="K178" s="771"/>
      <c r="L178" s="933"/>
      <c r="M178" s="933"/>
      <c r="N178" s="898"/>
      <c r="O178" s="898"/>
      <c r="P178" s="898"/>
      <c r="Q178" s="898"/>
      <c r="R178" s="900"/>
      <c r="S178" s="771"/>
      <c r="T178" s="771"/>
      <c r="U178" s="773"/>
      <c r="V178" s="1266"/>
      <c r="W178" s="773"/>
      <c r="X178" s="894"/>
      <c r="Y178" s="894"/>
      <c r="Z178" s="892"/>
      <c r="AA178" s="892"/>
      <c r="AB178" s="892"/>
      <c r="AC178" s="892"/>
      <c r="AD178" s="895"/>
      <c r="AE178" s="773"/>
      <c r="AF178" s="894"/>
      <c r="AG178" s="894"/>
      <c r="AH178" s="892"/>
      <c r="AI178" s="892"/>
      <c r="AJ178" s="892"/>
      <c r="AK178" s="892"/>
      <c r="AL178" s="895"/>
      <c r="AM178" s="771"/>
      <c r="AN178" s="886"/>
      <c r="AO178" s="884"/>
    </row>
    <row r="179" spans="1:41" ht="12" customHeight="1" x14ac:dyDescent="0.2">
      <c r="A179" s="771"/>
      <c r="B179" s="1266"/>
      <c r="C179" s="771"/>
      <c r="D179" s="897"/>
      <c r="E179" s="897"/>
      <c r="F179" s="898"/>
      <c r="G179" s="898"/>
      <c r="H179" s="898"/>
      <c r="I179" s="899"/>
      <c r="J179" s="900"/>
      <c r="K179" s="771"/>
      <c r="L179" s="897"/>
      <c r="M179" s="897"/>
      <c r="N179" s="898"/>
      <c r="O179" s="898"/>
      <c r="P179" s="898"/>
      <c r="Q179" s="899"/>
      <c r="R179" s="900"/>
      <c r="S179" s="771"/>
      <c r="T179" s="771"/>
      <c r="U179" s="773"/>
      <c r="V179" s="1266"/>
      <c r="W179" s="773"/>
      <c r="X179" s="902"/>
      <c r="Y179" s="902"/>
      <c r="Z179" s="903"/>
      <c r="AA179" s="903"/>
      <c r="AB179" s="903"/>
      <c r="AC179" s="904"/>
      <c r="AD179" s="895"/>
      <c r="AE179" s="773"/>
      <c r="AF179" s="902"/>
      <c r="AG179" s="902"/>
      <c r="AH179" s="903"/>
      <c r="AI179" s="903"/>
      <c r="AJ179" s="903"/>
      <c r="AK179" s="904"/>
      <c r="AL179" s="895"/>
      <c r="AM179" s="771"/>
      <c r="AN179" s="886"/>
      <c r="AO179" s="884"/>
    </row>
    <row r="180" spans="1:41" ht="12" customHeight="1" x14ac:dyDescent="0.2">
      <c r="A180" s="771"/>
      <c r="B180" s="1266"/>
      <c r="C180" s="771"/>
      <c r="D180" s="771"/>
      <c r="E180" s="919"/>
      <c r="F180" s="919"/>
      <c r="G180" s="919"/>
      <c r="H180" s="919"/>
      <c r="I180" s="919"/>
      <c r="J180" s="919"/>
      <c r="K180" s="771"/>
      <c r="L180" s="771"/>
      <c r="M180" s="919"/>
      <c r="N180" s="919"/>
      <c r="O180" s="919"/>
      <c r="P180" s="919"/>
      <c r="Q180" s="919"/>
      <c r="R180" s="919"/>
      <c r="S180" s="771"/>
      <c r="T180" s="771"/>
      <c r="U180" s="773"/>
      <c r="V180" s="1266"/>
      <c r="W180" s="773"/>
      <c r="X180" s="773"/>
      <c r="Y180" s="905"/>
      <c r="Z180" s="905"/>
      <c r="AA180" s="905"/>
      <c r="AB180" s="905"/>
      <c r="AC180" s="905"/>
      <c r="AD180" s="905"/>
      <c r="AE180" s="773"/>
      <c r="AF180" s="773"/>
      <c r="AG180" s="905"/>
      <c r="AH180" s="905"/>
      <c r="AI180" s="905"/>
      <c r="AJ180" s="905"/>
      <c r="AK180" s="905"/>
      <c r="AL180" s="905"/>
      <c r="AM180" s="771"/>
      <c r="AN180" s="886"/>
      <c r="AO180" s="884"/>
    </row>
    <row r="181" spans="1:41" ht="12" customHeight="1" x14ac:dyDescent="0.2">
      <c r="R181" s="920"/>
      <c r="S181" s="771"/>
      <c r="T181" s="771"/>
      <c r="U181" s="773"/>
      <c r="V181" s="1266"/>
      <c r="W181" s="773"/>
      <c r="X181" s="902"/>
      <c r="Y181" s="906"/>
      <c r="Z181" s="906"/>
      <c r="AA181" s="906"/>
      <c r="AB181" s="906"/>
      <c r="AC181" s="906"/>
      <c r="AD181" s="906"/>
      <c r="AE181" s="773"/>
      <c r="AF181" s="902"/>
      <c r="AG181" s="906"/>
      <c r="AH181" s="906"/>
      <c r="AI181" s="906"/>
      <c r="AJ181" s="906"/>
      <c r="AK181" s="906"/>
      <c r="AL181" s="906"/>
      <c r="AM181" s="771"/>
      <c r="AN181" s="886"/>
      <c r="AO181" s="884"/>
    </row>
    <row r="182" spans="1:41" ht="12" customHeight="1" x14ac:dyDescent="0.2">
      <c r="R182" s="920"/>
      <c r="S182" s="771"/>
      <c r="T182" s="771"/>
      <c r="U182" s="773"/>
      <c r="V182" s="1266"/>
      <c r="W182" s="773"/>
      <c r="X182" s="902"/>
      <c r="Y182" s="906"/>
      <c r="Z182" s="906"/>
      <c r="AA182" s="906"/>
      <c r="AB182" s="906"/>
      <c r="AC182" s="906"/>
      <c r="AD182" s="906"/>
      <c r="AE182" s="773"/>
      <c r="AF182" s="902"/>
      <c r="AG182" s="906"/>
      <c r="AH182" s="906"/>
      <c r="AI182" s="906"/>
      <c r="AJ182" s="906"/>
      <c r="AK182" s="906"/>
      <c r="AL182" s="906"/>
      <c r="AM182" s="771"/>
      <c r="AN182" s="886"/>
      <c r="AO182" s="884"/>
    </row>
    <row r="183" spans="1:41" ht="12" customHeight="1" x14ac:dyDescent="0.2">
      <c r="R183" s="921"/>
      <c r="S183" s="771"/>
      <c r="T183" s="771"/>
      <c r="U183" s="773"/>
      <c r="V183" s="1266"/>
      <c r="W183" s="773"/>
      <c r="X183" s="820"/>
      <c r="Y183" s="908"/>
      <c r="Z183" s="908"/>
      <c r="AA183" s="908"/>
      <c r="AB183" s="908"/>
      <c r="AC183" s="908"/>
      <c r="AD183" s="908"/>
      <c r="AE183" s="773"/>
      <c r="AF183" s="820"/>
      <c r="AG183" s="908"/>
      <c r="AH183" s="908"/>
      <c r="AI183" s="908"/>
      <c r="AJ183" s="908"/>
      <c r="AK183" s="908"/>
      <c r="AL183" s="908"/>
      <c r="AM183" s="771"/>
      <c r="AN183" s="886"/>
      <c r="AO183" s="884"/>
    </row>
    <row r="184" spans="1:41" ht="12" customHeight="1" x14ac:dyDescent="0.2">
      <c r="R184" s="922"/>
      <c r="S184" s="771"/>
      <c r="T184" s="771"/>
      <c r="U184" s="773"/>
      <c r="V184" s="1266"/>
      <c r="W184" s="773"/>
      <c r="X184" s="910"/>
      <c r="Y184" s="911"/>
      <c r="Z184" s="911"/>
      <c r="AA184" s="911"/>
      <c r="AB184" s="911"/>
      <c r="AC184" s="911"/>
      <c r="AD184" s="911"/>
      <c r="AE184" s="773"/>
      <c r="AF184" s="910"/>
      <c r="AG184" s="911"/>
      <c r="AH184" s="911"/>
      <c r="AI184" s="911"/>
      <c r="AJ184" s="911"/>
      <c r="AK184" s="911"/>
      <c r="AL184" s="911"/>
      <c r="AM184" s="771"/>
      <c r="AN184" s="886"/>
      <c r="AO184" s="884"/>
    </row>
    <row r="185" spans="1:41" ht="12" customHeight="1" x14ac:dyDescent="0.2">
      <c r="A185" s="771"/>
      <c r="B185" s="1266"/>
      <c r="C185" s="771"/>
      <c r="D185" s="927"/>
      <c r="E185" s="922"/>
      <c r="F185" s="922"/>
      <c r="G185" s="922"/>
      <c r="H185" s="922"/>
      <c r="I185" s="922"/>
      <c r="J185" s="922"/>
      <c r="K185" s="771"/>
      <c r="L185" s="927"/>
      <c r="M185" s="922"/>
      <c r="N185" s="922"/>
      <c r="O185" s="922"/>
      <c r="P185" s="922"/>
      <c r="Q185" s="922"/>
      <c r="R185" s="922"/>
      <c r="S185" s="771"/>
      <c r="T185" s="771"/>
      <c r="U185" s="773"/>
      <c r="V185" s="1266"/>
      <c r="W185" s="773"/>
      <c r="X185" s="887"/>
      <c r="Y185" s="911"/>
      <c r="Z185" s="911"/>
      <c r="AA185" s="911"/>
      <c r="AB185" s="911"/>
      <c r="AC185" s="911"/>
      <c r="AD185" s="911"/>
      <c r="AE185" s="773"/>
      <c r="AF185" s="887"/>
      <c r="AG185" s="911"/>
      <c r="AH185" s="911"/>
      <c r="AI185" s="911"/>
      <c r="AJ185" s="911"/>
      <c r="AK185" s="911"/>
      <c r="AL185" s="911"/>
      <c r="AM185" s="771"/>
      <c r="AN185" s="886"/>
      <c r="AO185" s="884"/>
    </row>
    <row r="186" spans="1:41" ht="12" customHeight="1" x14ac:dyDescent="0.2">
      <c r="A186" s="771"/>
      <c r="B186" s="1266"/>
      <c r="C186" s="771"/>
      <c r="D186" s="927"/>
      <c r="E186" s="922"/>
      <c r="F186" s="922"/>
      <c r="G186" s="922"/>
      <c r="H186" s="922"/>
      <c r="I186" s="922"/>
      <c r="J186" s="922"/>
      <c r="K186" s="771"/>
      <c r="L186" s="927"/>
      <c r="M186" s="922"/>
      <c r="N186" s="922"/>
      <c r="O186" s="922"/>
      <c r="P186" s="922"/>
      <c r="Q186" s="922"/>
      <c r="R186" s="922"/>
      <c r="S186" s="771"/>
      <c r="T186" s="771"/>
      <c r="U186" s="773"/>
      <c r="V186" s="1266"/>
      <c r="W186" s="773"/>
      <c r="X186" s="887"/>
      <c r="Y186" s="911"/>
      <c r="Z186" s="911"/>
      <c r="AA186" s="911"/>
      <c r="AB186" s="911"/>
      <c r="AC186" s="911"/>
      <c r="AD186" s="911"/>
      <c r="AE186" s="773"/>
      <c r="AF186" s="887"/>
      <c r="AG186" s="911"/>
      <c r="AH186" s="911"/>
      <c r="AI186" s="911"/>
      <c r="AJ186" s="911"/>
      <c r="AK186" s="911"/>
      <c r="AL186" s="911"/>
      <c r="AM186" s="771"/>
      <c r="AN186" s="886"/>
      <c r="AO186" s="884"/>
    </row>
    <row r="187" spans="1:41" ht="12" customHeight="1" x14ac:dyDescent="0.2">
      <c r="A187" s="771"/>
      <c r="B187" s="1266"/>
      <c r="C187" s="771"/>
      <c r="D187" s="771"/>
      <c r="E187" s="771"/>
      <c r="F187" s="771"/>
      <c r="G187" s="771"/>
      <c r="H187" s="771"/>
      <c r="I187" s="771"/>
      <c r="J187" s="771"/>
      <c r="K187" s="771"/>
      <c r="L187" s="771"/>
      <c r="M187" s="771"/>
      <c r="N187" s="771"/>
      <c r="O187" s="771"/>
      <c r="P187" s="771"/>
      <c r="Q187" s="771"/>
      <c r="R187" s="771"/>
      <c r="S187" s="771"/>
      <c r="T187" s="771"/>
      <c r="U187" s="773"/>
      <c r="V187" s="1266"/>
      <c r="W187" s="773"/>
      <c r="X187" s="773"/>
      <c r="Y187" s="773"/>
      <c r="Z187" s="773"/>
      <c r="AA187" s="773"/>
      <c r="AB187" s="773"/>
      <c r="AC187" s="773"/>
      <c r="AD187" s="773"/>
      <c r="AE187" s="773"/>
      <c r="AF187" s="773"/>
      <c r="AG187" s="773"/>
      <c r="AH187" s="773"/>
      <c r="AI187" s="773"/>
      <c r="AJ187" s="773"/>
      <c r="AK187" s="773"/>
      <c r="AL187" s="773"/>
      <c r="AM187" s="771"/>
      <c r="AN187" s="886"/>
      <c r="AO187" s="884"/>
    </row>
    <row r="188" spans="1:41" ht="12" customHeight="1" x14ac:dyDescent="0.2">
      <c r="A188" s="771"/>
      <c r="B188" s="1266"/>
      <c r="C188" s="771"/>
      <c r="D188" s="932"/>
      <c r="E188" s="932"/>
      <c r="F188" s="898"/>
      <c r="G188" s="898"/>
      <c r="H188" s="898"/>
      <c r="I188" s="898"/>
      <c r="J188" s="923"/>
      <c r="K188" s="934"/>
      <c r="L188" s="932"/>
      <c r="M188" s="932"/>
      <c r="N188" s="898"/>
      <c r="O188" s="898"/>
      <c r="P188" s="898"/>
      <c r="Q188" s="898"/>
      <c r="R188" s="923"/>
      <c r="S188" s="771"/>
      <c r="T188" s="771"/>
      <c r="U188" s="773"/>
      <c r="V188" s="1266"/>
      <c r="W188" s="773"/>
      <c r="X188" s="891"/>
      <c r="Y188" s="891"/>
      <c r="Z188" s="892"/>
      <c r="AA188" s="892"/>
      <c r="AB188" s="892"/>
      <c r="AC188" s="892"/>
      <c r="AD188" s="893"/>
      <c r="AE188" s="924"/>
      <c r="AF188" s="891"/>
      <c r="AG188" s="891"/>
      <c r="AH188" s="892"/>
      <c r="AI188" s="892"/>
      <c r="AJ188" s="892"/>
      <c r="AK188" s="892"/>
      <c r="AL188" s="893"/>
      <c r="AM188" s="771"/>
      <c r="AN188" s="886"/>
      <c r="AO188" s="884"/>
    </row>
    <row r="189" spans="1:41" ht="12" customHeight="1" x14ac:dyDescent="0.2">
      <c r="A189" s="771"/>
      <c r="B189" s="1266"/>
      <c r="C189" s="771"/>
      <c r="D189" s="933"/>
      <c r="E189" s="933"/>
      <c r="F189" s="898"/>
      <c r="G189" s="898"/>
      <c r="H189" s="898"/>
      <c r="I189" s="898"/>
      <c r="J189" s="900"/>
      <c r="K189" s="935"/>
      <c r="L189" s="933"/>
      <c r="M189" s="933"/>
      <c r="N189" s="898"/>
      <c r="O189" s="898"/>
      <c r="P189" s="898"/>
      <c r="Q189" s="898"/>
      <c r="R189" s="900"/>
      <c r="S189" s="771"/>
      <c r="T189" s="771"/>
      <c r="U189" s="773"/>
      <c r="V189" s="1266"/>
      <c r="W189" s="773"/>
      <c r="X189" s="894"/>
      <c r="Y189" s="894"/>
      <c r="Z189" s="892"/>
      <c r="AA189" s="892"/>
      <c r="AB189" s="892"/>
      <c r="AC189" s="892"/>
      <c r="AD189" s="895"/>
      <c r="AE189" s="925"/>
      <c r="AF189" s="894"/>
      <c r="AG189" s="894"/>
      <c r="AH189" s="892"/>
      <c r="AI189" s="892"/>
      <c r="AJ189" s="892"/>
      <c r="AK189" s="892"/>
      <c r="AL189" s="895"/>
      <c r="AM189" s="771"/>
      <c r="AN189" s="886"/>
      <c r="AO189" s="884"/>
    </row>
    <row r="190" spans="1:41" ht="12" customHeight="1" x14ac:dyDescent="0.2">
      <c r="A190" s="771"/>
      <c r="B190" s="1266"/>
      <c r="C190" s="771"/>
      <c r="D190" s="897"/>
      <c r="E190" s="897"/>
      <c r="F190" s="898"/>
      <c r="G190" s="898"/>
      <c r="H190" s="898"/>
      <c r="I190" s="899"/>
      <c r="J190" s="900"/>
      <c r="K190" s="898"/>
      <c r="L190" s="897"/>
      <c r="M190" s="897"/>
      <c r="N190" s="898"/>
      <c r="O190" s="898"/>
      <c r="P190" s="898"/>
      <c r="Q190" s="899"/>
      <c r="R190" s="900"/>
      <c r="S190" s="771"/>
      <c r="T190" s="771"/>
      <c r="U190" s="773"/>
      <c r="V190" s="1266"/>
      <c r="W190" s="773"/>
      <c r="X190" s="902"/>
      <c r="Y190" s="902"/>
      <c r="Z190" s="903"/>
      <c r="AA190" s="903"/>
      <c r="AB190" s="903"/>
      <c r="AC190" s="904"/>
      <c r="AD190" s="895"/>
      <c r="AE190" s="903"/>
      <c r="AF190" s="902"/>
      <c r="AG190" s="902"/>
      <c r="AH190" s="903"/>
      <c r="AI190" s="903"/>
      <c r="AJ190" s="903"/>
      <c r="AK190" s="904"/>
      <c r="AL190" s="895"/>
      <c r="AM190" s="771"/>
      <c r="AN190" s="886"/>
      <c r="AO190" s="884"/>
    </row>
    <row r="191" spans="1:41" ht="12" customHeight="1" x14ac:dyDescent="0.2">
      <c r="A191" s="771"/>
      <c r="B191" s="1266"/>
      <c r="C191" s="771"/>
      <c r="D191" s="771"/>
      <c r="E191" s="919"/>
      <c r="F191" s="919"/>
      <c r="G191" s="919"/>
      <c r="H191" s="919"/>
      <c r="I191" s="919"/>
      <c r="J191" s="919"/>
      <c r="K191" s="898"/>
      <c r="L191" s="771"/>
      <c r="M191" s="919"/>
      <c r="N191" s="919"/>
      <c r="O191" s="919"/>
      <c r="P191" s="919"/>
      <c r="Q191" s="919"/>
      <c r="R191" s="919"/>
      <c r="S191" s="771"/>
      <c r="T191" s="771"/>
      <c r="U191" s="773"/>
      <c r="V191" s="1266"/>
      <c r="W191" s="773"/>
      <c r="X191" s="773"/>
      <c r="Y191" s="905"/>
      <c r="Z191" s="905"/>
      <c r="AA191" s="905"/>
      <c r="AB191" s="905"/>
      <c r="AC191" s="905"/>
      <c r="AD191" s="905"/>
      <c r="AE191" s="903"/>
      <c r="AF191" s="773"/>
      <c r="AG191" s="905"/>
      <c r="AH191" s="905"/>
      <c r="AI191" s="905"/>
      <c r="AJ191" s="905"/>
      <c r="AK191" s="905"/>
      <c r="AL191" s="905"/>
      <c r="AM191" s="771"/>
      <c r="AN191" s="886"/>
      <c r="AO191" s="884"/>
    </row>
    <row r="192" spans="1:41" ht="12" customHeight="1" x14ac:dyDescent="0.2">
      <c r="S192" s="771"/>
      <c r="T192" s="771"/>
      <c r="U192" s="773"/>
      <c r="V192" s="1266"/>
      <c r="W192" s="773"/>
      <c r="X192" s="902"/>
      <c r="Y192" s="906"/>
      <c r="Z192" s="906"/>
      <c r="AA192" s="906"/>
      <c r="AB192" s="906"/>
      <c r="AC192" s="906"/>
      <c r="AD192" s="906"/>
      <c r="AE192" s="903"/>
      <c r="AF192" s="902"/>
      <c r="AG192" s="906"/>
      <c r="AH192" s="906"/>
      <c r="AI192" s="906"/>
      <c r="AJ192" s="906"/>
      <c r="AK192" s="906"/>
      <c r="AL192" s="906"/>
      <c r="AM192" s="771"/>
      <c r="AN192" s="886"/>
      <c r="AO192" s="884"/>
    </row>
    <row r="193" spans="1:41" ht="12" customHeight="1" x14ac:dyDescent="0.2">
      <c r="S193" s="771"/>
      <c r="T193" s="771"/>
      <c r="U193" s="773"/>
      <c r="V193" s="1266"/>
      <c r="W193" s="773"/>
      <c r="X193" s="902"/>
      <c r="Y193" s="906"/>
      <c r="Z193" s="906"/>
      <c r="AA193" s="906"/>
      <c r="AB193" s="906"/>
      <c r="AC193" s="906"/>
      <c r="AD193" s="906"/>
      <c r="AE193" s="903"/>
      <c r="AF193" s="902"/>
      <c r="AG193" s="906"/>
      <c r="AH193" s="906"/>
      <c r="AI193" s="906"/>
      <c r="AJ193" s="906"/>
      <c r="AK193" s="906"/>
      <c r="AL193" s="906"/>
      <c r="AM193" s="771"/>
      <c r="AN193" s="886"/>
      <c r="AO193" s="884"/>
    </row>
    <row r="194" spans="1:41" ht="12" customHeight="1" x14ac:dyDescent="0.2">
      <c r="S194" s="771"/>
      <c r="T194" s="771"/>
      <c r="U194" s="773"/>
      <c r="V194" s="1266"/>
      <c r="W194" s="773"/>
      <c r="X194" s="820"/>
      <c r="Y194" s="908"/>
      <c r="Z194" s="908"/>
      <c r="AA194" s="908"/>
      <c r="AB194" s="908"/>
      <c r="AC194" s="908"/>
      <c r="AD194" s="908"/>
      <c r="AE194" s="903"/>
      <c r="AF194" s="820"/>
      <c r="AG194" s="908"/>
      <c r="AH194" s="908"/>
      <c r="AI194" s="908"/>
      <c r="AJ194" s="908"/>
      <c r="AK194" s="908"/>
      <c r="AL194" s="908"/>
      <c r="AM194" s="771"/>
      <c r="AN194" s="886"/>
      <c r="AO194" s="884"/>
    </row>
    <row r="195" spans="1:41" ht="12" customHeight="1" x14ac:dyDescent="0.2">
      <c r="S195" s="771"/>
      <c r="T195" s="771"/>
      <c r="U195" s="773"/>
      <c r="V195" s="1266"/>
      <c r="W195" s="773"/>
      <c r="X195" s="910"/>
      <c r="Y195" s="911"/>
      <c r="Z195" s="911"/>
      <c r="AA195" s="911"/>
      <c r="AB195" s="911"/>
      <c r="AC195" s="911"/>
      <c r="AD195" s="911"/>
      <c r="AE195" s="903"/>
      <c r="AF195" s="910"/>
      <c r="AG195" s="911"/>
      <c r="AH195" s="911"/>
      <c r="AI195" s="911"/>
      <c r="AJ195" s="911"/>
      <c r="AK195" s="911"/>
      <c r="AL195" s="911"/>
      <c r="AM195" s="771"/>
      <c r="AN195" s="886"/>
      <c r="AO195" s="884"/>
    </row>
    <row r="196" spans="1:41" ht="12" customHeight="1" x14ac:dyDescent="0.2">
      <c r="S196" s="771"/>
      <c r="T196" s="771"/>
      <c r="U196" s="773"/>
      <c r="V196" s="1266"/>
      <c r="W196" s="773"/>
      <c r="X196" s="887"/>
      <c r="Y196" s="911"/>
      <c r="Z196" s="911"/>
      <c r="AA196" s="911"/>
      <c r="AB196" s="911"/>
      <c r="AC196" s="911"/>
      <c r="AD196" s="911"/>
      <c r="AE196" s="903"/>
      <c r="AF196" s="887"/>
      <c r="AG196" s="911"/>
      <c r="AH196" s="911"/>
      <c r="AI196" s="911"/>
      <c r="AJ196" s="911"/>
      <c r="AK196" s="911"/>
      <c r="AL196" s="911"/>
      <c r="AM196" s="771"/>
      <c r="AN196" s="886"/>
      <c r="AO196" s="884"/>
    </row>
    <row r="197" spans="1:41" ht="12" customHeight="1" x14ac:dyDescent="0.2">
      <c r="S197" s="771"/>
      <c r="T197" s="771"/>
      <c r="U197" s="773"/>
      <c r="V197" s="1266"/>
      <c r="W197" s="773"/>
      <c r="X197" s="887"/>
      <c r="Y197" s="911"/>
      <c r="Z197" s="911"/>
      <c r="AA197" s="911"/>
      <c r="AB197" s="911"/>
      <c r="AC197" s="911"/>
      <c r="AD197" s="911"/>
      <c r="AE197" s="903"/>
      <c r="AF197" s="887"/>
      <c r="AG197" s="911"/>
      <c r="AH197" s="911"/>
      <c r="AI197" s="911"/>
      <c r="AJ197" s="911"/>
      <c r="AK197" s="911"/>
      <c r="AL197" s="911"/>
      <c r="AM197" s="771"/>
      <c r="AN197" s="886"/>
      <c r="AO197" s="884"/>
    </row>
    <row r="198" spans="1:41" ht="12" customHeight="1" x14ac:dyDescent="0.2">
      <c r="S198" s="771"/>
      <c r="T198" s="771"/>
      <c r="U198" s="773"/>
      <c r="V198" s="1266"/>
      <c r="W198" s="773"/>
      <c r="X198" s="926"/>
      <c r="Y198" s="907"/>
      <c r="Z198" s="909"/>
      <c r="AA198" s="909"/>
      <c r="AB198" s="909"/>
      <c r="AC198" s="820"/>
      <c r="AD198" s="908"/>
      <c r="AE198" s="903"/>
      <c r="AF198" s="926"/>
      <c r="AG198" s="907"/>
      <c r="AH198" s="907"/>
      <c r="AI198" s="907"/>
      <c r="AJ198" s="907"/>
      <c r="AK198" s="820"/>
      <c r="AL198" s="908"/>
      <c r="AM198" s="771"/>
      <c r="AN198" s="886"/>
      <c r="AO198" s="884"/>
    </row>
    <row r="199" spans="1:41" ht="12" customHeight="1" x14ac:dyDescent="0.2">
      <c r="S199" s="913"/>
      <c r="T199" s="771"/>
      <c r="U199" s="773"/>
      <c r="V199" s="1266"/>
      <c r="W199" s="773"/>
      <c r="X199" s="773"/>
      <c r="Y199" s="773"/>
      <c r="Z199" s="773"/>
      <c r="AA199" s="773"/>
      <c r="AB199" s="773"/>
      <c r="AC199" s="773"/>
      <c r="AD199" s="773"/>
      <c r="AE199" s="773"/>
      <c r="AF199" s="773"/>
      <c r="AG199" s="773"/>
      <c r="AH199" s="773"/>
      <c r="AI199" s="773"/>
      <c r="AJ199" s="773"/>
      <c r="AK199" s="773"/>
      <c r="AL199" s="773"/>
      <c r="AM199" s="913"/>
      <c r="AN199" s="886"/>
      <c r="AO199" s="884"/>
    </row>
    <row r="200" spans="1:41" ht="12" customHeight="1" x14ac:dyDescent="0.2">
      <c r="S200" s="913"/>
      <c r="T200" s="771"/>
      <c r="U200" s="773"/>
      <c r="V200" s="1266"/>
      <c r="W200" s="773"/>
      <c r="X200" s="773"/>
      <c r="Y200" s="773"/>
      <c r="Z200" s="773"/>
      <c r="AA200" s="773"/>
      <c r="AB200" s="773"/>
      <c r="AC200" s="773"/>
      <c r="AD200" s="773"/>
      <c r="AE200" s="773"/>
      <c r="AF200" s="773"/>
      <c r="AG200" s="773"/>
      <c r="AH200" s="773"/>
      <c r="AI200" s="773"/>
      <c r="AJ200" s="773"/>
      <c r="AK200" s="773"/>
      <c r="AL200" s="773"/>
      <c r="AM200" s="913"/>
      <c r="AN200" s="886"/>
      <c r="AO200" s="884"/>
    </row>
    <row r="201" spans="1:41" ht="12" customHeight="1" x14ac:dyDescent="0.2">
      <c r="S201" s="771"/>
      <c r="T201" s="771"/>
      <c r="U201" s="773"/>
      <c r="V201" s="1266"/>
      <c r="W201" s="773"/>
      <c r="X201" s="773"/>
      <c r="Y201" s="773"/>
      <c r="Z201" s="773"/>
      <c r="AA201" s="773"/>
      <c r="AB201" s="773"/>
      <c r="AC201" s="773"/>
      <c r="AD201" s="773"/>
      <c r="AE201" s="773"/>
      <c r="AF201" s="773"/>
      <c r="AG201" s="773"/>
      <c r="AH201" s="773"/>
      <c r="AI201" s="773"/>
      <c r="AJ201" s="773"/>
      <c r="AK201" s="773"/>
      <c r="AL201" s="773"/>
      <c r="AM201" s="771"/>
      <c r="AN201" s="886"/>
      <c r="AO201" s="884"/>
    </row>
    <row r="202" spans="1:41" ht="12" customHeight="1" x14ac:dyDescent="0.2">
      <c r="A202" s="771"/>
      <c r="B202" s="1266"/>
      <c r="C202" s="771"/>
      <c r="D202" s="771"/>
      <c r="E202" s="771"/>
      <c r="F202" s="771"/>
      <c r="G202" s="771"/>
      <c r="H202" s="771"/>
      <c r="I202" s="771"/>
      <c r="J202" s="771"/>
      <c r="K202" s="771"/>
      <c r="L202" s="771"/>
      <c r="M202" s="771"/>
      <c r="N202" s="771"/>
      <c r="O202" s="771"/>
      <c r="P202" s="771"/>
      <c r="Q202" s="771"/>
      <c r="R202" s="771"/>
      <c r="S202" s="771"/>
      <c r="T202" s="771"/>
      <c r="U202" s="773"/>
      <c r="V202" s="1266"/>
      <c r="W202" s="773"/>
      <c r="X202" s="773"/>
      <c r="Y202" s="773"/>
      <c r="Z202" s="773"/>
      <c r="AA202" s="773"/>
      <c r="AB202" s="773"/>
      <c r="AC202" s="773"/>
      <c r="AD202" s="773"/>
      <c r="AE202" s="773"/>
      <c r="AF202" s="773"/>
      <c r="AG202" s="773"/>
      <c r="AH202" s="773"/>
      <c r="AI202" s="773"/>
      <c r="AJ202" s="773"/>
      <c r="AK202" s="773"/>
      <c r="AL202" s="773"/>
      <c r="AM202" s="771"/>
      <c r="AN202" s="886"/>
      <c r="AO202" s="884"/>
    </row>
    <row r="203" spans="1:41" ht="12" customHeight="1" x14ac:dyDescent="0.2">
      <c r="T203" s="771"/>
      <c r="U203" s="773"/>
      <c r="V203" s="1266"/>
      <c r="W203" s="773"/>
      <c r="X203" s="887"/>
      <c r="Y203" s="887"/>
      <c r="Z203" s="887"/>
      <c r="AA203" s="887"/>
      <c r="AB203" s="887"/>
      <c r="AC203" s="887"/>
      <c r="AD203" s="887"/>
      <c r="AE203" s="887"/>
      <c r="AF203" s="887"/>
      <c r="AG203" s="887"/>
      <c r="AH203" s="887"/>
      <c r="AI203" s="887"/>
      <c r="AJ203" s="887"/>
      <c r="AK203" s="887"/>
      <c r="AL203" s="887"/>
      <c r="AM203" s="771"/>
      <c r="AN203" s="886"/>
      <c r="AO203" s="884"/>
    </row>
    <row r="204" spans="1:41" ht="12" customHeight="1" x14ac:dyDescent="0.2">
      <c r="T204" s="771"/>
      <c r="U204" s="773"/>
      <c r="V204" s="1266"/>
      <c r="W204" s="773"/>
      <c r="X204" s="887"/>
      <c r="Y204" s="887"/>
      <c r="Z204" s="887"/>
      <c r="AA204" s="887"/>
      <c r="AB204" s="887"/>
      <c r="AC204" s="887"/>
      <c r="AD204" s="887"/>
      <c r="AE204" s="888"/>
      <c r="AF204" s="889"/>
      <c r="AG204" s="889"/>
      <c r="AH204" s="889"/>
      <c r="AI204" s="889"/>
      <c r="AJ204" s="889"/>
      <c r="AK204" s="889"/>
      <c r="AL204" s="890"/>
      <c r="AM204" s="771"/>
      <c r="AN204" s="886"/>
      <c r="AO204" s="884"/>
    </row>
    <row r="205" spans="1:41" ht="12" customHeight="1" x14ac:dyDescent="0.2">
      <c r="T205" s="771"/>
      <c r="U205" s="773"/>
      <c r="V205" s="1266"/>
      <c r="W205" s="773"/>
      <c r="X205" s="887"/>
      <c r="Y205" s="887"/>
      <c r="Z205" s="887"/>
      <c r="AA205" s="887"/>
      <c r="AB205" s="887"/>
      <c r="AC205" s="887"/>
      <c r="AD205" s="887"/>
      <c r="AE205" s="889"/>
      <c r="AF205" s="889"/>
      <c r="AG205" s="889"/>
      <c r="AH205" s="889"/>
      <c r="AI205" s="889"/>
      <c r="AJ205" s="889"/>
      <c r="AK205" s="889"/>
      <c r="AL205" s="887"/>
      <c r="AM205" s="771"/>
      <c r="AN205" s="886"/>
      <c r="AO205" s="884"/>
    </row>
    <row r="206" spans="1:41" ht="12" customHeight="1" x14ac:dyDescent="0.2">
      <c r="T206" s="771"/>
      <c r="U206" s="773"/>
      <c r="V206" s="1266"/>
      <c r="W206" s="773"/>
      <c r="X206" s="887"/>
      <c r="Y206" s="887"/>
      <c r="Z206" s="887"/>
      <c r="AA206" s="887"/>
      <c r="AB206" s="887"/>
      <c r="AC206" s="887"/>
      <c r="AD206" s="887"/>
      <c r="AE206" s="888"/>
      <c r="AF206" s="889"/>
      <c r="AG206" s="889"/>
      <c r="AH206" s="889"/>
      <c r="AI206" s="889"/>
      <c r="AJ206" s="889"/>
      <c r="AK206" s="889"/>
      <c r="AL206" s="887"/>
      <c r="AM206" s="771"/>
      <c r="AN206" s="886"/>
      <c r="AO206" s="884"/>
    </row>
    <row r="207" spans="1:41" ht="12" customHeight="1" x14ac:dyDescent="0.2">
      <c r="T207" s="771"/>
      <c r="U207" s="773"/>
      <c r="V207" s="1266"/>
      <c r="W207" s="773"/>
      <c r="X207" s="887"/>
      <c r="Y207" s="887"/>
      <c r="Z207" s="887"/>
      <c r="AA207" s="887"/>
      <c r="AB207" s="887"/>
      <c r="AC207" s="887"/>
      <c r="AD207" s="887"/>
      <c r="AE207" s="889"/>
      <c r="AF207" s="889"/>
      <c r="AG207" s="889"/>
      <c r="AH207" s="889"/>
      <c r="AI207" s="889"/>
      <c r="AJ207" s="889"/>
      <c r="AK207" s="889"/>
      <c r="AL207" s="887"/>
      <c r="AM207" s="771"/>
      <c r="AN207" s="886"/>
      <c r="AO207" s="884"/>
    </row>
    <row r="208" spans="1:41" ht="12" customHeight="1" x14ac:dyDescent="0.2">
      <c r="T208" s="771"/>
      <c r="U208" s="773"/>
      <c r="V208" s="1266"/>
      <c r="W208" s="773"/>
      <c r="X208" s="887"/>
      <c r="Y208" s="887"/>
      <c r="Z208" s="887"/>
      <c r="AA208" s="887"/>
      <c r="AB208" s="887"/>
      <c r="AC208" s="887"/>
      <c r="AD208" s="887"/>
      <c r="AE208" s="887"/>
      <c r="AF208" s="887"/>
      <c r="AG208" s="887"/>
      <c r="AH208" s="887"/>
      <c r="AI208" s="887"/>
      <c r="AJ208" s="887"/>
      <c r="AK208" s="887"/>
      <c r="AL208" s="887"/>
      <c r="AM208" s="771"/>
      <c r="AN208" s="886"/>
      <c r="AO208" s="884"/>
    </row>
    <row r="209" spans="1:41" ht="12" customHeight="1" x14ac:dyDescent="0.2">
      <c r="T209" s="771"/>
      <c r="U209" s="773"/>
      <c r="V209" s="1266"/>
      <c r="W209" s="773"/>
      <c r="X209" s="773"/>
      <c r="Y209" s="773"/>
      <c r="Z209" s="773"/>
      <c r="AA209" s="773"/>
      <c r="AB209" s="773"/>
      <c r="AC209" s="773"/>
      <c r="AD209" s="773"/>
      <c r="AE209" s="773"/>
      <c r="AF209" s="773"/>
      <c r="AG209" s="773"/>
      <c r="AH209" s="773"/>
      <c r="AI209" s="773"/>
      <c r="AJ209" s="773"/>
      <c r="AK209" s="773"/>
      <c r="AL209" s="773"/>
      <c r="AM209" s="771"/>
      <c r="AN209" s="886"/>
      <c r="AO209" s="884"/>
    </row>
    <row r="210" spans="1:41" ht="12" customHeight="1" x14ac:dyDescent="0.2">
      <c r="T210" s="771"/>
      <c r="U210" s="773"/>
      <c r="V210" s="1266"/>
      <c r="W210" s="773"/>
      <c r="X210" s="891"/>
      <c r="Y210" s="891"/>
      <c r="Z210" s="892"/>
      <c r="AA210" s="892"/>
      <c r="AB210" s="892"/>
      <c r="AC210" s="892"/>
      <c r="AD210" s="893"/>
      <c r="AE210" s="773"/>
      <c r="AF210" s="891"/>
      <c r="AG210" s="891"/>
      <c r="AH210" s="892"/>
      <c r="AI210" s="892"/>
      <c r="AJ210" s="892"/>
      <c r="AK210" s="892"/>
      <c r="AL210" s="893"/>
      <c r="AM210" s="771"/>
      <c r="AN210" s="886"/>
      <c r="AO210" s="884"/>
    </row>
    <row r="211" spans="1:41" ht="12" customHeight="1" x14ac:dyDescent="0.2">
      <c r="T211" s="771"/>
      <c r="U211" s="773"/>
      <c r="V211" s="1266"/>
      <c r="W211" s="773"/>
      <c r="X211" s="894"/>
      <c r="Y211" s="894"/>
      <c r="Z211" s="892"/>
      <c r="AA211" s="892"/>
      <c r="AB211" s="892"/>
      <c r="AC211" s="892"/>
      <c r="AD211" s="895"/>
      <c r="AE211" s="896"/>
      <c r="AF211" s="894"/>
      <c r="AG211" s="894"/>
      <c r="AH211" s="892"/>
      <c r="AI211" s="892"/>
      <c r="AJ211" s="892"/>
      <c r="AK211" s="892"/>
      <c r="AL211" s="895"/>
      <c r="AM211" s="771"/>
      <c r="AN211" s="886"/>
      <c r="AO211" s="884"/>
    </row>
    <row r="212" spans="1:41" ht="12" customHeight="1" x14ac:dyDescent="0.2">
      <c r="T212" s="771"/>
      <c r="U212" s="773"/>
      <c r="V212" s="1266"/>
      <c r="W212" s="773"/>
      <c r="X212" s="902"/>
      <c r="Y212" s="902"/>
      <c r="Z212" s="903"/>
      <c r="AA212" s="903"/>
      <c r="AB212" s="903"/>
      <c r="AC212" s="904"/>
      <c r="AD212" s="895"/>
      <c r="AE212" s="896"/>
      <c r="AF212" s="902"/>
      <c r="AG212" s="902"/>
      <c r="AH212" s="903"/>
      <c r="AI212" s="903"/>
      <c r="AJ212" s="903"/>
      <c r="AK212" s="904"/>
      <c r="AL212" s="895"/>
      <c r="AM212" s="771"/>
      <c r="AN212" s="886"/>
      <c r="AO212" s="884"/>
    </row>
    <row r="213" spans="1:41" ht="12" customHeight="1" x14ac:dyDescent="0.2">
      <c r="A213" s="771"/>
      <c r="B213" s="1266"/>
      <c r="C213" s="771"/>
      <c r="D213" s="771"/>
      <c r="E213" s="919"/>
      <c r="F213" s="919"/>
      <c r="G213" s="919"/>
      <c r="H213" s="919"/>
      <c r="I213" s="919"/>
      <c r="J213" s="919"/>
      <c r="K213" s="901"/>
      <c r="L213" s="771"/>
      <c r="M213" s="919"/>
      <c r="N213" s="919"/>
      <c r="O213" s="919"/>
      <c r="P213" s="919"/>
      <c r="Q213" s="919"/>
      <c r="R213" s="919"/>
      <c r="S213" s="771"/>
      <c r="T213" s="771"/>
      <c r="U213" s="773"/>
      <c r="V213" s="1266"/>
      <c r="W213" s="773"/>
      <c r="X213" s="773"/>
      <c r="Y213" s="905"/>
      <c r="Z213" s="905"/>
      <c r="AA213" s="905"/>
      <c r="AB213" s="905"/>
      <c r="AC213" s="905"/>
      <c r="AD213" s="905"/>
      <c r="AE213" s="896"/>
      <c r="AF213" s="773"/>
      <c r="AG213" s="905"/>
      <c r="AH213" s="905"/>
      <c r="AI213" s="905"/>
      <c r="AJ213" s="905"/>
      <c r="AK213" s="905"/>
      <c r="AL213" s="905"/>
      <c r="AM213" s="771"/>
      <c r="AN213" s="886"/>
      <c r="AO213" s="884"/>
    </row>
    <row r="214" spans="1:41" ht="12" customHeight="1" x14ac:dyDescent="0.2">
      <c r="A214" s="771"/>
      <c r="B214" s="1266"/>
      <c r="C214" s="771"/>
      <c r="D214" s="897"/>
      <c r="E214" s="920"/>
      <c r="F214" s="920"/>
      <c r="G214" s="920"/>
      <c r="H214" s="920"/>
      <c r="I214" s="920"/>
      <c r="J214" s="920"/>
      <c r="K214" s="913"/>
      <c r="L214" s="897"/>
      <c r="M214" s="920"/>
      <c r="N214" s="920"/>
      <c r="O214" s="920"/>
      <c r="P214" s="920"/>
      <c r="Q214" s="920"/>
      <c r="R214" s="920"/>
      <c r="S214" s="771"/>
      <c r="T214" s="771"/>
      <c r="U214" s="773"/>
      <c r="V214" s="1266"/>
      <c r="W214" s="773"/>
      <c r="X214" s="902"/>
      <c r="Y214" s="906"/>
      <c r="Z214" s="906"/>
      <c r="AA214" s="906"/>
      <c r="AB214" s="906"/>
      <c r="AC214" s="906"/>
      <c r="AD214" s="906"/>
      <c r="AE214" s="907"/>
      <c r="AF214" s="902"/>
      <c r="AG214" s="906"/>
      <c r="AH214" s="906"/>
      <c r="AI214" s="906"/>
      <c r="AJ214" s="906"/>
      <c r="AK214" s="906"/>
      <c r="AL214" s="906"/>
      <c r="AM214" s="771"/>
      <c r="AN214" s="886"/>
      <c r="AO214" s="884"/>
    </row>
    <row r="215" spans="1:41" ht="12" customHeight="1" x14ac:dyDescent="0.2">
      <c r="A215" s="771"/>
      <c r="B215" s="1266"/>
      <c r="C215" s="771"/>
      <c r="D215" s="897"/>
      <c r="E215" s="920"/>
      <c r="F215" s="920"/>
      <c r="G215" s="920"/>
      <c r="H215" s="920"/>
      <c r="I215" s="920"/>
      <c r="J215" s="920"/>
      <c r="K215" s="918"/>
      <c r="L215" s="897"/>
      <c r="M215" s="920"/>
      <c r="N215" s="920"/>
      <c r="O215" s="920"/>
      <c r="P215" s="920"/>
      <c r="Q215" s="920"/>
      <c r="R215" s="920"/>
      <c r="S215" s="771"/>
      <c r="T215" s="771"/>
      <c r="U215" s="773"/>
      <c r="V215" s="1266"/>
      <c r="W215" s="773"/>
      <c r="X215" s="902"/>
      <c r="Y215" s="906"/>
      <c r="Z215" s="906"/>
      <c r="AA215" s="906"/>
      <c r="AB215" s="906"/>
      <c r="AC215" s="906"/>
      <c r="AD215" s="906"/>
      <c r="AE215" s="820"/>
      <c r="AF215" s="902"/>
      <c r="AG215" s="906"/>
      <c r="AH215" s="906"/>
      <c r="AI215" s="906"/>
      <c r="AJ215" s="906"/>
      <c r="AK215" s="906"/>
      <c r="AL215" s="906"/>
      <c r="AM215" s="771"/>
      <c r="AN215" s="886"/>
      <c r="AO215" s="884"/>
    </row>
    <row r="216" spans="1:41" ht="12" customHeight="1" x14ac:dyDescent="0.2">
      <c r="A216" s="771"/>
      <c r="B216" s="1266"/>
      <c r="C216" s="771"/>
      <c r="D216" s="918"/>
      <c r="E216" s="921"/>
      <c r="F216" s="921"/>
      <c r="G216" s="921"/>
      <c r="H216" s="921"/>
      <c r="I216" s="921"/>
      <c r="J216" s="921"/>
      <c r="K216" s="913"/>
      <c r="L216" s="918"/>
      <c r="M216" s="921"/>
      <c r="N216" s="921"/>
      <c r="O216" s="921"/>
      <c r="P216" s="921"/>
      <c r="Q216" s="921"/>
      <c r="R216" s="921"/>
      <c r="S216" s="771"/>
      <c r="T216" s="771"/>
      <c r="U216" s="773"/>
      <c r="V216" s="1266"/>
      <c r="W216" s="773"/>
      <c r="X216" s="820"/>
      <c r="Y216" s="908"/>
      <c r="Z216" s="908"/>
      <c r="AA216" s="908"/>
      <c r="AB216" s="908"/>
      <c r="AC216" s="908"/>
      <c r="AD216" s="908"/>
      <c r="AE216" s="909"/>
      <c r="AF216" s="820"/>
      <c r="AG216" s="908"/>
      <c r="AH216" s="908"/>
      <c r="AI216" s="908"/>
      <c r="AJ216" s="908"/>
      <c r="AK216" s="908"/>
      <c r="AL216" s="908"/>
      <c r="AM216" s="771"/>
      <c r="AN216" s="886"/>
      <c r="AO216" s="884"/>
    </row>
    <row r="217" spans="1:41" ht="12" customHeight="1" x14ac:dyDescent="0.2">
      <c r="A217" s="771"/>
      <c r="B217" s="1266"/>
      <c r="C217" s="771"/>
      <c r="D217" s="929"/>
      <c r="E217" s="922"/>
      <c r="F217" s="922"/>
      <c r="G217" s="922"/>
      <c r="H217" s="922"/>
      <c r="I217" s="922"/>
      <c r="J217" s="922"/>
      <c r="K217" s="913"/>
      <c r="L217" s="929"/>
      <c r="M217" s="922"/>
      <c r="N217" s="922"/>
      <c r="O217" s="922"/>
      <c r="P217" s="922"/>
      <c r="Q217" s="922"/>
      <c r="R217" s="922"/>
      <c r="S217" s="771"/>
      <c r="T217" s="771"/>
      <c r="U217" s="773"/>
      <c r="V217" s="1266"/>
      <c r="W217" s="773"/>
      <c r="X217" s="910"/>
      <c r="Y217" s="911"/>
      <c r="Z217" s="911"/>
      <c r="AA217" s="911"/>
      <c r="AB217" s="911"/>
      <c r="AC217" s="911"/>
      <c r="AD217" s="911"/>
      <c r="AE217" s="909"/>
      <c r="AF217" s="910"/>
      <c r="AG217" s="911"/>
      <c r="AH217" s="911"/>
      <c r="AI217" s="911"/>
      <c r="AJ217" s="911"/>
      <c r="AK217" s="911"/>
      <c r="AL217" s="911"/>
      <c r="AM217" s="771"/>
      <c r="AN217" s="886"/>
      <c r="AO217" s="884"/>
    </row>
    <row r="218" spans="1:41" ht="12" customHeight="1" x14ac:dyDescent="0.2">
      <c r="R218" s="922"/>
      <c r="S218" s="771"/>
      <c r="T218" s="771"/>
      <c r="U218" s="773"/>
      <c r="V218" s="1266"/>
      <c r="W218" s="773"/>
      <c r="X218" s="887"/>
      <c r="Y218" s="911"/>
      <c r="Z218" s="911"/>
      <c r="AA218" s="911"/>
      <c r="AB218" s="911"/>
      <c r="AC218" s="911"/>
      <c r="AD218" s="911"/>
      <c r="AE218" s="909"/>
      <c r="AF218" s="887"/>
      <c r="AG218" s="911"/>
      <c r="AH218" s="911"/>
      <c r="AI218" s="911"/>
      <c r="AJ218" s="911"/>
      <c r="AK218" s="911"/>
      <c r="AL218" s="911"/>
      <c r="AM218" s="771"/>
      <c r="AN218" s="886"/>
      <c r="AO218" s="884"/>
    </row>
    <row r="219" spans="1:41" ht="12" customHeight="1" x14ac:dyDescent="0.2">
      <c r="R219" s="922"/>
      <c r="S219" s="771"/>
      <c r="T219" s="771"/>
      <c r="U219" s="773"/>
      <c r="V219" s="1266"/>
      <c r="W219" s="773"/>
      <c r="X219" s="887"/>
      <c r="Y219" s="911"/>
      <c r="Z219" s="911"/>
      <c r="AA219" s="911"/>
      <c r="AB219" s="911"/>
      <c r="AC219" s="911"/>
      <c r="AD219" s="911"/>
      <c r="AE219" s="909"/>
      <c r="AF219" s="887"/>
      <c r="AG219" s="911"/>
      <c r="AH219" s="911"/>
      <c r="AI219" s="911"/>
      <c r="AJ219" s="911"/>
      <c r="AK219" s="911"/>
      <c r="AL219" s="911"/>
      <c r="AM219" s="771"/>
      <c r="AN219" s="886"/>
      <c r="AO219" s="884"/>
    </row>
    <row r="220" spans="1:41" ht="12" customHeight="1" x14ac:dyDescent="0.2">
      <c r="R220" s="913"/>
      <c r="S220" s="771"/>
      <c r="T220" s="771"/>
      <c r="U220" s="773"/>
      <c r="V220" s="1266"/>
      <c r="W220" s="773"/>
      <c r="X220" s="887"/>
      <c r="Y220" s="887"/>
      <c r="Z220" s="887"/>
      <c r="AA220" s="887"/>
      <c r="AB220" s="887"/>
      <c r="AC220" s="887"/>
      <c r="AD220" s="887"/>
      <c r="AE220" s="909"/>
      <c r="AF220" s="909"/>
      <c r="AG220" s="907"/>
      <c r="AH220" s="912"/>
      <c r="AI220" s="909"/>
      <c r="AJ220" s="909"/>
      <c r="AK220" s="909"/>
      <c r="AL220" s="909"/>
      <c r="AM220" s="771"/>
      <c r="AN220" s="886"/>
      <c r="AO220" s="884"/>
    </row>
    <row r="221" spans="1:41" ht="12" customHeight="1" x14ac:dyDescent="0.2">
      <c r="R221" s="923"/>
      <c r="S221" s="771"/>
      <c r="T221" s="771"/>
      <c r="U221" s="773"/>
      <c r="V221" s="1266"/>
      <c r="W221" s="773"/>
      <c r="X221" s="891"/>
      <c r="Y221" s="891"/>
      <c r="Z221" s="892"/>
      <c r="AA221" s="892"/>
      <c r="AB221" s="892"/>
      <c r="AC221" s="892"/>
      <c r="AD221" s="893"/>
      <c r="AE221" s="909"/>
      <c r="AF221" s="891"/>
      <c r="AG221" s="891"/>
      <c r="AH221" s="892"/>
      <c r="AI221" s="892"/>
      <c r="AJ221" s="892"/>
      <c r="AK221" s="892"/>
      <c r="AL221" s="893"/>
      <c r="AM221" s="771"/>
      <c r="AN221" s="886"/>
      <c r="AO221" s="884"/>
    </row>
    <row r="222" spans="1:41" ht="12" customHeight="1" x14ac:dyDescent="0.2">
      <c r="A222" s="771"/>
      <c r="B222" s="1266"/>
      <c r="C222" s="771"/>
      <c r="D222" s="933"/>
      <c r="E222" s="933"/>
      <c r="F222" s="898"/>
      <c r="G222" s="898"/>
      <c r="H222" s="898"/>
      <c r="I222" s="898"/>
      <c r="J222" s="900"/>
      <c r="K222" s="913"/>
      <c r="L222" s="933"/>
      <c r="M222" s="933"/>
      <c r="N222" s="898"/>
      <c r="O222" s="898"/>
      <c r="P222" s="898"/>
      <c r="Q222" s="898"/>
      <c r="R222" s="900"/>
      <c r="S222" s="771"/>
      <c r="T222" s="771"/>
      <c r="U222" s="773"/>
      <c r="V222" s="1266"/>
      <c r="W222" s="773"/>
      <c r="X222" s="894"/>
      <c r="Y222" s="894"/>
      <c r="Z222" s="892"/>
      <c r="AA222" s="892"/>
      <c r="AB222" s="892"/>
      <c r="AC222" s="892"/>
      <c r="AD222" s="895"/>
      <c r="AE222" s="909"/>
      <c r="AF222" s="894"/>
      <c r="AG222" s="894"/>
      <c r="AH222" s="892"/>
      <c r="AI222" s="892"/>
      <c r="AJ222" s="892"/>
      <c r="AK222" s="892"/>
      <c r="AL222" s="895"/>
      <c r="AM222" s="771"/>
      <c r="AN222" s="886"/>
      <c r="AO222" s="884"/>
    </row>
    <row r="223" spans="1:41" ht="12" customHeight="1" x14ac:dyDescent="0.2">
      <c r="A223" s="771"/>
      <c r="B223" s="1266"/>
      <c r="C223" s="771"/>
      <c r="D223" s="897"/>
      <c r="E223" s="897"/>
      <c r="F223" s="898"/>
      <c r="G223" s="898"/>
      <c r="H223" s="898"/>
      <c r="I223" s="899"/>
      <c r="J223" s="900"/>
      <c r="K223" s="913"/>
      <c r="L223" s="897"/>
      <c r="M223" s="897"/>
      <c r="N223" s="898"/>
      <c r="O223" s="898"/>
      <c r="P223" s="898"/>
      <c r="Q223" s="899"/>
      <c r="R223" s="900"/>
      <c r="S223" s="771"/>
      <c r="T223" s="771"/>
      <c r="U223" s="773"/>
      <c r="V223" s="1266"/>
      <c r="W223" s="773"/>
      <c r="X223" s="902"/>
      <c r="Y223" s="902"/>
      <c r="Z223" s="903"/>
      <c r="AA223" s="903"/>
      <c r="AB223" s="903"/>
      <c r="AC223" s="904"/>
      <c r="AD223" s="895"/>
      <c r="AE223" s="909"/>
      <c r="AF223" s="902"/>
      <c r="AG223" s="902"/>
      <c r="AH223" s="903"/>
      <c r="AI223" s="903"/>
      <c r="AJ223" s="903"/>
      <c r="AK223" s="904"/>
      <c r="AL223" s="895"/>
      <c r="AM223" s="771"/>
      <c r="AN223" s="886"/>
      <c r="AO223" s="884"/>
    </row>
    <row r="224" spans="1:41" ht="12" customHeight="1" x14ac:dyDescent="0.2">
      <c r="A224" s="771"/>
      <c r="B224" s="1266"/>
      <c r="C224" s="771"/>
      <c r="D224" s="771"/>
      <c r="E224" s="919"/>
      <c r="F224" s="919"/>
      <c r="G224" s="919"/>
      <c r="H224" s="919"/>
      <c r="I224" s="919"/>
      <c r="J224" s="919"/>
      <c r="K224" s="913"/>
      <c r="L224" s="771"/>
      <c r="M224" s="919"/>
      <c r="N224" s="919"/>
      <c r="O224" s="919"/>
      <c r="P224" s="919"/>
      <c r="Q224" s="919"/>
      <c r="R224" s="919"/>
      <c r="S224" s="771"/>
      <c r="T224" s="771"/>
      <c r="U224" s="773"/>
      <c r="V224" s="1266"/>
      <c r="W224" s="773"/>
      <c r="X224" s="773"/>
      <c r="Y224" s="905"/>
      <c r="Z224" s="905"/>
      <c r="AA224" s="905"/>
      <c r="AB224" s="905"/>
      <c r="AC224" s="905"/>
      <c r="AD224" s="905"/>
      <c r="AE224" s="909"/>
      <c r="AF224" s="773"/>
      <c r="AG224" s="905"/>
      <c r="AH224" s="905"/>
      <c r="AI224" s="905"/>
      <c r="AJ224" s="905"/>
      <c r="AK224" s="905"/>
      <c r="AL224" s="905"/>
      <c r="AM224" s="771"/>
      <c r="AN224" s="886"/>
      <c r="AO224" s="884"/>
    </row>
    <row r="225" spans="1:41" ht="12" customHeight="1" x14ac:dyDescent="0.2">
      <c r="A225" s="771"/>
      <c r="B225" s="1266"/>
      <c r="C225" s="771"/>
      <c r="D225" s="897"/>
      <c r="E225" s="920"/>
      <c r="F225" s="920"/>
      <c r="G225" s="920"/>
      <c r="H225" s="920"/>
      <c r="I225" s="920"/>
      <c r="J225" s="920"/>
      <c r="K225" s="918"/>
      <c r="L225" s="897"/>
      <c r="M225" s="920"/>
      <c r="N225" s="920"/>
      <c r="O225" s="920"/>
      <c r="P225" s="920"/>
      <c r="Q225" s="920"/>
      <c r="R225" s="920"/>
      <c r="S225" s="771"/>
      <c r="T225" s="771"/>
      <c r="U225" s="773"/>
      <c r="V225" s="1266"/>
      <c r="W225" s="773"/>
      <c r="X225" s="902"/>
      <c r="Y225" s="906"/>
      <c r="Z225" s="906"/>
      <c r="AA225" s="906"/>
      <c r="AB225" s="906"/>
      <c r="AC225" s="906"/>
      <c r="AD225" s="906"/>
      <c r="AE225" s="914"/>
      <c r="AF225" s="902"/>
      <c r="AG225" s="906"/>
      <c r="AH225" s="906"/>
      <c r="AI225" s="906"/>
      <c r="AJ225" s="906"/>
      <c r="AK225" s="906"/>
      <c r="AL225" s="906"/>
      <c r="AM225" s="771"/>
      <c r="AN225" s="886"/>
      <c r="AO225" s="884"/>
    </row>
    <row r="226" spans="1:41" ht="12" customHeight="1" x14ac:dyDescent="0.2">
      <c r="A226" s="771"/>
      <c r="B226" s="1266"/>
      <c r="C226" s="771"/>
      <c r="D226" s="897"/>
      <c r="E226" s="920"/>
      <c r="F226" s="920"/>
      <c r="G226" s="920"/>
      <c r="H226" s="920"/>
      <c r="I226" s="920"/>
      <c r="J226" s="920"/>
      <c r="K226" s="918"/>
      <c r="L226" s="897"/>
      <c r="M226" s="920"/>
      <c r="N226" s="920"/>
      <c r="O226" s="920"/>
      <c r="P226" s="920"/>
      <c r="Q226" s="920"/>
      <c r="R226" s="920"/>
      <c r="S226" s="771"/>
      <c r="T226" s="771"/>
      <c r="U226" s="773"/>
      <c r="V226" s="1266"/>
      <c r="W226" s="773"/>
      <c r="X226" s="902"/>
      <c r="Y226" s="906"/>
      <c r="Z226" s="906"/>
      <c r="AA226" s="906"/>
      <c r="AB226" s="906"/>
      <c r="AC226" s="906"/>
      <c r="AD226" s="906"/>
      <c r="AE226" s="914"/>
      <c r="AF226" s="902"/>
      <c r="AG226" s="906"/>
      <c r="AH226" s="906"/>
      <c r="AI226" s="906"/>
      <c r="AJ226" s="906"/>
      <c r="AK226" s="906"/>
      <c r="AL226" s="906"/>
      <c r="AM226" s="771"/>
      <c r="AN226" s="886"/>
      <c r="AO226" s="884"/>
    </row>
    <row r="227" spans="1:41" ht="12" customHeight="1" x14ac:dyDescent="0.2">
      <c r="A227" s="771"/>
      <c r="B227" s="1266"/>
      <c r="C227" s="771"/>
      <c r="D227" s="918"/>
      <c r="E227" s="921"/>
      <c r="F227" s="921"/>
      <c r="G227" s="921"/>
      <c r="H227" s="921"/>
      <c r="I227" s="921"/>
      <c r="J227" s="921"/>
      <c r="K227" s="918"/>
      <c r="L227" s="918"/>
      <c r="M227" s="921"/>
      <c r="N227" s="921"/>
      <c r="O227" s="921"/>
      <c r="P227" s="921"/>
      <c r="Q227" s="921"/>
      <c r="R227" s="921"/>
      <c r="S227" s="771"/>
      <c r="T227" s="771"/>
      <c r="U227" s="773"/>
      <c r="V227" s="1266"/>
      <c r="W227" s="773"/>
      <c r="X227" s="820"/>
      <c r="Y227" s="908"/>
      <c r="Z227" s="908"/>
      <c r="AA227" s="908"/>
      <c r="AB227" s="908"/>
      <c r="AC227" s="908"/>
      <c r="AD227" s="908"/>
      <c r="AE227" s="820"/>
      <c r="AF227" s="820"/>
      <c r="AG227" s="908"/>
      <c r="AH227" s="908"/>
      <c r="AI227" s="908"/>
      <c r="AJ227" s="908"/>
      <c r="AK227" s="908"/>
      <c r="AL227" s="908"/>
      <c r="AM227" s="771"/>
      <c r="AN227" s="886"/>
      <c r="AO227" s="884"/>
    </row>
    <row r="228" spans="1:41" ht="12" customHeight="1" x14ac:dyDescent="0.2">
      <c r="A228" s="771"/>
      <c r="B228" s="1266"/>
      <c r="C228" s="771"/>
      <c r="D228" s="929"/>
      <c r="E228" s="922"/>
      <c r="F228" s="922"/>
      <c r="G228" s="922"/>
      <c r="H228" s="922"/>
      <c r="I228" s="922"/>
      <c r="J228" s="922"/>
      <c r="K228" s="776"/>
      <c r="L228" s="929"/>
      <c r="M228" s="922"/>
      <c r="N228" s="922"/>
      <c r="O228" s="922"/>
      <c r="P228" s="922"/>
      <c r="Q228" s="922"/>
      <c r="R228" s="922"/>
      <c r="S228" s="771"/>
      <c r="T228" s="771"/>
      <c r="U228" s="773"/>
      <c r="V228" s="1266"/>
      <c r="W228" s="773"/>
      <c r="X228" s="910"/>
      <c r="Y228" s="911"/>
      <c r="Z228" s="911"/>
      <c r="AA228" s="911"/>
      <c r="AB228" s="911"/>
      <c r="AC228" s="911"/>
      <c r="AD228" s="911"/>
      <c r="AE228" s="915"/>
      <c r="AF228" s="910"/>
      <c r="AG228" s="911"/>
      <c r="AH228" s="911"/>
      <c r="AI228" s="911"/>
      <c r="AJ228" s="911"/>
      <c r="AK228" s="911"/>
      <c r="AL228" s="911"/>
      <c r="AM228" s="771"/>
      <c r="AN228" s="886"/>
      <c r="AO228" s="884"/>
    </row>
    <row r="229" spans="1:41" ht="12" customHeight="1" x14ac:dyDescent="0.2">
      <c r="S229" s="771"/>
      <c r="T229" s="771"/>
      <c r="U229" s="773"/>
      <c r="V229" s="1266"/>
      <c r="W229" s="773"/>
      <c r="X229" s="887"/>
      <c r="Y229" s="911"/>
      <c r="Z229" s="911"/>
      <c r="AA229" s="911"/>
      <c r="AB229" s="911"/>
      <c r="AC229" s="911"/>
      <c r="AD229" s="911"/>
      <c r="AE229" s="914"/>
      <c r="AF229" s="887"/>
      <c r="AG229" s="911"/>
      <c r="AH229" s="911"/>
      <c r="AI229" s="911"/>
      <c r="AJ229" s="911"/>
      <c r="AK229" s="911"/>
      <c r="AL229" s="911"/>
      <c r="AM229" s="771"/>
      <c r="AN229" s="886"/>
      <c r="AO229" s="884"/>
    </row>
    <row r="230" spans="1:41" ht="12" customHeight="1" x14ac:dyDescent="0.2">
      <c r="S230" s="771"/>
      <c r="T230" s="771"/>
      <c r="U230" s="773"/>
      <c r="V230" s="1266"/>
      <c r="W230" s="773"/>
      <c r="X230" s="887"/>
      <c r="Y230" s="911"/>
      <c r="Z230" s="911"/>
      <c r="AA230" s="911"/>
      <c r="AB230" s="911"/>
      <c r="AC230" s="911"/>
      <c r="AD230" s="911"/>
      <c r="AE230" s="914"/>
      <c r="AF230" s="887"/>
      <c r="AG230" s="911"/>
      <c r="AH230" s="911"/>
      <c r="AI230" s="911"/>
      <c r="AJ230" s="911"/>
      <c r="AK230" s="911"/>
      <c r="AL230" s="911"/>
      <c r="AM230" s="771"/>
      <c r="AN230" s="886"/>
      <c r="AO230" s="884"/>
    </row>
    <row r="231" spans="1:41" ht="12" customHeight="1" x14ac:dyDescent="0.2">
      <c r="S231" s="771"/>
      <c r="T231" s="771"/>
      <c r="U231" s="773"/>
      <c r="V231" s="1266"/>
      <c r="W231" s="773"/>
      <c r="X231" s="773"/>
      <c r="Y231" s="773"/>
      <c r="Z231" s="773"/>
      <c r="AA231" s="773"/>
      <c r="AB231" s="773"/>
      <c r="AC231" s="820"/>
      <c r="AD231" s="820"/>
      <c r="AE231" s="916"/>
      <c r="AF231" s="917"/>
      <c r="AG231" s="907"/>
      <c r="AH231" s="909"/>
      <c r="AI231" s="909"/>
      <c r="AJ231" s="909"/>
      <c r="AK231" s="909"/>
      <c r="AL231" s="909"/>
      <c r="AM231" s="771"/>
      <c r="AN231" s="886"/>
      <c r="AO231" s="884"/>
    </row>
    <row r="232" spans="1:41" ht="12" customHeight="1" x14ac:dyDescent="0.2">
      <c r="S232" s="771"/>
      <c r="T232" s="771"/>
      <c r="U232" s="773"/>
      <c r="V232" s="1266"/>
      <c r="W232" s="773"/>
      <c r="X232" s="891"/>
      <c r="Y232" s="891"/>
      <c r="Z232" s="892"/>
      <c r="AA232" s="892"/>
      <c r="AB232" s="892"/>
      <c r="AC232" s="892"/>
      <c r="AD232" s="893"/>
      <c r="AE232" s="916"/>
      <c r="AF232" s="891"/>
      <c r="AG232" s="891"/>
      <c r="AH232" s="892"/>
      <c r="AI232" s="892"/>
      <c r="AJ232" s="892"/>
      <c r="AK232" s="892"/>
      <c r="AL232" s="893"/>
      <c r="AM232" s="771"/>
      <c r="AN232" s="886"/>
      <c r="AO232" s="884"/>
    </row>
    <row r="233" spans="1:41" ht="12" customHeight="1" x14ac:dyDescent="0.2">
      <c r="S233" s="771"/>
      <c r="T233" s="771"/>
      <c r="U233" s="773"/>
      <c r="V233" s="1266"/>
      <c r="W233" s="773"/>
      <c r="X233" s="894"/>
      <c r="Y233" s="894"/>
      <c r="Z233" s="892"/>
      <c r="AA233" s="892"/>
      <c r="AB233" s="892"/>
      <c r="AC233" s="892"/>
      <c r="AD233" s="895"/>
      <c r="AE233" s="909"/>
      <c r="AF233" s="894"/>
      <c r="AG233" s="894"/>
      <c r="AH233" s="892"/>
      <c r="AI233" s="892"/>
      <c r="AJ233" s="892"/>
      <c r="AK233" s="892"/>
      <c r="AL233" s="895"/>
      <c r="AM233" s="771"/>
      <c r="AN233" s="886"/>
      <c r="AO233" s="884"/>
    </row>
    <row r="234" spans="1:41" ht="12" customHeight="1" x14ac:dyDescent="0.2">
      <c r="S234" s="771"/>
      <c r="T234" s="771"/>
      <c r="U234" s="773"/>
      <c r="V234" s="1266"/>
      <c r="W234" s="773"/>
      <c r="X234" s="902"/>
      <c r="Y234" s="902"/>
      <c r="Z234" s="903"/>
      <c r="AA234" s="903"/>
      <c r="AB234" s="903"/>
      <c r="AC234" s="904"/>
      <c r="AD234" s="895"/>
      <c r="AE234" s="914"/>
      <c r="AF234" s="902"/>
      <c r="AG234" s="902"/>
      <c r="AH234" s="903"/>
      <c r="AI234" s="903"/>
      <c r="AJ234" s="903"/>
      <c r="AK234" s="904"/>
      <c r="AL234" s="895"/>
      <c r="AM234" s="771"/>
      <c r="AN234" s="886"/>
      <c r="AO234" s="884"/>
    </row>
    <row r="235" spans="1:41" ht="12" customHeight="1" x14ac:dyDescent="0.2">
      <c r="S235" s="771"/>
      <c r="T235" s="771"/>
      <c r="U235" s="773"/>
      <c r="V235" s="1266"/>
      <c r="W235" s="773"/>
      <c r="X235" s="773"/>
      <c r="Y235" s="905"/>
      <c r="Z235" s="905"/>
      <c r="AA235" s="905"/>
      <c r="AB235" s="905"/>
      <c r="AC235" s="905"/>
      <c r="AD235" s="905"/>
      <c r="AE235" s="914"/>
      <c r="AF235" s="773"/>
      <c r="AG235" s="905"/>
      <c r="AH235" s="905"/>
      <c r="AI235" s="905"/>
      <c r="AJ235" s="905"/>
      <c r="AK235" s="905"/>
      <c r="AL235" s="905"/>
      <c r="AM235" s="771"/>
      <c r="AN235" s="886"/>
      <c r="AO235" s="884"/>
    </row>
    <row r="236" spans="1:41" ht="12" customHeight="1" x14ac:dyDescent="0.2">
      <c r="S236" s="771"/>
      <c r="T236" s="771"/>
      <c r="U236" s="773"/>
      <c r="V236" s="1266"/>
      <c r="W236" s="773"/>
      <c r="X236" s="902"/>
      <c r="Y236" s="906"/>
      <c r="Z236" s="906"/>
      <c r="AA236" s="906"/>
      <c r="AB236" s="906"/>
      <c r="AC236" s="906"/>
      <c r="AD236" s="906"/>
      <c r="AE236" s="820"/>
      <c r="AF236" s="902"/>
      <c r="AG236" s="906"/>
      <c r="AH236" s="906"/>
      <c r="AI236" s="906"/>
      <c r="AJ236" s="906"/>
      <c r="AK236" s="906"/>
      <c r="AL236" s="906"/>
      <c r="AM236" s="771"/>
      <c r="AN236" s="886"/>
      <c r="AO236" s="884"/>
    </row>
    <row r="237" spans="1:41" ht="12" customHeight="1" x14ac:dyDescent="0.2">
      <c r="S237" s="771"/>
      <c r="T237" s="771"/>
      <c r="U237" s="773"/>
      <c r="V237" s="1266"/>
      <c r="W237" s="773"/>
      <c r="X237" s="902"/>
      <c r="Y237" s="906"/>
      <c r="Z237" s="906"/>
      <c r="AA237" s="906"/>
      <c r="AB237" s="906"/>
      <c r="AC237" s="906"/>
      <c r="AD237" s="906"/>
      <c r="AE237" s="915"/>
      <c r="AF237" s="902"/>
      <c r="AG237" s="906"/>
      <c r="AH237" s="906"/>
      <c r="AI237" s="906"/>
      <c r="AJ237" s="906"/>
      <c r="AK237" s="906"/>
      <c r="AL237" s="906"/>
      <c r="AM237" s="771"/>
      <c r="AN237" s="886"/>
      <c r="AO237" s="884"/>
    </row>
    <row r="238" spans="1:41" ht="12" customHeight="1" x14ac:dyDescent="0.2">
      <c r="S238" s="771"/>
      <c r="T238" s="771"/>
      <c r="U238" s="773"/>
      <c r="V238" s="1266"/>
      <c r="W238" s="773"/>
      <c r="X238" s="820"/>
      <c r="Y238" s="908"/>
      <c r="Z238" s="908"/>
      <c r="AA238" s="908"/>
      <c r="AB238" s="908"/>
      <c r="AC238" s="908"/>
      <c r="AD238" s="908"/>
      <c r="AE238" s="914"/>
      <c r="AF238" s="820"/>
      <c r="AG238" s="908"/>
      <c r="AH238" s="908"/>
      <c r="AI238" s="908"/>
      <c r="AJ238" s="908"/>
      <c r="AK238" s="908"/>
      <c r="AL238" s="908"/>
      <c r="AM238" s="771"/>
      <c r="AN238" s="886"/>
      <c r="AO238" s="884"/>
    </row>
    <row r="239" spans="1:41" ht="12" customHeight="1" x14ac:dyDescent="0.2">
      <c r="A239" s="771"/>
      <c r="B239" s="1266"/>
      <c r="C239" s="771"/>
      <c r="D239" s="929"/>
      <c r="E239" s="922"/>
      <c r="F239" s="922"/>
      <c r="G239" s="922"/>
      <c r="H239" s="922"/>
      <c r="I239" s="922"/>
      <c r="J239" s="922"/>
      <c r="K239" s="918"/>
      <c r="L239" s="929"/>
      <c r="M239" s="922"/>
      <c r="N239" s="922"/>
      <c r="O239" s="922"/>
      <c r="P239" s="922"/>
      <c r="Q239" s="922"/>
      <c r="R239" s="922"/>
      <c r="S239" s="771"/>
      <c r="T239" s="771"/>
      <c r="U239" s="773"/>
      <c r="V239" s="1266"/>
      <c r="W239" s="773"/>
      <c r="X239" s="910"/>
      <c r="Y239" s="911"/>
      <c r="Z239" s="911"/>
      <c r="AA239" s="911"/>
      <c r="AB239" s="911"/>
      <c r="AC239" s="911"/>
      <c r="AD239" s="911"/>
      <c r="AE239" s="914"/>
      <c r="AF239" s="910"/>
      <c r="AG239" s="911"/>
      <c r="AH239" s="911"/>
      <c r="AI239" s="911"/>
      <c r="AJ239" s="911"/>
      <c r="AK239" s="911"/>
      <c r="AL239" s="911"/>
      <c r="AM239" s="771"/>
      <c r="AN239" s="886"/>
      <c r="AO239" s="884"/>
    </row>
    <row r="240" spans="1:41" ht="12" customHeight="1" x14ac:dyDescent="0.2">
      <c r="T240" s="771"/>
      <c r="U240" s="773"/>
      <c r="V240" s="1266"/>
      <c r="W240" s="773"/>
      <c r="X240" s="887"/>
      <c r="Y240" s="911"/>
      <c r="Z240" s="911"/>
      <c r="AA240" s="911"/>
      <c r="AB240" s="911"/>
      <c r="AC240" s="911"/>
      <c r="AD240" s="911"/>
      <c r="AE240" s="916"/>
      <c r="AF240" s="887"/>
      <c r="AG240" s="911"/>
      <c r="AH240" s="911"/>
      <c r="AI240" s="911"/>
      <c r="AJ240" s="911"/>
      <c r="AK240" s="911"/>
      <c r="AL240" s="911"/>
      <c r="AM240" s="771"/>
      <c r="AN240" s="886"/>
      <c r="AO240" s="884"/>
    </row>
    <row r="241" spans="1:41" ht="12" customHeight="1" x14ac:dyDescent="0.2">
      <c r="T241" s="771"/>
      <c r="U241" s="773"/>
      <c r="V241" s="1266"/>
      <c r="W241" s="773"/>
      <c r="X241" s="887"/>
      <c r="Y241" s="911"/>
      <c r="Z241" s="911"/>
      <c r="AA241" s="911"/>
      <c r="AB241" s="911"/>
      <c r="AC241" s="911"/>
      <c r="AD241" s="911"/>
      <c r="AE241" s="916"/>
      <c r="AF241" s="887"/>
      <c r="AG241" s="911"/>
      <c r="AH241" s="911"/>
      <c r="AI241" s="911"/>
      <c r="AJ241" s="911"/>
      <c r="AK241" s="911"/>
      <c r="AL241" s="911"/>
      <c r="AM241" s="771"/>
      <c r="AN241" s="886"/>
      <c r="AO241" s="884"/>
    </row>
    <row r="242" spans="1:41" ht="12" customHeight="1" x14ac:dyDescent="0.2">
      <c r="T242" s="771"/>
      <c r="U242" s="773"/>
      <c r="V242" s="1266"/>
      <c r="W242" s="773"/>
      <c r="X242" s="907"/>
      <c r="Y242" s="907"/>
      <c r="Z242" s="907"/>
      <c r="AA242" s="907"/>
      <c r="AB242" s="907"/>
      <c r="AC242" s="909"/>
      <c r="AD242" s="909"/>
      <c r="AE242" s="909"/>
      <c r="AF242" s="909"/>
      <c r="AG242" s="907"/>
      <c r="AH242" s="909"/>
      <c r="AI242" s="909"/>
      <c r="AJ242" s="909"/>
      <c r="AK242" s="909"/>
      <c r="AL242" s="909"/>
      <c r="AM242" s="771"/>
      <c r="AN242" s="886"/>
      <c r="AO242" s="884"/>
    </row>
    <row r="243" spans="1:41" ht="12" customHeight="1" x14ac:dyDescent="0.2">
      <c r="T243" s="771"/>
      <c r="U243" s="773"/>
      <c r="V243" s="1266"/>
      <c r="W243" s="773"/>
      <c r="X243" s="891"/>
      <c r="Y243" s="891"/>
      <c r="Z243" s="892"/>
      <c r="AA243" s="892"/>
      <c r="AB243" s="892"/>
      <c r="AC243" s="892"/>
      <c r="AD243" s="893"/>
      <c r="AE243" s="773"/>
      <c r="AF243" s="891"/>
      <c r="AG243" s="891"/>
      <c r="AH243" s="892"/>
      <c r="AI243" s="892"/>
      <c r="AJ243" s="892"/>
      <c r="AK243" s="892"/>
      <c r="AL243" s="893"/>
      <c r="AM243" s="771"/>
      <c r="AN243" s="886"/>
      <c r="AO243" s="884"/>
    </row>
    <row r="244" spans="1:41" ht="12" customHeight="1" x14ac:dyDescent="0.2">
      <c r="T244" s="771"/>
      <c r="U244" s="773"/>
      <c r="V244" s="1266"/>
      <c r="W244" s="773"/>
      <c r="X244" s="894"/>
      <c r="Y244" s="894"/>
      <c r="Z244" s="892"/>
      <c r="AA244" s="892"/>
      <c r="AB244" s="892"/>
      <c r="AC244" s="892"/>
      <c r="AD244" s="895"/>
      <c r="AE244" s="773"/>
      <c r="AF244" s="894"/>
      <c r="AG244" s="894"/>
      <c r="AH244" s="892"/>
      <c r="AI244" s="892"/>
      <c r="AJ244" s="892"/>
      <c r="AK244" s="892"/>
      <c r="AL244" s="895"/>
      <c r="AM244" s="771"/>
      <c r="AN244" s="886"/>
      <c r="AO244" s="884"/>
    </row>
    <row r="245" spans="1:41" ht="12" customHeight="1" x14ac:dyDescent="0.2">
      <c r="T245" s="771"/>
      <c r="U245" s="773"/>
      <c r="V245" s="1266"/>
      <c r="W245" s="773"/>
      <c r="X245" s="902"/>
      <c r="Y245" s="902"/>
      <c r="Z245" s="903"/>
      <c r="AA245" s="903"/>
      <c r="AB245" s="903"/>
      <c r="AC245" s="904"/>
      <c r="AD245" s="895"/>
      <c r="AE245" s="773"/>
      <c r="AF245" s="902"/>
      <c r="AG245" s="902"/>
      <c r="AH245" s="903"/>
      <c r="AI245" s="903"/>
      <c r="AJ245" s="903"/>
      <c r="AK245" s="904"/>
      <c r="AL245" s="895"/>
      <c r="AM245" s="771"/>
      <c r="AN245" s="886"/>
      <c r="AO245" s="884"/>
    </row>
    <row r="246" spans="1:41" ht="12" customHeight="1" x14ac:dyDescent="0.2">
      <c r="T246" s="771"/>
      <c r="U246" s="773"/>
      <c r="V246" s="1266"/>
      <c r="W246" s="773"/>
      <c r="X246" s="773"/>
      <c r="Y246" s="905"/>
      <c r="Z246" s="905"/>
      <c r="AA246" s="905"/>
      <c r="AB246" s="905"/>
      <c r="AC246" s="905"/>
      <c r="AD246" s="905"/>
      <c r="AE246" s="773"/>
      <c r="AF246" s="773"/>
      <c r="AG246" s="905"/>
      <c r="AH246" s="905"/>
      <c r="AI246" s="905"/>
      <c r="AJ246" s="905"/>
      <c r="AK246" s="905"/>
      <c r="AL246" s="905"/>
      <c r="AM246" s="771"/>
      <c r="AN246" s="886"/>
      <c r="AO246" s="884"/>
    </row>
    <row r="247" spans="1:41" ht="12" customHeight="1" x14ac:dyDescent="0.2">
      <c r="T247" s="771"/>
      <c r="U247" s="773"/>
      <c r="V247" s="1266"/>
      <c r="W247" s="773"/>
      <c r="X247" s="902"/>
      <c r="Y247" s="906"/>
      <c r="Z247" s="906"/>
      <c r="AA247" s="906"/>
      <c r="AB247" s="906"/>
      <c r="AC247" s="906"/>
      <c r="AD247" s="906"/>
      <c r="AE247" s="773"/>
      <c r="AF247" s="902"/>
      <c r="AG247" s="906"/>
      <c r="AH247" s="906"/>
      <c r="AI247" s="906"/>
      <c r="AJ247" s="906"/>
      <c r="AK247" s="906"/>
      <c r="AL247" s="906"/>
      <c r="AM247" s="771"/>
      <c r="AN247" s="886"/>
      <c r="AO247" s="884"/>
    </row>
    <row r="248" spans="1:41" ht="12" customHeight="1" x14ac:dyDescent="0.2">
      <c r="T248" s="771"/>
      <c r="U248" s="773"/>
      <c r="V248" s="1266"/>
      <c r="W248" s="773"/>
      <c r="X248" s="902"/>
      <c r="Y248" s="906"/>
      <c r="Z248" s="906"/>
      <c r="AA248" s="906"/>
      <c r="AB248" s="906"/>
      <c r="AC248" s="906"/>
      <c r="AD248" s="906"/>
      <c r="AE248" s="773"/>
      <c r="AF248" s="902"/>
      <c r="AG248" s="906"/>
      <c r="AH248" s="906"/>
      <c r="AI248" s="906"/>
      <c r="AJ248" s="906"/>
      <c r="AK248" s="906"/>
      <c r="AL248" s="906"/>
      <c r="AM248" s="771"/>
      <c r="AN248" s="886"/>
      <c r="AO248" s="884"/>
    </row>
    <row r="249" spans="1:41" ht="12" customHeight="1" x14ac:dyDescent="0.2">
      <c r="T249" s="771"/>
      <c r="U249" s="773"/>
      <c r="V249" s="1266"/>
      <c r="W249" s="773"/>
      <c r="X249" s="820"/>
      <c r="Y249" s="908"/>
      <c r="Z249" s="908"/>
      <c r="AA249" s="908"/>
      <c r="AB249" s="908"/>
      <c r="AC249" s="908"/>
      <c r="AD249" s="908"/>
      <c r="AE249" s="773"/>
      <c r="AF249" s="820"/>
      <c r="AG249" s="908"/>
      <c r="AH249" s="908"/>
      <c r="AI249" s="908"/>
      <c r="AJ249" s="908"/>
      <c r="AK249" s="908"/>
      <c r="AL249" s="908"/>
      <c r="AM249" s="771"/>
      <c r="AN249" s="886"/>
      <c r="AO249" s="884"/>
    </row>
    <row r="250" spans="1:41" ht="12" customHeight="1" x14ac:dyDescent="0.2">
      <c r="A250" s="771"/>
      <c r="B250" s="1266"/>
      <c r="C250" s="771"/>
      <c r="D250" s="929"/>
      <c r="E250" s="922"/>
      <c r="F250" s="922"/>
      <c r="G250" s="922"/>
      <c r="H250" s="922"/>
      <c r="I250" s="922"/>
      <c r="J250" s="922"/>
      <c r="K250" s="771"/>
      <c r="L250" s="929"/>
      <c r="M250" s="922"/>
      <c r="N250" s="922"/>
      <c r="O250" s="922"/>
      <c r="P250" s="922"/>
      <c r="Q250" s="922"/>
      <c r="R250" s="922"/>
      <c r="S250" s="771"/>
      <c r="T250" s="771"/>
      <c r="U250" s="773"/>
      <c r="V250" s="1266"/>
      <c r="W250" s="773"/>
      <c r="X250" s="910"/>
      <c r="Y250" s="911"/>
      <c r="Z250" s="911"/>
      <c r="AA250" s="911"/>
      <c r="AB250" s="911"/>
      <c r="AC250" s="911"/>
      <c r="AD250" s="911"/>
      <c r="AE250" s="773"/>
      <c r="AF250" s="910"/>
      <c r="AG250" s="911"/>
      <c r="AH250" s="911"/>
      <c r="AI250" s="911"/>
      <c r="AJ250" s="911"/>
      <c r="AK250" s="911"/>
      <c r="AL250" s="911"/>
      <c r="AM250" s="771"/>
      <c r="AN250" s="886"/>
      <c r="AO250" s="884"/>
    </row>
    <row r="251" spans="1:41" ht="12" customHeight="1" x14ac:dyDescent="0.2">
      <c r="A251" s="771"/>
      <c r="B251" s="1266"/>
      <c r="C251" s="771"/>
      <c r="D251" s="927"/>
      <c r="E251" s="922"/>
      <c r="F251" s="922"/>
      <c r="G251" s="922"/>
      <c r="H251" s="922"/>
      <c r="I251" s="922"/>
      <c r="J251" s="922"/>
      <c r="K251" s="771"/>
      <c r="L251" s="927"/>
      <c r="M251" s="922"/>
      <c r="N251" s="922"/>
      <c r="O251" s="922"/>
      <c r="P251" s="922"/>
      <c r="Q251" s="922"/>
      <c r="R251" s="922"/>
      <c r="S251" s="771"/>
      <c r="T251" s="771"/>
      <c r="U251" s="773"/>
      <c r="V251" s="1266"/>
      <c r="W251" s="773"/>
      <c r="X251" s="887"/>
      <c r="Y251" s="911"/>
      <c r="Z251" s="911"/>
      <c r="AA251" s="911"/>
      <c r="AB251" s="911"/>
      <c r="AC251" s="911"/>
      <c r="AD251" s="911"/>
      <c r="AE251" s="773"/>
      <c r="AF251" s="887"/>
      <c r="AG251" s="911"/>
      <c r="AH251" s="911"/>
      <c r="AI251" s="911"/>
      <c r="AJ251" s="911"/>
      <c r="AK251" s="911"/>
      <c r="AL251" s="911"/>
      <c r="AM251" s="771"/>
      <c r="AN251" s="886"/>
      <c r="AO251" s="884"/>
    </row>
    <row r="252" spans="1:41" ht="12" customHeight="1" x14ac:dyDescent="0.2">
      <c r="A252" s="771"/>
      <c r="B252" s="1266"/>
      <c r="C252" s="771"/>
      <c r="D252" s="927"/>
      <c r="E252" s="922"/>
      <c r="F252" s="922"/>
      <c r="G252" s="922"/>
      <c r="H252" s="922"/>
      <c r="I252" s="922"/>
      <c r="J252" s="922"/>
      <c r="K252" s="771"/>
      <c r="L252" s="927"/>
      <c r="M252" s="922"/>
      <c r="N252" s="922"/>
      <c r="O252" s="922"/>
      <c r="P252" s="922"/>
      <c r="Q252" s="922"/>
      <c r="R252" s="922"/>
      <c r="S252" s="771"/>
      <c r="T252" s="771"/>
      <c r="U252" s="773"/>
      <c r="V252" s="1266"/>
      <c r="W252" s="773"/>
      <c r="X252" s="887"/>
      <c r="Y252" s="911"/>
      <c r="Z252" s="911"/>
      <c r="AA252" s="911"/>
      <c r="AB252" s="911"/>
      <c r="AC252" s="911"/>
      <c r="AD252" s="911"/>
      <c r="AE252" s="773"/>
      <c r="AF252" s="887"/>
      <c r="AG252" s="911"/>
      <c r="AH252" s="911"/>
      <c r="AI252" s="911"/>
      <c r="AJ252" s="911"/>
      <c r="AK252" s="911"/>
      <c r="AL252" s="911"/>
      <c r="AM252" s="771"/>
      <c r="AN252" s="886"/>
      <c r="AO252" s="884"/>
    </row>
    <row r="253" spans="1:41" ht="12" customHeight="1" x14ac:dyDescent="0.2">
      <c r="A253" s="771"/>
      <c r="B253" s="1266"/>
      <c r="C253" s="771"/>
      <c r="D253" s="771"/>
      <c r="E253" s="771"/>
      <c r="F253" s="771"/>
      <c r="G253" s="771"/>
      <c r="H253" s="771"/>
      <c r="I253" s="771"/>
      <c r="J253" s="771"/>
      <c r="K253" s="771"/>
      <c r="L253" s="771"/>
      <c r="M253" s="771"/>
      <c r="N253" s="771"/>
      <c r="O253" s="771"/>
      <c r="P253" s="771"/>
      <c r="Q253" s="771"/>
      <c r="R253" s="771"/>
      <c r="S253" s="771"/>
      <c r="T253" s="771"/>
      <c r="U253" s="773"/>
      <c r="V253" s="1266"/>
      <c r="W253" s="773"/>
      <c r="X253" s="773"/>
      <c r="Y253" s="773"/>
      <c r="Z253" s="773"/>
      <c r="AA253" s="773"/>
      <c r="AB253" s="773"/>
      <c r="AC253" s="773"/>
      <c r="AD253" s="773"/>
      <c r="AE253" s="773"/>
      <c r="AF253" s="773"/>
      <c r="AG253" s="773"/>
      <c r="AH253" s="773"/>
      <c r="AI253" s="773"/>
      <c r="AJ253" s="773"/>
      <c r="AK253" s="773"/>
      <c r="AL253" s="773"/>
      <c r="AM253" s="771"/>
      <c r="AN253" s="886"/>
      <c r="AO253" s="884"/>
    </row>
    <row r="254" spans="1:41" ht="12" customHeight="1" x14ac:dyDescent="0.2">
      <c r="A254" s="771"/>
      <c r="B254" s="1266"/>
      <c r="C254" s="771"/>
      <c r="D254" s="932"/>
      <c r="E254" s="932"/>
      <c r="F254" s="898"/>
      <c r="G254" s="898"/>
      <c r="H254" s="898"/>
      <c r="I254" s="898"/>
      <c r="J254" s="923"/>
      <c r="K254" s="934"/>
      <c r="L254" s="932"/>
      <c r="M254" s="932"/>
      <c r="N254" s="898"/>
      <c r="O254" s="898"/>
      <c r="P254" s="898"/>
      <c r="Q254" s="898"/>
      <c r="R254" s="923"/>
      <c r="S254" s="771"/>
      <c r="T254" s="771"/>
      <c r="U254" s="773"/>
      <c r="V254" s="1266"/>
      <c r="W254" s="773"/>
      <c r="X254" s="891"/>
      <c r="Y254" s="891"/>
      <c r="Z254" s="892"/>
      <c r="AA254" s="892"/>
      <c r="AB254" s="892"/>
      <c r="AC254" s="892"/>
      <c r="AD254" s="893"/>
      <c r="AE254" s="924"/>
      <c r="AF254" s="891"/>
      <c r="AG254" s="891"/>
      <c r="AH254" s="892"/>
      <c r="AI254" s="892"/>
      <c r="AJ254" s="892"/>
      <c r="AK254" s="892"/>
      <c r="AL254" s="893"/>
      <c r="AM254" s="771"/>
      <c r="AN254" s="886"/>
      <c r="AO254" s="884"/>
    </row>
    <row r="255" spans="1:41" ht="12" customHeight="1" x14ac:dyDescent="0.2">
      <c r="A255" s="771"/>
      <c r="B255" s="1266"/>
      <c r="C255" s="771"/>
      <c r="D255" s="933"/>
      <c r="E255" s="933"/>
      <c r="F255" s="898"/>
      <c r="G255" s="898"/>
      <c r="H255" s="898"/>
      <c r="I255" s="898"/>
      <c r="J255" s="900"/>
      <c r="K255" s="935"/>
      <c r="L255" s="933"/>
      <c r="M255" s="933"/>
      <c r="N255" s="898"/>
      <c r="O255" s="898"/>
      <c r="P255" s="898"/>
      <c r="Q255" s="898"/>
      <c r="R255" s="900"/>
      <c r="S255" s="771"/>
      <c r="T255" s="771"/>
      <c r="U255" s="773"/>
      <c r="V255" s="1266"/>
      <c r="W255" s="773"/>
      <c r="X255" s="894"/>
      <c r="Y255" s="894"/>
      <c r="Z255" s="892"/>
      <c r="AA255" s="892"/>
      <c r="AB255" s="892"/>
      <c r="AC255" s="892"/>
      <c r="AD255" s="895"/>
      <c r="AE255" s="925"/>
      <c r="AF255" s="894"/>
      <c r="AG255" s="894"/>
      <c r="AH255" s="892"/>
      <c r="AI255" s="892"/>
      <c r="AJ255" s="892"/>
      <c r="AK255" s="892"/>
      <c r="AL255" s="895"/>
      <c r="AM255" s="771"/>
      <c r="AN255" s="886"/>
      <c r="AO255" s="884"/>
    </row>
    <row r="256" spans="1:41" ht="12" customHeight="1" x14ac:dyDescent="0.2">
      <c r="A256" s="771"/>
      <c r="B256" s="1266"/>
      <c r="C256" s="771"/>
      <c r="D256" s="897"/>
      <c r="E256" s="897"/>
      <c r="F256" s="898"/>
      <c r="G256" s="898"/>
      <c r="H256" s="898"/>
      <c r="I256" s="899"/>
      <c r="J256" s="900"/>
      <c r="K256" s="898"/>
      <c r="L256" s="897"/>
      <c r="M256" s="897"/>
      <c r="N256" s="898"/>
      <c r="O256" s="898"/>
      <c r="P256" s="898"/>
      <c r="Q256" s="899"/>
      <c r="R256" s="900"/>
      <c r="S256" s="771"/>
      <c r="T256" s="771"/>
      <c r="U256" s="773"/>
      <c r="V256" s="1266"/>
      <c r="W256" s="773"/>
      <c r="X256" s="902"/>
      <c r="Y256" s="902"/>
      <c r="Z256" s="903"/>
      <c r="AA256" s="903"/>
      <c r="AB256" s="903"/>
      <c r="AC256" s="904"/>
      <c r="AD256" s="895"/>
      <c r="AE256" s="903"/>
      <c r="AF256" s="902"/>
      <c r="AG256" s="902"/>
      <c r="AH256" s="903"/>
      <c r="AI256" s="903"/>
      <c r="AJ256" s="903"/>
      <c r="AK256" s="904"/>
      <c r="AL256" s="895"/>
      <c r="AM256" s="771"/>
      <c r="AN256" s="886"/>
      <c r="AO256" s="884"/>
    </row>
    <row r="257" spans="1:41" ht="12" customHeight="1" x14ac:dyDescent="0.2">
      <c r="A257" s="771"/>
      <c r="B257" s="1266"/>
      <c r="C257" s="771"/>
      <c r="D257" s="771"/>
      <c r="E257" s="919"/>
      <c r="F257" s="919"/>
      <c r="G257" s="919"/>
      <c r="H257" s="919"/>
      <c r="I257" s="919"/>
      <c r="J257" s="919"/>
      <c r="K257" s="898"/>
      <c r="L257" s="771"/>
      <c r="M257" s="919"/>
      <c r="N257" s="919"/>
      <c r="O257" s="919"/>
      <c r="P257" s="919"/>
      <c r="Q257" s="919"/>
      <c r="R257" s="919"/>
      <c r="S257" s="771"/>
      <c r="T257" s="771"/>
      <c r="U257" s="773"/>
      <c r="V257" s="1266"/>
      <c r="W257" s="773"/>
      <c r="X257" s="773"/>
      <c r="Y257" s="905"/>
      <c r="Z257" s="905"/>
      <c r="AA257" s="905"/>
      <c r="AB257" s="905"/>
      <c r="AC257" s="905"/>
      <c r="AD257" s="905"/>
      <c r="AE257" s="903"/>
      <c r="AF257" s="773"/>
      <c r="AG257" s="905"/>
      <c r="AH257" s="905"/>
      <c r="AI257" s="905"/>
      <c r="AJ257" s="905"/>
      <c r="AK257" s="905"/>
      <c r="AL257" s="905"/>
      <c r="AM257" s="771"/>
      <c r="AN257" s="886"/>
      <c r="AO257" s="884"/>
    </row>
    <row r="258" spans="1:41" ht="12" customHeight="1" x14ac:dyDescent="0.2">
      <c r="A258" s="771"/>
      <c r="B258" s="1266"/>
      <c r="C258" s="771"/>
      <c r="D258" s="897"/>
      <c r="E258" s="920"/>
      <c r="F258" s="920"/>
      <c r="G258" s="920"/>
      <c r="H258" s="920"/>
      <c r="I258" s="920"/>
      <c r="J258" s="920"/>
      <c r="K258" s="898"/>
      <c r="L258" s="897"/>
      <c r="M258" s="920"/>
      <c r="N258" s="920"/>
      <c r="O258" s="920"/>
      <c r="P258" s="920"/>
      <c r="Q258" s="920"/>
      <c r="R258" s="920"/>
      <c r="S258" s="771"/>
      <c r="T258" s="771"/>
      <c r="U258" s="773"/>
      <c r="V258" s="1266"/>
      <c r="W258" s="773"/>
      <c r="X258" s="902"/>
      <c r="Y258" s="906"/>
      <c r="Z258" s="906"/>
      <c r="AA258" s="906"/>
      <c r="AB258" s="906"/>
      <c r="AC258" s="906"/>
      <c r="AD258" s="906"/>
      <c r="AE258" s="903"/>
      <c r="AF258" s="902"/>
      <c r="AG258" s="906"/>
      <c r="AH258" s="906"/>
      <c r="AI258" s="906"/>
      <c r="AJ258" s="906"/>
      <c r="AK258" s="906"/>
      <c r="AL258" s="906"/>
      <c r="AM258" s="771"/>
      <c r="AN258" s="886"/>
      <c r="AO258" s="884"/>
    </row>
    <row r="259" spans="1:41" ht="12" customHeight="1" x14ac:dyDescent="0.2">
      <c r="A259" s="771"/>
      <c r="B259" s="1266"/>
      <c r="C259" s="771"/>
      <c r="D259" s="897"/>
      <c r="E259" s="920"/>
      <c r="F259" s="920"/>
      <c r="G259" s="920"/>
      <c r="H259" s="920"/>
      <c r="I259" s="920"/>
      <c r="J259" s="920"/>
      <c r="K259" s="898"/>
      <c r="L259" s="897"/>
      <c r="M259" s="920"/>
      <c r="N259" s="920"/>
      <c r="O259" s="920"/>
      <c r="P259" s="920"/>
      <c r="Q259" s="920"/>
      <c r="R259" s="920"/>
      <c r="S259" s="771"/>
      <c r="T259" s="771"/>
      <c r="U259" s="773"/>
      <c r="V259" s="1266"/>
      <c r="W259" s="773"/>
      <c r="X259" s="902"/>
      <c r="Y259" s="906"/>
      <c r="Z259" s="906"/>
      <c r="AA259" s="906"/>
      <c r="AB259" s="906"/>
      <c r="AC259" s="906"/>
      <c r="AD259" s="906"/>
      <c r="AE259" s="903"/>
      <c r="AF259" s="902"/>
      <c r="AG259" s="906"/>
      <c r="AH259" s="906"/>
      <c r="AI259" s="906"/>
      <c r="AJ259" s="906"/>
      <c r="AK259" s="906"/>
      <c r="AL259" s="906"/>
      <c r="AM259" s="771"/>
      <c r="AN259" s="886"/>
      <c r="AO259" s="884"/>
    </row>
    <row r="260" spans="1:41" ht="12" customHeight="1" x14ac:dyDescent="0.2">
      <c r="A260" s="771"/>
      <c r="B260" s="1266"/>
      <c r="C260" s="771"/>
      <c r="D260" s="918"/>
      <c r="E260" s="921"/>
      <c r="F260" s="921"/>
      <c r="G260" s="921"/>
      <c r="H260" s="921"/>
      <c r="I260" s="921"/>
      <c r="J260" s="921"/>
      <c r="K260" s="898"/>
      <c r="L260" s="918"/>
      <c r="M260" s="921"/>
      <c r="N260" s="921"/>
      <c r="O260" s="921"/>
      <c r="P260" s="921"/>
      <c r="Q260" s="921"/>
      <c r="R260" s="921"/>
      <c r="S260" s="771"/>
      <c r="T260" s="771"/>
      <c r="U260" s="773"/>
      <c r="V260" s="1266"/>
      <c r="W260" s="773"/>
      <c r="X260" s="820"/>
      <c r="Y260" s="908"/>
      <c r="Z260" s="908"/>
      <c r="AA260" s="908"/>
      <c r="AB260" s="908"/>
      <c r="AC260" s="908"/>
      <c r="AD260" s="908"/>
      <c r="AE260" s="903"/>
      <c r="AF260" s="820"/>
      <c r="AG260" s="908"/>
      <c r="AH260" s="908"/>
      <c r="AI260" s="908"/>
      <c r="AJ260" s="908"/>
      <c r="AK260" s="908"/>
      <c r="AL260" s="908"/>
      <c r="AM260" s="771"/>
      <c r="AN260" s="886"/>
      <c r="AO260" s="884"/>
    </row>
    <row r="261" spans="1:41" ht="12" customHeight="1" x14ac:dyDescent="0.2">
      <c r="A261" s="771"/>
      <c r="B261" s="1266"/>
      <c r="C261" s="771"/>
      <c r="D261" s="929"/>
      <c r="E261" s="922"/>
      <c r="F261" s="922"/>
      <c r="G261" s="922"/>
      <c r="H261" s="922"/>
      <c r="I261" s="922"/>
      <c r="J261" s="922"/>
      <c r="K261" s="898"/>
      <c r="L261" s="929"/>
      <c r="M261" s="922"/>
      <c r="N261" s="922"/>
      <c r="O261" s="922"/>
      <c r="P261" s="922"/>
      <c r="Q261" s="922"/>
      <c r="R261" s="922"/>
      <c r="S261" s="771"/>
      <c r="T261" s="771"/>
      <c r="U261" s="773"/>
      <c r="V261" s="1266"/>
      <c r="W261" s="773"/>
      <c r="X261" s="910"/>
      <c r="Y261" s="911"/>
      <c r="Z261" s="911"/>
      <c r="AA261" s="911"/>
      <c r="AB261" s="911"/>
      <c r="AC261" s="911"/>
      <c r="AD261" s="911"/>
      <c r="AE261" s="903"/>
      <c r="AF261" s="910"/>
      <c r="AG261" s="911"/>
      <c r="AH261" s="911"/>
      <c r="AI261" s="911"/>
      <c r="AJ261" s="911"/>
      <c r="AK261" s="911"/>
      <c r="AL261" s="911"/>
      <c r="AM261" s="771"/>
      <c r="AN261" s="886"/>
      <c r="AO261" s="884"/>
    </row>
    <row r="262" spans="1:41" ht="12" customHeight="1" x14ac:dyDescent="0.2">
      <c r="A262" s="771"/>
      <c r="B262" s="1266"/>
      <c r="C262" s="771"/>
      <c r="D262" s="927"/>
      <c r="E262" s="922"/>
      <c r="F262" s="922"/>
      <c r="G262" s="922"/>
      <c r="H262" s="922"/>
      <c r="I262" s="922"/>
      <c r="J262" s="922"/>
      <c r="K262" s="898"/>
      <c r="L262" s="927"/>
      <c r="M262" s="922"/>
      <c r="N262" s="922"/>
      <c r="O262" s="922"/>
      <c r="P262" s="922"/>
      <c r="Q262" s="922"/>
      <c r="R262" s="922"/>
      <c r="S262" s="771"/>
      <c r="T262" s="771"/>
      <c r="U262" s="773"/>
      <c r="V262" s="1266"/>
      <c r="W262" s="773"/>
      <c r="X262" s="887"/>
      <c r="Y262" s="911"/>
      <c r="Z262" s="911"/>
      <c r="AA262" s="911"/>
      <c r="AB262" s="911"/>
      <c r="AC262" s="911"/>
      <c r="AD262" s="911"/>
      <c r="AE262" s="903"/>
      <c r="AF262" s="887"/>
      <c r="AG262" s="911"/>
      <c r="AH262" s="911"/>
      <c r="AI262" s="911"/>
      <c r="AJ262" s="911"/>
      <c r="AK262" s="911"/>
      <c r="AL262" s="911"/>
      <c r="AM262" s="771"/>
      <c r="AN262" s="886"/>
      <c r="AO262" s="884"/>
    </row>
    <row r="263" spans="1:41" ht="12" customHeight="1" x14ac:dyDescent="0.2">
      <c r="A263" s="771"/>
      <c r="B263" s="1266"/>
      <c r="C263" s="771"/>
      <c r="D263" s="927"/>
      <c r="E263" s="922"/>
      <c r="F263" s="922"/>
      <c r="G263" s="922"/>
      <c r="H263" s="922"/>
      <c r="I263" s="922"/>
      <c r="J263" s="922"/>
      <c r="K263" s="898"/>
      <c r="L263" s="927"/>
      <c r="M263" s="922"/>
      <c r="N263" s="922"/>
      <c r="O263" s="922"/>
      <c r="P263" s="922"/>
      <c r="Q263" s="922"/>
      <c r="R263" s="922"/>
      <c r="S263" s="771"/>
      <c r="T263" s="771"/>
      <c r="U263" s="773"/>
      <c r="V263" s="1266"/>
      <c r="W263" s="773"/>
      <c r="X263" s="887"/>
      <c r="Y263" s="911"/>
      <c r="Z263" s="911"/>
      <c r="AA263" s="911"/>
      <c r="AB263" s="911"/>
      <c r="AC263" s="911"/>
      <c r="AD263" s="911"/>
      <c r="AE263" s="903"/>
      <c r="AF263" s="887"/>
      <c r="AG263" s="911"/>
      <c r="AH263" s="911"/>
      <c r="AI263" s="911"/>
      <c r="AJ263" s="911"/>
      <c r="AK263" s="911"/>
      <c r="AL263" s="911"/>
      <c r="AM263" s="771"/>
      <c r="AN263" s="886"/>
      <c r="AO263" s="884"/>
    </row>
    <row r="264" spans="1:41" ht="12" customHeight="1" x14ac:dyDescent="0.2">
      <c r="A264" s="771"/>
      <c r="B264" s="1266"/>
      <c r="C264" s="771"/>
      <c r="D264" s="936"/>
      <c r="E264" s="913"/>
      <c r="F264" s="913"/>
      <c r="G264" s="913"/>
      <c r="H264" s="913"/>
      <c r="I264" s="918"/>
      <c r="J264" s="921"/>
      <c r="K264" s="898"/>
      <c r="L264" s="936"/>
      <c r="M264" s="913"/>
      <c r="N264" s="913"/>
      <c r="O264" s="913"/>
      <c r="P264" s="913"/>
      <c r="Q264" s="918"/>
      <c r="R264" s="921"/>
      <c r="S264" s="771"/>
      <c r="T264" s="771"/>
      <c r="U264" s="773"/>
      <c r="V264" s="1266"/>
      <c r="W264" s="773"/>
      <c r="X264" s="926"/>
      <c r="Y264" s="907"/>
      <c r="Z264" s="909"/>
      <c r="AA264" s="909"/>
      <c r="AB264" s="909"/>
      <c r="AC264" s="820"/>
      <c r="AD264" s="908"/>
      <c r="AE264" s="903"/>
      <c r="AF264" s="926"/>
      <c r="AG264" s="907"/>
      <c r="AH264" s="907"/>
      <c r="AI264" s="907"/>
      <c r="AJ264" s="907"/>
      <c r="AK264" s="820"/>
      <c r="AL264" s="908"/>
      <c r="AM264" s="771"/>
      <c r="AN264" s="886"/>
      <c r="AO264" s="884"/>
    </row>
    <row r="265" spans="1:41" ht="12" customHeight="1" x14ac:dyDescent="0.2">
      <c r="A265" s="771"/>
      <c r="B265" s="1266"/>
      <c r="C265" s="771"/>
      <c r="D265" s="771"/>
      <c r="E265" s="771"/>
      <c r="F265" s="771"/>
      <c r="G265" s="771"/>
      <c r="H265" s="771"/>
      <c r="I265" s="771"/>
      <c r="J265" s="771"/>
      <c r="K265" s="771"/>
      <c r="L265" s="771"/>
      <c r="M265" s="771"/>
      <c r="N265" s="771"/>
      <c r="O265" s="771"/>
      <c r="P265" s="771"/>
      <c r="Q265" s="771"/>
      <c r="R265" s="771"/>
      <c r="S265" s="913"/>
      <c r="T265" s="771"/>
      <c r="U265" s="773"/>
      <c r="V265" s="1266"/>
      <c r="W265" s="773"/>
      <c r="X265" s="773"/>
      <c r="Y265" s="773"/>
      <c r="Z265" s="773"/>
      <c r="AA265" s="773"/>
      <c r="AB265" s="773"/>
      <c r="AC265" s="773"/>
      <c r="AD265" s="773"/>
      <c r="AE265" s="773"/>
      <c r="AF265" s="773"/>
      <c r="AG265" s="773"/>
      <c r="AH265" s="773"/>
      <c r="AI265" s="773"/>
      <c r="AJ265" s="773"/>
      <c r="AK265" s="773"/>
      <c r="AL265" s="773"/>
      <c r="AM265" s="913"/>
      <c r="AN265" s="886"/>
      <c r="AO265" s="884"/>
    </row>
    <row r="266" spans="1:41" ht="12" customHeight="1" x14ac:dyDescent="0.2">
      <c r="S266" s="913"/>
      <c r="T266" s="771"/>
      <c r="U266" s="773"/>
      <c r="V266" s="1266"/>
      <c r="W266" s="773"/>
      <c r="X266" s="773"/>
      <c r="Y266" s="773"/>
      <c r="Z266" s="773"/>
      <c r="AA266" s="773"/>
      <c r="AB266" s="773"/>
      <c r="AC266" s="773"/>
      <c r="AD266" s="773"/>
      <c r="AE266" s="773"/>
      <c r="AF266" s="773"/>
      <c r="AG266" s="773"/>
      <c r="AH266" s="773"/>
      <c r="AI266" s="773"/>
      <c r="AJ266" s="773"/>
      <c r="AK266" s="773"/>
      <c r="AL266" s="773"/>
      <c r="AM266" s="913"/>
      <c r="AN266" s="886"/>
      <c r="AO266" s="884"/>
    </row>
    <row r="267" spans="1:41" ht="12" customHeight="1" x14ac:dyDescent="0.2">
      <c r="S267" s="771"/>
      <c r="T267" s="771"/>
      <c r="U267" s="773"/>
      <c r="V267" s="1266"/>
      <c r="W267" s="773"/>
      <c r="X267" s="773"/>
      <c r="Y267" s="773"/>
      <c r="Z267" s="773"/>
      <c r="AA267" s="773"/>
      <c r="AB267" s="773"/>
      <c r="AC267" s="773"/>
      <c r="AD267" s="773"/>
      <c r="AE267" s="773"/>
      <c r="AF267" s="773"/>
      <c r="AG267" s="773"/>
      <c r="AH267" s="773"/>
      <c r="AI267" s="773"/>
      <c r="AJ267" s="773"/>
      <c r="AK267" s="773"/>
      <c r="AL267" s="773"/>
      <c r="AM267" s="771"/>
      <c r="AN267" s="886"/>
      <c r="AO267" s="884"/>
    </row>
    <row r="268" spans="1:41" ht="12" customHeight="1" x14ac:dyDescent="0.2">
      <c r="S268" s="771"/>
      <c r="T268" s="771"/>
      <c r="U268" s="773"/>
      <c r="V268" s="1266"/>
      <c r="W268" s="773"/>
      <c r="X268" s="773"/>
      <c r="Y268" s="773"/>
      <c r="Z268" s="773"/>
      <c r="AA268" s="773"/>
      <c r="AB268" s="773"/>
      <c r="AC268" s="773"/>
      <c r="AD268" s="773"/>
      <c r="AE268" s="773"/>
      <c r="AF268" s="773"/>
      <c r="AG268" s="773"/>
      <c r="AH268" s="773"/>
      <c r="AI268" s="773"/>
      <c r="AJ268" s="773"/>
      <c r="AK268" s="773"/>
      <c r="AL268" s="773"/>
      <c r="AM268" s="771"/>
      <c r="AN268" s="886"/>
      <c r="AO268" s="884"/>
    </row>
    <row r="269" spans="1:41" ht="12" customHeight="1" x14ac:dyDescent="0.2">
      <c r="S269" s="771"/>
      <c r="T269" s="771"/>
      <c r="U269" s="773"/>
      <c r="V269" s="1266"/>
      <c r="W269" s="773"/>
      <c r="X269" s="887"/>
      <c r="Y269" s="887"/>
      <c r="Z269" s="887"/>
      <c r="AA269" s="887"/>
      <c r="AB269" s="887"/>
      <c r="AC269" s="887"/>
      <c r="AD269" s="887"/>
      <c r="AE269" s="887"/>
      <c r="AF269" s="887"/>
      <c r="AG269" s="887"/>
      <c r="AH269" s="887"/>
      <c r="AI269" s="887"/>
      <c r="AJ269" s="887"/>
      <c r="AK269" s="887"/>
      <c r="AL269" s="887"/>
      <c r="AM269" s="771"/>
      <c r="AN269" s="886"/>
      <c r="AO269" s="884"/>
    </row>
    <row r="270" spans="1:41" ht="12" customHeight="1" x14ac:dyDescent="0.2">
      <c r="S270" s="771"/>
      <c r="T270" s="771"/>
      <c r="U270" s="773"/>
      <c r="V270" s="1266"/>
      <c r="W270" s="773"/>
      <c r="X270" s="887"/>
      <c r="Y270" s="887"/>
      <c r="Z270" s="887"/>
      <c r="AA270" s="887"/>
      <c r="AB270" s="887"/>
      <c r="AC270" s="887"/>
      <c r="AD270" s="887"/>
      <c r="AE270" s="888"/>
      <c r="AF270" s="889"/>
      <c r="AG270" s="889"/>
      <c r="AH270" s="889"/>
      <c r="AI270" s="889"/>
      <c r="AJ270" s="889"/>
      <c r="AK270" s="889"/>
      <c r="AL270" s="890"/>
      <c r="AM270" s="771"/>
      <c r="AN270" s="886"/>
      <c r="AO270" s="884"/>
    </row>
    <row r="271" spans="1:41" ht="12" customHeight="1" x14ac:dyDescent="0.2">
      <c r="S271" s="771"/>
      <c r="T271" s="771"/>
      <c r="U271" s="773"/>
      <c r="V271" s="1266"/>
      <c r="W271" s="773"/>
      <c r="X271" s="887"/>
      <c r="Y271" s="887"/>
      <c r="Z271" s="887"/>
      <c r="AA271" s="887"/>
      <c r="AB271" s="887"/>
      <c r="AC271" s="887"/>
      <c r="AD271" s="887"/>
      <c r="AE271" s="889"/>
      <c r="AF271" s="889"/>
      <c r="AG271" s="889"/>
      <c r="AH271" s="889"/>
      <c r="AI271" s="889"/>
      <c r="AJ271" s="889"/>
      <c r="AK271" s="889"/>
      <c r="AL271" s="887"/>
      <c r="AM271" s="771"/>
      <c r="AN271" s="886"/>
      <c r="AO271" s="884"/>
    </row>
    <row r="272" spans="1:41" ht="12" customHeight="1" x14ac:dyDescent="0.2">
      <c r="S272" s="771"/>
      <c r="T272" s="771"/>
      <c r="U272" s="773"/>
      <c r="V272" s="1266"/>
      <c r="W272" s="773"/>
      <c r="X272" s="887"/>
      <c r="Y272" s="887"/>
      <c r="Z272" s="887"/>
      <c r="AA272" s="887"/>
      <c r="AB272" s="887"/>
      <c r="AC272" s="887"/>
      <c r="AD272" s="887"/>
      <c r="AE272" s="888"/>
      <c r="AF272" s="889"/>
      <c r="AG272" s="889"/>
      <c r="AH272" s="889"/>
      <c r="AI272" s="889"/>
      <c r="AJ272" s="889"/>
      <c r="AK272" s="889"/>
      <c r="AL272" s="887"/>
      <c r="AM272" s="771"/>
      <c r="AN272" s="886"/>
      <c r="AO272" s="884"/>
    </row>
    <row r="273" spans="1:41" ht="12" customHeight="1" x14ac:dyDescent="0.2">
      <c r="S273" s="771"/>
      <c r="T273" s="771"/>
      <c r="U273" s="773"/>
      <c r="V273" s="1266"/>
      <c r="W273" s="773"/>
      <c r="X273" s="887"/>
      <c r="Y273" s="887"/>
      <c r="Z273" s="887"/>
      <c r="AA273" s="887"/>
      <c r="AB273" s="887"/>
      <c r="AC273" s="887"/>
      <c r="AD273" s="887"/>
      <c r="AE273" s="889"/>
      <c r="AF273" s="889"/>
      <c r="AG273" s="889"/>
      <c r="AH273" s="889"/>
      <c r="AI273" s="889"/>
      <c r="AJ273" s="889"/>
      <c r="AK273" s="889"/>
      <c r="AL273" s="887"/>
      <c r="AM273" s="771"/>
      <c r="AN273" s="886"/>
      <c r="AO273" s="884"/>
    </row>
    <row r="274" spans="1:41" ht="12" customHeight="1" x14ac:dyDescent="0.2">
      <c r="S274" s="771"/>
      <c r="T274" s="771"/>
      <c r="U274" s="773"/>
      <c r="V274" s="1266"/>
      <c r="W274" s="773"/>
      <c r="X274" s="887"/>
      <c r="Y274" s="887"/>
      <c r="Z274" s="887"/>
      <c r="AA274" s="887"/>
      <c r="AB274" s="887"/>
      <c r="AC274" s="887"/>
      <c r="AD274" s="887"/>
      <c r="AE274" s="887"/>
      <c r="AF274" s="887"/>
      <c r="AG274" s="887"/>
      <c r="AH274" s="887"/>
      <c r="AI274" s="887"/>
      <c r="AJ274" s="887"/>
      <c r="AK274" s="887"/>
      <c r="AL274" s="887"/>
      <c r="AM274" s="771"/>
      <c r="AN274" s="886"/>
      <c r="AO274" s="884"/>
    </row>
    <row r="275" spans="1:41" ht="12" customHeight="1" x14ac:dyDescent="0.2">
      <c r="S275" s="771"/>
      <c r="T275" s="771"/>
      <c r="U275" s="773"/>
      <c r="V275" s="1266"/>
      <c r="W275" s="773"/>
      <c r="X275" s="773"/>
      <c r="Y275" s="773"/>
      <c r="Z275" s="773"/>
      <c r="AA275" s="773"/>
      <c r="AB275" s="773"/>
      <c r="AC275" s="773"/>
      <c r="AD275" s="773"/>
      <c r="AE275" s="773"/>
      <c r="AF275" s="773"/>
      <c r="AG275" s="773"/>
      <c r="AH275" s="773"/>
      <c r="AI275" s="773"/>
      <c r="AJ275" s="773"/>
      <c r="AK275" s="773"/>
      <c r="AL275" s="773"/>
      <c r="AM275" s="771"/>
      <c r="AN275" s="886"/>
      <c r="AO275" s="884"/>
    </row>
    <row r="276" spans="1:41" ht="12" customHeight="1" x14ac:dyDescent="0.2">
      <c r="A276" s="771"/>
      <c r="B276" s="1266"/>
      <c r="C276" s="771"/>
      <c r="D276" s="932"/>
      <c r="E276" s="932"/>
      <c r="F276" s="898"/>
      <c r="G276" s="898"/>
      <c r="H276" s="898"/>
      <c r="I276" s="898"/>
      <c r="J276" s="923"/>
      <c r="K276" s="771"/>
      <c r="L276" s="932"/>
      <c r="M276" s="932"/>
      <c r="N276" s="898"/>
      <c r="O276" s="898"/>
      <c r="P276" s="898"/>
      <c r="Q276" s="898"/>
      <c r="R276" s="923"/>
      <c r="S276" s="771"/>
      <c r="T276" s="771"/>
      <c r="U276" s="773"/>
      <c r="V276" s="1266"/>
      <c r="W276" s="773"/>
      <c r="X276" s="891"/>
      <c r="Y276" s="891"/>
      <c r="Z276" s="892"/>
      <c r="AA276" s="892"/>
      <c r="AB276" s="892"/>
      <c r="AC276" s="892"/>
      <c r="AD276" s="893"/>
      <c r="AE276" s="773"/>
      <c r="AF276" s="891"/>
      <c r="AG276" s="891"/>
      <c r="AH276" s="892"/>
      <c r="AI276" s="892"/>
      <c r="AJ276" s="892"/>
      <c r="AK276" s="892"/>
      <c r="AL276" s="893"/>
      <c r="AM276" s="771"/>
      <c r="AN276" s="886"/>
      <c r="AO276" s="884"/>
    </row>
    <row r="277" spans="1:41" ht="12" customHeight="1" x14ac:dyDescent="0.2">
      <c r="A277" s="771"/>
      <c r="B277" s="1266"/>
      <c r="C277" s="771"/>
      <c r="D277" s="933"/>
      <c r="E277" s="933"/>
      <c r="F277" s="898"/>
      <c r="G277" s="898"/>
      <c r="H277" s="898"/>
      <c r="I277" s="898"/>
      <c r="J277" s="900"/>
      <c r="K277" s="901"/>
      <c r="L277" s="933"/>
      <c r="M277" s="933"/>
      <c r="N277" s="898"/>
      <c r="O277" s="898"/>
      <c r="P277" s="898"/>
      <c r="Q277" s="898"/>
      <c r="R277" s="900"/>
      <c r="S277" s="771"/>
      <c r="T277" s="771"/>
      <c r="U277" s="773"/>
      <c r="V277" s="1266"/>
      <c r="W277" s="773"/>
      <c r="X277" s="894"/>
      <c r="Y277" s="894"/>
      <c r="Z277" s="892"/>
      <c r="AA277" s="892"/>
      <c r="AB277" s="892"/>
      <c r="AC277" s="892"/>
      <c r="AD277" s="895"/>
      <c r="AE277" s="896"/>
      <c r="AF277" s="894"/>
      <c r="AG277" s="894"/>
      <c r="AH277" s="892"/>
      <c r="AI277" s="892"/>
      <c r="AJ277" s="892"/>
      <c r="AK277" s="892"/>
      <c r="AL277" s="895"/>
      <c r="AM277" s="771"/>
      <c r="AN277" s="886"/>
      <c r="AO277" s="884"/>
    </row>
    <row r="278" spans="1:41" ht="12" customHeight="1" x14ac:dyDescent="0.2">
      <c r="A278" s="771"/>
      <c r="B278" s="1266"/>
      <c r="C278" s="771"/>
      <c r="D278" s="897"/>
      <c r="E278" s="897"/>
      <c r="F278" s="898"/>
      <c r="G278" s="898"/>
      <c r="H278" s="898"/>
      <c r="I278" s="899"/>
      <c r="J278" s="900"/>
      <c r="K278" s="901"/>
      <c r="L278" s="897"/>
      <c r="M278" s="897"/>
      <c r="N278" s="898"/>
      <c r="O278" s="898"/>
      <c r="P278" s="898"/>
      <c r="Q278" s="899"/>
      <c r="R278" s="900"/>
      <c r="S278" s="771"/>
      <c r="T278" s="771"/>
      <c r="U278" s="773"/>
      <c r="V278" s="1266"/>
      <c r="W278" s="773"/>
      <c r="X278" s="902"/>
      <c r="Y278" s="902"/>
      <c r="Z278" s="903"/>
      <c r="AA278" s="903"/>
      <c r="AB278" s="903"/>
      <c r="AC278" s="904"/>
      <c r="AD278" s="895"/>
      <c r="AE278" s="896"/>
      <c r="AF278" s="902"/>
      <c r="AG278" s="902"/>
      <c r="AH278" s="903"/>
      <c r="AI278" s="903"/>
      <c r="AJ278" s="903"/>
      <c r="AK278" s="904"/>
      <c r="AL278" s="895"/>
      <c r="AM278" s="771"/>
      <c r="AN278" s="886"/>
      <c r="AO278" s="884"/>
    </row>
    <row r="279" spans="1:41" ht="12" customHeight="1" x14ac:dyDescent="0.2">
      <c r="A279" s="771"/>
      <c r="B279" s="1266"/>
      <c r="C279" s="771"/>
      <c r="D279" s="771"/>
      <c r="E279" s="919"/>
      <c r="F279" s="919"/>
      <c r="G279" s="919"/>
      <c r="H279" s="919"/>
      <c r="I279" s="919"/>
      <c r="J279" s="919"/>
      <c r="K279" s="901"/>
      <c r="L279" s="771"/>
      <c r="M279" s="919"/>
      <c r="N279" s="919"/>
      <c r="O279" s="919"/>
      <c r="P279" s="919"/>
      <c r="Q279" s="919"/>
      <c r="R279" s="919"/>
      <c r="S279" s="771"/>
      <c r="T279" s="771"/>
      <c r="U279" s="773"/>
      <c r="V279" s="1266"/>
      <c r="W279" s="773"/>
      <c r="X279" s="773"/>
      <c r="Y279" s="905"/>
      <c r="Z279" s="905"/>
      <c r="AA279" s="905"/>
      <c r="AB279" s="905"/>
      <c r="AC279" s="905"/>
      <c r="AD279" s="905"/>
      <c r="AE279" s="896"/>
      <c r="AF279" s="773"/>
      <c r="AG279" s="905"/>
      <c r="AH279" s="905"/>
      <c r="AI279" s="905"/>
      <c r="AJ279" s="905"/>
      <c r="AK279" s="905"/>
      <c r="AL279" s="905"/>
      <c r="AM279" s="771"/>
      <c r="AN279" s="886"/>
      <c r="AO279" s="884"/>
    </row>
    <row r="280" spans="1:41" ht="12" customHeight="1" x14ac:dyDescent="0.2">
      <c r="A280" s="771"/>
      <c r="B280" s="1266"/>
      <c r="C280" s="771"/>
      <c r="D280" s="897"/>
      <c r="E280" s="920"/>
      <c r="F280" s="920"/>
      <c r="G280" s="920"/>
      <c r="H280" s="920"/>
      <c r="I280" s="920"/>
      <c r="J280" s="920"/>
      <c r="K280" s="913"/>
      <c r="L280" s="897"/>
      <c r="M280" s="920"/>
      <c r="N280" s="920"/>
      <c r="O280" s="920"/>
      <c r="P280" s="920"/>
      <c r="Q280" s="920"/>
      <c r="R280" s="920"/>
      <c r="S280" s="771"/>
      <c r="T280" s="771"/>
      <c r="U280" s="773"/>
      <c r="V280" s="1266"/>
      <c r="W280" s="773"/>
      <c r="X280" s="902"/>
      <c r="Y280" s="906"/>
      <c r="Z280" s="906"/>
      <c r="AA280" s="906"/>
      <c r="AB280" s="906"/>
      <c r="AC280" s="906"/>
      <c r="AD280" s="906"/>
      <c r="AE280" s="907"/>
      <c r="AF280" s="902"/>
      <c r="AG280" s="906"/>
      <c r="AH280" s="906"/>
      <c r="AI280" s="906"/>
      <c r="AJ280" s="906"/>
      <c r="AK280" s="906"/>
      <c r="AL280" s="906"/>
      <c r="AM280" s="771"/>
      <c r="AN280" s="886"/>
      <c r="AO280" s="884"/>
    </row>
    <row r="281" spans="1:41" ht="12" customHeight="1" x14ac:dyDescent="0.2">
      <c r="A281" s="771"/>
      <c r="B281" s="1266"/>
      <c r="C281" s="771"/>
      <c r="D281" s="897"/>
      <c r="E281" s="920"/>
      <c r="F281" s="920"/>
      <c r="G281" s="920"/>
      <c r="H281" s="920"/>
      <c r="I281" s="920"/>
      <c r="J281" s="920"/>
      <c r="K281" s="918"/>
      <c r="L281" s="897"/>
      <c r="M281" s="920"/>
      <c r="N281" s="920"/>
      <c r="O281" s="920"/>
      <c r="P281" s="920"/>
      <c r="Q281" s="920"/>
      <c r="R281" s="920"/>
      <c r="S281" s="771"/>
      <c r="T281" s="771"/>
      <c r="U281" s="773"/>
      <c r="V281" s="1266"/>
      <c r="W281" s="773"/>
      <c r="X281" s="902"/>
      <c r="Y281" s="906"/>
      <c r="Z281" s="906"/>
      <c r="AA281" s="906"/>
      <c r="AB281" s="906"/>
      <c r="AC281" s="906"/>
      <c r="AD281" s="906"/>
      <c r="AE281" s="820"/>
      <c r="AF281" s="902"/>
      <c r="AG281" s="906"/>
      <c r="AH281" s="906"/>
      <c r="AI281" s="906"/>
      <c r="AJ281" s="906"/>
      <c r="AK281" s="906"/>
      <c r="AL281" s="906"/>
      <c r="AM281" s="771"/>
      <c r="AN281" s="886"/>
      <c r="AO281" s="884"/>
    </row>
    <row r="282" spans="1:41" ht="12" customHeight="1" x14ac:dyDescent="0.2">
      <c r="A282" s="771"/>
      <c r="B282" s="1266"/>
      <c r="C282" s="771"/>
      <c r="D282" s="918"/>
      <c r="E282" s="921"/>
      <c r="F282" s="921"/>
      <c r="G282" s="921"/>
      <c r="H282" s="921"/>
      <c r="I282" s="921"/>
      <c r="J282" s="921"/>
      <c r="K282" s="913"/>
      <c r="L282" s="918"/>
      <c r="M282" s="921"/>
      <c r="N282" s="921"/>
      <c r="O282" s="921"/>
      <c r="P282" s="921"/>
      <c r="Q282" s="921"/>
      <c r="R282" s="921"/>
      <c r="S282" s="771"/>
      <c r="T282" s="771"/>
      <c r="U282" s="773"/>
      <c r="V282" s="1266"/>
      <c r="W282" s="773"/>
      <c r="X282" s="820"/>
      <c r="Y282" s="908"/>
      <c r="Z282" s="908"/>
      <c r="AA282" s="908"/>
      <c r="AB282" s="908"/>
      <c r="AC282" s="908"/>
      <c r="AD282" s="908"/>
      <c r="AE282" s="909"/>
      <c r="AF282" s="820"/>
      <c r="AG282" s="908"/>
      <c r="AH282" s="908"/>
      <c r="AI282" s="908"/>
      <c r="AJ282" s="908"/>
      <c r="AK282" s="908"/>
      <c r="AL282" s="908"/>
      <c r="AM282" s="771"/>
      <c r="AN282" s="886"/>
      <c r="AO282" s="884"/>
    </row>
    <row r="283" spans="1:41" ht="12" customHeight="1" x14ac:dyDescent="0.2">
      <c r="A283" s="771"/>
      <c r="B283" s="1266"/>
      <c r="C283" s="771"/>
      <c r="D283" s="929"/>
      <c r="E283" s="922"/>
      <c r="F283" s="922"/>
      <c r="G283" s="922"/>
      <c r="H283" s="922"/>
      <c r="I283" s="922"/>
      <c r="J283" s="922"/>
      <c r="K283" s="913"/>
      <c r="L283" s="929"/>
      <c r="M283" s="922"/>
      <c r="N283" s="922"/>
      <c r="O283" s="922"/>
      <c r="P283" s="922"/>
      <c r="Q283" s="922"/>
      <c r="R283" s="922"/>
      <c r="S283" s="771"/>
      <c r="T283" s="771"/>
      <c r="U283" s="773"/>
      <c r="V283" s="1266"/>
      <c r="W283" s="773"/>
      <c r="X283" s="910"/>
      <c r="Y283" s="911"/>
      <c r="Z283" s="911"/>
      <c r="AA283" s="911"/>
      <c r="AB283" s="911"/>
      <c r="AC283" s="911"/>
      <c r="AD283" s="911"/>
      <c r="AE283" s="909"/>
      <c r="AF283" s="910"/>
      <c r="AG283" s="911"/>
      <c r="AH283" s="911"/>
      <c r="AI283" s="911"/>
      <c r="AJ283" s="911"/>
      <c r="AK283" s="911"/>
      <c r="AL283" s="911"/>
      <c r="AM283" s="771"/>
      <c r="AN283" s="886"/>
      <c r="AO283" s="884"/>
    </row>
    <row r="284" spans="1:41" ht="12" customHeight="1" x14ac:dyDescent="0.2">
      <c r="A284" s="771"/>
      <c r="B284" s="1266"/>
      <c r="C284" s="771"/>
      <c r="D284" s="927"/>
      <c r="E284" s="922"/>
      <c r="F284" s="922"/>
      <c r="G284" s="922"/>
      <c r="H284" s="922"/>
      <c r="I284" s="922"/>
      <c r="J284" s="922"/>
      <c r="K284" s="913"/>
      <c r="L284" s="927"/>
      <c r="M284" s="922"/>
      <c r="N284" s="922"/>
      <c r="O284" s="922"/>
      <c r="P284" s="922"/>
      <c r="Q284" s="922"/>
      <c r="R284" s="922"/>
      <c r="S284" s="771"/>
      <c r="T284" s="771"/>
      <c r="U284" s="773"/>
      <c r="V284" s="1266"/>
      <c r="W284" s="773"/>
      <c r="X284" s="887"/>
      <c r="Y284" s="911"/>
      <c r="Z284" s="911"/>
      <c r="AA284" s="911"/>
      <c r="AB284" s="911"/>
      <c r="AC284" s="911"/>
      <c r="AD284" s="911"/>
      <c r="AE284" s="909"/>
      <c r="AF284" s="887"/>
      <c r="AG284" s="911"/>
      <c r="AH284" s="911"/>
      <c r="AI284" s="911"/>
      <c r="AJ284" s="911"/>
      <c r="AK284" s="911"/>
      <c r="AL284" s="911"/>
      <c r="AM284" s="771"/>
      <c r="AN284" s="886"/>
      <c r="AO284" s="884"/>
    </row>
    <row r="285" spans="1:41" ht="12" customHeight="1" x14ac:dyDescent="0.2">
      <c r="A285" s="771"/>
      <c r="B285" s="1266"/>
      <c r="C285" s="771"/>
      <c r="D285" s="927"/>
      <c r="E285" s="922"/>
      <c r="F285" s="922"/>
      <c r="G285" s="922"/>
      <c r="H285" s="922"/>
      <c r="I285" s="922"/>
      <c r="J285" s="922"/>
      <c r="K285" s="913"/>
      <c r="L285" s="927"/>
      <c r="M285" s="922"/>
      <c r="N285" s="922"/>
      <c r="O285" s="922"/>
      <c r="P285" s="922"/>
      <c r="Q285" s="922"/>
      <c r="R285" s="922"/>
      <c r="S285" s="771"/>
      <c r="T285" s="771"/>
      <c r="U285" s="773"/>
      <c r="V285" s="1266"/>
      <c r="W285" s="773"/>
      <c r="X285" s="887"/>
      <c r="Y285" s="911"/>
      <c r="Z285" s="911"/>
      <c r="AA285" s="911"/>
      <c r="AB285" s="911"/>
      <c r="AC285" s="911"/>
      <c r="AD285" s="911"/>
      <c r="AE285" s="909"/>
      <c r="AF285" s="887"/>
      <c r="AG285" s="911"/>
      <c r="AH285" s="911"/>
      <c r="AI285" s="911"/>
      <c r="AJ285" s="911"/>
      <c r="AK285" s="911"/>
      <c r="AL285" s="911"/>
      <c r="AM285" s="771"/>
      <c r="AN285" s="886"/>
      <c r="AO285" s="884"/>
    </row>
    <row r="286" spans="1:41" ht="12" customHeight="1" x14ac:dyDescent="0.2">
      <c r="A286" s="771"/>
      <c r="B286" s="1266"/>
      <c r="C286" s="771"/>
      <c r="D286" s="927"/>
      <c r="E286" s="927"/>
      <c r="F286" s="927"/>
      <c r="G286" s="927"/>
      <c r="H286" s="927"/>
      <c r="I286" s="927"/>
      <c r="J286" s="927"/>
      <c r="K286" s="913"/>
      <c r="L286" s="913"/>
      <c r="M286" s="913"/>
      <c r="N286" s="930"/>
      <c r="O286" s="913"/>
      <c r="P286" s="913"/>
      <c r="Q286" s="913"/>
      <c r="R286" s="913"/>
      <c r="S286" s="771"/>
      <c r="T286" s="771"/>
      <c r="U286" s="773"/>
      <c r="V286" s="1266"/>
      <c r="W286" s="773"/>
      <c r="X286" s="887"/>
      <c r="Y286" s="887"/>
      <c r="Z286" s="887"/>
      <c r="AA286" s="887"/>
      <c r="AB286" s="887"/>
      <c r="AC286" s="887"/>
      <c r="AD286" s="887"/>
      <c r="AE286" s="909"/>
      <c r="AF286" s="909"/>
      <c r="AG286" s="907"/>
      <c r="AH286" s="912"/>
      <c r="AI286" s="909"/>
      <c r="AJ286" s="909"/>
      <c r="AK286" s="909"/>
      <c r="AL286" s="909"/>
      <c r="AM286" s="771"/>
      <c r="AN286" s="886"/>
      <c r="AO286" s="884"/>
    </row>
    <row r="287" spans="1:41" ht="12" customHeight="1" x14ac:dyDescent="0.2">
      <c r="A287" s="771"/>
      <c r="B287" s="1266"/>
      <c r="C287" s="771"/>
      <c r="D287" s="932"/>
      <c r="E287" s="932"/>
      <c r="F287" s="898"/>
      <c r="G287" s="898"/>
      <c r="H287" s="898"/>
      <c r="I287" s="898"/>
      <c r="J287" s="923"/>
      <c r="K287" s="913"/>
      <c r="L287" s="932"/>
      <c r="M287" s="932"/>
      <c r="N287" s="898"/>
      <c r="O287" s="898"/>
      <c r="P287" s="898"/>
      <c r="Q287" s="898"/>
      <c r="R287" s="923"/>
      <c r="S287" s="771"/>
      <c r="T287" s="771"/>
      <c r="U287" s="773"/>
      <c r="V287" s="1266"/>
      <c r="W287" s="773"/>
      <c r="X287" s="891"/>
      <c r="Y287" s="891"/>
      <c r="Z287" s="892"/>
      <c r="AA287" s="892"/>
      <c r="AB287" s="892"/>
      <c r="AC287" s="892"/>
      <c r="AD287" s="893"/>
      <c r="AE287" s="909"/>
      <c r="AF287" s="891"/>
      <c r="AG287" s="891"/>
      <c r="AH287" s="892"/>
      <c r="AI287" s="892"/>
      <c r="AJ287" s="892"/>
      <c r="AK287" s="892"/>
      <c r="AL287" s="893"/>
      <c r="AM287" s="771"/>
      <c r="AN287" s="886"/>
      <c r="AO287" s="884"/>
    </row>
    <row r="288" spans="1:41" ht="12" customHeight="1" x14ac:dyDescent="0.2">
      <c r="A288" s="771"/>
      <c r="B288" s="1266"/>
      <c r="C288" s="771"/>
      <c r="D288" s="933"/>
      <c r="E288" s="933"/>
      <c r="F288" s="898"/>
      <c r="G288" s="898"/>
      <c r="H288" s="898"/>
      <c r="I288" s="898"/>
      <c r="J288" s="900"/>
      <c r="K288" s="913"/>
      <c r="L288" s="933"/>
      <c r="M288" s="933"/>
      <c r="N288" s="898"/>
      <c r="O288" s="898"/>
      <c r="P288" s="898"/>
      <c r="Q288" s="898"/>
      <c r="R288" s="900"/>
      <c r="S288" s="771"/>
      <c r="T288" s="771"/>
      <c r="U288" s="773"/>
      <c r="V288" s="1266"/>
      <c r="W288" s="773"/>
      <c r="X288" s="894"/>
      <c r="Y288" s="894"/>
      <c r="Z288" s="892"/>
      <c r="AA288" s="892"/>
      <c r="AB288" s="892"/>
      <c r="AC288" s="892"/>
      <c r="AD288" s="895"/>
      <c r="AE288" s="909"/>
      <c r="AF288" s="894"/>
      <c r="AG288" s="894"/>
      <c r="AH288" s="892"/>
      <c r="AI288" s="892"/>
      <c r="AJ288" s="892"/>
      <c r="AK288" s="892"/>
      <c r="AL288" s="895"/>
      <c r="AM288" s="771"/>
      <c r="AN288" s="886"/>
      <c r="AO288" s="884"/>
    </row>
    <row r="289" spans="1:41" ht="12" customHeight="1" x14ac:dyDescent="0.2">
      <c r="A289" s="771"/>
      <c r="B289" s="1266"/>
      <c r="C289" s="771"/>
      <c r="D289" s="897"/>
      <c r="E289" s="897"/>
      <c r="F289" s="898"/>
      <c r="G289" s="898"/>
      <c r="H289" s="898"/>
      <c r="I289" s="899"/>
      <c r="J289" s="900"/>
      <c r="K289" s="913"/>
      <c r="L289" s="897"/>
      <c r="M289" s="897"/>
      <c r="N289" s="898"/>
      <c r="O289" s="898"/>
      <c r="P289" s="898"/>
      <c r="Q289" s="899"/>
      <c r="R289" s="900"/>
      <c r="S289" s="771"/>
      <c r="T289" s="771"/>
      <c r="U289" s="773"/>
      <c r="V289" s="1266"/>
      <c r="W289" s="773"/>
      <c r="X289" s="902"/>
      <c r="Y289" s="902"/>
      <c r="Z289" s="903"/>
      <c r="AA289" s="903"/>
      <c r="AB289" s="903"/>
      <c r="AC289" s="904"/>
      <c r="AD289" s="895"/>
      <c r="AE289" s="909"/>
      <c r="AF289" s="902"/>
      <c r="AG289" s="902"/>
      <c r="AH289" s="903"/>
      <c r="AI289" s="903"/>
      <c r="AJ289" s="903"/>
      <c r="AK289" s="904"/>
      <c r="AL289" s="895"/>
      <c r="AM289" s="771"/>
      <c r="AN289" s="886"/>
      <c r="AO289" s="884"/>
    </row>
    <row r="290" spans="1:41" ht="12" customHeight="1" x14ac:dyDescent="0.2">
      <c r="A290" s="771"/>
      <c r="B290" s="1266"/>
      <c r="C290" s="771"/>
      <c r="D290" s="771"/>
      <c r="E290" s="919"/>
      <c r="F290" s="919"/>
      <c r="G290" s="919"/>
      <c r="H290" s="919"/>
      <c r="I290" s="919"/>
      <c r="J290" s="919"/>
      <c r="K290" s="913"/>
      <c r="L290" s="771"/>
      <c r="M290" s="919"/>
      <c r="N290" s="919"/>
      <c r="O290" s="919"/>
      <c r="P290" s="919"/>
      <c r="Q290" s="919"/>
      <c r="R290" s="919"/>
      <c r="S290" s="771"/>
      <c r="T290" s="771"/>
      <c r="U290" s="773"/>
      <c r="V290" s="1266"/>
      <c r="W290" s="773"/>
      <c r="X290" s="773"/>
      <c r="Y290" s="905"/>
      <c r="Z290" s="905"/>
      <c r="AA290" s="905"/>
      <c r="AB290" s="905"/>
      <c r="AC290" s="905"/>
      <c r="AD290" s="905"/>
      <c r="AE290" s="909"/>
      <c r="AF290" s="773"/>
      <c r="AG290" s="905"/>
      <c r="AH290" s="905"/>
      <c r="AI290" s="905"/>
      <c r="AJ290" s="905"/>
      <c r="AK290" s="905"/>
      <c r="AL290" s="905"/>
      <c r="AM290" s="771"/>
      <c r="AN290" s="886"/>
      <c r="AO290" s="884"/>
    </row>
    <row r="291" spans="1:41" ht="12" customHeight="1" x14ac:dyDescent="0.2">
      <c r="A291" s="771"/>
      <c r="B291" s="1266"/>
      <c r="C291" s="771"/>
      <c r="D291" s="897"/>
      <c r="E291" s="920"/>
      <c r="F291" s="920"/>
      <c r="G291" s="920"/>
      <c r="H291" s="920"/>
      <c r="I291" s="920"/>
      <c r="J291" s="920"/>
      <c r="K291" s="918"/>
      <c r="L291" s="897"/>
      <c r="M291" s="920"/>
      <c r="N291" s="920"/>
      <c r="O291" s="920"/>
      <c r="P291" s="920"/>
      <c r="Q291" s="920"/>
      <c r="R291" s="920"/>
      <c r="S291" s="771"/>
      <c r="T291" s="771"/>
      <c r="U291" s="773"/>
      <c r="V291" s="1266"/>
      <c r="W291" s="773"/>
      <c r="X291" s="902"/>
      <c r="Y291" s="906"/>
      <c r="Z291" s="906"/>
      <c r="AA291" s="906"/>
      <c r="AB291" s="906"/>
      <c r="AC291" s="906"/>
      <c r="AD291" s="906"/>
      <c r="AE291" s="914"/>
      <c r="AF291" s="902"/>
      <c r="AG291" s="906"/>
      <c r="AH291" s="906"/>
      <c r="AI291" s="906"/>
      <c r="AJ291" s="906"/>
      <c r="AK291" s="906"/>
      <c r="AL291" s="906"/>
      <c r="AM291" s="771"/>
      <c r="AN291" s="886"/>
      <c r="AO291" s="884"/>
    </row>
    <row r="292" spans="1:41" ht="12" customHeight="1" x14ac:dyDescent="0.2">
      <c r="A292" s="771"/>
      <c r="B292" s="1266"/>
      <c r="C292" s="771"/>
      <c r="D292" s="897"/>
      <c r="E292" s="920"/>
      <c r="F292" s="920"/>
      <c r="G292" s="920"/>
      <c r="H292" s="920"/>
      <c r="I292" s="920"/>
      <c r="J292" s="920"/>
      <c r="K292" s="918"/>
      <c r="L292" s="897"/>
      <c r="M292" s="920"/>
      <c r="N292" s="920"/>
      <c r="O292" s="920"/>
      <c r="P292" s="920"/>
      <c r="Q292" s="920"/>
      <c r="R292" s="920"/>
      <c r="S292" s="771"/>
      <c r="T292" s="771"/>
      <c r="U292" s="773"/>
      <c r="V292" s="1266"/>
      <c r="W292" s="773"/>
      <c r="X292" s="902"/>
      <c r="Y292" s="906"/>
      <c r="Z292" s="906"/>
      <c r="AA292" s="906"/>
      <c r="AB292" s="906"/>
      <c r="AC292" s="906"/>
      <c r="AD292" s="906"/>
      <c r="AE292" s="914"/>
      <c r="AF292" s="902"/>
      <c r="AG292" s="906"/>
      <c r="AH292" s="906"/>
      <c r="AI292" s="906"/>
      <c r="AJ292" s="906"/>
      <c r="AK292" s="906"/>
      <c r="AL292" s="906"/>
      <c r="AM292" s="771"/>
      <c r="AN292" s="886"/>
      <c r="AO292" s="884"/>
    </row>
    <row r="293" spans="1:41" ht="12" customHeight="1" x14ac:dyDescent="0.2">
      <c r="A293" s="771"/>
      <c r="B293" s="1266"/>
      <c r="C293" s="771"/>
      <c r="D293" s="918"/>
      <c r="E293" s="921"/>
      <c r="F293" s="921"/>
      <c r="G293" s="921"/>
      <c r="H293" s="921"/>
      <c r="I293" s="921"/>
      <c r="J293" s="921"/>
      <c r="K293" s="918"/>
      <c r="L293" s="918"/>
      <c r="M293" s="921"/>
      <c r="N293" s="921"/>
      <c r="O293" s="921"/>
      <c r="P293" s="921"/>
      <c r="Q293" s="921"/>
      <c r="R293" s="921"/>
      <c r="S293" s="771"/>
      <c r="T293" s="771"/>
      <c r="U293" s="773"/>
      <c r="V293" s="1266"/>
      <c r="W293" s="773"/>
      <c r="X293" s="820"/>
      <c r="Y293" s="908"/>
      <c r="Z293" s="908"/>
      <c r="AA293" s="908"/>
      <c r="AB293" s="908"/>
      <c r="AC293" s="908"/>
      <c r="AD293" s="908"/>
      <c r="AE293" s="820"/>
      <c r="AF293" s="820"/>
      <c r="AG293" s="908"/>
      <c r="AH293" s="908"/>
      <c r="AI293" s="908"/>
      <c r="AJ293" s="908"/>
      <c r="AK293" s="908"/>
      <c r="AL293" s="908"/>
      <c r="AM293" s="771"/>
      <c r="AN293" s="886"/>
      <c r="AO293" s="884"/>
    </row>
    <row r="294" spans="1:41" ht="12" customHeight="1" x14ac:dyDescent="0.2">
      <c r="A294" s="771"/>
      <c r="B294" s="1266"/>
      <c r="C294" s="771"/>
      <c r="D294" s="929"/>
      <c r="E294" s="922"/>
      <c r="F294" s="922"/>
      <c r="G294" s="922"/>
      <c r="H294" s="922"/>
      <c r="I294" s="922"/>
      <c r="J294" s="922"/>
      <c r="K294" s="776"/>
      <c r="L294" s="929"/>
      <c r="M294" s="922"/>
      <c r="N294" s="922"/>
      <c r="O294" s="922"/>
      <c r="P294" s="922"/>
      <c r="Q294" s="922"/>
      <c r="R294" s="922"/>
      <c r="S294" s="771"/>
      <c r="T294" s="771"/>
      <c r="U294" s="773"/>
      <c r="V294" s="1266"/>
      <c r="W294" s="773"/>
      <c r="X294" s="910"/>
      <c r="Y294" s="911"/>
      <c r="Z294" s="911"/>
      <c r="AA294" s="911"/>
      <c r="AB294" s="911"/>
      <c r="AC294" s="911"/>
      <c r="AD294" s="911"/>
      <c r="AE294" s="915"/>
      <c r="AF294" s="910"/>
      <c r="AG294" s="911"/>
      <c r="AH294" s="911"/>
      <c r="AI294" s="911"/>
      <c r="AJ294" s="911"/>
      <c r="AK294" s="911"/>
      <c r="AL294" s="911"/>
      <c r="AM294" s="771"/>
      <c r="AN294" s="886"/>
      <c r="AO294" s="884"/>
    </row>
    <row r="295" spans="1:41" ht="12" customHeight="1" x14ac:dyDescent="0.2">
      <c r="A295" s="771"/>
      <c r="B295" s="1266"/>
      <c r="C295" s="771"/>
      <c r="D295" s="927"/>
      <c r="E295" s="922"/>
      <c r="F295" s="922"/>
      <c r="G295" s="922"/>
      <c r="H295" s="922"/>
      <c r="I295" s="922"/>
      <c r="J295" s="922"/>
      <c r="K295" s="918"/>
      <c r="L295" s="927"/>
      <c r="M295" s="922"/>
      <c r="N295" s="922"/>
      <c r="O295" s="922"/>
      <c r="P295" s="922"/>
      <c r="Q295" s="922"/>
      <c r="R295" s="922"/>
      <c r="S295" s="771"/>
      <c r="T295" s="771"/>
      <c r="U295" s="773"/>
      <c r="V295" s="1266"/>
      <c r="W295" s="773"/>
      <c r="X295" s="887"/>
      <c r="Y295" s="911"/>
      <c r="Z295" s="911"/>
      <c r="AA295" s="911"/>
      <c r="AB295" s="911"/>
      <c r="AC295" s="911"/>
      <c r="AD295" s="911"/>
      <c r="AE295" s="914"/>
      <c r="AF295" s="887"/>
      <c r="AG295" s="911"/>
      <c r="AH295" s="911"/>
      <c r="AI295" s="911"/>
      <c r="AJ295" s="911"/>
      <c r="AK295" s="911"/>
      <c r="AL295" s="911"/>
      <c r="AM295" s="771"/>
      <c r="AN295" s="886"/>
      <c r="AO295" s="884"/>
    </row>
    <row r="296" spans="1:41" ht="12" customHeight="1" x14ac:dyDescent="0.2">
      <c r="A296" s="771"/>
      <c r="B296" s="1266"/>
      <c r="C296" s="771"/>
      <c r="D296" s="927"/>
      <c r="E296" s="922"/>
      <c r="F296" s="922"/>
      <c r="G296" s="922"/>
      <c r="H296" s="922"/>
      <c r="I296" s="922"/>
      <c r="J296" s="922"/>
      <c r="K296" s="918"/>
      <c r="L296" s="927"/>
      <c r="M296" s="922"/>
      <c r="N296" s="922"/>
      <c r="O296" s="922"/>
      <c r="P296" s="922"/>
      <c r="Q296" s="922"/>
      <c r="R296" s="922"/>
      <c r="S296" s="771"/>
      <c r="T296" s="771"/>
      <c r="U296" s="773"/>
      <c r="V296" s="1266"/>
      <c r="W296" s="773"/>
      <c r="X296" s="887"/>
      <c r="Y296" s="911"/>
      <c r="Z296" s="911"/>
      <c r="AA296" s="911"/>
      <c r="AB296" s="911"/>
      <c r="AC296" s="911"/>
      <c r="AD296" s="911"/>
      <c r="AE296" s="914"/>
      <c r="AF296" s="887"/>
      <c r="AG296" s="911"/>
      <c r="AH296" s="911"/>
      <c r="AI296" s="911"/>
      <c r="AJ296" s="911"/>
      <c r="AK296" s="911"/>
      <c r="AL296" s="911"/>
      <c r="AM296" s="771"/>
      <c r="AN296" s="886"/>
      <c r="AO296" s="884"/>
    </row>
    <row r="297" spans="1:41" ht="12" customHeight="1" x14ac:dyDescent="0.2">
      <c r="A297" s="771"/>
      <c r="B297" s="1266"/>
      <c r="C297" s="771"/>
      <c r="D297" s="771"/>
      <c r="E297" s="771"/>
      <c r="F297" s="771"/>
      <c r="G297" s="771"/>
      <c r="H297" s="771"/>
      <c r="I297" s="918"/>
      <c r="J297" s="918"/>
      <c r="K297" s="931"/>
      <c r="L297" s="921"/>
      <c r="M297" s="913"/>
      <c r="N297" s="913"/>
      <c r="O297" s="913"/>
      <c r="P297" s="913"/>
      <c r="Q297" s="913"/>
      <c r="R297" s="913"/>
      <c r="S297" s="771"/>
      <c r="T297" s="771"/>
      <c r="U297" s="773"/>
      <c r="V297" s="1266"/>
      <c r="W297" s="773"/>
      <c r="X297" s="773"/>
      <c r="Y297" s="773"/>
      <c r="Z297" s="773"/>
      <c r="AA297" s="773"/>
      <c r="AB297" s="773"/>
      <c r="AC297" s="820"/>
      <c r="AD297" s="820"/>
      <c r="AE297" s="916"/>
      <c r="AF297" s="917"/>
      <c r="AG297" s="907"/>
      <c r="AH297" s="909"/>
      <c r="AI297" s="909"/>
      <c r="AJ297" s="909"/>
      <c r="AK297" s="909"/>
      <c r="AL297" s="909"/>
      <c r="AM297" s="771"/>
      <c r="AN297" s="886"/>
      <c r="AO297" s="884"/>
    </row>
    <row r="298" spans="1:41" ht="12" customHeight="1" x14ac:dyDescent="0.2">
      <c r="A298" s="771"/>
      <c r="B298" s="1266"/>
      <c r="C298" s="771"/>
      <c r="D298" s="932"/>
      <c r="E298" s="932"/>
      <c r="F298" s="898"/>
      <c r="G298" s="898"/>
      <c r="H298" s="898"/>
      <c r="I298" s="898"/>
      <c r="J298" s="923"/>
      <c r="K298" s="931"/>
      <c r="L298" s="932"/>
      <c r="M298" s="932"/>
      <c r="N298" s="898"/>
      <c r="O298" s="898"/>
      <c r="P298" s="898"/>
      <c r="Q298" s="898"/>
      <c r="R298" s="923"/>
      <c r="S298" s="771"/>
      <c r="T298" s="771"/>
      <c r="U298" s="773"/>
      <c r="V298" s="1266"/>
      <c r="W298" s="773"/>
      <c r="X298" s="891"/>
      <c r="Y298" s="891"/>
      <c r="Z298" s="892"/>
      <c r="AA298" s="892"/>
      <c r="AB298" s="892"/>
      <c r="AC298" s="892"/>
      <c r="AD298" s="893"/>
      <c r="AE298" s="916"/>
      <c r="AF298" s="891"/>
      <c r="AG298" s="891"/>
      <c r="AH298" s="892"/>
      <c r="AI298" s="892"/>
      <c r="AJ298" s="892"/>
      <c r="AK298" s="892"/>
      <c r="AL298" s="893"/>
      <c r="AM298" s="771"/>
      <c r="AN298" s="886"/>
      <c r="AO298" s="884"/>
    </row>
    <row r="299" spans="1:41" ht="12" customHeight="1" x14ac:dyDescent="0.2">
      <c r="A299" s="771"/>
      <c r="B299" s="1266"/>
      <c r="C299" s="771"/>
      <c r="D299" s="933"/>
      <c r="E299" s="933"/>
      <c r="F299" s="898"/>
      <c r="G299" s="898"/>
      <c r="H299" s="898"/>
      <c r="I299" s="898"/>
      <c r="J299" s="900"/>
      <c r="K299" s="913"/>
      <c r="L299" s="933"/>
      <c r="M299" s="933"/>
      <c r="N299" s="898"/>
      <c r="O299" s="898"/>
      <c r="P299" s="898"/>
      <c r="Q299" s="898"/>
      <c r="R299" s="900"/>
      <c r="S299" s="771"/>
      <c r="T299" s="771"/>
      <c r="U299" s="773"/>
      <c r="V299" s="1266"/>
      <c r="W299" s="773"/>
      <c r="X299" s="894"/>
      <c r="Y299" s="894"/>
      <c r="Z299" s="892"/>
      <c r="AA299" s="892"/>
      <c r="AB299" s="892"/>
      <c r="AC299" s="892"/>
      <c r="AD299" s="895"/>
      <c r="AE299" s="909"/>
      <c r="AF299" s="894"/>
      <c r="AG299" s="894"/>
      <c r="AH299" s="892"/>
      <c r="AI299" s="892"/>
      <c r="AJ299" s="892"/>
      <c r="AK299" s="892"/>
      <c r="AL299" s="895"/>
      <c r="AM299" s="771"/>
      <c r="AN299" s="886"/>
      <c r="AO299" s="884"/>
    </row>
    <row r="300" spans="1:41" ht="12" customHeight="1" x14ac:dyDescent="0.2">
      <c r="A300" s="771"/>
      <c r="B300" s="1266"/>
      <c r="C300" s="771"/>
      <c r="D300" s="897"/>
      <c r="E300" s="897"/>
      <c r="F300" s="898"/>
      <c r="G300" s="898"/>
      <c r="H300" s="898"/>
      <c r="I300" s="899"/>
      <c r="J300" s="900"/>
      <c r="K300" s="918"/>
      <c r="L300" s="897"/>
      <c r="M300" s="897"/>
      <c r="N300" s="898"/>
      <c r="O300" s="898"/>
      <c r="P300" s="898"/>
      <c r="Q300" s="899"/>
      <c r="R300" s="900"/>
      <c r="S300" s="771"/>
      <c r="T300" s="771"/>
      <c r="U300" s="773"/>
      <c r="V300" s="1266"/>
      <c r="W300" s="773"/>
      <c r="X300" s="902"/>
      <c r="Y300" s="902"/>
      <c r="Z300" s="903"/>
      <c r="AA300" s="903"/>
      <c r="AB300" s="903"/>
      <c r="AC300" s="904"/>
      <c r="AD300" s="895"/>
      <c r="AE300" s="914"/>
      <c r="AF300" s="902"/>
      <c r="AG300" s="902"/>
      <c r="AH300" s="903"/>
      <c r="AI300" s="903"/>
      <c r="AJ300" s="903"/>
      <c r="AK300" s="904"/>
      <c r="AL300" s="895"/>
      <c r="AM300" s="771"/>
      <c r="AN300" s="886"/>
      <c r="AO300" s="884"/>
    </row>
    <row r="301" spans="1:41" ht="12" customHeight="1" x14ac:dyDescent="0.2">
      <c r="A301" s="771"/>
      <c r="B301" s="1266"/>
      <c r="C301" s="771"/>
      <c r="D301" s="771"/>
      <c r="E301" s="919"/>
      <c r="F301" s="919"/>
      <c r="G301" s="919"/>
      <c r="H301" s="919"/>
      <c r="I301" s="919"/>
      <c r="J301" s="919"/>
      <c r="K301" s="918"/>
      <c r="L301" s="771"/>
      <c r="M301" s="919"/>
      <c r="N301" s="919"/>
      <c r="O301" s="919"/>
      <c r="P301" s="919"/>
      <c r="Q301" s="919"/>
      <c r="R301" s="919"/>
      <c r="S301" s="771"/>
      <c r="T301" s="771"/>
      <c r="U301" s="773"/>
      <c r="V301" s="1266"/>
      <c r="W301" s="773"/>
      <c r="X301" s="773"/>
      <c r="Y301" s="905"/>
      <c r="Z301" s="905"/>
      <c r="AA301" s="905"/>
      <c r="AB301" s="905"/>
      <c r="AC301" s="905"/>
      <c r="AD301" s="905"/>
      <c r="AE301" s="914"/>
      <c r="AF301" s="773"/>
      <c r="AG301" s="905"/>
      <c r="AH301" s="905"/>
      <c r="AI301" s="905"/>
      <c r="AJ301" s="905"/>
      <c r="AK301" s="905"/>
      <c r="AL301" s="905"/>
      <c r="AM301" s="771"/>
      <c r="AN301" s="886"/>
      <c r="AO301" s="884"/>
    </row>
    <row r="302" spans="1:41" ht="12" customHeight="1" x14ac:dyDescent="0.2">
      <c r="A302" s="771"/>
      <c r="B302" s="1266"/>
      <c r="C302" s="771"/>
      <c r="D302" s="897"/>
      <c r="E302" s="920"/>
      <c r="F302" s="920"/>
      <c r="G302" s="920"/>
      <c r="H302" s="920"/>
      <c r="I302" s="920"/>
      <c r="J302" s="920"/>
      <c r="K302" s="918"/>
      <c r="L302" s="897"/>
      <c r="M302" s="920"/>
      <c r="N302" s="920"/>
      <c r="O302" s="920"/>
      <c r="P302" s="920"/>
      <c r="Q302" s="920"/>
      <c r="R302" s="920"/>
      <c r="S302" s="771"/>
      <c r="T302" s="771"/>
      <c r="U302" s="773"/>
      <c r="V302" s="1266"/>
      <c r="W302" s="773"/>
      <c r="X302" s="902"/>
      <c r="Y302" s="906"/>
      <c r="Z302" s="906"/>
      <c r="AA302" s="906"/>
      <c r="AB302" s="906"/>
      <c r="AC302" s="906"/>
      <c r="AD302" s="906"/>
      <c r="AE302" s="820"/>
      <c r="AF302" s="902"/>
      <c r="AG302" s="906"/>
      <c r="AH302" s="906"/>
      <c r="AI302" s="906"/>
      <c r="AJ302" s="906"/>
      <c r="AK302" s="906"/>
      <c r="AL302" s="906"/>
      <c r="AM302" s="771"/>
      <c r="AN302" s="886"/>
      <c r="AO302" s="884"/>
    </row>
    <row r="303" spans="1:41" ht="12" customHeight="1" x14ac:dyDescent="0.2">
      <c r="A303" s="771"/>
      <c r="B303" s="1266"/>
      <c r="C303" s="771"/>
      <c r="D303" s="897"/>
      <c r="E303" s="920"/>
      <c r="F303" s="920"/>
      <c r="G303" s="920"/>
      <c r="H303" s="920"/>
      <c r="I303" s="920"/>
      <c r="J303" s="920"/>
      <c r="K303" s="776"/>
      <c r="L303" s="897"/>
      <c r="M303" s="920"/>
      <c r="N303" s="920"/>
      <c r="O303" s="920"/>
      <c r="P303" s="920"/>
      <c r="Q303" s="920"/>
      <c r="R303" s="920"/>
      <c r="S303" s="771"/>
      <c r="T303" s="771"/>
      <c r="U303" s="773"/>
      <c r="V303" s="1266"/>
      <c r="W303" s="773"/>
      <c r="X303" s="902"/>
      <c r="Y303" s="906"/>
      <c r="Z303" s="906"/>
      <c r="AA303" s="906"/>
      <c r="AB303" s="906"/>
      <c r="AC303" s="906"/>
      <c r="AD303" s="906"/>
      <c r="AE303" s="915"/>
      <c r="AF303" s="902"/>
      <c r="AG303" s="906"/>
      <c r="AH303" s="906"/>
      <c r="AI303" s="906"/>
      <c r="AJ303" s="906"/>
      <c r="AK303" s="906"/>
      <c r="AL303" s="906"/>
      <c r="AM303" s="771"/>
      <c r="AN303" s="886"/>
      <c r="AO303" s="884"/>
    </row>
    <row r="304" spans="1:41" ht="12" customHeight="1" x14ac:dyDescent="0.2">
      <c r="A304" s="771"/>
      <c r="B304" s="1266"/>
      <c r="C304" s="771"/>
      <c r="D304" s="918"/>
      <c r="E304" s="921"/>
      <c r="F304" s="921"/>
      <c r="G304" s="921"/>
      <c r="H304" s="921"/>
      <c r="I304" s="921"/>
      <c r="J304" s="921"/>
      <c r="K304" s="918"/>
      <c r="L304" s="918"/>
      <c r="M304" s="921"/>
      <c r="N304" s="921"/>
      <c r="O304" s="921"/>
      <c r="P304" s="921"/>
      <c r="Q304" s="921"/>
      <c r="R304" s="921"/>
      <c r="S304" s="771"/>
      <c r="T304" s="771"/>
      <c r="U304" s="773"/>
      <c r="V304" s="1266"/>
      <c r="W304" s="773"/>
      <c r="X304" s="820"/>
      <c r="Y304" s="908"/>
      <c r="Z304" s="908"/>
      <c r="AA304" s="908"/>
      <c r="AB304" s="908"/>
      <c r="AC304" s="908"/>
      <c r="AD304" s="908"/>
      <c r="AE304" s="914"/>
      <c r="AF304" s="820"/>
      <c r="AG304" s="908"/>
      <c r="AH304" s="908"/>
      <c r="AI304" s="908"/>
      <c r="AJ304" s="908"/>
      <c r="AK304" s="908"/>
      <c r="AL304" s="908"/>
      <c r="AM304" s="771"/>
      <c r="AN304" s="886"/>
      <c r="AO304" s="884"/>
    </row>
    <row r="305" spans="1:41" ht="12" customHeight="1" x14ac:dyDescent="0.2">
      <c r="A305" s="771"/>
      <c r="B305" s="1266"/>
      <c r="C305" s="771"/>
      <c r="D305" s="929"/>
      <c r="E305" s="922"/>
      <c r="F305" s="922"/>
      <c r="G305" s="922"/>
      <c r="H305" s="922"/>
      <c r="I305" s="922"/>
      <c r="J305" s="922"/>
      <c r="K305" s="918"/>
      <c r="L305" s="929"/>
      <c r="M305" s="922"/>
      <c r="N305" s="922"/>
      <c r="O305" s="922"/>
      <c r="P305" s="922"/>
      <c r="Q305" s="922"/>
      <c r="R305" s="922"/>
      <c r="S305" s="771"/>
      <c r="T305" s="771"/>
      <c r="U305" s="773"/>
      <c r="V305" s="1266"/>
      <c r="W305" s="773"/>
      <c r="X305" s="910"/>
      <c r="Y305" s="911"/>
      <c r="Z305" s="911"/>
      <c r="AA305" s="911"/>
      <c r="AB305" s="911"/>
      <c r="AC305" s="911"/>
      <c r="AD305" s="911"/>
      <c r="AE305" s="914"/>
      <c r="AF305" s="910"/>
      <c r="AG305" s="911"/>
      <c r="AH305" s="911"/>
      <c r="AI305" s="911"/>
      <c r="AJ305" s="911"/>
      <c r="AK305" s="911"/>
      <c r="AL305" s="911"/>
      <c r="AM305" s="771"/>
      <c r="AN305" s="886"/>
      <c r="AO305" s="884"/>
    </row>
    <row r="306" spans="1:41" ht="12" customHeight="1" x14ac:dyDescent="0.2">
      <c r="A306" s="771"/>
      <c r="B306" s="1266"/>
      <c r="C306" s="771"/>
      <c r="D306" s="927"/>
      <c r="E306" s="922"/>
      <c r="F306" s="922"/>
      <c r="G306" s="922"/>
      <c r="H306" s="922"/>
      <c r="I306" s="922"/>
      <c r="J306" s="922"/>
      <c r="K306" s="931"/>
      <c r="L306" s="927"/>
      <c r="M306" s="922"/>
      <c r="N306" s="922"/>
      <c r="O306" s="922"/>
      <c r="P306" s="922"/>
      <c r="Q306" s="922"/>
      <c r="R306" s="922"/>
      <c r="S306" s="771"/>
      <c r="T306" s="771"/>
      <c r="U306" s="773"/>
      <c r="V306" s="1266"/>
      <c r="W306" s="773"/>
      <c r="X306" s="887"/>
      <c r="Y306" s="911"/>
      <c r="Z306" s="911"/>
      <c r="AA306" s="911"/>
      <c r="AB306" s="911"/>
      <c r="AC306" s="911"/>
      <c r="AD306" s="911"/>
      <c r="AE306" s="916"/>
      <c r="AF306" s="887"/>
      <c r="AG306" s="911"/>
      <c r="AH306" s="911"/>
      <c r="AI306" s="911"/>
      <c r="AJ306" s="911"/>
      <c r="AK306" s="911"/>
      <c r="AL306" s="911"/>
      <c r="AM306" s="771"/>
      <c r="AN306" s="886"/>
      <c r="AO306" s="884"/>
    </row>
    <row r="307" spans="1:41" ht="12" customHeight="1" x14ac:dyDescent="0.2">
      <c r="A307" s="771"/>
      <c r="B307" s="1266"/>
      <c r="C307" s="771"/>
      <c r="D307" s="927"/>
      <c r="E307" s="922"/>
      <c r="F307" s="922"/>
      <c r="G307" s="922"/>
      <c r="H307" s="922"/>
      <c r="I307" s="922"/>
      <c r="J307" s="922"/>
      <c r="K307" s="931"/>
      <c r="L307" s="927"/>
      <c r="M307" s="922"/>
      <c r="N307" s="922"/>
      <c r="O307" s="922"/>
      <c r="P307" s="922"/>
      <c r="Q307" s="922"/>
      <c r="R307" s="922"/>
      <c r="S307" s="771"/>
      <c r="T307" s="771"/>
      <c r="U307" s="773"/>
      <c r="V307" s="1266"/>
      <c r="W307" s="773"/>
      <c r="X307" s="887"/>
      <c r="Y307" s="911"/>
      <c r="Z307" s="911"/>
      <c r="AA307" s="911"/>
      <c r="AB307" s="911"/>
      <c r="AC307" s="911"/>
      <c r="AD307" s="911"/>
      <c r="AE307" s="916"/>
      <c r="AF307" s="887"/>
      <c r="AG307" s="911"/>
      <c r="AH307" s="911"/>
      <c r="AI307" s="911"/>
      <c r="AJ307" s="911"/>
      <c r="AK307" s="911"/>
      <c r="AL307" s="911"/>
      <c r="AM307" s="771"/>
      <c r="AN307" s="886"/>
      <c r="AO307" s="884"/>
    </row>
    <row r="308" spans="1:41" ht="12" customHeight="1" x14ac:dyDescent="0.2">
      <c r="A308" s="771"/>
      <c r="B308" s="1266"/>
      <c r="C308" s="771"/>
      <c r="D308" s="913"/>
      <c r="E308" s="913"/>
      <c r="F308" s="913"/>
      <c r="G308" s="913"/>
      <c r="H308" s="913"/>
      <c r="I308" s="913"/>
      <c r="J308" s="913"/>
      <c r="K308" s="913"/>
      <c r="L308" s="913"/>
      <c r="M308" s="913"/>
      <c r="N308" s="913"/>
      <c r="O308" s="913"/>
      <c r="P308" s="913"/>
      <c r="Q308" s="913"/>
      <c r="R308" s="913"/>
      <c r="S308" s="771"/>
      <c r="T308" s="771"/>
      <c r="U308" s="773"/>
      <c r="V308" s="1266"/>
      <c r="W308" s="773"/>
      <c r="X308" s="907"/>
      <c r="Y308" s="907"/>
      <c r="Z308" s="907"/>
      <c r="AA308" s="907"/>
      <c r="AB308" s="907"/>
      <c r="AC308" s="909"/>
      <c r="AD308" s="909"/>
      <c r="AE308" s="909"/>
      <c r="AF308" s="909"/>
      <c r="AG308" s="907"/>
      <c r="AH308" s="909"/>
      <c r="AI308" s="909"/>
      <c r="AJ308" s="909"/>
      <c r="AK308" s="909"/>
      <c r="AL308" s="909"/>
      <c r="AM308" s="771"/>
      <c r="AN308" s="886"/>
      <c r="AO308" s="884"/>
    </row>
    <row r="309" spans="1:41" ht="12" customHeight="1" x14ac:dyDescent="0.2">
      <c r="A309" s="771"/>
      <c r="B309" s="1266"/>
      <c r="C309" s="771"/>
      <c r="D309" s="932"/>
      <c r="E309" s="932"/>
      <c r="F309" s="898"/>
      <c r="G309" s="898"/>
      <c r="H309" s="898"/>
      <c r="I309" s="898"/>
      <c r="J309" s="923"/>
      <c r="K309" s="771"/>
      <c r="L309" s="932"/>
      <c r="M309" s="932"/>
      <c r="N309" s="898"/>
      <c r="O309" s="898"/>
      <c r="P309" s="898"/>
      <c r="Q309" s="898"/>
      <c r="R309" s="923"/>
      <c r="S309" s="771"/>
      <c r="T309" s="771"/>
      <c r="U309" s="773"/>
      <c r="V309" s="1266"/>
      <c r="W309" s="773"/>
      <c r="X309" s="891"/>
      <c r="Y309" s="891"/>
      <c r="Z309" s="892"/>
      <c r="AA309" s="892"/>
      <c r="AB309" s="892"/>
      <c r="AC309" s="892"/>
      <c r="AD309" s="893"/>
      <c r="AE309" s="773"/>
      <c r="AF309" s="891"/>
      <c r="AG309" s="891"/>
      <c r="AH309" s="892"/>
      <c r="AI309" s="892"/>
      <c r="AJ309" s="892"/>
      <c r="AK309" s="892"/>
      <c r="AL309" s="893"/>
      <c r="AM309" s="771"/>
      <c r="AN309" s="886"/>
      <c r="AO309" s="884"/>
    </row>
    <row r="310" spans="1:41" ht="12" customHeight="1" x14ac:dyDescent="0.2">
      <c r="A310" s="771"/>
      <c r="B310" s="1266"/>
      <c r="C310" s="771"/>
      <c r="D310" s="933"/>
      <c r="E310" s="933"/>
      <c r="F310" s="898"/>
      <c r="G310" s="898"/>
      <c r="H310" s="898"/>
      <c r="I310" s="898"/>
      <c r="J310" s="900"/>
      <c r="K310" s="771"/>
      <c r="L310" s="933"/>
      <c r="M310" s="933"/>
      <c r="N310" s="898"/>
      <c r="O310" s="898"/>
      <c r="P310" s="898"/>
      <c r="Q310" s="898"/>
      <c r="R310" s="900"/>
      <c r="S310" s="771"/>
      <c r="T310" s="771"/>
      <c r="U310" s="773"/>
      <c r="V310" s="1266"/>
      <c r="W310" s="773"/>
      <c r="X310" s="894"/>
      <c r="Y310" s="894"/>
      <c r="Z310" s="892"/>
      <c r="AA310" s="892"/>
      <c r="AB310" s="892"/>
      <c r="AC310" s="892"/>
      <c r="AD310" s="895"/>
      <c r="AE310" s="773"/>
      <c r="AF310" s="894"/>
      <c r="AG310" s="894"/>
      <c r="AH310" s="892"/>
      <c r="AI310" s="892"/>
      <c r="AJ310" s="892"/>
      <c r="AK310" s="892"/>
      <c r="AL310" s="895"/>
      <c r="AM310" s="771"/>
      <c r="AN310" s="886"/>
      <c r="AO310" s="884"/>
    </row>
    <row r="311" spans="1:41" ht="12" customHeight="1" x14ac:dyDescent="0.2">
      <c r="A311" s="771"/>
      <c r="B311" s="1266"/>
      <c r="C311" s="771"/>
      <c r="D311" s="897"/>
      <c r="E311" s="897"/>
      <c r="F311" s="898"/>
      <c r="G311" s="898"/>
      <c r="H311" s="898"/>
      <c r="I311" s="899"/>
      <c r="J311" s="900"/>
      <c r="K311" s="771"/>
      <c r="L311" s="897"/>
      <c r="M311" s="897"/>
      <c r="N311" s="898"/>
      <c r="O311" s="898"/>
      <c r="P311" s="898"/>
      <c r="Q311" s="899"/>
      <c r="R311" s="900"/>
      <c r="S311" s="771"/>
      <c r="T311" s="771"/>
      <c r="U311" s="773"/>
      <c r="V311" s="1266"/>
      <c r="W311" s="773"/>
      <c r="X311" s="902"/>
      <c r="Y311" s="902"/>
      <c r="Z311" s="903"/>
      <c r="AA311" s="903"/>
      <c r="AB311" s="903"/>
      <c r="AC311" s="904"/>
      <c r="AD311" s="895"/>
      <c r="AE311" s="773"/>
      <c r="AF311" s="902"/>
      <c r="AG311" s="902"/>
      <c r="AH311" s="903"/>
      <c r="AI311" s="903"/>
      <c r="AJ311" s="903"/>
      <c r="AK311" s="904"/>
      <c r="AL311" s="895"/>
      <c r="AM311" s="771"/>
      <c r="AN311" s="886"/>
      <c r="AO311" s="884"/>
    </row>
    <row r="312" spans="1:41" ht="12" customHeight="1" x14ac:dyDescent="0.2">
      <c r="A312" s="771"/>
      <c r="B312" s="1266"/>
      <c r="C312" s="771"/>
      <c r="D312" s="771"/>
      <c r="E312" s="919"/>
      <c r="F312" s="919"/>
      <c r="G312" s="919"/>
      <c r="H312" s="919"/>
      <c r="I312" s="919"/>
      <c r="J312" s="919"/>
      <c r="K312" s="771"/>
      <c r="L312" s="771"/>
      <c r="M312" s="919"/>
      <c r="N312" s="919"/>
      <c r="O312" s="919"/>
      <c r="P312" s="919"/>
      <c r="Q312" s="919"/>
      <c r="R312" s="919"/>
      <c r="S312" s="771"/>
      <c r="T312" s="771"/>
      <c r="U312" s="773"/>
      <c r="V312" s="1266"/>
      <c r="W312" s="773"/>
      <c r="X312" s="773"/>
      <c r="Y312" s="905"/>
      <c r="Z312" s="905"/>
      <c r="AA312" s="905"/>
      <c r="AB312" s="905"/>
      <c r="AC312" s="905"/>
      <c r="AD312" s="905"/>
      <c r="AE312" s="773"/>
      <c r="AF312" s="773"/>
      <c r="AG312" s="905"/>
      <c r="AH312" s="905"/>
      <c r="AI312" s="905"/>
      <c r="AJ312" s="905"/>
      <c r="AK312" s="905"/>
      <c r="AL312" s="905"/>
      <c r="AM312" s="771"/>
      <c r="AN312" s="886"/>
      <c r="AO312" s="884"/>
    </row>
    <row r="313" spans="1:41" ht="12" customHeight="1" x14ac:dyDescent="0.2">
      <c r="A313" s="771"/>
      <c r="B313" s="1266"/>
      <c r="C313" s="771"/>
      <c r="D313" s="897"/>
      <c r="E313" s="920"/>
      <c r="F313" s="920"/>
      <c r="G313" s="920"/>
      <c r="H313" s="920"/>
      <c r="I313" s="920"/>
      <c r="J313" s="920"/>
      <c r="K313" s="771"/>
      <c r="L313" s="897"/>
      <c r="M313" s="920"/>
      <c r="N313" s="920"/>
      <c r="O313" s="920"/>
      <c r="P313" s="920"/>
      <c r="Q313" s="920"/>
      <c r="R313" s="920"/>
      <c r="S313" s="771"/>
      <c r="T313" s="771"/>
      <c r="U313" s="773"/>
      <c r="V313" s="1266"/>
      <c r="W313" s="773"/>
      <c r="X313" s="902"/>
      <c r="Y313" s="906"/>
      <c r="Z313" s="906"/>
      <c r="AA313" s="906"/>
      <c r="AB313" s="906"/>
      <c r="AC313" s="906"/>
      <c r="AD313" s="906"/>
      <c r="AE313" s="773"/>
      <c r="AF313" s="902"/>
      <c r="AG313" s="906"/>
      <c r="AH313" s="906"/>
      <c r="AI313" s="906"/>
      <c r="AJ313" s="906"/>
      <c r="AK313" s="906"/>
      <c r="AL313" s="906"/>
      <c r="AM313" s="771"/>
      <c r="AN313" s="886"/>
      <c r="AO313" s="884"/>
    </row>
    <row r="314" spans="1:41" ht="12" customHeight="1" x14ac:dyDescent="0.2">
      <c r="A314" s="771"/>
      <c r="B314" s="1266"/>
      <c r="C314" s="771"/>
      <c r="D314" s="897"/>
      <c r="E314" s="920"/>
      <c r="F314" s="920"/>
      <c r="G314" s="920"/>
      <c r="H314" s="920"/>
      <c r="I314" s="920"/>
      <c r="J314" s="920"/>
      <c r="K314" s="771"/>
      <c r="L314" s="897"/>
      <c r="M314" s="920"/>
      <c r="N314" s="920"/>
      <c r="O314" s="920"/>
      <c r="P314" s="920"/>
      <c r="Q314" s="920"/>
      <c r="R314" s="920"/>
      <c r="S314" s="771"/>
      <c r="T314" s="771"/>
      <c r="U314" s="773"/>
      <c r="V314" s="1266"/>
      <c r="W314" s="773"/>
      <c r="X314" s="902"/>
      <c r="Y314" s="906"/>
      <c r="Z314" s="906"/>
      <c r="AA314" s="906"/>
      <c r="AB314" s="906"/>
      <c r="AC314" s="906"/>
      <c r="AD314" s="906"/>
      <c r="AE314" s="773"/>
      <c r="AF314" s="902"/>
      <c r="AG314" s="906"/>
      <c r="AH314" s="906"/>
      <c r="AI314" s="906"/>
      <c r="AJ314" s="906"/>
      <c r="AK314" s="906"/>
      <c r="AL314" s="906"/>
      <c r="AM314" s="771"/>
      <c r="AN314" s="886"/>
      <c r="AO314" s="884"/>
    </row>
    <row r="315" spans="1:41" ht="12" customHeight="1" x14ac:dyDescent="0.2">
      <c r="A315" s="771"/>
      <c r="B315" s="1266"/>
      <c r="C315" s="771"/>
      <c r="D315" s="918"/>
      <c r="E315" s="921"/>
      <c r="F315" s="921"/>
      <c r="G315" s="921"/>
      <c r="H315" s="921"/>
      <c r="I315" s="921"/>
      <c r="J315" s="921"/>
      <c r="K315" s="771"/>
      <c r="L315" s="918"/>
      <c r="M315" s="921"/>
      <c r="N315" s="921"/>
      <c r="O315" s="921"/>
      <c r="P315" s="921"/>
      <c r="Q315" s="921"/>
      <c r="R315" s="921"/>
      <c r="S315" s="771"/>
      <c r="T315" s="771"/>
      <c r="U315" s="773"/>
      <c r="V315" s="1266"/>
      <c r="W315" s="773"/>
      <c r="X315" s="820"/>
      <c r="Y315" s="908"/>
      <c r="Z315" s="908"/>
      <c r="AA315" s="908"/>
      <c r="AB315" s="908"/>
      <c r="AC315" s="908"/>
      <c r="AD315" s="908"/>
      <c r="AE315" s="773"/>
      <c r="AF315" s="820"/>
      <c r="AG315" s="908"/>
      <c r="AH315" s="908"/>
      <c r="AI315" s="908"/>
      <c r="AJ315" s="908"/>
      <c r="AK315" s="908"/>
      <c r="AL315" s="908"/>
      <c r="AM315" s="771"/>
      <c r="AN315" s="886"/>
      <c r="AO315" s="884"/>
    </row>
    <row r="316" spans="1:41" ht="12" customHeight="1" x14ac:dyDescent="0.2">
      <c r="A316" s="771"/>
      <c r="B316" s="1266"/>
      <c r="C316" s="771"/>
      <c r="D316" s="929"/>
      <c r="E316" s="922"/>
      <c r="F316" s="922"/>
      <c r="G316" s="922"/>
      <c r="H316" s="922"/>
      <c r="I316" s="922"/>
      <c r="J316" s="922"/>
      <c r="K316" s="771"/>
      <c r="L316" s="929"/>
      <c r="M316" s="922"/>
      <c r="N316" s="922"/>
      <c r="O316" s="922"/>
      <c r="P316" s="922"/>
      <c r="Q316" s="922"/>
      <c r="R316" s="922"/>
      <c r="S316" s="771"/>
      <c r="T316" s="771"/>
      <c r="U316" s="773"/>
      <c r="V316" s="1266"/>
      <c r="W316" s="773"/>
      <c r="X316" s="910"/>
      <c r="Y316" s="911"/>
      <c r="Z316" s="911"/>
      <c r="AA316" s="911"/>
      <c r="AB316" s="911"/>
      <c r="AC316" s="911"/>
      <c r="AD316" s="911"/>
      <c r="AE316" s="773"/>
      <c r="AF316" s="910"/>
      <c r="AG316" s="911"/>
      <c r="AH316" s="911"/>
      <c r="AI316" s="911"/>
      <c r="AJ316" s="911"/>
      <c r="AK316" s="911"/>
      <c r="AL316" s="911"/>
      <c r="AM316" s="771"/>
      <c r="AN316" s="886"/>
      <c r="AO316" s="884"/>
    </row>
    <row r="317" spans="1:41" ht="12" customHeight="1" x14ac:dyDescent="0.2">
      <c r="A317" s="771"/>
      <c r="B317" s="1266"/>
      <c r="C317" s="771"/>
      <c r="D317" s="927"/>
      <c r="E317" s="922"/>
      <c r="F317" s="922"/>
      <c r="G317" s="922"/>
      <c r="H317" s="922"/>
      <c r="I317" s="922"/>
      <c r="J317" s="922"/>
      <c r="K317" s="771"/>
      <c r="L317" s="927"/>
      <c r="M317" s="922"/>
      <c r="N317" s="922"/>
      <c r="O317" s="922"/>
      <c r="P317" s="922"/>
      <c r="Q317" s="922"/>
      <c r="R317" s="922"/>
      <c r="S317" s="771"/>
      <c r="T317" s="771"/>
      <c r="U317" s="773"/>
      <c r="V317" s="1266"/>
      <c r="W317" s="773"/>
      <c r="X317" s="887"/>
      <c r="Y317" s="911"/>
      <c r="Z317" s="911"/>
      <c r="AA317" s="911"/>
      <c r="AB317" s="911"/>
      <c r="AC317" s="911"/>
      <c r="AD317" s="911"/>
      <c r="AE317" s="773"/>
      <c r="AF317" s="887"/>
      <c r="AG317" s="911"/>
      <c r="AH317" s="911"/>
      <c r="AI317" s="911"/>
      <c r="AJ317" s="911"/>
      <c r="AK317" s="911"/>
      <c r="AL317" s="911"/>
      <c r="AM317" s="771"/>
      <c r="AN317" s="886"/>
      <c r="AO317" s="884"/>
    </row>
    <row r="318" spans="1:41" ht="12" customHeight="1" x14ac:dyDescent="0.2">
      <c r="A318" s="771"/>
      <c r="B318" s="1266"/>
      <c r="C318" s="771"/>
      <c r="D318" s="927"/>
      <c r="E318" s="922"/>
      <c r="F318" s="922"/>
      <c r="G318" s="922"/>
      <c r="H318" s="922"/>
      <c r="I318" s="922"/>
      <c r="J318" s="922"/>
      <c r="K318" s="771"/>
      <c r="L318" s="927"/>
      <c r="M318" s="922"/>
      <c r="N318" s="922"/>
      <c r="O318" s="922"/>
      <c r="P318" s="922"/>
      <c r="Q318" s="922"/>
      <c r="R318" s="922"/>
      <c r="S318" s="771"/>
      <c r="T318" s="771"/>
      <c r="U318" s="773"/>
      <c r="V318" s="1266"/>
      <c r="W318" s="773"/>
      <c r="X318" s="887"/>
      <c r="Y318" s="911"/>
      <c r="Z318" s="911"/>
      <c r="AA318" s="911"/>
      <c r="AB318" s="911"/>
      <c r="AC318" s="911"/>
      <c r="AD318" s="911"/>
      <c r="AE318" s="773"/>
      <c r="AF318" s="887"/>
      <c r="AG318" s="911"/>
      <c r="AH318" s="911"/>
      <c r="AI318" s="911"/>
      <c r="AJ318" s="911"/>
      <c r="AK318" s="911"/>
      <c r="AL318" s="911"/>
      <c r="AM318" s="771"/>
      <c r="AN318" s="886"/>
      <c r="AO318" s="884"/>
    </row>
    <row r="319" spans="1:41" ht="12" customHeight="1" x14ac:dyDescent="0.2">
      <c r="A319" s="771"/>
      <c r="B319" s="1266"/>
      <c r="C319" s="771"/>
      <c r="D319" s="771"/>
      <c r="E319" s="771"/>
      <c r="F319" s="771"/>
      <c r="G319" s="771"/>
      <c r="H319" s="771"/>
      <c r="I319" s="771"/>
      <c r="J319" s="771"/>
      <c r="K319" s="771"/>
      <c r="L319" s="771"/>
      <c r="M319" s="771"/>
      <c r="N319" s="771"/>
      <c r="O319" s="771"/>
      <c r="P319" s="771"/>
      <c r="Q319" s="771"/>
      <c r="R319" s="771"/>
      <c r="S319" s="771"/>
      <c r="T319" s="771"/>
      <c r="U319" s="773"/>
      <c r="V319" s="1266"/>
      <c r="W319" s="773"/>
      <c r="X319" s="773"/>
      <c r="Y319" s="773"/>
      <c r="Z319" s="773"/>
      <c r="AA319" s="773"/>
      <c r="AB319" s="773"/>
      <c r="AC319" s="773"/>
      <c r="AD319" s="773"/>
      <c r="AE319" s="773"/>
      <c r="AF319" s="773"/>
      <c r="AG319" s="773"/>
      <c r="AH319" s="773"/>
      <c r="AI319" s="773"/>
      <c r="AJ319" s="773"/>
      <c r="AK319" s="773"/>
      <c r="AL319" s="773"/>
      <c r="AM319" s="771"/>
      <c r="AN319" s="886"/>
      <c r="AO319" s="884"/>
    </row>
    <row r="320" spans="1:41" ht="12" customHeight="1" x14ac:dyDescent="0.2">
      <c r="A320" s="771"/>
      <c r="B320" s="1266"/>
      <c r="C320" s="771"/>
      <c r="D320" s="932"/>
      <c r="E320" s="932"/>
      <c r="F320" s="898"/>
      <c r="G320" s="898"/>
      <c r="H320" s="898"/>
      <c r="I320" s="898"/>
      <c r="J320" s="923"/>
      <c r="K320" s="934"/>
      <c r="L320" s="932"/>
      <c r="M320" s="932"/>
      <c r="N320" s="898"/>
      <c r="O320" s="898"/>
      <c r="P320" s="898"/>
      <c r="Q320" s="898"/>
      <c r="R320" s="923"/>
      <c r="S320" s="771"/>
      <c r="T320" s="771"/>
      <c r="U320" s="773"/>
      <c r="V320" s="1266"/>
      <c r="W320" s="773"/>
      <c r="X320" s="891"/>
      <c r="Y320" s="891"/>
      <c r="Z320" s="892"/>
      <c r="AA320" s="892"/>
      <c r="AB320" s="892"/>
      <c r="AC320" s="892"/>
      <c r="AD320" s="893"/>
      <c r="AE320" s="924"/>
      <c r="AF320" s="891"/>
      <c r="AG320" s="891"/>
      <c r="AH320" s="892"/>
      <c r="AI320" s="892"/>
      <c r="AJ320" s="892"/>
      <c r="AK320" s="892"/>
      <c r="AL320" s="893"/>
      <c r="AM320" s="771"/>
      <c r="AN320" s="886"/>
      <c r="AO320" s="884"/>
    </row>
    <row r="321" spans="1:41" ht="12" customHeight="1" x14ac:dyDescent="0.2">
      <c r="A321" s="771"/>
      <c r="B321" s="1266"/>
      <c r="C321" s="771"/>
      <c r="D321" s="933"/>
      <c r="E321" s="933"/>
      <c r="F321" s="898"/>
      <c r="G321" s="898"/>
      <c r="H321" s="898"/>
      <c r="I321" s="898"/>
      <c r="J321" s="900"/>
      <c r="K321" s="935"/>
      <c r="L321" s="933"/>
      <c r="M321" s="933"/>
      <c r="N321" s="898"/>
      <c r="O321" s="898"/>
      <c r="P321" s="898"/>
      <c r="Q321" s="898"/>
      <c r="R321" s="900"/>
      <c r="S321" s="771"/>
      <c r="T321" s="771"/>
      <c r="U321" s="773"/>
      <c r="V321" s="1266"/>
      <c r="W321" s="773"/>
      <c r="X321" s="894"/>
      <c r="Y321" s="894"/>
      <c r="Z321" s="892"/>
      <c r="AA321" s="892"/>
      <c r="AB321" s="892"/>
      <c r="AC321" s="892"/>
      <c r="AD321" s="895"/>
      <c r="AE321" s="925"/>
      <c r="AF321" s="894"/>
      <c r="AG321" s="894"/>
      <c r="AH321" s="892"/>
      <c r="AI321" s="892"/>
      <c r="AJ321" s="892"/>
      <c r="AK321" s="892"/>
      <c r="AL321" s="895"/>
      <c r="AM321" s="771"/>
      <c r="AN321" s="886"/>
      <c r="AO321" s="884"/>
    </row>
    <row r="322" spans="1:41" ht="12" customHeight="1" x14ac:dyDescent="0.2">
      <c r="A322" s="771"/>
      <c r="B322" s="1266"/>
      <c r="C322" s="771"/>
      <c r="D322" s="897"/>
      <c r="E322" s="897"/>
      <c r="F322" s="898"/>
      <c r="G322" s="898"/>
      <c r="H322" s="898"/>
      <c r="I322" s="899"/>
      <c r="J322" s="900"/>
      <c r="K322" s="898"/>
      <c r="L322" s="897"/>
      <c r="M322" s="897"/>
      <c r="N322" s="898"/>
      <c r="O322" s="898"/>
      <c r="P322" s="898"/>
      <c r="Q322" s="899"/>
      <c r="R322" s="900"/>
      <c r="S322" s="771"/>
      <c r="T322" s="771"/>
      <c r="U322" s="773"/>
      <c r="V322" s="1266"/>
      <c r="W322" s="773"/>
      <c r="X322" s="902"/>
      <c r="Y322" s="902"/>
      <c r="Z322" s="903"/>
      <c r="AA322" s="903"/>
      <c r="AB322" s="903"/>
      <c r="AC322" s="904"/>
      <c r="AD322" s="895"/>
      <c r="AE322" s="903"/>
      <c r="AF322" s="902"/>
      <c r="AG322" s="902"/>
      <c r="AH322" s="903"/>
      <c r="AI322" s="903"/>
      <c r="AJ322" s="903"/>
      <c r="AK322" s="904"/>
      <c r="AL322" s="895"/>
      <c r="AM322" s="771"/>
      <c r="AN322" s="886"/>
      <c r="AO322" s="884"/>
    </row>
    <row r="323" spans="1:41" ht="12" customHeight="1" x14ac:dyDescent="0.2">
      <c r="A323" s="771"/>
      <c r="B323" s="1266"/>
      <c r="C323" s="771"/>
      <c r="D323" s="771"/>
      <c r="E323" s="919"/>
      <c r="F323" s="919"/>
      <c r="G323" s="919"/>
      <c r="H323" s="919"/>
      <c r="I323" s="919"/>
      <c r="J323" s="919"/>
      <c r="K323" s="898"/>
      <c r="L323" s="771"/>
      <c r="M323" s="919"/>
      <c r="N323" s="919"/>
      <c r="O323" s="919"/>
      <c r="P323" s="919"/>
      <c r="Q323" s="919"/>
      <c r="R323" s="919"/>
      <c r="S323" s="771"/>
      <c r="T323" s="771"/>
      <c r="U323" s="773"/>
      <c r="V323" s="1266"/>
      <c r="W323" s="773"/>
      <c r="X323" s="773"/>
      <c r="Y323" s="905"/>
      <c r="Z323" s="905"/>
      <c r="AA323" s="905"/>
      <c r="AB323" s="905"/>
      <c r="AC323" s="905"/>
      <c r="AD323" s="905"/>
      <c r="AE323" s="903"/>
      <c r="AF323" s="773"/>
      <c r="AG323" s="905"/>
      <c r="AH323" s="905"/>
      <c r="AI323" s="905"/>
      <c r="AJ323" s="905"/>
      <c r="AK323" s="905"/>
      <c r="AL323" s="905"/>
      <c r="AM323" s="771"/>
      <c r="AN323" s="886"/>
      <c r="AO323" s="884"/>
    </row>
    <row r="324" spans="1:41" ht="12" customHeight="1" x14ac:dyDescent="0.2">
      <c r="A324" s="771"/>
      <c r="B324" s="1266"/>
      <c r="C324" s="771"/>
      <c r="D324" s="897"/>
      <c r="E324" s="920"/>
      <c r="F324" s="920"/>
      <c r="G324" s="920"/>
      <c r="H324" s="920"/>
      <c r="I324" s="920"/>
      <c r="J324" s="920"/>
      <c r="K324" s="898"/>
      <c r="L324" s="897"/>
      <c r="M324" s="920"/>
      <c r="N324" s="920"/>
      <c r="O324" s="920"/>
      <c r="P324" s="920"/>
      <c r="Q324" s="920"/>
      <c r="R324" s="920"/>
      <c r="S324" s="771"/>
      <c r="T324" s="771"/>
      <c r="U324" s="773"/>
      <c r="V324" s="1266"/>
      <c r="W324" s="773"/>
      <c r="X324" s="902"/>
      <c r="Y324" s="906"/>
      <c r="Z324" s="906"/>
      <c r="AA324" s="906"/>
      <c r="AB324" s="906"/>
      <c r="AC324" s="906"/>
      <c r="AD324" s="906"/>
      <c r="AE324" s="903"/>
      <c r="AF324" s="902"/>
      <c r="AG324" s="906"/>
      <c r="AH324" s="906"/>
      <c r="AI324" s="906"/>
      <c r="AJ324" s="906"/>
      <c r="AK324" s="906"/>
      <c r="AL324" s="906"/>
      <c r="AM324" s="771"/>
      <c r="AN324" s="886"/>
      <c r="AO324" s="884"/>
    </row>
    <row r="325" spans="1:41" ht="12" customHeight="1" x14ac:dyDescent="0.2">
      <c r="A325" s="771"/>
      <c r="B325" s="1266"/>
      <c r="C325" s="771"/>
      <c r="D325" s="897"/>
      <c r="E325" s="920"/>
      <c r="F325" s="920"/>
      <c r="G325" s="920"/>
      <c r="H325" s="920"/>
      <c r="I325" s="920"/>
      <c r="J325" s="920"/>
      <c r="K325" s="898"/>
      <c r="L325" s="897"/>
      <c r="M325" s="920"/>
      <c r="N325" s="920"/>
      <c r="O325" s="920"/>
      <c r="P325" s="920"/>
      <c r="Q325" s="920"/>
      <c r="R325" s="920"/>
      <c r="S325" s="771"/>
      <c r="T325" s="771"/>
      <c r="U325" s="773"/>
      <c r="V325" s="1266"/>
      <c r="W325" s="773"/>
      <c r="X325" s="902"/>
      <c r="Y325" s="906"/>
      <c r="Z325" s="906"/>
      <c r="AA325" s="906"/>
      <c r="AB325" s="906"/>
      <c r="AC325" s="906"/>
      <c r="AD325" s="906"/>
      <c r="AE325" s="903"/>
      <c r="AF325" s="902"/>
      <c r="AG325" s="906"/>
      <c r="AH325" s="906"/>
      <c r="AI325" s="906"/>
      <c r="AJ325" s="906"/>
      <c r="AK325" s="906"/>
      <c r="AL325" s="906"/>
      <c r="AM325" s="771"/>
      <c r="AN325" s="886"/>
      <c r="AO325" s="884"/>
    </row>
    <row r="326" spans="1:41" ht="12" customHeight="1" x14ac:dyDescent="0.2">
      <c r="A326" s="771"/>
      <c r="B326" s="1266"/>
      <c r="C326" s="771"/>
      <c r="D326" s="918"/>
      <c r="E326" s="921"/>
      <c r="F326" s="921"/>
      <c r="G326" s="921"/>
      <c r="H326" s="921"/>
      <c r="I326" s="921"/>
      <c r="J326" s="921"/>
      <c r="K326" s="898"/>
      <c r="L326" s="918"/>
      <c r="M326" s="921"/>
      <c r="N326" s="921"/>
      <c r="O326" s="921"/>
      <c r="P326" s="921"/>
      <c r="Q326" s="921"/>
      <c r="R326" s="921"/>
      <c r="S326" s="771"/>
      <c r="T326" s="771"/>
      <c r="U326" s="773"/>
      <c r="V326" s="1266"/>
      <c r="W326" s="773"/>
      <c r="X326" s="820"/>
      <c r="Y326" s="908"/>
      <c r="Z326" s="908"/>
      <c r="AA326" s="908"/>
      <c r="AB326" s="908"/>
      <c r="AC326" s="908"/>
      <c r="AD326" s="908"/>
      <c r="AE326" s="903"/>
      <c r="AF326" s="820"/>
      <c r="AG326" s="908"/>
      <c r="AH326" s="908"/>
      <c r="AI326" s="908"/>
      <c r="AJ326" s="908"/>
      <c r="AK326" s="908"/>
      <c r="AL326" s="908"/>
      <c r="AM326" s="771"/>
      <c r="AN326" s="886"/>
      <c r="AO326" s="884"/>
    </row>
    <row r="327" spans="1:41" ht="12" customHeight="1" x14ac:dyDescent="0.2">
      <c r="A327" s="771"/>
      <c r="B327" s="1266"/>
      <c r="C327" s="771"/>
      <c r="D327" s="929"/>
      <c r="E327" s="922"/>
      <c r="F327" s="922"/>
      <c r="G327" s="922"/>
      <c r="H327" s="922"/>
      <c r="I327" s="922"/>
      <c r="J327" s="922"/>
      <c r="K327" s="898"/>
      <c r="L327" s="929"/>
      <c r="M327" s="922"/>
      <c r="N327" s="922"/>
      <c r="O327" s="922"/>
      <c r="P327" s="922"/>
      <c r="Q327" s="922"/>
      <c r="R327" s="922"/>
      <c r="S327" s="771"/>
      <c r="T327" s="771"/>
      <c r="U327" s="773"/>
      <c r="V327" s="1266"/>
      <c r="W327" s="773"/>
      <c r="X327" s="910"/>
      <c r="Y327" s="911"/>
      <c r="Z327" s="911"/>
      <c r="AA327" s="911"/>
      <c r="AB327" s="911"/>
      <c r="AC327" s="911"/>
      <c r="AD327" s="911"/>
      <c r="AE327" s="903"/>
      <c r="AF327" s="910"/>
      <c r="AG327" s="911"/>
      <c r="AH327" s="911"/>
      <c r="AI327" s="911"/>
      <c r="AJ327" s="911"/>
      <c r="AK327" s="911"/>
      <c r="AL327" s="911"/>
      <c r="AM327" s="771"/>
      <c r="AN327" s="886"/>
      <c r="AO327" s="884"/>
    </row>
    <row r="328" spans="1:41" ht="12" customHeight="1" x14ac:dyDescent="0.2">
      <c r="A328" s="771"/>
      <c r="B328" s="1266"/>
      <c r="C328" s="771"/>
      <c r="D328" s="927"/>
      <c r="E328" s="922"/>
      <c r="F328" s="922"/>
      <c r="G328" s="922"/>
      <c r="H328" s="922"/>
      <c r="I328" s="922"/>
      <c r="J328" s="922"/>
      <c r="K328" s="898"/>
      <c r="L328" s="927"/>
      <c r="M328" s="922"/>
      <c r="N328" s="922"/>
      <c r="O328" s="922"/>
      <c r="P328" s="922"/>
      <c r="Q328" s="922"/>
      <c r="R328" s="922"/>
      <c r="S328" s="771"/>
      <c r="T328" s="771"/>
      <c r="U328" s="773"/>
      <c r="V328" s="1266"/>
      <c r="W328" s="773"/>
      <c r="X328" s="887"/>
      <c r="Y328" s="911"/>
      <c r="Z328" s="911"/>
      <c r="AA328" s="911"/>
      <c r="AB328" s="911"/>
      <c r="AC328" s="911"/>
      <c r="AD328" s="911"/>
      <c r="AE328" s="903"/>
      <c r="AF328" s="887"/>
      <c r="AG328" s="911"/>
      <c r="AH328" s="911"/>
      <c r="AI328" s="911"/>
      <c r="AJ328" s="911"/>
      <c r="AK328" s="911"/>
      <c r="AL328" s="911"/>
      <c r="AM328" s="771"/>
      <c r="AN328" s="886"/>
      <c r="AO328" s="884"/>
    </row>
    <row r="329" spans="1:41" ht="12" customHeight="1" x14ac:dyDescent="0.2">
      <c r="A329" s="771"/>
      <c r="B329" s="1266"/>
      <c r="C329" s="771"/>
      <c r="D329" s="927"/>
      <c r="E329" s="922"/>
      <c r="F329" s="922"/>
      <c r="G329" s="922"/>
      <c r="H329" s="922"/>
      <c r="I329" s="922"/>
      <c r="J329" s="922"/>
      <c r="K329" s="898"/>
      <c r="L329" s="927"/>
      <c r="M329" s="922"/>
      <c r="N329" s="922"/>
      <c r="O329" s="922"/>
      <c r="P329" s="922"/>
      <c r="Q329" s="922"/>
      <c r="R329" s="922"/>
      <c r="S329" s="771"/>
      <c r="T329" s="771"/>
      <c r="U329" s="773"/>
      <c r="V329" s="1266"/>
      <c r="W329" s="773"/>
      <c r="X329" s="887"/>
      <c r="Y329" s="911"/>
      <c r="Z329" s="911"/>
      <c r="AA329" s="911"/>
      <c r="AB329" s="911"/>
      <c r="AC329" s="911"/>
      <c r="AD329" s="911"/>
      <c r="AE329" s="903"/>
      <c r="AF329" s="887"/>
      <c r="AG329" s="911"/>
      <c r="AH329" s="911"/>
      <c r="AI329" s="911"/>
      <c r="AJ329" s="911"/>
      <c r="AK329" s="911"/>
      <c r="AL329" s="911"/>
      <c r="AM329" s="771"/>
      <c r="AN329" s="886"/>
      <c r="AO329" s="884"/>
    </row>
    <row r="330" spans="1:41" ht="12" customHeight="1" x14ac:dyDescent="0.2">
      <c r="A330" s="771"/>
      <c r="B330" s="1266"/>
      <c r="C330" s="771"/>
      <c r="D330" s="936"/>
      <c r="E330" s="913"/>
      <c r="F330" s="913"/>
      <c r="G330" s="913"/>
      <c r="H330" s="913"/>
      <c r="I330" s="918"/>
      <c r="J330" s="921"/>
      <c r="K330" s="898"/>
      <c r="L330" s="936"/>
      <c r="M330" s="913"/>
      <c r="N330" s="913"/>
      <c r="O330" s="913"/>
      <c r="P330" s="913"/>
      <c r="Q330" s="918"/>
      <c r="R330" s="921"/>
      <c r="S330" s="771"/>
      <c r="T330" s="771"/>
      <c r="U330" s="773"/>
      <c r="V330" s="1266"/>
      <c r="W330" s="773"/>
      <c r="X330" s="926"/>
      <c r="Y330" s="907"/>
      <c r="Z330" s="909"/>
      <c r="AA330" s="909"/>
      <c r="AB330" s="909"/>
      <c r="AC330" s="820"/>
      <c r="AD330" s="908"/>
      <c r="AE330" s="903"/>
      <c r="AF330" s="926"/>
      <c r="AG330" s="907"/>
      <c r="AH330" s="907"/>
      <c r="AI330" s="907"/>
      <c r="AJ330" s="907"/>
      <c r="AK330" s="820"/>
      <c r="AL330" s="908"/>
      <c r="AM330" s="771"/>
      <c r="AN330" s="886"/>
      <c r="AO330" s="884"/>
    </row>
    <row r="331" spans="1:41" ht="12" customHeight="1" x14ac:dyDescent="0.2">
      <c r="A331" s="771"/>
      <c r="B331" s="1266"/>
      <c r="C331" s="771"/>
      <c r="D331" s="771"/>
      <c r="E331" s="771"/>
      <c r="F331" s="771"/>
      <c r="G331" s="771"/>
      <c r="H331" s="771"/>
      <c r="I331" s="771"/>
      <c r="J331" s="771"/>
      <c r="K331" s="771"/>
      <c r="L331" s="771"/>
      <c r="M331" s="771"/>
      <c r="N331" s="771"/>
      <c r="O331" s="771"/>
      <c r="P331" s="771"/>
      <c r="Q331" s="771"/>
      <c r="R331" s="771"/>
      <c r="S331" s="913"/>
      <c r="T331" s="771"/>
      <c r="U331" s="773"/>
      <c r="V331" s="1266"/>
      <c r="W331" s="773"/>
      <c r="X331" s="773"/>
      <c r="Y331" s="773"/>
      <c r="Z331" s="773"/>
      <c r="AA331" s="773"/>
      <c r="AB331" s="773"/>
      <c r="AC331" s="773"/>
      <c r="AD331" s="773"/>
      <c r="AE331" s="773"/>
      <c r="AF331" s="773"/>
      <c r="AG331" s="773"/>
      <c r="AH331" s="773"/>
      <c r="AI331" s="773"/>
      <c r="AJ331" s="773"/>
      <c r="AK331" s="773"/>
      <c r="AL331" s="773"/>
      <c r="AM331" s="913"/>
      <c r="AN331" s="886"/>
      <c r="AO331" s="884"/>
    </row>
    <row r="332" spans="1:41" ht="12" customHeight="1" x14ac:dyDescent="0.2">
      <c r="A332" s="771"/>
      <c r="B332" s="1266"/>
      <c r="C332" s="771"/>
      <c r="D332" s="771"/>
      <c r="E332" s="771"/>
      <c r="F332" s="771"/>
      <c r="G332" s="771"/>
      <c r="H332" s="771"/>
      <c r="I332" s="771"/>
      <c r="J332" s="771"/>
      <c r="K332" s="771"/>
      <c r="L332" s="771"/>
      <c r="M332" s="771"/>
      <c r="N332" s="771"/>
      <c r="O332" s="771"/>
      <c r="P332" s="771"/>
      <c r="Q332" s="771"/>
      <c r="R332" s="771"/>
      <c r="S332" s="913"/>
      <c r="T332" s="771"/>
      <c r="U332" s="773"/>
      <c r="V332" s="1266"/>
      <c r="W332" s="773"/>
      <c r="X332" s="773"/>
      <c r="Y332" s="773"/>
      <c r="Z332" s="773"/>
      <c r="AA332" s="773"/>
      <c r="AB332" s="773"/>
      <c r="AC332" s="773"/>
      <c r="AD332" s="773"/>
      <c r="AE332" s="773"/>
      <c r="AF332" s="773"/>
      <c r="AG332" s="773"/>
      <c r="AH332" s="773"/>
      <c r="AI332" s="773"/>
      <c r="AJ332" s="773"/>
      <c r="AK332" s="773"/>
      <c r="AL332" s="773"/>
      <c r="AM332" s="913"/>
      <c r="AN332" s="886"/>
      <c r="AO332" s="884"/>
    </row>
    <row r="333" spans="1:41" ht="12" customHeight="1" x14ac:dyDescent="0.2">
      <c r="A333" s="771"/>
      <c r="B333" s="1266"/>
      <c r="C333" s="771"/>
      <c r="D333" s="771"/>
      <c r="E333" s="771"/>
      <c r="F333" s="771"/>
      <c r="G333" s="771"/>
      <c r="H333" s="771"/>
      <c r="I333" s="771"/>
      <c r="J333" s="771"/>
      <c r="K333" s="771"/>
      <c r="L333" s="771"/>
      <c r="M333" s="771"/>
      <c r="N333" s="771"/>
      <c r="O333" s="771"/>
      <c r="P333" s="771"/>
      <c r="Q333" s="771"/>
      <c r="R333" s="771"/>
      <c r="S333" s="771"/>
      <c r="T333" s="771"/>
      <c r="U333" s="773"/>
      <c r="V333" s="1266"/>
      <c r="W333" s="773"/>
      <c r="X333" s="773"/>
      <c r="Y333" s="773"/>
      <c r="Z333" s="773"/>
      <c r="AA333" s="773"/>
      <c r="AB333" s="773"/>
      <c r="AC333" s="773"/>
      <c r="AD333" s="773"/>
      <c r="AE333" s="773"/>
      <c r="AF333" s="773"/>
      <c r="AG333" s="773"/>
      <c r="AH333" s="773"/>
      <c r="AI333" s="773"/>
      <c r="AJ333" s="773"/>
      <c r="AK333" s="773"/>
      <c r="AL333" s="773"/>
      <c r="AM333" s="771"/>
      <c r="AN333" s="886"/>
      <c r="AO333" s="884"/>
    </row>
    <row r="334" spans="1:41" ht="12" customHeight="1" x14ac:dyDescent="0.2">
      <c r="A334" s="771"/>
      <c r="B334" s="1266"/>
      <c r="C334" s="771"/>
      <c r="D334" s="771"/>
      <c r="E334" s="771"/>
      <c r="F334" s="771"/>
      <c r="G334" s="771"/>
      <c r="H334" s="771"/>
      <c r="I334" s="771"/>
      <c r="J334" s="771"/>
      <c r="K334" s="771"/>
      <c r="L334" s="771"/>
      <c r="M334" s="771"/>
      <c r="N334" s="771"/>
      <c r="O334" s="771"/>
      <c r="P334" s="771"/>
      <c r="Q334" s="771"/>
      <c r="R334" s="771"/>
      <c r="S334" s="771"/>
      <c r="T334" s="771"/>
      <c r="U334" s="773"/>
      <c r="V334" s="1266"/>
      <c r="W334" s="773"/>
      <c r="X334" s="773"/>
      <c r="Y334" s="773"/>
      <c r="Z334" s="773"/>
      <c r="AA334" s="773"/>
      <c r="AB334" s="773"/>
      <c r="AC334" s="773"/>
      <c r="AD334" s="773"/>
      <c r="AE334" s="773"/>
      <c r="AF334" s="773"/>
      <c r="AG334" s="773"/>
      <c r="AH334" s="773"/>
      <c r="AI334" s="773"/>
      <c r="AJ334" s="773"/>
      <c r="AK334" s="773"/>
      <c r="AL334" s="773"/>
      <c r="AM334" s="771"/>
      <c r="AN334" s="886"/>
      <c r="AO334" s="884"/>
    </row>
    <row r="335" spans="1:41" ht="12" customHeight="1" x14ac:dyDescent="0.2">
      <c r="A335" s="771"/>
      <c r="B335" s="1266"/>
      <c r="C335" s="771"/>
      <c r="D335" s="927"/>
      <c r="E335" s="927"/>
      <c r="F335" s="927"/>
      <c r="G335" s="927"/>
      <c r="H335" s="927"/>
      <c r="I335" s="927"/>
      <c r="J335" s="927"/>
      <c r="K335" s="927"/>
      <c r="L335" s="927"/>
      <c r="M335" s="927"/>
      <c r="N335" s="927"/>
      <c r="O335" s="927"/>
      <c r="P335" s="927"/>
      <c r="Q335" s="927"/>
      <c r="R335" s="927"/>
      <c r="S335" s="771"/>
      <c r="T335" s="771"/>
      <c r="U335" s="773"/>
      <c r="V335" s="1266"/>
      <c r="W335" s="773"/>
      <c r="X335" s="887"/>
      <c r="Y335" s="887"/>
      <c r="Z335" s="887"/>
      <c r="AA335" s="887"/>
      <c r="AB335" s="887"/>
      <c r="AC335" s="887"/>
      <c r="AD335" s="887"/>
      <c r="AE335" s="887"/>
      <c r="AF335" s="887"/>
      <c r="AG335" s="887"/>
      <c r="AH335" s="887"/>
      <c r="AI335" s="887"/>
      <c r="AJ335" s="887"/>
      <c r="AK335" s="887"/>
      <c r="AL335" s="887"/>
      <c r="AM335" s="771"/>
      <c r="AN335" s="886"/>
      <c r="AO335" s="884"/>
    </row>
    <row r="336" spans="1:41" ht="12" customHeight="1" x14ac:dyDescent="0.2">
      <c r="A336" s="771"/>
      <c r="B336" s="1266"/>
      <c r="C336" s="771"/>
      <c r="D336" s="927"/>
      <c r="E336" s="927"/>
      <c r="F336" s="927"/>
      <c r="G336" s="927"/>
      <c r="H336" s="927"/>
      <c r="I336" s="927"/>
      <c r="J336" s="927"/>
      <c r="K336" s="928"/>
      <c r="L336" s="897"/>
      <c r="M336" s="897"/>
      <c r="N336" s="897"/>
      <c r="O336" s="897"/>
      <c r="P336" s="897"/>
      <c r="Q336" s="897"/>
      <c r="R336" s="919"/>
      <c r="S336" s="771"/>
      <c r="T336" s="771"/>
      <c r="U336" s="773"/>
      <c r="V336" s="1266"/>
      <c r="W336" s="773"/>
      <c r="X336" s="887"/>
      <c r="Y336" s="887"/>
      <c r="Z336" s="887"/>
      <c r="AA336" s="887"/>
      <c r="AB336" s="887"/>
      <c r="AC336" s="887"/>
      <c r="AD336" s="887"/>
      <c r="AE336" s="888"/>
      <c r="AF336" s="889"/>
      <c r="AG336" s="889"/>
      <c r="AH336" s="889"/>
      <c r="AI336" s="889"/>
      <c r="AJ336" s="889"/>
      <c r="AK336" s="889"/>
      <c r="AL336" s="890"/>
      <c r="AM336" s="771"/>
      <c r="AN336" s="886"/>
      <c r="AO336" s="884"/>
    </row>
    <row r="337" spans="1:41" ht="12" customHeight="1" x14ac:dyDescent="0.2">
      <c r="A337" s="771"/>
      <c r="B337" s="1266"/>
      <c r="C337" s="771"/>
      <c r="D337" s="927"/>
      <c r="E337" s="927"/>
      <c r="F337" s="927"/>
      <c r="G337" s="927"/>
      <c r="H337" s="927"/>
      <c r="I337" s="927"/>
      <c r="J337" s="927"/>
      <c r="K337" s="897"/>
      <c r="L337" s="897"/>
      <c r="M337" s="897"/>
      <c r="N337" s="897"/>
      <c r="O337" s="897"/>
      <c r="P337" s="897"/>
      <c r="Q337" s="897"/>
      <c r="R337" s="927"/>
      <c r="S337" s="771"/>
      <c r="T337" s="771"/>
      <c r="U337" s="773"/>
      <c r="V337" s="1266"/>
      <c r="W337" s="773"/>
      <c r="X337" s="887"/>
      <c r="Y337" s="887"/>
      <c r="Z337" s="887"/>
      <c r="AA337" s="887"/>
      <c r="AB337" s="887"/>
      <c r="AC337" s="887"/>
      <c r="AD337" s="887"/>
      <c r="AE337" s="889"/>
      <c r="AF337" s="889"/>
      <c r="AG337" s="889"/>
      <c r="AH337" s="889"/>
      <c r="AI337" s="889"/>
      <c r="AJ337" s="889"/>
      <c r="AK337" s="889"/>
      <c r="AL337" s="887"/>
      <c r="AM337" s="771"/>
      <c r="AN337" s="886"/>
      <c r="AO337" s="884"/>
    </row>
    <row r="338" spans="1:41" ht="12" customHeight="1" x14ac:dyDescent="0.2">
      <c r="A338" s="771"/>
      <c r="B338" s="1266"/>
      <c r="C338" s="771"/>
      <c r="D338" s="927"/>
      <c r="E338" s="927"/>
      <c r="F338" s="927"/>
      <c r="G338" s="927"/>
      <c r="H338" s="927"/>
      <c r="I338" s="927"/>
      <c r="J338" s="927"/>
      <c r="K338" s="928"/>
      <c r="L338" s="897"/>
      <c r="M338" s="897"/>
      <c r="N338" s="897"/>
      <c r="O338" s="897"/>
      <c r="P338" s="897"/>
      <c r="Q338" s="897"/>
      <c r="R338" s="927"/>
      <c r="S338" s="771"/>
      <c r="T338" s="771"/>
      <c r="U338" s="773"/>
      <c r="V338" s="1266"/>
      <c r="W338" s="773"/>
      <c r="X338" s="887"/>
      <c r="Y338" s="887"/>
      <c r="Z338" s="887"/>
      <c r="AA338" s="887"/>
      <c r="AB338" s="887"/>
      <c r="AC338" s="887"/>
      <c r="AD338" s="887"/>
      <c r="AE338" s="888"/>
      <c r="AF338" s="889"/>
      <c r="AG338" s="889"/>
      <c r="AH338" s="889"/>
      <c r="AI338" s="889"/>
      <c r="AJ338" s="889"/>
      <c r="AK338" s="889"/>
      <c r="AL338" s="887"/>
      <c r="AM338" s="771"/>
      <c r="AN338" s="886"/>
      <c r="AO338" s="884"/>
    </row>
    <row r="339" spans="1:41" ht="12" customHeight="1" x14ac:dyDescent="0.2">
      <c r="A339" s="771"/>
      <c r="B339" s="1266"/>
      <c r="C339" s="771"/>
      <c r="D339" s="927"/>
      <c r="E339" s="927"/>
      <c r="F339" s="927"/>
      <c r="G339" s="927"/>
      <c r="H339" s="927"/>
      <c r="I339" s="927"/>
      <c r="J339" s="927"/>
      <c r="K339" s="897"/>
      <c r="L339" s="897"/>
      <c r="M339" s="897"/>
      <c r="N339" s="897"/>
      <c r="O339" s="897"/>
      <c r="P339" s="897"/>
      <c r="Q339" s="897"/>
      <c r="R339" s="927"/>
      <c r="S339" s="771"/>
      <c r="T339" s="771"/>
      <c r="U339" s="773"/>
      <c r="V339" s="1266"/>
      <c r="W339" s="773"/>
      <c r="X339" s="887"/>
      <c r="Y339" s="887"/>
      <c r="Z339" s="887"/>
      <c r="AA339" s="887"/>
      <c r="AB339" s="887"/>
      <c r="AC339" s="887"/>
      <c r="AD339" s="887"/>
      <c r="AE339" s="889"/>
      <c r="AF339" s="889"/>
      <c r="AG339" s="889"/>
      <c r="AH339" s="889"/>
      <c r="AI339" s="889"/>
      <c r="AJ339" s="889"/>
      <c r="AK339" s="889"/>
      <c r="AL339" s="887"/>
      <c r="AM339" s="771"/>
      <c r="AN339" s="886"/>
      <c r="AO339" s="884"/>
    </row>
    <row r="340" spans="1:41" ht="12" customHeight="1" x14ac:dyDescent="0.2">
      <c r="A340" s="771"/>
      <c r="B340" s="1266"/>
      <c r="C340" s="771"/>
      <c r="D340" s="927"/>
      <c r="E340" s="927"/>
      <c r="F340" s="927"/>
      <c r="G340" s="927"/>
      <c r="H340" s="927"/>
      <c r="I340" s="927"/>
      <c r="J340" s="927"/>
      <c r="K340" s="927"/>
      <c r="L340" s="927"/>
      <c r="M340" s="927"/>
      <c r="N340" s="927"/>
      <c r="O340" s="927"/>
      <c r="P340" s="927"/>
      <c r="Q340" s="927"/>
      <c r="R340" s="927"/>
      <c r="S340" s="771"/>
      <c r="T340" s="771"/>
      <c r="U340" s="773"/>
      <c r="V340" s="1266"/>
      <c r="W340" s="773"/>
      <c r="X340" s="887"/>
      <c r="Y340" s="887"/>
      <c r="Z340" s="887"/>
      <c r="AA340" s="887"/>
      <c r="AB340" s="887"/>
      <c r="AC340" s="887"/>
      <c r="AD340" s="887"/>
      <c r="AE340" s="887"/>
      <c r="AF340" s="887"/>
      <c r="AG340" s="887"/>
      <c r="AH340" s="887"/>
      <c r="AI340" s="887"/>
      <c r="AJ340" s="887"/>
      <c r="AK340" s="887"/>
      <c r="AL340" s="887"/>
      <c r="AM340" s="771"/>
      <c r="AN340" s="886"/>
      <c r="AO340" s="884"/>
    </row>
    <row r="341" spans="1:41" ht="12" customHeight="1" x14ac:dyDescent="0.2">
      <c r="A341" s="771"/>
      <c r="B341" s="1266"/>
      <c r="C341" s="771"/>
      <c r="D341" s="771"/>
      <c r="E341" s="771"/>
      <c r="F341" s="771"/>
      <c r="G341" s="771"/>
      <c r="H341" s="771"/>
      <c r="I341" s="771"/>
      <c r="J341" s="771"/>
      <c r="K341" s="771"/>
      <c r="L341" s="771"/>
      <c r="M341" s="771"/>
      <c r="N341" s="771"/>
      <c r="O341" s="771"/>
      <c r="P341" s="771"/>
      <c r="Q341" s="771"/>
      <c r="R341" s="771"/>
      <c r="S341" s="771"/>
      <c r="T341" s="771"/>
      <c r="U341" s="773"/>
      <c r="V341" s="1266"/>
      <c r="W341" s="773"/>
      <c r="X341" s="773"/>
      <c r="Y341" s="773"/>
      <c r="Z341" s="773"/>
      <c r="AA341" s="773"/>
      <c r="AB341" s="773"/>
      <c r="AC341" s="773"/>
      <c r="AD341" s="773"/>
      <c r="AE341" s="773"/>
      <c r="AF341" s="773"/>
      <c r="AG341" s="773"/>
      <c r="AH341" s="773"/>
      <c r="AI341" s="773"/>
      <c r="AJ341" s="773"/>
      <c r="AK341" s="773"/>
      <c r="AL341" s="773"/>
      <c r="AM341" s="771"/>
      <c r="AN341" s="886"/>
      <c r="AO341" s="884"/>
    </row>
    <row r="342" spans="1:41" ht="12" customHeight="1" x14ac:dyDescent="0.2">
      <c r="A342" s="771"/>
      <c r="B342" s="1266"/>
      <c r="C342" s="771"/>
      <c r="D342" s="932"/>
      <c r="E342" s="932"/>
      <c r="F342" s="898"/>
      <c r="G342" s="898"/>
      <c r="H342" s="898"/>
      <c r="I342" s="898"/>
      <c r="J342" s="923"/>
      <c r="K342" s="771"/>
      <c r="L342" s="932"/>
      <c r="M342" s="932"/>
      <c r="N342" s="898"/>
      <c r="O342" s="898"/>
      <c r="P342" s="898"/>
      <c r="Q342" s="898"/>
      <c r="R342" s="923"/>
      <c r="S342" s="771"/>
      <c r="T342" s="771"/>
      <c r="U342" s="773"/>
      <c r="V342" s="1266"/>
      <c r="W342" s="773"/>
      <c r="X342" s="891"/>
      <c r="Y342" s="891"/>
      <c r="Z342" s="892"/>
      <c r="AA342" s="892"/>
      <c r="AB342" s="892"/>
      <c r="AC342" s="892"/>
      <c r="AD342" s="893"/>
      <c r="AE342" s="773"/>
      <c r="AF342" s="891"/>
      <c r="AG342" s="891"/>
      <c r="AH342" s="892"/>
      <c r="AI342" s="892"/>
      <c r="AJ342" s="892"/>
      <c r="AK342" s="892"/>
      <c r="AL342" s="893"/>
      <c r="AM342" s="771"/>
      <c r="AN342" s="886"/>
      <c r="AO342" s="884"/>
    </row>
    <row r="343" spans="1:41" ht="12" customHeight="1" x14ac:dyDescent="0.2">
      <c r="A343" s="771"/>
      <c r="B343" s="1266"/>
      <c r="C343" s="771"/>
      <c r="D343" s="933"/>
      <c r="E343" s="933"/>
      <c r="F343" s="898"/>
      <c r="G343" s="898"/>
      <c r="H343" s="898"/>
      <c r="I343" s="898"/>
      <c r="J343" s="900"/>
      <c r="K343" s="901"/>
      <c r="L343" s="933"/>
      <c r="M343" s="933"/>
      <c r="N343" s="898"/>
      <c r="O343" s="898"/>
      <c r="P343" s="898"/>
      <c r="Q343" s="898"/>
      <c r="R343" s="900"/>
      <c r="S343" s="771"/>
      <c r="T343" s="771"/>
      <c r="U343" s="773"/>
      <c r="V343" s="1266"/>
      <c r="W343" s="773"/>
      <c r="X343" s="894"/>
      <c r="Y343" s="894"/>
      <c r="Z343" s="892"/>
      <c r="AA343" s="892"/>
      <c r="AB343" s="892"/>
      <c r="AC343" s="892"/>
      <c r="AD343" s="895"/>
      <c r="AE343" s="896"/>
      <c r="AF343" s="894"/>
      <c r="AG343" s="894"/>
      <c r="AH343" s="892"/>
      <c r="AI343" s="892"/>
      <c r="AJ343" s="892"/>
      <c r="AK343" s="892"/>
      <c r="AL343" s="895"/>
      <c r="AM343" s="771"/>
      <c r="AN343" s="886"/>
      <c r="AO343" s="884"/>
    </row>
    <row r="344" spans="1:41" ht="12" customHeight="1" x14ac:dyDescent="0.2">
      <c r="A344" s="771"/>
      <c r="B344" s="1266"/>
      <c r="C344" s="771"/>
      <c r="D344" s="897"/>
      <c r="E344" s="897"/>
      <c r="F344" s="898"/>
      <c r="G344" s="898"/>
      <c r="H344" s="898"/>
      <c r="I344" s="899"/>
      <c r="J344" s="900"/>
      <c r="K344" s="901"/>
      <c r="L344" s="897"/>
      <c r="M344" s="897"/>
      <c r="N344" s="898"/>
      <c r="O344" s="898"/>
      <c r="P344" s="898"/>
      <c r="Q344" s="899"/>
      <c r="R344" s="900"/>
      <c r="S344" s="771"/>
      <c r="T344" s="771"/>
      <c r="U344" s="773"/>
      <c r="V344" s="1266"/>
      <c r="W344" s="773"/>
      <c r="X344" s="902"/>
      <c r="Y344" s="902"/>
      <c r="Z344" s="903"/>
      <c r="AA344" s="903"/>
      <c r="AB344" s="903"/>
      <c r="AC344" s="904"/>
      <c r="AD344" s="895"/>
      <c r="AE344" s="896"/>
      <c r="AF344" s="902"/>
      <c r="AG344" s="902"/>
      <c r="AH344" s="903"/>
      <c r="AI344" s="903"/>
      <c r="AJ344" s="903"/>
      <c r="AK344" s="904"/>
      <c r="AL344" s="895"/>
      <c r="AM344" s="771"/>
      <c r="AN344" s="886"/>
      <c r="AO344" s="884"/>
    </row>
    <row r="345" spans="1:41" ht="12" customHeight="1" x14ac:dyDescent="0.2">
      <c r="A345" s="771"/>
      <c r="B345" s="1266"/>
      <c r="C345" s="771"/>
      <c r="D345" s="771"/>
      <c r="E345" s="919"/>
      <c r="F345" s="919"/>
      <c r="G345" s="919"/>
      <c r="H345" s="919"/>
      <c r="I345" s="919"/>
      <c r="J345" s="919"/>
      <c r="K345" s="901"/>
      <c r="L345" s="771"/>
      <c r="M345" s="919"/>
      <c r="N345" s="919"/>
      <c r="O345" s="919"/>
      <c r="P345" s="919"/>
      <c r="Q345" s="919"/>
      <c r="R345" s="919"/>
      <c r="S345" s="771"/>
      <c r="T345" s="771"/>
      <c r="U345" s="773"/>
      <c r="V345" s="1266"/>
      <c r="W345" s="773"/>
      <c r="X345" s="773"/>
      <c r="Y345" s="905"/>
      <c r="Z345" s="905"/>
      <c r="AA345" s="905"/>
      <c r="AB345" s="905"/>
      <c r="AC345" s="905"/>
      <c r="AD345" s="905"/>
      <c r="AE345" s="896"/>
      <c r="AF345" s="773"/>
      <c r="AG345" s="905"/>
      <c r="AH345" s="905"/>
      <c r="AI345" s="905"/>
      <c r="AJ345" s="905"/>
      <c r="AK345" s="905"/>
      <c r="AL345" s="905"/>
      <c r="AM345" s="771"/>
      <c r="AN345" s="886"/>
      <c r="AO345" s="884"/>
    </row>
    <row r="346" spans="1:41" ht="12" customHeight="1" x14ac:dyDescent="0.2">
      <c r="A346" s="771"/>
      <c r="B346" s="1266"/>
      <c r="C346" s="771"/>
      <c r="D346" s="897"/>
      <c r="E346" s="920"/>
      <c r="F346" s="920"/>
      <c r="G346" s="920"/>
      <c r="H346" s="920"/>
      <c r="I346" s="920"/>
      <c r="J346" s="920"/>
      <c r="K346" s="913"/>
      <c r="L346" s="897"/>
      <c r="M346" s="920"/>
      <c r="N346" s="920"/>
      <c r="O346" s="920"/>
      <c r="P346" s="920"/>
      <c r="Q346" s="920"/>
      <c r="R346" s="920"/>
      <c r="S346" s="771"/>
      <c r="T346" s="771"/>
      <c r="U346" s="773"/>
      <c r="V346" s="1266"/>
      <c r="W346" s="773"/>
      <c r="X346" s="902"/>
      <c r="Y346" s="906"/>
      <c r="Z346" s="906"/>
      <c r="AA346" s="906"/>
      <c r="AB346" s="906"/>
      <c r="AC346" s="906"/>
      <c r="AD346" s="906"/>
      <c r="AE346" s="907"/>
      <c r="AF346" s="902"/>
      <c r="AG346" s="906"/>
      <c r="AH346" s="906"/>
      <c r="AI346" s="906"/>
      <c r="AJ346" s="906"/>
      <c r="AK346" s="906"/>
      <c r="AL346" s="906"/>
      <c r="AM346" s="771"/>
      <c r="AN346" s="886"/>
      <c r="AO346" s="884"/>
    </row>
    <row r="347" spans="1:41" ht="12" customHeight="1" x14ac:dyDescent="0.2">
      <c r="A347" s="771"/>
      <c r="B347" s="1266"/>
      <c r="C347" s="771"/>
      <c r="D347" s="897"/>
      <c r="E347" s="920"/>
      <c r="F347" s="920"/>
      <c r="G347" s="920"/>
      <c r="H347" s="920"/>
      <c r="I347" s="920"/>
      <c r="J347" s="920"/>
      <c r="K347" s="918"/>
      <c r="L347" s="897"/>
      <c r="M347" s="920"/>
      <c r="N347" s="920"/>
      <c r="O347" s="920"/>
      <c r="P347" s="920"/>
      <c r="Q347" s="920"/>
      <c r="R347" s="920"/>
      <c r="S347" s="771"/>
      <c r="T347" s="771"/>
      <c r="U347" s="773"/>
      <c r="V347" s="1266"/>
      <c r="W347" s="773"/>
      <c r="X347" s="902"/>
      <c r="Y347" s="906"/>
      <c r="Z347" s="906"/>
      <c r="AA347" s="906"/>
      <c r="AB347" s="906"/>
      <c r="AC347" s="906"/>
      <c r="AD347" s="906"/>
      <c r="AE347" s="820"/>
      <c r="AF347" s="902"/>
      <c r="AG347" s="906"/>
      <c r="AH347" s="906"/>
      <c r="AI347" s="906"/>
      <c r="AJ347" s="906"/>
      <c r="AK347" s="906"/>
      <c r="AL347" s="906"/>
      <c r="AM347" s="771"/>
      <c r="AN347" s="886"/>
      <c r="AO347" s="884"/>
    </row>
    <row r="348" spans="1:41" ht="12" customHeight="1" x14ac:dyDescent="0.2">
      <c r="A348" s="771"/>
      <c r="B348" s="1266"/>
      <c r="C348" s="771"/>
      <c r="D348" s="918"/>
      <c r="E348" s="921"/>
      <c r="F348" s="921"/>
      <c r="G348" s="921"/>
      <c r="H348" s="921"/>
      <c r="I348" s="921"/>
      <c r="J348" s="921"/>
      <c r="K348" s="913"/>
      <c r="L348" s="918"/>
      <c r="M348" s="921"/>
      <c r="N348" s="921"/>
      <c r="O348" s="921"/>
      <c r="P348" s="921"/>
      <c r="Q348" s="921"/>
      <c r="R348" s="921"/>
      <c r="S348" s="771"/>
      <c r="T348" s="771"/>
      <c r="U348" s="773"/>
      <c r="V348" s="1266"/>
      <c r="W348" s="773"/>
      <c r="X348" s="820"/>
      <c r="Y348" s="908"/>
      <c r="Z348" s="908"/>
      <c r="AA348" s="908"/>
      <c r="AB348" s="908"/>
      <c r="AC348" s="908"/>
      <c r="AD348" s="908"/>
      <c r="AE348" s="909"/>
      <c r="AF348" s="820"/>
      <c r="AG348" s="908"/>
      <c r="AH348" s="908"/>
      <c r="AI348" s="908"/>
      <c r="AJ348" s="908"/>
      <c r="AK348" s="908"/>
      <c r="AL348" s="908"/>
      <c r="AM348" s="771"/>
      <c r="AN348" s="886"/>
      <c r="AO348" s="884"/>
    </row>
    <row r="349" spans="1:41" ht="12" customHeight="1" x14ac:dyDescent="0.2">
      <c r="A349" s="771"/>
      <c r="B349" s="1266"/>
      <c r="C349" s="771"/>
      <c r="D349" s="929"/>
      <c r="E349" s="922"/>
      <c r="F349" s="922"/>
      <c r="G349" s="922"/>
      <c r="H349" s="922"/>
      <c r="I349" s="922"/>
      <c r="J349" s="922"/>
      <c r="K349" s="913"/>
      <c r="L349" s="929"/>
      <c r="M349" s="922"/>
      <c r="N349" s="922"/>
      <c r="O349" s="922"/>
      <c r="P349" s="922"/>
      <c r="Q349" s="922"/>
      <c r="R349" s="922"/>
      <c r="S349" s="771"/>
      <c r="T349" s="771"/>
      <c r="U349" s="773"/>
      <c r="V349" s="1266"/>
      <c r="W349" s="773"/>
      <c r="X349" s="910"/>
      <c r="Y349" s="911"/>
      <c r="Z349" s="911"/>
      <c r="AA349" s="911"/>
      <c r="AB349" s="911"/>
      <c r="AC349" s="911"/>
      <c r="AD349" s="911"/>
      <c r="AE349" s="909"/>
      <c r="AF349" s="910"/>
      <c r="AG349" s="911"/>
      <c r="AH349" s="911"/>
      <c r="AI349" s="911"/>
      <c r="AJ349" s="911"/>
      <c r="AK349" s="911"/>
      <c r="AL349" s="911"/>
      <c r="AM349" s="771"/>
      <c r="AN349" s="886"/>
      <c r="AO349" s="884"/>
    </row>
    <row r="350" spans="1:41" ht="12" customHeight="1" x14ac:dyDescent="0.2">
      <c r="A350" s="771"/>
      <c r="B350" s="1266"/>
      <c r="C350" s="771"/>
      <c r="D350" s="927"/>
      <c r="E350" s="922"/>
      <c r="F350" s="922"/>
      <c r="G350" s="922"/>
      <c r="H350" s="922"/>
      <c r="I350" s="922"/>
      <c r="J350" s="922"/>
      <c r="K350" s="913"/>
      <c r="L350" s="927"/>
      <c r="M350" s="922"/>
      <c r="N350" s="922"/>
      <c r="O350" s="922"/>
      <c r="P350" s="922"/>
      <c r="Q350" s="922"/>
      <c r="R350" s="922"/>
      <c r="S350" s="771"/>
      <c r="T350" s="771"/>
      <c r="U350" s="773"/>
      <c r="V350" s="1266"/>
      <c r="W350" s="773"/>
      <c r="X350" s="887"/>
      <c r="Y350" s="911"/>
      <c r="Z350" s="911"/>
      <c r="AA350" s="911"/>
      <c r="AB350" s="911"/>
      <c r="AC350" s="911"/>
      <c r="AD350" s="911"/>
      <c r="AE350" s="909"/>
      <c r="AF350" s="887"/>
      <c r="AG350" s="911"/>
      <c r="AH350" s="911"/>
      <c r="AI350" s="911"/>
      <c r="AJ350" s="911"/>
      <c r="AK350" s="911"/>
      <c r="AL350" s="911"/>
      <c r="AM350" s="771"/>
      <c r="AN350" s="886"/>
      <c r="AO350" s="884"/>
    </row>
    <row r="351" spans="1:41" ht="12" customHeight="1" x14ac:dyDescent="0.2">
      <c r="A351" s="771"/>
      <c r="B351" s="1266"/>
      <c r="C351" s="771"/>
      <c r="D351" s="927"/>
      <c r="E351" s="922"/>
      <c r="F351" s="922"/>
      <c r="G351" s="922"/>
      <c r="H351" s="922"/>
      <c r="I351" s="922"/>
      <c r="J351" s="922"/>
      <c r="K351" s="913"/>
      <c r="L351" s="927"/>
      <c r="M351" s="922"/>
      <c r="N351" s="922"/>
      <c r="O351" s="922"/>
      <c r="P351" s="922"/>
      <c r="Q351" s="922"/>
      <c r="R351" s="922"/>
      <c r="S351" s="771"/>
      <c r="T351" s="771"/>
      <c r="U351" s="773"/>
      <c r="V351" s="1266"/>
      <c r="W351" s="773"/>
      <c r="X351" s="887"/>
      <c r="Y351" s="911"/>
      <c r="Z351" s="911"/>
      <c r="AA351" s="911"/>
      <c r="AB351" s="911"/>
      <c r="AC351" s="911"/>
      <c r="AD351" s="911"/>
      <c r="AE351" s="909"/>
      <c r="AF351" s="887"/>
      <c r="AG351" s="911"/>
      <c r="AH351" s="911"/>
      <c r="AI351" s="911"/>
      <c r="AJ351" s="911"/>
      <c r="AK351" s="911"/>
      <c r="AL351" s="911"/>
      <c r="AM351" s="771"/>
      <c r="AN351" s="886"/>
      <c r="AO351" s="884"/>
    </row>
    <row r="352" spans="1:41" ht="12" customHeight="1" x14ac:dyDescent="0.2">
      <c r="A352" s="771"/>
      <c r="B352" s="1266"/>
      <c r="C352" s="771"/>
      <c r="D352" s="927"/>
      <c r="E352" s="927"/>
      <c r="F352" s="927"/>
      <c r="G352" s="927"/>
      <c r="H352" s="927"/>
      <c r="I352" s="927"/>
      <c r="J352" s="927"/>
      <c r="K352" s="913"/>
      <c r="L352" s="913"/>
      <c r="M352" s="913"/>
      <c r="N352" s="930"/>
      <c r="O352" s="913"/>
      <c r="P352" s="913"/>
      <c r="Q352" s="913"/>
      <c r="R352" s="913"/>
      <c r="S352" s="771"/>
      <c r="T352" s="771"/>
      <c r="U352" s="773"/>
      <c r="V352" s="1266"/>
      <c r="W352" s="773"/>
      <c r="X352" s="887"/>
      <c r="Y352" s="887"/>
      <c r="Z352" s="887"/>
      <c r="AA352" s="887"/>
      <c r="AB352" s="887"/>
      <c r="AC352" s="887"/>
      <c r="AD352" s="887"/>
      <c r="AE352" s="909"/>
      <c r="AF352" s="909"/>
      <c r="AG352" s="907"/>
      <c r="AH352" s="912"/>
      <c r="AI352" s="909"/>
      <c r="AJ352" s="909"/>
      <c r="AK352" s="909"/>
      <c r="AL352" s="909"/>
      <c r="AM352" s="771"/>
      <c r="AN352" s="886"/>
      <c r="AO352" s="884"/>
    </row>
    <row r="353" spans="1:41" ht="12" customHeight="1" x14ac:dyDescent="0.2">
      <c r="A353" s="771"/>
      <c r="B353" s="1266"/>
      <c r="C353" s="771"/>
      <c r="D353" s="932"/>
      <c r="E353" s="932"/>
      <c r="F353" s="898"/>
      <c r="G353" s="898"/>
      <c r="H353" s="898"/>
      <c r="I353" s="898"/>
      <c r="J353" s="923"/>
      <c r="K353" s="913"/>
      <c r="L353" s="932"/>
      <c r="M353" s="932"/>
      <c r="N353" s="898"/>
      <c r="O353" s="898"/>
      <c r="P353" s="898"/>
      <c r="Q353" s="898"/>
      <c r="R353" s="923"/>
      <c r="S353" s="771"/>
      <c r="T353" s="771"/>
      <c r="U353" s="773"/>
      <c r="V353" s="1266"/>
      <c r="W353" s="773"/>
      <c r="X353" s="891"/>
      <c r="Y353" s="891"/>
      <c r="Z353" s="892"/>
      <c r="AA353" s="892"/>
      <c r="AB353" s="892"/>
      <c r="AC353" s="892"/>
      <c r="AD353" s="893"/>
      <c r="AE353" s="909"/>
      <c r="AF353" s="891"/>
      <c r="AG353" s="891"/>
      <c r="AH353" s="892"/>
      <c r="AI353" s="892"/>
      <c r="AJ353" s="892"/>
      <c r="AK353" s="892"/>
      <c r="AL353" s="893"/>
      <c r="AM353" s="771"/>
      <c r="AN353" s="886"/>
      <c r="AO353" s="884"/>
    </row>
    <row r="354" spans="1:41" ht="12" customHeight="1" x14ac:dyDescent="0.2">
      <c r="A354" s="771"/>
      <c r="B354" s="1266"/>
      <c r="C354" s="771"/>
      <c r="D354" s="933"/>
      <c r="E354" s="933"/>
      <c r="F354" s="898"/>
      <c r="G354" s="898"/>
      <c r="H354" s="898"/>
      <c r="I354" s="898"/>
      <c r="J354" s="900"/>
      <c r="K354" s="913"/>
      <c r="L354" s="933"/>
      <c r="M354" s="933"/>
      <c r="N354" s="898"/>
      <c r="O354" s="898"/>
      <c r="P354" s="898"/>
      <c r="Q354" s="898"/>
      <c r="R354" s="900"/>
      <c r="S354" s="771"/>
      <c r="T354" s="771"/>
      <c r="U354" s="773"/>
      <c r="V354" s="1266"/>
      <c r="W354" s="773"/>
      <c r="X354" s="894"/>
      <c r="Y354" s="894"/>
      <c r="Z354" s="892"/>
      <c r="AA354" s="892"/>
      <c r="AB354" s="892"/>
      <c r="AC354" s="892"/>
      <c r="AD354" s="895"/>
      <c r="AE354" s="909"/>
      <c r="AF354" s="894"/>
      <c r="AG354" s="894"/>
      <c r="AH354" s="892"/>
      <c r="AI354" s="892"/>
      <c r="AJ354" s="892"/>
      <c r="AK354" s="892"/>
      <c r="AL354" s="895"/>
      <c r="AM354" s="771"/>
      <c r="AN354" s="886"/>
      <c r="AO354" s="884"/>
    </row>
    <row r="355" spans="1:41" ht="12" customHeight="1" x14ac:dyDescent="0.2">
      <c r="A355" s="771"/>
      <c r="B355" s="1266"/>
      <c r="C355" s="771"/>
      <c r="D355" s="897"/>
      <c r="E355" s="897"/>
      <c r="F355" s="898"/>
      <c r="G355" s="898"/>
      <c r="H355" s="898"/>
      <c r="I355" s="899"/>
      <c r="J355" s="900"/>
      <c r="K355" s="913"/>
      <c r="L355" s="897"/>
      <c r="M355" s="897"/>
      <c r="N355" s="898"/>
      <c r="O355" s="898"/>
      <c r="P355" s="898"/>
      <c r="Q355" s="899"/>
      <c r="R355" s="900"/>
      <c r="S355" s="771"/>
      <c r="T355" s="771"/>
      <c r="U355" s="773"/>
      <c r="V355" s="1266"/>
      <c r="W355" s="773"/>
      <c r="X355" s="902"/>
      <c r="Y355" s="902"/>
      <c r="Z355" s="903"/>
      <c r="AA355" s="903"/>
      <c r="AB355" s="903"/>
      <c r="AC355" s="904"/>
      <c r="AD355" s="895"/>
      <c r="AE355" s="909"/>
      <c r="AF355" s="902"/>
      <c r="AG355" s="902"/>
      <c r="AH355" s="903"/>
      <c r="AI355" s="903"/>
      <c r="AJ355" s="903"/>
      <c r="AK355" s="904"/>
      <c r="AL355" s="895"/>
      <c r="AM355" s="771"/>
      <c r="AN355" s="886"/>
      <c r="AO355" s="884"/>
    </row>
    <row r="356" spans="1:41" ht="12" customHeight="1" x14ac:dyDescent="0.2">
      <c r="A356" s="771"/>
      <c r="B356" s="1266"/>
      <c r="C356" s="771"/>
      <c r="D356" s="771"/>
      <c r="E356" s="919"/>
      <c r="F356" s="919"/>
      <c r="G356" s="919"/>
      <c r="H356" s="919"/>
      <c r="I356" s="919"/>
      <c r="J356" s="919"/>
      <c r="K356" s="913"/>
      <c r="L356" s="771"/>
      <c r="M356" s="919"/>
      <c r="N356" s="919"/>
      <c r="O356" s="919"/>
      <c r="P356" s="919"/>
      <c r="Q356" s="919"/>
      <c r="R356" s="919"/>
      <c r="S356" s="771"/>
      <c r="T356" s="771"/>
      <c r="U356" s="773"/>
      <c r="V356" s="1266"/>
      <c r="W356" s="773"/>
      <c r="X356" s="773"/>
      <c r="Y356" s="905"/>
      <c r="Z356" s="905"/>
      <c r="AA356" s="905"/>
      <c r="AB356" s="905"/>
      <c r="AC356" s="905"/>
      <c r="AD356" s="905"/>
      <c r="AE356" s="909"/>
      <c r="AF356" s="773"/>
      <c r="AG356" s="905"/>
      <c r="AH356" s="905"/>
      <c r="AI356" s="905"/>
      <c r="AJ356" s="905"/>
      <c r="AK356" s="905"/>
      <c r="AL356" s="905"/>
      <c r="AM356" s="771"/>
      <c r="AN356" s="886"/>
      <c r="AO356" s="884"/>
    </row>
    <row r="357" spans="1:41" ht="12" customHeight="1" x14ac:dyDescent="0.2">
      <c r="A357" s="771"/>
      <c r="B357" s="1266"/>
      <c r="C357" s="771"/>
      <c r="D357" s="897"/>
      <c r="E357" s="920"/>
      <c r="F357" s="920"/>
      <c r="G357" s="920"/>
      <c r="H357" s="920"/>
      <c r="I357" s="920"/>
      <c r="J357" s="920"/>
      <c r="K357" s="918"/>
      <c r="L357" s="897"/>
      <c r="M357" s="920"/>
      <c r="N357" s="920"/>
      <c r="O357" s="920"/>
      <c r="P357" s="920"/>
      <c r="Q357" s="920"/>
      <c r="R357" s="920"/>
      <c r="S357" s="771"/>
      <c r="T357" s="771"/>
      <c r="U357" s="773"/>
      <c r="V357" s="1266"/>
      <c r="W357" s="773"/>
      <c r="X357" s="902"/>
      <c r="Y357" s="906"/>
      <c r="Z357" s="906"/>
      <c r="AA357" s="906"/>
      <c r="AB357" s="906"/>
      <c r="AC357" s="906"/>
      <c r="AD357" s="906"/>
      <c r="AE357" s="914"/>
      <c r="AF357" s="902"/>
      <c r="AG357" s="906"/>
      <c r="AH357" s="906"/>
      <c r="AI357" s="906"/>
      <c r="AJ357" s="906"/>
      <c r="AK357" s="906"/>
      <c r="AL357" s="906"/>
      <c r="AM357" s="771"/>
      <c r="AN357" s="886"/>
      <c r="AO357" s="884"/>
    </row>
    <row r="358" spans="1:41" ht="12" customHeight="1" x14ac:dyDescent="0.2">
      <c r="A358" s="771"/>
      <c r="B358" s="1266"/>
      <c r="C358" s="771"/>
      <c r="D358" s="897"/>
      <c r="E358" s="920"/>
      <c r="F358" s="920"/>
      <c r="G358" s="920"/>
      <c r="H358" s="920"/>
      <c r="I358" s="920"/>
      <c r="J358" s="920"/>
      <c r="K358" s="918"/>
      <c r="L358" s="897"/>
      <c r="M358" s="920"/>
      <c r="N358" s="920"/>
      <c r="O358" s="920"/>
      <c r="P358" s="920"/>
      <c r="Q358" s="920"/>
      <c r="R358" s="920"/>
      <c r="S358" s="771"/>
      <c r="T358" s="771"/>
      <c r="U358" s="773"/>
      <c r="V358" s="1266"/>
      <c r="W358" s="773"/>
      <c r="X358" s="902"/>
      <c r="Y358" s="906"/>
      <c r="Z358" s="906"/>
      <c r="AA358" s="906"/>
      <c r="AB358" s="906"/>
      <c r="AC358" s="906"/>
      <c r="AD358" s="906"/>
      <c r="AE358" s="914"/>
      <c r="AF358" s="902"/>
      <c r="AG358" s="906"/>
      <c r="AH358" s="906"/>
      <c r="AI358" s="906"/>
      <c r="AJ358" s="906"/>
      <c r="AK358" s="906"/>
      <c r="AL358" s="906"/>
      <c r="AM358" s="771"/>
      <c r="AN358" s="886"/>
      <c r="AO358" s="884"/>
    </row>
    <row r="359" spans="1:41" ht="12" customHeight="1" x14ac:dyDescent="0.2">
      <c r="A359" s="771"/>
      <c r="B359" s="1266"/>
      <c r="C359" s="771"/>
      <c r="D359" s="918"/>
      <c r="E359" s="921"/>
      <c r="F359" s="921"/>
      <c r="G359" s="921"/>
      <c r="H359" s="921"/>
      <c r="I359" s="921"/>
      <c r="J359" s="921"/>
      <c r="K359" s="918"/>
      <c r="L359" s="918"/>
      <c r="M359" s="921"/>
      <c r="N359" s="921"/>
      <c r="O359" s="921"/>
      <c r="P359" s="921"/>
      <c r="Q359" s="921"/>
      <c r="R359" s="921"/>
      <c r="S359" s="771"/>
      <c r="T359" s="771"/>
      <c r="U359" s="773"/>
      <c r="V359" s="1266"/>
      <c r="W359" s="773"/>
      <c r="X359" s="820"/>
      <c r="Y359" s="908"/>
      <c r="Z359" s="908"/>
      <c r="AA359" s="908"/>
      <c r="AB359" s="908"/>
      <c r="AC359" s="908"/>
      <c r="AD359" s="908"/>
      <c r="AE359" s="820"/>
      <c r="AF359" s="820"/>
      <c r="AG359" s="908"/>
      <c r="AH359" s="908"/>
      <c r="AI359" s="908"/>
      <c r="AJ359" s="908"/>
      <c r="AK359" s="908"/>
      <c r="AL359" s="908"/>
      <c r="AM359" s="771"/>
      <c r="AN359" s="886"/>
      <c r="AO359" s="884"/>
    </row>
    <row r="360" spans="1:41" ht="12" customHeight="1" x14ac:dyDescent="0.2">
      <c r="A360" s="771"/>
      <c r="B360" s="1266"/>
      <c r="C360" s="771"/>
      <c r="D360" s="929"/>
      <c r="E360" s="922"/>
      <c r="F360" s="922"/>
      <c r="G360" s="922"/>
      <c r="H360" s="922"/>
      <c r="I360" s="922"/>
      <c r="J360" s="922"/>
      <c r="K360" s="776"/>
      <c r="L360" s="929"/>
      <c r="M360" s="922"/>
      <c r="N360" s="922"/>
      <c r="O360" s="922"/>
      <c r="P360" s="922"/>
      <c r="Q360" s="922"/>
      <c r="R360" s="922"/>
      <c r="S360" s="771"/>
      <c r="T360" s="771"/>
      <c r="U360" s="773"/>
      <c r="V360" s="1266"/>
      <c r="W360" s="773"/>
      <c r="X360" s="910"/>
      <c r="Y360" s="911"/>
      <c r="Z360" s="911"/>
      <c r="AA360" s="911"/>
      <c r="AB360" s="911"/>
      <c r="AC360" s="911"/>
      <c r="AD360" s="911"/>
      <c r="AE360" s="915"/>
      <c r="AF360" s="910"/>
      <c r="AG360" s="911"/>
      <c r="AH360" s="911"/>
      <c r="AI360" s="911"/>
      <c r="AJ360" s="911"/>
      <c r="AK360" s="911"/>
      <c r="AL360" s="911"/>
      <c r="AM360" s="771"/>
      <c r="AN360" s="886"/>
      <c r="AO360" s="884"/>
    </row>
    <row r="361" spans="1:41" ht="12" customHeight="1" x14ac:dyDescent="0.2">
      <c r="A361" s="771"/>
      <c r="B361" s="1266"/>
      <c r="C361" s="771"/>
      <c r="D361" s="927"/>
      <c r="E361" s="922"/>
      <c r="F361" s="922"/>
      <c r="G361" s="922"/>
      <c r="H361" s="922"/>
      <c r="I361" s="922"/>
      <c r="J361" s="922"/>
      <c r="K361" s="918"/>
      <c r="L361" s="927"/>
      <c r="M361" s="922"/>
      <c r="N361" s="922"/>
      <c r="O361" s="922"/>
      <c r="P361" s="922"/>
      <c r="Q361" s="922"/>
      <c r="R361" s="922"/>
      <c r="S361" s="771"/>
      <c r="T361" s="771"/>
      <c r="U361" s="773"/>
      <c r="V361" s="1266"/>
      <c r="W361" s="773"/>
      <c r="X361" s="887"/>
      <c r="Y361" s="911"/>
      <c r="Z361" s="911"/>
      <c r="AA361" s="911"/>
      <c r="AB361" s="911"/>
      <c r="AC361" s="911"/>
      <c r="AD361" s="911"/>
      <c r="AE361" s="914"/>
      <c r="AF361" s="887"/>
      <c r="AG361" s="911"/>
      <c r="AH361" s="911"/>
      <c r="AI361" s="911"/>
      <c r="AJ361" s="911"/>
      <c r="AK361" s="911"/>
      <c r="AL361" s="911"/>
      <c r="AM361" s="771"/>
      <c r="AN361" s="886"/>
      <c r="AO361" s="884"/>
    </row>
    <row r="362" spans="1:41" ht="12" customHeight="1" x14ac:dyDescent="0.2">
      <c r="A362" s="771"/>
      <c r="B362" s="1266"/>
      <c r="C362" s="771"/>
      <c r="D362" s="927"/>
      <c r="E362" s="922"/>
      <c r="F362" s="922"/>
      <c r="G362" s="922"/>
      <c r="H362" s="922"/>
      <c r="I362" s="922"/>
      <c r="J362" s="922"/>
      <c r="K362" s="918"/>
      <c r="L362" s="927"/>
      <c r="M362" s="922"/>
      <c r="N362" s="922"/>
      <c r="O362" s="922"/>
      <c r="P362" s="922"/>
      <c r="Q362" s="922"/>
      <c r="R362" s="922"/>
      <c r="S362" s="771"/>
      <c r="T362" s="771"/>
      <c r="U362" s="773"/>
      <c r="V362" s="1266"/>
      <c r="W362" s="773"/>
      <c r="X362" s="887"/>
      <c r="Y362" s="911"/>
      <c r="Z362" s="911"/>
      <c r="AA362" s="911"/>
      <c r="AB362" s="911"/>
      <c r="AC362" s="911"/>
      <c r="AD362" s="911"/>
      <c r="AE362" s="914"/>
      <c r="AF362" s="887"/>
      <c r="AG362" s="911"/>
      <c r="AH362" s="911"/>
      <c r="AI362" s="911"/>
      <c r="AJ362" s="911"/>
      <c r="AK362" s="911"/>
      <c r="AL362" s="911"/>
      <c r="AM362" s="771"/>
      <c r="AN362" s="886"/>
      <c r="AO362" s="884"/>
    </row>
    <row r="363" spans="1:41" ht="12" customHeight="1" x14ac:dyDescent="0.2">
      <c r="A363" s="771"/>
      <c r="B363" s="1266"/>
      <c r="C363" s="771"/>
      <c r="D363" s="771"/>
      <c r="E363" s="771"/>
      <c r="F363" s="771"/>
      <c r="G363" s="771"/>
      <c r="H363" s="771"/>
      <c r="I363" s="918"/>
      <c r="J363" s="918"/>
      <c r="K363" s="931"/>
      <c r="L363" s="921"/>
      <c r="M363" s="913"/>
      <c r="N363" s="913"/>
      <c r="O363" s="913"/>
      <c r="P363" s="913"/>
      <c r="Q363" s="913"/>
      <c r="R363" s="913"/>
      <c r="S363" s="771"/>
      <c r="T363" s="771"/>
      <c r="U363" s="773"/>
      <c r="V363" s="1266"/>
      <c r="W363" s="773"/>
      <c r="X363" s="773"/>
      <c r="Y363" s="773"/>
      <c r="Z363" s="773"/>
      <c r="AA363" s="773"/>
      <c r="AB363" s="773"/>
      <c r="AC363" s="820"/>
      <c r="AD363" s="820"/>
      <c r="AE363" s="916"/>
      <c r="AF363" s="917"/>
      <c r="AG363" s="907"/>
      <c r="AH363" s="909"/>
      <c r="AI363" s="909"/>
      <c r="AJ363" s="909"/>
      <c r="AK363" s="909"/>
      <c r="AL363" s="909"/>
      <c r="AM363" s="771"/>
      <c r="AN363" s="886"/>
      <c r="AO363" s="884"/>
    </row>
    <row r="364" spans="1:41" ht="12" customHeight="1" x14ac:dyDescent="0.2">
      <c r="A364" s="771"/>
      <c r="B364" s="1266"/>
      <c r="C364" s="771"/>
      <c r="D364" s="932"/>
      <c r="E364" s="932"/>
      <c r="F364" s="898"/>
      <c r="G364" s="898"/>
      <c r="H364" s="898"/>
      <c r="I364" s="898"/>
      <c r="J364" s="923"/>
      <c r="K364" s="931"/>
      <c r="L364" s="932"/>
      <c r="M364" s="932"/>
      <c r="N364" s="898"/>
      <c r="O364" s="898"/>
      <c r="P364" s="898"/>
      <c r="Q364" s="898"/>
      <c r="R364" s="923"/>
      <c r="S364" s="771"/>
      <c r="T364" s="771"/>
      <c r="U364" s="773"/>
      <c r="V364" s="1266"/>
      <c r="W364" s="773"/>
      <c r="X364" s="891"/>
      <c r="Y364" s="891"/>
      <c r="Z364" s="892"/>
      <c r="AA364" s="892"/>
      <c r="AB364" s="892"/>
      <c r="AC364" s="892"/>
      <c r="AD364" s="893"/>
      <c r="AE364" s="916"/>
      <c r="AF364" s="891"/>
      <c r="AG364" s="891"/>
      <c r="AH364" s="892"/>
      <c r="AI364" s="892"/>
      <c r="AJ364" s="892"/>
      <c r="AK364" s="892"/>
      <c r="AL364" s="893"/>
      <c r="AM364" s="771"/>
      <c r="AN364" s="886"/>
      <c r="AO364" s="884"/>
    </row>
    <row r="365" spans="1:41" ht="12" customHeight="1" x14ac:dyDescent="0.2">
      <c r="A365" s="771"/>
      <c r="B365" s="1266"/>
      <c r="C365" s="771"/>
      <c r="D365" s="933"/>
      <c r="E365" s="933"/>
      <c r="F365" s="898"/>
      <c r="G365" s="898"/>
      <c r="H365" s="898"/>
      <c r="I365" s="898"/>
      <c r="J365" s="900"/>
      <c r="K365" s="913"/>
      <c r="L365" s="933"/>
      <c r="M365" s="933"/>
      <c r="N365" s="898"/>
      <c r="O365" s="898"/>
      <c r="P365" s="898"/>
      <c r="Q365" s="898"/>
      <c r="R365" s="900"/>
      <c r="S365" s="771"/>
      <c r="T365" s="771"/>
      <c r="U365" s="773"/>
      <c r="V365" s="1266"/>
      <c r="W365" s="773"/>
      <c r="X365" s="894"/>
      <c r="Y365" s="894"/>
      <c r="Z365" s="892"/>
      <c r="AA365" s="892"/>
      <c r="AB365" s="892"/>
      <c r="AC365" s="892"/>
      <c r="AD365" s="895"/>
      <c r="AE365" s="909"/>
      <c r="AF365" s="894"/>
      <c r="AG365" s="894"/>
      <c r="AH365" s="892"/>
      <c r="AI365" s="892"/>
      <c r="AJ365" s="892"/>
      <c r="AK365" s="892"/>
      <c r="AL365" s="895"/>
      <c r="AM365" s="771"/>
      <c r="AN365" s="886"/>
      <c r="AO365" s="884"/>
    </row>
    <row r="366" spans="1:41" ht="12" customHeight="1" x14ac:dyDescent="0.2">
      <c r="A366" s="771"/>
      <c r="B366" s="1266"/>
      <c r="C366" s="771"/>
      <c r="D366" s="897"/>
      <c r="E366" s="897"/>
      <c r="F366" s="898"/>
      <c r="G366" s="898"/>
      <c r="H366" s="898"/>
      <c r="I366" s="899"/>
      <c r="J366" s="900"/>
      <c r="K366" s="918"/>
      <c r="L366" s="897"/>
      <c r="M366" s="897"/>
      <c r="N366" s="898"/>
      <c r="O366" s="898"/>
      <c r="P366" s="898"/>
      <c r="Q366" s="899"/>
      <c r="R366" s="900"/>
      <c r="S366" s="771"/>
      <c r="T366" s="771"/>
      <c r="U366" s="773"/>
      <c r="V366" s="1266"/>
      <c r="W366" s="773"/>
      <c r="X366" s="902"/>
      <c r="Y366" s="902"/>
      <c r="Z366" s="903"/>
      <c r="AA366" s="903"/>
      <c r="AB366" s="903"/>
      <c r="AC366" s="904"/>
      <c r="AD366" s="895"/>
      <c r="AE366" s="914"/>
      <c r="AF366" s="902"/>
      <c r="AG366" s="902"/>
      <c r="AH366" s="903"/>
      <c r="AI366" s="903"/>
      <c r="AJ366" s="903"/>
      <c r="AK366" s="904"/>
      <c r="AL366" s="895"/>
      <c r="AM366" s="771"/>
      <c r="AN366" s="886"/>
      <c r="AO366" s="884"/>
    </row>
    <row r="367" spans="1:41" ht="12" customHeight="1" x14ac:dyDescent="0.2">
      <c r="A367" s="771"/>
      <c r="B367" s="1266"/>
      <c r="C367" s="771"/>
      <c r="D367" s="771"/>
      <c r="E367" s="919"/>
      <c r="F367" s="919"/>
      <c r="G367" s="919"/>
      <c r="H367" s="919"/>
      <c r="I367" s="919"/>
      <c r="J367" s="919"/>
      <c r="K367" s="918"/>
      <c r="L367" s="771"/>
      <c r="M367" s="919"/>
      <c r="N367" s="919"/>
      <c r="O367" s="919"/>
      <c r="P367" s="919"/>
      <c r="Q367" s="919"/>
      <c r="R367" s="919"/>
      <c r="S367" s="771"/>
      <c r="T367" s="771"/>
      <c r="U367" s="773"/>
      <c r="V367" s="1266"/>
      <c r="W367" s="773"/>
      <c r="X367" s="773"/>
      <c r="Y367" s="905"/>
      <c r="Z367" s="905"/>
      <c r="AA367" s="905"/>
      <c r="AB367" s="905"/>
      <c r="AC367" s="905"/>
      <c r="AD367" s="905"/>
      <c r="AE367" s="914"/>
      <c r="AF367" s="773"/>
      <c r="AG367" s="905"/>
      <c r="AH367" s="905"/>
      <c r="AI367" s="905"/>
      <c r="AJ367" s="905"/>
      <c r="AK367" s="905"/>
      <c r="AL367" s="905"/>
      <c r="AM367" s="771"/>
      <c r="AN367" s="886"/>
      <c r="AO367" s="884"/>
    </row>
    <row r="368" spans="1:41" ht="12" customHeight="1" x14ac:dyDescent="0.2">
      <c r="A368" s="771"/>
      <c r="B368" s="1266"/>
      <c r="C368" s="771"/>
      <c r="D368" s="897"/>
      <c r="E368" s="920"/>
      <c r="F368" s="920"/>
      <c r="G368" s="920"/>
      <c r="H368" s="920"/>
      <c r="I368" s="920"/>
      <c r="J368" s="920"/>
      <c r="K368" s="918"/>
      <c r="L368" s="897"/>
      <c r="M368" s="920"/>
      <c r="N368" s="920"/>
      <c r="O368" s="920"/>
      <c r="P368" s="920"/>
      <c r="Q368" s="920"/>
      <c r="R368" s="920"/>
      <c r="S368" s="771"/>
      <c r="T368" s="771"/>
      <c r="U368" s="773"/>
      <c r="V368" s="1266"/>
      <c r="W368" s="773"/>
      <c r="X368" s="902"/>
      <c r="Y368" s="906"/>
      <c r="Z368" s="906"/>
      <c r="AA368" s="906"/>
      <c r="AB368" s="906"/>
      <c r="AC368" s="906"/>
      <c r="AD368" s="906"/>
      <c r="AE368" s="820"/>
      <c r="AF368" s="902"/>
      <c r="AG368" s="906"/>
      <c r="AH368" s="906"/>
      <c r="AI368" s="906"/>
      <c r="AJ368" s="906"/>
      <c r="AK368" s="906"/>
      <c r="AL368" s="906"/>
      <c r="AM368" s="771"/>
      <c r="AN368" s="886"/>
      <c r="AO368" s="884"/>
    </row>
    <row r="369" spans="1:41" ht="12" customHeight="1" x14ac:dyDescent="0.2">
      <c r="A369" s="771"/>
      <c r="B369" s="1266"/>
      <c r="C369" s="771"/>
      <c r="D369" s="897"/>
      <c r="E369" s="920"/>
      <c r="F369" s="920"/>
      <c r="G369" s="920"/>
      <c r="H369" s="920"/>
      <c r="I369" s="920"/>
      <c r="J369" s="920"/>
      <c r="K369" s="776"/>
      <c r="L369" s="897"/>
      <c r="M369" s="920"/>
      <c r="N369" s="920"/>
      <c r="O369" s="920"/>
      <c r="P369" s="920"/>
      <c r="Q369" s="920"/>
      <c r="R369" s="920"/>
      <c r="S369" s="771"/>
      <c r="T369" s="771"/>
      <c r="U369" s="773"/>
      <c r="V369" s="1266"/>
      <c r="W369" s="773"/>
      <c r="X369" s="902"/>
      <c r="Y369" s="906"/>
      <c r="Z369" s="906"/>
      <c r="AA369" s="906"/>
      <c r="AB369" s="906"/>
      <c r="AC369" s="906"/>
      <c r="AD369" s="906"/>
      <c r="AE369" s="915"/>
      <c r="AF369" s="902"/>
      <c r="AG369" s="906"/>
      <c r="AH369" s="906"/>
      <c r="AI369" s="906"/>
      <c r="AJ369" s="906"/>
      <c r="AK369" s="906"/>
      <c r="AL369" s="906"/>
      <c r="AM369" s="771"/>
      <c r="AN369" s="886"/>
      <c r="AO369" s="884"/>
    </row>
    <row r="370" spans="1:41" ht="12" customHeight="1" x14ac:dyDescent="0.2">
      <c r="A370" s="771"/>
      <c r="B370" s="1266"/>
      <c r="C370" s="771"/>
      <c r="D370" s="918"/>
      <c r="E370" s="921"/>
      <c r="F370" s="921"/>
      <c r="G370" s="921"/>
      <c r="H370" s="921"/>
      <c r="I370" s="921"/>
      <c r="J370" s="921"/>
      <c r="K370" s="918"/>
      <c r="L370" s="918"/>
      <c r="M370" s="921"/>
      <c r="N370" s="921"/>
      <c r="O370" s="921"/>
      <c r="P370" s="921"/>
      <c r="Q370" s="921"/>
      <c r="R370" s="921"/>
      <c r="S370" s="771"/>
      <c r="T370" s="771"/>
      <c r="U370" s="773"/>
      <c r="V370" s="1266"/>
      <c r="W370" s="773"/>
      <c r="X370" s="820"/>
      <c r="Y370" s="908"/>
      <c r="Z370" s="908"/>
      <c r="AA370" s="908"/>
      <c r="AB370" s="908"/>
      <c r="AC370" s="908"/>
      <c r="AD370" s="908"/>
      <c r="AE370" s="914"/>
      <c r="AF370" s="820"/>
      <c r="AG370" s="908"/>
      <c r="AH370" s="908"/>
      <c r="AI370" s="908"/>
      <c r="AJ370" s="908"/>
      <c r="AK370" s="908"/>
      <c r="AL370" s="908"/>
      <c r="AM370" s="771"/>
      <c r="AN370" s="886"/>
      <c r="AO370" s="884"/>
    </row>
    <row r="371" spans="1:41" ht="12" customHeight="1" x14ac:dyDescent="0.2">
      <c r="A371" s="771"/>
      <c r="B371" s="1266"/>
      <c r="C371" s="771"/>
      <c r="D371" s="929"/>
      <c r="E371" s="922"/>
      <c r="F371" s="922"/>
      <c r="G371" s="922"/>
      <c r="H371" s="922"/>
      <c r="I371" s="922"/>
      <c r="J371" s="922"/>
      <c r="K371" s="918"/>
      <c r="L371" s="929"/>
      <c r="M371" s="922"/>
      <c r="N371" s="922"/>
      <c r="O371" s="922"/>
      <c r="P371" s="922"/>
      <c r="Q371" s="922"/>
      <c r="R371" s="922"/>
      <c r="S371" s="771"/>
      <c r="T371" s="771"/>
      <c r="U371" s="773"/>
      <c r="V371" s="1266"/>
      <c r="W371" s="773"/>
      <c r="X371" s="910"/>
      <c r="Y371" s="911"/>
      <c r="Z371" s="911"/>
      <c r="AA371" s="911"/>
      <c r="AB371" s="911"/>
      <c r="AC371" s="911"/>
      <c r="AD371" s="911"/>
      <c r="AE371" s="914"/>
      <c r="AF371" s="910"/>
      <c r="AG371" s="911"/>
      <c r="AH371" s="911"/>
      <c r="AI371" s="911"/>
      <c r="AJ371" s="911"/>
      <c r="AK371" s="911"/>
      <c r="AL371" s="911"/>
      <c r="AM371" s="771"/>
      <c r="AN371" s="886"/>
      <c r="AO371" s="884"/>
    </row>
    <row r="372" spans="1:41" ht="12" customHeight="1" x14ac:dyDescent="0.2">
      <c r="A372" s="771"/>
      <c r="B372" s="1266"/>
      <c r="C372" s="771"/>
      <c r="D372" s="927"/>
      <c r="E372" s="922"/>
      <c r="F372" s="922"/>
      <c r="G372" s="922"/>
      <c r="H372" s="922"/>
      <c r="I372" s="922"/>
      <c r="J372" s="922"/>
      <c r="K372" s="931"/>
      <c r="L372" s="927"/>
      <c r="M372" s="922"/>
      <c r="N372" s="922"/>
      <c r="O372" s="922"/>
      <c r="P372" s="922"/>
      <c r="Q372" s="922"/>
      <c r="R372" s="922"/>
      <c r="S372" s="771"/>
      <c r="T372" s="771"/>
      <c r="U372" s="773"/>
      <c r="V372" s="1266"/>
      <c r="W372" s="773"/>
      <c r="X372" s="887"/>
      <c r="Y372" s="911"/>
      <c r="Z372" s="911"/>
      <c r="AA372" s="911"/>
      <c r="AB372" s="911"/>
      <c r="AC372" s="911"/>
      <c r="AD372" s="911"/>
      <c r="AE372" s="916"/>
      <c r="AF372" s="887"/>
      <c r="AG372" s="911"/>
      <c r="AH372" s="911"/>
      <c r="AI372" s="911"/>
      <c r="AJ372" s="911"/>
      <c r="AK372" s="911"/>
      <c r="AL372" s="911"/>
      <c r="AM372" s="771"/>
      <c r="AN372" s="886"/>
      <c r="AO372" s="884"/>
    </row>
    <row r="373" spans="1:41" ht="12" customHeight="1" x14ac:dyDescent="0.2">
      <c r="A373" s="771"/>
      <c r="B373" s="1266"/>
      <c r="C373" s="771"/>
      <c r="D373" s="927"/>
      <c r="E373" s="922"/>
      <c r="F373" s="922"/>
      <c r="G373" s="922"/>
      <c r="H373" s="922"/>
      <c r="I373" s="922"/>
      <c r="J373" s="922"/>
      <c r="K373" s="931"/>
      <c r="L373" s="927"/>
      <c r="M373" s="922"/>
      <c r="N373" s="922"/>
      <c r="O373" s="922"/>
      <c r="P373" s="922"/>
      <c r="Q373" s="922"/>
      <c r="R373" s="922"/>
      <c r="S373" s="771"/>
      <c r="T373" s="771"/>
      <c r="U373" s="773"/>
      <c r="V373" s="1266"/>
      <c r="W373" s="773"/>
      <c r="X373" s="887"/>
      <c r="Y373" s="911"/>
      <c r="Z373" s="911"/>
      <c r="AA373" s="911"/>
      <c r="AB373" s="911"/>
      <c r="AC373" s="911"/>
      <c r="AD373" s="911"/>
      <c r="AE373" s="916"/>
      <c r="AF373" s="887"/>
      <c r="AG373" s="911"/>
      <c r="AH373" s="911"/>
      <c r="AI373" s="911"/>
      <c r="AJ373" s="911"/>
      <c r="AK373" s="911"/>
      <c r="AL373" s="911"/>
      <c r="AM373" s="771"/>
      <c r="AN373" s="886"/>
      <c r="AO373" s="884"/>
    </row>
    <row r="374" spans="1:41" ht="12" customHeight="1" x14ac:dyDescent="0.2">
      <c r="A374" s="771"/>
      <c r="B374" s="1266"/>
      <c r="C374" s="771"/>
      <c r="D374" s="913"/>
      <c r="E374" s="913"/>
      <c r="F374" s="913"/>
      <c r="G374" s="913"/>
      <c r="H374" s="913"/>
      <c r="I374" s="913"/>
      <c r="J374" s="913"/>
      <c r="K374" s="913"/>
      <c r="L374" s="913"/>
      <c r="M374" s="913"/>
      <c r="N374" s="913"/>
      <c r="O374" s="913"/>
      <c r="P374" s="913"/>
      <c r="Q374" s="913"/>
      <c r="R374" s="913"/>
      <c r="S374" s="771"/>
      <c r="T374" s="771"/>
      <c r="U374" s="773"/>
      <c r="V374" s="1266"/>
      <c r="W374" s="773"/>
      <c r="X374" s="907"/>
      <c r="Y374" s="907"/>
      <c r="Z374" s="907"/>
      <c r="AA374" s="907"/>
      <c r="AB374" s="907"/>
      <c r="AC374" s="909"/>
      <c r="AD374" s="909"/>
      <c r="AE374" s="909"/>
      <c r="AF374" s="909"/>
      <c r="AG374" s="907"/>
      <c r="AH374" s="909"/>
      <c r="AI374" s="909"/>
      <c r="AJ374" s="909"/>
      <c r="AK374" s="909"/>
      <c r="AL374" s="909"/>
      <c r="AM374" s="771"/>
      <c r="AN374" s="886"/>
      <c r="AO374" s="884"/>
    </row>
    <row r="375" spans="1:41" ht="12" customHeight="1" x14ac:dyDescent="0.2">
      <c r="A375" s="771"/>
      <c r="B375" s="1266"/>
      <c r="C375" s="771"/>
      <c r="D375" s="932"/>
      <c r="E375" s="932"/>
      <c r="F375" s="898"/>
      <c r="G375" s="898"/>
      <c r="H375" s="898"/>
      <c r="I375" s="898"/>
      <c r="J375" s="923"/>
      <c r="K375" s="771"/>
      <c r="L375" s="932"/>
      <c r="M375" s="932"/>
      <c r="N375" s="898"/>
      <c r="O375" s="898"/>
      <c r="P375" s="898"/>
      <c r="Q375" s="898"/>
      <c r="R375" s="923"/>
      <c r="S375" s="771"/>
      <c r="T375" s="771"/>
      <c r="U375" s="773"/>
      <c r="V375" s="1266"/>
      <c r="W375" s="773"/>
      <c r="X375" s="891"/>
      <c r="Y375" s="891"/>
      <c r="Z375" s="892"/>
      <c r="AA375" s="892"/>
      <c r="AB375" s="892"/>
      <c r="AC375" s="892"/>
      <c r="AD375" s="893"/>
      <c r="AE375" s="773"/>
      <c r="AF375" s="891"/>
      <c r="AG375" s="891"/>
      <c r="AH375" s="892"/>
      <c r="AI375" s="892"/>
      <c r="AJ375" s="892"/>
      <c r="AK375" s="892"/>
      <c r="AL375" s="893"/>
      <c r="AM375" s="771"/>
      <c r="AN375" s="886"/>
      <c r="AO375" s="884"/>
    </row>
    <row r="376" spans="1:41" ht="12" customHeight="1" x14ac:dyDescent="0.2">
      <c r="A376" s="771"/>
      <c r="B376" s="1266"/>
      <c r="C376" s="771"/>
      <c r="D376" s="933"/>
      <c r="E376" s="933"/>
      <c r="F376" s="898"/>
      <c r="G376" s="898"/>
      <c r="H376" s="898"/>
      <c r="I376" s="898"/>
      <c r="J376" s="900"/>
      <c r="K376" s="771"/>
      <c r="L376" s="933"/>
      <c r="M376" s="933"/>
      <c r="N376" s="898"/>
      <c r="O376" s="898"/>
      <c r="P376" s="898"/>
      <c r="Q376" s="898"/>
      <c r="R376" s="900"/>
      <c r="S376" s="771"/>
      <c r="T376" s="771"/>
      <c r="U376" s="773"/>
      <c r="V376" s="1266"/>
      <c r="W376" s="773"/>
      <c r="X376" s="894"/>
      <c r="Y376" s="894"/>
      <c r="Z376" s="892"/>
      <c r="AA376" s="892"/>
      <c r="AB376" s="892"/>
      <c r="AC376" s="892"/>
      <c r="AD376" s="895"/>
      <c r="AE376" s="773"/>
      <c r="AF376" s="894"/>
      <c r="AG376" s="894"/>
      <c r="AH376" s="892"/>
      <c r="AI376" s="892"/>
      <c r="AJ376" s="892"/>
      <c r="AK376" s="892"/>
      <c r="AL376" s="895"/>
      <c r="AM376" s="771"/>
      <c r="AN376" s="886"/>
      <c r="AO376" s="884"/>
    </row>
    <row r="377" spans="1:41" ht="12" customHeight="1" x14ac:dyDescent="0.2">
      <c r="A377" s="771"/>
      <c r="B377" s="1266"/>
      <c r="C377" s="771"/>
      <c r="D377" s="897"/>
      <c r="E377" s="897"/>
      <c r="F377" s="898"/>
      <c r="G377" s="898"/>
      <c r="H377" s="898"/>
      <c r="I377" s="899"/>
      <c r="J377" s="900"/>
      <c r="K377" s="771"/>
      <c r="L377" s="897"/>
      <c r="M377" s="897"/>
      <c r="N377" s="898"/>
      <c r="O377" s="898"/>
      <c r="P377" s="898"/>
      <c r="Q377" s="899"/>
      <c r="R377" s="900"/>
      <c r="S377" s="771"/>
      <c r="T377" s="771"/>
      <c r="U377" s="773"/>
      <c r="V377" s="1266"/>
      <c r="W377" s="773"/>
      <c r="X377" s="902"/>
      <c r="Y377" s="902"/>
      <c r="Z377" s="903"/>
      <c r="AA377" s="903"/>
      <c r="AB377" s="903"/>
      <c r="AC377" s="904"/>
      <c r="AD377" s="895"/>
      <c r="AE377" s="773"/>
      <c r="AF377" s="902"/>
      <c r="AG377" s="902"/>
      <c r="AH377" s="903"/>
      <c r="AI377" s="903"/>
      <c r="AJ377" s="903"/>
      <c r="AK377" s="904"/>
      <c r="AL377" s="895"/>
      <c r="AM377" s="771"/>
      <c r="AN377" s="886"/>
      <c r="AO377" s="884"/>
    </row>
    <row r="378" spans="1:41" ht="12" customHeight="1" x14ac:dyDescent="0.2">
      <c r="A378" s="771"/>
      <c r="B378" s="1266"/>
      <c r="C378" s="771"/>
      <c r="D378" s="771"/>
      <c r="E378" s="919"/>
      <c r="F378" s="919"/>
      <c r="G378" s="919"/>
      <c r="H378" s="919"/>
      <c r="I378" s="919"/>
      <c r="J378" s="919"/>
      <c r="K378" s="771"/>
      <c r="L378" s="771"/>
      <c r="M378" s="919"/>
      <c r="N378" s="919"/>
      <c r="O378" s="919"/>
      <c r="P378" s="919"/>
      <c r="Q378" s="919"/>
      <c r="R378" s="919"/>
      <c r="S378" s="771"/>
      <c r="T378" s="771"/>
      <c r="U378" s="773"/>
      <c r="V378" s="1266"/>
      <c r="W378" s="773"/>
      <c r="X378" s="773"/>
      <c r="Y378" s="905"/>
      <c r="Z378" s="905"/>
      <c r="AA378" s="905"/>
      <c r="AB378" s="905"/>
      <c r="AC378" s="905"/>
      <c r="AD378" s="905"/>
      <c r="AE378" s="773"/>
      <c r="AF378" s="773"/>
      <c r="AG378" s="905"/>
      <c r="AH378" s="905"/>
      <c r="AI378" s="905"/>
      <c r="AJ378" s="905"/>
      <c r="AK378" s="905"/>
      <c r="AL378" s="905"/>
      <c r="AM378" s="771"/>
      <c r="AN378" s="886"/>
      <c r="AO378" s="884"/>
    </row>
    <row r="379" spans="1:41" ht="12" customHeight="1" x14ac:dyDescent="0.2">
      <c r="A379" s="771"/>
      <c r="B379" s="1266"/>
      <c r="C379" s="771"/>
      <c r="D379" s="897"/>
      <c r="E379" s="920"/>
      <c r="F379" s="920"/>
      <c r="G379" s="920"/>
      <c r="H379" s="920"/>
      <c r="I379" s="920"/>
      <c r="J379" s="920"/>
      <c r="K379" s="771"/>
      <c r="L379" s="897"/>
      <c r="M379" s="920"/>
      <c r="N379" s="920"/>
      <c r="O379" s="920"/>
      <c r="P379" s="920"/>
      <c r="Q379" s="920"/>
      <c r="R379" s="920"/>
      <c r="S379" s="771"/>
      <c r="T379" s="771"/>
      <c r="U379" s="773"/>
      <c r="V379" s="1266"/>
      <c r="W379" s="773"/>
      <c r="X379" s="902"/>
      <c r="Y379" s="906"/>
      <c r="Z379" s="906"/>
      <c r="AA379" s="906"/>
      <c r="AB379" s="906"/>
      <c r="AC379" s="906"/>
      <c r="AD379" s="906"/>
      <c r="AE379" s="773"/>
      <c r="AF379" s="902"/>
      <c r="AG379" s="906"/>
      <c r="AH379" s="906"/>
      <c r="AI379" s="906"/>
      <c r="AJ379" s="906"/>
      <c r="AK379" s="906"/>
      <c r="AL379" s="906"/>
      <c r="AM379" s="771"/>
      <c r="AN379" s="886"/>
      <c r="AO379" s="884"/>
    </row>
    <row r="380" spans="1:41" ht="12" customHeight="1" x14ac:dyDescent="0.2">
      <c r="A380" s="771"/>
      <c r="B380" s="1266"/>
      <c r="C380" s="771"/>
      <c r="D380" s="897"/>
      <c r="E380" s="920"/>
      <c r="F380" s="920"/>
      <c r="G380" s="920"/>
      <c r="H380" s="920"/>
      <c r="I380" s="920"/>
      <c r="J380" s="920"/>
      <c r="K380" s="771"/>
      <c r="L380" s="897"/>
      <c r="M380" s="920"/>
      <c r="N380" s="920"/>
      <c r="O380" s="920"/>
      <c r="P380" s="920"/>
      <c r="Q380" s="920"/>
      <c r="R380" s="920"/>
      <c r="S380" s="771"/>
      <c r="T380" s="771"/>
      <c r="U380" s="773"/>
      <c r="V380" s="1266"/>
      <c r="W380" s="773"/>
      <c r="X380" s="902"/>
      <c r="Y380" s="906"/>
      <c r="Z380" s="906"/>
      <c r="AA380" s="906"/>
      <c r="AB380" s="906"/>
      <c r="AC380" s="906"/>
      <c r="AD380" s="906"/>
      <c r="AE380" s="773"/>
      <c r="AF380" s="902"/>
      <c r="AG380" s="906"/>
      <c r="AH380" s="906"/>
      <c r="AI380" s="906"/>
      <c r="AJ380" s="906"/>
      <c r="AK380" s="906"/>
      <c r="AL380" s="906"/>
      <c r="AM380" s="771"/>
      <c r="AN380" s="886"/>
      <c r="AO380" s="884"/>
    </row>
    <row r="381" spans="1:41" ht="12" customHeight="1" x14ac:dyDescent="0.2">
      <c r="A381" s="771"/>
      <c r="B381" s="1266"/>
      <c r="C381" s="771"/>
      <c r="D381" s="918"/>
      <c r="E381" s="921"/>
      <c r="F381" s="921"/>
      <c r="G381" s="921"/>
      <c r="H381" s="921"/>
      <c r="I381" s="921"/>
      <c r="J381" s="921"/>
      <c r="K381" s="771"/>
      <c r="L381" s="918"/>
      <c r="M381" s="921"/>
      <c r="N381" s="921"/>
      <c r="O381" s="921"/>
      <c r="P381" s="921"/>
      <c r="Q381" s="921"/>
      <c r="R381" s="921"/>
      <c r="S381" s="771"/>
      <c r="T381" s="771"/>
      <c r="U381" s="773"/>
      <c r="V381" s="1266"/>
      <c r="W381" s="773"/>
      <c r="X381" s="820"/>
      <c r="Y381" s="908"/>
      <c r="Z381" s="908"/>
      <c r="AA381" s="908"/>
      <c r="AB381" s="908"/>
      <c r="AC381" s="908"/>
      <c r="AD381" s="908"/>
      <c r="AE381" s="773"/>
      <c r="AF381" s="820"/>
      <c r="AG381" s="908"/>
      <c r="AH381" s="908"/>
      <c r="AI381" s="908"/>
      <c r="AJ381" s="908"/>
      <c r="AK381" s="908"/>
      <c r="AL381" s="908"/>
      <c r="AM381" s="771"/>
      <c r="AN381" s="886"/>
      <c r="AO381" s="884"/>
    </row>
    <row r="382" spans="1:41" ht="12" customHeight="1" x14ac:dyDescent="0.2">
      <c r="A382" s="771"/>
      <c r="B382" s="1266"/>
      <c r="C382" s="771"/>
      <c r="D382" s="929"/>
      <c r="E382" s="922"/>
      <c r="F382" s="922"/>
      <c r="G382" s="922"/>
      <c r="H382" s="922"/>
      <c r="I382" s="922"/>
      <c r="J382" s="922"/>
      <c r="K382" s="771"/>
      <c r="L382" s="929"/>
      <c r="M382" s="922"/>
      <c r="N382" s="922"/>
      <c r="O382" s="922"/>
      <c r="P382" s="922"/>
      <c r="Q382" s="922"/>
      <c r="R382" s="922"/>
      <c r="S382" s="771"/>
      <c r="T382" s="771"/>
      <c r="U382" s="773"/>
      <c r="V382" s="1266"/>
      <c r="W382" s="773"/>
      <c r="X382" s="910"/>
      <c r="Y382" s="911"/>
      <c r="Z382" s="911"/>
      <c r="AA382" s="911"/>
      <c r="AB382" s="911"/>
      <c r="AC382" s="911"/>
      <c r="AD382" s="911"/>
      <c r="AE382" s="773"/>
      <c r="AF382" s="910"/>
      <c r="AG382" s="911"/>
      <c r="AH382" s="911"/>
      <c r="AI382" s="911"/>
      <c r="AJ382" s="911"/>
      <c r="AK382" s="911"/>
      <c r="AL382" s="911"/>
      <c r="AM382" s="771"/>
      <c r="AN382" s="886"/>
      <c r="AO382" s="884"/>
    </row>
    <row r="383" spans="1:41" ht="12" customHeight="1" x14ac:dyDescent="0.2">
      <c r="A383" s="771"/>
      <c r="B383" s="1266"/>
      <c r="C383" s="771"/>
      <c r="D383" s="927"/>
      <c r="E383" s="922"/>
      <c r="F383" s="922"/>
      <c r="G383" s="922"/>
      <c r="H383" s="922"/>
      <c r="I383" s="922"/>
      <c r="J383" s="922"/>
      <c r="K383" s="771"/>
      <c r="L383" s="927"/>
      <c r="M383" s="922"/>
      <c r="N383" s="922"/>
      <c r="O383" s="922"/>
      <c r="P383" s="922"/>
      <c r="Q383" s="922"/>
      <c r="R383" s="922"/>
      <c r="S383" s="771"/>
      <c r="T383" s="771"/>
      <c r="U383" s="773"/>
      <c r="V383" s="1266"/>
      <c r="W383" s="773"/>
      <c r="X383" s="887"/>
      <c r="Y383" s="911"/>
      <c r="Z383" s="911"/>
      <c r="AA383" s="911"/>
      <c r="AB383" s="911"/>
      <c r="AC383" s="911"/>
      <c r="AD383" s="911"/>
      <c r="AE383" s="773"/>
      <c r="AF383" s="887"/>
      <c r="AG383" s="911"/>
      <c r="AH383" s="911"/>
      <c r="AI383" s="911"/>
      <c r="AJ383" s="911"/>
      <c r="AK383" s="911"/>
      <c r="AL383" s="911"/>
      <c r="AM383" s="771"/>
      <c r="AN383" s="886"/>
      <c r="AO383" s="884"/>
    </row>
    <row r="384" spans="1:41" ht="12" customHeight="1" x14ac:dyDescent="0.2">
      <c r="A384" s="771"/>
      <c r="B384" s="1266"/>
      <c r="C384" s="771"/>
      <c r="D384" s="927"/>
      <c r="E384" s="922"/>
      <c r="F384" s="922"/>
      <c r="G384" s="922"/>
      <c r="H384" s="922"/>
      <c r="I384" s="922"/>
      <c r="J384" s="922"/>
      <c r="K384" s="771"/>
      <c r="L384" s="927"/>
      <c r="M384" s="922"/>
      <c r="N384" s="922"/>
      <c r="O384" s="922"/>
      <c r="P384" s="922"/>
      <c r="Q384" s="922"/>
      <c r="R384" s="922"/>
      <c r="S384" s="771"/>
      <c r="T384" s="771"/>
      <c r="U384" s="773"/>
      <c r="V384" s="1266"/>
      <c r="W384" s="773"/>
      <c r="X384" s="887"/>
      <c r="Y384" s="911"/>
      <c r="Z384" s="911"/>
      <c r="AA384" s="911"/>
      <c r="AB384" s="911"/>
      <c r="AC384" s="911"/>
      <c r="AD384" s="911"/>
      <c r="AE384" s="773"/>
      <c r="AF384" s="887"/>
      <c r="AG384" s="911"/>
      <c r="AH384" s="911"/>
      <c r="AI384" s="911"/>
      <c r="AJ384" s="911"/>
      <c r="AK384" s="911"/>
      <c r="AL384" s="911"/>
      <c r="AM384" s="771"/>
      <c r="AN384" s="886"/>
      <c r="AO384" s="884"/>
    </row>
    <row r="385" spans="1:41" ht="12" customHeight="1" x14ac:dyDescent="0.2">
      <c r="A385" s="771"/>
      <c r="B385" s="1266"/>
      <c r="C385" s="771"/>
      <c r="D385" s="771"/>
      <c r="E385" s="771"/>
      <c r="F385" s="771"/>
      <c r="G385" s="771"/>
      <c r="H385" s="771"/>
      <c r="I385" s="771"/>
      <c r="J385" s="771"/>
      <c r="K385" s="771"/>
      <c r="L385" s="771"/>
      <c r="M385" s="771"/>
      <c r="N385" s="771"/>
      <c r="O385" s="771"/>
      <c r="P385" s="771"/>
      <c r="Q385" s="771"/>
      <c r="R385" s="771"/>
      <c r="S385" s="771"/>
      <c r="T385" s="771"/>
      <c r="U385" s="773"/>
      <c r="V385" s="1266"/>
      <c r="W385" s="773"/>
      <c r="X385" s="773"/>
      <c r="Y385" s="773"/>
      <c r="Z385" s="773"/>
      <c r="AA385" s="773"/>
      <c r="AB385" s="773"/>
      <c r="AC385" s="773"/>
      <c r="AD385" s="773"/>
      <c r="AE385" s="773"/>
      <c r="AF385" s="773"/>
      <c r="AG385" s="773"/>
      <c r="AH385" s="773"/>
      <c r="AI385" s="773"/>
      <c r="AJ385" s="773"/>
      <c r="AK385" s="773"/>
      <c r="AL385" s="773"/>
      <c r="AM385" s="771"/>
      <c r="AN385" s="886"/>
      <c r="AO385" s="884"/>
    </row>
    <row r="386" spans="1:41" ht="12" customHeight="1" x14ac:dyDescent="0.2">
      <c r="A386" s="771"/>
      <c r="B386" s="1266"/>
      <c r="C386" s="771"/>
      <c r="D386" s="932"/>
      <c r="E386" s="932"/>
      <c r="F386" s="898"/>
      <c r="G386" s="898"/>
      <c r="H386" s="898"/>
      <c r="I386" s="898"/>
      <c r="J386" s="923"/>
      <c r="K386" s="934"/>
      <c r="L386" s="932"/>
      <c r="M386" s="932"/>
      <c r="N386" s="898"/>
      <c r="O386" s="898"/>
      <c r="P386" s="898"/>
      <c r="Q386" s="898"/>
      <c r="R386" s="923"/>
      <c r="S386" s="771"/>
      <c r="T386" s="771"/>
      <c r="U386" s="773"/>
      <c r="V386" s="1266"/>
      <c r="W386" s="773"/>
      <c r="X386" s="891"/>
      <c r="Y386" s="891"/>
      <c r="Z386" s="892"/>
      <c r="AA386" s="892"/>
      <c r="AB386" s="892"/>
      <c r="AC386" s="892"/>
      <c r="AD386" s="893"/>
      <c r="AE386" s="924"/>
      <c r="AF386" s="891"/>
      <c r="AG386" s="891"/>
      <c r="AH386" s="892"/>
      <c r="AI386" s="892"/>
      <c r="AJ386" s="892"/>
      <c r="AK386" s="892"/>
      <c r="AL386" s="893"/>
      <c r="AM386" s="771"/>
      <c r="AN386" s="886"/>
      <c r="AO386" s="884"/>
    </row>
    <row r="387" spans="1:41" ht="12" customHeight="1" x14ac:dyDescent="0.2">
      <c r="A387" s="771"/>
      <c r="B387" s="1266"/>
      <c r="C387" s="771"/>
      <c r="D387" s="933"/>
      <c r="E387" s="933"/>
      <c r="F387" s="898"/>
      <c r="G387" s="898"/>
      <c r="H387" s="898"/>
      <c r="I387" s="898"/>
      <c r="J387" s="900"/>
      <c r="K387" s="935"/>
      <c r="L387" s="933"/>
      <c r="M387" s="933"/>
      <c r="N387" s="898"/>
      <c r="O387" s="898"/>
      <c r="P387" s="898"/>
      <c r="Q387" s="898"/>
      <c r="R387" s="900"/>
      <c r="S387" s="771"/>
      <c r="T387" s="771"/>
      <c r="U387" s="773"/>
      <c r="V387" s="1266"/>
      <c r="W387" s="773"/>
      <c r="X387" s="894"/>
      <c r="Y387" s="894"/>
      <c r="Z387" s="892"/>
      <c r="AA387" s="892"/>
      <c r="AB387" s="892"/>
      <c r="AC387" s="892"/>
      <c r="AD387" s="895"/>
      <c r="AE387" s="925"/>
      <c r="AF387" s="894"/>
      <c r="AG387" s="894"/>
      <c r="AH387" s="892"/>
      <c r="AI387" s="892"/>
      <c r="AJ387" s="892"/>
      <c r="AK387" s="892"/>
      <c r="AL387" s="895"/>
      <c r="AM387" s="771"/>
      <c r="AN387" s="886"/>
      <c r="AO387" s="884"/>
    </row>
    <row r="388" spans="1:41" ht="12" customHeight="1" x14ac:dyDescent="0.2">
      <c r="A388" s="771"/>
      <c r="B388" s="1266"/>
      <c r="C388" s="771"/>
      <c r="D388" s="897"/>
      <c r="E388" s="897"/>
      <c r="F388" s="898"/>
      <c r="G388" s="898"/>
      <c r="H388" s="898"/>
      <c r="I388" s="899"/>
      <c r="J388" s="900"/>
      <c r="K388" s="898"/>
      <c r="L388" s="897"/>
      <c r="M388" s="897"/>
      <c r="N388" s="898"/>
      <c r="O388" s="898"/>
      <c r="P388" s="898"/>
      <c r="Q388" s="899"/>
      <c r="R388" s="900"/>
      <c r="S388" s="771"/>
      <c r="T388" s="771"/>
      <c r="U388" s="773"/>
      <c r="V388" s="1266"/>
      <c r="W388" s="773"/>
      <c r="X388" s="902"/>
      <c r="Y388" s="902"/>
      <c r="Z388" s="903"/>
      <c r="AA388" s="903"/>
      <c r="AB388" s="903"/>
      <c r="AC388" s="904"/>
      <c r="AD388" s="895"/>
      <c r="AE388" s="903"/>
      <c r="AF388" s="902"/>
      <c r="AG388" s="902"/>
      <c r="AH388" s="903"/>
      <c r="AI388" s="903"/>
      <c r="AJ388" s="903"/>
      <c r="AK388" s="904"/>
      <c r="AL388" s="895"/>
      <c r="AM388" s="771"/>
      <c r="AN388" s="886"/>
      <c r="AO388" s="884"/>
    </row>
    <row r="389" spans="1:41" ht="12" customHeight="1" x14ac:dyDescent="0.2">
      <c r="A389" s="771"/>
      <c r="B389" s="1266"/>
      <c r="C389" s="771"/>
      <c r="D389" s="771"/>
      <c r="E389" s="919"/>
      <c r="F389" s="919"/>
      <c r="G389" s="919"/>
      <c r="H389" s="919"/>
      <c r="I389" s="919"/>
      <c r="J389" s="919"/>
      <c r="K389" s="898"/>
      <c r="L389" s="771"/>
      <c r="M389" s="919"/>
      <c r="N389" s="919"/>
      <c r="O389" s="919"/>
      <c r="P389" s="919"/>
      <c r="Q389" s="919"/>
      <c r="R389" s="919"/>
      <c r="S389" s="771"/>
      <c r="T389" s="771"/>
      <c r="U389" s="773"/>
      <c r="V389" s="1266"/>
      <c r="W389" s="773"/>
      <c r="X389" s="773"/>
      <c r="Y389" s="905"/>
      <c r="Z389" s="905"/>
      <c r="AA389" s="905"/>
      <c r="AB389" s="905"/>
      <c r="AC389" s="905"/>
      <c r="AD389" s="905"/>
      <c r="AE389" s="903"/>
      <c r="AF389" s="773"/>
      <c r="AG389" s="905"/>
      <c r="AH389" s="905"/>
      <c r="AI389" s="905"/>
      <c r="AJ389" s="905"/>
      <c r="AK389" s="905"/>
      <c r="AL389" s="905"/>
      <c r="AM389" s="771"/>
      <c r="AN389" s="886"/>
      <c r="AO389" s="884"/>
    </row>
    <row r="390" spans="1:41" ht="12" customHeight="1" x14ac:dyDescent="0.2">
      <c r="A390" s="771"/>
      <c r="B390" s="1266"/>
      <c r="C390" s="771"/>
      <c r="D390" s="897"/>
      <c r="E390" s="920"/>
      <c r="F390" s="920"/>
      <c r="G390" s="920"/>
      <c r="H390" s="920"/>
      <c r="I390" s="920"/>
      <c r="J390" s="920"/>
      <c r="K390" s="898"/>
      <c r="L390" s="897"/>
      <c r="M390" s="920"/>
      <c r="N390" s="920"/>
      <c r="O390" s="920"/>
      <c r="P390" s="920"/>
      <c r="Q390" s="920"/>
      <c r="R390" s="920"/>
      <c r="S390" s="771"/>
      <c r="T390" s="771"/>
      <c r="U390" s="773"/>
      <c r="V390" s="1266"/>
      <c r="W390" s="773"/>
      <c r="X390" s="902"/>
      <c r="Y390" s="906"/>
      <c r="Z390" s="906"/>
      <c r="AA390" s="906"/>
      <c r="AB390" s="906"/>
      <c r="AC390" s="906"/>
      <c r="AD390" s="906"/>
      <c r="AE390" s="903"/>
      <c r="AF390" s="902"/>
      <c r="AG390" s="906"/>
      <c r="AH390" s="906"/>
      <c r="AI390" s="906"/>
      <c r="AJ390" s="906"/>
      <c r="AK390" s="906"/>
      <c r="AL390" s="906"/>
      <c r="AM390" s="771"/>
      <c r="AN390" s="886"/>
      <c r="AO390" s="884"/>
    </row>
    <row r="391" spans="1:41" ht="12" customHeight="1" x14ac:dyDescent="0.2">
      <c r="A391" s="771"/>
      <c r="B391" s="1266"/>
      <c r="C391" s="771"/>
      <c r="D391" s="897"/>
      <c r="E391" s="920"/>
      <c r="F391" s="920"/>
      <c r="G391" s="920"/>
      <c r="H391" s="920"/>
      <c r="I391" s="920"/>
      <c r="J391" s="920"/>
      <c r="K391" s="898"/>
      <c r="L391" s="897"/>
      <c r="M391" s="920"/>
      <c r="N391" s="920"/>
      <c r="O391" s="920"/>
      <c r="P391" s="920"/>
      <c r="Q391" s="920"/>
      <c r="R391" s="920"/>
      <c r="S391" s="771"/>
      <c r="T391" s="771"/>
      <c r="U391" s="773"/>
      <c r="V391" s="1266"/>
      <c r="W391" s="773"/>
      <c r="X391" s="902"/>
      <c r="Y391" s="906"/>
      <c r="Z391" s="906"/>
      <c r="AA391" s="906"/>
      <c r="AB391" s="906"/>
      <c r="AC391" s="906"/>
      <c r="AD391" s="906"/>
      <c r="AE391" s="903"/>
      <c r="AF391" s="902"/>
      <c r="AG391" s="906"/>
      <c r="AH391" s="906"/>
      <c r="AI391" s="906"/>
      <c r="AJ391" s="906"/>
      <c r="AK391" s="906"/>
      <c r="AL391" s="906"/>
      <c r="AM391" s="771"/>
      <c r="AN391" s="886"/>
      <c r="AO391" s="884"/>
    </row>
    <row r="392" spans="1:41" ht="12" customHeight="1" x14ac:dyDescent="0.2">
      <c r="A392" s="771"/>
      <c r="B392" s="1266"/>
      <c r="C392" s="771"/>
      <c r="D392" s="918"/>
      <c r="E392" s="921"/>
      <c r="F392" s="921"/>
      <c r="G392" s="921"/>
      <c r="H392" s="921"/>
      <c r="I392" s="921"/>
      <c r="J392" s="921"/>
      <c r="K392" s="898"/>
      <c r="L392" s="918"/>
      <c r="M392" s="921"/>
      <c r="N392" s="921"/>
      <c r="O392" s="921"/>
      <c r="P392" s="921"/>
      <c r="Q392" s="921"/>
      <c r="R392" s="921"/>
      <c r="S392" s="771"/>
      <c r="T392" s="771"/>
      <c r="U392" s="773"/>
      <c r="V392" s="1266"/>
      <c r="W392" s="773"/>
      <c r="X392" s="820"/>
      <c r="Y392" s="908"/>
      <c r="Z392" s="908"/>
      <c r="AA392" s="908"/>
      <c r="AB392" s="908"/>
      <c r="AC392" s="908"/>
      <c r="AD392" s="908"/>
      <c r="AE392" s="903"/>
      <c r="AF392" s="820"/>
      <c r="AG392" s="908"/>
      <c r="AH392" s="908"/>
      <c r="AI392" s="908"/>
      <c r="AJ392" s="908"/>
      <c r="AK392" s="908"/>
      <c r="AL392" s="908"/>
      <c r="AM392" s="771"/>
      <c r="AN392" s="886"/>
      <c r="AO392" s="884"/>
    </row>
    <row r="393" spans="1:41" ht="12" customHeight="1" x14ac:dyDescent="0.2">
      <c r="A393" s="771"/>
      <c r="B393" s="1266"/>
      <c r="C393" s="771"/>
      <c r="D393" s="929"/>
      <c r="E393" s="922"/>
      <c r="F393" s="922"/>
      <c r="G393" s="922"/>
      <c r="H393" s="922"/>
      <c r="I393" s="922"/>
      <c r="J393" s="922"/>
      <c r="K393" s="898"/>
      <c r="L393" s="929"/>
      <c r="M393" s="922"/>
      <c r="N393" s="922"/>
      <c r="O393" s="922"/>
      <c r="P393" s="922"/>
      <c r="Q393" s="922"/>
      <c r="R393" s="922"/>
      <c r="S393" s="771"/>
      <c r="T393" s="771"/>
      <c r="U393" s="773"/>
      <c r="V393" s="1266"/>
      <c r="W393" s="773"/>
      <c r="X393" s="910"/>
      <c r="Y393" s="911"/>
      <c r="Z393" s="911"/>
      <c r="AA393" s="911"/>
      <c r="AB393" s="911"/>
      <c r="AC393" s="911"/>
      <c r="AD393" s="911"/>
      <c r="AE393" s="903"/>
      <c r="AF393" s="910"/>
      <c r="AG393" s="911"/>
      <c r="AH393" s="911"/>
      <c r="AI393" s="911"/>
      <c r="AJ393" s="911"/>
      <c r="AK393" s="911"/>
      <c r="AL393" s="911"/>
      <c r="AM393" s="771"/>
      <c r="AN393" s="886"/>
      <c r="AO393" s="884"/>
    </row>
    <row r="394" spans="1:41" ht="12" customHeight="1" x14ac:dyDescent="0.2">
      <c r="A394" s="771"/>
      <c r="B394" s="1266"/>
      <c r="C394" s="771"/>
      <c r="D394" s="927"/>
      <c r="E394" s="922"/>
      <c r="F394" s="922"/>
      <c r="G394" s="922"/>
      <c r="H394" s="922"/>
      <c r="I394" s="922"/>
      <c r="J394" s="922"/>
      <c r="K394" s="898"/>
      <c r="L394" s="927"/>
      <c r="M394" s="922"/>
      <c r="N394" s="922"/>
      <c r="O394" s="922"/>
      <c r="P394" s="922"/>
      <c r="Q394" s="922"/>
      <c r="R394" s="922"/>
      <c r="S394" s="771"/>
      <c r="T394" s="771"/>
      <c r="U394" s="773"/>
      <c r="V394" s="1266"/>
      <c r="W394" s="773"/>
      <c r="X394" s="887"/>
      <c r="Y394" s="911"/>
      <c r="Z394" s="911"/>
      <c r="AA394" s="911"/>
      <c r="AB394" s="911"/>
      <c r="AC394" s="911"/>
      <c r="AD394" s="911"/>
      <c r="AE394" s="903"/>
      <c r="AF394" s="887"/>
      <c r="AG394" s="911"/>
      <c r="AH394" s="911"/>
      <c r="AI394" s="911"/>
      <c r="AJ394" s="911"/>
      <c r="AK394" s="911"/>
      <c r="AL394" s="911"/>
      <c r="AM394" s="771"/>
      <c r="AN394" s="886"/>
      <c r="AO394" s="884"/>
    </row>
    <row r="395" spans="1:41" ht="12" customHeight="1" x14ac:dyDescent="0.2">
      <c r="A395" s="771"/>
      <c r="B395" s="1266"/>
      <c r="C395" s="771"/>
      <c r="D395" s="927"/>
      <c r="E395" s="922"/>
      <c r="F395" s="922"/>
      <c r="G395" s="922"/>
      <c r="H395" s="922"/>
      <c r="I395" s="922"/>
      <c r="J395" s="922"/>
      <c r="K395" s="898"/>
      <c r="L395" s="927"/>
      <c r="M395" s="922"/>
      <c r="N395" s="922"/>
      <c r="O395" s="922"/>
      <c r="P395" s="922"/>
      <c r="Q395" s="922"/>
      <c r="R395" s="922"/>
      <c r="S395" s="771"/>
      <c r="T395" s="771"/>
      <c r="U395" s="773"/>
      <c r="V395" s="1266"/>
      <c r="W395" s="773"/>
      <c r="X395" s="887"/>
      <c r="Y395" s="911"/>
      <c r="Z395" s="911"/>
      <c r="AA395" s="911"/>
      <c r="AB395" s="911"/>
      <c r="AC395" s="911"/>
      <c r="AD395" s="911"/>
      <c r="AE395" s="903"/>
      <c r="AF395" s="887"/>
      <c r="AG395" s="911"/>
      <c r="AH395" s="911"/>
      <c r="AI395" s="911"/>
      <c r="AJ395" s="911"/>
      <c r="AK395" s="911"/>
      <c r="AL395" s="911"/>
      <c r="AM395" s="771"/>
      <c r="AN395" s="886"/>
      <c r="AO395" s="884"/>
    </row>
    <row r="396" spans="1:41" ht="12" customHeight="1" x14ac:dyDescent="0.2">
      <c r="A396" s="771"/>
      <c r="B396" s="1266"/>
      <c r="C396" s="771"/>
      <c r="D396" s="936"/>
      <c r="E396" s="913"/>
      <c r="F396" s="913"/>
      <c r="G396" s="913"/>
      <c r="H396" s="913"/>
      <c r="I396" s="918"/>
      <c r="J396" s="921"/>
      <c r="K396" s="898"/>
      <c r="L396" s="936"/>
      <c r="M396" s="913"/>
      <c r="N396" s="913"/>
      <c r="O396" s="913"/>
      <c r="P396" s="913"/>
      <c r="Q396" s="918"/>
      <c r="R396" s="921"/>
      <c r="S396" s="771"/>
      <c r="T396" s="771"/>
      <c r="U396" s="773"/>
      <c r="V396" s="1266"/>
      <c r="W396" s="773"/>
      <c r="X396" s="926"/>
      <c r="Y396" s="907"/>
      <c r="Z396" s="909"/>
      <c r="AA396" s="909"/>
      <c r="AB396" s="909"/>
      <c r="AC396" s="820"/>
      <c r="AD396" s="908"/>
      <c r="AE396" s="903"/>
      <c r="AF396" s="926"/>
      <c r="AG396" s="907"/>
      <c r="AH396" s="907"/>
      <c r="AI396" s="907"/>
      <c r="AJ396" s="907"/>
      <c r="AK396" s="820"/>
      <c r="AL396" s="908"/>
      <c r="AM396" s="771"/>
      <c r="AN396" s="886"/>
      <c r="AO396" s="884"/>
    </row>
    <row r="397" spans="1:41" ht="12" customHeight="1" x14ac:dyDescent="0.2">
      <c r="A397" s="771"/>
      <c r="B397" s="1266"/>
      <c r="C397" s="771"/>
      <c r="D397" s="771"/>
      <c r="E397" s="771"/>
      <c r="F397" s="771"/>
      <c r="G397" s="771"/>
      <c r="H397" s="771"/>
      <c r="I397" s="771"/>
      <c r="J397" s="771"/>
      <c r="K397" s="771"/>
      <c r="L397" s="771"/>
      <c r="M397" s="771"/>
      <c r="N397" s="771"/>
      <c r="O397" s="771"/>
      <c r="P397" s="771"/>
      <c r="Q397" s="771"/>
      <c r="R397" s="771"/>
      <c r="S397" s="913"/>
      <c r="T397" s="771"/>
      <c r="U397" s="773"/>
      <c r="V397" s="1266"/>
      <c r="W397" s="773"/>
      <c r="X397" s="773"/>
      <c r="Y397" s="773"/>
      <c r="Z397" s="773"/>
      <c r="AA397" s="773"/>
      <c r="AB397" s="773"/>
      <c r="AC397" s="773"/>
      <c r="AD397" s="773"/>
      <c r="AE397" s="773"/>
      <c r="AF397" s="773"/>
      <c r="AG397" s="773"/>
      <c r="AH397" s="773"/>
      <c r="AI397" s="773"/>
      <c r="AJ397" s="773"/>
      <c r="AK397" s="773"/>
      <c r="AL397" s="773"/>
      <c r="AM397" s="913"/>
      <c r="AN397" s="886"/>
      <c r="AO397" s="884"/>
    </row>
    <row r="398" spans="1:41" ht="12" customHeight="1" x14ac:dyDescent="0.2">
      <c r="A398" s="771"/>
      <c r="B398" s="1266"/>
      <c r="C398" s="771"/>
      <c r="D398" s="771"/>
      <c r="E398" s="771"/>
      <c r="F398" s="771"/>
      <c r="G398" s="771"/>
      <c r="H398" s="771"/>
      <c r="I398" s="771"/>
      <c r="J398" s="771"/>
      <c r="K398" s="771"/>
      <c r="L398" s="771"/>
      <c r="M398" s="771"/>
      <c r="N398" s="771"/>
      <c r="O398" s="771"/>
      <c r="P398" s="771"/>
      <c r="Q398" s="771"/>
      <c r="R398" s="771"/>
      <c r="S398" s="913"/>
      <c r="T398" s="771"/>
      <c r="U398" s="773"/>
      <c r="V398" s="1266"/>
      <c r="W398" s="773"/>
      <c r="X398" s="773"/>
      <c r="Y398" s="773"/>
      <c r="Z398" s="773"/>
      <c r="AA398" s="773"/>
      <c r="AB398" s="773"/>
      <c r="AC398" s="773"/>
      <c r="AD398" s="773"/>
      <c r="AE398" s="773"/>
      <c r="AF398" s="773"/>
      <c r="AG398" s="773"/>
      <c r="AH398" s="773"/>
      <c r="AI398" s="773"/>
      <c r="AJ398" s="773"/>
      <c r="AK398" s="773"/>
      <c r="AL398" s="773"/>
      <c r="AM398" s="913"/>
      <c r="AN398" s="886"/>
      <c r="AO398" s="884"/>
    </row>
    <row r="399" spans="1:41" ht="12" customHeight="1" x14ac:dyDescent="0.2">
      <c r="A399" s="771"/>
      <c r="B399" s="1266"/>
      <c r="C399" s="771"/>
      <c r="D399" s="771"/>
      <c r="E399" s="771"/>
      <c r="F399" s="771"/>
      <c r="G399" s="771"/>
      <c r="H399" s="771"/>
      <c r="I399" s="771"/>
      <c r="J399" s="771"/>
      <c r="K399" s="771"/>
      <c r="L399" s="771"/>
      <c r="M399" s="771"/>
      <c r="N399" s="771"/>
      <c r="O399" s="771"/>
      <c r="P399" s="771"/>
      <c r="Q399" s="771"/>
      <c r="R399" s="771"/>
      <c r="S399" s="771"/>
      <c r="T399" s="771"/>
      <c r="U399" s="773"/>
      <c r="V399" s="1266"/>
      <c r="W399" s="773"/>
      <c r="X399" s="773"/>
      <c r="Y399" s="773"/>
      <c r="Z399" s="773"/>
      <c r="AA399" s="773"/>
      <c r="AB399" s="773"/>
      <c r="AC399" s="773"/>
      <c r="AD399" s="773"/>
      <c r="AE399" s="773"/>
      <c r="AF399" s="773"/>
      <c r="AG399" s="773"/>
      <c r="AH399" s="773"/>
      <c r="AI399" s="773"/>
      <c r="AJ399" s="773"/>
      <c r="AK399" s="773"/>
      <c r="AL399" s="773"/>
      <c r="AM399" s="771"/>
      <c r="AN399" s="886"/>
      <c r="AO399" s="884"/>
    </row>
    <row r="400" spans="1:41" ht="12" customHeight="1" x14ac:dyDescent="0.2">
      <c r="A400" s="771"/>
      <c r="B400" s="1266"/>
      <c r="C400" s="771"/>
      <c r="D400" s="771"/>
      <c r="E400" s="771"/>
      <c r="F400" s="771"/>
      <c r="G400" s="771"/>
      <c r="H400" s="771"/>
      <c r="I400" s="771"/>
      <c r="J400" s="771"/>
      <c r="K400" s="771"/>
      <c r="L400" s="771"/>
      <c r="M400" s="771"/>
      <c r="N400" s="771"/>
      <c r="O400" s="771"/>
      <c r="P400" s="771"/>
      <c r="Q400" s="771"/>
      <c r="R400" s="771"/>
      <c r="S400" s="771"/>
      <c r="T400" s="771"/>
      <c r="U400" s="773"/>
      <c r="V400" s="1266"/>
      <c r="W400" s="773"/>
      <c r="X400" s="773"/>
      <c r="Y400" s="773"/>
      <c r="Z400" s="773"/>
      <c r="AA400" s="773"/>
      <c r="AB400" s="773"/>
      <c r="AC400" s="773"/>
      <c r="AD400" s="773"/>
      <c r="AE400" s="773"/>
      <c r="AF400" s="773"/>
      <c r="AG400" s="773"/>
      <c r="AH400" s="773"/>
      <c r="AI400" s="773"/>
      <c r="AJ400" s="773"/>
      <c r="AK400" s="773"/>
      <c r="AL400" s="773"/>
      <c r="AM400" s="771"/>
      <c r="AN400" s="886"/>
      <c r="AO400" s="884"/>
    </row>
    <row r="401" spans="1:41" ht="12" customHeight="1" x14ac:dyDescent="0.2">
      <c r="A401" s="771"/>
      <c r="B401" s="1266"/>
      <c r="C401" s="771"/>
      <c r="D401" s="927"/>
      <c r="E401" s="927"/>
      <c r="F401" s="927"/>
      <c r="G401" s="927"/>
      <c r="H401" s="927"/>
      <c r="I401" s="927"/>
      <c r="J401" s="927"/>
      <c r="K401" s="927"/>
      <c r="L401" s="927"/>
      <c r="M401" s="927"/>
      <c r="N401" s="927"/>
      <c r="O401" s="927"/>
      <c r="P401" s="927"/>
      <c r="Q401" s="927"/>
      <c r="R401" s="927"/>
      <c r="S401" s="771"/>
      <c r="T401" s="771"/>
      <c r="U401" s="773"/>
      <c r="V401" s="1266"/>
      <c r="W401" s="773"/>
      <c r="X401" s="887"/>
      <c r="Y401" s="887"/>
      <c r="Z401" s="887"/>
      <c r="AA401" s="887"/>
      <c r="AB401" s="887"/>
      <c r="AC401" s="887"/>
      <c r="AD401" s="887"/>
      <c r="AE401" s="887"/>
      <c r="AF401" s="887"/>
      <c r="AG401" s="887"/>
      <c r="AH401" s="887"/>
      <c r="AI401" s="887"/>
      <c r="AJ401" s="887"/>
      <c r="AK401" s="887"/>
      <c r="AL401" s="887"/>
      <c r="AM401" s="771"/>
      <c r="AN401" s="886"/>
      <c r="AO401" s="884"/>
    </row>
    <row r="402" spans="1:41" ht="12" customHeight="1" x14ac:dyDescent="0.2">
      <c r="A402" s="771"/>
      <c r="B402" s="1266"/>
      <c r="C402" s="771"/>
      <c r="D402" s="927"/>
      <c r="E402" s="927"/>
      <c r="F402" s="927"/>
      <c r="G402" s="927"/>
      <c r="H402" s="927"/>
      <c r="I402" s="927"/>
      <c r="J402" s="927"/>
      <c r="K402" s="928"/>
      <c r="L402" s="897"/>
      <c r="M402" s="897"/>
      <c r="N402" s="897"/>
      <c r="O402" s="897"/>
      <c r="P402" s="897"/>
      <c r="Q402" s="897"/>
      <c r="R402" s="919"/>
      <c r="S402" s="771"/>
      <c r="T402" s="771"/>
      <c r="U402" s="773"/>
      <c r="V402" s="1266"/>
      <c r="W402" s="773"/>
      <c r="X402" s="887"/>
      <c r="Y402" s="887"/>
      <c r="Z402" s="887"/>
      <c r="AA402" s="887"/>
      <c r="AB402" s="887"/>
      <c r="AC402" s="887"/>
      <c r="AD402" s="887"/>
      <c r="AE402" s="888"/>
      <c r="AF402" s="889"/>
      <c r="AG402" s="889"/>
      <c r="AH402" s="889"/>
      <c r="AI402" s="889"/>
      <c r="AJ402" s="889"/>
      <c r="AK402" s="889"/>
      <c r="AL402" s="890"/>
      <c r="AM402" s="771"/>
      <c r="AN402" s="886"/>
      <c r="AO402" s="884"/>
    </row>
    <row r="403" spans="1:41" ht="12" customHeight="1" x14ac:dyDescent="0.2">
      <c r="A403" s="771"/>
      <c r="B403" s="1266"/>
      <c r="C403" s="771"/>
      <c r="D403" s="927"/>
      <c r="E403" s="927"/>
      <c r="F403" s="927"/>
      <c r="G403" s="927"/>
      <c r="H403" s="927"/>
      <c r="I403" s="927"/>
      <c r="J403" s="927"/>
      <c r="K403" s="897"/>
      <c r="L403" s="897"/>
      <c r="M403" s="897"/>
      <c r="N403" s="897"/>
      <c r="O403" s="897"/>
      <c r="P403" s="897"/>
      <c r="Q403" s="897"/>
      <c r="R403" s="927"/>
      <c r="S403" s="771"/>
      <c r="T403" s="771"/>
      <c r="U403" s="773"/>
      <c r="V403" s="1266"/>
      <c r="W403" s="773"/>
      <c r="X403" s="887"/>
      <c r="Y403" s="887"/>
      <c r="Z403" s="887"/>
      <c r="AA403" s="887"/>
      <c r="AB403" s="887"/>
      <c r="AC403" s="887"/>
      <c r="AD403" s="887"/>
      <c r="AE403" s="889"/>
      <c r="AF403" s="889"/>
      <c r="AG403" s="889"/>
      <c r="AH403" s="889"/>
      <c r="AI403" s="889"/>
      <c r="AJ403" s="889"/>
      <c r="AK403" s="889"/>
      <c r="AL403" s="887"/>
      <c r="AM403" s="771"/>
      <c r="AN403" s="886"/>
      <c r="AO403" s="884"/>
    </row>
    <row r="404" spans="1:41" ht="12" customHeight="1" x14ac:dyDescent="0.2">
      <c r="A404" s="771"/>
      <c r="B404" s="1266"/>
      <c r="C404" s="771"/>
      <c r="D404" s="927"/>
      <c r="E404" s="927"/>
      <c r="F404" s="927"/>
      <c r="G404" s="927"/>
      <c r="H404" s="927"/>
      <c r="I404" s="927"/>
      <c r="J404" s="927"/>
      <c r="K404" s="928"/>
      <c r="L404" s="897"/>
      <c r="M404" s="897"/>
      <c r="N404" s="897"/>
      <c r="O404" s="897"/>
      <c r="P404" s="897"/>
      <c r="Q404" s="897"/>
      <c r="R404" s="927"/>
      <c r="S404" s="771"/>
      <c r="T404" s="771"/>
      <c r="U404" s="773"/>
      <c r="V404" s="1266"/>
      <c r="W404" s="773"/>
      <c r="X404" s="887"/>
      <c r="Y404" s="887"/>
      <c r="Z404" s="887"/>
      <c r="AA404" s="887"/>
      <c r="AB404" s="887"/>
      <c r="AC404" s="887"/>
      <c r="AD404" s="887"/>
      <c r="AE404" s="888"/>
      <c r="AF404" s="889"/>
      <c r="AG404" s="889"/>
      <c r="AH404" s="889"/>
      <c r="AI404" s="889"/>
      <c r="AJ404" s="889"/>
      <c r="AK404" s="889"/>
      <c r="AL404" s="887"/>
      <c r="AM404" s="771"/>
      <c r="AN404" s="886"/>
      <c r="AO404" s="884"/>
    </row>
    <row r="405" spans="1:41" ht="12" customHeight="1" x14ac:dyDescent="0.2">
      <c r="A405" s="771"/>
      <c r="B405" s="1266"/>
      <c r="C405" s="771"/>
      <c r="D405" s="927"/>
      <c r="E405" s="927"/>
      <c r="F405" s="927"/>
      <c r="G405" s="927"/>
      <c r="H405" s="927"/>
      <c r="I405" s="927"/>
      <c r="J405" s="927"/>
      <c r="K405" s="897"/>
      <c r="L405" s="897"/>
      <c r="M405" s="897"/>
      <c r="N405" s="897"/>
      <c r="O405" s="897"/>
      <c r="P405" s="897"/>
      <c r="Q405" s="897"/>
      <c r="R405" s="927"/>
      <c r="S405" s="771"/>
      <c r="T405" s="771"/>
      <c r="U405" s="773"/>
      <c r="V405" s="1266"/>
      <c r="W405" s="773"/>
      <c r="X405" s="887"/>
      <c r="Y405" s="887"/>
      <c r="Z405" s="887"/>
      <c r="AA405" s="887"/>
      <c r="AB405" s="887"/>
      <c r="AC405" s="887"/>
      <c r="AD405" s="887"/>
      <c r="AE405" s="889"/>
      <c r="AF405" s="889"/>
      <c r="AG405" s="889"/>
      <c r="AH405" s="889"/>
      <c r="AI405" s="889"/>
      <c r="AJ405" s="889"/>
      <c r="AK405" s="889"/>
      <c r="AL405" s="887"/>
      <c r="AM405" s="771"/>
      <c r="AN405" s="886"/>
      <c r="AO405" s="884"/>
    </row>
    <row r="406" spans="1:41" ht="12" customHeight="1" x14ac:dyDescent="0.2">
      <c r="A406" s="771"/>
      <c r="B406" s="1266"/>
      <c r="C406" s="771"/>
      <c r="D406" s="927"/>
      <c r="E406" s="927"/>
      <c r="F406" s="927"/>
      <c r="G406" s="927"/>
      <c r="H406" s="927"/>
      <c r="I406" s="927"/>
      <c r="J406" s="927"/>
      <c r="K406" s="927"/>
      <c r="L406" s="927"/>
      <c r="M406" s="927"/>
      <c r="N406" s="927"/>
      <c r="O406" s="927"/>
      <c r="P406" s="927"/>
      <c r="Q406" s="927"/>
      <c r="R406" s="927"/>
      <c r="S406" s="771"/>
      <c r="T406" s="771"/>
      <c r="U406" s="773"/>
      <c r="V406" s="1266"/>
      <c r="W406" s="773"/>
      <c r="X406" s="887"/>
      <c r="Y406" s="887"/>
      <c r="Z406" s="887"/>
      <c r="AA406" s="887"/>
      <c r="AB406" s="887"/>
      <c r="AC406" s="887"/>
      <c r="AD406" s="887"/>
      <c r="AE406" s="887"/>
      <c r="AF406" s="887"/>
      <c r="AG406" s="887"/>
      <c r="AH406" s="887"/>
      <c r="AI406" s="887"/>
      <c r="AJ406" s="887"/>
      <c r="AK406" s="887"/>
      <c r="AL406" s="887"/>
      <c r="AM406" s="771"/>
      <c r="AN406" s="886"/>
      <c r="AO406" s="884"/>
    </row>
    <row r="407" spans="1:41" ht="12" customHeight="1" x14ac:dyDescent="0.2">
      <c r="A407" s="771"/>
      <c r="B407" s="1266"/>
      <c r="C407" s="771"/>
      <c r="D407" s="771"/>
      <c r="E407" s="771"/>
      <c r="F407" s="771"/>
      <c r="G407" s="771"/>
      <c r="H407" s="771"/>
      <c r="I407" s="771"/>
      <c r="J407" s="771"/>
      <c r="K407" s="771"/>
      <c r="L407" s="771"/>
      <c r="M407" s="771"/>
      <c r="N407" s="771"/>
      <c r="O407" s="771"/>
      <c r="P407" s="771"/>
      <c r="Q407" s="771"/>
      <c r="R407" s="771"/>
      <c r="S407" s="771"/>
      <c r="T407" s="771"/>
      <c r="U407" s="773"/>
      <c r="V407" s="1266"/>
      <c r="W407" s="773"/>
      <c r="X407" s="773"/>
      <c r="Y407" s="773"/>
      <c r="Z407" s="773"/>
      <c r="AA407" s="773"/>
      <c r="AB407" s="773"/>
      <c r="AC407" s="773"/>
      <c r="AD407" s="773"/>
      <c r="AE407" s="773"/>
      <c r="AF407" s="773"/>
      <c r="AG407" s="773"/>
      <c r="AH407" s="773"/>
      <c r="AI407" s="773"/>
      <c r="AJ407" s="773"/>
      <c r="AK407" s="773"/>
      <c r="AL407" s="773"/>
      <c r="AM407" s="771"/>
      <c r="AN407" s="886"/>
      <c r="AO407" s="884"/>
    </row>
    <row r="408" spans="1:41" ht="12" customHeight="1" x14ac:dyDescent="0.2">
      <c r="A408" s="771"/>
      <c r="B408" s="1266"/>
      <c r="C408" s="771"/>
      <c r="D408" s="932"/>
      <c r="E408" s="932"/>
      <c r="F408" s="898"/>
      <c r="G408" s="898"/>
      <c r="H408" s="898"/>
      <c r="I408" s="898"/>
      <c r="J408" s="923"/>
      <c r="K408" s="771"/>
      <c r="L408" s="932"/>
      <c r="M408" s="932"/>
      <c r="N408" s="898"/>
      <c r="O408" s="898"/>
      <c r="P408" s="898"/>
      <c r="Q408" s="898"/>
      <c r="R408" s="923"/>
      <c r="S408" s="771"/>
      <c r="T408" s="771"/>
      <c r="U408" s="773"/>
      <c r="V408" s="1266"/>
      <c r="W408" s="773"/>
      <c r="X408" s="891"/>
      <c r="Y408" s="891"/>
      <c r="Z408" s="892"/>
      <c r="AA408" s="892"/>
      <c r="AB408" s="892"/>
      <c r="AC408" s="892"/>
      <c r="AD408" s="893"/>
      <c r="AE408" s="773"/>
      <c r="AF408" s="891"/>
      <c r="AG408" s="891"/>
      <c r="AH408" s="892"/>
      <c r="AI408" s="892"/>
      <c r="AJ408" s="892"/>
      <c r="AK408" s="892"/>
      <c r="AL408" s="893"/>
      <c r="AM408" s="771"/>
      <c r="AN408" s="886"/>
      <c r="AO408" s="884"/>
    </row>
    <row r="409" spans="1:41" ht="12" customHeight="1" x14ac:dyDescent="0.2">
      <c r="A409" s="771"/>
      <c r="B409" s="1266"/>
      <c r="C409" s="771"/>
      <c r="D409" s="933"/>
      <c r="E409" s="933"/>
      <c r="F409" s="898"/>
      <c r="G409" s="898"/>
      <c r="H409" s="898"/>
      <c r="I409" s="898"/>
      <c r="J409" s="900"/>
      <c r="K409" s="901"/>
      <c r="L409" s="933"/>
      <c r="M409" s="933"/>
      <c r="N409" s="898"/>
      <c r="O409" s="898"/>
      <c r="P409" s="898"/>
      <c r="Q409" s="898"/>
      <c r="R409" s="900"/>
      <c r="S409" s="771"/>
      <c r="T409" s="771"/>
      <c r="U409" s="773"/>
      <c r="V409" s="1266"/>
      <c r="W409" s="773"/>
      <c r="X409" s="894"/>
      <c r="Y409" s="894"/>
      <c r="Z409" s="892"/>
      <c r="AA409" s="892"/>
      <c r="AB409" s="892"/>
      <c r="AC409" s="892"/>
      <c r="AD409" s="895"/>
      <c r="AE409" s="896"/>
      <c r="AF409" s="894"/>
      <c r="AG409" s="894"/>
      <c r="AH409" s="892"/>
      <c r="AI409" s="892"/>
      <c r="AJ409" s="892"/>
      <c r="AK409" s="892"/>
      <c r="AL409" s="895"/>
      <c r="AM409" s="771"/>
      <c r="AN409" s="886"/>
      <c r="AO409" s="884"/>
    </row>
    <row r="410" spans="1:41" ht="12" customHeight="1" x14ac:dyDescent="0.2">
      <c r="A410" s="771"/>
      <c r="B410" s="1266"/>
      <c r="C410" s="771"/>
      <c r="D410" s="897"/>
      <c r="E410" s="897"/>
      <c r="F410" s="898"/>
      <c r="G410" s="898"/>
      <c r="H410" s="898"/>
      <c r="I410" s="899"/>
      <c r="J410" s="900"/>
      <c r="K410" s="901"/>
      <c r="L410" s="897"/>
      <c r="M410" s="897"/>
      <c r="N410" s="898"/>
      <c r="O410" s="898"/>
      <c r="P410" s="898"/>
      <c r="Q410" s="899"/>
      <c r="R410" s="900"/>
      <c r="S410" s="771"/>
      <c r="T410" s="771"/>
      <c r="U410" s="773"/>
      <c r="V410" s="1266"/>
      <c r="W410" s="773"/>
      <c r="X410" s="902"/>
      <c r="Y410" s="902"/>
      <c r="Z410" s="903"/>
      <c r="AA410" s="903"/>
      <c r="AB410" s="903"/>
      <c r="AC410" s="904"/>
      <c r="AD410" s="895"/>
      <c r="AE410" s="896"/>
      <c r="AF410" s="902"/>
      <c r="AG410" s="902"/>
      <c r="AH410" s="903"/>
      <c r="AI410" s="903"/>
      <c r="AJ410" s="903"/>
      <c r="AK410" s="904"/>
      <c r="AL410" s="895"/>
      <c r="AM410" s="771"/>
      <c r="AN410" s="886"/>
      <c r="AO410" s="884"/>
    </row>
    <row r="411" spans="1:41" ht="12" customHeight="1" x14ac:dyDescent="0.2">
      <c r="A411" s="771"/>
      <c r="B411" s="1266"/>
      <c r="C411" s="771"/>
      <c r="D411" s="771"/>
      <c r="E411" s="919"/>
      <c r="F411" s="919"/>
      <c r="G411" s="919"/>
      <c r="H411" s="919"/>
      <c r="I411" s="919"/>
      <c r="J411" s="919"/>
      <c r="K411" s="901"/>
      <c r="L411" s="771"/>
      <c r="M411" s="919"/>
      <c r="N411" s="919"/>
      <c r="O411" s="919"/>
      <c r="P411" s="919"/>
      <c r="Q411" s="919"/>
      <c r="R411" s="919"/>
      <c r="S411" s="771"/>
      <c r="T411" s="771"/>
      <c r="U411" s="773"/>
      <c r="V411" s="1266"/>
      <c r="W411" s="773"/>
      <c r="X411" s="773"/>
      <c r="Y411" s="905"/>
      <c r="Z411" s="905"/>
      <c r="AA411" s="905"/>
      <c r="AB411" s="905"/>
      <c r="AC411" s="905"/>
      <c r="AD411" s="905"/>
      <c r="AE411" s="896"/>
      <c r="AF411" s="773"/>
      <c r="AG411" s="905"/>
      <c r="AH411" s="905"/>
      <c r="AI411" s="905"/>
      <c r="AJ411" s="905"/>
      <c r="AK411" s="905"/>
      <c r="AL411" s="905"/>
      <c r="AM411" s="771"/>
      <c r="AN411" s="886"/>
      <c r="AO411" s="884"/>
    </row>
    <row r="412" spans="1:41" ht="12" customHeight="1" x14ac:dyDescent="0.2">
      <c r="A412" s="771"/>
      <c r="B412" s="1266"/>
      <c r="C412" s="771"/>
      <c r="D412" s="897"/>
      <c r="E412" s="920"/>
      <c r="F412" s="920"/>
      <c r="G412" s="920"/>
      <c r="H412" s="920"/>
      <c r="I412" s="920"/>
      <c r="J412" s="920"/>
      <c r="K412" s="913"/>
      <c r="L412" s="897"/>
      <c r="M412" s="920"/>
      <c r="N412" s="920"/>
      <c r="O412" s="920"/>
      <c r="P412" s="920"/>
      <c r="Q412" s="920"/>
      <c r="R412" s="920"/>
      <c r="S412" s="771"/>
      <c r="T412" s="771"/>
      <c r="U412" s="773"/>
      <c r="V412" s="1266"/>
      <c r="W412" s="773"/>
      <c r="X412" s="902"/>
      <c r="Y412" s="906"/>
      <c r="Z412" s="906"/>
      <c r="AA412" s="906"/>
      <c r="AB412" s="906"/>
      <c r="AC412" s="906"/>
      <c r="AD412" s="906"/>
      <c r="AE412" s="907"/>
      <c r="AF412" s="902"/>
      <c r="AG412" s="906"/>
      <c r="AH412" s="906"/>
      <c r="AI412" s="906"/>
      <c r="AJ412" s="906"/>
      <c r="AK412" s="906"/>
      <c r="AL412" s="906"/>
      <c r="AM412" s="771"/>
      <c r="AN412" s="886"/>
      <c r="AO412" s="884"/>
    </row>
    <row r="413" spans="1:41" ht="12" customHeight="1" x14ac:dyDescent="0.2">
      <c r="A413" s="771"/>
      <c r="B413" s="1266"/>
      <c r="C413" s="771"/>
      <c r="D413" s="897"/>
      <c r="E413" s="920"/>
      <c r="F413" s="920"/>
      <c r="G413" s="920"/>
      <c r="H413" s="920"/>
      <c r="I413" s="920"/>
      <c r="J413" s="920"/>
      <c r="K413" s="918"/>
      <c r="L413" s="897"/>
      <c r="M413" s="920"/>
      <c r="N413" s="920"/>
      <c r="O413" s="920"/>
      <c r="P413" s="920"/>
      <c r="Q413" s="920"/>
      <c r="R413" s="920"/>
      <c r="S413" s="771"/>
      <c r="T413" s="771"/>
      <c r="U413" s="773"/>
      <c r="V413" s="1266"/>
      <c r="W413" s="773"/>
      <c r="X413" s="902"/>
      <c r="Y413" s="906"/>
      <c r="Z413" s="906"/>
      <c r="AA413" s="906"/>
      <c r="AB413" s="906"/>
      <c r="AC413" s="906"/>
      <c r="AD413" s="906"/>
      <c r="AE413" s="820"/>
      <c r="AF413" s="902"/>
      <c r="AG413" s="906"/>
      <c r="AH413" s="906"/>
      <c r="AI413" s="906"/>
      <c r="AJ413" s="906"/>
      <c r="AK413" s="906"/>
      <c r="AL413" s="906"/>
      <c r="AM413" s="771"/>
      <c r="AN413" s="886"/>
      <c r="AO413" s="884"/>
    </row>
    <row r="414" spans="1:41" ht="12" customHeight="1" x14ac:dyDescent="0.2">
      <c r="A414" s="771"/>
      <c r="B414" s="1266"/>
      <c r="C414" s="771"/>
      <c r="D414" s="918"/>
      <c r="E414" s="921"/>
      <c r="F414" s="921"/>
      <c r="G414" s="921"/>
      <c r="H414" s="921"/>
      <c r="I414" s="921"/>
      <c r="J414" s="921"/>
      <c r="K414" s="913"/>
      <c r="L414" s="918"/>
      <c r="M414" s="921"/>
      <c r="N414" s="921"/>
      <c r="O414" s="921"/>
      <c r="P414" s="921"/>
      <c r="Q414" s="921"/>
      <c r="R414" s="921"/>
      <c r="S414" s="771"/>
      <c r="T414" s="771"/>
      <c r="U414" s="773"/>
      <c r="V414" s="1266"/>
      <c r="W414" s="773"/>
      <c r="X414" s="820"/>
      <c r="Y414" s="908"/>
      <c r="Z414" s="908"/>
      <c r="AA414" s="908"/>
      <c r="AB414" s="908"/>
      <c r="AC414" s="908"/>
      <c r="AD414" s="908"/>
      <c r="AE414" s="909"/>
      <c r="AF414" s="820"/>
      <c r="AG414" s="908"/>
      <c r="AH414" s="908"/>
      <c r="AI414" s="908"/>
      <c r="AJ414" s="908"/>
      <c r="AK414" s="908"/>
      <c r="AL414" s="908"/>
      <c r="AM414" s="771"/>
      <c r="AN414" s="886"/>
      <c r="AO414" s="884"/>
    </row>
    <row r="415" spans="1:41" ht="12" customHeight="1" x14ac:dyDescent="0.2">
      <c r="A415" s="771"/>
      <c r="B415" s="1266"/>
      <c r="C415" s="771"/>
      <c r="D415" s="929"/>
      <c r="E415" s="922"/>
      <c r="F415" s="922"/>
      <c r="G415" s="922"/>
      <c r="H415" s="922"/>
      <c r="I415" s="922"/>
      <c r="J415" s="922"/>
      <c r="K415" s="913"/>
      <c r="L415" s="929"/>
      <c r="M415" s="922"/>
      <c r="N415" s="922"/>
      <c r="O415" s="922"/>
      <c r="P415" s="922"/>
      <c r="Q415" s="922"/>
      <c r="R415" s="922"/>
      <c r="S415" s="771"/>
      <c r="T415" s="771"/>
      <c r="U415" s="773"/>
      <c r="V415" s="1266"/>
      <c r="W415" s="773"/>
      <c r="X415" s="910"/>
      <c r="Y415" s="911"/>
      <c r="Z415" s="911"/>
      <c r="AA415" s="911"/>
      <c r="AB415" s="911"/>
      <c r="AC415" s="911"/>
      <c r="AD415" s="911"/>
      <c r="AE415" s="909"/>
      <c r="AF415" s="910"/>
      <c r="AG415" s="911"/>
      <c r="AH415" s="911"/>
      <c r="AI415" s="911"/>
      <c r="AJ415" s="911"/>
      <c r="AK415" s="911"/>
      <c r="AL415" s="911"/>
      <c r="AM415" s="771"/>
      <c r="AN415" s="886"/>
      <c r="AO415" s="884"/>
    </row>
    <row r="416" spans="1:41" ht="12" customHeight="1" x14ac:dyDescent="0.2">
      <c r="A416" s="771"/>
      <c r="B416" s="1266"/>
      <c r="C416" s="771"/>
      <c r="D416" s="927"/>
      <c r="E416" s="922"/>
      <c r="F416" s="922"/>
      <c r="G416" s="922"/>
      <c r="H416" s="922"/>
      <c r="I416" s="922"/>
      <c r="J416" s="922"/>
      <c r="K416" s="913"/>
      <c r="L416" s="927"/>
      <c r="M416" s="922"/>
      <c r="N416" s="922"/>
      <c r="O416" s="922"/>
      <c r="P416" s="922"/>
      <c r="Q416" s="922"/>
      <c r="R416" s="922"/>
      <c r="S416" s="771"/>
      <c r="T416" s="771"/>
      <c r="U416" s="773"/>
      <c r="V416" s="1266"/>
      <c r="W416" s="773"/>
      <c r="X416" s="887"/>
      <c r="Y416" s="911"/>
      <c r="Z416" s="911"/>
      <c r="AA416" s="911"/>
      <c r="AB416" s="911"/>
      <c r="AC416" s="911"/>
      <c r="AD416" s="911"/>
      <c r="AE416" s="909"/>
      <c r="AF416" s="887"/>
      <c r="AG416" s="911"/>
      <c r="AH416" s="911"/>
      <c r="AI416" s="911"/>
      <c r="AJ416" s="911"/>
      <c r="AK416" s="911"/>
      <c r="AL416" s="911"/>
      <c r="AM416" s="771"/>
      <c r="AN416" s="886"/>
      <c r="AO416" s="884"/>
    </row>
    <row r="417" spans="1:41" ht="12" customHeight="1" x14ac:dyDescent="0.2">
      <c r="A417" s="771"/>
      <c r="B417" s="1266"/>
      <c r="C417" s="771"/>
      <c r="D417" s="927"/>
      <c r="E417" s="922"/>
      <c r="F417" s="922"/>
      <c r="G417" s="922"/>
      <c r="H417" s="922"/>
      <c r="I417" s="922"/>
      <c r="J417" s="922"/>
      <c r="K417" s="913"/>
      <c r="L417" s="927"/>
      <c r="M417" s="922"/>
      <c r="N417" s="922"/>
      <c r="O417" s="922"/>
      <c r="P417" s="922"/>
      <c r="Q417" s="922"/>
      <c r="R417" s="922"/>
      <c r="S417" s="771"/>
      <c r="T417" s="771"/>
      <c r="U417" s="773"/>
      <c r="V417" s="1266"/>
      <c r="W417" s="773"/>
      <c r="X417" s="887"/>
      <c r="Y417" s="911"/>
      <c r="Z417" s="911"/>
      <c r="AA417" s="911"/>
      <c r="AB417" s="911"/>
      <c r="AC417" s="911"/>
      <c r="AD417" s="911"/>
      <c r="AE417" s="909"/>
      <c r="AF417" s="887"/>
      <c r="AG417" s="911"/>
      <c r="AH417" s="911"/>
      <c r="AI417" s="911"/>
      <c r="AJ417" s="911"/>
      <c r="AK417" s="911"/>
      <c r="AL417" s="911"/>
      <c r="AM417" s="771"/>
      <c r="AN417" s="886"/>
      <c r="AO417" s="884"/>
    </row>
    <row r="418" spans="1:41" ht="12" customHeight="1" x14ac:dyDescent="0.2">
      <c r="A418" s="771"/>
      <c r="B418" s="1266"/>
      <c r="C418" s="771"/>
      <c r="D418" s="927"/>
      <c r="E418" s="927"/>
      <c r="F418" s="927"/>
      <c r="G418" s="927"/>
      <c r="H418" s="927"/>
      <c r="I418" s="927"/>
      <c r="J418" s="927"/>
      <c r="K418" s="913"/>
      <c r="L418" s="913"/>
      <c r="M418" s="913"/>
      <c r="N418" s="930"/>
      <c r="O418" s="913"/>
      <c r="P418" s="913"/>
      <c r="Q418" s="913"/>
      <c r="R418" s="913"/>
      <c r="S418" s="771"/>
      <c r="T418" s="771"/>
      <c r="U418" s="773"/>
      <c r="V418" s="1266"/>
      <c r="W418" s="773"/>
      <c r="X418" s="887"/>
      <c r="Y418" s="887"/>
      <c r="Z418" s="887"/>
      <c r="AA418" s="887"/>
      <c r="AB418" s="887"/>
      <c r="AC418" s="887"/>
      <c r="AD418" s="887"/>
      <c r="AE418" s="909"/>
      <c r="AF418" s="909"/>
      <c r="AG418" s="907"/>
      <c r="AH418" s="912"/>
      <c r="AI418" s="909"/>
      <c r="AJ418" s="909"/>
      <c r="AK418" s="909"/>
      <c r="AL418" s="909"/>
      <c r="AM418" s="771"/>
      <c r="AN418" s="886"/>
      <c r="AO418" s="884"/>
    </row>
    <row r="419" spans="1:41" ht="12" customHeight="1" x14ac:dyDescent="0.2">
      <c r="A419" s="771"/>
      <c r="B419" s="1266"/>
      <c r="C419" s="771"/>
      <c r="D419" s="932"/>
      <c r="E419" s="932"/>
      <c r="F419" s="898"/>
      <c r="G419" s="898"/>
      <c r="H419" s="898"/>
      <c r="I419" s="898"/>
      <c r="J419" s="923"/>
      <c r="K419" s="913"/>
      <c r="L419" s="932"/>
      <c r="M419" s="932"/>
      <c r="N419" s="898"/>
      <c r="O419" s="898"/>
      <c r="P419" s="898"/>
      <c r="Q419" s="898"/>
      <c r="R419" s="923"/>
      <c r="S419" s="771"/>
      <c r="T419" s="771"/>
      <c r="U419" s="773"/>
      <c r="V419" s="1266"/>
      <c r="W419" s="773"/>
      <c r="X419" s="891"/>
      <c r="Y419" s="891"/>
      <c r="Z419" s="892"/>
      <c r="AA419" s="892"/>
      <c r="AB419" s="892"/>
      <c r="AC419" s="892"/>
      <c r="AD419" s="893"/>
      <c r="AE419" s="909"/>
      <c r="AF419" s="891"/>
      <c r="AG419" s="891"/>
      <c r="AH419" s="892"/>
      <c r="AI419" s="892"/>
      <c r="AJ419" s="892"/>
      <c r="AK419" s="892"/>
      <c r="AL419" s="893"/>
      <c r="AM419" s="771"/>
      <c r="AN419" s="886"/>
      <c r="AO419" s="884"/>
    </row>
    <row r="420" spans="1:41" ht="12" customHeight="1" x14ac:dyDescent="0.2">
      <c r="A420" s="771"/>
      <c r="B420" s="1266"/>
      <c r="C420" s="771"/>
      <c r="D420" s="933"/>
      <c r="E420" s="933"/>
      <c r="F420" s="898"/>
      <c r="G420" s="898"/>
      <c r="H420" s="898"/>
      <c r="I420" s="898"/>
      <c r="J420" s="900"/>
      <c r="K420" s="913"/>
      <c r="L420" s="933"/>
      <c r="M420" s="933"/>
      <c r="N420" s="898"/>
      <c r="O420" s="898"/>
      <c r="P420" s="898"/>
      <c r="Q420" s="898"/>
      <c r="R420" s="900"/>
      <c r="S420" s="771"/>
      <c r="T420" s="771"/>
      <c r="U420" s="773"/>
      <c r="V420" s="1266"/>
      <c r="W420" s="773"/>
      <c r="X420" s="894"/>
      <c r="Y420" s="894"/>
      <c r="Z420" s="892"/>
      <c r="AA420" s="892"/>
      <c r="AB420" s="892"/>
      <c r="AC420" s="892"/>
      <c r="AD420" s="895"/>
      <c r="AE420" s="909"/>
      <c r="AF420" s="894"/>
      <c r="AG420" s="894"/>
      <c r="AH420" s="892"/>
      <c r="AI420" s="892"/>
      <c r="AJ420" s="892"/>
      <c r="AK420" s="892"/>
      <c r="AL420" s="895"/>
      <c r="AM420" s="771"/>
      <c r="AN420" s="886"/>
      <c r="AO420" s="884"/>
    </row>
    <row r="421" spans="1:41" ht="12" customHeight="1" x14ac:dyDescent="0.2">
      <c r="A421" s="771"/>
      <c r="B421" s="1266"/>
      <c r="C421" s="771"/>
      <c r="D421" s="897"/>
      <c r="E421" s="897"/>
      <c r="F421" s="898"/>
      <c r="G421" s="898"/>
      <c r="H421" s="898"/>
      <c r="I421" s="899"/>
      <c r="J421" s="900"/>
      <c r="K421" s="913"/>
      <c r="L421" s="897"/>
      <c r="M421" s="897"/>
      <c r="N421" s="898"/>
      <c r="O421" s="898"/>
      <c r="P421" s="898"/>
      <c r="Q421" s="899"/>
      <c r="R421" s="900"/>
      <c r="S421" s="771"/>
      <c r="T421" s="771"/>
      <c r="U421" s="773"/>
      <c r="V421" s="1266"/>
      <c r="W421" s="773"/>
      <c r="X421" s="902"/>
      <c r="Y421" s="902"/>
      <c r="Z421" s="903"/>
      <c r="AA421" s="903"/>
      <c r="AB421" s="903"/>
      <c r="AC421" s="904"/>
      <c r="AD421" s="895"/>
      <c r="AE421" s="909"/>
      <c r="AF421" s="902"/>
      <c r="AG421" s="902"/>
      <c r="AH421" s="903"/>
      <c r="AI421" s="903"/>
      <c r="AJ421" s="903"/>
      <c r="AK421" s="904"/>
      <c r="AL421" s="895"/>
      <c r="AM421" s="771"/>
      <c r="AN421" s="886"/>
      <c r="AO421" s="884"/>
    </row>
    <row r="422" spans="1:41" ht="12" customHeight="1" x14ac:dyDescent="0.2">
      <c r="A422" s="771"/>
      <c r="B422" s="1266"/>
      <c r="C422" s="771"/>
      <c r="D422" s="771"/>
      <c r="E422" s="919"/>
      <c r="F422" s="919"/>
      <c r="G422" s="919"/>
      <c r="H422" s="919"/>
      <c r="I422" s="919"/>
      <c r="J422" s="919"/>
      <c r="K422" s="913"/>
      <c r="L422" s="771"/>
      <c r="M422" s="919"/>
      <c r="N422" s="919"/>
      <c r="O422" s="919"/>
      <c r="P422" s="919"/>
      <c r="Q422" s="919"/>
      <c r="R422" s="919"/>
      <c r="S422" s="771"/>
      <c r="T422" s="771"/>
      <c r="U422" s="773"/>
      <c r="V422" s="1266"/>
      <c r="W422" s="773"/>
      <c r="X422" s="773"/>
      <c r="Y422" s="905"/>
      <c r="Z422" s="905"/>
      <c r="AA422" s="905"/>
      <c r="AB422" s="905"/>
      <c r="AC422" s="905"/>
      <c r="AD422" s="905"/>
      <c r="AE422" s="909"/>
      <c r="AF422" s="773"/>
      <c r="AG422" s="905"/>
      <c r="AH422" s="905"/>
      <c r="AI422" s="905"/>
      <c r="AJ422" s="905"/>
      <c r="AK422" s="905"/>
      <c r="AL422" s="905"/>
      <c r="AM422" s="771"/>
      <c r="AN422" s="886"/>
      <c r="AO422" s="884"/>
    </row>
    <row r="423" spans="1:41" ht="12" customHeight="1" x14ac:dyDescent="0.2">
      <c r="A423" s="771"/>
      <c r="B423" s="1266"/>
      <c r="C423" s="771"/>
      <c r="D423" s="897"/>
      <c r="E423" s="920"/>
      <c r="F423" s="920"/>
      <c r="G423" s="920"/>
      <c r="H423" s="920"/>
      <c r="I423" s="920"/>
      <c r="J423" s="920"/>
      <c r="K423" s="918"/>
      <c r="L423" s="897"/>
      <c r="M423" s="920"/>
      <c r="N423" s="920"/>
      <c r="O423" s="920"/>
      <c r="P423" s="920"/>
      <c r="Q423" s="920"/>
      <c r="R423" s="920"/>
      <c r="S423" s="771"/>
      <c r="T423" s="771"/>
      <c r="U423" s="773"/>
      <c r="V423" s="1266"/>
      <c r="W423" s="773"/>
      <c r="X423" s="902"/>
      <c r="Y423" s="906"/>
      <c r="Z423" s="906"/>
      <c r="AA423" s="906"/>
      <c r="AB423" s="906"/>
      <c r="AC423" s="906"/>
      <c r="AD423" s="906"/>
      <c r="AE423" s="914"/>
      <c r="AF423" s="902"/>
      <c r="AG423" s="906"/>
      <c r="AH423" s="906"/>
      <c r="AI423" s="906"/>
      <c r="AJ423" s="906"/>
      <c r="AK423" s="906"/>
      <c r="AL423" s="906"/>
      <c r="AM423" s="771"/>
      <c r="AN423" s="886"/>
      <c r="AO423" s="884"/>
    </row>
    <row r="424" spans="1:41" ht="12" customHeight="1" x14ac:dyDescent="0.2">
      <c r="A424" s="771"/>
      <c r="B424" s="1266"/>
      <c r="C424" s="771"/>
      <c r="D424" s="897"/>
      <c r="E424" s="920"/>
      <c r="F424" s="920"/>
      <c r="G424" s="920"/>
      <c r="H424" s="920"/>
      <c r="I424" s="920"/>
      <c r="J424" s="920"/>
      <c r="K424" s="918"/>
      <c r="L424" s="897"/>
      <c r="M424" s="920"/>
      <c r="N424" s="920"/>
      <c r="O424" s="920"/>
      <c r="P424" s="920"/>
      <c r="Q424" s="920"/>
      <c r="R424" s="920"/>
      <c r="S424" s="771"/>
      <c r="T424" s="771"/>
      <c r="U424" s="773"/>
      <c r="V424" s="1266"/>
      <c r="W424" s="773"/>
      <c r="X424" s="902"/>
      <c r="Y424" s="906"/>
      <c r="Z424" s="906"/>
      <c r="AA424" s="906"/>
      <c r="AB424" s="906"/>
      <c r="AC424" s="906"/>
      <c r="AD424" s="906"/>
      <c r="AE424" s="914"/>
      <c r="AF424" s="902"/>
      <c r="AG424" s="906"/>
      <c r="AH424" s="906"/>
      <c r="AI424" s="906"/>
      <c r="AJ424" s="906"/>
      <c r="AK424" s="906"/>
      <c r="AL424" s="906"/>
      <c r="AM424" s="771"/>
      <c r="AN424" s="886"/>
      <c r="AO424" s="884"/>
    </row>
    <row r="425" spans="1:41" ht="12" customHeight="1" x14ac:dyDescent="0.2">
      <c r="A425" s="771"/>
      <c r="B425" s="1266"/>
      <c r="C425" s="771"/>
      <c r="D425" s="918"/>
      <c r="E425" s="921"/>
      <c r="F425" s="921"/>
      <c r="G425" s="921"/>
      <c r="H425" s="921"/>
      <c r="I425" s="921"/>
      <c r="J425" s="921"/>
      <c r="K425" s="918"/>
      <c r="L425" s="918"/>
      <c r="M425" s="921"/>
      <c r="N425" s="921"/>
      <c r="O425" s="921"/>
      <c r="P425" s="921"/>
      <c r="Q425" s="921"/>
      <c r="R425" s="921"/>
      <c r="S425" s="771"/>
      <c r="T425" s="771"/>
      <c r="U425" s="773"/>
      <c r="V425" s="1266"/>
      <c r="W425" s="773"/>
      <c r="X425" s="820"/>
      <c r="Y425" s="908"/>
      <c r="Z425" s="908"/>
      <c r="AA425" s="908"/>
      <c r="AB425" s="908"/>
      <c r="AC425" s="908"/>
      <c r="AD425" s="908"/>
      <c r="AE425" s="820"/>
      <c r="AF425" s="820"/>
      <c r="AG425" s="908"/>
      <c r="AH425" s="908"/>
      <c r="AI425" s="908"/>
      <c r="AJ425" s="908"/>
      <c r="AK425" s="908"/>
      <c r="AL425" s="908"/>
      <c r="AM425" s="771"/>
      <c r="AN425" s="886"/>
      <c r="AO425" s="884"/>
    </row>
    <row r="426" spans="1:41" ht="12" customHeight="1" x14ac:dyDescent="0.2">
      <c r="A426" s="771"/>
      <c r="B426" s="1266"/>
      <c r="C426" s="771"/>
      <c r="D426" s="929"/>
      <c r="E426" s="922"/>
      <c r="F426" s="922"/>
      <c r="G426" s="922"/>
      <c r="H426" s="922"/>
      <c r="I426" s="922"/>
      <c r="J426" s="922"/>
      <c r="K426" s="776"/>
      <c r="L426" s="929"/>
      <c r="M426" s="922"/>
      <c r="N426" s="922"/>
      <c r="O426" s="922"/>
      <c r="P426" s="922"/>
      <c r="Q426" s="922"/>
      <c r="R426" s="922"/>
      <c r="S426" s="771"/>
      <c r="T426" s="771"/>
      <c r="U426" s="773"/>
      <c r="V426" s="1266"/>
      <c r="W426" s="773"/>
      <c r="X426" s="910"/>
      <c r="Y426" s="911"/>
      <c r="Z426" s="911"/>
      <c r="AA426" s="911"/>
      <c r="AB426" s="911"/>
      <c r="AC426" s="911"/>
      <c r="AD426" s="911"/>
      <c r="AE426" s="915"/>
      <c r="AF426" s="910"/>
      <c r="AG426" s="911"/>
      <c r="AH426" s="911"/>
      <c r="AI426" s="911"/>
      <c r="AJ426" s="911"/>
      <c r="AK426" s="911"/>
      <c r="AL426" s="911"/>
      <c r="AM426" s="771"/>
      <c r="AN426" s="886"/>
      <c r="AO426" s="884"/>
    </row>
    <row r="427" spans="1:41" ht="12" customHeight="1" x14ac:dyDescent="0.2">
      <c r="A427" s="771"/>
      <c r="B427" s="1266"/>
      <c r="C427" s="771"/>
      <c r="D427" s="927"/>
      <c r="E427" s="922"/>
      <c r="F427" s="922"/>
      <c r="G427" s="922"/>
      <c r="H427" s="922"/>
      <c r="I427" s="922"/>
      <c r="J427" s="922"/>
      <c r="K427" s="918"/>
      <c r="L427" s="927"/>
      <c r="M427" s="922"/>
      <c r="N427" s="922"/>
      <c r="O427" s="922"/>
      <c r="P427" s="922"/>
      <c r="Q427" s="922"/>
      <c r="R427" s="922"/>
      <c r="S427" s="771"/>
      <c r="T427" s="771"/>
      <c r="U427" s="773"/>
      <c r="V427" s="1266"/>
      <c r="W427" s="773"/>
      <c r="X427" s="887"/>
      <c r="Y427" s="911"/>
      <c r="Z427" s="911"/>
      <c r="AA427" s="911"/>
      <c r="AB427" s="911"/>
      <c r="AC427" s="911"/>
      <c r="AD427" s="911"/>
      <c r="AE427" s="914"/>
      <c r="AF427" s="887"/>
      <c r="AG427" s="911"/>
      <c r="AH427" s="911"/>
      <c r="AI427" s="911"/>
      <c r="AJ427" s="911"/>
      <c r="AK427" s="911"/>
      <c r="AL427" s="911"/>
      <c r="AM427" s="771"/>
      <c r="AN427" s="886"/>
      <c r="AO427" s="884"/>
    </row>
    <row r="428" spans="1:41" ht="12" customHeight="1" x14ac:dyDescent="0.2">
      <c r="A428" s="771"/>
      <c r="B428" s="1266"/>
      <c r="C428" s="771"/>
      <c r="D428" s="927"/>
      <c r="E428" s="922"/>
      <c r="F428" s="922"/>
      <c r="G428" s="922"/>
      <c r="H428" s="922"/>
      <c r="I428" s="922"/>
      <c r="J428" s="922"/>
      <c r="K428" s="918"/>
      <c r="L428" s="927"/>
      <c r="M428" s="922"/>
      <c r="N428" s="922"/>
      <c r="O428" s="922"/>
      <c r="P428" s="922"/>
      <c r="Q428" s="922"/>
      <c r="R428" s="922"/>
      <c r="S428" s="771"/>
      <c r="T428" s="771"/>
      <c r="U428" s="773"/>
      <c r="V428" s="1266"/>
      <c r="W428" s="773"/>
      <c r="X428" s="887"/>
      <c r="Y428" s="911"/>
      <c r="Z428" s="911"/>
      <c r="AA428" s="911"/>
      <c r="AB428" s="911"/>
      <c r="AC428" s="911"/>
      <c r="AD428" s="911"/>
      <c r="AE428" s="914"/>
      <c r="AF428" s="887"/>
      <c r="AG428" s="911"/>
      <c r="AH428" s="911"/>
      <c r="AI428" s="911"/>
      <c r="AJ428" s="911"/>
      <c r="AK428" s="911"/>
      <c r="AL428" s="911"/>
      <c r="AM428" s="771"/>
      <c r="AN428" s="886"/>
      <c r="AO428" s="884"/>
    </row>
    <row r="429" spans="1:41" ht="12" customHeight="1" x14ac:dyDescent="0.2">
      <c r="A429" s="771"/>
      <c r="B429" s="1266"/>
      <c r="C429" s="771"/>
      <c r="D429" s="771"/>
      <c r="E429" s="771"/>
      <c r="F429" s="771"/>
      <c r="G429" s="771"/>
      <c r="H429" s="771"/>
      <c r="I429" s="918"/>
      <c r="J429" s="918"/>
      <c r="K429" s="931"/>
      <c r="L429" s="921"/>
      <c r="M429" s="913"/>
      <c r="N429" s="913"/>
      <c r="O429" s="913"/>
      <c r="P429" s="913"/>
      <c r="Q429" s="913"/>
      <c r="R429" s="913"/>
      <c r="S429" s="771"/>
      <c r="T429" s="771"/>
      <c r="U429" s="773"/>
      <c r="V429" s="1266"/>
      <c r="W429" s="773"/>
      <c r="X429" s="773"/>
      <c r="Y429" s="773"/>
      <c r="Z429" s="773"/>
      <c r="AA429" s="773"/>
      <c r="AB429" s="773"/>
      <c r="AC429" s="820"/>
      <c r="AD429" s="820"/>
      <c r="AE429" s="916"/>
      <c r="AF429" s="917"/>
      <c r="AG429" s="907"/>
      <c r="AH429" s="909"/>
      <c r="AI429" s="909"/>
      <c r="AJ429" s="909"/>
      <c r="AK429" s="909"/>
      <c r="AL429" s="909"/>
      <c r="AM429" s="771"/>
      <c r="AN429" s="886"/>
      <c r="AO429" s="884"/>
    </row>
    <row r="430" spans="1:41" ht="12" customHeight="1" x14ac:dyDescent="0.2">
      <c r="A430" s="771"/>
      <c r="B430" s="1266"/>
      <c r="C430" s="771"/>
      <c r="D430" s="932"/>
      <c r="E430" s="932"/>
      <c r="F430" s="898"/>
      <c r="G430" s="898"/>
      <c r="H430" s="898"/>
      <c r="I430" s="898"/>
      <c r="J430" s="923"/>
      <c r="K430" s="931"/>
      <c r="L430" s="932"/>
      <c r="M430" s="932"/>
      <c r="N430" s="898"/>
      <c r="O430" s="898"/>
      <c r="P430" s="898"/>
      <c r="Q430" s="898"/>
      <c r="R430" s="923"/>
      <c r="S430" s="771"/>
      <c r="T430" s="771"/>
      <c r="U430" s="773"/>
      <c r="V430" s="1266"/>
      <c r="W430" s="773"/>
      <c r="X430" s="891"/>
      <c r="Y430" s="891"/>
      <c r="Z430" s="892"/>
      <c r="AA430" s="892"/>
      <c r="AB430" s="892"/>
      <c r="AC430" s="892"/>
      <c r="AD430" s="893"/>
      <c r="AE430" s="916"/>
      <c r="AF430" s="891"/>
      <c r="AG430" s="891"/>
      <c r="AH430" s="892"/>
      <c r="AI430" s="892"/>
      <c r="AJ430" s="892"/>
      <c r="AK430" s="892"/>
      <c r="AL430" s="893"/>
      <c r="AM430" s="771"/>
      <c r="AN430" s="886"/>
      <c r="AO430" s="884"/>
    </row>
    <row r="431" spans="1:41" ht="12" customHeight="1" x14ac:dyDescent="0.2">
      <c r="A431" s="771"/>
      <c r="B431" s="1266"/>
      <c r="C431" s="771"/>
      <c r="D431" s="933"/>
      <c r="E431" s="933"/>
      <c r="F431" s="898"/>
      <c r="G431" s="898"/>
      <c r="H431" s="898"/>
      <c r="I431" s="898"/>
      <c r="J431" s="900"/>
      <c r="K431" s="913"/>
      <c r="L431" s="933"/>
      <c r="M431" s="933"/>
      <c r="N431" s="898"/>
      <c r="O431" s="898"/>
      <c r="P431" s="898"/>
      <c r="Q431" s="898"/>
      <c r="R431" s="900"/>
      <c r="S431" s="771"/>
      <c r="T431" s="771"/>
      <c r="U431" s="773"/>
      <c r="V431" s="1266"/>
      <c r="W431" s="773"/>
      <c r="X431" s="894"/>
      <c r="Y431" s="894"/>
      <c r="Z431" s="892"/>
      <c r="AA431" s="892"/>
      <c r="AB431" s="892"/>
      <c r="AC431" s="892"/>
      <c r="AD431" s="895"/>
      <c r="AE431" s="909"/>
      <c r="AF431" s="894"/>
      <c r="AG431" s="894"/>
      <c r="AH431" s="892"/>
      <c r="AI431" s="892"/>
      <c r="AJ431" s="892"/>
      <c r="AK431" s="892"/>
      <c r="AL431" s="895"/>
      <c r="AM431" s="771"/>
      <c r="AN431" s="886"/>
      <c r="AO431" s="884"/>
    </row>
    <row r="432" spans="1:41" ht="12" customHeight="1" x14ac:dyDescent="0.2">
      <c r="A432" s="771"/>
      <c r="B432" s="1266"/>
      <c r="C432" s="771"/>
      <c r="D432" s="897"/>
      <c r="E432" s="897"/>
      <c r="F432" s="898"/>
      <c r="G432" s="898"/>
      <c r="H432" s="898"/>
      <c r="I432" s="899"/>
      <c r="J432" s="900"/>
      <c r="K432" s="918"/>
      <c r="L432" s="897"/>
      <c r="M432" s="897"/>
      <c r="N432" s="898"/>
      <c r="O432" s="898"/>
      <c r="P432" s="898"/>
      <c r="Q432" s="899"/>
      <c r="R432" s="900"/>
      <c r="S432" s="771"/>
      <c r="T432" s="771"/>
      <c r="U432" s="773"/>
      <c r="V432" s="1266"/>
      <c r="W432" s="773"/>
      <c r="X432" s="902"/>
      <c r="Y432" s="902"/>
      <c r="Z432" s="903"/>
      <c r="AA432" s="903"/>
      <c r="AB432" s="903"/>
      <c r="AC432" s="904"/>
      <c r="AD432" s="895"/>
      <c r="AE432" s="914"/>
      <c r="AF432" s="902"/>
      <c r="AG432" s="902"/>
      <c r="AH432" s="903"/>
      <c r="AI432" s="903"/>
      <c r="AJ432" s="903"/>
      <c r="AK432" s="904"/>
      <c r="AL432" s="895"/>
      <c r="AM432" s="771"/>
      <c r="AN432" s="886"/>
      <c r="AO432" s="884"/>
    </row>
    <row r="433" spans="1:41" ht="12" customHeight="1" x14ac:dyDescent="0.2">
      <c r="A433" s="771"/>
      <c r="B433" s="1266"/>
      <c r="C433" s="771"/>
      <c r="D433" s="771"/>
      <c r="E433" s="919"/>
      <c r="F433" s="919"/>
      <c r="G433" s="919"/>
      <c r="H433" s="919"/>
      <c r="I433" s="919"/>
      <c r="J433" s="919"/>
      <c r="K433" s="918"/>
      <c r="L433" s="771"/>
      <c r="M433" s="919"/>
      <c r="N433" s="919"/>
      <c r="O433" s="919"/>
      <c r="P433" s="919"/>
      <c r="Q433" s="919"/>
      <c r="R433" s="919"/>
      <c r="S433" s="771"/>
      <c r="T433" s="771"/>
      <c r="U433" s="773"/>
      <c r="V433" s="1266"/>
      <c r="W433" s="773"/>
      <c r="X433" s="773"/>
      <c r="Y433" s="905"/>
      <c r="Z433" s="905"/>
      <c r="AA433" s="905"/>
      <c r="AB433" s="905"/>
      <c r="AC433" s="905"/>
      <c r="AD433" s="905"/>
      <c r="AE433" s="914"/>
      <c r="AF433" s="773"/>
      <c r="AG433" s="905"/>
      <c r="AH433" s="905"/>
      <c r="AI433" s="905"/>
      <c r="AJ433" s="905"/>
      <c r="AK433" s="905"/>
      <c r="AL433" s="905"/>
      <c r="AM433" s="771"/>
      <c r="AN433" s="886"/>
      <c r="AO433" s="884"/>
    </row>
    <row r="434" spans="1:41" ht="12" customHeight="1" x14ac:dyDescent="0.2">
      <c r="A434" s="771"/>
      <c r="B434" s="1266"/>
      <c r="C434" s="771"/>
      <c r="D434" s="897"/>
      <c r="E434" s="920"/>
      <c r="F434" s="920"/>
      <c r="G434" s="920"/>
      <c r="H434" s="920"/>
      <c r="I434" s="920"/>
      <c r="J434" s="920"/>
      <c r="K434" s="918"/>
      <c r="L434" s="897"/>
      <c r="M434" s="920"/>
      <c r="N434" s="920"/>
      <c r="O434" s="920"/>
      <c r="P434" s="920"/>
      <c r="Q434" s="920"/>
      <c r="R434" s="920"/>
      <c r="S434" s="771"/>
      <c r="T434" s="771"/>
      <c r="U434" s="773"/>
      <c r="V434" s="1266"/>
      <c r="W434" s="773"/>
      <c r="X434" s="902"/>
      <c r="Y434" s="906"/>
      <c r="Z434" s="906"/>
      <c r="AA434" s="906"/>
      <c r="AB434" s="906"/>
      <c r="AC434" s="906"/>
      <c r="AD434" s="906"/>
      <c r="AE434" s="820"/>
      <c r="AF434" s="902"/>
      <c r="AG434" s="906"/>
      <c r="AH434" s="906"/>
      <c r="AI434" s="906"/>
      <c r="AJ434" s="906"/>
      <c r="AK434" s="906"/>
      <c r="AL434" s="906"/>
      <c r="AM434" s="771"/>
      <c r="AN434" s="886"/>
      <c r="AO434" s="884"/>
    </row>
    <row r="435" spans="1:41" ht="12" customHeight="1" x14ac:dyDescent="0.2">
      <c r="A435" s="771"/>
      <c r="B435" s="1266"/>
      <c r="C435" s="771"/>
      <c r="D435" s="897"/>
      <c r="E435" s="920"/>
      <c r="F435" s="920"/>
      <c r="G435" s="920"/>
      <c r="H435" s="920"/>
      <c r="I435" s="920"/>
      <c r="J435" s="920"/>
      <c r="K435" s="776"/>
      <c r="L435" s="897"/>
      <c r="M435" s="920"/>
      <c r="N435" s="920"/>
      <c r="O435" s="920"/>
      <c r="P435" s="920"/>
      <c r="Q435" s="920"/>
      <c r="R435" s="920"/>
      <c r="S435" s="771"/>
      <c r="T435" s="771"/>
      <c r="U435" s="773"/>
      <c r="V435" s="1266"/>
      <c r="W435" s="773"/>
      <c r="X435" s="902"/>
      <c r="Y435" s="906"/>
      <c r="Z435" s="906"/>
      <c r="AA435" s="906"/>
      <c r="AB435" s="906"/>
      <c r="AC435" s="906"/>
      <c r="AD435" s="906"/>
      <c r="AE435" s="915"/>
      <c r="AF435" s="902"/>
      <c r="AG435" s="906"/>
      <c r="AH435" s="906"/>
      <c r="AI435" s="906"/>
      <c r="AJ435" s="906"/>
      <c r="AK435" s="906"/>
      <c r="AL435" s="906"/>
      <c r="AM435" s="771"/>
      <c r="AN435" s="886"/>
      <c r="AO435" s="884"/>
    </row>
    <row r="436" spans="1:41" ht="12" customHeight="1" x14ac:dyDescent="0.2">
      <c r="A436" s="771"/>
      <c r="B436" s="1266"/>
      <c r="C436" s="771"/>
      <c r="D436" s="918"/>
      <c r="E436" s="921"/>
      <c r="F436" s="921"/>
      <c r="G436" s="921"/>
      <c r="H436" s="921"/>
      <c r="I436" s="921"/>
      <c r="J436" s="921"/>
      <c r="K436" s="918"/>
      <c r="L436" s="918"/>
      <c r="M436" s="921"/>
      <c r="N436" s="921"/>
      <c r="O436" s="921"/>
      <c r="P436" s="921"/>
      <c r="Q436" s="921"/>
      <c r="R436" s="921"/>
      <c r="S436" s="771"/>
      <c r="T436" s="771"/>
      <c r="U436" s="773"/>
      <c r="V436" s="1266"/>
      <c r="W436" s="773"/>
      <c r="X436" s="820"/>
      <c r="Y436" s="908"/>
      <c r="Z436" s="908"/>
      <c r="AA436" s="908"/>
      <c r="AB436" s="908"/>
      <c r="AC436" s="908"/>
      <c r="AD436" s="908"/>
      <c r="AE436" s="914"/>
      <c r="AF436" s="820"/>
      <c r="AG436" s="908"/>
      <c r="AH436" s="908"/>
      <c r="AI436" s="908"/>
      <c r="AJ436" s="908"/>
      <c r="AK436" s="908"/>
      <c r="AL436" s="908"/>
      <c r="AM436" s="771"/>
      <c r="AN436" s="886"/>
      <c r="AO436" s="884"/>
    </row>
    <row r="437" spans="1:41" ht="12" customHeight="1" x14ac:dyDescent="0.2">
      <c r="A437" s="771"/>
      <c r="B437" s="1266"/>
      <c r="C437" s="771"/>
      <c r="D437" s="929"/>
      <c r="E437" s="922"/>
      <c r="F437" s="922"/>
      <c r="G437" s="922"/>
      <c r="H437" s="922"/>
      <c r="I437" s="922"/>
      <c r="J437" s="922"/>
      <c r="K437" s="918"/>
      <c r="L437" s="929"/>
      <c r="M437" s="922"/>
      <c r="N437" s="922"/>
      <c r="O437" s="922"/>
      <c r="P437" s="922"/>
      <c r="Q437" s="922"/>
      <c r="R437" s="922"/>
      <c r="S437" s="771"/>
      <c r="T437" s="771"/>
      <c r="U437" s="773"/>
      <c r="V437" s="1266"/>
      <c r="W437" s="773"/>
      <c r="X437" s="910"/>
      <c r="Y437" s="911"/>
      <c r="Z437" s="911"/>
      <c r="AA437" s="911"/>
      <c r="AB437" s="911"/>
      <c r="AC437" s="911"/>
      <c r="AD437" s="911"/>
      <c r="AE437" s="914"/>
      <c r="AF437" s="910"/>
      <c r="AG437" s="911"/>
      <c r="AH437" s="911"/>
      <c r="AI437" s="911"/>
      <c r="AJ437" s="911"/>
      <c r="AK437" s="911"/>
      <c r="AL437" s="911"/>
      <c r="AM437" s="771"/>
      <c r="AN437" s="886"/>
      <c r="AO437" s="884"/>
    </row>
    <row r="438" spans="1:41" ht="12" customHeight="1" x14ac:dyDescent="0.2">
      <c r="A438" s="771"/>
      <c r="B438" s="1266"/>
      <c r="C438" s="771"/>
      <c r="D438" s="927"/>
      <c r="E438" s="922"/>
      <c r="F438" s="922"/>
      <c r="G438" s="922"/>
      <c r="H438" s="922"/>
      <c r="I438" s="922"/>
      <c r="J438" s="922"/>
      <c r="K438" s="931"/>
      <c r="L438" s="927"/>
      <c r="M438" s="922"/>
      <c r="N438" s="922"/>
      <c r="O438" s="922"/>
      <c r="P438" s="922"/>
      <c r="Q438" s="922"/>
      <c r="R438" s="922"/>
      <c r="S438" s="771"/>
      <c r="T438" s="771"/>
      <c r="U438" s="773"/>
      <c r="V438" s="1266"/>
      <c r="W438" s="773"/>
      <c r="X438" s="887"/>
      <c r="Y438" s="911"/>
      <c r="Z438" s="911"/>
      <c r="AA438" s="911"/>
      <c r="AB438" s="911"/>
      <c r="AC438" s="911"/>
      <c r="AD438" s="911"/>
      <c r="AE438" s="916"/>
      <c r="AF438" s="887"/>
      <c r="AG438" s="911"/>
      <c r="AH438" s="911"/>
      <c r="AI438" s="911"/>
      <c r="AJ438" s="911"/>
      <c r="AK438" s="911"/>
      <c r="AL438" s="911"/>
      <c r="AM438" s="771"/>
      <c r="AN438" s="886"/>
      <c r="AO438" s="884"/>
    </row>
    <row r="439" spans="1:41" ht="12" customHeight="1" x14ac:dyDescent="0.2">
      <c r="A439" s="771"/>
      <c r="B439" s="1266"/>
      <c r="C439" s="771"/>
      <c r="D439" s="927"/>
      <c r="E439" s="922"/>
      <c r="F439" s="922"/>
      <c r="G439" s="922"/>
      <c r="H439" s="922"/>
      <c r="I439" s="922"/>
      <c r="J439" s="922"/>
      <c r="K439" s="931"/>
      <c r="L439" s="927"/>
      <c r="M439" s="922"/>
      <c r="N439" s="922"/>
      <c r="O439" s="922"/>
      <c r="P439" s="922"/>
      <c r="Q439" s="922"/>
      <c r="R439" s="922"/>
      <c r="S439" s="771"/>
      <c r="T439" s="771"/>
      <c r="U439" s="773"/>
      <c r="V439" s="1266"/>
      <c r="W439" s="773"/>
      <c r="X439" s="887"/>
      <c r="Y439" s="911"/>
      <c r="Z439" s="911"/>
      <c r="AA439" s="911"/>
      <c r="AB439" s="911"/>
      <c r="AC439" s="911"/>
      <c r="AD439" s="911"/>
      <c r="AE439" s="916"/>
      <c r="AF439" s="887"/>
      <c r="AG439" s="911"/>
      <c r="AH439" s="911"/>
      <c r="AI439" s="911"/>
      <c r="AJ439" s="911"/>
      <c r="AK439" s="911"/>
      <c r="AL439" s="911"/>
      <c r="AM439" s="771"/>
      <c r="AN439" s="886"/>
      <c r="AO439" s="884"/>
    </row>
    <row r="440" spans="1:41" ht="12" customHeight="1" x14ac:dyDescent="0.2">
      <c r="A440" s="771"/>
      <c r="B440" s="1266"/>
      <c r="C440" s="771"/>
      <c r="D440" s="913"/>
      <c r="E440" s="913"/>
      <c r="F440" s="913"/>
      <c r="G440" s="913"/>
      <c r="H440" s="913"/>
      <c r="I440" s="913"/>
      <c r="J440" s="913"/>
      <c r="K440" s="913"/>
      <c r="L440" s="913"/>
      <c r="M440" s="913"/>
      <c r="N440" s="913"/>
      <c r="O440" s="913"/>
      <c r="P440" s="913"/>
      <c r="Q440" s="913"/>
      <c r="R440" s="913"/>
      <c r="S440" s="771"/>
      <c r="T440" s="771"/>
      <c r="U440" s="773"/>
      <c r="V440" s="1266"/>
      <c r="W440" s="773"/>
      <c r="X440" s="907"/>
      <c r="Y440" s="907"/>
      <c r="Z440" s="907"/>
      <c r="AA440" s="907"/>
      <c r="AB440" s="907"/>
      <c r="AC440" s="909"/>
      <c r="AD440" s="909"/>
      <c r="AE440" s="909"/>
      <c r="AF440" s="909"/>
      <c r="AG440" s="907"/>
      <c r="AH440" s="909"/>
      <c r="AI440" s="909"/>
      <c r="AJ440" s="909"/>
      <c r="AK440" s="909"/>
      <c r="AL440" s="909"/>
      <c r="AM440" s="771"/>
      <c r="AN440" s="886"/>
      <c r="AO440" s="884"/>
    </row>
    <row r="441" spans="1:41" ht="12" customHeight="1" x14ac:dyDescent="0.2">
      <c r="A441" s="771"/>
      <c r="B441" s="1266"/>
      <c r="C441" s="771"/>
      <c r="D441" s="932"/>
      <c r="E441" s="932"/>
      <c r="F441" s="898"/>
      <c r="G441" s="898"/>
      <c r="H441" s="898"/>
      <c r="I441" s="898"/>
      <c r="J441" s="923"/>
      <c r="K441" s="771"/>
      <c r="L441" s="932"/>
      <c r="M441" s="932"/>
      <c r="N441" s="898"/>
      <c r="O441" s="898"/>
      <c r="P441" s="898"/>
      <c r="Q441" s="898"/>
      <c r="R441" s="923"/>
      <c r="S441" s="771"/>
      <c r="T441" s="771"/>
      <c r="U441" s="773"/>
      <c r="V441" s="1266"/>
      <c r="W441" s="773"/>
      <c r="X441" s="891"/>
      <c r="Y441" s="891"/>
      <c r="Z441" s="892"/>
      <c r="AA441" s="892"/>
      <c r="AB441" s="892"/>
      <c r="AC441" s="892"/>
      <c r="AD441" s="893"/>
      <c r="AE441" s="773"/>
      <c r="AF441" s="891"/>
      <c r="AG441" s="891"/>
      <c r="AH441" s="892"/>
      <c r="AI441" s="892"/>
      <c r="AJ441" s="892"/>
      <c r="AK441" s="892"/>
      <c r="AL441" s="893"/>
      <c r="AM441" s="771"/>
      <c r="AN441" s="886"/>
      <c r="AO441" s="884"/>
    </row>
    <row r="442" spans="1:41" ht="12" customHeight="1" x14ac:dyDescent="0.2">
      <c r="A442" s="771"/>
      <c r="B442" s="1266"/>
      <c r="C442" s="771"/>
      <c r="D442" s="933"/>
      <c r="E442" s="933"/>
      <c r="F442" s="898"/>
      <c r="G442" s="898"/>
      <c r="H442" s="898"/>
      <c r="I442" s="898"/>
      <c r="J442" s="900"/>
      <c r="K442" s="771"/>
      <c r="L442" s="933"/>
      <c r="M442" s="933"/>
      <c r="N442" s="898"/>
      <c r="O442" s="898"/>
      <c r="P442" s="898"/>
      <c r="Q442" s="898"/>
      <c r="R442" s="900"/>
      <c r="S442" s="771"/>
      <c r="T442" s="771"/>
      <c r="U442" s="773"/>
      <c r="V442" s="1266"/>
      <c r="W442" s="773"/>
      <c r="X442" s="894"/>
      <c r="Y442" s="894"/>
      <c r="Z442" s="892"/>
      <c r="AA442" s="892"/>
      <c r="AB442" s="892"/>
      <c r="AC442" s="892"/>
      <c r="AD442" s="895"/>
      <c r="AE442" s="773"/>
      <c r="AF442" s="894"/>
      <c r="AG442" s="894"/>
      <c r="AH442" s="892"/>
      <c r="AI442" s="892"/>
      <c r="AJ442" s="892"/>
      <c r="AK442" s="892"/>
      <c r="AL442" s="895"/>
      <c r="AM442" s="771"/>
      <c r="AN442" s="886"/>
      <c r="AO442" s="884"/>
    </row>
    <row r="443" spans="1:41" ht="12" customHeight="1" x14ac:dyDescent="0.2">
      <c r="A443" s="771"/>
      <c r="B443" s="1266"/>
      <c r="C443" s="771"/>
      <c r="D443" s="897"/>
      <c r="E443" s="897"/>
      <c r="F443" s="898"/>
      <c r="G443" s="898"/>
      <c r="H443" s="898"/>
      <c r="I443" s="899"/>
      <c r="J443" s="900"/>
      <c r="K443" s="771"/>
      <c r="L443" s="897"/>
      <c r="M443" s="897"/>
      <c r="N443" s="898"/>
      <c r="O443" s="898"/>
      <c r="P443" s="898"/>
      <c r="Q443" s="899"/>
      <c r="R443" s="900"/>
      <c r="S443" s="771"/>
      <c r="T443" s="771"/>
      <c r="U443" s="773"/>
      <c r="V443" s="1266"/>
      <c r="W443" s="773"/>
      <c r="X443" s="902"/>
      <c r="Y443" s="902"/>
      <c r="Z443" s="903"/>
      <c r="AA443" s="903"/>
      <c r="AB443" s="903"/>
      <c r="AC443" s="904"/>
      <c r="AD443" s="895"/>
      <c r="AE443" s="773"/>
      <c r="AF443" s="902"/>
      <c r="AG443" s="902"/>
      <c r="AH443" s="903"/>
      <c r="AI443" s="903"/>
      <c r="AJ443" s="903"/>
      <c r="AK443" s="904"/>
      <c r="AL443" s="895"/>
      <c r="AM443" s="771"/>
      <c r="AN443" s="886"/>
      <c r="AO443" s="884"/>
    </row>
    <row r="444" spans="1:41" ht="12" customHeight="1" x14ac:dyDescent="0.2">
      <c r="A444" s="771"/>
      <c r="B444" s="1266"/>
      <c r="C444" s="771"/>
      <c r="D444" s="771"/>
      <c r="E444" s="919"/>
      <c r="F444" s="919"/>
      <c r="G444" s="919"/>
      <c r="H444" s="919"/>
      <c r="I444" s="919"/>
      <c r="J444" s="919"/>
      <c r="K444" s="771"/>
      <c r="L444" s="771"/>
      <c r="M444" s="919"/>
      <c r="N444" s="919"/>
      <c r="O444" s="919"/>
      <c r="P444" s="919"/>
      <c r="Q444" s="919"/>
      <c r="R444" s="919"/>
      <c r="S444" s="771"/>
      <c r="T444" s="771"/>
      <c r="U444" s="773"/>
      <c r="V444" s="1266"/>
      <c r="W444" s="773"/>
      <c r="X444" s="773"/>
      <c r="Y444" s="905"/>
      <c r="Z444" s="905"/>
      <c r="AA444" s="905"/>
      <c r="AB444" s="905"/>
      <c r="AC444" s="905"/>
      <c r="AD444" s="905"/>
      <c r="AE444" s="773"/>
      <c r="AF444" s="773"/>
      <c r="AG444" s="905"/>
      <c r="AH444" s="905"/>
      <c r="AI444" s="905"/>
      <c r="AJ444" s="905"/>
      <c r="AK444" s="905"/>
      <c r="AL444" s="905"/>
      <c r="AM444" s="771"/>
      <c r="AN444" s="886"/>
      <c r="AO444" s="884"/>
    </row>
    <row r="445" spans="1:41" ht="12" customHeight="1" x14ac:dyDescent="0.2">
      <c r="A445" s="771"/>
      <c r="B445" s="1266"/>
      <c r="C445" s="771"/>
      <c r="D445" s="897"/>
      <c r="E445" s="920"/>
      <c r="F445" s="920"/>
      <c r="G445" s="920"/>
      <c r="H445" s="920"/>
      <c r="I445" s="920"/>
      <c r="J445" s="920"/>
      <c r="K445" s="771"/>
      <c r="L445" s="897"/>
      <c r="M445" s="920"/>
      <c r="N445" s="920"/>
      <c r="O445" s="920"/>
      <c r="P445" s="920"/>
      <c r="Q445" s="920"/>
      <c r="R445" s="920"/>
      <c r="S445" s="771"/>
      <c r="T445" s="771"/>
      <c r="U445" s="773"/>
      <c r="V445" s="1266"/>
      <c r="W445" s="773"/>
      <c r="X445" s="902"/>
      <c r="Y445" s="906"/>
      <c r="Z445" s="906"/>
      <c r="AA445" s="906"/>
      <c r="AB445" s="906"/>
      <c r="AC445" s="906"/>
      <c r="AD445" s="906"/>
      <c r="AE445" s="773"/>
      <c r="AF445" s="902"/>
      <c r="AG445" s="906"/>
      <c r="AH445" s="906"/>
      <c r="AI445" s="906"/>
      <c r="AJ445" s="906"/>
      <c r="AK445" s="906"/>
      <c r="AL445" s="906"/>
      <c r="AM445" s="771"/>
      <c r="AN445" s="886"/>
      <c r="AO445" s="884"/>
    </row>
    <row r="446" spans="1:41" ht="12" customHeight="1" x14ac:dyDescent="0.2">
      <c r="A446" s="771"/>
      <c r="B446" s="1266"/>
      <c r="C446" s="771"/>
      <c r="D446" s="897"/>
      <c r="E446" s="920"/>
      <c r="F446" s="920"/>
      <c r="G446" s="920"/>
      <c r="H446" s="920"/>
      <c r="I446" s="920"/>
      <c r="J446" s="920"/>
      <c r="K446" s="771"/>
      <c r="L446" s="897"/>
      <c r="M446" s="920"/>
      <c r="N446" s="920"/>
      <c r="O446" s="920"/>
      <c r="P446" s="920"/>
      <c r="Q446" s="920"/>
      <c r="R446" s="920"/>
      <c r="S446" s="771"/>
      <c r="T446" s="771"/>
      <c r="U446" s="773"/>
      <c r="V446" s="1266"/>
      <c r="W446" s="773"/>
      <c r="X446" s="902"/>
      <c r="Y446" s="906"/>
      <c r="Z446" s="906"/>
      <c r="AA446" s="906"/>
      <c r="AB446" s="906"/>
      <c r="AC446" s="906"/>
      <c r="AD446" s="906"/>
      <c r="AE446" s="773"/>
      <c r="AF446" s="902"/>
      <c r="AG446" s="906"/>
      <c r="AH446" s="906"/>
      <c r="AI446" s="906"/>
      <c r="AJ446" s="906"/>
      <c r="AK446" s="906"/>
      <c r="AL446" s="906"/>
      <c r="AM446" s="771"/>
      <c r="AN446" s="886"/>
      <c r="AO446" s="884"/>
    </row>
    <row r="447" spans="1:41" ht="12" customHeight="1" x14ac:dyDescent="0.2">
      <c r="A447" s="771"/>
      <c r="B447" s="1266"/>
      <c r="C447" s="771"/>
      <c r="D447" s="918"/>
      <c r="E447" s="921"/>
      <c r="F447" s="921"/>
      <c r="G447" s="921"/>
      <c r="H447" s="921"/>
      <c r="I447" s="921"/>
      <c r="J447" s="921"/>
      <c r="K447" s="771"/>
      <c r="L447" s="918"/>
      <c r="M447" s="921"/>
      <c r="N447" s="921"/>
      <c r="O447" s="921"/>
      <c r="P447" s="921"/>
      <c r="Q447" s="921"/>
      <c r="R447" s="921"/>
      <c r="S447" s="771"/>
      <c r="T447" s="771"/>
      <c r="U447" s="773"/>
      <c r="V447" s="1266"/>
      <c r="W447" s="773"/>
      <c r="X447" s="820"/>
      <c r="Y447" s="908"/>
      <c r="Z447" s="908"/>
      <c r="AA447" s="908"/>
      <c r="AB447" s="908"/>
      <c r="AC447" s="908"/>
      <c r="AD447" s="908"/>
      <c r="AE447" s="773"/>
      <c r="AF447" s="820"/>
      <c r="AG447" s="908"/>
      <c r="AH447" s="908"/>
      <c r="AI447" s="908"/>
      <c r="AJ447" s="908"/>
      <c r="AK447" s="908"/>
      <c r="AL447" s="908"/>
      <c r="AM447" s="771"/>
      <c r="AN447" s="886"/>
      <c r="AO447" s="884"/>
    </row>
    <row r="448" spans="1:41" ht="12" customHeight="1" x14ac:dyDescent="0.2">
      <c r="A448" s="771"/>
      <c r="B448" s="1266"/>
      <c r="C448" s="771"/>
      <c r="D448" s="929"/>
      <c r="E448" s="922"/>
      <c r="F448" s="922"/>
      <c r="G448" s="922"/>
      <c r="H448" s="922"/>
      <c r="I448" s="922"/>
      <c r="J448" s="922"/>
      <c r="K448" s="771"/>
      <c r="L448" s="929"/>
      <c r="M448" s="922"/>
      <c r="N448" s="922"/>
      <c r="O448" s="922"/>
      <c r="P448" s="922"/>
      <c r="Q448" s="922"/>
      <c r="R448" s="922"/>
      <c r="S448" s="771"/>
      <c r="T448" s="771"/>
      <c r="U448" s="773"/>
      <c r="V448" s="1266"/>
      <c r="W448" s="773"/>
      <c r="X448" s="910"/>
      <c r="Y448" s="911"/>
      <c r="Z448" s="911"/>
      <c r="AA448" s="911"/>
      <c r="AB448" s="911"/>
      <c r="AC448" s="911"/>
      <c r="AD448" s="911"/>
      <c r="AE448" s="773"/>
      <c r="AF448" s="910"/>
      <c r="AG448" s="911"/>
      <c r="AH448" s="911"/>
      <c r="AI448" s="911"/>
      <c r="AJ448" s="911"/>
      <c r="AK448" s="911"/>
      <c r="AL448" s="911"/>
      <c r="AM448" s="771"/>
      <c r="AN448" s="886"/>
      <c r="AO448" s="884"/>
    </row>
    <row r="449" spans="1:41" ht="12" customHeight="1" x14ac:dyDescent="0.2">
      <c r="A449" s="771"/>
      <c r="B449" s="1266"/>
      <c r="C449" s="771"/>
      <c r="D449" s="927"/>
      <c r="E449" s="922"/>
      <c r="F449" s="922"/>
      <c r="G449" s="922"/>
      <c r="H449" s="922"/>
      <c r="I449" s="922"/>
      <c r="J449" s="922"/>
      <c r="K449" s="771"/>
      <c r="L449" s="927"/>
      <c r="M449" s="922"/>
      <c r="N449" s="922"/>
      <c r="O449" s="922"/>
      <c r="P449" s="922"/>
      <c r="Q449" s="922"/>
      <c r="R449" s="922"/>
      <c r="S449" s="771"/>
      <c r="T449" s="771"/>
      <c r="U449" s="773"/>
      <c r="V449" s="1266"/>
      <c r="W449" s="773"/>
      <c r="X449" s="887"/>
      <c r="Y449" s="911"/>
      <c r="Z449" s="911"/>
      <c r="AA449" s="911"/>
      <c r="AB449" s="911"/>
      <c r="AC449" s="911"/>
      <c r="AD449" s="911"/>
      <c r="AE449" s="773"/>
      <c r="AF449" s="887"/>
      <c r="AG449" s="911"/>
      <c r="AH449" s="911"/>
      <c r="AI449" s="911"/>
      <c r="AJ449" s="911"/>
      <c r="AK449" s="911"/>
      <c r="AL449" s="911"/>
      <c r="AM449" s="771"/>
      <c r="AN449" s="886"/>
      <c r="AO449" s="884"/>
    </row>
    <row r="450" spans="1:41" ht="12" customHeight="1" x14ac:dyDescent="0.2">
      <c r="A450" s="771"/>
      <c r="B450" s="1266"/>
      <c r="C450" s="771"/>
      <c r="D450" s="927"/>
      <c r="E450" s="922"/>
      <c r="F450" s="922"/>
      <c r="G450" s="922"/>
      <c r="H450" s="922"/>
      <c r="I450" s="922"/>
      <c r="J450" s="922"/>
      <c r="K450" s="771"/>
      <c r="L450" s="927"/>
      <c r="M450" s="922"/>
      <c r="N450" s="922"/>
      <c r="O450" s="922"/>
      <c r="P450" s="922"/>
      <c r="Q450" s="922"/>
      <c r="R450" s="922"/>
      <c r="S450" s="771"/>
      <c r="T450" s="771"/>
      <c r="U450" s="773"/>
      <c r="V450" s="1266"/>
      <c r="W450" s="773"/>
      <c r="X450" s="887"/>
      <c r="Y450" s="911"/>
      <c r="Z450" s="911"/>
      <c r="AA450" s="911"/>
      <c r="AB450" s="911"/>
      <c r="AC450" s="911"/>
      <c r="AD450" s="911"/>
      <c r="AE450" s="773"/>
      <c r="AF450" s="887"/>
      <c r="AG450" s="911"/>
      <c r="AH450" s="911"/>
      <c r="AI450" s="911"/>
      <c r="AJ450" s="911"/>
      <c r="AK450" s="911"/>
      <c r="AL450" s="911"/>
      <c r="AM450" s="771"/>
      <c r="AN450" s="886"/>
      <c r="AO450" s="884"/>
    </row>
    <row r="451" spans="1:41" ht="12" customHeight="1" x14ac:dyDescent="0.2">
      <c r="A451" s="771"/>
      <c r="B451" s="1266"/>
      <c r="C451" s="771"/>
      <c r="D451" s="771"/>
      <c r="E451" s="771"/>
      <c r="F451" s="771"/>
      <c r="G451" s="771"/>
      <c r="H451" s="771"/>
      <c r="I451" s="771"/>
      <c r="J451" s="771"/>
      <c r="K451" s="771"/>
      <c r="L451" s="771"/>
      <c r="M451" s="771"/>
      <c r="N451" s="771"/>
      <c r="O451" s="771"/>
      <c r="P451" s="771"/>
      <c r="Q451" s="771"/>
      <c r="R451" s="771"/>
      <c r="S451" s="771"/>
      <c r="T451" s="771"/>
      <c r="U451" s="773"/>
      <c r="V451" s="1266"/>
      <c r="W451" s="773"/>
      <c r="X451" s="773"/>
      <c r="Y451" s="773"/>
      <c r="Z451" s="773"/>
      <c r="AA451" s="773"/>
      <c r="AB451" s="773"/>
      <c r="AC451" s="773"/>
      <c r="AD451" s="773"/>
      <c r="AE451" s="773"/>
      <c r="AF451" s="773"/>
      <c r="AG451" s="773"/>
      <c r="AH451" s="773"/>
      <c r="AI451" s="773"/>
      <c r="AJ451" s="773"/>
      <c r="AK451" s="773"/>
      <c r="AL451" s="773"/>
      <c r="AM451" s="771"/>
      <c r="AN451" s="886"/>
      <c r="AO451" s="884"/>
    </row>
    <row r="452" spans="1:41" ht="12" customHeight="1" x14ac:dyDescent="0.2">
      <c r="A452" s="771"/>
      <c r="B452" s="1266"/>
      <c r="C452" s="771"/>
      <c r="D452" s="932"/>
      <c r="E452" s="932"/>
      <c r="F452" s="898"/>
      <c r="G452" s="898"/>
      <c r="H452" s="898"/>
      <c r="I452" s="898"/>
      <c r="J452" s="923"/>
      <c r="K452" s="934"/>
      <c r="L452" s="932"/>
      <c r="M452" s="932"/>
      <c r="N452" s="898"/>
      <c r="O452" s="898"/>
      <c r="P452" s="898"/>
      <c r="Q452" s="898"/>
      <c r="R452" s="923"/>
      <c r="S452" s="771"/>
      <c r="T452" s="771"/>
      <c r="U452" s="773"/>
      <c r="V452" s="1266"/>
      <c r="W452" s="773"/>
      <c r="X452" s="891"/>
      <c r="Y452" s="891"/>
      <c r="Z452" s="892"/>
      <c r="AA452" s="892"/>
      <c r="AB452" s="892"/>
      <c r="AC452" s="892"/>
      <c r="AD452" s="893"/>
      <c r="AE452" s="924"/>
      <c r="AF452" s="891"/>
      <c r="AG452" s="891"/>
      <c r="AH452" s="892"/>
      <c r="AI452" s="892"/>
      <c r="AJ452" s="892"/>
      <c r="AK452" s="892"/>
      <c r="AL452" s="893"/>
      <c r="AM452" s="771"/>
      <c r="AN452" s="886"/>
      <c r="AO452" s="884"/>
    </row>
    <row r="453" spans="1:41" ht="12" customHeight="1" x14ac:dyDescent="0.2">
      <c r="A453" s="771"/>
      <c r="B453" s="1266"/>
      <c r="C453" s="771"/>
      <c r="D453" s="933"/>
      <c r="E453" s="933"/>
      <c r="F453" s="898"/>
      <c r="G453" s="898"/>
      <c r="H453" s="898"/>
      <c r="I453" s="898"/>
      <c r="J453" s="900"/>
      <c r="K453" s="935"/>
      <c r="L453" s="933"/>
      <c r="M453" s="933"/>
      <c r="N453" s="898"/>
      <c r="O453" s="898"/>
      <c r="P453" s="898"/>
      <c r="Q453" s="898"/>
      <c r="R453" s="900"/>
      <c r="S453" s="771"/>
      <c r="T453" s="771"/>
      <c r="U453" s="773"/>
      <c r="V453" s="1266"/>
      <c r="W453" s="773"/>
      <c r="X453" s="894"/>
      <c r="Y453" s="894"/>
      <c r="Z453" s="892"/>
      <c r="AA453" s="892"/>
      <c r="AB453" s="892"/>
      <c r="AC453" s="892"/>
      <c r="AD453" s="895"/>
      <c r="AE453" s="925"/>
      <c r="AF453" s="894"/>
      <c r="AG453" s="894"/>
      <c r="AH453" s="892"/>
      <c r="AI453" s="892"/>
      <c r="AJ453" s="892"/>
      <c r="AK453" s="892"/>
      <c r="AL453" s="895"/>
      <c r="AM453" s="771"/>
      <c r="AN453" s="886"/>
      <c r="AO453" s="884"/>
    </row>
    <row r="454" spans="1:41" ht="12" customHeight="1" x14ac:dyDescent="0.2">
      <c r="A454" s="771"/>
      <c r="B454" s="1266"/>
      <c r="C454" s="771"/>
      <c r="D454" s="897"/>
      <c r="E454" s="897"/>
      <c r="F454" s="898"/>
      <c r="G454" s="898"/>
      <c r="H454" s="898"/>
      <c r="I454" s="899"/>
      <c r="J454" s="900"/>
      <c r="K454" s="898"/>
      <c r="L454" s="897"/>
      <c r="M454" s="897"/>
      <c r="N454" s="898"/>
      <c r="O454" s="898"/>
      <c r="P454" s="898"/>
      <c r="Q454" s="899"/>
      <c r="R454" s="900"/>
      <c r="S454" s="771"/>
      <c r="T454" s="771"/>
      <c r="U454" s="773"/>
      <c r="V454" s="1266"/>
      <c r="W454" s="773"/>
      <c r="X454" s="902"/>
      <c r="Y454" s="902"/>
      <c r="Z454" s="903"/>
      <c r="AA454" s="903"/>
      <c r="AB454" s="903"/>
      <c r="AC454" s="904"/>
      <c r="AD454" s="895"/>
      <c r="AE454" s="903"/>
      <c r="AF454" s="902"/>
      <c r="AG454" s="902"/>
      <c r="AH454" s="903"/>
      <c r="AI454" s="903"/>
      <c r="AJ454" s="903"/>
      <c r="AK454" s="904"/>
      <c r="AL454" s="895"/>
      <c r="AM454" s="771"/>
      <c r="AN454" s="886"/>
      <c r="AO454" s="884"/>
    </row>
    <row r="455" spans="1:41" ht="12" customHeight="1" x14ac:dyDescent="0.2">
      <c r="A455" s="771"/>
      <c r="B455" s="1266"/>
      <c r="C455" s="771"/>
      <c r="D455" s="771"/>
      <c r="E455" s="919"/>
      <c r="F455" s="919"/>
      <c r="G455" s="919"/>
      <c r="H455" s="919"/>
      <c r="I455" s="919"/>
      <c r="J455" s="919"/>
      <c r="K455" s="898"/>
      <c r="L455" s="771"/>
      <c r="M455" s="919"/>
      <c r="N455" s="919"/>
      <c r="O455" s="919"/>
      <c r="P455" s="919"/>
      <c r="Q455" s="919"/>
      <c r="R455" s="919"/>
      <c r="S455" s="771"/>
      <c r="T455" s="771"/>
      <c r="U455" s="773"/>
      <c r="V455" s="1266"/>
      <c r="W455" s="773"/>
      <c r="X455" s="773"/>
      <c r="Y455" s="905"/>
      <c r="Z455" s="905"/>
      <c r="AA455" s="905"/>
      <c r="AB455" s="905"/>
      <c r="AC455" s="905"/>
      <c r="AD455" s="905"/>
      <c r="AE455" s="903"/>
      <c r="AF455" s="773"/>
      <c r="AG455" s="905"/>
      <c r="AH455" s="905"/>
      <c r="AI455" s="905"/>
      <c r="AJ455" s="905"/>
      <c r="AK455" s="905"/>
      <c r="AL455" s="905"/>
      <c r="AM455" s="771"/>
      <c r="AN455" s="886"/>
      <c r="AO455" s="884"/>
    </row>
    <row r="456" spans="1:41" ht="12" customHeight="1" x14ac:dyDescent="0.2">
      <c r="A456" s="771"/>
      <c r="B456" s="1266"/>
      <c r="C456" s="771"/>
      <c r="D456" s="897"/>
      <c r="E456" s="920"/>
      <c r="F456" s="920"/>
      <c r="G456" s="920"/>
      <c r="H456" s="920"/>
      <c r="I456" s="920"/>
      <c r="J456" s="920"/>
      <c r="K456" s="898"/>
      <c r="L456" s="897"/>
      <c r="M456" s="920"/>
      <c r="N456" s="920"/>
      <c r="O456" s="920"/>
      <c r="P456" s="920"/>
      <c r="Q456" s="920"/>
      <c r="R456" s="920"/>
      <c r="S456" s="771"/>
      <c r="T456" s="771"/>
      <c r="U456" s="773"/>
      <c r="V456" s="1266"/>
      <c r="W456" s="773"/>
      <c r="X456" s="902"/>
      <c r="Y456" s="906"/>
      <c r="Z456" s="906"/>
      <c r="AA456" s="906"/>
      <c r="AB456" s="906"/>
      <c r="AC456" s="906"/>
      <c r="AD456" s="906"/>
      <c r="AE456" s="903"/>
      <c r="AF456" s="902"/>
      <c r="AG456" s="906"/>
      <c r="AH456" s="906"/>
      <c r="AI456" s="906"/>
      <c r="AJ456" s="906"/>
      <c r="AK456" s="906"/>
      <c r="AL456" s="906"/>
      <c r="AM456" s="771"/>
      <c r="AN456" s="886"/>
      <c r="AO456" s="884"/>
    </row>
    <row r="457" spans="1:41" ht="12" customHeight="1" x14ac:dyDescent="0.2">
      <c r="A457" s="771"/>
      <c r="B457" s="1266"/>
      <c r="C457" s="771"/>
      <c r="D457" s="897"/>
      <c r="E457" s="920"/>
      <c r="F457" s="920"/>
      <c r="G457" s="920"/>
      <c r="H457" s="920"/>
      <c r="I457" s="920"/>
      <c r="J457" s="920"/>
      <c r="K457" s="898"/>
      <c r="L457" s="897"/>
      <c r="M457" s="920"/>
      <c r="N457" s="920"/>
      <c r="O457" s="920"/>
      <c r="P457" s="920"/>
      <c r="Q457" s="920"/>
      <c r="R457" s="920"/>
      <c r="S457" s="771"/>
      <c r="T457" s="771"/>
      <c r="U457" s="773"/>
      <c r="V457" s="1266"/>
      <c r="W457" s="773"/>
      <c r="X457" s="902"/>
      <c r="Y457" s="906"/>
      <c r="Z457" s="906"/>
      <c r="AA457" s="906"/>
      <c r="AB457" s="906"/>
      <c r="AC457" s="906"/>
      <c r="AD457" s="906"/>
      <c r="AE457" s="903"/>
      <c r="AF457" s="902"/>
      <c r="AG457" s="906"/>
      <c r="AH457" s="906"/>
      <c r="AI457" s="906"/>
      <c r="AJ457" s="906"/>
      <c r="AK457" s="906"/>
      <c r="AL457" s="906"/>
      <c r="AM457" s="771"/>
      <c r="AN457" s="886"/>
      <c r="AO457" s="884"/>
    </row>
    <row r="458" spans="1:41" ht="12" customHeight="1" x14ac:dyDescent="0.2">
      <c r="A458" s="771"/>
      <c r="B458" s="1266"/>
      <c r="C458" s="771"/>
      <c r="D458" s="918"/>
      <c r="E458" s="921"/>
      <c r="F458" s="921"/>
      <c r="G458" s="921"/>
      <c r="H458" s="921"/>
      <c r="I458" s="921"/>
      <c r="J458" s="921"/>
      <c r="K458" s="898"/>
      <c r="L458" s="918"/>
      <c r="M458" s="921"/>
      <c r="N458" s="921"/>
      <c r="O458" s="921"/>
      <c r="P458" s="921"/>
      <c r="Q458" s="921"/>
      <c r="R458" s="921"/>
      <c r="S458" s="771"/>
      <c r="T458" s="771"/>
      <c r="U458" s="773"/>
      <c r="V458" s="1266"/>
      <c r="W458" s="773"/>
      <c r="X458" s="820"/>
      <c r="Y458" s="908"/>
      <c r="Z458" s="908"/>
      <c r="AA458" s="908"/>
      <c r="AB458" s="908"/>
      <c r="AC458" s="908"/>
      <c r="AD458" s="908"/>
      <c r="AE458" s="903"/>
      <c r="AF458" s="820"/>
      <c r="AG458" s="908"/>
      <c r="AH458" s="908"/>
      <c r="AI458" s="908"/>
      <c r="AJ458" s="908"/>
      <c r="AK458" s="908"/>
      <c r="AL458" s="908"/>
      <c r="AM458" s="771"/>
      <c r="AN458" s="886"/>
      <c r="AO458" s="884"/>
    </row>
    <row r="459" spans="1:41" ht="12" customHeight="1" x14ac:dyDescent="0.2">
      <c r="A459" s="771"/>
      <c r="B459" s="1266"/>
      <c r="C459" s="771"/>
      <c r="D459" s="929"/>
      <c r="E459" s="922"/>
      <c r="F459" s="922"/>
      <c r="G459" s="922"/>
      <c r="H459" s="922"/>
      <c r="I459" s="922"/>
      <c r="J459" s="922"/>
      <c r="K459" s="898"/>
      <c r="L459" s="929"/>
      <c r="M459" s="922"/>
      <c r="N459" s="922"/>
      <c r="O459" s="922"/>
      <c r="P459" s="922"/>
      <c r="Q459" s="922"/>
      <c r="R459" s="922"/>
      <c r="S459" s="771"/>
      <c r="T459" s="771"/>
      <c r="U459" s="773"/>
      <c r="V459" s="1266"/>
      <c r="W459" s="773"/>
      <c r="X459" s="910"/>
      <c r="Y459" s="911"/>
      <c r="Z459" s="911"/>
      <c r="AA459" s="911"/>
      <c r="AB459" s="911"/>
      <c r="AC459" s="911"/>
      <c r="AD459" s="911"/>
      <c r="AE459" s="903"/>
      <c r="AF459" s="910"/>
      <c r="AG459" s="911"/>
      <c r="AH459" s="911"/>
      <c r="AI459" s="911"/>
      <c r="AJ459" s="911"/>
      <c r="AK459" s="911"/>
      <c r="AL459" s="911"/>
      <c r="AM459" s="771"/>
      <c r="AN459" s="886"/>
      <c r="AO459" s="884"/>
    </row>
    <row r="460" spans="1:41" ht="12" customHeight="1" x14ac:dyDescent="0.2">
      <c r="A460" s="771"/>
      <c r="B460" s="1266"/>
      <c r="C460" s="771"/>
      <c r="D460" s="927"/>
      <c r="E460" s="922"/>
      <c r="F460" s="922"/>
      <c r="G460" s="922"/>
      <c r="H460" s="922"/>
      <c r="I460" s="922"/>
      <c r="J460" s="922"/>
      <c r="K460" s="898"/>
      <c r="L460" s="927"/>
      <c r="M460" s="922"/>
      <c r="N460" s="922"/>
      <c r="O460" s="922"/>
      <c r="P460" s="922"/>
      <c r="Q460" s="922"/>
      <c r="R460" s="922"/>
      <c r="S460" s="771"/>
      <c r="T460" s="771"/>
      <c r="U460" s="773"/>
      <c r="V460" s="1266"/>
      <c r="W460" s="773"/>
      <c r="X460" s="887"/>
      <c r="Y460" s="911"/>
      <c r="Z460" s="911"/>
      <c r="AA460" s="911"/>
      <c r="AB460" s="911"/>
      <c r="AC460" s="911"/>
      <c r="AD460" s="911"/>
      <c r="AE460" s="903"/>
      <c r="AF460" s="887"/>
      <c r="AG460" s="911"/>
      <c r="AH460" s="911"/>
      <c r="AI460" s="911"/>
      <c r="AJ460" s="911"/>
      <c r="AK460" s="911"/>
      <c r="AL460" s="911"/>
      <c r="AM460" s="771"/>
      <c r="AN460" s="886"/>
      <c r="AO460" s="884"/>
    </row>
    <row r="461" spans="1:41" ht="12" customHeight="1" x14ac:dyDescent="0.2">
      <c r="A461" s="771"/>
      <c r="B461" s="1266"/>
      <c r="C461" s="771"/>
      <c r="D461" s="927"/>
      <c r="E461" s="922"/>
      <c r="F461" s="922"/>
      <c r="G461" s="922"/>
      <c r="H461" s="922"/>
      <c r="I461" s="922"/>
      <c r="J461" s="922"/>
      <c r="K461" s="898"/>
      <c r="L461" s="927"/>
      <c r="M461" s="922"/>
      <c r="N461" s="922"/>
      <c r="O461" s="922"/>
      <c r="P461" s="922"/>
      <c r="Q461" s="922"/>
      <c r="R461" s="922"/>
      <c r="S461" s="771"/>
      <c r="T461" s="771"/>
      <c r="U461" s="773"/>
      <c r="V461" s="1266"/>
      <c r="W461" s="773"/>
      <c r="X461" s="887"/>
      <c r="Y461" s="911"/>
      <c r="Z461" s="911"/>
      <c r="AA461" s="911"/>
      <c r="AB461" s="911"/>
      <c r="AC461" s="911"/>
      <c r="AD461" s="911"/>
      <c r="AE461" s="903"/>
      <c r="AF461" s="887"/>
      <c r="AG461" s="911"/>
      <c r="AH461" s="911"/>
      <c r="AI461" s="911"/>
      <c r="AJ461" s="911"/>
      <c r="AK461" s="911"/>
      <c r="AL461" s="911"/>
      <c r="AM461" s="771"/>
      <c r="AN461" s="886"/>
      <c r="AO461" s="884"/>
    </row>
    <row r="462" spans="1:41" ht="12" customHeight="1" x14ac:dyDescent="0.2">
      <c r="A462" s="771"/>
      <c r="B462" s="1266"/>
      <c r="C462" s="771"/>
      <c r="D462" s="936"/>
      <c r="E462" s="913"/>
      <c r="F462" s="913"/>
      <c r="G462" s="913"/>
      <c r="H462" s="913"/>
      <c r="I462" s="918"/>
      <c r="J462" s="921"/>
      <c r="K462" s="898"/>
      <c r="L462" s="936"/>
      <c r="M462" s="913"/>
      <c r="N462" s="913"/>
      <c r="O462" s="913"/>
      <c r="P462" s="913"/>
      <c r="Q462" s="918"/>
      <c r="R462" s="921"/>
      <c r="S462" s="771"/>
      <c r="T462" s="771"/>
      <c r="U462" s="773"/>
      <c r="V462" s="1266"/>
      <c r="W462" s="773"/>
      <c r="X462" s="926"/>
      <c r="Y462" s="907"/>
      <c r="Z462" s="909"/>
      <c r="AA462" s="909"/>
      <c r="AB462" s="909"/>
      <c r="AC462" s="820"/>
      <c r="AD462" s="908"/>
      <c r="AE462" s="903"/>
      <c r="AF462" s="926"/>
      <c r="AG462" s="907"/>
      <c r="AH462" s="907"/>
      <c r="AI462" s="907"/>
      <c r="AJ462" s="907"/>
      <c r="AK462" s="820"/>
      <c r="AL462" s="908"/>
      <c r="AM462" s="771"/>
      <c r="AN462" s="886"/>
      <c r="AO462" s="884"/>
    </row>
    <row r="463" spans="1:41" ht="12" customHeight="1" x14ac:dyDescent="0.2">
      <c r="A463" s="771"/>
      <c r="B463" s="1266"/>
      <c r="C463" s="771"/>
      <c r="D463" s="771"/>
      <c r="E463" s="771"/>
      <c r="F463" s="771"/>
      <c r="G463" s="771"/>
      <c r="H463" s="771"/>
      <c r="I463" s="771"/>
      <c r="J463" s="771"/>
      <c r="K463" s="771"/>
      <c r="L463" s="771"/>
      <c r="M463" s="771"/>
      <c r="N463" s="771"/>
      <c r="O463" s="771"/>
      <c r="P463" s="771"/>
      <c r="Q463" s="771"/>
      <c r="R463" s="771"/>
      <c r="S463" s="913"/>
      <c r="T463" s="771"/>
      <c r="U463" s="773"/>
      <c r="V463" s="1266"/>
      <c r="W463" s="773"/>
      <c r="X463" s="773"/>
      <c r="Y463" s="773"/>
      <c r="Z463" s="773"/>
      <c r="AA463" s="773"/>
      <c r="AB463" s="773"/>
      <c r="AC463" s="773"/>
      <c r="AD463" s="773"/>
      <c r="AE463" s="773"/>
      <c r="AF463" s="773"/>
      <c r="AG463" s="773"/>
      <c r="AH463" s="773"/>
      <c r="AI463" s="773"/>
      <c r="AJ463" s="773"/>
      <c r="AK463" s="773"/>
      <c r="AL463" s="773"/>
      <c r="AM463" s="913"/>
      <c r="AN463" s="886"/>
      <c r="AO463" s="884"/>
    </row>
    <row r="464" spans="1:41" ht="12" customHeight="1" x14ac:dyDescent="0.2">
      <c r="A464" s="771"/>
      <c r="B464" s="1266"/>
      <c r="C464" s="771"/>
      <c r="D464" s="771"/>
      <c r="E464" s="771"/>
      <c r="F464" s="771"/>
      <c r="G464" s="771"/>
      <c r="H464" s="771"/>
      <c r="I464" s="771"/>
      <c r="J464" s="771"/>
      <c r="K464" s="771"/>
      <c r="L464" s="771"/>
      <c r="M464" s="771"/>
      <c r="N464" s="771"/>
      <c r="O464" s="771"/>
      <c r="P464" s="771"/>
      <c r="Q464" s="771"/>
      <c r="R464" s="771"/>
      <c r="S464" s="913"/>
      <c r="T464" s="771"/>
      <c r="U464" s="773"/>
      <c r="V464" s="1266"/>
      <c r="W464" s="773"/>
      <c r="X464" s="773"/>
      <c r="Y464" s="773"/>
      <c r="Z464" s="773"/>
      <c r="AA464" s="773"/>
      <c r="AB464" s="773"/>
      <c r="AC464" s="773"/>
      <c r="AD464" s="773"/>
      <c r="AE464" s="773"/>
      <c r="AF464" s="773"/>
      <c r="AG464" s="773"/>
      <c r="AH464" s="773"/>
      <c r="AI464" s="773"/>
      <c r="AJ464" s="773"/>
      <c r="AK464" s="773"/>
      <c r="AL464" s="773"/>
      <c r="AM464" s="913"/>
      <c r="AN464" s="886"/>
      <c r="AO464" s="884"/>
    </row>
    <row r="465" spans="41:41" ht="12" customHeight="1" x14ac:dyDescent="0.2">
      <c r="AO465" s="884"/>
    </row>
    <row r="466" spans="41:41" ht="12" customHeight="1" x14ac:dyDescent="0.2">
      <c r="AO466" s="884"/>
    </row>
    <row r="467" spans="41:41" ht="12" customHeight="1" x14ac:dyDescent="0.2">
      <c r="AO467" s="884"/>
    </row>
    <row r="468" spans="41:41" ht="12" customHeight="1" x14ac:dyDescent="0.2">
      <c r="AO468" s="884"/>
    </row>
    <row r="469" spans="41:41" ht="12" customHeight="1" x14ac:dyDescent="0.2">
      <c r="AO469" s="884"/>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xr:uid="{00000000-0002-0000-1400-000000000000}">
      <formula1>tipo_tecnica</formula1>
    </dataValidation>
    <dataValidation type="list" allowBlank="1" showInputMessage="1" showErrorMessage="1" sqref="R396 AL462 AL198 AL330 AL132 AL396 AL264 R264 R462 R330" xr:uid="{00000000-0002-0000-1400-000001000000}">
      <formula1>$C189</formula1>
    </dataValidation>
    <dataValidation type="list" allowBlank="1" showInputMessage="1" showErrorMessage="1" sqref="J264 AD462 AD198 AD330 AD396 AD264 J462 J396 J330" xr:uid="{00000000-0002-0000-14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9">
    <tabColor theme="4" tint="-0.249977111117893"/>
  </sheetPr>
  <dimension ref="A1:AS105"/>
  <sheetViews>
    <sheetView topLeftCell="A4" zoomScaleNormal="100" workbookViewId="0">
      <selection activeCell="C10" sqref="C10:H10"/>
    </sheetView>
  </sheetViews>
  <sheetFormatPr defaultColWidth="5.7109375" defaultRowHeight="12.75" x14ac:dyDescent="0.2"/>
  <cols>
    <col min="1" max="1" width="1.7109375" style="607" customWidth="1"/>
    <col min="2" max="18" width="5.7109375" style="607"/>
    <col min="19" max="20" width="1.7109375" style="607" customWidth="1"/>
    <col min="21" max="37" width="5.7109375" style="607"/>
    <col min="38" max="38" width="1.7109375" style="607" customWidth="1"/>
    <col min="39" max="16384" width="5.7109375" style="607"/>
  </cols>
  <sheetData>
    <row r="1" spans="1:45" ht="12" customHeight="1" thickBot="1" x14ac:dyDescent="0.25">
      <c r="A1" s="1125"/>
      <c r="B1" s="1125"/>
      <c r="C1" s="1125"/>
      <c r="D1" s="1125"/>
      <c r="E1" s="1125"/>
      <c r="F1" s="1125"/>
      <c r="G1" s="1125"/>
      <c r="H1" s="1125"/>
      <c r="I1" s="1125"/>
      <c r="J1" s="1125"/>
      <c r="K1" s="1125"/>
      <c r="L1" s="1125"/>
      <c r="M1" s="1125"/>
      <c r="N1" s="1125"/>
      <c r="O1" s="1125"/>
      <c r="P1" s="1125"/>
      <c r="Q1" s="1125"/>
      <c r="R1" s="1125"/>
      <c r="S1" s="1125"/>
      <c r="T1" s="1125"/>
      <c r="U1" s="1125"/>
      <c r="V1" s="1125"/>
      <c r="W1" s="1125"/>
      <c r="X1" s="1125"/>
      <c r="Y1" s="1125"/>
      <c r="Z1" s="1125"/>
      <c r="AA1" s="1125"/>
      <c r="AB1" s="1125"/>
      <c r="AC1" s="1125"/>
      <c r="AD1" s="1125"/>
      <c r="AE1" s="1125"/>
      <c r="AF1" s="1125"/>
      <c r="AG1" s="1125"/>
      <c r="AH1" s="1125"/>
      <c r="AI1" s="1125"/>
      <c r="AJ1" s="1125"/>
      <c r="AK1" s="1125"/>
      <c r="AL1" s="1125"/>
      <c r="AM1" s="620"/>
      <c r="AN1" s="620"/>
      <c r="AO1" s="620"/>
      <c r="AP1" s="620"/>
      <c r="AQ1" s="620"/>
      <c r="AR1" s="620"/>
      <c r="AS1" s="620"/>
    </row>
    <row r="2" spans="1:45" ht="12" customHeight="1" thickBot="1" x14ac:dyDescent="0.25">
      <c r="A2" s="1125"/>
      <c r="B2" s="1126"/>
      <c r="C2" s="1127"/>
      <c r="D2" s="1127"/>
      <c r="E2" s="1127"/>
      <c r="F2" s="1127"/>
      <c r="G2" s="1127"/>
      <c r="H2" s="1127"/>
      <c r="I2" s="1127"/>
      <c r="J2" s="1127"/>
      <c r="K2" s="1127"/>
      <c r="L2" s="1127"/>
      <c r="M2" s="1127"/>
      <c r="N2" s="1127"/>
      <c r="O2" s="1127"/>
      <c r="P2" s="1127"/>
      <c r="Q2" s="1127"/>
      <c r="R2" s="1128"/>
      <c r="S2" s="1125"/>
      <c r="T2" s="1125"/>
      <c r="U2" s="1126"/>
      <c r="V2" s="1127"/>
      <c r="W2" s="1127"/>
      <c r="X2" s="1127"/>
      <c r="Y2" s="1127"/>
      <c r="Z2" s="1127"/>
      <c r="AA2" s="1127"/>
      <c r="AB2" s="1127"/>
      <c r="AC2" s="1127"/>
      <c r="AD2" s="1127"/>
      <c r="AE2" s="1127"/>
      <c r="AF2" s="1127"/>
      <c r="AG2" s="1127"/>
      <c r="AH2" s="1127"/>
      <c r="AI2" s="1127"/>
      <c r="AJ2" s="1127"/>
      <c r="AK2" s="1128"/>
      <c r="AL2" s="1125"/>
      <c r="AM2" s="620"/>
      <c r="AN2" s="620"/>
      <c r="AO2" s="620"/>
      <c r="AP2" s="620"/>
      <c r="AQ2" s="620"/>
      <c r="AR2" s="620"/>
      <c r="AS2" s="620"/>
    </row>
    <row r="3" spans="1:45" ht="12" customHeight="1" x14ac:dyDescent="0.2">
      <c r="A3" s="1125"/>
      <c r="B3" s="537"/>
      <c r="C3" s="4621"/>
      <c r="D3" s="4622"/>
      <c r="E3" s="4622"/>
      <c r="F3" s="4622"/>
      <c r="G3" s="4622"/>
      <c r="H3" s="4622"/>
      <c r="I3" s="1129"/>
      <c r="J3" s="1129"/>
      <c r="K3" s="1129"/>
      <c r="L3" s="1129"/>
      <c r="M3" s="1129"/>
      <c r="N3" s="1129"/>
      <c r="O3" s="1129"/>
      <c r="P3" s="1129"/>
      <c r="Q3" s="1130"/>
      <c r="R3" s="1131"/>
      <c r="S3" s="1125"/>
      <c r="T3" s="1125"/>
      <c r="U3" s="537"/>
      <c r="V3" s="4621"/>
      <c r="W3" s="4622"/>
      <c r="X3" s="4622"/>
      <c r="Y3" s="4622"/>
      <c r="Z3" s="4622"/>
      <c r="AA3" s="4622"/>
      <c r="AB3" s="1129"/>
      <c r="AC3" s="1129"/>
      <c r="AD3" s="1129"/>
      <c r="AE3" s="1129"/>
      <c r="AF3" s="1129"/>
      <c r="AG3" s="1129"/>
      <c r="AH3" s="1129"/>
      <c r="AI3" s="1129"/>
      <c r="AJ3" s="1130"/>
      <c r="AK3" s="1131"/>
      <c r="AL3" s="1125"/>
      <c r="AM3" s="1132"/>
      <c r="AN3" s="1132"/>
      <c r="AO3" s="1132"/>
      <c r="AP3" s="1132"/>
      <c r="AQ3" s="1132"/>
      <c r="AR3" s="1133"/>
      <c r="AS3" s="620"/>
    </row>
    <row r="4" spans="1:45" ht="12" customHeight="1" x14ac:dyDescent="0.2">
      <c r="A4" s="1125"/>
      <c r="B4" s="537"/>
      <c r="C4" s="4623"/>
      <c r="D4" s="4624"/>
      <c r="E4" s="4624"/>
      <c r="F4" s="4624"/>
      <c r="G4" s="4624"/>
      <c r="H4" s="4624"/>
      <c r="I4" s="1134"/>
      <c r="J4" s="4627" t="s">
        <v>1625</v>
      </c>
      <c r="K4" s="4628"/>
      <c r="L4" s="3144" t="str">
        <f>IF(OR(General!$G$22="",General!$G$22=0),"",General!$G$22)</f>
        <v/>
      </c>
      <c r="M4" s="3144"/>
      <c r="N4" s="3144"/>
      <c r="O4" s="3144"/>
      <c r="P4" s="3144"/>
      <c r="Q4" s="735"/>
      <c r="R4" s="1131"/>
      <c r="S4" s="1125"/>
      <c r="T4" s="1125"/>
      <c r="U4" s="537"/>
      <c r="V4" s="4623"/>
      <c r="W4" s="4624"/>
      <c r="X4" s="4624"/>
      <c r="Y4" s="4624"/>
      <c r="Z4" s="4624"/>
      <c r="AA4" s="4624"/>
      <c r="AB4" s="1134"/>
      <c r="AC4" s="4619" t="s">
        <v>2115</v>
      </c>
      <c r="AD4" s="4620"/>
      <c r="AE4" s="4620"/>
      <c r="AF4" s="4620"/>
      <c r="AG4" s="4620"/>
      <c r="AH4" s="4620"/>
      <c r="AI4" s="4620"/>
      <c r="AJ4" s="735"/>
      <c r="AK4" s="1131"/>
      <c r="AL4" s="1125"/>
      <c r="AM4" s="1132"/>
      <c r="AN4" s="1132"/>
      <c r="AO4" s="1132"/>
      <c r="AP4" s="1135"/>
      <c r="AQ4" s="1135"/>
      <c r="AR4" s="1133"/>
      <c r="AS4" s="620"/>
    </row>
    <row r="5" spans="1:45" ht="12" customHeight="1" x14ac:dyDescent="0.2">
      <c r="A5" s="1125"/>
      <c r="B5" s="537"/>
      <c r="C5" s="4623"/>
      <c r="D5" s="4624"/>
      <c r="E5" s="4624"/>
      <c r="F5" s="4624"/>
      <c r="G5" s="4624"/>
      <c r="H5" s="4624"/>
      <c r="I5" s="1134"/>
      <c r="J5" s="4615" t="s">
        <v>1626</v>
      </c>
      <c r="K5" s="4616"/>
      <c r="L5" s="4617" t="str">
        <f>Principal!$L$5</f>
        <v/>
      </c>
      <c r="M5" s="4618"/>
      <c r="N5" s="4618"/>
      <c r="O5" s="1136" t="s">
        <v>1627</v>
      </c>
      <c r="P5" s="1137" t="str">
        <f>Principal!$P$5</f>
        <v>0</v>
      </c>
      <c r="Q5" s="1138"/>
      <c r="R5" s="1131"/>
      <c r="S5" s="1125"/>
      <c r="T5" s="1125"/>
      <c r="U5" s="537"/>
      <c r="V5" s="4623"/>
      <c r="W5" s="4624"/>
      <c r="X5" s="4624"/>
      <c r="Y5" s="4624"/>
      <c r="Z5" s="4624"/>
      <c r="AA5" s="4624"/>
      <c r="AB5" s="1134"/>
      <c r="AC5" s="4620"/>
      <c r="AD5" s="4620"/>
      <c r="AE5" s="4620"/>
      <c r="AF5" s="4620"/>
      <c r="AG5" s="4620"/>
      <c r="AH5" s="4620"/>
      <c r="AI5" s="4620"/>
      <c r="AJ5" s="1138"/>
      <c r="AK5" s="1131"/>
      <c r="AL5" s="1125"/>
      <c r="AM5" s="1139"/>
      <c r="AN5" s="1139"/>
      <c r="AO5" s="1139"/>
      <c r="AP5" s="1140"/>
      <c r="AQ5" s="1140"/>
      <c r="AR5" s="1133"/>
      <c r="AS5" s="620"/>
    </row>
    <row r="6" spans="1:45" ht="12" customHeight="1" x14ac:dyDescent="0.2">
      <c r="A6" s="1125"/>
      <c r="B6" s="537"/>
      <c r="C6" s="4623"/>
      <c r="D6" s="4624"/>
      <c r="E6" s="4624"/>
      <c r="F6" s="4624"/>
      <c r="G6" s="4624"/>
      <c r="H6" s="4624"/>
      <c r="I6" s="1134"/>
      <c r="J6" s="4619" t="s">
        <v>7692</v>
      </c>
      <c r="K6" s="4620"/>
      <c r="L6" s="4620"/>
      <c r="M6" s="4620"/>
      <c r="N6" s="4620"/>
      <c r="O6" s="4620"/>
      <c r="P6" s="4620"/>
      <c r="Q6" s="1138"/>
      <c r="R6" s="1131"/>
      <c r="S6" s="1125"/>
      <c r="T6" s="1125"/>
      <c r="U6" s="537"/>
      <c r="V6" s="4623"/>
      <c r="W6" s="4624"/>
      <c r="X6" s="4624"/>
      <c r="Y6" s="4624"/>
      <c r="Z6" s="4624"/>
      <c r="AA6" s="4624"/>
      <c r="AB6" s="1134"/>
      <c r="AC6" s="5466"/>
      <c r="AD6" s="5467"/>
      <c r="AE6" s="5467"/>
      <c r="AF6" s="5467"/>
      <c r="AG6" s="5467"/>
      <c r="AH6" s="5467"/>
      <c r="AI6" s="5467"/>
      <c r="AJ6" s="1138"/>
      <c r="AK6" s="1131"/>
      <c r="AL6" s="1125"/>
      <c r="AM6" s="1141"/>
      <c r="AN6" s="1141"/>
      <c r="AO6" s="1141"/>
      <c r="AP6" s="1142"/>
      <c r="AQ6" s="1142"/>
      <c r="AR6" s="1133"/>
      <c r="AS6" s="620"/>
    </row>
    <row r="7" spans="1:45" ht="12" customHeight="1" x14ac:dyDescent="0.2">
      <c r="A7" s="1125"/>
      <c r="B7" s="537"/>
      <c r="C7" s="4623"/>
      <c r="D7" s="4624"/>
      <c r="E7" s="4624"/>
      <c r="F7" s="4624"/>
      <c r="G7" s="4624"/>
      <c r="H7" s="4624"/>
      <c r="I7" s="1134"/>
      <c r="J7" s="4620"/>
      <c r="K7" s="4620"/>
      <c r="L7" s="4620"/>
      <c r="M7" s="4620"/>
      <c r="N7" s="4620"/>
      <c r="O7" s="4620"/>
      <c r="P7" s="4620"/>
      <c r="Q7" s="1138"/>
      <c r="R7" s="1131"/>
      <c r="S7" s="1125"/>
      <c r="T7" s="1125"/>
      <c r="U7" s="537"/>
      <c r="V7" s="4623"/>
      <c r="W7" s="4624"/>
      <c r="X7" s="4624"/>
      <c r="Y7" s="4624"/>
      <c r="Z7" s="4624"/>
      <c r="AA7" s="4624"/>
      <c r="AB7" s="1134"/>
      <c r="AC7" s="5467"/>
      <c r="AD7" s="5467"/>
      <c r="AE7" s="5467"/>
      <c r="AF7" s="5467"/>
      <c r="AG7" s="5467"/>
      <c r="AH7" s="5467"/>
      <c r="AI7" s="5467"/>
      <c r="AJ7" s="1138"/>
      <c r="AK7" s="1131"/>
      <c r="AL7" s="1125"/>
      <c r="AM7" s="1139"/>
      <c r="AN7" s="1139"/>
      <c r="AO7" s="1139"/>
      <c r="AP7" s="1140"/>
      <c r="AQ7" s="1140"/>
      <c r="AR7" s="1133"/>
      <c r="AS7" s="620"/>
    </row>
    <row r="8" spans="1:45" ht="12" customHeight="1" thickBot="1" x14ac:dyDescent="0.25">
      <c r="A8" s="1125"/>
      <c r="B8" s="537"/>
      <c r="C8" s="4625"/>
      <c r="D8" s="4626"/>
      <c r="E8" s="4626"/>
      <c r="F8" s="4626"/>
      <c r="G8" s="4626"/>
      <c r="H8" s="4626"/>
      <c r="I8" s="1143"/>
      <c r="J8" s="1143"/>
      <c r="K8" s="1143"/>
      <c r="L8" s="1143"/>
      <c r="M8" s="1143"/>
      <c r="N8" s="1143"/>
      <c r="O8" s="1143"/>
      <c r="P8" s="1143"/>
      <c r="Q8" s="1144"/>
      <c r="R8" s="1131"/>
      <c r="S8" s="1125"/>
      <c r="T8" s="1125"/>
      <c r="U8" s="537"/>
      <c r="V8" s="4625"/>
      <c r="W8" s="4626"/>
      <c r="X8" s="4626"/>
      <c r="Y8" s="4626"/>
      <c r="Z8" s="4626"/>
      <c r="AA8" s="4626"/>
      <c r="AB8" s="1143"/>
      <c r="AC8" s="1143"/>
      <c r="AD8" s="1143"/>
      <c r="AE8" s="1143"/>
      <c r="AF8" s="1143"/>
      <c r="AG8" s="1143"/>
      <c r="AH8" s="1143"/>
      <c r="AI8" s="1143"/>
      <c r="AJ8" s="1144"/>
      <c r="AK8" s="1131"/>
      <c r="AL8" s="1125"/>
      <c r="AM8" s="1141"/>
      <c r="AN8" s="1141"/>
      <c r="AO8" s="1141"/>
      <c r="AP8" s="1142"/>
      <c r="AQ8" s="1142"/>
      <c r="AR8" s="1133"/>
      <c r="AS8" s="620"/>
    </row>
    <row r="9" spans="1:45" ht="12" customHeight="1" thickBot="1" x14ac:dyDescent="0.25">
      <c r="A9" s="1125"/>
      <c r="B9" s="537"/>
      <c r="C9" s="663"/>
      <c r="D9" s="663"/>
      <c r="E9" s="663"/>
      <c r="F9" s="663"/>
      <c r="G9" s="663"/>
      <c r="H9" s="663"/>
      <c r="I9" s="663"/>
      <c r="J9" s="663"/>
      <c r="K9" s="663"/>
      <c r="L9" s="663"/>
      <c r="M9" s="663"/>
      <c r="N9" s="663"/>
      <c r="O9" s="663"/>
      <c r="P9" s="663"/>
      <c r="Q9" s="663"/>
      <c r="R9" s="1131"/>
      <c r="S9" s="1125"/>
      <c r="T9" s="1125"/>
      <c r="U9" s="537"/>
      <c r="V9" s="663"/>
      <c r="W9" s="663"/>
      <c r="X9" s="663"/>
      <c r="Y9" s="663"/>
      <c r="Z9" s="663"/>
      <c r="AA9" s="663"/>
      <c r="AB9" s="663"/>
      <c r="AC9" s="663"/>
      <c r="AD9" s="663"/>
      <c r="AE9" s="663"/>
      <c r="AF9" s="663"/>
      <c r="AG9" s="663"/>
      <c r="AH9" s="663"/>
      <c r="AI9" s="663"/>
      <c r="AJ9" s="663"/>
      <c r="AK9" s="1131"/>
      <c r="AL9" s="1125"/>
      <c r="AM9" s="1139"/>
      <c r="AN9" s="1139"/>
      <c r="AO9" s="1139"/>
      <c r="AP9" s="1140"/>
      <c r="AQ9" s="1140"/>
      <c r="AR9" s="1133"/>
      <c r="AS9" s="620"/>
    </row>
    <row r="10" spans="1:45" ht="12" customHeight="1" x14ac:dyDescent="0.2">
      <c r="A10" s="1125"/>
      <c r="B10" s="537"/>
      <c r="C10" s="5461"/>
      <c r="D10" s="5462"/>
      <c r="E10" s="5462"/>
      <c r="F10" s="5462"/>
      <c r="G10" s="5462"/>
      <c r="H10" s="5462"/>
      <c r="I10" s="1178" t="s">
        <v>1712</v>
      </c>
      <c r="K10" s="5461"/>
      <c r="L10" s="5462"/>
      <c r="M10" s="5462"/>
      <c r="N10" s="5462"/>
      <c r="O10" s="5462"/>
      <c r="P10" s="5462"/>
      <c r="Q10" s="1178" t="s">
        <v>1712</v>
      </c>
      <c r="R10" s="1131"/>
      <c r="S10" s="1125"/>
      <c r="T10" s="1125"/>
      <c r="U10" s="537"/>
      <c r="V10" s="5461"/>
      <c r="W10" s="5462"/>
      <c r="X10" s="5462"/>
      <c r="Y10" s="5462"/>
      <c r="Z10" s="5462"/>
      <c r="AA10" s="5462"/>
      <c r="AB10" s="1178" t="s">
        <v>1712</v>
      </c>
      <c r="AC10" s="1179"/>
      <c r="AD10" s="5461"/>
      <c r="AE10" s="5462"/>
      <c r="AF10" s="5462"/>
      <c r="AG10" s="5462"/>
      <c r="AH10" s="5462"/>
      <c r="AI10" s="5462"/>
      <c r="AJ10" s="1178" t="s">
        <v>1712</v>
      </c>
      <c r="AK10" s="1131"/>
      <c r="AL10" s="1125"/>
      <c r="AM10" s="1141"/>
      <c r="AN10" s="1141"/>
      <c r="AO10" s="1141"/>
      <c r="AP10" s="1142"/>
      <c r="AQ10" s="1142"/>
      <c r="AR10" s="1133"/>
      <c r="AS10" s="620"/>
    </row>
    <row r="11" spans="1:45" ht="12" customHeight="1" x14ac:dyDescent="0.2">
      <c r="A11" s="1125"/>
      <c r="B11" s="537"/>
      <c r="C11" s="5564" t="str">
        <f>IF(C10=0,"",VLOOKUP(C10,'Tablas psiquica'!$D$7:$R$145,2,FALSE))</f>
        <v/>
      </c>
      <c r="D11" s="5565"/>
      <c r="E11" s="5565"/>
      <c r="F11" s="5565"/>
      <c r="G11" s="5565"/>
      <c r="H11" s="5565"/>
      <c r="I11" s="1180" t="str">
        <f>IF(C10=0,"",VLOOKUP(C10,'Tablas psiquica'!$D$7:$R$145,3,FALSE))</f>
        <v/>
      </c>
      <c r="K11" s="5564" t="str">
        <f>IF(K10=0,"",VLOOKUP(K10,'Tablas psiquica'!$D$7:$R$145,2,FALSE))</f>
        <v/>
      </c>
      <c r="L11" s="5565"/>
      <c r="M11" s="5565"/>
      <c r="N11" s="5565"/>
      <c r="O11" s="5565"/>
      <c r="P11" s="5565"/>
      <c r="Q11" s="1180" t="str">
        <f>IF(K10=0,"",VLOOKUP(K10,'Tablas psiquica'!$D$7:$R$145,3,FALSE))</f>
        <v/>
      </c>
      <c r="R11" s="1131"/>
      <c r="S11" s="1125"/>
      <c r="T11" s="1125"/>
      <c r="U11" s="537"/>
      <c r="V11" s="5564" t="str">
        <f>IF(V10=0,"",VLOOKUP(V10,'Tablas psiquica'!$D$7:$R$145,2,FALSE))</f>
        <v/>
      </c>
      <c r="W11" s="5565"/>
      <c r="X11" s="5565"/>
      <c r="Y11" s="5565"/>
      <c r="Z11" s="5565"/>
      <c r="AA11" s="5565"/>
      <c r="AB11" s="1180" t="str">
        <f>IF(V10=0,"",VLOOKUP(V10,'Tablas psiquica'!$D$7:$R$145,3,FALSE))</f>
        <v/>
      </c>
      <c r="AC11" s="663"/>
      <c r="AD11" s="5564" t="str">
        <f>IF(AD10=0,"",VLOOKUP(AD10,'Tablas psiquica'!$D$7:$R$145,2,FALSE))</f>
        <v/>
      </c>
      <c r="AE11" s="5565"/>
      <c r="AF11" s="5565"/>
      <c r="AG11" s="5565"/>
      <c r="AH11" s="5565"/>
      <c r="AI11" s="5565"/>
      <c r="AJ11" s="1180" t="str">
        <f>IF(AD10=0,"",VLOOKUP(AD10,'Tablas psiquica'!$D$7:$R$145,3,FALSE))</f>
        <v/>
      </c>
      <c r="AK11" s="1131"/>
      <c r="AL11" s="1125"/>
      <c r="AM11" s="1139"/>
      <c r="AN11" s="1139"/>
      <c r="AO11" s="1139"/>
      <c r="AP11" s="1140"/>
      <c r="AQ11" s="1140"/>
      <c r="AR11" s="1133"/>
      <c r="AS11" s="620"/>
    </row>
    <row r="12" spans="1:45" ht="12" customHeight="1" x14ac:dyDescent="0.2">
      <c r="A12" s="1125"/>
      <c r="B12" s="537"/>
      <c r="C12" s="1181">
        <v>20</v>
      </c>
      <c r="D12" s="5566" t="s">
        <v>2045</v>
      </c>
      <c r="E12" s="5474"/>
      <c r="F12" s="5567" t="str">
        <f>IF(C10=0,"",VLOOKUP(C10,'Tablas psiquica'!$D$7:$R$145,6,FALSE))</f>
        <v/>
      </c>
      <c r="G12" s="5568"/>
      <c r="H12" s="5568"/>
      <c r="I12" s="5569"/>
      <c r="K12" s="1181">
        <v>20</v>
      </c>
      <c r="L12" s="5566" t="s">
        <v>2045</v>
      </c>
      <c r="M12" s="5474"/>
      <c r="N12" s="5567" t="str">
        <f>IF(K10=0,"",VLOOKUP(K10,'Tablas psiquica'!$D$7:$R$145,6,FALSE))</f>
        <v/>
      </c>
      <c r="O12" s="5568"/>
      <c r="P12" s="5568"/>
      <c r="Q12" s="5569"/>
      <c r="R12" s="1131"/>
      <c r="S12" s="1125"/>
      <c r="T12" s="1125"/>
      <c r="U12" s="537"/>
      <c r="V12" s="1181">
        <v>20</v>
      </c>
      <c r="W12" s="5566" t="s">
        <v>2045</v>
      </c>
      <c r="X12" s="5474"/>
      <c r="Y12" s="5567" t="str">
        <f>IF(V10=0,"",VLOOKUP(V10,'Tablas psiquica'!$D$7:$R$145,6,FALSE))</f>
        <v/>
      </c>
      <c r="Z12" s="5568"/>
      <c r="AA12" s="5568"/>
      <c r="AB12" s="5569"/>
      <c r="AC12" s="1182"/>
      <c r="AD12" s="1181">
        <v>20</v>
      </c>
      <c r="AE12" s="5566" t="s">
        <v>2045</v>
      </c>
      <c r="AF12" s="5474"/>
      <c r="AG12" s="5567" t="str">
        <f>IF(AD10=0,"",VLOOKUP(AD10,'Tablas psiquica'!$D$7:$R$145,6,FALSE))</f>
        <v/>
      </c>
      <c r="AH12" s="5568"/>
      <c r="AI12" s="5568"/>
      <c r="AJ12" s="5569"/>
      <c r="AK12" s="1131"/>
      <c r="AL12" s="1125"/>
      <c r="AM12" s="1141"/>
      <c r="AN12" s="1141"/>
      <c r="AO12" s="1141"/>
      <c r="AP12" s="1142"/>
      <c r="AQ12" s="1142"/>
      <c r="AR12" s="1133"/>
      <c r="AS12" s="620"/>
    </row>
    <row r="13" spans="1:45" ht="12" customHeight="1" x14ac:dyDescent="0.2">
      <c r="A13" s="1125"/>
      <c r="B13" s="537"/>
      <c r="C13" s="1183">
        <v>40</v>
      </c>
      <c r="D13" s="5570" t="s">
        <v>2049</v>
      </c>
      <c r="E13" s="5469"/>
      <c r="F13" s="5571" t="str">
        <f>IF(C10=0,"",VLOOKUP(C10,'Tablas psiquica'!$D$7:$R$145,7,FALSE))</f>
        <v/>
      </c>
      <c r="G13" s="5572"/>
      <c r="H13" s="5572"/>
      <c r="I13" s="5573"/>
      <c r="K13" s="1183">
        <v>40</v>
      </c>
      <c r="L13" s="5570" t="s">
        <v>2049</v>
      </c>
      <c r="M13" s="5469"/>
      <c r="N13" s="5571" t="str">
        <f>IF(K10=0,"",VLOOKUP(K10,'Tablas psiquica'!$D$7:$R$145,7,FALSE))</f>
        <v/>
      </c>
      <c r="O13" s="5572"/>
      <c r="P13" s="5572"/>
      <c r="Q13" s="5573"/>
      <c r="R13" s="1131"/>
      <c r="S13" s="1125"/>
      <c r="T13" s="1125"/>
      <c r="U13" s="537"/>
      <c r="V13" s="1183">
        <v>40</v>
      </c>
      <c r="W13" s="5570" t="s">
        <v>2049</v>
      </c>
      <c r="X13" s="5469"/>
      <c r="Y13" s="5571" t="str">
        <f>IF(V10=0,"",VLOOKUP(V10,'Tablas psiquica'!$D$7:$R$145,7,FALSE))</f>
        <v/>
      </c>
      <c r="Z13" s="5572"/>
      <c r="AA13" s="5572"/>
      <c r="AB13" s="5573"/>
      <c r="AC13" s="1182"/>
      <c r="AD13" s="1183">
        <v>40</v>
      </c>
      <c r="AE13" s="5570" t="s">
        <v>2049</v>
      </c>
      <c r="AF13" s="5469"/>
      <c r="AG13" s="5571" t="str">
        <f>IF(AD10=0,"",VLOOKUP(AD10,'Tablas psiquica'!$D$7:$R$145,7,FALSE))</f>
        <v/>
      </c>
      <c r="AH13" s="5572"/>
      <c r="AI13" s="5572"/>
      <c r="AJ13" s="5573"/>
      <c r="AK13" s="1131"/>
      <c r="AL13" s="1125"/>
      <c r="AM13" s="1139"/>
      <c r="AP13" s="1140"/>
      <c r="AQ13" s="1140"/>
      <c r="AR13" s="1133"/>
      <c r="AS13" s="620"/>
    </row>
    <row r="14" spans="1:45" ht="12" customHeight="1" x14ac:dyDescent="0.2">
      <c r="A14" s="1125"/>
      <c r="B14" s="537"/>
      <c r="C14" s="1181">
        <v>80</v>
      </c>
      <c r="D14" s="5566" t="s">
        <v>2052</v>
      </c>
      <c r="E14" s="5474"/>
      <c r="F14" s="5567" t="str">
        <f>IF(C10=0,"",VLOOKUP(C10,'Tablas psiquica'!$D$7:$R$145,8,FALSE))</f>
        <v/>
      </c>
      <c r="G14" s="5568"/>
      <c r="H14" s="5568"/>
      <c r="I14" s="5569"/>
      <c r="K14" s="1181">
        <v>80</v>
      </c>
      <c r="L14" s="5566" t="s">
        <v>2052</v>
      </c>
      <c r="M14" s="5474"/>
      <c r="N14" s="5567" t="str">
        <f>IF(K10=0,"",VLOOKUP(K10,'Tablas psiquica'!$D$7:$R$145,8,FALSE))</f>
        <v/>
      </c>
      <c r="O14" s="5568"/>
      <c r="P14" s="5568"/>
      <c r="Q14" s="5569"/>
      <c r="R14" s="1131"/>
      <c r="S14" s="1125"/>
      <c r="T14" s="1125"/>
      <c r="U14" s="537"/>
      <c r="V14" s="1181">
        <v>80</v>
      </c>
      <c r="W14" s="5566" t="s">
        <v>2052</v>
      </c>
      <c r="X14" s="5474"/>
      <c r="Y14" s="5567" t="str">
        <f>IF(V10=0,"",VLOOKUP(V10,'Tablas psiquica'!$D$7:$R$145,8,FALSE))</f>
        <v/>
      </c>
      <c r="Z14" s="5568"/>
      <c r="AA14" s="5568"/>
      <c r="AB14" s="5569"/>
      <c r="AC14" s="1182"/>
      <c r="AD14" s="1181">
        <v>80</v>
      </c>
      <c r="AE14" s="5566" t="s">
        <v>2052</v>
      </c>
      <c r="AF14" s="5474"/>
      <c r="AG14" s="5567" t="str">
        <f>IF(AD10=0,"",VLOOKUP(AD10,'Tablas psiquica'!$D$7:$R$145,8,FALSE))</f>
        <v/>
      </c>
      <c r="AH14" s="5568"/>
      <c r="AI14" s="5568"/>
      <c r="AJ14" s="5569"/>
      <c r="AK14" s="1131"/>
      <c r="AL14" s="1125"/>
      <c r="AM14" s="1141"/>
      <c r="AN14" s="1141"/>
      <c r="AO14" s="1141"/>
      <c r="AP14" s="1142"/>
      <c r="AQ14" s="1142"/>
      <c r="AR14" s="1133"/>
      <c r="AS14" s="620"/>
    </row>
    <row r="15" spans="1:45" ht="12" customHeight="1" x14ac:dyDescent="0.2">
      <c r="A15" s="1125"/>
      <c r="B15" s="537"/>
      <c r="C15" s="1183">
        <v>120</v>
      </c>
      <c r="D15" s="5570" t="s">
        <v>2056</v>
      </c>
      <c r="E15" s="5469"/>
      <c r="F15" s="5571" t="str">
        <f>IF(C10=0,"",VLOOKUP(C10,'Tablas psiquica'!$D$7:$R$145,9,FALSE))</f>
        <v/>
      </c>
      <c r="G15" s="5572"/>
      <c r="H15" s="5572"/>
      <c r="I15" s="5573"/>
      <c r="K15" s="1183">
        <v>120</v>
      </c>
      <c r="L15" s="5570" t="s">
        <v>2056</v>
      </c>
      <c r="M15" s="5469"/>
      <c r="N15" s="5571" t="str">
        <f>IF(K10=0,"",VLOOKUP(K10,'Tablas psiquica'!$D$7:$R$145,9,FALSE))</f>
        <v/>
      </c>
      <c r="O15" s="5572"/>
      <c r="P15" s="5572"/>
      <c r="Q15" s="5573"/>
      <c r="R15" s="1131"/>
      <c r="S15" s="1125"/>
      <c r="T15" s="1125"/>
      <c r="U15" s="537"/>
      <c r="V15" s="1183">
        <v>120</v>
      </c>
      <c r="W15" s="5570" t="s">
        <v>2056</v>
      </c>
      <c r="X15" s="5469"/>
      <c r="Y15" s="5571" t="str">
        <f>IF(V10=0,"",VLOOKUP(V10,'Tablas psiquica'!$D$7:$R$145,9,FALSE))</f>
        <v/>
      </c>
      <c r="Z15" s="5572"/>
      <c r="AA15" s="5572"/>
      <c r="AB15" s="5573"/>
      <c r="AC15" s="1184"/>
      <c r="AD15" s="1183">
        <v>120</v>
      </c>
      <c r="AE15" s="5570" t="s">
        <v>2056</v>
      </c>
      <c r="AF15" s="5469"/>
      <c r="AG15" s="5571" t="str">
        <f>IF(AD10=0,"",VLOOKUP(AD10,'Tablas psiquica'!$D$7:$R$145,9,FALSE))</f>
        <v/>
      </c>
      <c r="AH15" s="5572"/>
      <c r="AI15" s="5572"/>
      <c r="AJ15" s="5573"/>
      <c r="AK15" s="1131"/>
      <c r="AL15" s="1125"/>
      <c r="AM15" s="1139"/>
      <c r="AN15" s="1139"/>
      <c r="AO15" s="1139"/>
      <c r="AP15" s="1140"/>
      <c r="AQ15" s="1140"/>
      <c r="AR15" s="1133"/>
      <c r="AS15" s="620"/>
    </row>
    <row r="16" spans="1:45" ht="12" customHeight="1" x14ac:dyDescent="0.2">
      <c r="A16" s="1125"/>
      <c r="B16" s="537"/>
      <c r="C16" s="1181">
        <v>140</v>
      </c>
      <c r="D16" s="5566" t="s">
        <v>7693</v>
      </c>
      <c r="E16" s="5474"/>
      <c r="F16" s="5567" t="str">
        <f>IF(C10=0,"",VLOOKUP(C10,'Tablas psiquica'!$D$7:$R$145,10,FALSE))</f>
        <v/>
      </c>
      <c r="G16" s="5568"/>
      <c r="H16" s="5568"/>
      <c r="I16" s="5569"/>
      <c r="K16" s="1181">
        <v>140</v>
      </c>
      <c r="L16" s="5566" t="s">
        <v>7693</v>
      </c>
      <c r="M16" s="5474"/>
      <c r="N16" s="5567" t="str">
        <f>IF(K10=0,"",VLOOKUP(K10,'Tablas psiquica'!$D$7:$R$145,10,FALSE))</f>
        <v/>
      </c>
      <c r="O16" s="5568"/>
      <c r="P16" s="5568"/>
      <c r="Q16" s="5569"/>
      <c r="R16" s="1131"/>
      <c r="S16" s="1125"/>
      <c r="T16" s="1125"/>
      <c r="U16" s="537"/>
      <c r="V16" s="1181">
        <v>140</v>
      </c>
      <c r="W16" s="5566" t="s">
        <v>7693</v>
      </c>
      <c r="X16" s="5474"/>
      <c r="Y16" s="5567" t="str">
        <f>IF(V10=0,"",VLOOKUP(V10,'Tablas psiquica'!$D$7:$R$145,10,FALSE))</f>
        <v/>
      </c>
      <c r="Z16" s="5568"/>
      <c r="AA16" s="5568"/>
      <c r="AB16" s="5569"/>
      <c r="AC16" s="1185"/>
      <c r="AD16" s="1181">
        <v>140</v>
      </c>
      <c r="AE16" s="5566" t="s">
        <v>7693</v>
      </c>
      <c r="AF16" s="5474"/>
      <c r="AG16" s="5567" t="str">
        <f>IF(AD10=0,"",VLOOKUP(AD10,'Tablas psiquica'!$D$7:$R$145,10,FALSE))</f>
        <v/>
      </c>
      <c r="AH16" s="5568"/>
      <c r="AI16" s="5568"/>
      <c r="AJ16" s="5569"/>
      <c r="AK16" s="1131"/>
      <c r="AL16" s="1125"/>
      <c r="AM16" s="1141"/>
      <c r="AN16" s="1141"/>
      <c r="AO16" s="1141"/>
      <c r="AP16" s="1142"/>
      <c r="AQ16" s="1142"/>
      <c r="AR16" s="1133"/>
      <c r="AS16" s="620"/>
    </row>
    <row r="17" spans="1:45" ht="12" customHeight="1" x14ac:dyDescent="0.2">
      <c r="A17" s="1125"/>
      <c r="B17" s="537"/>
      <c r="C17" s="1183">
        <v>180</v>
      </c>
      <c r="D17" s="5570" t="s">
        <v>2061</v>
      </c>
      <c r="E17" s="5469"/>
      <c r="F17" s="5571" t="str">
        <f>IF(C10=0,"",VLOOKUP(C10,'Tablas psiquica'!$D$7:$R$145,11,FALSE))</f>
        <v/>
      </c>
      <c r="G17" s="5572"/>
      <c r="H17" s="5572"/>
      <c r="I17" s="5573"/>
      <c r="K17" s="1183">
        <v>180</v>
      </c>
      <c r="L17" s="5570" t="s">
        <v>2061</v>
      </c>
      <c r="M17" s="5469"/>
      <c r="N17" s="5571" t="str">
        <f>IF(K10=0,"",VLOOKUP(K10,'Tablas psiquica'!$D$7:$R$145,11,FALSE))</f>
        <v/>
      </c>
      <c r="O17" s="5572"/>
      <c r="P17" s="5572"/>
      <c r="Q17" s="5573"/>
      <c r="R17" s="1131"/>
      <c r="S17" s="1125"/>
      <c r="T17" s="1125"/>
      <c r="U17" s="537"/>
      <c r="V17" s="1183">
        <v>180</v>
      </c>
      <c r="W17" s="5570" t="s">
        <v>2061</v>
      </c>
      <c r="X17" s="5469"/>
      <c r="Y17" s="5571" t="str">
        <f>IF(V10=0,"",VLOOKUP(V10,'Tablas psiquica'!$D$7:$R$145,11,FALSE))</f>
        <v/>
      </c>
      <c r="Z17" s="5572"/>
      <c r="AA17" s="5572"/>
      <c r="AB17" s="5573"/>
      <c r="AC17" s="1173"/>
      <c r="AD17" s="1183">
        <v>180</v>
      </c>
      <c r="AE17" s="5570" t="s">
        <v>2061</v>
      </c>
      <c r="AF17" s="5469"/>
      <c r="AG17" s="5571" t="str">
        <f>IF(AD10=0,"",VLOOKUP(AD10,'Tablas psiquica'!$D$7:$R$145,11,FALSE))</f>
        <v/>
      </c>
      <c r="AH17" s="5572"/>
      <c r="AI17" s="5572"/>
      <c r="AJ17" s="5573"/>
      <c r="AK17" s="1131"/>
      <c r="AL17" s="1125"/>
      <c r="AM17" s="1139"/>
      <c r="AP17" s="1140"/>
      <c r="AQ17" s="1140"/>
      <c r="AR17" s="1133"/>
      <c r="AS17" s="620"/>
    </row>
    <row r="18" spans="1:45" ht="12" customHeight="1" x14ac:dyDescent="0.2">
      <c r="A18" s="1125"/>
      <c r="B18" s="537"/>
      <c r="C18" s="1181">
        <v>240</v>
      </c>
      <c r="D18" s="5566" t="s">
        <v>7694</v>
      </c>
      <c r="E18" s="5474"/>
      <c r="F18" s="5567" t="str">
        <f>IF(C10=0,"",VLOOKUP(C10,'Tablas psiquica'!$D$7:$R$145,12,FALSE))</f>
        <v/>
      </c>
      <c r="G18" s="5568"/>
      <c r="H18" s="5568"/>
      <c r="I18" s="5569"/>
      <c r="K18" s="1181">
        <v>240</v>
      </c>
      <c r="L18" s="5566" t="s">
        <v>7694</v>
      </c>
      <c r="M18" s="5474"/>
      <c r="N18" s="5567" t="str">
        <f>IF(K10=0,"",VLOOKUP(K10,'Tablas psiquica'!$D$7:$R$145,12,FALSE))</f>
        <v/>
      </c>
      <c r="O18" s="5568"/>
      <c r="P18" s="5568"/>
      <c r="Q18" s="5569"/>
      <c r="R18" s="1131"/>
      <c r="S18" s="1125"/>
      <c r="T18" s="1125"/>
      <c r="U18" s="537"/>
      <c r="V18" s="1181">
        <v>240</v>
      </c>
      <c r="W18" s="5566" t="s">
        <v>7694</v>
      </c>
      <c r="X18" s="5474"/>
      <c r="Y18" s="5567" t="str">
        <f>IF(V10=0,"",VLOOKUP(V10,'Tablas psiquica'!$D$7:$R$145,12,FALSE))</f>
        <v/>
      </c>
      <c r="Z18" s="5568"/>
      <c r="AA18" s="5568"/>
      <c r="AB18" s="5569"/>
      <c r="AC18" s="1173"/>
      <c r="AD18" s="1181">
        <v>240</v>
      </c>
      <c r="AE18" s="5566" t="s">
        <v>7694</v>
      </c>
      <c r="AF18" s="5474"/>
      <c r="AG18" s="5567" t="str">
        <f>IF(AD10=0,"",VLOOKUP(AD10,'Tablas psiquica'!$D$7:$R$145,12,FALSE))</f>
        <v/>
      </c>
      <c r="AH18" s="5568"/>
      <c r="AI18" s="5568"/>
      <c r="AJ18" s="5569"/>
      <c r="AK18" s="1131"/>
      <c r="AL18" s="1125"/>
      <c r="AM18" s="1141"/>
      <c r="AP18" s="1142"/>
      <c r="AQ18" s="1142"/>
      <c r="AR18" s="1133"/>
      <c r="AS18" s="620"/>
    </row>
    <row r="19" spans="1:45" ht="12" customHeight="1" x14ac:dyDescent="0.2">
      <c r="A19" s="1125"/>
      <c r="B19" s="537"/>
      <c r="C19" s="1183">
        <v>280</v>
      </c>
      <c r="D19" s="5570" t="s">
        <v>2066</v>
      </c>
      <c r="E19" s="5469"/>
      <c r="F19" s="5571" t="str">
        <f>IF(C10=0,"",VLOOKUP(C10,'Tablas psiquica'!$D$7:$R$145,13,FALSE))</f>
        <v/>
      </c>
      <c r="G19" s="5572"/>
      <c r="H19" s="5572"/>
      <c r="I19" s="5573"/>
      <c r="K19" s="1183">
        <v>280</v>
      </c>
      <c r="L19" s="5570" t="s">
        <v>2066</v>
      </c>
      <c r="M19" s="5469"/>
      <c r="N19" s="5571" t="str">
        <f>IF(K10=0,"",VLOOKUP(K10,'Tablas psiquica'!$D$7:$R$145,13,FALSE))</f>
        <v/>
      </c>
      <c r="O19" s="5572"/>
      <c r="P19" s="5572"/>
      <c r="Q19" s="5573"/>
      <c r="R19" s="1131"/>
      <c r="S19" s="1125"/>
      <c r="T19" s="1125"/>
      <c r="U19" s="537"/>
      <c r="V19" s="1183">
        <v>280</v>
      </c>
      <c r="W19" s="5570" t="s">
        <v>2066</v>
      </c>
      <c r="X19" s="5469"/>
      <c r="Y19" s="5571" t="str">
        <f>IF(V10=0,"",VLOOKUP(V10,'Tablas psiquica'!$D$7:$R$145,13,FALSE))</f>
        <v/>
      </c>
      <c r="Z19" s="5572"/>
      <c r="AA19" s="5572"/>
      <c r="AB19" s="5573"/>
      <c r="AC19" s="1173"/>
      <c r="AD19" s="1183">
        <v>280</v>
      </c>
      <c r="AE19" s="5570" t="s">
        <v>2066</v>
      </c>
      <c r="AF19" s="5469"/>
      <c r="AG19" s="5571" t="str">
        <f>IF(AD10=0,"",VLOOKUP(AD10,'Tablas psiquica'!$D$7:$R$145,13,FALSE))</f>
        <v/>
      </c>
      <c r="AH19" s="5572"/>
      <c r="AI19" s="5572"/>
      <c r="AJ19" s="5573"/>
      <c r="AK19" s="1131"/>
      <c r="AL19" s="1125"/>
      <c r="AM19" s="1139"/>
      <c r="AP19" s="1140"/>
      <c r="AQ19" s="1140"/>
      <c r="AR19" s="1133"/>
      <c r="AS19" s="620"/>
    </row>
    <row r="20" spans="1:45" ht="12" customHeight="1" x14ac:dyDescent="0.2">
      <c r="A20" s="1125"/>
      <c r="B20" s="537"/>
      <c r="C20" s="1181">
        <v>320</v>
      </c>
      <c r="D20" s="5566" t="s">
        <v>2068</v>
      </c>
      <c r="E20" s="5474"/>
      <c r="F20" s="5567" t="str">
        <f>IF(C10=0,"",VLOOKUP(C10,'Tablas psiquica'!$D$7:$R$145,14,FALSE))</f>
        <v/>
      </c>
      <c r="G20" s="5568"/>
      <c r="H20" s="5568"/>
      <c r="I20" s="5569"/>
      <c r="K20" s="1181">
        <v>320</v>
      </c>
      <c r="L20" s="5566" t="s">
        <v>2068</v>
      </c>
      <c r="M20" s="5474"/>
      <c r="N20" s="5567" t="str">
        <f>IF(K10=0,"",VLOOKUP(K10,'Tablas psiquica'!$D$7:$R$145,14,FALSE))</f>
        <v/>
      </c>
      <c r="O20" s="5568"/>
      <c r="P20" s="5568"/>
      <c r="Q20" s="5569"/>
      <c r="R20" s="1131"/>
      <c r="S20" s="1125"/>
      <c r="T20" s="1125"/>
      <c r="U20" s="537"/>
      <c r="V20" s="1181">
        <v>320</v>
      </c>
      <c r="W20" s="5566" t="s">
        <v>2068</v>
      </c>
      <c r="X20" s="5474"/>
      <c r="Y20" s="5567" t="str">
        <f>IF(V10=0,"",VLOOKUP(V10,'Tablas psiquica'!$D$7:$R$145,14,FALSE))</f>
        <v/>
      </c>
      <c r="Z20" s="5568"/>
      <c r="AA20" s="5568"/>
      <c r="AB20" s="5569"/>
      <c r="AC20" s="1173"/>
      <c r="AD20" s="1181">
        <v>320</v>
      </c>
      <c r="AE20" s="5566" t="s">
        <v>2068</v>
      </c>
      <c r="AF20" s="5474"/>
      <c r="AG20" s="5567" t="str">
        <f>IF(AD10=0,"",VLOOKUP(AD10,'Tablas psiquica'!$D$7:$R$145,14,FALSE))</f>
        <v/>
      </c>
      <c r="AH20" s="5568"/>
      <c r="AI20" s="5568"/>
      <c r="AJ20" s="5569"/>
      <c r="AK20" s="1131"/>
      <c r="AL20" s="1125"/>
      <c r="AM20" s="1141"/>
      <c r="AP20" s="1142"/>
      <c r="AQ20" s="1142"/>
      <c r="AR20" s="1133"/>
      <c r="AS20" s="620"/>
    </row>
    <row r="21" spans="1:45" ht="12" customHeight="1" x14ac:dyDescent="0.2">
      <c r="A21" s="1125"/>
      <c r="B21" s="537"/>
      <c r="C21" s="1186">
        <v>440</v>
      </c>
      <c r="D21" s="5574" t="s">
        <v>2002</v>
      </c>
      <c r="E21" s="5575"/>
      <c r="F21" s="5576" t="str">
        <f>IF(C10=0,"",VLOOKUP(C10,'Tablas psiquica'!$D$7:$R$145,15,FALSE))</f>
        <v/>
      </c>
      <c r="G21" s="5577"/>
      <c r="H21" s="5577"/>
      <c r="I21" s="5578"/>
      <c r="K21" s="1186">
        <v>440</v>
      </c>
      <c r="L21" s="5574" t="s">
        <v>2002</v>
      </c>
      <c r="M21" s="5575"/>
      <c r="N21" s="5576" t="str">
        <f>IF(K10=0,"",VLOOKUP(K10,'Tablas psiquica'!$D$7:$R$145,15,FALSE))</f>
        <v/>
      </c>
      <c r="O21" s="5577"/>
      <c r="P21" s="5577"/>
      <c r="Q21" s="5578"/>
      <c r="R21" s="1131"/>
      <c r="S21" s="1125"/>
      <c r="T21" s="1125"/>
      <c r="U21" s="537"/>
      <c r="V21" s="1186">
        <v>440</v>
      </c>
      <c r="W21" s="5574" t="s">
        <v>2002</v>
      </c>
      <c r="X21" s="5575"/>
      <c r="Y21" s="5576" t="str">
        <f>IF(V10=0,"",VLOOKUP(V10,'Tablas psiquica'!$D$7:$R$145,15,FALSE))</f>
        <v/>
      </c>
      <c r="Z21" s="5577"/>
      <c r="AA21" s="5577"/>
      <c r="AB21" s="5578"/>
      <c r="AC21" s="1173"/>
      <c r="AD21" s="1186">
        <v>440</v>
      </c>
      <c r="AE21" s="5574" t="s">
        <v>2002</v>
      </c>
      <c r="AF21" s="5575"/>
      <c r="AG21" s="5576" t="str">
        <f>IF(AD10=0,"",VLOOKUP(AD10,'Tablas psiquica'!$D$7:$R$145,15,FALSE))</f>
        <v/>
      </c>
      <c r="AH21" s="5577"/>
      <c r="AI21" s="5577"/>
      <c r="AJ21" s="5578"/>
      <c r="AK21" s="1131"/>
      <c r="AL21" s="1125"/>
      <c r="AM21" s="1139"/>
      <c r="AP21" s="1140"/>
      <c r="AQ21" s="1140"/>
      <c r="AR21" s="1133"/>
      <c r="AS21" s="620"/>
    </row>
    <row r="22" spans="1:45" ht="12" customHeight="1" thickBot="1" x14ac:dyDescent="0.25">
      <c r="A22" s="1125"/>
      <c r="B22" s="537"/>
      <c r="C22" s="5579" t="s">
        <v>7695</v>
      </c>
      <c r="D22" s="5580"/>
      <c r="E22" s="1187" t="str">
        <f>IF(C10=0,"",VLOOKUP(C10,'Tablas psiquica'!$D$7:$R$145,4,FALSE))</f>
        <v/>
      </c>
      <c r="F22" s="5581" t="s">
        <v>7690</v>
      </c>
      <c r="G22" s="5581"/>
      <c r="H22" s="4482" t="str">
        <f>IF(C10=0,"",VLOOKUP(C10,'Tablas psiquica'!$D$7:$R$145,5,FALSE))</f>
        <v/>
      </c>
      <c r="I22" s="4483"/>
      <c r="K22" s="5579" t="s">
        <v>7695</v>
      </c>
      <c r="L22" s="5580"/>
      <c r="M22" s="1187" t="str">
        <f>IF(K10=0,"",VLOOKUP(K10,'Tablas psiquica'!$D$7:$R$145,4,FALSE))</f>
        <v/>
      </c>
      <c r="N22" s="5581" t="s">
        <v>7690</v>
      </c>
      <c r="O22" s="5581"/>
      <c r="P22" s="4482" t="str">
        <f>IF(K10=0,"",VLOOKUP(K10,'Tablas psiquica'!$D$7:$R$145,5,FALSE))</f>
        <v/>
      </c>
      <c r="Q22" s="4483"/>
      <c r="R22" s="1131"/>
      <c r="S22" s="1125"/>
      <c r="T22" s="1125"/>
      <c r="U22" s="537"/>
      <c r="V22" s="5579" t="s">
        <v>7695</v>
      </c>
      <c r="W22" s="5580"/>
      <c r="X22" s="1187" t="str">
        <f>IF(V10=0,"",VLOOKUP(V10,'Tablas psiquica'!$D$7:$R$145,4,FALSE))</f>
        <v/>
      </c>
      <c r="Y22" s="5581" t="s">
        <v>7690</v>
      </c>
      <c r="Z22" s="5581"/>
      <c r="AA22" s="4482" t="str">
        <f>IF(V10=0,"",VLOOKUP(V10,'Tablas psiquica'!$D$7:$R$145,5,FALSE))</f>
        <v/>
      </c>
      <c r="AB22" s="4483"/>
      <c r="AC22" s="1173"/>
      <c r="AD22" s="5579" t="s">
        <v>7695</v>
      </c>
      <c r="AE22" s="5580"/>
      <c r="AF22" s="1187" t="str">
        <f>IF(AD10=0,"",VLOOKUP(AD10,'Tablas psiquica'!$D$7:$R$145,4,FALSE))</f>
        <v/>
      </c>
      <c r="AG22" s="5581" t="s">
        <v>7690</v>
      </c>
      <c r="AH22" s="5581"/>
      <c r="AI22" s="4482" t="str">
        <f>IF(AD10=0,"",VLOOKUP(AD10,'Tablas psiquica'!$D$7:$R$145,5,FALSE))</f>
        <v/>
      </c>
      <c r="AJ22" s="4483"/>
      <c r="AK22" s="1131"/>
      <c r="AL22" s="1125"/>
      <c r="AM22" s="1141"/>
      <c r="AP22" s="1142"/>
      <c r="AQ22" s="1142"/>
      <c r="AR22" s="1133"/>
      <c r="AS22" s="620"/>
    </row>
    <row r="23" spans="1:45" ht="12" customHeight="1" thickBot="1" x14ac:dyDescent="0.25">
      <c r="A23" s="1125"/>
      <c r="B23" s="537"/>
      <c r="M23" s="1167"/>
      <c r="R23" s="1131"/>
      <c r="S23" s="1125"/>
      <c r="T23" s="1125"/>
      <c r="U23" s="537"/>
      <c r="V23" s="1159"/>
      <c r="W23" s="1159"/>
      <c r="X23" s="1188"/>
      <c r="Y23" s="1189"/>
      <c r="Z23" s="1190"/>
      <c r="AA23" s="1157"/>
      <c r="AB23" s="1152"/>
      <c r="AC23" s="1173"/>
      <c r="AD23" s="663"/>
      <c r="AE23" s="663"/>
      <c r="AF23" s="663"/>
      <c r="AG23" s="663"/>
      <c r="AH23" s="663"/>
      <c r="AI23" s="663"/>
      <c r="AJ23" s="663"/>
      <c r="AK23" s="1131"/>
      <c r="AL23" s="1125"/>
      <c r="AM23" s="1139"/>
      <c r="AN23" s="1139"/>
      <c r="AO23" s="1139"/>
      <c r="AP23" s="1140"/>
      <c r="AQ23" s="1140"/>
      <c r="AR23" s="1133"/>
      <c r="AS23" s="620"/>
    </row>
    <row r="24" spans="1:45" ht="12" customHeight="1" x14ac:dyDescent="0.2">
      <c r="A24" s="1125"/>
      <c r="B24" s="537"/>
      <c r="C24" s="5461"/>
      <c r="D24" s="5462"/>
      <c r="E24" s="5462"/>
      <c r="F24" s="5462"/>
      <c r="G24" s="5462"/>
      <c r="H24" s="5462"/>
      <c r="I24" s="1178" t="s">
        <v>1712</v>
      </c>
      <c r="K24" s="5461"/>
      <c r="L24" s="5462"/>
      <c r="M24" s="5462"/>
      <c r="N24" s="5462"/>
      <c r="O24" s="5462"/>
      <c r="P24" s="5462"/>
      <c r="Q24" s="1178" t="s">
        <v>1712</v>
      </c>
      <c r="R24" s="1131"/>
      <c r="S24" s="1125"/>
      <c r="T24" s="1125"/>
      <c r="U24" s="537"/>
      <c r="V24" s="5461"/>
      <c r="W24" s="5462"/>
      <c r="X24" s="5462"/>
      <c r="Y24" s="5462"/>
      <c r="Z24" s="5462"/>
      <c r="AA24" s="5462"/>
      <c r="AB24" s="1178" t="s">
        <v>1712</v>
      </c>
      <c r="AC24" s="1173"/>
      <c r="AD24" s="5461"/>
      <c r="AE24" s="5462"/>
      <c r="AF24" s="5462"/>
      <c r="AG24" s="5462"/>
      <c r="AH24" s="5462"/>
      <c r="AI24" s="5462"/>
      <c r="AJ24" s="1178" t="s">
        <v>1712</v>
      </c>
      <c r="AK24" s="1131"/>
      <c r="AL24" s="1125"/>
      <c r="AM24" s="1141"/>
      <c r="AN24" s="1141"/>
      <c r="AO24" s="1141"/>
      <c r="AP24" s="1142"/>
      <c r="AQ24" s="1142"/>
      <c r="AR24" s="1133"/>
      <c r="AS24" s="620"/>
    </row>
    <row r="25" spans="1:45" ht="12" customHeight="1" x14ac:dyDescent="0.2">
      <c r="A25" s="1125"/>
      <c r="B25" s="537"/>
      <c r="C25" s="5564" t="str">
        <f>IF(C24=0,"",VLOOKUP(C24,'Tablas psiquica'!$D$7:$R$145,2,FALSE))</f>
        <v/>
      </c>
      <c r="D25" s="5565"/>
      <c r="E25" s="5565"/>
      <c r="F25" s="5565"/>
      <c r="G25" s="5565"/>
      <c r="H25" s="5565"/>
      <c r="I25" s="1180" t="str">
        <f>IF(C24=0,"",VLOOKUP(C24,'Tablas psiquica'!$D$7:$R$145,3,FALSE))</f>
        <v/>
      </c>
      <c r="K25" s="5564" t="str">
        <f>IF(K24=0,"",VLOOKUP(K24,'Tablas psiquica'!$D$7:$R$145,2,FALSE))</f>
        <v/>
      </c>
      <c r="L25" s="5565"/>
      <c r="M25" s="5565"/>
      <c r="N25" s="5565"/>
      <c r="O25" s="5565"/>
      <c r="P25" s="5565"/>
      <c r="Q25" s="1180" t="str">
        <f>IF(K24=0,"",VLOOKUP(K24,'Tablas psiquica'!$D$7:$R$145,3,FALSE))</f>
        <v/>
      </c>
      <c r="R25" s="1131"/>
      <c r="S25" s="1125"/>
      <c r="T25" s="1125"/>
      <c r="U25" s="537"/>
      <c r="V25" s="5564" t="str">
        <f>IF(V24=0,"",VLOOKUP(V24,'Tablas psiquica'!$D$7:$R$145,2,FALSE))</f>
        <v/>
      </c>
      <c r="W25" s="5565"/>
      <c r="X25" s="5565"/>
      <c r="Y25" s="5565"/>
      <c r="Z25" s="5565"/>
      <c r="AA25" s="5565"/>
      <c r="AB25" s="1180" t="str">
        <f>IF(V24=0,"",VLOOKUP(V24,'Tablas psiquica'!$D$7:$R$145,3,FALSE))</f>
        <v/>
      </c>
      <c r="AC25" s="1173"/>
      <c r="AD25" s="5564" t="str">
        <f>IF(AD24=0,"",VLOOKUP(AD24,'Tablas psiquica'!$D$7:$R$145,2,FALSE))</f>
        <v/>
      </c>
      <c r="AE25" s="5565"/>
      <c r="AF25" s="5565"/>
      <c r="AG25" s="5565"/>
      <c r="AH25" s="5565"/>
      <c r="AI25" s="5565"/>
      <c r="AJ25" s="1180" t="str">
        <f>IF(AD24=0,"",VLOOKUP(AD24,'Tablas psiquica'!$D$7:$R$145,3,FALSE))</f>
        <v/>
      </c>
      <c r="AK25" s="1131"/>
      <c r="AL25" s="1125"/>
      <c r="AM25" s="1159"/>
      <c r="AN25" s="1132"/>
      <c r="AO25" s="1132"/>
      <c r="AP25" s="1132"/>
      <c r="AQ25" s="1160"/>
      <c r="AR25" s="1133"/>
      <c r="AS25" s="620"/>
    </row>
    <row r="26" spans="1:45" ht="12" customHeight="1" x14ac:dyDescent="0.2">
      <c r="A26" s="1125"/>
      <c r="B26" s="537"/>
      <c r="C26" s="1181">
        <v>20</v>
      </c>
      <c r="D26" s="5566" t="s">
        <v>2045</v>
      </c>
      <c r="E26" s="5474"/>
      <c r="F26" s="5567" t="str">
        <f>IF(C24=0,"",VLOOKUP(C24,'Tablas psiquica'!$D$7:$R$145,6,FALSE))</f>
        <v/>
      </c>
      <c r="G26" s="5568"/>
      <c r="H26" s="5568"/>
      <c r="I26" s="5569"/>
      <c r="K26" s="1181">
        <v>20</v>
      </c>
      <c r="L26" s="5566" t="s">
        <v>2045</v>
      </c>
      <c r="M26" s="5474"/>
      <c r="N26" s="5567" t="str">
        <f>IF(K24=0,"",VLOOKUP(K24,'Tablas psiquica'!$D$7:$R$145,6,FALSE))</f>
        <v/>
      </c>
      <c r="O26" s="5568"/>
      <c r="P26" s="5568"/>
      <c r="Q26" s="5569"/>
      <c r="R26" s="1131"/>
      <c r="S26" s="1125"/>
      <c r="T26" s="1125"/>
      <c r="U26" s="537"/>
      <c r="V26" s="1181">
        <v>20</v>
      </c>
      <c r="W26" s="5566" t="s">
        <v>2045</v>
      </c>
      <c r="X26" s="5474"/>
      <c r="Y26" s="5567" t="str">
        <f>IF(V24=0,"",VLOOKUP(V24,'Tablas psiquica'!$D$7:$R$145,6,FALSE))</f>
        <v/>
      </c>
      <c r="Z26" s="5568"/>
      <c r="AA26" s="5568"/>
      <c r="AB26" s="5569"/>
      <c r="AC26" s="1191"/>
      <c r="AD26" s="1181">
        <v>20</v>
      </c>
      <c r="AE26" s="5566" t="s">
        <v>2045</v>
      </c>
      <c r="AF26" s="5474"/>
      <c r="AG26" s="5567" t="str">
        <f>IF(AD24=0,"",VLOOKUP(AD24,'Tablas psiquica'!$D$7:$R$145,6,FALSE))</f>
        <v/>
      </c>
      <c r="AH26" s="5568"/>
      <c r="AI26" s="5568"/>
      <c r="AJ26" s="5569"/>
      <c r="AK26" s="1131"/>
      <c r="AL26" s="1125"/>
      <c r="AM26" s="620"/>
      <c r="AN26" s="1161"/>
      <c r="AO26" s="1161"/>
      <c r="AP26" s="1161"/>
      <c r="AQ26" s="1161"/>
      <c r="AR26" s="620"/>
      <c r="AS26" s="620"/>
    </row>
    <row r="27" spans="1:45" ht="12" customHeight="1" x14ac:dyDescent="0.2">
      <c r="A27" s="1125"/>
      <c r="B27" s="537"/>
      <c r="C27" s="1183">
        <v>40</v>
      </c>
      <c r="D27" s="5570" t="s">
        <v>2049</v>
      </c>
      <c r="E27" s="5469"/>
      <c r="F27" s="5571" t="str">
        <f>IF(C24=0,"",VLOOKUP(C24,'Tablas psiquica'!$D$7:$R$145,7,FALSE))</f>
        <v/>
      </c>
      <c r="G27" s="5572"/>
      <c r="H27" s="5572"/>
      <c r="I27" s="5573"/>
      <c r="K27" s="1183">
        <v>40</v>
      </c>
      <c r="L27" s="5570" t="s">
        <v>2049</v>
      </c>
      <c r="M27" s="5469"/>
      <c r="N27" s="5571" t="str">
        <f>IF(K24=0,"",VLOOKUP(K24,'Tablas psiquica'!$D$7:$R$145,7,FALSE))</f>
        <v/>
      </c>
      <c r="O27" s="5572"/>
      <c r="P27" s="5572"/>
      <c r="Q27" s="5573"/>
      <c r="R27" s="1131"/>
      <c r="S27" s="1125"/>
      <c r="T27" s="1125"/>
      <c r="U27" s="537"/>
      <c r="V27" s="1183">
        <v>40</v>
      </c>
      <c r="W27" s="5570" t="s">
        <v>2049</v>
      </c>
      <c r="X27" s="5469"/>
      <c r="Y27" s="5571" t="str">
        <f>IF(V24=0,"",VLOOKUP(V24,'Tablas psiquica'!$D$7:$R$145,7,FALSE))</f>
        <v/>
      </c>
      <c r="Z27" s="5572"/>
      <c r="AA27" s="5572"/>
      <c r="AB27" s="5573"/>
      <c r="AC27" s="1191"/>
      <c r="AD27" s="1183">
        <v>40</v>
      </c>
      <c r="AE27" s="5570" t="s">
        <v>2049</v>
      </c>
      <c r="AF27" s="5469"/>
      <c r="AG27" s="5571" t="str">
        <f>IF(AD24=0,"",VLOOKUP(AD24,'Tablas psiquica'!$D$7:$R$145,7,FALSE))</f>
        <v/>
      </c>
      <c r="AH27" s="5572"/>
      <c r="AI27" s="5572"/>
      <c r="AJ27" s="5573"/>
      <c r="AK27" s="1131"/>
      <c r="AL27" s="1125"/>
      <c r="AM27" s="620"/>
      <c r="AN27" s="620"/>
      <c r="AO27" s="620"/>
      <c r="AP27" s="620"/>
      <c r="AQ27" s="1132"/>
      <c r="AR27" s="1132"/>
      <c r="AS27" s="620"/>
    </row>
    <row r="28" spans="1:45" ht="12" customHeight="1" x14ac:dyDescent="0.2">
      <c r="A28" s="1125"/>
      <c r="B28" s="537"/>
      <c r="C28" s="1181">
        <v>80</v>
      </c>
      <c r="D28" s="5566" t="s">
        <v>2052</v>
      </c>
      <c r="E28" s="5474"/>
      <c r="F28" s="5567" t="str">
        <f>IF(C24=0,"",VLOOKUP(C24,'Tablas psiquica'!$D$7:$R$145,8,FALSE))</f>
        <v/>
      </c>
      <c r="G28" s="5568"/>
      <c r="H28" s="5568"/>
      <c r="I28" s="5569"/>
      <c r="K28" s="1181">
        <v>80</v>
      </c>
      <c r="L28" s="5566" t="s">
        <v>2052</v>
      </c>
      <c r="M28" s="5474"/>
      <c r="N28" s="5567" t="str">
        <f>IF(K24=0,"",VLOOKUP(K24,'Tablas psiquica'!$D$7:$R$145,8,FALSE))</f>
        <v/>
      </c>
      <c r="O28" s="5568"/>
      <c r="P28" s="5568"/>
      <c r="Q28" s="5569"/>
      <c r="R28" s="1131"/>
      <c r="S28" s="1125"/>
      <c r="T28" s="1125"/>
      <c r="U28" s="537"/>
      <c r="V28" s="1181">
        <v>80</v>
      </c>
      <c r="W28" s="5566" t="s">
        <v>2052</v>
      </c>
      <c r="X28" s="5474"/>
      <c r="Y28" s="5567" t="str">
        <f>IF(V24=0,"",VLOOKUP(V24,'Tablas psiquica'!$D$7:$R$145,8,FALSE))</f>
        <v/>
      </c>
      <c r="Z28" s="5568"/>
      <c r="AA28" s="5568"/>
      <c r="AB28" s="5569"/>
      <c r="AC28" s="1185"/>
      <c r="AD28" s="1181">
        <v>80</v>
      </c>
      <c r="AE28" s="5566" t="s">
        <v>2052</v>
      </c>
      <c r="AF28" s="5474"/>
      <c r="AG28" s="5567" t="str">
        <f>IF(AD24=0,"",VLOOKUP(AD24,'Tablas psiquica'!$D$7:$R$145,8,FALSE))</f>
        <v/>
      </c>
      <c r="AH28" s="5568"/>
      <c r="AI28" s="5568"/>
      <c r="AJ28" s="5569"/>
      <c r="AK28" s="1131"/>
      <c r="AL28" s="1125"/>
      <c r="AM28" s="620"/>
      <c r="AN28" s="620"/>
      <c r="AO28" s="620"/>
      <c r="AP28" s="620"/>
      <c r="AQ28" s="1133"/>
      <c r="AR28" s="1135"/>
      <c r="AS28" s="620"/>
    </row>
    <row r="29" spans="1:45" ht="12" customHeight="1" x14ac:dyDescent="0.2">
      <c r="A29" s="1125"/>
      <c r="B29" s="537"/>
      <c r="C29" s="1183">
        <v>120</v>
      </c>
      <c r="D29" s="5570" t="s">
        <v>2056</v>
      </c>
      <c r="E29" s="5469"/>
      <c r="F29" s="5571" t="str">
        <f>IF(C24=0,"",VLOOKUP(C24,'Tablas psiquica'!$D$7:$R$145,9,FALSE))</f>
        <v/>
      </c>
      <c r="G29" s="5572"/>
      <c r="H29" s="5572"/>
      <c r="I29" s="5573"/>
      <c r="K29" s="1183">
        <v>120</v>
      </c>
      <c r="L29" s="5570" t="s">
        <v>2056</v>
      </c>
      <c r="M29" s="5469"/>
      <c r="N29" s="5571" t="str">
        <f>IF(K24=0,"",VLOOKUP(K24,'Tablas psiquica'!$D$7:$R$145,9,FALSE))</f>
        <v/>
      </c>
      <c r="O29" s="5572"/>
      <c r="P29" s="5572"/>
      <c r="Q29" s="5573"/>
      <c r="R29" s="1131"/>
      <c r="S29" s="1125"/>
      <c r="T29" s="1125"/>
      <c r="U29" s="537"/>
      <c r="V29" s="1183">
        <v>120</v>
      </c>
      <c r="W29" s="5570" t="s">
        <v>2056</v>
      </c>
      <c r="X29" s="5469"/>
      <c r="Y29" s="5571" t="str">
        <f>IF(V24=0,"",VLOOKUP(V24,'Tablas psiquica'!$D$7:$R$145,9,FALSE))</f>
        <v/>
      </c>
      <c r="Z29" s="5572"/>
      <c r="AA29" s="5572"/>
      <c r="AB29" s="5573"/>
      <c r="AC29" s="1192"/>
      <c r="AD29" s="1183">
        <v>120</v>
      </c>
      <c r="AE29" s="5570" t="s">
        <v>2056</v>
      </c>
      <c r="AF29" s="5469"/>
      <c r="AG29" s="5571" t="str">
        <f>IF(AD24=0,"",VLOOKUP(AD24,'Tablas psiquica'!$D$7:$R$145,9,FALSE))</f>
        <v/>
      </c>
      <c r="AH29" s="5572"/>
      <c r="AI29" s="5572"/>
      <c r="AJ29" s="5573"/>
      <c r="AK29" s="1131"/>
      <c r="AL29" s="1125"/>
      <c r="AM29" s="620"/>
      <c r="AN29" s="620"/>
      <c r="AO29" s="620"/>
      <c r="AP29" s="620"/>
      <c r="AQ29" s="1133"/>
      <c r="AR29" s="1162"/>
      <c r="AS29" s="620"/>
    </row>
    <row r="30" spans="1:45" ht="12" customHeight="1" x14ac:dyDescent="0.2">
      <c r="A30" s="1125"/>
      <c r="B30" s="537"/>
      <c r="C30" s="1181">
        <v>140</v>
      </c>
      <c r="D30" s="5566" t="s">
        <v>7693</v>
      </c>
      <c r="E30" s="5474"/>
      <c r="F30" s="5567" t="str">
        <f>IF(C24=0,"",VLOOKUP(C24,'Tablas psiquica'!$D$7:$R$145,10,FALSE))</f>
        <v/>
      </c>
      <c r="G30" s="5568"/>
      <c r="H30" s="5568"/>
      <c r="I30" s="5569"/>
      <c r="K30" s="1181">
        <v>140</v>
      </c>
      <c r="L30" s="5566" t="s">
        <v>7693</v>
      </c>
      <c r="M30" s="5474"/>
      <c r="N30" s="5567" t="str">
        <f>IF(K24=0,"",VLOOKUP(K24,'Tablas psiquica'!$D$7:$R$145,10,FALSE))</f>
        <v/>
      </c>
      <c r="O30" s="5568"/>
      <c r="P30" s="5568"/>
      <c r="Q30" s="5569"/>
      <c r="R30" s="1131"/>
      <c r="S30" s="1125"/>
      <c r="T30" s="1125"/>
      <c r="U30" s="537"/>
      <c r="V30" s="1181">
        <v>140</v>
      </c>
      <c r="W30" s="5566" t="s">
        <v>7693</v>
      </c>
      <c r="X30" s="5474"/>
      <c r="Y30" s="5567" t="str">
        <f>IF(V24=0,"",VLOOKUP(V24,'Tablas psiquica'!$D$7:$R$145,10,FALSE))</f>
        <v/>
      </c>
      <c r="Z30" s="5568"/>
      <c r="AA30" s="5568"/>
      <c r="AB30" s="5569"/>
      <c r="AC30" s="1191"/>
      <c r="AD30" s="1181">
        <v>140</v>
      </c>
      <c r="AE30" s="5566" t="s">
        <v>7693</v>
      </c>
      <c r="AF30" s="5474"/>
      <c r="AG30" s="5567" t="str">
        <f>IF(AD24=0,"",VLOOKUP(AD24,'Tablas psiquica'!$D$7:$R$145,10,FALSE))</f>
        <v/>
      </c>
      <c r="AH30" s="5568"/>
      <c r="AI30" s="5568"/>
      <c r="AJ30" s="5569"/>
      <c r="AK30" s="1131"/>
      <c r="AL30" s="1125"/>
      <c r="AM30" s="620"/>
      <c r="AN30" s="620"/>
      <c r="AO30" s="620"/>
      <c r="AP30" s="620"/>
      <c r="AQ30" s="1133"/>
      <c r="AR30" s="1162"/>
      <c r="AS30" s="620"/>
    </row>
    <row r="31" spans="1:45" ht="12" customHeight="1" x14ac:dyDescent="0.2">
      <c r="A31" s="1125"/>
      <c r="B31" s="537"/>
      <c r="C31" s="1183">
        <v>180</v>
      </c>
      <c r="D31" s="5570" t="s">
        <v>2061</v>
      </c>
      <c r="E31" s="5469"/>
      <c r="F31" s="5571" t="str">
        <f>IF(C24=0,"",VLOOKUP(C24,'Tablas psiquica'!$D$7:$R$145,11,FALSE))</f>
        <v/>
      </c>
      <c r="G31" s="5572"/>
      <c r="H31" s="5572"/>
      <c r="I31" s="5573"/>
      <c r="K31" s="1183">
        <v>180</v>
      </c>
      <c r="L31" s="5570" t="s">
        <v>2061</v>
      </c>
      <c r="M31" s="5469"/>
      <c r="N31" s="5571" t="str">
        <f>IF(K24=0,"",VLOOKUP(K24,'Tablas psiquica'!$D$7:$R$145,11,FALSE))</f>
        <v/>
      </c>
      <c r="O31" s="5572"/>
      <c r="P31" s="5572"/>
      <c r="Q31" s="5573"/>
      <c r="R31" s="1131"/>
      <c r="S31" s="1125"/>
      <c r="T31" s="1125"/>
      <c r="U31" s="537"/>
      <c r="V31" s="1183">
        <v>180</v>
      </c>
      <c r="W31" s="5570" t="s">
        <v>2061</v>
      </c>
      <c r="X31" s="5469"/>
      <c r="Y31" s="5571" t="str">
        <f>IF(V24=0,"",VLOOKUP(V24,'Tablas psiquica'!$D$7:$R$145,11,FALSE))</f>
        <v/>
      </c>
      <c r="Z31" s="5572"/>
      <c r="AA31" s="5572"/>
      <c r="AB31" s="5573"/>
      <c r="AC31" s="1191"/>
      <c r="AD31" s="1183">
        <v>180</v>
      </c>
      <c r="AE31" s="5570" t="s">
        <v>2061</v>
      </c>
      <c r="AF31" s="5469"/>
      <c r="AG31" s="5571" t="str">
        <f>IF(AD24=0,"",VLOOKUP(AD24,'Tablas psiquica'!$D$7:$R$145,11,FALSE))</f>
        <v/>
      </c>
      <c r="AH31" s="5572"/>
      <c r="AI31" s="5572"/>
      <c r="AJ31" s="5573"/>
      <c r="AK31" s="1131"/>
      <c r="AL31" s="1125"/>
      <c r="AM31" s="620"/>
      <c r="AN31" s="620"/>
      <c r="AO31" s="620"/>
      <c r="AP31" s="620"/>
      <c r="AQ31" s="1133"/>
      <c r="AR31" s="1162"/>
      <c r="AS31" s="620"/>
    </row>
    <row r="32" spans="1:45" ht="12" customHeight="1" x14ac:dyDescent="0.2">
      <c r="A32" s="1125"/>
      <c r="B32" s="537"/>
      <c r="C32" s="1181">
        <v>240</v>
      </c>
      <c r="D32" s="5566" t="s">
        <v>7694</v>
      </c>
      <c r="E32" s="5474"/>
      <c r="F32" s="5567" t="str">
        <f>IF(C24=0,"",VLOOKUP(C24,'Tablas psiquica'!$D$7:$R$145,12,FALSE))</f>
        <v/>
      </c>
      <c r="G32" s="5568"/>
      <c r="H32" s="5568"/>
      <c r="I32" s="5569"/>
      <c r="K32" s="1181">
        <v>240</v>
      </c>
      <c r="L32" s="5566" t="s">
        <v>7694</v>
      </c>
      <c r="M32" s="5474"/>
      <c r="N32" s="5567" t="str">
        <f>IF(K24=0,"",VLOOKUP(K24,'Tablas psiquica'!$D$7:$R$145,12,FALSE))</f>
        <v/>
      </c>
      <c r="O32" s="5568"/>
      <c r="P32" s="5568"/>
      <c r="Q32" s="5569"/>
      <c r="R32" s="1131"/>
      <c r="S32" s="1125"/>
      <c r="T32" s="1125"/>
      <c r="U32" s="537"/>
      <c r="V32" s="1181">
        <v>240</v>
      </c>
      <c r="W32" s="5566" t="s">
        <v>7694</v>
      </c>
      <c r="X32" s="5474"/>
      <c r="Y32" s="5567" t="str">
        <f>IF(V24=0,"",VLOOKUP(V24,'Tablas psiquica'!$D$7:$R$145,12,FALSE))</f>
        <v/>
      </c>
      <c r="Z32" s="5568"/>
      <c r="AA32" s="5568"/>
      <c r="AB32" s="5569"/>
      <c r="AC32" s="1193"/>
      <c r="AD32" s="1181">
        <v>240</v>
      </c>
      <c r="AE32" s="5566" t="s">
        <v>7694</v>
      </c>
      <c r="AF32" s="5474"/>
      <c r="AG32" s="5567" t="str">
        <f>IF(AD24=0,"",VLOOKUP(AD24,'Tablas psiquica'!$D$7:$R$145,12,FALSE))</f>
        <v/>
      </c>
      <c r="AH32" s="5568"/>
      <c r="AI32" s="5568"/>
      <c r="AJ32" s="5569"/>
      <c r="AK32" s="1131"/>
      <c r="AL32" s="1125"/>
      <c r="AM32" s="620"/>
      <c r="AN32" s="620"/>
      <c r="AO32" s="620"/>
      <c r="AP32" s="620"/>
      <c r="AQ32" s="1133"/>
      <c r="AR32" s="1162"/>
      <c r="AS32" s="620"/>
    </row>
    <row r="33" spans="1:45" ht="12" customHeight="1" x14ac:dyDescent="0.2">
      <c r="A33" s="1125"/>
      <c r="B33" s="537"/>
      <c r="C33" s="1183">
        <v>280</v>
      </c>
      <c r="D33" s="5570" t="s">
        <v>2066</v>
      </c>
      <c r="E33" s="5469"/>
      <c r="F33" s="5571" t="str">
        <f>IF(C24=0,"",VLOOKUP(C24,'Tablas psiquica'!$D$7:$R$145,13,FALSE))</f>
        <v/>
      </c>
      <c r="G33" s="5572"/>
      <c r="H33" s="5572"/>
      <c r="I33" s="5573"/>
      <c r="K33" s="1183">
        <v>280</v>
      </c>
      <c r="L33" s="5570" t="s">
        <v>2066</v>
      </c>
      <c r="M33" s="5469"/>
      <c r="N33" s="5571" t="str">
        <f>IF(K24=0,"",VLOOKUP(K24,'Tablas psiquica'!$D$7:$R$145,13,FALSE))</f>
        <v/>
      </c>
      <c r="O33" s="5572"/>
      <c r="P33" s="5572"/>
      <c r="Q33" s="5573"/>
      <c r="R33" s="1131"/>
      <c r="S33" s="1125"/>
      <c r="T33" s="1125"/>
      <c r="U33" s="537"/>
      <c r="V33" s="1183">
        <v>280</v>
      </c>
      <c r="W33" s="5570" t="s">
        <v>2066</v>
      </c>
      <c r="X33" s="5469"/>
      <c r="Y33" s="5571" t="str">
        <f>IF(V24=0,"",VLOOKUP(V24,'Tablas psiquica'!$D$7:$R$145,13,FALSE))</f>
        <v/>
      </c>
      <c r="Z33" s="5572"/>
      <c r="AA33" s="5572"/>
      <c r="AB33" s="5573"/>
      <c r="AC33" s="1193"/>
      <c r="AD33" s="1183">
        <v>280</v>
      </c>
      <c r="AE33" s="5570" t="s">
        <v>2066</v>
      </c>
      <c r="AF33" s="5469"/>
      <c r="AG33" s="5571" t="str">
        <f>IF(AD24=0,"",VLOOKUP(AD24,'Tablas psiquica'!$D$7:$R$145,13,FALSE))</f>
        <v/>
      </c>
      <c r="AH33" s="5572"/>
      <c r="AI33" s="5572"/>
      <c r="AJ33" s="5573"/>
      <c r="AK33" s="1131"/>
      <c r="AL33" s="1125"/>
      <c r="AM33" s="620"/>
      <c r="AN33" s="620"/>
      <c r="AO33" s="620"/>
      <c r="AP33" s="620"/>
      <c r="AQ33" s="1133"/>
      <c r="AR33" s="1162"/>
      <c r="AS33" s="620"/>
    </row>
    <row r="34" spans="1:45" ht="12" customHeight="1" x14ac:dyDescent="0.2">
      <c r="A34" s="1125"/>
      <c r="B34" s="537"/>
      <c r="C34" s="1181">
        <v>320</v>
      </c>
      <c r="D34" s="5566" t="s">
        <v>2068</v>
      </c>
      <c r="E34" s="5474"/>
      <c r="F34" s="5567" t="str">
        <f>IF(C24=0,"",VLOOKUP(C24,'Tablas psiquica'!$D$7:$R$145,14,FALSE))</f>
        <v/>
      </c>
      <c r="G34" s="5568"/>
      <c r="H34" s="5568"/>
      <c r="I34" s="5569"/>
      <c r="K34" s="1181">
        <v>320</v>
      </c>
      <c r="L34" s="5566" t="s">
        <v>2068</v>
      </c>
      <c r="M34" s="5474"/>
      <c r="N34" s="5567" t="str">
        <f>IF(K24=0,"",VLOOKUP(K24,'Tablas psiquica'!$D$7:$R$145,14,FALSE))</f>
        <v/>
      </c>
      <c r="O34" s="5568"/>
      <c r="P34" s="5568"/>
      <c r="Q34" s="5569"/>
      <c r="R34" s="1131"/>
      <c r="S34" s="1125"/>
      <c r="T34" s="1125"/>
      <c r="U34" s="537"/>
      <c r="V34" s="1181">
        <v>320</v>
      </c>
      <c r="W34" s="5566" t="s">
        <v>2068</v>
      </c>
      <c r="X34" s="5474"/>
      <c r="Y34" s="5567" t="str">
        <f>IF(V24=0,"",VLOOKUP(V24,'Tablas psiquica'!$D$7:$R$145,14,FALSE))</f>
        <v/>
      </c>
      <c r="Z34" s="5568"/>
      <c r="AA34" s="5568"/>
      <c r="AB34" s="5569"/>
      <c r="AC34" s="1173"/>
      <c r="AD34" s="1181">
        <v>320</v>
      </c>
      <c r="AE34" s="5566" t="s">
        <v>2068</v>
      </c>
      <c r="AF34" s="5474"/>
      <c r="AG34" s="5567" t="str">
        <f>IF(AD24=0,"",VLOOKUP(AD24,'Tablas psiquica'!$D$7:$R$145,14,FALSE))</f>
        <v/>
      </c>
      <c r="AH34" s="5568"/>
      <c r="AI34" s="5568"/>
      <c r="AJ34" s="5569"/>
      <c r="AK34" s="1131"/>
      <c r="AL34" s="1125"/>
      <c r="AM34" s="620"/>
      <c r="AN34" s="620"/>
      <c r="AO34" s="620"/>
      <c r="AP34" s="620"/>
      <c r="AQ34" s="1133"/>
      <c r="AR34" s="1162"/>
      <c r="AS34" s="620"/>
    </row>
    <row r="35" spans="1:45" ht="12" customHeight="1" x14ac:dyDescent="0.2">
      <c r="A35" s="1125"/>
      <c r="B35" s="537"/>
      <c r="C35" s="1186">
        <v>440</v>
      </c>
      <c r="D35" s="5574" t="s">
        <v>2002</v>
      </c>
      <c r="E35" s="5575"/>
      <c r="F35" s="5576" t="str">
        <f>IF(C24=0,"",VLOOKUP(C24,'Tablas psiquica'!$D$7:$R$145,15,FALSE))</f>
        <v/>
      </c>
      <c r="G35" s="5577"/>
      <c r="H35" s="5577"/>
      <c r="I35" s="5578"/>
      <c r="K35" s="1186">
        <v>440</v>
      </c>
      <c r="L35" s="5574" t="s">
        <v>2002</v>
      </c>
      <c r="M35" s="5575"/>
      <c r="N35" s="5576" t="str">
        <f>IF(K24=0,"",VLOOKUP(K24,'Tablas psiquica'!$D$7:$R$145,15,FALSE))</f>
        <v/>
      </c>
      <c r="O35" s="5577"/>
      <c r="P35" s="5577"/>
      <c r="Q35" s="5578"/>
      <c r="R35" s="1131"/>
      <c r="S35" s="1125"/>
      <c r="T35" s="1125"/>
      <c r="U35" s="537"/>
      <c r="V35" s="1186">
        <v>440</v>
      </c>
      <c r="W35" s="5574" t="s">
        <v>2002</v>
      </c>
      <c r="X35" s="5575"/>
      <c r="Y35" s="5576" t="str">
        <f>IF(V24=0,"",VLOOKUP(V24,'Tablas psiquica'!$D$7:$R$145,15,FALSE))</f>
        <v/>
      </c>
      <c r="Z35" s="5577"/>
      <c r="AA35" s="5577"/>
      <c r="AB35" s="5578"/>
      <c r="AC35" s="1191"/>
      <c r="AD35" s="1186">
        <v>440</v>
      </c>
      <c r="AE35" s="5574" t="s">
        <v>2002</v>
      </c>
      <c r="AF35" s="5575"/>
      <c r="AG35" s="5576" t="str">
        <f>IF(AD24=0,"",VLOOKUP(AD24,'Tablas psiquica'!$D$7:$R$145,15,FALSE))</f>
        <v/>
      </c>
      <c r="AH35" s="5577"/>
      <c r="AI35" s="5577"/>
      <c r="AJ35" s="5578"/>
      <c r="AK35" s="1131"/>
      <c r="AL35" s="1125"/>
      <c r="AM35" s="620"/>
      <c r="AN35" s="620"/>
      <c r="AO35" s="620"/>
      <c r="AP35" s="620"/>
      <c r="AQ35" s="1133"/>
      <c r="AR35" s="1162"/>
      <c r="AS35" s="620"/>
    </row>
    <row r="36" spans="1:45" ht="12" customHeight="1" thickBot="1" x14ac:dyDescent="0.25">
      <c r="A36" s="1125"/>
      <c r="B36" s="537"/>
      <c r="C36" s="5579" t="s">
        <v>7695</v>
      </c>
      <c r="D36" s="5580"/>
      <c r="E36" s="1187" t="str">
        <f>IF(C24=0,"",VLOOKUP(C24,'Tablas psiquica'!$D$7:$R$145,4,FALSE))</f>
        <v/>
      </c>
      <c r="F36" s="5581" t="s">
        <v>7690</v>
      </c>
      <c r="G36" s="5581"/>
      <c r="H36" s="4482" t="str">
        <f>IF(C24=0,"",VLOOKUP(C24,'Tablas psiquica'!$D$7:$R$145,5,FALSE))</f>
        <v/>
      </c>
      <c r="I36" s="4483"/>
      <c r="K36" s="5579" t="s">
        <v>7695</v>
      </c>
      <c r="L36" s="5580"/>
      <c r="M36" s="1187" t="str">
        <f>IF(K24=0,"",VLOOKUP(K24,'Tablas psiquica'!$D$7:$R$145,4,FALSE))</f>
        <v/>
      </c>
      <c r="N36" s="5581" t="s">
        <v>7690</v>
      </c>
      <c r="O36" s="5581"/>
      <c r="P36" s="4482" t="str">
        <f>IF(K24=0,"",VLOOKUP(K24,'Tablas psiquica'!$D$7:$R$145,5,FALSE))</f>
        <v/>
      </c>
      <c r="Q36" s="4483"/>
      <c r="R36" s="1131"/>
      <c r="S36" s="1125"/>
      <c r="T36" s="1125"/>
      <c r="U36" s="537"/>
      <c r="V36" s="5579" t="s">
        <v>7695</v>
      </c>
      <c r="W36" s="5580"/>
      <c r="X36" s="1187" t="str">
        <f>IF(V24=0,"",VLOOKUP(V24,'Tablas psiquica'!$D$7:$R$145,4,FALSE))</f>
        <v/>
      </c>
      <c r="Y36" s="5581" t="s">
        <v>7690</v>
      </c>
      <c r="Z36" s="5581"/>
      <c r="AA36" s="4482" t="str">
        <f>IF(V24=0,"",VLOOKUP(V24,'Tablas psiquica'!$D$7:$R$145,5,FALSE))</f>
        <v/>
      </c>
      <c r="AB36" s="4483"/>
      <c r="AC36" s="1191"/>
      <c r="AD36" s="5579" t="s">
        <v>7695</v>
      </c>
      <c r="AE36" s="5580"/>
      <c r="AF36" s="1187" t="str">
        <f>IF(AD24=0,"",VLOOKUP(AD24,'Tablas psiquica'!$D$7:$R$145,4,FALSE))</f>
        <v/>
      </c>
      <c r="AG36" s="5581" t="s">
        <v>7690</v>
      </c>
      <c r="AH36" s="5581"/>
      <c r="AI36" s="4482" t="str">
        <f>IF(AD24=0,"",VLOOKUP(AD24,'Tablas psiquica'!$D$7:$R$145,5,FALSE))</f>
        <v/>
      </c>
      <c r="AJ36" s="4483"/>
      <c r="AK36" s="1131"/>
      <c r="AL36" s="1125"/>
      <c r="AQ36" s="663"/>
      <c r="AR36" s="1165"/>
    </row>
    <row r="37" spans="1:45" ht="12" customHeight="1" thickBot="1" x14ac:dyDescent="0.25">
      <c r="A37" s="1125"/>
      <c r="B37" s="537"/>
      <c r="R37" s="1131"/>
      <c r="S37" s="1125"/>
      <c r="T37" s="1125"/>
      <c r="U37" s="537"/>
      <c r="V37" s="1176"/>
      <c r="W37" s="1166"/>
      <c r="X37" s="1166"/>
      <c r="Y37" s="1177"/>
      <c r="Z37" s="1194"/>
      <c r="AA37" s="1173"/>
      <c r="AB37" s="1173"/>
      <c r="AC37" s="1185"/>
      <c r="AD37" s="1176"/>
      <c r="AE37" s="1166"/>
      <c r="AF37" s="1166"/>
      <c r="AG37" s="1177"/>
      <c r="AH37" s="1173"/>
      <c r="AI37" s="1173"/>
      <c r="AJ37" s="1173"/>
      <c r="AK37" s="1131"/>
      <c r="AL37" s="1125"/>
      <c r="AQ37" s="663"/>
      <c r="AR37" s="1165"/>
    </row>
    <row r="38" spans="1:45" ht="12" customHeight="1" x14ac:dyDescent="0.2">
      <c r="A38" s="1125"/>
      <c r="B38" s="537"/>
      <c r="C38" s="5461"/>
      <c r="D38" s="5462"/>
      <c r="E38" s="5462"/>
      <c r="F38" s="5462"/>
      <c r="G38" s="5462"/>
      <c r="H38" s="5462"/>
      <c r="I38" s="1178" t="s">
        <v>1712</v>
      </c>
      <c r="K38" s="5461"/>
      <c r="L38" s="5462"/>
      <c r="M38" s="5462"/>
      <c r="N38" s="5462"/>
      <c r="O38" s="5462"/>
      <c r="P38" s="5462"/>
      <c r="Q38" s="1178" t="s">
        <v>1712</v>
      </c>
      <c r="R38" s="1131"/>
      <c r="S38" s="1125"/>
      <c r="T38" s="1125"/>
      <c r="U38" s="537"/>
      <c r="V38" s="5461"/>
      <c r="W38" s="5462"/>
      <c r="X38" s="5462"/>
      <c r="Y38" s="5462"/>
      <c r="Z38" s="5462"/>
      <c r="AA38" s="5462"/>
      <c r="AB38" s="1178" t="s">
        <v>1712</v>
      </c>
      <c r="AC38" s="1192"/>
      <c r="AD38" s="5461"/>
      <c r="AE38" s="5462"/>
      <c r="AF38" s="5462"/>
      <c r="AG38" s="5462"/>
      <c r="AH38" s="5462"/>
      <c r="AI38" s="5462"/>
      <c r="AJ38" s="1178" t="s">
        <v>1712</v>
      </c>
      <c r="AK38" s="1131"/>
      <c r="AL38" s="1125"/>
      <c r="AQ38" s="663"/>
      <c r="AR38" s="1165"/>
    </row>
    <row r="39" spans="1:45" ht="12" customHeight="1" x14ac:dyDescent="0.2">
      <c r="A39" s="1125"/>
      <c r="B39" s="537"/>
      <c r="C39" s="5564" t="str">
        <f>IF(C38=0,"",VLOOKUP(C38,'Tablas psiquica'!$D$7:$R$145,2,FALSE))</f>
        <v/>
      </c>
      <c r="D39" s="5565"/>
      <c r="E39" s="5565"/>
      <c r="F39" s="5565"/>
      <c r="G39" s="5565"/>
      <c r="H39" s="5565"/>
      <c r="I39" s="1180" t="str">
        <f>IF(C38=0,"",VLOOKUP(C38,'Tablas psiquica'!$D$7:$R$145,3,FALSE))</f>
        <v/>
      </c>
      <c r="K39" s="5564" t="str">
        <f>IF(K38=0,"",VLOOKUP(K38,'Tablas psiquica'!$D$7:$R$145,2,FALSE))</f>
        <v/>
      </c>
      <c r="L39" s="5565"/>
      <c r="M39" s="5565"/>
      <c r="N39" s="5565"/>
      <c r="O39" s="5565"/>
      <c r="P39" s="5565"/>
      <c r="Q39" s="1180" t="str">
        <f>IF(K38=0,"",VLOOKUP(K38,'Tablas psiquica'!$D$7:$R$145,3,FALSE))</f>
        <v/>
      </c>
      <c r="R39" s="1131"/>
      <c r="S39" s="1125"/>
      <c r="T39" s="1125"/>
      <c r="U39" s="537"/>
      <c r="V39" s="5564" t="str">
        <f>IF(V38=0,"",VLOOKUP(V38,'Tablas psiquica'!$D$7:$R$145,2,FALSE))</f>
        <v/>
      </c>
      <c r="W39" s="5565"/>
      <c r="X39" s="5565"/>
      <c r="Y39" s="5565"/>
      <c r="Z39" s="5565"/>
      <c r="AA39" s="5565"/>
      <c r="AB39" s="1180" t="str">
        <f>IF(V38=0,"",VLOOKUP(V38,'Tablas psiquica'!$D$7:$R$145,3,FALSE))</f>
        <v/>
      </c>
      <c r="AC39" s="1191"/>
      <c r="AD39" s="5564" t="str">
        <f>IF(AD38=0,"",VLOOKUP(AD38,'Tablas psiquica'!$D$7:$R$145,2,FALSE))</f>
        <v/>
      </c>
      <c r="AE39" s="5565"/>
      <c r="AF39" s="5565"/>
      <c r="AG39" s="5565"/>
      <c r="AH39" s="5565"/>
      <c r="AI39" s="5565"/>
      <c r="AJ39" s="1180" t="str">
        <f>IF(AD38=0,"",VLOOKUP(AD38,'Tablas psiquica'!$D$7:$R$145,3,FALSE))</f>
        <v/>
      </c>
      <c r="AK39" s="1131"/>
      <c r="AL39" s="1125"/>
      <c r="AQ39" s="663"/>
      <c r="AR39" s="1165"/>
    </row>
    <row r="40" spans="1:45" ht="12" customHeight="1" x14ac:dyDescent="0.2">
      <c r="A40" s="1125"/>
      <c r="B40" s="537"/>
      <c r="C40" s="1181">
        <v>20</v>
      </c>
      <c r="D40" s="5566" t="s">
        <v>2045</v>
      </c>
      <c r="E40" s="5474"/>
      <c r="F40" s="5567" t="str">
        <f>IF(C38=0,"",VLOOKUP(C38,'Tablas psiquica'!$D$7:$R$145,6,FALSE))</f>
        <v/>
      </c>
      <c r="G40" s="5568"/>
      <c r="H40" s="5568"/>
      <c r="I40" s="5569"/>
      <c r="K40" s="1181">
        <v>20</v>
      </c>
      <c r="L40" s="5566" t="s">
        <v>2045</v>
      </c>
      <c r="M40" s="5474"/>
      <c r="N40" s="5567" t="str">
        <f>IF(K38=0,"",VLOOKUP(K38,'Tablas psiquica'!$D$7:$R$145,6,FALSE))</f>
        <v/>
      </c>
      <c r="O40" s="5568"/>
      <c r="P40" s="5568"/>
      <c r="Q40" s="5569"/>
      <c r="R40" s="1131"/>
      <c r="S40" s="1125"/>
      <c r="T40" s="1125"/>
      <c r="U40" s="537"/>
      <c r="V40" s="1181">
        <v>20</v>
      </c>
      <c r="W40" s="5566" t="s">
        <v>2045</v>
      </c>
      <c r="X40" s="5474"/>
      <c r="Y40" s="5567" t="str">
        <f>IF(V38=0,"",VLOOKUP(V38,'Tablas psiquica'!$D$7:$R$145,6,FALSE))</f>
        <v/>
      </c>
      <c r="Z40" s="5568"/>
      <c r="AA40" s="5568"/>
      <c r="AB40" s="5569"/>
      <c r="AC40" s="1191"/>
      <c r="AD40" s="1181">
        <v>20</v>
      </c>
      <c r="AE40" s="5566" t="s">
        <v>2045</v>
      </c>
      <c r="AF40" s="5474"/>
      <c r="AG40" s="5567" t="str">
        <f>IF(AD38=0,"",VLOOKUP(AD38,'Tablas psiquica'!$D$7:$R$145,6,FALSE))</f>
        <v/>
      </c>
      <c r="AH40" s="5568"/>
      <c r="AI40" s="5568"/>
      <c r="AJ40" s="5569"/>
      <c r="AK40" s="1131"/>
      <c r="AL40" s="1125"/>
      <c r="AQ40" s="663"/>
      <c r="AR40" s="1165"/>
    </row>
    <row r="41" spans="1:45" ht="12" customHeight="1" x14ac:dyDescent="0.2">
      <c r="A41" s="1125"/>
      <c r="B41" s="537"/>
      <c r="C41" s="1183">
        <v>40</v>
      </c>
      <c r="D41" s="5570" t="s">
        <v>2049</v>
      </c>
      <c r="E41" s="5469"/>
      <c r="F41" s="5571" t="str">
        <f>IF(C38=0,"",VLOOKUP(C38,'Tablas psiquica'!$D$7:$R$145,7,FALSE))</f>
        <v/>
      </c>
      <c r="G41" s="5572"/>
      <c r="H41" s="5572"/>
      <c r="I41" s="5573"/>
      <c r="K41" s="1183">
        <v>40</v>
      </c>
      <c r="L41" s="5570" t="s">
        <v>2049</v>
      </c>
      <c r="M41" s="5469"/>
      <c r="N41" s="5571" t="str">
        <f>IF(K38=0,"",VLOOKUP(K38,'Tablas psiquica'!$D$7:$R$145,7,FALSE))</f>
        <v/>
      </c>
      <c r="O41" s="5572"/>
      <c r="P41" s="5572"/>
      <c r="Q41" s="5573"/>
      <c r="R41" s="1131"/>
      <c r="S41" s="1125"/>
      <c r="T41" s="1125"/>
      <c r="U41" s="537"/>
      <c r="V41" s="1183">
        <v>40</v>
      </c>
      <c r="W41" s="5570" t="s">
        <v>2049</v>
      </c>
      <c r="X41" s="5469"/>
      <c r="Y41" s="5571" t="str">
        <f>IF(V38=0,"",VLOOKUP(V38,'Tablas psiquica'!$D$7:$R$145,7,FALSE))</f>
        <v/>
      </c>
      <c r="Z41" s="5572"/>
      <c r="AA41" s="5572"/>
      <c r="AB41" s="5573"/>
      <c r="AC41" s="1193"/>
      <c r="AD41" s="1183">
        <v>40</v>
      </c>
      <c r="AE41" s="5570" t="s">
        <v>2049</v>
      </c>
      <c r="AF41" s="5469"/>
      <c r="AG41" s="5571" t="str">
        <f>IF(AD38=0,"",VLOOKUP(AD38,'Tablas psiquica'!$D$7:$R$145,7,FALSE))</f>
        <v/>
      </c>
      <c r="AH41" s="5572"/>
      <c r="AI41" s="5572"/>
      <c r="AJ41" s="5573"/>
      <c r="AK41" s="1131"/>
      <c r="AL41" s="1125"/>
      <c r="AQ41" s="663"/>
      <c r="AR41" s="1165"/>
    </row>
    <row r="42" spans="1:45" ht="12" customHeight="1" x14ac:dyDescent="0.2">
      <c r="A42" s="1125"/>
      <c r="B42" s="537"/>
      <c r="C42" s="1181">
        <v>80</v>
      </c>
      <c r="D42" s="5566" t="s">
        <v>2052</v>
      </c>
      <c r="E42" s="5474"/>
      <c r="F42" s="5567" t="str">
        <f>IF(C38=0,"",VLOOKUP(C38,'Tablas psiquica'!$D$7:$R$145,8,FALSE))</f>
        <v/>
      </c>
      <c r="G42" s="5568"/>
      <c r="H42" s="5568"/>
      <c r="I42" s="5569"/>
      <c r="K42" s="1181">
        <v>80</v>
      </c>
      <c r="L42" s="5566" t="s">
        <v>2052</v>
      </c>
      <c r="M42" s="5474"/>
      <c r="N42" s="5567" t="str">
        <f>IF(K38=0,"",VLOOKUP(K38,'Tablas psiquica'!$D$7:$R$145,8,FALSE))</f>
        <v/>
      </c>
      <c r="O42" s="5568"/>
      <c r="P42" s="5568"/>
      <c r="Q42" s="5569"/>
      <c r="R42" s="1131"/>
      <c r="S42" s="1125"/>
      <c r="T42" s="1125"/>
      <c r="U42" s="537"/>
      <c r="V42" s="1181">
        <v>80</v>
      </c>
      <c r="W42" s="5566" t="s">
        <v>2052</v>
      </c>
      <c r="X42" s="5474"/>
      <c r="Y42" s="5567" t="str">
        <f>IF(V38=0,"",VLOOKUP(V38,'Tablas psiquica'!$D$7:$R$145,8,FALSE))</f>
        <v/>
      </c>
      <c r="Z42" s="5568"/>
      <c r="AA42" s="5568"/>
      <c r="AB42" s="5569"/>
      <c r="AC42" s="1193"/>
      <c r="AD42" s="1181">
        <v>80</v>
      </c>
      <c r="AE42" s="5566" t="s">
        <v>2052</v>
      </c>
      <c r="AF42" s="5474"/>
      <c r="AG42" s="5567" t="str">
        <f>IF(AD38=0,"",VLOOKUP(AD38,'Tablas psiquica'!$D$7:$R$145,8,FALSE))</f>
        <v/>
      </c>
      <c r="AH42" s="5568"/>
      <c r="AI42" s="5568"/>
      <c r="AJ42" s="5569"/>
      <c r="AK42" s="1131"/>
      <c r="AL42" s="1125"/>
      <c r="AQ42" s="663"/>
      <c r="AR42" s="1165"/>
    </row>
    <row r="43" spans="1:45" ht="12" customHeight="1" x14ac:dyDescent="0.2">
      <c r="A43" s="1125"/>
      <c r="B43" s="537"/>
      <c r="C43" s="1183">
        <v>120</v>
      </c>
      <c r="D43" s="5570" t="s">
        <v>2056</v>
      </c>
      <c r="E43" s="5469"/>
      <c r="F43" s="5571" t="str">
        <f>IF(C38=0,"",VLOOKUP(C38,'Tablas psiquica'!$D$7:$R$145,9,FALSE))</f>
        <v/>
      </c>
      <c r="G43" s="5572"/>
      <c r="H43" s="5572"/>
      <c r="I43" s="5573"/>
      <c r="K43" s="1183">
        <v>120</v>
      </c>
      <c r="L43" s="5570" t="s">
        <v>2056</v>
      </c>
      <c r="M43" s="5469"/>
      <c r="N43" s="5571" t="str">
        <f>IF(K38=0,"",VLOOKUP(K38,'Tablas psiquica'!$D$7:$R$145,9,FALSE))</f>
        <v/>
      </c>
      <c r="O43" s="5572"/>
      <c r="P43" s="5572"/>
      <c r="Q43" s="5573"/>
      <c r="R43" s="1131"/>
      <c r="S43" s="1125"/>
      <c r="T43" s="1125"/>
      <c r="U43" s="537"/>
      <c r="V43" s="1183">
        <v>120</v>
      </c>
      <c r="W43" s="5570" t="s">
        <v>2056</v>
      </c>
      <c r="X43" s="5469"/>
      <c r="Y43" s="5571" t="str">
        <f>IF(V38=0,"",VLOOKUP(V38,'Tablas psiquica'!$D$7:$R$145,9,FALSE))</f>
        <v/>
      </c>
      <c r="Z43" s="5572"/>
      <c r="AA43" s="5572"/>
      <c r="AB43" s="5573"/>
      <c r="AC43" s="1173"/>
      <c r="AD43" s="1183">
        <v>120</v>
      </c>
      <c r="AE43" s="5570" t="s">
        <v>2056</v>
      </c>
      <c r="AF43" s="5469"/>
      <c r="AG43" s="5571" t="str">
        <f>IF(AD38=0,"",VLOOKUP(AD38,'Tablas psiquica'!$D$7:$R$145,9,FALSE))</f>
        <v/>
      </c>
      <c r="AH43" s="5572"/>
      <c r="AI43" s="5572"/>
      <c r="AJ43" s="5573"/>
      <c r="AK43" s="1131"/>
      <c r="AL43" s="1125"/>
      <c r="AQ43" s="663"/>
      <c r="AR43" s="1165"/>
    </row>
    <row r="44" spans="1:45" ht="12" customHeight="1" x14ac:dyDescent="0.2">
      <c r="A44" s="1125"/>
      <c r="B44" s="537"/>
      <c r="C44" s="1181">
        <v>140</v>
      </c>
      <c r="D44" s="5566" t="s">
        <v>7693</v>
      </c>
      <c r="E44" s="5474"/>
      <c r="F44" s="5567" t="str">
        <f>IF(C38=0,"",VLOOKUP(C38,'Tablas psiquica'!$D$7:$R$145,10,FALSE))</f>
        <v/>
      </c>
      <c r="G44" s="5568"/>
      <c r="H44" s="5568"/>
      <c r="I44" s="5569"/>
      <c r="K44" s="1181">
        <v>140</v>
      </c>
      <c r="L44" s="5566" t="s">
        <v>7693</v>
      </c>
      <c r="M44" s="5474"/>
      <c r="N44" s="5567" t="str">
        <f>IF(K38=0,"",VLOOKUP(K38,'Tablas psiquica'!$D$7:$R$145,10,FALSE))</f>
        <v/>
      </c>
      <c r="O44" s="5568"/>
      <c r="P44" s="5568"/>
      <c r="Q44" s="5569"/>
      <c r="R44" s="1131"/>
      <c r="S44" s="1125"/>
      <c r="T44" s="1125"/>
      <c r="U44" s="537"/>
      <c r="V44" s="1181">
        <v>140</v>
      </c>
      <c r="W44" s="5566" t="s">
        <v>7693</v>
      </c>
      <c r="X44" s="5474"/>
      <c r="Y44" s="5567" t="str">
        <f>IF(V38=0,"",VLOOKUP(V38,'Tablas psiquica'!$D$7:$R$145,10,FALSE))</f>
        <v/>
      </c>
      <c r="Z44" s="5568"/>
      <c r="AA44" s="5568"/>
      <c r="AB44" s="5569"/>
      <c r="AC44" s="663"/>
      <c r="AD44" s="1181">
        <v>140</v>
      </c>
      <c r="AE44" s="5566" t="s">
        <v>7693</v>
      </c>
      <c r="AF44" s="5474"/>
      <c r="AG44" s="5567" t="str">
        <f>IF(AD38=0,"",VLOOKUP(AD38,'Tablas psiquica'!$D$7:$R$145,10,FALSE))</f>
        <v/>
      </c>
      <c r="AH44" s="5568"/>
      <c r="AI44" s="5568"/>
      <c r="AJ44" s="5569"/>
      <c r="AK44" s="1131"/>
      <c r="AL44" s="1125"/>
      <c r="AQ44" s="663"/>
      <c r="AR44" s="1165"/>
    </row>
    <row r="45" spans="1:45" ht="12" customHeight="1" x14ac:dyDescent="0.2">
      <c r="A45" s="1125"/>
      <c r="B45" s="537"/>
      <c r="C45" s="1183">
        <v>180</v>
      </c>
      <c r="D45" s="5570" t="s">
        <v>2061</v>
      </c>
      <c r="E45" s="5469"/>
      <c r="F45" s="5571" t="str">
        <f>IF(C38=0,"",VLOOKUP(C38,'Tablas psiquica'!$D$7:$R$145,11,FALSE))</f>
        <v/>
      </c>
      <c r="G45" s="5572"/>
      <c r="H45" s="5572"/>
      <c r="I45" s="5573"/>
      <c r="K45" s="1183">
        <v>180</v>
      </c>
      <c r="L45" s="5570" t="s">
        <v>2061</v>
      </c>
      <c r="M45" s="5469"/>
      <c r="N45" s="5571" t="str">
        <f>IF(K38=0,"",VLOOKUP(K38,'Tablas psiquica'!$D$7:$R$145,11,FALSE))</f>
        <v/>
      </c>
      <c r="O45" s="5572"/>
      <c r="P45" s="5572"/>
      <c r="Q45" s="5573"/>
      <c r="R45" s="1131"/>
      <c r="S45" s="1125"/>
      <c r="T45" s="1125"/>
      <c r="U45" s="537"/>
      <c r="V45" s="1183">
        <v>180</v>
      </c>
      <c r="W45" s="5570" t="s">
        <v>2061</v>
      </c>
      <c r="X45" s="5469"/>
      <c r="Y45" s="5571" t="str">
        <f>IF(V38=0,"",VLOOKUP(V38,'Tablas psiquica'!$D$7:$R$145,11,FALSE))</f>
        <v/>
      </c>
      <c r="Z45" s="5572"/>
      <c r="AA45" s="5572"/>
      <c r="AB45" s="5573"/>
      <c r="AC45" s="663"/>
      <c r="AD45" s="1183">
        <v>180</v>
      </c>
      <c r="AE45" s="5570" t="s">
        <v>2061</v>
      </c>
      <c r="AF45" s="5469"/>
      <c r="AG45" s="5571" t="str">
        <f>IF(AD38=0,"",VLOOKUP(AD38,'Tablas psiquica'!$D$7:$R$145,11,FALSE))</f>
        <v/>
      </c>
      <c r="AH45" s="5572"/>
      <c r="AI45" s="5572"/>
      <c r="AJ45" s="5573"/>
      <c r="AK45" s="1131"/>
      <c r="AL45" s="1125"/>
      <c r="AQ45" s="663"/>
      <c r="AR45" s="1165"/>
    </row>
    <row r="46" spans="1:45" ht="12" customHeight="1" x14ac:dyDescent="0.2">
      <c r="A46" s="1125"/>
      <c r="B46" s="537"/>
      <c r="C46" s="1181">
        <v>240</v>
      </c>
      <c r="D46" s="5566" t="s">
        <v>7694</v>
      </c>
      <c r="E46" s="5474"/>
      <c r="F46" s="5567" t="str">
        <f>IF(C38=0,"",VLOOKUP(C38,'Tablas psiquica'!$D$7:$R$145,12,FALSE))</f>
        <v/>
      </c>
      <c r="G46" s="5568"/>
      <c r="H46" s="5568"/>
      <c r="I46" s="5569"/>
      <c r="K46" s="1181">
        <v>240</v>
      </c>
      <c r="L46" s="5566" t="s">
        <v>7694</v>
      </c>
      <c r="M46" s="5474"/>
      <c r="N46" s="5567" t="str">
        <f>IF(K38=0,"",VLOOKUP(K38,'Tablas psiquica'!$D$7:$R$145,12,FALSE))</f>
        <v/>
      </c>
      <c r="O46" s="5568"/>
      <c r="P46" s="5568"/>
      <c r="Q46" s="5569"/>
      <c r="R46" s="1131"/>
      <c r="S46" s="1125"/>
      <c r="T46" s="1125"/>
      <c r="U46" s="537"/>
      <c r="V46" s="1181">
        <v>240</v>
      </c>
      <c r="W46" s="5566" t="s">
        <v>7694</v>
      </c>
      <c r="X46" s="5474"/>
      <c r="Y46" s="5567" t="str">
        <f>IF(V38=0,"",VLOOKUP(V38,'Tablas psiquica'!$D$7:$R$145,12,FALSE))</f>
        <v/>
      </c>
      <c r="Z46" s="5568"/>
      <c r="AA46" s="5568"/>
      <c r="AB46" s="5569"/>
      <c r="AC46" s="663"/>
      <c r="AD46" s="1181">
        <v>240</v>
      </c>
      <c r="AE46" s="5566" t="s">
        <v>7694</v>
      </c>
      <c r="AF46" s="5474"/>
      <c r="AG46" s="5567" t="str">
        <f>IF(AD38=0,"",VLOOKUP(AD38,'Tablas psiquica'!$D$7:$R$145,12,FALSE))</f>
        <v/>
      </c>
      <c r="AH46" s="5568"/>
      <c r="AI46" s="5568"/>
      <c r="AJ46" s="5569"/>
      <c r="AK46" s="1131"/>
      <c r="AL46" s="1125"/>
      <c r="AQ46" s="663"/>
      <c r="AR46" s="1165"/>
    </row>
    <row r="47" spans="1:45" ht="12" customHeight="1" x14ac:dyDescent="0.2">
      <c r="A47" s="1125"/>
      <c r="B47" s="537"/>
      <c r="C47" s="1183">
        <v>280</v>
      </c>
      <c r="D47" s="5570" t="s">
        <v>2066</v>
      </c>
      <c r="E47" s="5469"/>
      <c r="F47" s="5571" t="str">
        <f>IF(C38=0,"",VLOOKUP(C38,'Tablas psiquica'!$D$7:$R$145,13,FALSE))</f>
        <v/>
      </c>
      <c r="G47" s="5572"/>
      <c r="H47" s="5572"/>
      <c r="I47" s="5573"/>
      <c r="K47" s="1183">
        <v>280</v>
      </c>
      <c r="L47" s="5570" t="s">
        <v>2066</v>
      </c>
      <c r="M47" s="5469"/>
      <c r="N47" s="5571" t="str">
        <f>IF(K38=0,"",VLOOKUP(K38,'Tablas psiquica'!$D$7:$R$145,13,FALSE))</f>
        <v/>
      </c>
      <c r="O47" s="5572"/>
      <c r="P47" s="5572"/>
      <c r="Q47" s="5573"/>
      <c r="R47" s="1131"/>
      <c r="S47" s="1125"/>
      <c r="T47" s="1125"/>
      <c r="U47" s="537"/>
      <c r="V47" s="1183">
        <v>280</v>
      </c>
      <c r="W47" s="5570" t="s">
        <v>2066</v>
      </c>
      <c r="X47" s="5469"/>
      <c r="Y47" s="5571" t="str">
        <f>IF(V38=0,"",VLOOKUP(V38,'Tablas psiquica'!$D$7:$R$145,13,FALSE))</f>
        <v/>
      </c>
      <c r="Z47" s="5572"/>
      <c r="AA47" s="5572"/>
      <c r="AB47" s="5573"/>
      <c r="AC47" s="663"/>
      <c r="AD47" s="1183">
        <v>280</v>
      </c>
      <c r="AE47" s="5570" t="s">
        <v>2066</v>
      </c>
      <c r="AF47" s="5469"/>
      <c r="AG47" s="5571" t="str">
        <f>IF(AD38=0,"",VLOOKUP(AD38,'Tablas psiquica'!$D$7:$R$145,13,FALSE))</f>
        <v/>
      </c>
      <c r="AH47" s="5572"/>
      <c r="AI47" s="5572"/>
      <c r="AJ47" s="5573"/>
      <c r="AK47" s="1131"/>
      <c r="AL47" s="1125"/>
      <c r="AQ47" s="663"/>
      <c r="AR47" s="1165"/>
    </row>
    <row r="48" spans="1:45" ht="12" customHeight="1" x14ac:dyDescent="0.2">
      <c r="A48" s="1125"/>
      <c r="B48" s="537"/>
      <c r="C48" s="1181">
        <v>320</v>
      </c>
      <c r="D48" s="5566" t="s">
        <v>2068</v>
      </c>
      <c r="E48" s="5474"/>
      <c r="F48" s="5567" t="str">
        <f>IF(C38=0,"",VLOOKUP(C38,'Tablas psiquica'!$D$7:$R$145,14,FALSE))</f>
        <v/>
      </c>
      <c r="G48" s="5568"/>
      <c r="H48" s="5568"/>
      <c r="I48" s="5569"/>
      <c r="K48" s="1181">
        <v>320</v>
      </c>
      <c r="L48" s="5566" t="s">
        <v>2068</v>
      </c>
      <c r="M48" s="5474"/>
      <c r="N48" s="5567" t="str">
        <f>IF(K38=0,"",VLOOKUP(K38,'Tablas psiquica'!$D$7:$R$145,14,FALSE))</f>
        <v/>
      </c>
      <c r="O48" s="5568"/>
      <c r="P48" s="5568"/>
      <c r="Q48" s="5569"/>
      <c r="R48" s="1131"/>
      <c r="S48" s="1125"/>
      <c r="T48" s="1125"/>
      <c r="U48" s="537"/>
      <c r="V48" s="1181">
        <v>320</v>
      </c>
      <c r="W48" s="5566" t="s">
        <v>2068</v>
      </c>
      <c r="X48" s="5474"/>
      <c r="Y48" s="5567" t="str">
        <f>IF(V38=0,"",VLOOKUP(V38,'Tablas psiquica'!$D$7:$R$145,14,FALSE))</f>
        <v/>
      </c>
      <c r="Z48" s="5568"/>
      <c r="AA48" s="5568"/>
      <c r="AB48" s="5569"/>
      <c r="AC48" s="663"/>
      <c r="AD48" s="1181">
        <v>320</v>
      </c>
      <c r="AE48" s="5566" t="s">
        <v>2068</v>
      </c>
      <c r="AF48" s="5474"/>
      <c r="AG48" s="5567" t="str">
        <f>IF(AD38=0,"",VLOOKUP(AD38,'Tablas psiquica'!$D$7:$R$145,14,FALSE))</f>
        <v/>
      </c>
      <c r="AH48" s="5568"/>
      <c r="AI48" s="5568"/>
      <c r="AJ48" s="5569"/>
      <c r="AK48" s="1131"/>
      <c r="AL48" s="1125"/>
      <c r="AQ48" s="663"/>
      <c r="AR48" s="1165"/>
    </row>
    <row r="49" spans="1:44" ht="12" customHeight="1" x14ac:dyDescent="0.2">
      <c r="A49" s="1125"/>
      <c r="B49" s="537"/>
      <c r="C49" s="1186">
        <v>440</v>
      </c>
      <c r="D49" s="5574" t="s">
        <v>2002</v>
      </c>
      <c r="E49" s="5575"/>
      <c r="F49" s="5576" t="str">
        <f>IF(C38=0,"",VLOOKUP(C38,'Tablas psiquica'!$D$7:$R$145,15,FALSE))</f>
        <v/>
      </c>
      <c r="G49" s="5577"/>
      <c r="H49" s="5577"/>
      <c r="I49" s="5578"/>
      <c r="K49" s="1186">
        <v>440</v>
      </c>
      <c r="L49" s="5574" t="s">
        <v>2002</v>
      </c>
      <c r="M49" s="5575"/>
      <c r="N49" s="5576" t="str">
        <f>IF(K38=0,"",VLOOKUP(K38,'Tablas psiquica'!$D$7:$R$145,15,FALSE))</f>
        <v/>
      </c>
      <c r="O49" s="5577"/>
      <c r="P49" s="5577"/>
      <c r="Q49" s="5578"/>
      <c r="R49" s="1131"/>
      <c r="S49" s="1125"/>
      <c r="T49" s="1125"/>
      <c r="U49" s="537"/>
      <c r="V49" s="1186">
        <v>440</v>
      </c>
      <c r="W49" s="5574" t="s">
        <v>2002</v>
      </c>
      <c r="X49" s="5575"/>
      <c r="Y49" s="5576" t="str">
        <f>IF(V38=0,"",VLOOKUP(V38,'Tablas psiquica'!$D$7:$R$145,15,FALSE))</f>
        <v/>
      </c>
      <c r="Z49" s="5577"/>
      <c r="AA49" s="5577"/>
      <c r="AB49" s="5578"/>
      <c r="AC49" s="663"/>
      <c r="AD49" s="1186">
        <v>440</v>
      </c>
      <c r="AE49" s="5574" t="s">
        <v>2002</v>
      </c>
      <c r="AF49" s="5575"/>
      <c r="AG49" s="5576" t="str">
        <f>IF(AD38=0,"",VLOOKUP(AD38,'Tablas psiquica'!$D$7:$R$145,15,FALSE))</f>
        <v/>
      </c>
      <c r="AH49" s="5577"/>
      <c r="AI49" s="5577"/>
      <c r="AJ49" s="5578"/>
      <c r="AK49" s="1131"/>
      <c r="AL49" s="1125"/>
      <c r="AQ49" s="663"/>
      <c r="AR49" s="1165"/>
    </row>
    <row r="50" spans="1:44" ht="12" customHeight="1" thickBot="1" x14ac:dyDescent="0.25">
      <c r="A50" s="1125"/>
      <c r="B50" s="537"/>
      <c r="C50" s="5579" t="s">
        <v>7695</v>
      </c>
      <c r="D50" s="5580"/>
      <c r="E50" s="1187" t="str">
        <f>IF(C38=0,"",VLOOKUP(C38,'Tablas psiquica'!$D$7:$R$145,4,FALSE))</f>
        <v/>
      </c>
      <c r="F50" s="5581" t="s">
        <v>7690</v>
      </c>
      <c r="G50" s="5581"/>
      <c r="H50" s="4482" t="str">
        <f>IF(C38=0,"",VLOOKUP(C38,'Tablas psiquica'!$D$7:$R$145,5,FALSE))</f>
        <v/>
      </c>
      <c r="I50" s="4483"/>
      <c r="K50" s="5579" t="s">
        <v>7695</v>
      </c>
      <c r="L50" s="5580"/>
      <c r="M50" s="1187" t="str">
        <f>IF(K38=0,"",VLOOKUP(K38,'Tablas psiquica'!$D$7:$R$145,4,FALSE))</f>
        <v/>
      </c>
      <c r="N50" s="5581" t="s">
        <v>7690</v>
      </c>
      <c r="O50" s="5581"/>
      <c r="P50" s="4482" t="str">
        <f>IF(K38=0,"",VLOOKUP(K38,'Tablas psiquica'!$D$7:$R$145,5,FALSE))</f>
        <v/>
      </c>
      <c r="Q50" s="4483"/>
      <c r="R50" s="1131"/>
      <c r="S50" s="1125"/>
      <c r="T50" s="1125"/>
      <c r="U50" s="537"/>
      <c r="V50" s="5579" t="s">
        <v>7695</v>
      </c>
      <c r="W50" s="5580"/>
      <c r="X50" s="1187" t="str">
        <f>IF(V38=0,"",VLOOKUP(V38,'Tablas psiquica'!$D$7:$R$145,4,FALSE))</f>
        <v/>
      </c>
      <c r="Y50" s="5581" t="s">
        <v>7690</v>
      </c>
      <c r="Z50" s="5581"/>
      <c r="AA50" s="4482" t="str">
        <f>IF(V38=0,"",VLOOKUP(V38,'Tablas psiquica'!$D$7:$R$145,5,FALSE))</f>
        <v/>
      </c>
      <c r="AB50" s="4483"/>
      <c r="AC50" s="663"/>
      <c r="AD50" s="5579" t="s">
        <v>7695</v>
      </c>
      <c r="AE50" s="5580"/>
      <c r="AF50" s="1187" t="str">
        <f>IF(AD38=0,"",VLOOKUP(AD38,'Tablas psiquica'!$D$7:$R$145,4,FALSE))</f>
        <v/>
      </c>
      <c r="AG50" s="5581" t="s">
        <v>7690</v>
      </c>
      <c r="AH50" s="5581"/>
      <c r="AI50" s="4482" t="str">
        <f>IF(AD38=0,"",VLOOKUP(AD38,'Tablas psiquica'!$D$7:$R$145,5,FALSE))</f>
        <v/>
      </c>
      <c r="AJ50" s="4483"/>
      <c r="AK50" s="1131"/>
      <c r="AL50" s="1125"/>
      <c r="AQ50" s="663"/>
      <c r="AR50" s="1165"/>
    </row>
    <row r="51" spans="1:44" ht="12" customHeight="1" thickBot="1" x14ac:dyDescent="0.25">
      <c r="A51" s="1125"/>
      <c r="B51" s="537"/>
      <c r="R51" s="1131"/>
      <c r="S51" s="1125"/>
      <c r="T51" s="1125"/>
      <c r="U51" s="537"/>
      <c r="V51" s="1176"/>
      <c r="W51" s="1166"/>
      <c r="X51" s="1166"/>
      <c r="Y51" s="1177"/>
      <c r="Z51" s="1173"/>
      <c r="AA51" s="1173"/>
      <c r="AB51" s="1173"/>
      <c r="AC51" s="663"/>
      <c r="AD51" s="1176"/>
      <c r="AE51" s="1166"/>
      <c r="AF51" s="1166"/>
      <c r="AG51" s="1177"/>
      <c r="AH51" s="1173"/>
      <c r="AI51" s="1173"/>
      <c r="AJ51" s="1173"/>
      <c r="AK51" s="1131"/>
      <c r="AL51" s="1125"/>
      <c r="AQ51" s="663"/>
      <c r="AR51" s="1165"/>
    </row>
    <row r="52" spans="1:44" ht="12" customHeight="1" x14ac:dyDescent="0.2">
      <c r="A52" s="1125"/>
      <c r="B52" s="537"/>
      <c r="C52" s="5461"/>
      <c r="D52" s="5462"/>
      <c r="E52" s="5462"/>
      <c r="F52" s="5462"/>
      <c r="G52" s="5462"/>
      <c r="H52" s="5462"/>
      <c r="I52" s="1178" t="s">
        <v>1712</v>
      </c>
      <c r="K52" s="5461"/>
      <c r="L52" s="5462"/>
      <c r="M52" s="5462"/>
      <c r="N52" s="5462"/>
      <c r="O52" s="5462"/>
      <c r="P52" s="5462"/>
      <c r="Q52" s="1178" t="s">
        <v>1712</v>
      </c>
      <c r="R52" s="1131"/>
      <c r="S52" s="1125"/>
      <c r="T52" s="1125"/>
      <c r="U52" s="537"/>
      <c r="V52" s="5461"/>
      <c r="W52" s="5462"/>
      <c r="X52" s="5462"/>
      <c r="Y52" s="5462"/>
      <c r="Z52" s="5462"/>
      <c r="AA52" s="5462"/>
      <c r="AB52" s="1178" t="s">
        <v>1712</v>
      </c>
      <c r="AC52" s="663"/>
      <c r="AD52" s="5461"/>
      <c r="AE52" s="5462"/>
      <c r="AF52" s="5462"/>
      <c r="AG52" s="5462"/>
      <c r="AH52" s="5462"/>
      <c r="AI52" s="5462"/>
      <c r="AJ52" s="1178" t="s">
        <v>1712</v>
      </c>
      <c r="AK52" s="1131"/>
      <c r="AL52" s="1125"/>
      <c r="AQ52" s="663"/>
      <c r="AR52" s="1165"/>
    </row>
    <row r="53" spans="1:44" ht="12" customHeight="1" x14ac:dyDescent="0.2">
      <c r="A53" s="1125"/>
      <c r="B53" s="537"/>
      <c r="C53" s="5564" t="str">
        <f>IF(C52=0,"",VLOOKUP(C52,'Tablas psiquica'!$D$7:$R$145,2,FALSE))</f>
        <v/>
      </c>
      <c r="D53" s="5565"/>
      <c r="E53" s="5565"/>
      <c r="F53" s="5565"/>
      <c r="G53" s="5565"/>
      <c r="H53" s="5565"/>
      <c r="I53" s="1180" t="str">
        <f>IF(C52=0,"",VLOOKUP(C52,'Tablas psiquica'!$D$7:$R$145,3,FALSE))</f>
        <v/>
      </c>
      <c r="K53" s="5564" t="str">
        <f>IF(K52=0,"",VLOOKUP(K52,'Tablas psiquica'!$D$7:$R$145,2,FALSE))</f>
        <v/>
      </c>
      <c r="L53" s="5565"/>
      <c r="M53" s="5565"/>
      <c r="N53" s="5565"/>
      <c r="O53" s="5565"/>
      <c r="P53" s="5565"/>
      <c r="Q53" s="1180" t="str">
        <f>IF(K52=0,"",VLOOKUP(K52,'Tablas psiquica'!$D$7:$R$145,3,FALSE))</f>
        <v/>
      </c>
      <c r="R53" s="1131"/>
      <c r="S53" s="1125"/>
      <c r="T53" s="1125"/>
      <c r="U53" s="537"/>
      <c r="V53" s="5564" t="str">
        <f>IF(V52=0,"",VLOOKUP(V52,'Tablas psiquica'!$D$7:$R$145,2,FALSE))</f>
        <v/>
      </c>
      <c r="W53" s="5565"/>
      <c r="X53" s="5565"/>
      <c r="Y53" s="5565"/>
      <c r="Z53" s="5565"/>
      <c r="AA53" s="5565"/>
      <c r="AB53" s="1180" t="str">
        <f>IF(V52=0,"",VLOOKUP(V52,'Tablas psiquica'!$D$7:$R$145,3,FALSE))</f>
        <v/>
      </c>
      <c r="AC53" s="663"/>
      <c r="AD53" s="5564" t="str">
        <f>IF(AD52=0,"",VLOOKUP(AD52,'Tablas psiquica'!$D$7:$R$145,2,FALSE))</f>
        <v/>
      </c>
      <c r="AE53" s="5565"/>
      <c r="AF53" s="5565"/>
      <c r="AG53" s="5565"/>
      <c r="AH53" s="5565"/>
      <c r="AI53" s="5565"/>
      <c r="AJ53" s="1180" t="str">
        <f>IF(AD52=0,"",VLOOKUP(AD52,'Tablas psiquica'!$D$7:$R$145,3,FALSE))</f>
        <v/>
      </c>
      <c r="AK53" s="1131"/>
      <c r="AL53" s="1125"/>
      <c r="AQ53" s="663"/>
      <c r="AR53" s="1165"/>
    </row>
    <row r="54" spans="1:44" ht="12" customHeight="1" x14ac:dyDescent="0.2">
      <c r="A54" s="1125"/>
      <c r="B54" s="537"/>
      <c r="C54" s="1181">
        <v>20</v>
      </c>
      <c r="D54" s="5566" t="s">
        <v>2045</v>
      </c>
      <c r="E54" s="5474"/>
      <c r="F54" s="5567" t="str">
        <f>IF(C52=0,"",VLOOKUP(C52,'Tablas psiquica'!$D$7:$R$145,6,FALSE))</f>
        <v/>
      </c>
      <c r="G54" s="5568"/>
      <c r="H54" s="5568"/>
      <c r="I54" s="5569"/>
      <c r="K54" s="1181">
        <v>20</v>
      </c>
      <c r="L54" s="5566" t="s">
        <v>2045</v>
      </c>
      <c r="M54" s="5474"/>
      <c r="N54" s="5567" t="str">
        <f>IF(K52=0,"",VLOOKUP(K52,'Tablas psiquica'!$D$7:$R$145,6,FALSE))</f>
        <v/>
      </c>
      <c r="O54" s="5568"/>
      <c r="P54" s="5568"/>
      <c r="Q54" s="5569"/>
      <c r="R54" s="1131"/>
      <c r="S54" s="1125"/>
      <c r="T54" s="1125"/>
      <c r="U54" s="537"/>
      <c r="V54" s="1181">
        <v>20</v>
      </c>
      <c r="W54" s="5566" t="s">
        <v>2045</v>
      </c>
      <c r="X54" s="5474"/>
      <c r="Y54" s="5567" t="str">
        <f>IF(V52=0,"",VLOOKUP(V52,'Tablas psiquica'!$D$7:$R$145,6,FALSE))</f>
        <v/>
      </c>
      <c r="Z54" s="5568"/>
      <c r="AA54" s="5568"/>
      <c r="AB54" s="5569"/>
      <c r="AC54" s="663"/>
      <c r="AD54" s="1181">
        <v>20</v>
      </c>
      <c r="AE54" s="5566" t="s">
        <v>2045</v>
      </c>
      <c r="AF54" s="5474"/>
      <c r="AG54" s="5567" t="str">
        <f>IF(AD52=0,"",VLOOKUP(AD52,'Tablas psiquica'!$D$7:$R$145,6,FALSE))</f>
        <v/>
      </c>
      <c r="AH54" s="5568"/>
      <c r="AI54" s="5568"/>
      <c r="AJ54" s="5569"/>
      <c r="AK54" s="1131"/>
      <c r="AL54" s="1125"/>
      <c r="AQ54" s="663"/>
      <c r="AR54" s="1165"/>
    </row>
    <row r="55" spans="1:44" ht="12" customHeight="1" x14ac:dyDescent="0.2">
      <c r="A55" s="1125"/>
      <c r="B55" s="537"/>
      <c r="C55" s="1183">
        <v>40</v>
      </c>
      <c r="D55" s="5570" t="s">
        <v>2049</v>
      </c>
      <c r="E55" s="5469"/>
      <c r="F55" s="5571" t="str">
        <f>IF(C52=0,"",VLOOKUP(C52,'Tablas psiquica'!$D$7:$R$145,7,FALSE))</f>
        <v/>
      </c>
      <c r="G55" s="5572"/>
      <c r="H55" s="5572"/>
      <c r="I55" s="5573"/>
      <c r="K55" s="1183">
        <v>40</v>
      </c>
      <c r="L55" s="5570" t="s">
        <v>2049</v>
      </c>
      <c r="M55" s="5469"/>
      <c r="N55" s="5571" t="str">
        <f>IF(K52=0,"",VLOOKUP(K52,'Tablas psiquica'!$D$7:$R$145,7,FALSE))</f>
        <v/>
      </c>
      <c r="O55" s="5572"/>
      <c r="P55" s="5572"/>
      <c r="Q55" s="5573"/>
      <c r="R55" s="1131"/>
      <c r="S55" s="1125"/>
      <c r="T55" s="1125"/>
      <c r="U55" s="537"/>
      <c r="V55" s="1183">
        <v>40</v>
      </c>
      <c r="W55" s="5570" t="s">
        <v>2049</v>
      </c>
      <c r="X55" s="5469"/>
      <c r="Y55" s="5571" t="str">
        <f>IF(V52=0,"",VLOOKUP(V52,'Tablas psiquica'!$D$7:$R$145,7,FALSE))</f>
        <v/>
      </c>
      <c r="Z55" s="5572"/>
      <c r="AA55" s="5572"/>
      <c r="AB55" s="5573"/>
      <c r="AC55" s="663"/>
      <c r="AD55" s="1183">
        <v>40</v>
      </c>
      <c r="AE55" s="5570" t="s">
        <v>2049</v>
      </c>
      <c r="AF55" s="5469"/>
      <c r="AG55" s="5571" t="str">
        <f>IF(AD52=0,"",VLOOKUP(AD52,'Tablas psiquica'!$D$7:$R$145,7,FALSE))</f>
        <v/>
      </c>
      <c r="AH55" s="5572"/>
      <c r="AI55" s="5572"/>
      <c r="AJ55" s="5573"/>
      <c r="AK55" s="1131"/>
      <c r="AL55" s="1125"/>
      <c r="AQ55" s="663"/>
      <c r="AR55" s="1165"/>
    </row>
    <row r="56" spans="1:44" ht="12" customHeight="1" x14ac:dyDescent="0.2">
      <c r="A56" s="1125"/>
      <c r="B56" s="537"/>
      <c r="C56" s="1181">
        <v>80</v>
      </c>
      <c r="D56" s="5566" t="s">
        <v>2052</v>
      </c>
      <c r="E56" s="5474"/>
      <c r="F56" s="5567" t="str">
        <f>IF(C52=0,"",VLOOKUP(C52,'Tablas psiquica'!$D$7:$R$145,8,FALSE))</f>
        <v/>
      </c>
      <c r="G56" s="5568"/>
      <c r="H56" s="5568"/>
      <c r="I56" s="5569"/>
      <c r="K56" s="1181">
        <v>80</v>
      </c>
      <c r="L56" s="5566" t="s">
        <v>2052</v>
      </c>
      <c r="M56" s="5474"/>
      <c r="N56" s="5567" t="str">
        <f>IF(K52=0,"",VLOOKUP(K52,'Tablas psiquica'!$D$7:$R$145,8,FALSE))</f>
        <v/>
      </c>
      <c r="O56" s="5568"/>
      <c r="P56" s="5568"/>
      <c r="Q56" s="5569"/>
      <c r="R56" s="1131"/>
      <c r="S56" s="1125"/>
      <c r="T56" s="1125"/>
      <c r="U56" s="537"/>
      <c r="V56" s="1181">
        <v>80</v>
      </c>
      <c r="W56" s="5566" t="s">
        <v>2052</v>
      </c>
      <c r="X56" s="5474"/>
      <c r="Y56" s="5567" t="str">
        <f>IF(V52=0,"",VLOOKUP(V52,'Tablas psiquica'!$D$7:$R$145,8,FALSE))</f>
        <v/>
      </c>
      <c r="Z56" s="5568"/>
      <c r="AA56" s="5568"/>
      <c r="AB56" s="5569"/>
      <c r="AC56" s="663"/>
      <c r="AD56" s="1181">
        <v>80</v>
      </c>
      <c r="AE56" s="5566" t="s">
        <v>2052</v>
      </c>
      <c r="AF56" s="5474"/>
      <c r="AG56" s="5567" t="str">
        <f>IF(AD52=0,"",VLOOKUP(AD52,'Tablas psiquica'!$D$7:$R$145,8,FALSE))</f>
        <v/>
      </c>
      <c r="AH56" s="5568"/>
      <c r="AI56" s="5568"/>
      <c r="AJ56" s="5569"/>
      <c r="AK56" s="1131"/>
      <c r="AL56" s="1125"/>
      <c r="AQ56" s="663"/>
      <c r="AR56" s="1165"/>
    </row>
    <row r="57" spans="1:44" ht="12" customHeight="1" x14ac:dyDescent="0.2">
      <c r="A57" s="1125"/>
      <c r="B57" s="537"/>
      <c r="C57" s="1183">
        <v>120</v>
      </c>
      <c r="D57" s="5570" t="s">
        <v>2056</v>
      </c>
      <c r="E57" s="5469"/>
      <c r="F57" s="5571" t="str">
        <f>IF(C52=0,"",VLOOKUP(C52,'Tablas psiquica'!$D$7:$R$145,9,FALSE))</f>
        <v/>
      </c>
      <c r="G57" s="5572"/>
      <c r="H57" s="5572"/>
      <c r="I57" s="5573"/>
      <c r="K57" s="1183">
        <v>120</v>
      </c>
      <c r="L57" s="5570" t="s">
        <v>2056</v>
      </c>
      <c r="M57" s="5469"/>
      <c r="N57" s="5571" t="str">
        <f>IF(K52=0,"",VLOOKUP(K52,'Tablas psiquica'!$D$7:$R$145,9,FALSE))</f>
        <v/>
      </c>
      <c r="O57" s="5572"/>
      <c r="P57" s="5572"/>
      <c r="Q57" s="5573"/>
      <c r="R57" s="1131"/>
      <c r="S57" s="1125"/>
      <c r="T57" s="1125"/>
      <c r="U57" s="537"/>
      <c r="V57" s="1183">
        <v>120</v>
      </c>
      <c r="W57" s="5570" t="s">
        <v>2056</v>
      </c>
      <c r="X57" s="5469"/>
      <c r="Y57" s="5571" t="str">
        <f>IF(V52=0,"",VLOOKUP(V52,'Tablas psiquica'!$D$7:$R$145,9,FALSE))</f>
        <v/>
      </c>
      <c r="Z57" s="5572"/>
      <c r="AA57" s="5572"/>
      <c r="AB57" s="5573"/>
      <c r="AC57" s="663"/>
      <c r="AD57" s="1183">
        <v>120</v>
      </c>
      <c r="AE57" s="5570" t="s">
        <v>2056</v>
      </c>
      <c r="AF57" s="5469"/>
      <c r="AG57" s="5571" t="str">
        <f>IF(AD52=0,"",VLOOKUP(AD52,'Tablas psiquica'!$D$7:$R$145,9,FALSE))</f>
        <v/>
      </c>
      <c r="AH57" s="5572"/>
      <c r="AI57" s="5572"/>
      <c r="AJ57" s="5573"/>
      <c r="AK57" s="1131"/>
      <c r="AL57" s="1125"/>
      <c r="AQ57" s="663"/>
      <c r="AR57" s="1165"/>
    </row>
    <row r="58" spans="1:44" ht="12" customHeight="1" x14ac:dyDescent="0.2">
      <c r="A58" s="1125"/>
      <c r="B58" s="537"/>
      <c r="C58" s="1181">
        <v>140</v>
      </c>
      <c r="D58" s="5566" t="s">
        <v>7693</v>
      </c>
      <c r="E58" s="5474"/>
      <c r="F58" s="5567" t="str">
        <f>IF(C52=0,"",VLOOKUP(C52,'Tablas psiquica'!$D$7:$R$145,10,FALSE))</f>
        <v/>
      </c>
      <c r="G58" s="5568"/>
      <c r="H58" s="5568"/>
      <c r="I58" s="5569"/>
      <c r="K58" s="1181">
        <v>140</v>
      </c>
      <c r="L58" s="5566" t="s">
        <v>7693</v>
      </c>
      <c r="M58" s="5474"/>
      <c r="N58" s="5567" t="str">
        <f>IF(K52=0,"",VLOOKUP(K52,'Tablas psiquica'!$D$7:$R$145,10,FALSE))</f>
        <v/>
      </c>
      <c r="O58" s="5568"/>
      <c r="P58" s="5568"/>
      <c r="Q58" s="5569"/>
      <c r="R58" s="1131"/>
      <c r="S58" s="1125"/>
      <c r="T58" s="1125"/>
      <c r="U58" s="537"/>
      <c r="V58" s="1181">
        <v>140</v>
      </c>
      <c r="W58" s="5566" t="s">
        <v>7693</v>
      </c>
      <c r="X58" s="5474"/>
      <c r="Y58" s="5567" t="str">
        <f>IF(V52=0,"",VLOOKUP(V52,'Tablas psiquica'!$D$7:$R$145,10,FALSE))</f>
        <v/>
      </c>
      <c r="Z58" s="5568"/>
      <c r="AA58" s="5568"/>
      <c r="AB58" s="5569"/>
      <c r="AC58" s="1191"/>
      <c r="AD58" s="1181">
        <v>140</v>
      </c>
      <c r="AE58" s="5566" t="s">
        <v>7693</v>
      </c>
      <c r="AF58" s="5474"/>
      <c r="AG58" s="5567" t="str">
        <f>IF(AD52=0,"",VLOOKUP(AD52,'Tablas psiquica'!$D$7:$R$145,10,FALSE))</f>
        <v/>
      </c>
      <c r="AH58" s="5568"/>
      <c r="AI58" s="5568"/>
      <c r="AJ58" s="5569"/>
      <c r="AK58" s="1131"/>
      <c r="AL58" s="1125"/>
      <c r="AQ58" s="663"/>
      <c r="AR58" s="1165"/>
    </row>
    <row r="59" spans="1:44" ht="12" customHeight="1" x14ac:dyDescent="0.2">
      <c r="A59" s="1125"/>
      <c r="B59" s="537"/>
      <c r="C59" s="1183">
        <v>180</v>
      </c>
      <c r="D59" s="5570" t="s">
        <v>2061</v>
      </c>
      <c r="E59" s="5469"/>
      <c r="F59" s="5571" t="str">
        <f>IF(C52=0,"",VLOOKUP(C52,'Tablas psiquica'!$D$7:$R$145,11,FALSE))</f>
        <v/>
      </c>
      <c r="G59" s="5572"/>
      <c r="H59" s="5572"/>
      <c r="I59" s="5573"/>
      <c r="K59" s="1183">
        <v>180</v>
      </c>
      <c r="L59" s="5570" t="s">
        <v>2061</v>
      </c>
      <c r="M59" s="5469"/>
      <c r="N59" s="5571" t="str">
        <f>IF(K52=0,"",VLOOKUP(K52,'Tablas psiquica'!$D$7:$R$145,11,FALSE))</f>
        <v/>
      </c>
      <c r="O59" s="5572"/>
      <c r="P59" s="5572"/>
      <c r="Q59" s="5573"/>
      <c r="R59" s="1131"/>
      <c r="S59" s="1125"/>
      <c r="T59" s="1125"/>
      <c r="U59" s="537"/>
      <c r="V59" s="1183">
        <v>180</v>
      </c>
      <c r="W59" s="5570" t="s">
        <v>2061</v>
      </c>
      <c r="X59" s="5469"/>
      <c r="Y59" s="5571" t="str">
        <f>IF(V52=0,"",VLOOKUP(V52,'Tablas psiquica'!$D$7:$R$145,11,FALSE))</f>
        <v/>
      </c>
      <c r="Z59" s="5572"/>
      <c r="AA59" s="5572"/>
      <c r="AB59" s="5573"/>
      <c r="AC59" s="663"/>
      <c r="AD59" s="1183">
        <v>180</v>
      </c>
      <c r="AE59" s="5570" t="s">
        <v>2061</v>
      </c>
      <c r="AF59" s="5469"/>
      <c r="AG59" s="5571" t="str">
        <f>IF(AD52=0,"",VLOOKUP(AD52,'Tablas psiquica'!$D$7:$R$145,11,FALSE))</f>
        <v/>
      </c>
      <c r="AH59" s="5572"/>
      <c r="AI59" s="5572"/>
      <c r="AJ59" s="5573"/>
      <c r="AK59" s="1131"/>
      <c r="AL59" s="1125"/>
      <c r="AQ59" s="663"/>
      <c r="AR59" s="1165"/>
    </row>
    <row r="60" spans="1:44" ht="12" customHeight="1" x14ac:dyDescent="0.2">
      <c r="A60" s="1125"/>
      <c r="B60" s="537"/>
      <c r="C60" s="1181">
        <v>240</v>
      </c>
      <c r="D60" s="5566" t="s">
        <v>7694</v>
      </c>
      <c r="E60" s="5474"/>
      <c r="F60" s="5567" t="str">
        <f>IF(C52=0,"",VLOOKUP(C52,'Tablas psiquica'!$D$7:$R$145,12,FALSE))</f>
        <v/>
      </c>
      <c r="G60" s="5568"/>
      <c r="H60" s="5568"/>
      <c r="I60" s="5569"/>
      <c r="K60" s="1181">
        <v>240</v>
      </c>
      <c r="L60" s="5566" t="s">
        <v>7694</v>
      </c>
      <c r="M60" s="5474"/>
      <c r="N60" s="5567" t="str">
        <f>IF(K52=0,"",VLOOKUP(K52,'Tablas psiquica'!$D$7:$R$145,12,FALSE))</f>
        <v/>
      </c>
      <c r="O60" s="5568"/>
      <c r="P60" s="5568"/>
      <c r="Q60" s="5569"/>
      <c r="R60" s="1131"/>
      <c r="S60" s="1125"/>
      <c r="T60" s="1125"/>
      <c r="U60" s="537"/>
      <c r="V60" s="1181">
        <v>240</v>
      </c>
      <c r="W60" s="5566" t="s">
        <v>7694</v>
      </c>
      <c r="X60" s="5474"/>
      <c r="Y60" s="5567" t="str">
        <f>IF(V52=0,"",VLOOKUP(V52,'Tablas psiquica'!$D$7:$R$145,12,FALSE))</f>
        <v/>
      </c>
      <c r="Z60" s="5568"/>
      <c r="AA60" s="5568"/>
      <c r="AB60" s="5569"/>
      <c r="AC60" s="663"/>
      <c r="AD60" s="1181">
        <v>240</v>
      </c>
      <c r="AE60" s="5566" t="s">
        <v>7694</v>
      </c>
      <c r="AF60" s="5474"/>
      <c r="AG60" s="5567" t="str">
        <f>IF(AD52=0,"",VLOOKUP(AD52,'Tablas psiquica'!$D$7:$R$145,12,FALSE))</f>
        <v/>
      </c>
      <c r="AH60" s="5568"/>
      <c r="AI60" s="5568"/>
      <c r="AJ60" s="5569"/>
      <c r="AK60" s="1131"/>
      <c r="AL60" s="1125"/>
      <c r="AQ60" s="663"/>
      <c r="AR60" s="1165"/>
    </row>
    <row r="61" spans="1:44" ht="12" customHeight="1" x14ac:dyDescent="0.2">
      <c r="A61" s="1125"/>
      <c r="B61" s="537"/>
      <c r="C61" s="1183">
        <v>280</v>
      </c>
      <c r="D61" s="5570" t="s">
        <v>2066</v>
      </c>
      <c r="E61" s="5469"/>
      <c r="F61" s="5571" t="str">
        <f>IF(C52=0,"",VLOOKUP(C52,'Tablas psiquica'!$D$7:$R$145,13,FALSE))</f>
        <v/>
      </c>
      <c r="G61" s="5572"/>
      <c r="H61" s="5572"/>
      <c r="I61" s="5573"/>
      <c r="K61" s="1183">
        <v>280</v>
      </c>
      <c r="L61" s="5570" t="s">
        <v>2066</v>
      </c>
      <c r="M61" s="5469"/>
      <c r="N61" s="5571" t="str">
        <f>IF(K52=0,"",VLOOKUP(K52,'Tablas psiquica'!$D$7:$R$145,13,FALSE))</f>
        <v/>
      </c>
      <c r="O61" s="5572"/>
      <c r="P61" s="5572"/>
      <c r="Q61" s="5573"/>
      <c r="R61" s="1131"/>
      <c r="S61" s="1125"/>
      <c r="T61" s="1125"/>
      <c r="U61" s="537"/>
      <c r="V61" s="1183">
        <v>280</v>
      </c>
      <c r="W61" s="5570" t="s">
        <v>2066</v>
      </c>
      <c r="X61" s="5469"/>
      <c r="Y61" s="5571" t="str">
        <f>IF(V52=0,"",VLOOKUP(V52,'Tablas psiquica'!$D$7:$R$145,13,FALSE))</f>
        <v/>
      </c>
      <c r="Z61" s="5572"/>
      <c r="AA61" s="5572"/>
      <c r="AB61" s="5573"/>
      <c r="AC61" s="663"/>
      <c r="AD61" s="1183">
        <v>280</v>
      </c>
      <c r="AE61" s="5570" t="s">
        <v>2066</v>
      </c>
      <c r="AF61" s="5469"/>
      <c r="AG61" s="5571" t="str">
        <f>IF(AD52=0,"",VLOOKUP(AD52,'Tablas psiquica'!$D$7:$R$145,13,FALSE))</f>
        <v/>
      </c>
      <c r="AH61" s="5572"/>
      <c r="AI61" s="5572"/>
      <c r="AJ61" s="5573"/>
      <c r="AK61" s="1131"/>
      <c r="AL61" s="1125"/>
      <c r="AQ61" s="663"/>
      <c r="AR61" s="1165"/>
    </row>
    <row r="62" spans="1:44" ht="12" customHeight="1" x14ac:dyDescent="0.2">
      <c r="A62" s="1125"/>
      <c r="B62" s="537"/>
      <c r="C62" s="1181">
        <v>320</v>
      </c>
      <c r="D62" s="5566" t="s">
        <v>2068</v>
      </c>
      <c r="E62" s="5474"/>
      <c r="F62" s="5567" t="str">
        <f>IF(C52=0,"",VLOOKUP(C52,'Tablas psiquica'!$D$7:$R$145,14,FALSE))</f>
        <v/>
      </c>
      <c r="G62" s="5568"/>
      <c r="H62" s="5568"/>
      <c r="I62" s="5569"/>
      <c r="K62" s="1181">
        <v>320</v>
      </c>
      <c r="L62" s="5566" t="s">
        <v>2068</v>
      </c>
      <c r="M62" s="5474"/>
      <c r="N62" s="5567" t="str">
        <f>IF(K52=0,"",VLOOKUP(K52,'Tablas psiquica'!$D$7:$R$145,14,FALSE))</f>
        <v/>
      </c>
      <c r="O62" s="5568"/>
      <c r="P62" s="5568"/>
      <c r="Q62" s="5569"/>
      <c r="R62" s="1131"/>
      <c r="S62" s="1125"/>
      <c r="T62" s="1125"/>
      <c r="U62" s="537"/>
      <c r="V62" s="1181">
        <v>320</v>
      </c>
      <c r="W62" s="5566" t="s">
        <v>2068</v>
      </c>
      <c r="X62" s="5474"/>
      <c r="Y62" s="5567" t="str">
        <f>IF(V52=0,"",VLOOKUP(V52,'Tablas psiquica'!$D$7:$R$145,14,FALSE))</f>
        <v/>
      </c>
      <c r="Z62" s="5568"/>
      <c r="AA62" s="5568"/>
      <c r="AB62" s="5569"/>
      <c r="AC62" s="663"/>
      <c r="AD62" s="1181">
        <v>320</v>
      </c>
      <c r="AE62" s="5566" t="s">
        <v>2068</v>
      </c>
      <c r="AF62" s="5474"/>
      <c r="AG62" s="5567" t="str">
        <f>IF(AD52=0,"",VLOOKUP(AD52,'Tablas psiquica'!$D$7:$R$145,14,FALSE))</f>
        <v/>
      </c>
      <c r="AH62" s="5568"/>
      <c r="AI62" s="5568"/>
      <c r="AJ62" s="5569"/>
      <c r="AK62" s="1131"/>
      <c r="AL62" s="1125"/>
      <c r="AQ62" s="663"/>
      <c r="AR62" s="1165"/>
    </row>
    <row r="63" spans="1:44" ht="12" customHeight="1" x14ac:dyDescent="0.2">
      <c r="A63" s="1125"/>
      <c r="B63" s="537"/>
      <c r="C63" s="1186">
        <v>440</v>
      </c>
      <c r="D63" s="5574" t="s">
        <v>2002</v>
      </c>
      <c r="E63" s="5575"/>
      <c r="F63" s="5576" t="str">
        <f>IF(C52=0,"",VLOOKUP(C52,'Tablas psiquica'!$D$7:$R$145,15,FALSE))</f>
        <v/>
      </c>
      <c r="G63" s="5577"/>
      <c r="H63" s="5577"/>
      <c r="I63" s="5578"/>
      <c r="K63" s="1186">
        <v>440</v>
      </c>
      <c r="L63" s="5574" t="s">
        <v>2002</v>
      </c>
      <c r="M63" s="5575"/>
      <c r="N63" s="5576" t="str">
        <f>IF(K52=0,"",VLOOKUP(K52,'Tablas psiquica'!$D$7:$R$145,15,FALSE))</f>
        <v/>
      </c>
      <c r="O63" s="5577"/>
      <c r="P63" s="5577"/>
      <c r="Q63" s="5578"/>
      <c r="R63" s="1131"/>
      <c r="S63" s="1125"/>
      <c r="T63" s="1125"/>
      <c r="U63" s="537"/>
      <c r="V63" s="1186">
        <v>440</v>
      </c>
      <c r="W63" s="5574" t="s">
        <v>2002</v>
      </c>
      <c r="X63" s="5575"/>
      <c r="Y63" s="5576" t="str">
        <f>IF(V52=0,"",VLOOKUP(V52,'Tablas psiquica'!$D$7:$R$145,15,FALSE))</f>
        <v/>
      </c>
      <c r="Z63" s="5577"/>
      <c r="AA63" s="5577"/>
      <c r="AB63" s="5578"/>
      <c r="AC63" s="1173"/>
      <c r="AD63" s="1186">
        <v>440</v>
      </c>
      <c r="AE63" s="5574" t="s">
        <v>2002</v>
      </c>
      <c r="AF63" s="5575"/>
      <c r="AG63" s="5576" t="str">
        <f>IF(AD52=0,"",VLOOKUP(AD52,'Tablas psiquica'!$D$7:$R$145,15,FALSE))</f>
        <v/>
      </c>
      <c r="AH63" s="5577"/>
      <c r="AI63" s="5577"/>
      <c r="AJ63" s="5578"/>
      <c r="AK63" s="1131"/>
      <c r="AL63" s="1125"/>
      <c r="AQ63" s="663"/>
      <c r="AR63" s="1165"/>
    </row>
    <row r="64" spans="1:44" ht="12" customHeight="1" thickBot="1" x14ac:dyDescent="0.25">
      <c r="A64" s="1125"/>
      <c r="B64" s="537"/>
      <c r="C64" s="5579" t="s">
        <v>7695</v>
      </c>
      <c r="D64" s="5580"/>
      <c r="E64" s="1187" t="str">
        <f>IF(C52=0,"",VLOOKUP(C52,'Tablas psiquica'!$D$7:$R$145,4,FALSE))</f>
        <v/>
      </c>
      <c r="F64" s="5581" t="s">
        <v>7690</v>
      </c>
      <c r="G64" s="5581"/>
      <c r="H64" s="4482" t="str">
        <f>IF(C52=0,"",VLOOKUP(C52,'Tablas psiquica'!$D$7:$R$145,5,FALSE))</f>
        <v/>
      </c>
      <c r="I64" s="4483"/>
      <c r="K64" s="5579" t="s">
        <v>7695</v>
      </c>
      <c r="L64" s="5580"/>
      <c r="M64" s="1187" t="str">
        <f>IF(K52=0,"",VLOOKUP(K52,'Tablas psiquica'!$D$7:$R$145,4,FALSE))</f>
        <v/>
      </c>
      <c r="N64" s="5581" t="s">
        <v>7690</v>
      </c>
      <c r="O64" s="5581"/>
      <c r="P64" s="4482" t="str">
        <f>IF(K52=0,"",VLOOKUP(K52,'Tablas psiquica'!$D$7:$R$145,5,FALSE))</f>
        <v/>
      </c>
      <c r="Q64" s="4483"/>
      <c r="R64" s="1131"/>
      <c r="S64" s="1125"/>
      <c r="T64" s="1125"/>
      <c r="U64" s="537"/>
      <c r="V64" s="5579" t="s">
        <v>7695</v>
      </c>
      <c r="W64" s="5580"/>
      <c r="X64" s="1187" t="str">
        <f>IF(V52=0,"",VLOOKUP(V52,'Tablas psiquica'!$D$7:$R$145,4,FALSE))</f>
        <v/>
      </c>
      <c r="Y64" s="5581" t="s">
        <v>7690</v>
      </c>
      <c r="Z64" s="5581"/>
      <c r="AA64" s="4482" t="str">
        <f>IF(V52=0,"",VLOOKUP(V52,'Tablas psiquica'!$D$7:$R$145,5,FALSE))</f>
        <v/>
      </c>
      <c r="AB64" s="4483"/>
      <c r="AC64" s="1173"/>
      <c r="AD64" s="5579" t="s">
        <v>7695</v>
      </c>
      <c r="AE64" s="5580"/>
      <c r="AF64" s="1187" t="str">
        <f>IF(AD52=0,"",VLOOKUP(AD52,'Tablas psiquica'!$D$7:$R$145,4,FALSE))</f>
        <v/>
      </c>
      <c r="AG64" s="5581" t="s">
        <v>7690</v>
      </c>
      <c r="AH64" s="5581"/>
      <c r="AI64" s="4482" t="str">
        <f>IF(AD52=0,"",VLOOKUP(AD52,'Tablas psiquica'!$D$7:$R$145,5,FALSE))</f>
        <v/>
      </c>
      <c r="AJ64" s="4483"/>
      <c r="AK64" s="1131"/>
      <c r="AL64" s="1125"/>
      <c r="AQ64" s="663"/>
      <c r="AR64" s="1165"/>
    </row>
    <row r="65" spans="1:44" ht="12" customHeight="1" thickBot="1" x14ac:dyDescent="0.25">
      <c r="A65" s="1125"/>
      <c r="B65" s="538"/>
      <c r="C65" s="1168"/>
      <c r="D65" s="1168"/>
      <c r="E65" s="1168"/>
      <c r="F65" s="1168"/>
      <c r="G65" s="1168"/>
      <c r="H65" s="1168"/>
      <c r="I65" s="1168"/>
      <c r="J65" s="1168"/>
      <c r="K65" s="1168"/>
      <c r="L65" s="1168"/>
      <c r="M65" s="1168"/>
      <c r="N65" s="1168"/>
      <c r="O65" s="1168"/>
      <c r="P65" s="1168"/>
      <c r="Q65" s="1168"/>
      <c r="R65" s="1169"/>
      <c r="S65" s="1125"/>
      <c r="T65" s="1125"/>
      <c r="U65" s="538"/>
      <c r="V65" s="1168"/>
      <c r="W65" s="1168"/>
      <c r="X65" s="1168"/>
      <c r="Y65" s="1168"/>
      <c r="Z65" s="1168"/>
      <c r="AA65" s="1168"/>
      <c r="AB65" s="1168"/>
      <c r="AC65" s="1168"/>
      <c r="AD65" s="1168"/>
      <c r="AE65" s="1168"/>
      <c r="AF65" s="1168"/>
      <c r="AG65" s="1168"/>
      <c r="AH65" s="1168"/>
      <c r="AI65" s="1168"/>
      <c r="AJ65" s="1168"/>
      <c r="AK65" s="1169"/>
      <c r="AL65" s="1125"/>
      <c r="AM65" s="1170"/>
      <c r="AN65" s="1170"/>
      <c r="AO65" s="1171"/>
      <c r="AP65" s="1171"/>
      <c r="AQ65" s="663"/>
      <c r="AR65" s="663"/>
    </row>
    <row r="66" spans="1:44" ht="12" customHeight="1" x14ac:dyDescent="0.2">
      <c r="A66" s="1125"/>
      <c r="B66" s="1125"/>
      <c r="C66" s="1125"/>
      <c r="D66" s="1125"/>
      <c r="E66" s="1125"/>
      <c r="F66" s="1125"/>
      <c r="G66" s="1125"/>
      <c r="H66" s="1125"/>
      <c r="I66" s="1125"/>
      <c r="J66" s="1125"/>
      <c r="K66" s="1125"/>
      <c r="L66" s="1125"/>
      <c r="M66" s="1125"/>
      <c r="N66" s="1125"/>
      <c r="O66" s="1125"/>
      <c r="P66" s="1125"/>
      <c r="Q66" s="1125"/>
      <c r="R66" s="1125"/>
      <c r="S66" s="1125"/>
      <c r="T66" s="1125"/>
      <c r="U66" s="1125"/>
      <c r="V66" s="1125"/>
      <c r="W66" s="1125"/>
      <c r="X66" s="1125"/>
      <c r="Y66" s="1125"/>
      <c r="Z66" s="1125"/>
      <c r="AA66" s="1125"/>
      <c r="AB66" s="1125"/>
      <c r="AC66" s="1125"/>
      <c r="AD66" s="1125"/>
      <c r="AE66" s="1125"/>
      <c r="AF66" s="1125"/>
      <c r="AG66" s="1125"/>
      <c r="AH66" s="1125"/>
      <c r="AI66" s="1125"/>
      <c r="AJ66" s="1125"/>
      <c r="AK66" s="1125"/>
      <c r="AL66" s="1125"/>
      <c r="AM66" s="1170"/>
      <c r="AN66" s="1170"/>
      <c r="AO66" s="1170"/>
      <c r="AP66" s="1170"/>
      <c r="AQ66" s="1172"/>
      <c r="AR66" s="663"/>
    </row>
    <row r="67" spans="1:44" ht="12" customHeight="1" x14ac:dyDescent="0.2">
      <c r="A67" s="624"/>
      <c r="B67" s="624"/>
      <c r="C67" s="624"/>
      <c r="D67" s="624"/>
      <c r="E67" s="624"/>
      <c r="F67" s="624"/>
      <c r="G67" s="624"/>
      <c r="H67" s="624"/>
      <c r="I67" s="624"/>
      <c r="J67" s="624"/>
      <c r="K67" s="624"/>
      <c r="L67" s="624"/>
      <c r="M67" s="624"/>
      <c r="N67" s="624"/>
      <c r="O67" s="624"/>
      <c r="P67" s="624"/>
      <c r="Q67" s="624"/>
      <c r="R67" s="624"/>
      <c r="S67" s="624"/>
      <c r="T67" s="624"/>
      <c r="U67" s="624"/>
      <c r="V67" s="624"/>
      <c r="Y67" s="663"/>
      <c r="Z67" s="1173"/>
      <c r="AD67" s="1170"/>
      <c r="AE67" s="1170"/>
      <c r="AI67" s="1172"/>
      <c r="AJ67" s="1172"/>
      <c r="AK67" s="1174"/>
      <c r="AL67" s="1174"/>
      <c r="AM67" s="1174"/>
      <c r="AN67" s="1175"/>
      <c r="AO67" s="1175"/>
      <c r="AP67" s="1175"/>
      <c r="AQ67" s="1175"/>
      <c r="AR67" s="663"/>
    </row>
    <row r="68" spans="1:44" ht="12" customHeight="1" x14ac:dyDescent="0.2">
      <c r="A68" s="624"/>
      <c r="B68" s="675"/>
      <c r="C68" s="624"/>
      <c r="D68" s="624"/>
      <c r="E68" s="624"/>
      <c r="F68" s="624"/>
      <c r="G68" s="624"/>
      <c r="H68" s="624"/>
      <c r="I68" s="624"/>
      <c r="J68" s="624"/>
      <c r="K68" s="624"/>
      <c r="L68" s="624"/>
      <c r="M68" s="624"/>
      <c r="N68" s="624"/>
      <c r="O68" s="624"/>
      <c r="P68" s="624"/>
      <c r="Q68" s="624"/>
      <c r="R68" s="624"/>
      <c r="S68" s="624"/>
      <c r="T68" s="624"/>
      <c r="U68" s="624"/>
      <c r="V68" s="624"/>
      <c r="AD68" s="1170"/>
      <c r="AE68" s="1170"/>
      <c r="AI68" s="1172"/>
      <c r="AJ68" s="1172"/>
      <c r="AK68" s="1174"/>
      <c r="AL68" s="1174"/>
      <c r="AM68" s="1174"/>
      <c r="AN68" s="1175"/>
      <c r="AO68" s="1175"/>
      <c r="AP68" s="1175"/>
      <c r="AQ68" s="1175"/>
      <c r="AR68" s="663"/>
    </row>
    <row r="69" spans="1:44" ht="12" customHeight="1" x14ac:dyDescent="0.2">
      <c r="A69" s="624"/>
      <c r="B69" s="675"/>
      <c r="C69" s="624"/>
      <c r="D69" s="624"/>
      <c r="E69" s="624"/>
      <c r="F69" s="624"/>
      <c r="G69" s="624"/>
      <c r="H69" s="624"/>
      <c r="I69" s="624"/>
      <c r="J69" s="624"/>
      <c r="K69" s="624"/>
      <c r="L69" s="624"/>
      <c r="M69" s="624"/>
      <c r="N69" s="624"/>
      <c r="O69" s="624"/>
      <c r="P69" s="624"/>
      <c r="Q69" s="624"/>
      <c r="R69" s="624"/>
      <c r="S69" s="624"/>
      <c r="T69" s="624"/>
      <c r="U69" s="624"/>
      <c r="V69" s="624"/>
      <c r="AA69" s="1173"/>
      <c r="AB69" s="1173"/>
      <c r="AC69" s="663"/>
      <c r="AI69" s="663"/>
      <c r="AJ69" s="663"/>
      <c r="AK69" s="663"/>
      <c r="AL69" s="663"/>
      <c r="AM69" s="663"/>
      <c r="AN69" s="663"/>
      <c r="AO69" s="663"/>
      <c r="AP69" s="663"/>
      <c r="AQ69" s="663"/>
      <c r="AR69" s="663"/>
    </row>
    <row r="70" spans="1:44" ht="12" customHeight="1" x14ac:dyDescent="0.2">
      <c r="A70" s="624"/>
      <c r="B70" s="675"/>
      <c r="C70" s="624"/>
      <c r="J70" s="624"/>
      <c r="K70" s="624"/>
      <c r="R70" s="624"/>
      <c r="S70" s="624"/>
      <c r="T70" s="624"/>
      <c r="U70" s="624"/>
      <c r="V70" s="624"/>
      <c r="AA70" s="1173"/>
      <c r="AB70" s="1173"/>
      <c r="AC70" s="663"/>
      <c r="AI70" s="663"/>
      <c r="AJ70" s="663"/>
      <c r="AK70" s="663"/>
      <c r="AL70" s="663"/>
      <c r="AM70" s="663"/>
      <c r="AN70" s="663"/>
      <c r="AO70" s="663"/>
      <c r="AP70" s="663"/>
      <c r="AQ70" s="663"/>
      <c r="AR70" s="663"/>
    </row>
    <row r="71" spans="1:44" ht="12" customHeight="1" x14ac:dyDescent="0.2">
      <c r="A71" s="624"/>
      <c r="B71" s="675"/>
      <c r="C71" s="624"/>
      <c r="J71" s="624"/>
      <c r="K71" s="624"/>
      <c r="R71" s="624"/>
      <c r="S71" s="624"/>
      <c r="T71" s="624"/>
      <c r="U71" s="624"/>
      <c r="V71" s="624"/>
      <c r="AA71" s="1173"/>
      <c r="AB71" s="1173"/>
      <c r="AC71" s="663"/>
      <c r="AI71" s="663"/>
      <c r="AJ71" s="663"/>
      <c r="AK71" s="663"/>
      <c r="AL71" s="663"/>
      <c r="AM71" s="663"/>
      <c r="AN71" s="663"/>
      <c r="AO71" s="663"/>
      <c r="AP71" s="663"/>
      <c r="AQ71" s="663"/>
      <c r="AR71" s="663"/>
    </row>
    <row r="72" spans="1:44" ht="12" customHeight="1" x14ac:dyDescent="0.2">
      <c r="A72" s="624"/>
      <c r="B72" s="675"/>
      <c r="C72" s="624"/>
      <c r="J72" s="624"/>
      <c r="K72" s="624"/>
      <c r="R72" s="624"/>
      <c r="S72" s="624"/>
      <c r="T72" s="624"/>
      <c r="U72" s="624"/>
      <c r="V72" s="624"/>
      <c r="AA72" s="1173"/>
      <c r="AB72" s="1173"/>
      <c r="AC72" s="663"/>
      <c r="AI72" s="663"/>
      <c r="AJ72" s="663"/>
      <c r="AK72" s="663"/>
      <c r="AL72" s="663"/>
      <c r="AM72" s="663"/>
      <c r="AN72" s="663"/>
      <c r="AO72" s="663"/>
      <c r="AP72" s="663"/>
      <c r="AQ72" s="663"/>
      <c r="AR72" s="663"/>
    </row>
    <row r="73" spans="1:44" ht="12" customHeight="1" x14ac:dyDescent="0.2">
      <c r="A73" s="624"/>
      <c r="B73" s="675"/>
      <c r="C73" s="624"/>
      <c r="J73" s="624"/>
      <c r="K73" s="624"/>
      <c r="R73" s="624"/>
      <c r="S73" s="624"/>
      <c r="T73" s="624"/>
      <c r="U73" s="624"/>
      <c r="V73" s="624"/>
      <c r="AA73" s="1173"/>
      <c r="AB73" s="1173"/>
      <c r="AC73" s="663"/>
      <c r="AI73" s="663"/>
      <c r="AJ73" s="663"/>
      <c r="AK73" s="663"/>
      <c r="AL73" s="663"/>
      <c r="AM73" s="663"/>
      <c r="AN73" s="663"/>
      <c r="AO73" s="663"/>
      <c r="AP73" s="663"/>
      <c r="AQ73" s="663"/>
      <c r="AR73" s="663"/>
    </row>
    <row r="74" spans="1:44" ht="12" customHeight="1" x14ac:dyDescent="0.2">
      <c r="A74" s="624"/>
      <c r="B74" s="675"/>
      <c r="C74" s="624"/>
      <c r="J74" s="624"/>
      <c r="K74" s="624"/>
      <c r="R74" s="624"/>
      <c r="S74" s="624"/>
      <c r="T74" s="624"/>
      <c r="U74" s="624"/>
      <c r="V74" s="624"/>
      <c r="AA74" s="1173"/>
      <c r="AB74" s="1173"/>
      <c r="AC74" s="663"/>
      <c r="AI74" s="663"/>
      <c r="AJ74" s="663"/>
      <c r="AK74" s="663"/>
      <c r="AL74" s="663"/>
      <c r="AM74" s="663"/>
      <c r="AN74" s="663"/>
      <c r="AO74" s="663"/>
      <c r="AP74" s="663"/>
      <c r="AQ74" s="663"/>
      <c r="AR74" s="663"/>
    </row>
    <row r="75" spans="1:44" ht="12" customHeight="1" x14ac:dyDescent="0.2">
      <c r="A75" s="624"/>
      <c r="B75" s="675"/>
      <c r="C75" s="624"/>
      <c r="J75" s="624"/>
      <c r="K75" s="624"/>
      <c r="R75" s="624"/>
      <c r="S75" s="624"/>
      <c r="T75" s="624"/>
      <c r="U75" s="624"/>
      <c r="V75" s="624"/>
      <c r="AA75" s="1173"/>
      <c r="AB75" s="1173"/>
      <c r="AC75" s="663"/>
    </row>
    <row r="76" spans="1:44" ht="12" customHeight="1" x14ac:dyDescent="0.2">
      <c r="A76" s="624"/>
      <c r="B76" s="675"/>
      <c r="C76" s="624"/>
      <c r="J76" s="624"/>
      <c r="K76" s="624"/>
      <c r="R76" s="624"/>
      <c r="S76" s="624"/>
      <c r="T76" s="624"/>
      <c r="U76" s="624"/>
      <c r="V76" s="624"/>
      <c r="AA76" s="1173"/>
      <c r="AB76" s="1173"/>
      <c r="AC76" s="663"/>
    </row>
    <row r="77" spans="1:44" ht="12" customHeight="1" x14ac:dyDescent="0.2">
      <c r="A77" s="624"/>
      <c r="B77" s="624"/>
      <c r="C77" s="624"/>
      <c r="J77" s="624"/>
      <c r="K77" s="624"/>
      <c r="R77" s="624"/>
      <c r="S77" s="624"/>
      <c r="T77" s="624"/>
      <c r="U77" s="624"/>
      <c r="V77" s="624"/>
      <c r="Y77" s="663"/>
      <c r="Z77" s="1173"/>
      <c r="AA77" s="1173"/>
      <c r="AB77" s="1173"/>
      <c r="AC77" s="663"/>
    </row>
    <row r="78" spans="1:44" ht="12" customHeight="1" x14ac:dyDescent="0.2">
      <c r="A78" s="624"/>
      <c r="B78" s="624"/>
      <c r="C78" s="624"/>
      <c r="J78" s="624"/>
      <c r="K78" s="624"/>
      <c r="R78" s="624"/>
      <c r="S78" s="624"/>
      <c r="T78" s="624"/>
      <c r="U78" s="624"/>
      <c r="V78" s="624"/>
      <c r="Y78" s="663"/>
      <c r="Z78" s="1173"/>
      <c r="AA78" s="1173"/>
      <c r="AB78" s="1173"/>
      <c r="AC78" s="663"/>
    </row>
    <row r="79" spans="1:44" ht="12" customHeight="1" x14ac:dyDescent="0.2">
      <c r="A79" s="624"/>
      <c r="B79" s="624"/>
      <c r="C79" s="624"/>
      <c r="J79" s="624"/>
      <c r="K79" s="624"/>
      <c r="R79" s="624"/>
      <c r="S79" s="624"/>
      <c r="T79" s="624"/>
      <c r="U79" s="624"/>
      <c r="V79" s="624"/>
      <c r="Y79" s="663"/>
      <c r="Z79" s="1173"/>
      <c r="AA79" s="1173"/>
      <c r="AB79" s="1173"/>
      <c r="AC79" s="663"/>
    </row>
    <row r="80" spans="1:44" ht="12" customHeight="1" x14ac:dyDescent="0.2">
      <c r="A80" s="624"/>
      <c r="B80" s="624"/>
      <c r="C80" s="624"/>
      <c r="J80" s="624"/>
      <c r="K80" s="624"/>
      <c r="R80" s="624"/>
      <c r="S80" s="624"/>
      <c r="T80" s="624"/>
      <c r="U80" s="624"/>
      <c r="V80" s="624"/>
      <c r="Y80" s="663"/>
      <c r="Z80" s="1173"/>
      <c r="AA80" s="1173"/>
      <c r="AB80" s="1173"/>
      <c r="AC80" s="663"/>
    </row>
    <row r="81" spans="1:29" ht="12" customHeight="1" x14ac:dyDescent="0.2">
      <c r="A81" s="624"/>
      <c r="B81" s="624"/>
      <c r="C81" s="624"/>
      <c r="J81" s="624"/>
      <c r="K81" s="624"/>
      <c r="R81" s="624"/>
      <c r="S81" s="624"/>
      <c r="T81" s="624"/>
      <c r="U81" s="624"/>
      <c r="V81" s="624"/>
      <c r="Y81" s="663"/>
      <c r="Z81" s="1173"/>
      <c r="AA81" s="1173"/>
      <c r="AB81" s="1173"/>
      <c r="AC81" s="663"/>
    </row>
    <row r="82" spans="1:29" ht="12" customHeight="1" x14ac:dyDescent="0.2">
      <c r="A82" s="624"/>
      <c r="B82" s="624"/>
    </row>
    <row r="83" spans="1:29" ht="12" customHeight="1" x14ac:dyDescent="0.2">
      <c r="A83" s="624"/>
      <c r="B83" s="624"/>
    </row>
    <row r="84" spans="1:29" ht="12" customHeight="1" x14ac:dyDescent="0.2">
      <c r="A84" s="624"/>
      <c r="B84" s="624"/>
    </row>
    <row r="85" spans="1:29" ht="12" customHeight="1" x14ac:dyDescent="0.2">
      <c r="A85" s="624"/>
      <c r="B85" s="624"/>
    </row>
    <row r="86" spans="1:29" ht="12" customHeight="1" x14ac:dyDescent="0.2">
      <c r="A86" s="624"/>
      <c r="B86" s="624"/>
    </row>
    <row r="87" spans="1:29" ht="12" customHeight="1" x14ac:dyDescent="0.2">
      <c r="A87" s="624"/>
      <c r="B87" s="624"/>
    </row>
    <row r="88" spans="1:29" ht="12" customHeight="1" x14ac:dyDescent="0.2">
      <c r="A88" s="624"/>
      <c r="B88" s="624"/>
    </row>
    <row r="89" spans="1:29" ht="12" customHeight="1" x14ac:dyDescent="0.2">
      <c r="A89" s="624"/>
      <c r="B89" s="624"/>
    </row>
    <row r="90" spans="1:29" ht="12" customHeight="1" x14ac:dyDescent="0.2">
      <c r="A90" s="624"/>
      <c r="B90" s="624"/>
    </row>
    <row r="91" spans="1:29" ht="12" customHeight="1" x14ac:dyDescent="0.2">
      <c r="A91" s="624"/>
      <c r="B91" s="624"/>
    </row>
    <row r="92" spans="1:29" ht="12" customHeight="1" x14ac:dyDescent="0.2">
      <c r="A92" s="624"/>
      <c r="B92" s="624"/>
    </row>
    <row r="93" spans="1:29" ht="12" customHeight="1" x14ac:dyDescent="0.2">
      <c r="A93" s="624"/>
      <c r="B93" s="624"/>
    </row>
    <row r="94" spans="1:29" ht="12" customHeight="1" x14ac:dyDescent="0.2">
      <c r="A94" s="624"/>
      <c r="B94" s="624"/>
    </row>
    <row r="95" spans="1:29" ht="12" customHeight="1" x14ac:dyDescent="0.2">
      <c r="A95" s="624"/>
      <c r="B95" s="624"/>
    </row>
    <row r="96" spans="1:29" ht="12" customHeight="1" x14ac:dyDescent="0.2">
      <c r="A96" s="624"/>
      <c r="B96" s="624"/>
    </row>
    <row r="97" spans="1:2" ht="12" customHeight="1" x14ac:dyDescent="0.2">
      <c r="A97" s="624"/>
      <c r="B97" s="624"/>
    </row>
    <row r="98" spans="1:2" ht="12" customHeight="1" x14ac:dyDescent="0.2">
      <c r="A98" s="624"/>
      <c r="B98" s="624"/>
    </row>
    <row r="99" spans="1:2" ht="12" customHeight="1" x14ac:dyDescent="0.2">
      <c r="A99" s="624"/>
      <c r="B99" s="624"/>
    </row>
    <row r="100" spans="1:2" ht="12" customHeight="1" x14ac:dyDescent="0.2">
      <c r="A100" s="624"/>
      <c r="B100" s="624"/>
    </row>
    <row r="101" spans="1:2" ht="12" customHeight="1" x14ac:dyDescent="0.2">
      <c r="A101" s="624"/>
      <c r="B101" s="624"/>
    </row>
    <row r="102" spans="1:2" ht="12" customHeight="1" x14ac:dyDescent="0.2">
      <c r="A102" s="624"/>
      <c r="B102" s="624"/>
    </row>
    <row r="103" spans="1:2" ht="12" customHeight="1" x14ac:dyDescent="0.2">
      <c r="A103" s="624"/>
      <c r="B103" s="624"/>
    </row>
    <row r="104" spans="1:2" ht="12" customHeight="1" x14ac:dyDescent="0.2">
      <c r="A104" s="624"/>
      <c r="B104" s="624"/>
    </row>
    <row r="105" spans="1:2" ht="12" customHeight="1" x14ac:dyDescent="0.2">
      <c r="A105" s="624"/>
      <c r="B105" s="624"/>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xr:uid="{00000000-0002-0000-1500-000000000000}">
      <formula1>Poderes_psi</formula1>
    </dataValidation>
    <dataValidation type="list" allowBlank="1" showInputMessage="1" showErrorMessage="1" sqref="Z23" xr:uid="{00000000-0002-0000-1500-000001000000}">
      <formula1>$E$68:$E$69</formula1>
    </dataValidation>
    <dataValidation type="list" allowBlank="1" showInputMessage="1" showErrorMessage="1" sqref="X23" xr:uid="{00000000-0002-0000-15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491</vt:i4>
      </vt:variant>
    </vt:vector>
  </HeadingPairs>
  <TitlesOfParts>
    <vt:vector size="513"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Lista_LegadosSangre</vt:lpstr>
      <vt:lpstr>Lista_LuzyOscuridad</vt:lpstr>
      <vt:lpstr>Lista_LuzyOscuridadmasuno</vt:lpstr>
      <vt:lpstr>Lista_Nephilims</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Tabla_SiNo</vt:lpstr>
      <vt:lpstr>Tabla_Tabla_Estilos</vt:lpstr>
      <vt:lpstr>Tabla_TablasArmas</vt:lpstr>
      <vt:lpstr>Tabla_TablasSobrenat</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2018-09-03T18:49:11Z</cp:lastPrinted>
  <dcterms:created xsi:type="dcterms:W3CDTF">2015-03-24T15:47:25Z</dcterms:created>
  <dcterms:modified xsi:type="dcterms:W3CDTF">2018-09-21T14:11:31Z</dcterms:modified>
</cp:coreProperties>
</file>